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https://hntb-my.sharepoint.com/personal/ataheri_hntb_com/Documents/"/>
    </mc:Choice>
  </mc:AlternateContent>
  <xr:revisionPtr revIDLastSave="2" documentId="13_ncr:1_{06AD16BE-49E1-421E-92E2-BE5660FC4610}" xr6:coauthVersionLast="47" xr6:coauthVersionMax="47" xr10:uidLastSave="{65901501-93E0-4703-BC46-0EEAB778B154}"/>
  <bookViews>
    <workbookView xWindow="3075" yWindow="3000" windowWidth="21600" windowHeight="11460" activeTab="1" xr2:uid="{00000000-000D-0000-FFFF-FFFF00000000}"/>
  </bookViews>
  <sheets>
    <sheet name="Mechanical Engineering Faculty" sheetId="1" r:id="rId1"/>
    <sheet name="Mechanical Engineering Summary " sheetId="2" r:id="rId2"/>
    <sheet name="ME Department Data" sheetId="6" state="hidden" r:id="rId3"/>
    <sheet name="IE Department Data" sheetId="8" state="hidden" r:id="rId4"/>
  </sheets>
  <definedNames>
    <definedName name="COMB_1_D">#REF!</definedName>
    <definedName name="COMB_1_E">#REF!</definedName>
    <definedName name="COMB_1_G">#REF!</definedName>
    <definedName name="COMB_10_D">#REF!</definedName>
    <definedName name="COMB_10_E">#REF!</definedName>
    <definedName name="COMB_10_G">#REF!</definedName>
    <definedName name="COMB_2_D">#REF!</definedName>
    <definedName name="COMB_2_E">#REF!</definedName>
    <definedName name="COMB_2_G">#REF!</definedName>
    <definedName name="COMB_3_D">#REF!</definedName>
    <definedName name="COMB_3_E">#REF!</definedName>
    <definedName name="COMB_3_G">#REF!</definedName>
    <definedName name="COMB_4_D">#REF!</definedName>
    <definedName name="COMB_4_E">#REF!</definedName>
    <definedName name="COMB_4_G">#REF!</definedName>
    <definedName name="COMB_5_D">#REF!</definedName>
    <definedName name="COMB_5_E">#REF!</definedName>
    <definedName name="COMB_5_G">#REF!</definedName>
    <definedName name="COMB_6_D">#REF!</definedName>
    <definedName name="COMB_6_E">#REF!</definedName>
    <definedName name="COMB_6_G">#REF!</definedName>
    <definedName name="COMB_7_D">#REF!</definedName>
    <definedName name="COMB_7_E">#REF!</definedName>
    <definedName name="COMB_7_G">#REF!</definedName>
    <definedName name="COMB_8_D">#REF!</definedName>
    <definedName name="COMB_8_E">#REF!</definedName>
    <definedName name="COMB_8_G">#REF!</definedName>
    <definedName name="COMB_9_D">#REF!</definedName>
    <definedName name="COMB_9_E">#REF!</definedName>
    <definedName name="COMB_9_G">#REF!</definedName>
    <definedName name="Google_Sheet_Link_1000596633" hidden="1">ME_139_E</definedName>
    <definedName name="Google_Sheet_Link_1000754992_174419560" hidden="1">ME_2_D</definedName>
    <definedName name="Google_Sheet_Link_100237306" hidden="1">RANGE74F</definedName>
    <definedName name="Google_Sheet_Link_1002645925_1293901380" hidden="1">RANGE47F</definedName>
    <definedName name="Google_Sheet_Link_1003210416" hidden="1">RANGE7C</definedName>
    <definedName name="Google_Sheet_Link_100353782_1293901380" hidden="1">RANGE78C</definedName>
    <definedName name="Google_Sheet_Link_1003749050_174419560" hidden="1">ME_120_D</definedName>
    <definedName name="Google_Sheet_Link_1004055576_174419560" hidden="1">ME_145_G</definedName>
    <definedName name="Google_Sheet_Link_1004282162_174419560" hidden="1">ME_89_E</definedName>
    <definedName name="Google_Sheet_Link_1006227628_174419560" hidden="1">ME_77_E</definedName>
    <definedName name="Google_Sheet_Link_1007198474_174419560" hidden="1">ME_117_E</definedName>
    <definedName name="Google_Sheet_Link_1014807321" hidden="1">ME_13_E</definedName>
    <definedName name="Google_Sheet_Link_1015544625" hidden="1">RANGE37C</definedName>
    <definedName name="Google_Sheet_Link_1015695094" hidden="1">ME_35_E</definedName>
    <definedName name="Google_Sheet_Link_1017853144" hidden="1">ME_67_G</definedName>
    <definedName name="Google_Sheet_Link_1018407313_174419560" hidden="1">ME_26_E</definedName>
    <definedName name="Google_Sheet_Link_101921936" hidden="1">ME_14_D</definedName>
    <definedName name="Google_Sheet_Link_1019395236_174419560" hidden="1">ME_119_E</definedName>
    <definedName name="Google_Sheet_Link_1019892682" hidden="1">ME_98_G</definedName>
    <definedName name="Google_Sheet_Link_1020753607" hidden="1">RANGE57F</definedName>
    <definedName name="Google_Sheet_Link_1027036445" hidden="1">ME_21_D</definedName>
    <definedName name="Google_Sheet_Link_1027574782" hidden="1">RANGE16C</definedName>
    <definedName name="Google_Sheet_Link_1027688426_174419560" hidden="1">ME_38_D</definedName>
    <definedName name="Google_Sheet_Link_1028628668" hidden="1">ME_147_G</definedName>
    <definedName name="Google_Sheet_Link_1030340985" hidden="1">ME_100_D</definedName>
    <definedName name="Google_Sheet_Link_1032082744" hidden="1">RANGE85F</definedName>
    <definedName name="Google_Sheet_Link_1033070239_1293901380" hidden="1">RANGE2C</definedName>
    <definedName name="Google_Sheet_Link_1034425453" hidden="1">ME_101_G</definedName>
    <definedName name="Google_Sheet_Link_1035461793_1293901380" hidden="1">RANGE23F</definedName>
    <definedName name="Google_Sheet_Link_103646826_174419560" hidden="1">ME_113_G</definedName>
    <definedName name="Google_Sheet_Link_1036843474" hidden="1">ME_88_G</definedName>
    <definedName name="Google_Sheet_Link_1040575843_174419560" hidden="1">ME_28_E</definedName>
    <definedName name="Google_Sheet_Link_104078098" hidden="1">RANGE83C</definedName>
    <definedName name="Google_Sheet_Link_1042687424" hidden="1">ME_40_D</definedName>
    <definedName name="Google_Sheet_Link_1046557984" hidden="1">ME_69_E</definedName>
    <definedName name="Google_Sheet_Link_1047102243_174419560" hidden="1">ME_17_G</definedName>
    <definedName name="Google_Sheet_Link_1048907307" hidden="1">RANGE4F</definedName>
    <definedName name="Google_Sheet_Link_1050171624_174419560" hidden="1">ME_92_D</definedName>
    <definedName name="Google_Sheet_Link_1050658232" hidden="1">ME_10_E</definedName>
    <definedName name="Google_Sheet_Link_1050996909" hidden="1">ME_33_G</definedName>
    <definedName name="Google_Sheet_Link_1052979409" hidden="1">RANGE20C</definedName>
    <definedName name="Google_Sheet_Link_105558550" hidden="1">ME_58_D</definedName>
    <definedName name="Google_Sheet_Link_1056585476_1293901380" hidden="1">RANGE57C</definedName>
    <definedName name="Google_Sheet_Link_10574699_174419560" hidden="1">ME_101_E</definedName>
    <definedName name="Google_Sheet_Link_1058398266" hidden="1">ME_26_E</definedName>
    <definedName name="Google_Sheet_Link_1059150137" hidden="1">ME_15_G</definedName>
    <definedName name="Google_Sheet_Link_1064571289_174419560" hidden="1">ME_93_E</definedName>
    <definedName name="Google_Sheet_Link_106916940" hidden="1">RANGE55F</definedName>
    <definedName name="Google_Sheet_Link_1069539131_174419560" hidden="1">ME_57_D</definedName>
    <definedName name="Google_Sheet_Link_1073891294_174419560" hidden="1">ME_105_G</definedName>
    <definedName name="Google_Sheet_Link_1075291777_174419560" hidden="1">ME_16_G</definedName>
    <definedName name="Google_Sheet_Link_107573479_174419560" hidden="1">ME_79_G</definedName>
    <definedName name="Google_Sheet_Link_1076588318" hidden="1">ME_61_G</definedName>
    <definedName name="Google_Sheet_Link_1078169269" hidden="1">ME_142_G</definedName>
    <definedName name="Google_Sheet_Link_1079400412_1293901380" hidden="1">RANGE68F</definedName>
    <definedName name="Google_Sheet_Link_108006948_1293901380" hidden="1">RANGE73C</definedName>
    <definedName name="Google_Sheet_Link_1082217291" hidden="1">ME_113_D</definedName>
    <definedName name="Google_Sheet_Link_1084915673" hidden="1">RANGE9C</definedName>
    <definedName name="Google_Sheet_Link_1085049677_174419560" hidden="1">ME_62_D</definedName>
    <definedName name="Google_Sheet_Link_1087117346" hidden="1">ME_30_D</definedName>
    <definedName name="Google_Sheet_Link_1087433482_174419560" hidden="1">ME_23_E</definedName>
    <definedName name="Google_Sheet_Link_1087543328" hidden="1">ME_78_E</definedName>
    <definedName name="Google_Sheet_Link_1088595715_174419560" hidden="1">ME_51_G</definedName>
    <definedName name="Google_Sheet_Link_1090501059_174419560" hidden="1">ME_123_G</definedName>
    <definedName name="Google_Sheet_Link_109052056" hidden="1">ME_50_G</definedName>
    <definedName name="Google_Sheet_Link_109052362" hidden="1">RANGE70C</definedName>
    <definedName name="Google_Sheet_Link_10905819" hidden="1">ME_108_G</definedName>
    <definedName name="Google_Sheet_Link_1092029530_174419560" hidden="1">ME_66_G</definedName>
    <definedName name="Google_Sheet_Link_1094409657" hidden="1">ME_91_G</definedName>
    <definedName name="Google_Sheet_Link_1094921355" hidden="1">RANGE28F</definedName>
    <definedName name="Google_Sheet_Link_1096228422" hidden="1">ME_66_G</definedName>
    <definedName name="Google_Sheet_Link_10978147" hidden="1">ME_73_E</definedName>
    <definedName name="Google_Sheet_Link_1099953817_174419560" hidden="1">ME_124_D</definedName>
    <definedName name="Google_Sheet_Link_1100743825_174419560" hidden="1">ME_37_D</definedName>
    <definedName name="Google_Sheet_Link_1103852789_1293901380" hidden="1">RANGE37C</definedName>
    <definedName name="Google_Sheet_Link_1104094922_174419560" hidden="1">ME_1_D</definedName>
    <definedName name="Google_Sheet_Link_1104887465_174419560" hidden="1">ME_50_E</definedName>
    <definedName name="Google_Sheet_Link_1105528128" hidden="1">RANGE14F</definedName>
    <definedName name="Google_Sheet_Link_1107611634" hidden="1">ME_15_E</definedName>
    <definedName name="Google_Sheet_Link_1107834862" hidden="1">RANGE20F</definedName>
    <definedName name="Google_Sheet_Link_110815082" hidden="1">RANGE71F</definedName>
    <definedName name="Google_Sheet_Link_1112385081" hidden="1">NamedRange2</definedName>
    <definedName name="Google_Sheet_Link_1112844825" hidden="1">ME_69_D</definedName>
    <definedName name="Google_Sheet_Link_1113949268" hidden="1">ME_67_E</definedName>
    <definedName name="Google_Sheet_Link_1115916839" hidden="1">ME_51_E</definedName>
    <definedName name="Google_Sheet_Link_112007882_174419560" hidden="1">ME_36_G</definedName>
    <definedName name="Google_Sheet_Link_1120110218" hidden="1">ME_11_G</definedName>
    <definedName name="Google_Sheet_Link_1120192315" hidden="1">ME_117_E</definedName>
    <definedName name="Google_Sheet_Link_1120548737" hidden="1">ME_116_E</definedName>
    <definedName name="Google_Sheet_Link_1121773261" hidden="1">ME_29_E</definedName>
    <definedName name="Google_Sheet_Link_112540020" hidden="1">RANGE29F</definedName>
    <definedName name="Google_Sheet_Link_1126705336" hidden="1">ME_126_D</definedName>
    <definedName name="Google_Sheet_Link_1130078555" hidden="1">ME_36_D</definedName>
    <definedName name="Google_Sheet_Link_1133808454" hidden="1">ME_83_G</definedName>
    <definedName name="Google_Sheet_Link_1134468762" hidden="1">ME_31_D</definedName>
    <definedName name="Google_Sheet_Link_1134954737_174419560" hidden="1">ME_51_E</definedName>
    <definedName name="Google_Sheet_Link_1135270822" hidden="1">RANGE68F</definedName>
    <definedName name="Google_Sheet_Link_1136228271_174419560" hidden="1">ME_17_D</definedName>
    <definedName name="Google_Sheet_Link_1137405938_174419560" hidden="1">ME_42_D</definedName>
    <definedName name="Google_Sheet_Link_1139507729_174419560" hidden="1">ME_7_E</definedName>
    <definedName name="Google_Sheet_Link_1140356820" hidden="1">ME_89_G</definedName>
    <definedName name="Google_Sheet_Link_1143618552_1293901380" hidden="1">RANGE28F</definedName>
    <definedName name="Google_Sheet_Link_1145568326" hidden="1">RANGE30C</definedName>
    <definedName name="Google_Sheet_Link_1145644789_174419560" hidden="1">ME_79_E</definedName>
    <definedName name="Google_Sheet_Link_1147735026_1293901380" hidden="1">RANGE50C</definedName>
    <definedName name="Google_Sheet_Link_1149843085_174419560" hidden="1">ME_65_D</definedName>
    <definedName name="Google_Sheet_Link_1150084992" hidden="1">ME_60_G</definedName>
    <definedName name="Google_Sheet_Link_1150932798" hidden="1">RANGE5F</definedName>
    <definedName name="Google_Sheet_Link_1150960826_174419560" hidden="1">ME_13_E</definedName>
    <definedName name="Google_Sheet_Link_1151059554" hidden="1">ME_40_G</definedName>
    <definedName name="Google_Sheet_Link_1151612320" hidden="1">ME_92_E</definedName>
    <definedName name="Google_Sheet_Link_1152146481" hidden="1">ME_31_G</definedName>
    <definedName name="Google_Sheet_Link_1154292120_1293901380" hidden="1">RANGE35F</definedName>
    <definedName name="Google_Sheet_Link_1155409469" hidden="1">RANGE54C</definedName>
    <definedName name="Google_Sheet_Link_1162574056_174419560" hidden="1">ME_107_E</definedName>
    <definedName name="Google_Sheet_Link_1164788766" hidden="1">RANGE23F</definedName>
    <definedName name="Google_Sheet_Link_116521667" hidden="1">RANGE2F</definedName>
    <definedName name="Google_Sheet_Link_1167518997_1293901380" hidden="1">RANGE7C</definedName>
    <definedName name="Google_Sheet_Link_1167814320" hidden="1">RANGE19C</definedName>
    <definedName name="Google_Sheet_Link_1169308224_174419560" hidden="1">ME_92_G</definedName>
    <definedName name="Google_Sheet_Link_1172230088_1293901380" hidden="1">RANGE58C</definedName>
    <definedName name="Google_Sheet_Link_1175013783" hidden="1">COMB_6_D</definedName>
    <definedName name="Google_Sheet_Link_117797372" hidden="1">ME_133_G</definedName>
    <definedName name="Google_Sheet_Link_1179930412_174419560" hidden="1">ME_80_G</definedName>
    <definedName name="Google_Sheet_Link_1180289856" hidden="1">RANGE61C</definedName>
    <definedName name="Google_Sheet_Link_1180486909_1293901380" hidden="1">RANGE67F</definedName>
    <definedName name="Google_Sheet_Link_1181221860_174419560" hidden="1">ME_11_G</definedName>
    <definedName name="Google_Sheet_Link_1181919696_174419560" hidden="1">ME_68_D</definedName>
    <definedName name="Google_Sheet_Link_1183503879_1293901380" hidden="1">RANGE48F</definedName>
    <definedName name="Google_Sheet_Link_1185665338" hidden="1">ME_32_D</definedName>
    <definedName name="Google_Sheet_Link_1186137088" hidden="1">RANGE45C</definedName>
    <definedName name="Google_Sheet_Link_1187244398_174419560" hidden="1">ME_105_E</definedName>
    <definedName name="Google_Sheet_Link_1187251478_174419560" hidden="1">ME_147_D</definedName>
    <definedName name="Google_Sheet_Link_1189344204_174419560" hidden="1">ME_132_D</definedName>
    <definedName name="Google_Sheet_Link_1190848630" hidden="1">ME_107_E</definedName>
    <definedName name="Google_Sheet_Link_1192771848" hidden="1">ME_93_D</definedName>
    <definedName name="Google_Sheet_Link_1199743063_1293901380" hidden="1">RANGE24F</definedName>
    <definedName name="Google_Sheet_Link_1203002551" hidden="1">RANGE51C</definedName>
    <definedName name="Google_Sheet_Link_1203931145" hidden="1">ME_74_D</definedName>
    <definedName name="Google_Sheet_Link_1206820335" hidden="1">RANGE33F</definedName>
    <definedName name="Google_Sheet_Link_1209238390" hidden="1">ME_146_G</definedName>
    <definedName name="Google_Sheet_Link_1213707819" hidden="1">ME_137_D</definedName>
    <definedName name="Google_Sheet_Link_1214172533" hidden="1">RANGE31F</definedName>
    <definedName name="Google_Sheet_Link_1214602385_174419560" hidden="1">ME_39_E</definedName>
    <definedName name="Google_Sheet_Link_1219287236" hidden="1">ME_11_E</definedName>
    <definedName name="Google_Sheet_Link_1219569912" hidden="1">ME_104_D</definedName>
    <definedName name="Google_Sheet_Link_1220779063" hidden="1">ME_1_G</definedName>
    <definedName name="Google_Sheet_Link_1223983854_174419560" hidden="1">ME_59_D</definedName>
    <definedName name="Google_Sheet_Link_1224461698" hidden="1">ME_29_D</definedName>
    <definedName name="Google_Sheet_Link_1225596917" hidden="1">COMB_9_G</definedName>
    <definedName name="Google_Sheet_Link_1228162525_174419560" hidden="1">ME_38_E</definedName>
    <definedName name="Google_Sheet_Link_1230534806_174419560" hidden="1">ME_25_E</definedName>
    <definedName name="Google_Sheet_Link_1230661938_1293901380" hidden="1">RANGE17C</definedName>
    <definedName name="Google_Sheet_Link_1231741069_174419560" hidden="1">ME_72_G</definedName>
    <definedName name="Google_Sheet_Link_1234928623_174419560" hidden="1">ME_55_G</definedName>
    <definedName name="Google_Sheet_Link_1239733388" hidden="1">ME_101_D</definedName>
    <definedName name="Google_Sheet_Link_1241398251" hidden="1">RANGE74C</definedName>
    <definedName name="Google_Sheet_Link_1241869574" hidden="1">RANGE27F</definedName>
    <definedName name="Google_Sheet_Link_1242518015_174419560" hidden="1">ME_90_G</definedName>
    <definedName name="Google_Sheet_Link_1244814404" hidden="1">RANGE60F</definedName>
    <definedName name="Google_Sheet_Link_1247609652_1293901380" hidden="1">RANGE71F</definedName>
    <definedName name="Google_Sheet_Link_1251951093" hidden="1">ME_144_G</definedName>
    <definedName name="Google_Sheet_Link_1252549656_174419560" hidden="1">ME_102_D</definedName>
    <definedName name="Google_Sheet_Link_1254412709_174419560" hidden="1">ME_78_G</definedName>
    <definedName name="Google_Sheet_Link_1254780129_1293901380" hidden="1">RANGE14F</definedName>
    <definedName name="Google_Sheet_Link_1254826636" hidden="1">ME_118_G</definedName>
    <definedName name="Google_Sheet_Link_1257323737_174419560" hidden="1">ME_96_G</definedName>
    <definedName name="Google_Sheet_Link_1259137552" hidden="1">ME_40_E</definedName>
    <definedName name="Google_Sheet_Link_1259931457_1293901380" hidden="1">RANGE44C</definedName>
    <definedName name="Google_Sheet_Link_126195328" hidden="1">COMB_10_G</definedName>
    <definedName name="Google_Sheet_Link_1263839933_174419560" hidden="1">ME_84_E</definedName>
    <definedName name="Google_Sheet_Link_1264077165" hidden="1">ME_122_D</definedName>
    <definedName name="Google_Sheet_Link_1265548969_174419560" hidden="1">ME_141_G</definedName>
    <definedName name="Google_Sheet_Link_1266432901" hidden="1">RANGE69C</definedName>
    <definedName name="Google_Sheet_Link_1267178497" hidden="1">ME_87_D</definedName>
    <definedName name="Google_Sheet_Link_1267949134" hidden="1">ME_55_E</definedName>
    <definedName name="Google_Sheet_Link_1268291263_174419560" hidden="1">ME_35_D</definedName>
    <definedName name="Google_Sheet_Link_1270443805_174419560" hidden="1">ME_103_D</definedName>
    <definedName name="Google_Sheet_Link_1270748025_174419560" hidden="1">ME_115_G</definedName>
    <definedName name="Google_Sheet_Link_1272800324" hidden="1">ME_96_G</definedName>
    <definedName name="Google_Sheet_Link_1274793237" hidden="1">RANGE68C</definedName>
    <definedName name="Google_Sheet_Link_1280295153_1293901380" hidden="1">RANGE79F</definedName>
    <definedName name="Google_Sheet_Link_1280529718_1293901380" hidden="1">RANGE70F</definedName>
    <definedName name="Google_Sheet_Link_1283585080_174419560" hidden="1">ME_18_G</definedName>
    <definedName name="Google_Sheet_Link_1287086610" hidden="1">RANGE15C</definedName>
    <definedName name="Google_Sheet_Link_1288400970_1293901380" hidden="1">RANGE76C</definedName>
    <definedName name="Google_Sheet_Link_1288916677_174419560" hidden="1">ME_60_G</definedName>
    <definedName name="Google_Sheet_Link_1292912128_174419560" hidden="1">ME_22_G</definedName>
    <definedName name="Google_Sheet_Link_1293715845_174419560" hidden="1">ME_95_G</definedName>
    <definedName name="Google_Sheet_Link_1294325891" hidden="1">ME_109_G</definedName>
    <definedName name="Google_Sheet_Link_1297457406" hidden="1">RANGE28C</definedName>
    <definedName name="Google_Sheet_Link_1297459444" hidden="1">ME_43_G</definedName>
    <definedName name="Google_Sheet_Link_1299048209_174419560" hidden="1">ME_89_D</definedName>
    <definedName name="Google_Sheet_Link_1299061591_1293901380" hidden="1">RANGE19C</definedName>
    <definedName name="Google_Sheet_Link_130106791_174419560" hidden="1">ME_72_E</definedName>
    <definedName name="Google_Sheet_Link_1301135259_174419560" hidden="1">ME_147_G</definedName>
    <definedName name="Google_Sheet_Link_1301649425" hidden="1">ME_123_G</definedName>
    <definedName name="Google_Sheet_Link_1302436210" hidden="1">ME_14_E</definedName>
    <definedName name="Google_Sheet_Link_1305290093_174419560" hidden="1">ME_74_D</definedName>
    <definedName name="Google_Sheet_Link_1306921583_174419560" hidden="1">ME_56_G</definedName>
    <definedName name="Google_Sheet_Link_1307622565" hidden="1">ME_12_G</definedName>
    <definedName name="Google_Sheet_Link_1309569362_174419560" hidden="1">ME_144_D</definedName>
    <definedName name="Google_Sheet_Link_1311374824" hidden="1">ME_68_G</definedName>
    <definedName name="Google_Sheet_Link_1312172600_174419560" hidden="1">ME_18_D</definedName>
    <definedName name="Google_Sheet_Link_1313703451_174419560" hidden="1">ME_32_E</definedName>
    <definedName name="Google_Sheet_Link_1313965393" hidden="1">ME_45_G</definedName>
    <definedName name="Google_Sheet_Link_1314020632" hidden="1">ME_138_D</definedName>
    <definedName name="Google_Sheet_Link_1314187581_174419560" hidden="1">ME_116_G</definedName>
    <definedName name="Google_Sheet_Link_131676870_174419560" hidden="1">ME_111_D</definedName>
    <definedName name="Google_Sheet_Link_1317956120" hidden="1">ME_106_G</definedName>
    <definedName name="Google_Sheet_Link_1322525088_174419560" hidden="1">ME_134_G</definedName>
    <definedName name="Google_Sheet_Link_1322616226_174419560" hidden="1">ME_136_D</definedName>
    <definedName name="Google_Sheet_Link_1325699046" hidden="1">RANGE22F</definedName>
    <definedName name="Google_Sheet_Link_1326613360" hidden="1">RANGE42C</definedName>
    <definedName name="Google_Sheet_Link_1329047965_174419560" hidden="1">ME_118_D</definedName>
    <definedName name="Google_Sheet_Link_1329289975" hidden="1">ME_122_G</definedName>
    <definedName name="Google_Sheet_Link_1330518476" hidden="1">ME_62_G</definedName>
    <definedName name="Google_Sheet_Link_1332538200" hidden="1">COMB_7_D</definedName>
    <definedName name="Google_Sheet_Link_1333946470" hidden="1">ME_145_E</definedName>
    <definedName name="Google_Sheet_Link_1335405906_1293901380" hidden="1">RANGE83F</definedName>
    <definedName name="Google_Sheet_Link_1336172174_174419560" hidden="1">ME_66_E</definedName>
    <definedName name="Google_Sheet_Link_1339932849" hidden="1">ME_127_E</definedName>
    <definedName name="Google_Sheet_Link_1340556411" hidden="1">ME_11_D</definedName>
    <definedName name="Google_Sheet_Link_1340927314_174419560" hidden="1">ME_31_D</definedName>
    <definedName name="Google_Sheet_Link_1341176671_1293901380" hidden="1">RANGE17F</definedName>
    <definedName name="Google_Sheet_Link_134212978" hidden="1">ME_95_G</definedName>
    <definedName name="Google_Sheet_Link_1345468830" hidden="1">ME_51_D</definedName>
    <definedName name="Google_Sheet_Link_1345565354" hidden="1">ME_111_D</definedName>
    <definedName name="Google_Sheet_Link_1345728882" hidden="1">ME_97_G</definedName>
    <definedName name="Google_Sheet_Link_1348430885" hidden="1">ME_119_G</definedName>
    <definedName name="Google_Sheet_Link_1349099319" hidden="1">ME_38_G</definedName>
    <definedName name="Google_Sheet_Link_1350164432_174419560" hidden="1">ME_125_E</definedName>
    <definedName name="Google_Sheet_Link_135054409" hidden="1">ME_119_D</definedName>
    <definedName name="Google_Sheet_Link_1352973706_174419560" hidden="1">ME_137_E</definedName>
    <definedName name="Google_Sheet_Link_1353352563_174419560" hidden="1">ME_81_D</definedName>
    <definedName name="Google_Sheet_Link_1355434832" hidden="1">ME_4_G</definedName>
    <definedName name="Google_Sheet_Link_1357637276_174419560" hidden="1">ME_139_G</definedName>
    <definedName name="Google_Sheet_Link_1358215099" hidden="1">ME_128_D</definedName>
    <definedName name="Google_Sheet_Link_1358970526_174419560" hidden="1">ME_70_G</definedName>
    <definedName name="Google_Sheet_Link_1359016043_174419560" hidden="1">ME_57_G</definedName>
    <definedName name="Google_Sheet_Link_1360800086_174419560" hidden="1">ME_34_D</definedName>
    <definedName name="Google_Sheet_Link_1362644053_174419560" hidden="1">ME_53_E</definedName>
    <definedName name="Google_Sheet_Link_1365460838_1293901380" hidden="1">RANGE47C</definedName>
    <definedName name="Google_Sheet_Link_1368876650" hidden="1">ME_9_G</definedName>
    <definedName name="Google_Sheet_Link_1370922463" hidden="1">RANGE47F</definedName>
    <definedName name="Google_Sheet_Link_1372496457_174419560" hidden="1">ME_55_E</definedName>
    <definedName name="Google_Sheet_Link_1372603748_1293901380" hidden="1">RANGE24C</definedName>
    <definedName name="Google_Sheet_Link_1375058008_174419560" hidden="1">ME_60_E</definedName>
    <definedName name="Google_Sheet_Link_1377060127" hidden="1">ME_35_G</definedName>
    <definedName name="Google_Sheet_Link_1378992159_174419560" hidden="1">ME_16_E</definedName>
    <definedName name="Google_Sheet_Link_1379568573_174419560" hidden="1">ME_27_D</definedName>
    <definedName name="Google_Sheet_Link_1382874997_174419560" hidden="1">ME_41_G</definedName>
    <definedName name="Google_Sheet_Link_1382981497_174419560" hidden="1">ME_122_E</definedName>
    <definedName name="Google_Sheet_Link_1387812639" hidden="1">RANGE56C</definedName>
    <definedName name="Google_Sheet_Link_1395463379_174419560" hidden="1">ME_110_E</definedName>
    <definedName name="Google_Sheet_Link_1396243140" hidden="1">RANGE6C</definedName>
    <definedName name="Google_Sheet_Link_1398086276_174419560" hidden="1">ME_32_D</definedName>
    <definedName name="Google_Sheet_Link_1398208832" hidden="1">ME_139_D</definedName>
    <definedName name="Google_Sheet_Link_1398390481_174419560" hidden="1">ME_21_D</definedName>
    <definedName name="Google_Sheet_Link_1399117849" hidden="1">ME_86_G</definedName>
    <definedName name="Google_Sheet_Link_1400495655_174419560" hidden="1">ME_37_E</definedName>
    <definedName name="Google_Sheet_Link_1402439237" hidden="1">ME_85_E</definedName>
    <definedName name="Google_Sheet_Link_1406222033" hidden="1">ME_50_D</definedName>
    <definedName name="Google_Sheet_Link_1406409920_174419560" hidden="1">ME_1_G</definedName>
    <definedName name="Google_Sheet_Link_1410487915" hidden="1">ME_124_E</definedName>
    <definedName name="Google_Sheet_Link_141065361" hidden="1">ME_72_G</definedName>
    <definedName name="Google_Sheet_Link_1412873023" hidden="1">ME_134_G</definedName>
    <definedName name="Google_Sheet_Link_1414247126_174419560" hidden="1">ME_55_D</definedName>
    <definedName name="Google_Sheet_Link_1418299543_174419560" hidden="1">ME_133_E</definedName>
    <definedName name="Google_Sheet_Link_1419284476_174419560" hidden="1">ME_119_G</definedName>
    <definedName name="Google_Sheet_Link_1421242446_1293901380" hidden="1">RANGE40F</definedName>
    <definedName name="Google_Sheet_Link_1421472586_1293901380" hidden="1">RANGE39C</definedName>
    <definedName name="Google_Sheet_Link_142569260" hidden="1">ME_27_G</definedName>
    <definedName name="Google_Sheet_Link_1425795484_174419560" hidden="1">NamedRange2</definedName>
    <definedName name="Google_Sheet_Link_1426783584_174419560" hidden="1">ME_6_E</definedName>
    <definedName name="Google_Sheet_Link_1427583218" hidden="1">RANGE75F</definedName>
    <definedName name="Google_Sheet_Link_1427911707" hidden="1">ME_44_E</definedName>
    <definedName name="Google_Sheet_Link_1427972616" hidden="1">COMB_8_D</definedName>
    <definedName name="Google_Sheet_Link_1428382411" hidden="1">ME_100_E</definedName>
    <definedName name="Google_Sheet_Link_1428510157" hidden="1">ME_64_G</definedName>
    <definedName name="Google_Sheet_Link_1431679489_174419560" hidden="1">ME_144_G</definedName>
    <definedName name="Google_Sheet_Link_1433426836_174419560" hidden="1">ME_145_D</definedName>
    <definedName name="Google_Sheet_Link_1433864795_174419560" hidden="1">ME_54_G</definedName>
    <definedName name="Google_Sheet_Link_1435213063_174419560" hidden="1">ME_98_D</definedName>
    <definedName name="Google_Sheet_Link_1436145172" hidden="1">ME_49_D</definedName>
    <definedName name="Google_Sheet_Link_1440234809" hidden="1">ME_47_G</definedName>
    <definedName name="Google_Sheet_Link_1448681887" hidden="1">RANGE89F</definedName>
    <definedName name="Google_Sheet_Link_1452096814_174419560" hidden="1">ME_64_G</definedName>
    <definedName name="Google_Sheet_Link_1452727090_174419560" hidden="1">ME_68_G</definedName>
    <definedName name="Google_Sheet_Link_1453675969" hidden="1">RANGE70F</definedName>
    <definedName name="Google_Sheet_Link_145425020_174419560" hidden="1">ME_23_D</definedName>
    <definedName name="Google_Sheet_Link_1454463542_174419560" hidden="1">ME_138_D</definedName>
    <definedName name="Google_Sheet_Link_1454712216" hidden="1">RANGE44C</definedName>
    <definedName name="Google_Sheet_Link_1455676070" hidden="1">RANGE84C</definedName>
    <definedName name="Google_Sheet_Link_145841626_174419560" hidden="1">ME_99_D</definedName>
    <definedName name="Google_Sheet_Link_1459380564_174419560" hidden="1">ME_14_G</definedName>
    <definedName name="Google_Sheet_Link_146212626" hidden="1">ME_98_E</definedName>
    <definedName name="Google_Sheet_Link_1462332024_174419560" hidden="1">ME_80_D</definedName>
    <definedName name="Google_Sheet_Link_1462367564" hidden="1">ME_38_D</definedName>
    <definedName name="Google_Sheet_Link_1463433819" hidden="1">ME_37_D</definedName>
    <definedName name="Google_Sheet_Link_1464669799_1293901380" hidden="1">RANGE3C</definedName>
    <definedName name="Google_Sheet_Link_1467434650_1293901380" hidden="1">RANGE85C</definedName>
    <definedName name="Google_Sheet_Link_1467886722_1293901380" hidden="1">RANGE12C</definedName>
    <definedName name="Google_Sheet_Link_1469399303" hidden="1">ME_30_E</definedName>
    <definedName name="Google_Sheet_Link_1469613339_174419560" hidden="1">ME_103_E</definedName>
    <definedName name="Google_Sheet_Link_1470093088" hidden="1">ME_7_E</definedName>
    <definedName name="Google_Sheet_Link_1473042079" hidden="1">ME_131_E</definedName>
    <definedName name="Google_Sheet_Link_1473711296" hidden="1">RANGE81F</definedName>
    <definedName name="Google_Sheet_Link_1474684802" hidden="1">ME_75_G</definedName>
    <definedName name="Google_Sheet_Link_1474765085_174419560" hidden="1">ME_20_G</definedName>
    <definedName name="Google_Sheet_Link_1475272992_174419560" hidden="1">ME_108_E</definedName>
    <definedName name="Google_Sheet_Link_1476985410" hidden="1">ME_76_E</definedName>
    <definedName name="Google_Sheet_Link_1481936326" hidden="1">ME_19_G</definedName>
    <definedName name="Google_Sheet_Link_1483540869_174419560" hidden="1">ME_77_D</definedName>
    <definedName name="Google_Sheet_Link_1485291548_174419560" hidden="1">ME_25_D</definedName>
    <definedName name="Google_Sheet_Link_1486284878" hidden="1">ME_71_E</definedName>
    <definedName name="Google_Sheet_Link_1486493780_174419560" hidden="1">ME_57_E</definedName>
    <definedName name="Google_Sheet_Link_1488794648" hidden="1">RANGE81C</definedName>
    <definedName name="Google_Sheet_Link_1489937797_174419560" hidden="1">ME_98_G</definedName>
    <definedName name="Google_Sheet_Link_1490731323" hidden="1">RANGE59F</definedName>
    <definedName name="Google_Sheet_Link_1492515228_1293901380" hidden="1">RANGE53F</definedName>
    <definedName name="Google_Sheet_Link_1495644194_1293901380" hidden="1">RANGE15C</definedName>
    <definedName name="Google_Sheet_Link_1495762478_1293901380" hidden="1">RANGE41C</definedName>
    <definedName name="Google_Sheet_Link_1496928364" hidden="1">ME_24_E</definedName>
    <definedName name="Google_Sheet_Link_1501029703_1293901380" hidden="1">RANGE62F</definedName>
    <definedName name="Google_Sheet_Link_1501362331" hidden="1">ME_30_G</definedName>
    <definedName name="Google_Sheet_Link_1502965981" hidden="1">ME_140_D</definedName>
    <definedName name="Google_Sheet_Link_1503021346" hidden="1">ME_121_G</definedName>
    <definedName name="Google_Sheet_Link_1503602699" hidden="1">RANGE53C</definedName>
    <definedName name="Google_Sheet_Link_1505087966_174419560" hidden="1">ME_137_G</definedName>
    <definedName name="Google_Sheet_Link_1507095079_174419560" hidden="1">ME_148_E</definedName>
    <definedName name="Google_Sheet_Link_1508011729_174419560" hidden="1">ME_117_D</definedName>
    <definedName name="Google_Sheet_Link_1509789743_174419560" hidden="1">ME_19_E</definedName>
    <definedName name="Google_Sheet_Link_1511115320_1293901380" hidden="1">RANGE67C</definedName>
    <definedName name="Google_Sheet_Link_151320567_1293901380" hidden="1">RANGE64C</definedName>
    <definedName name="Google_Sheet_Link_1513464307" hidden="1">RANGE8F</definedName>
    <definedName name="Google_Sheet_Link_1513692296" hidden="1">ME_53_E</definedName>
    <definedName name="Google_Sheet_Link_1513971229" hidden="1">RANGE56F</definedName>
    <definedName name="Google_Sheet_Link_1513979740" hidden="1">ME_75_D</definedName>
    <definedName name="Google_Sheet_Link_1517086359_174419560" hidden="1">ME_28_G</definedName>
    <definedName name="Google_Sheet_Link_1517484245_1293901380" hidden="1">RANGE46C</definedName>
    <definedName name="Google_Sheet_Link_1518044654_174419560" hidden="1">ME_24_G</definedName>
    <definedName name="Google_Sheet_Link_1521615564_174419560" hidden="1">ME_139_D</definedName>
    <definedName name="Google_Sheet_Link_152295752_174419560" hidden="1">ME_118_E</definedName>
    <definedName name="Google_Sheet_Link_1523252747" hidden="1">ME_81_E</definedName>
    <definedName name="Google_Sheet_Link_1523609995" hidden="1">ME_18_E</definedName>
    <definedName name="Google_Sheet_Link_152625497_174419560" hidden="1">ME_77_G</definedName>
    <definedName name="Google_Sheet_Link_1527723720" hidden="1">RANGE55C</definedName>
    <definedName name="Google_Sheet_Link_1531833889" hidden="1">ME_14_G</definedName>
    <definedName name="Google_Sheet_Link_1532996668" hidden="1">ME_103_E</definedName>
    <definedName name="Google_Sheet_Link_1537230049" hidden="1">RANGE1C</definedName>
    <definedName name="Google_Sheet_Link_1537456314_174419560" hidden="1">ME_86_D</definedName>
    <definedName name="Google_Sheet_Link_1541626183" hidden="1">RANGE67F</definedName>
    <definedName name="Google_Sheet_Link_1541725214" hidden="1">ME_79_D</definedName>
    <definedName name="Google_Sheet_Link_1542040019" hidden="1">ME_85_D</definedName>
    <definedName name="Google_Sheet_Link_1543344388" hidden="1">RANGE11C</definedName>
    <definedName name="Google_Sheet_Link_1544875220" hidden="1">RANGE52F</definedName>
    <definedName name="Google_Sheet_Link_1547704871_174419560" hidden="1">ME_46_D</definedName>
    <definedName name="Google_Sheet_Link_1549112107_1293901380" hidden="1">RANGE6F</definedName>
    <definedName name="Google_Sheet_Link_1549561180_1293901380" hidden="1">RANGE4C</definedName>
    <definedName name="Google_Sheet_Link_1551670911_1293901380" hidden="1">RANGE74F</definedName>
    <definedName name="Google_Sheet_Link_1553534069" hidden="1">RANGE79C</definedName>
    <definedName name="Google_Sheet_Link_1557370228" hidden="1">ME_16_G</definedName>
    <definedName name="Google_Sheet_Link_1557849707_1293901380" hidden="1">RANGE43C</definedName>
    <definedName name="Google_Sheet_Link_15625828" hidden="1">ME_131_D</definedName>
    <definedName name="Google_Sheet_Link_1563441030_174419560" hidden="1">ME_82_G</definedName>
    <definedName name="Google_Sheet_Link_1563621816" hidden="1">ME_110_D</definedName>
    <definedName name="Google_Sheet_Link_1564119054" hidden="1">RANGE17F</definedName>
    <definedName name="Google_Sheet_Link_1567881057_174419560" hidden="1">ME_137_D</definedName>
    <definedName name="Google_Sheet_Link_1570069705" hidden="1">ME_143_G</definedName>
    <definedName name="Google_Sheet_Link_1571657018_174419560" hidden="1">ME_75_E</definedName>
    <definedName name="Google_Sheet_Link_1572660789_174419560" hidden="1">ME_115_E</definedName>
    <definedName name="Google_Sheet_Link_1573805362_174419560" hidden="1">ME_91_E</definedName>
    <definedName name="Google_Sheet_Link_1575845930_174419560" hidden="1">ME_23_G</definedName>
    <definedName name="Google_Sheet_Link_1578866471_174419560" hidden="1">ME_102_G</definedName>
    <definedName name="Google_Sheet_Link_1580240479" hidden="1">ME_133_E</definedName>
    <definedName name="Google_Sheet_Link_1580730148" hidden="1">ME_32_G</definedName>
    <definedName name="Google_Sheet_Link_1581217951_174419560" hidden="1">ME_25_G</definedName>
    <definedName name="Google_Sheet_Link_1583560688" hidden="1">ME_20_E</definedName>
    <definedName name="Google_Sheet_Link_15850940_1293901380" hidden="1">RANGE62C</definedName>
    <definedName name="Google_Sheet_Link_158689426" hidden="1">ME_76_D</definedName>
    <definedName name="Google_Sheet_Link_1587431626_1293901380" hidden="1">RANGE31C</definedName>
    <definedName name="Google_Sheet_Link_1588075787_1293901380" hidden="1">RANGE23C</definedName>
    <definedName name="Google_Sheet_Link_1588177798_174419560" hidden="1">ME_121_D</definedName>
    <definedName name="Google_Sheet_Link_1589445561_174419560" hidden="1">ME_112_E</definedName>
    <definedName name="Google_Sheet_Link_158957560" hidden="1">ME_73_D</definedName>
    <definedName name="Google_Sheet_Link_1591199779_1293901380" hidden="1">RANGE12F</definedName>
    <definedName name="Google_Sheet_Link_1592341967_174419560" hidden="1">ME_91_D</definedName>
    <definedName name="Google_Sheet_Link_1592757640_174419560" hidden="1">ME_12_E</definedName>
    <definedName name="Google_Sheet_Link_1593690123" hidden="1">RANGE46F</definedName>
    <definedName name="Google_Sheet_Link_1595132756_1293901380" hidden="1">RANGE63F</definedName>
    <definedName name="Google_Sheet_Link_1597958756" hidden="1">RANGE72F</definedName>
    <definedName name="Google_Sheet_Link_1598692181_174419560" hidden="1">ME_38_G</definedName>
    <definedName name="Google_Sheet_Link_1599368785" hidden="1">ME_26_D</definedName>
    <definedName name="Google_Sheet_Link_160157892" hidden="1">ME_72_E</definedName>
    <definedName name="Google_Sheet_Link_1604275256" hidden="1">ME_44_G</definedName>
    <definedName name="Google_Sheet_Link_1604704420_174419560" hidden="1">ME_108_D</definedName>
    <definedName name="Google_Sheet_Link_1606036858" hidden="1">ME_146_D</definedName>
    <definedName name="Google_Sheet_Link_1608412311" hidden="1">ME_144_D</definedName>
    <definedName name="Google_Sheet_Link_1608942226_174419560" hidden="1">ME_39_D</definedName>
    <definedName name="Google_Sheet_Link_1609239538_174419560" hidden="1">ME_94_G</definedName>
    <definedName name="Google_Sheet_Link_1609800350_1293901380" hidden="1">RANGE59F</definedName>
    <definedName name="Google_Sheet_Link_161062812_174419560" hidden="1">ME_14_D</definedName>
    <definedName name="Google_Sheet_Link_1613756652" hidden="1">ME_15_D</definedName>
    <definedName name="Google_Sheet_Link_1615899499_1293901380" hidden="1">RANGE29F</definedName>
    <definedName name="Google_Sheet_Link_16183246" hidden="1">ME_130_E</definedName>
    <definedName name="Google_Sheet_Link_1618585316" hidden="1">ME_149_G</definedName>
    <definedName name="Google_Sheet_Link_1622327114" hidden="1">ME_125_E</definedName>
    <definedName name="Google_Sheet_Link_1624584332" hidden="1">ME_117_D</definedName>
    <definedName name="Google_Sheet_Link_1625661244" hidden="1">COMB_7_G</definedName>
    <definedName name="Google_Sheet_Link_1626760854_174419560" hidden="1">ME_75_G</definedName>
    <definedName name="Google_Sheet_Link_1632660568_1293901380" hidden="1">RANGE4F</definedName>
    <definedName name="Google_Sheet_Link_1634899210_174419560" hidden="1">ME_118_G</definedName>
    <definedName name="Google_Sheet_Link_1635448285" hidden="1">ME_35_D</definedName>
    <definedName name="Google_Sheet_Link_1638164627_1293901380" hidden="1">RANGE84C</definedName>
    <definedName name="Google_Sheet_Link_1638629990_174419560" hidden="1">ME_130_G</definedName>
    <definedName name="Google_Sheet_Link_1638791858" hidden="1">COMB_10_E</definedName>
    <definedName name="Google_Sheet_Link_1639691532" hidden="1">ME_136_E</definedName>
    <definedName name="Google_Sheet_Link_1640218074_174419560" hidden="1">ME_65_G</definedName>
    <definedName name="Google_Sheet_Link_1640771636" hidden="1">RANGE2C</definedName>
    <definedName name="Google_Sheet_Link_164309477_174419560" hidden="1">ME_107_D</definedName>
    <definedName name="Google_Sheet_Link_1645445483" hidden="1">ME_33_D</definedName>
    <definedName name="Google_Sheet_Link_164701235_174419560" hidden="1">ME_49_E</definedName>
    <definedName name="Google_Sheet_Link_1647050554" hidden="1">ME_118_D</definedName>
    <definedName name="Google_Sheet_Link_1647517851_1293901380" hidden="1">RANGE85F</definedName>
    <definedName name="Google_Sheet_Link_1648321424" hidden="1">ME_42_G</definedName>
    <definedName name="Google_Sheet_Link_164882136" hidden="1">ME_87_E</definedName>
    <definedName name="Google_Sheet_Link_1649531920_174419560" hidden="1">ME_48_G</definedName>
    <definedName name="Google_Sheet_Link_1650880537_174419560" hidden="1">ME_83_E</definedName>
    <definedName name="Google_Sheet_Link_1657613586" hidden="1">ME_139_G</definedName>
    <definedName name="Google_Sheet_Link_1660284256_1293901380" hidden="1">RANGE6C</definedName>
    <definedName name="Google_Sheet_Link_1665223864_1293901380" hidden="1">RANGE49C</definedName>
    <definedName name="Google_Sheet_Link_1667769664_1293901380" hidden="1">RANGE66F</definedName>
    <definedName name="Google_Sheet_Link_1667937585" hidden="1">ME_66_D</definedName>
    <definedName name="Google_Sheet_Link_1670771334" hidden="1">ME_24_D</definedName>
    <definedName name="Google_Sheet_Link_1671359750" hidden="1">ME_26_G</definedName>
    <definedName name="Google_Sheet_Link_1671863312_174419560" hidden="1">ME_149_E</definedName>
    <definedName name="Google_Sheet_Link_1672633606_174419560" hidden="1">ME_12_D</definedName>
    <definedName name="Google_Sheet_Link_1673422842" hidden="1">ME_3_E</definedName>
    <definedName name="Google_Sheet_Link_1674772002" hidden="1">ME_87_G</definedName>
    <definedName name="Google_Sheet_Link_1675212315_1293901380" hidden="1">RANGE38F</definedName>
    <definedName name="Google_Sheet_Link_1675321278_174419560" hidden="1">ME_33_G</definedName>
    <definedName name="Google_Sheet_Link_1676645188_1293901380" hidden="1">RANGE52F</definedName>
    <definedName name="Google_Sheet_Link_1677665686" hidden="1">ME_37_E</definedName>
    <definedName name="Google_Sheet_Link_1678396845" hidden="1">COMB_5_E</definedName>
    <definedName name="Google_Sheet_Link_1679224806_174419560" hidden="1">ME_130_E</definedName>
    <definedName name="Google_Sheet_Link_1684989866_1293901380" hidden="1">RANGE1F</definedName>
    <definedName name="Google_Sheet_Link_1684994791" hidden="1">ME_129_E</definedName>
    <definedName name="Google_Sheet_Link_1688480734" hidden="1">ME_64_E</definedName>
    <definedName name="Google_Sheet_Link_1688798889" hidden="1">ME_138_E</definedName>
    <definedName name="Google_Sheet_Link_168891015" hidden="1">COMB_5_D</definedName>
    <definedName name="Google_Sheet_Link_168914492_1293901380" hidden="1">RANGE30F</definedName>
    <definedName name="Google_Sheet_Link_1689343333_174419560" hidden="1">ME_111_E</definedName>
    <definedName name="Google_Sheet_Link_16899449" hidden="1">ME_141_E</definedName>
    <definedName name="Google_Sheet_Link_1690249235" hidden="1">ME_132_D</definedName>
    <definedName name="Google_Sheet_Link_1692228029" hidden="1">ME_6_G</definedName>
    <definedName name="Google_Sheet_Link_1693599683_174419560" hidden="1">ME_142_E</definedName>
    <definedName name="Google_Sheet_Link_1694349916_174419560" hidden="1">ME_9_G</definedName>
    <definedName name="Google_Sheet_Link_1694946326" hidden="1">ME_144_E</definedName>
    <definedName name="Google_Sheet_Link_169499664" hidden="1">ME_32_E</definedName>
    <definedName name="Google_Sheet_Link_1695644350" hidden="1">ME_24_G</definedName>
    <definedName name="Google_Sheet_Link_1696128226" hidden="1">RANGE66F</definedName>
    <definedName name="Google_Sheet_Link_1696299268_174419560" hidden="1">ME_83_G</definedName>
    <definedName name="Google_Sheet_Link_1696796777" hidden="1">RANGE71C</definedName>
    <definedName name="Google_Sheet_Link_1697834440" hidden="1">ME_120_G</definedName>
    <definedName name="Google_Sheet_Link_1701014244_174419560" hidden="1">ME_9_E</definedName>
    <definedName name="Google_Sheet_Link_1701206332_174419560" hidden="1">ME_79_D</definedName>
    <definedName name="Google_Sheet_Link_1703100032" hidden="1">RANGE13F</definedName>
    <definedName name="Google_Sheet_Link_1704430853" hidden="1">RANGE26C</definedName>
    <definedName name="Google_Sheet_Link_1705747154_174419560" hidden="1">ME_103_G</definedName>
    <definedName name="Google_Sheet_Link_1706150329" hidden="1">ME_28_E</definedName>
    <definedName name="Google_Sheet_Link_1706328119" hidden="1">ME_130_D</definedName>
    <definedName name="Google_Sheet_Link_1708992745_174419560" hidden="1">ME_30_D</definedName>
    <definedName name="Google_Sheet_Link_1713915865_1293901380" hidden="1">RANGE73F</definedName>
    <definedName name="Google_Sheet_Link_1714428511_1293901380" hidden="1">RANGE64F</definedName>
    <definedName name="Google_Sheet_Link_1715050237_174419560" hidden="1">ME_93_G</definedName>
    <definedName name="Google_Sheet_Link_1717394330_174419560" hidden="1">ME_119_D</definedName>
    <definedName name="Google_Sheet_Link_1717840636" hidden="1">ME_137_E</definedName>
    <definedName name="Google_Sheet_Link_1717857122" hidden="1">ME_99_E</definedName>
    <definedName name="Google_Sheet_Link_1719745764_174419560" hidden="1">ME_132_G</definedName>
    <definedName name="Google_Sheet_Link_1722508875" hidden="1">ME_67_D</definedName>
    <definedName name="Google_Sheet_Link_1725060278" hidden="1">ME_63_D</definedName>
    <definedName name="Google_Sheet_Link_1725191378" hidden="1">RANGE88C</definedName>
    <definedName name="Google_Sheet_Link_1726636470_174419560" hidden="1">ME_110_G</definedName>
    <definedName name="Google_Sheet_Link_1726654999_1293901380" hidden="1">RANGE16C</definedName>
    <definedName name="Google_Sheet_Link_1727040449" hidden="1">ME_53_D</definedName>
    <definedName name="Google_Sheet_Link_1727344518_174419560" hidden="1">ME_53_G</definedName>
    <definedName name="Google_Sheet_Link_172759820" hidden="1">RANGE61F</definedName>
    <definedName name="Google_Sheet_Link_1728174623_1293901380" hidden="1">RANGE32C</definedName>
    <definedName name="Google_Sheet_Link_173146203" hidden="1">RANGE66C</definedName>
    <definedName name="Google_Sheet_Link_1731561863_174419560" hidden="1">ME_102_E</definedName>
    <definedName name="Google_Sheet_Link_1734036083" hidden="1">ME_140_E</definedName>
    <definedName name="Google_Sheet_Link_1735498674" hidden="1">ME_5_G</definedName>
    <definedName name="Google_Sheet_Link_1735591075_1293901380" hidden="1">RANGE88C</definedName>
    <definedName name="Google_Sheet_Link_1735919181" hidden="1">ME_93_G</definedName>
    <definedName name="Google_Sheet_Link_1740250437" hidden="1">ME_128_E</definedName>
    <definedName name="Google_Sheet_Link_1741163204_1293901380" hidden="1">RANGE88F</definedName>
    <definedName name="Google_Sheet_Link_1742548873_1293901380" hidden="1">RANGE83C</definedName>
    <definedName name="Google_Sheet_Link_1745072400" hidden="1">ME_97_E</definedName>
    <definedName name="Google_Sheet_Link_1747698073_174419560" hidden="1">ME_7_D</definedName>
    <definedName name="Google_Sheet_Link_1750299463_1293901380" hidden="1">RANGE42C</definedName>
    <definedName name="Google_Sheet_Link_1751839207_1293901380" hidden="1">RANGE68C</definedName>
    <definedName name="Google_Sheet_Link_1752724408" hidden="1">ME_127_D</definedName>
    <definedName name="Google_Sheet_Link_1754736758_1293901380" hidden="1">RANGE9C</definedName>
    <definedName name="Google_Sheet_Link_1756418286_1293901380" hidden="1">RANGE26C</definedName>
    <definedName name="Google_Sheet_Link_1757489559_174419560" hidden="1">ME_41_E</definedName>
    <definedName name="Google_Sheet_Link_175965548" hidden="1">ME_33_E</definedName>
    <definedName name="Google_Sheet_Link_1762775826_1293901380" hidden="1">RANGE3F</definedName>
    <definedName name="Google_Sheet_Link_1765506256" hidden="1">ME_61_E</definedName>
    <definedName name="Google_Sheet_Link_1766547605_174419560" hidden="1">ME_132_E</definedName>
    <definedName name="Google_Sheet_Link_1766602589" hidden="1">ME_112_G</definedName>
    <definedName name="Google_Sheet_Link_1766896829_174419560" hidden="1">ME_86_E</definedName>
    <definedName name="Google_Sheet_Link_1768724344_174419560" hidden="1">ME_111_G</definedName>
    <definedName name="Google_Sheet_Link_1769858180" hidden="1">ME_105_E</definedName>
    <definedName name="Google_Sheet_Link_1774595640" hidden="1">ME_22_E</definedName>
    <definedName name="Google_Sheet_Link_1775744828" hidden="1">ME_102_D</definedName>
    <definedName name="Google_Sheet_Link_1779064948_174419560" hidden="1">ME_45_D</definedName>
    <definedName name="Google_Sheet_Link_1782272950" hidden="1">COMB_1_E</definedName>
    <definedName name="Google_Sheet_Link_1782925632_174419560" hidden="1">ME_45_E</definedName>
    <definedName name="Google_Sheet_Link_1783220121" hidden="1">ME_112_E</definedName>
    <definedName name="Google_Sheet_Link_1783430714_174419560" hidden="1">ME_54_E</definedName>
    <definedName name="Google_Sheet_Link_1785050477" hidden="1">RANGE31C</definedName>
    <definedName name="Google_Sheet_Link_1787573127" hidden="1">RANGE48C</definedName>
    <definedName name="Google_Sheet_Link_1788526228_174419560" hidden="1">ME_88_E</definedName>
    <definedName name="Google_Sheet_Link_1791330752" hidden="1">ME_12_D</definedName>
    <definedName name="Google_Sheet_Link_1791702008_174419560" hidden="1">ME_3_E</definedName>
    <definedName name="Google_Sheet_Link_1792124106_1293901380" hidden="1">RANGE22C</definedName>
    <definedName name="Google_Sheet_Link_1792531210" hidden="1">ME_70_E</definedName>
    <definedName name="Google_Sheet_Link_1793138252_174419560" hidden="1">ME_43_E</definedName>
    <definedName name="Google_Sheet_Link_1796022070_174419560" hidden="1">ME_66_D</definedName>
    <definedName name="Google_Sheet_Link_180216401_1293901380" hidden="1">RANGE21C</definedName>
    <definedName name="Google_Sheet_Link_1802705424" hidden="1">RANGE72C</definedName>
    <definedName name="Google_Sheet_Link_1812266223_174419560" hidden="1">ME_63_E</definedName>
    <definedName name="Google_Sheet_Link_1812902878_174419560" hidden="1">ME_17_E</definedName>
    <definedName name="Google_Sheet_Link_1813820360" hidden="1">ME_27_E</definedName>
    <definedName name="Google_Sheet_Link_1816612198_174419560" hidden="1">ME_56_E</definedName>
    <definedName name="Google_Sheet_Link_1817684192" hidden="1">ME_72_D</definedName>
    <definedName name="Google_Sheet_Link_1818143948" hidden="1">RANGE58F</definedName>
    <definedName name="Google_Sheet_Link_1819938396_174419560" hidden="1">ME_69_E</definedName>
    <definedName name="Google_Sheet_Link_1824660847" hidden="1">ME_28_G</definedName>
    <definedName name="Google_Sheet_Link_1827252648" hidden="1">ME_68_E</definedName>
    <definedName name="Google_Sheet_Link_1827725414_174419560" hidden="1">ME_21_G</definedName>
    <definedName name="Google_Sheet_Link_1830873884_174419560" hidden="1">ME_97_E</definedName>
    <definedName name="Google_Sheet_Link_1831093378_174419560" hidden="1">ME_71_G</definedName>
    <definedName name="Google_Sheet_Link_1831523122" hidden="1">ME_145_G</definedName>
    <definedName name="Google_Sheet_Link_1833285205_174419560" hidden="1">ME_2_G</definedName>
    <definedName name="Google_Sheet_Link_1833526345" hidden="1">RANGE50F</definedName>
    <definedName name="Google_Sheet_Link_1836104426" hidden="1">ME_105_D</definedName>
    <definedName name="Google_Sheet_Link_1838542101_174419560" hidden="1">ME_20_E</definedName>
    <definedName name="Google_Sheet_Link_1839051162" hidden="1">ME_20_G</definedName>
    <definedName name="Google_Sheet_Link_18396666" hidden="1">ME_83_D</definedName>
    <definedName name="Google_Sheet_Link_1842000467_174419560" hidden="1">ME_148_G</definedName>
    <definedName name="Google_Sheet_Link_1842347522" hidden="1">ME_86_D</definedName>
    <definedName name="Google_Sheet_Link_1843676763_174419560" hidden="1">ME_36_D</definedName>
    <definedName name="Google_Sheet_Link_1844358112_174419560" hidden="1">ME_61_D</definedName>
    <definedName name="Google_Sheet_Link_1844640012" hidden="1">ME_118_E</definedName>
    <definedName name="Google_Sheet_Link_1845506781_174419560" hidden="1">ME_97_D</definedName>
    <definedName name="Google_Sheet_Link_184716730" hidden="1">ME_6_E</definedName>
    <definedName name="Google_Sheet_Link_1849423169_174419560" hidden="1">ME_83_D</definedName>
    <definedName name="Google_Sheet_Link_1850190079" hidden="1">COMB_5_G</definedName>
    <definedName name="Google_Sheet_Link_1852400555" hidden="1">ME_84_D</definedName>
    <definedName name="Google_Sheet_Link_1853569777" hidden="1">ME_77_G</definedName>
    <definedName name="Google_Sheet_Link_185463401" hidden="1">ME_71_D</definedName>
    <definedName name="Google_Sheet_Link_1855324236" hidden="1">RANGE24F</definedName>
    <definedName name="Google_Sheet_Link_1855565015" hidden="1">ME_74_G</definedName>
    <definedName name="Google_Sheet_Link_1857256896" hidden="1">ME_110_E</definedName>
    <definedName name="Google_Sheet_Link_1857630218" hidden="1">COMB_4_D</definedName>
    <definedName name="Google_Sheet_Link_1859109772_174419560" hidden="1">ME_76_G</definedName>
    <definedName name="Google_Sheet_Link_1863074573" hidden="1">RANGE19F</definedName>
    <definedName name="Google_Sheet_Link_186339961" hidden="1">RANGE36F</definedName>
    <definedName name="Google_Sheet_Link_1865977445" hidden="1">ME_46_D</definedName>
    <definedName name="Google_Sheet_Link_1866063166" hidden="1">ME_89_D</definedName>
    <definedName name="Google_Sheet_Link_1867693092_174419560" hidden="1">ME_136_G</definedName>
    <definedName name="Google_Sheet_Link_1873058648" hidden="1">RANGE38C</definedName>
    <definedName name="Google_Sheet_Link_1873412617_174419560" hidden="1">ME_78_E</definedName>
    <definedName name="Google_Sheet_Link_1874815877" hidden="1">RANGE35C</definedName>
    <definedName name="Google_Sheet_Link_1876152587_174419560" hidden="1">ME_149_D</definedName>
    <definedName name="Google_Sheet_Link_1876899219_174419560" hidden="1">ME_70_D</definedName>
    <definedName name="Google_Sheet_Link_1878281727" hidden="1">RANGE7F</definedName>
    <definedName name="Google_Sheet_Link_187955970_174419560" hidden="1">ME_135_G</definedName>
    <definedName name="Google_Sheet_Link_187968387_174419560" hidden="1">ME_91_G</definedName>
    <definedName name="Google_Sheet_Link_1882413295" hidden="1">COMB_3_E</definedName>
    <definedName name="Google_Sheet_Link_1882848301_174419560" hidden="1">ME_78_D</definedName>
    <definedName name="Google_Sheet_Link_1887250603_1293901380" hidden="1">RANGE75C</definedName>
    <definedName name="Google_Sheet_Link_1889967079" hidden="1">ME_22_D</definedName>
    <definedName name="Google_Sheet_Link_1890998110_174419560" hidden="1">ME_44_E</definedName>
    <definedName name="Google_Sheet_Link_1891604699_174419560" hidden="1">ME_76_E</definedName>
    <definedName name="Google_Sheet_Link_1891890953" hidden="1">COMB_4_E</definedName>
    <definedName name="Google_Sheet_Link_1893144950_174419560" hidden="1">ME_6_G</definedName>
    <definedName name="Google_Sheet_Link_1898792076" hidden="1">ME_56_D</definedName>
    <definedName name="Google_Sheet_Link_1903864687" hidden="1">ME_101_E</definedName>
    <definedName name="Google_Sheet_Link_1903979493" hidden="1">RANGE3C</definedName>
    <definedName name="Google_Sheet_Link_1906498482_1293901380" hidden="1">RANGE34F</definedName>
    <definedName name="Google_Sheet_Link_1906821600_174419560" hidden="1">ME_94_D</definedName>
    <definedName name="Google_Sheet_Link_1907329339" hidden="1">RANGE10C</definedName>
    <definedName name="Google_Sheet_Link_190927000" hidden="1">RANGE79F</definedName>
    <definedName name="Google_Sheet_Link_1909603142_174419560" hidden="1">ME_124_E</definedName>
    <definedName name="Google_Sheet_Link_1911575404_174419560" hidden="1">ME_86_G</definedName>
    <definedName name="Google_Sheet_Link_191255699" hidden="1">ME_25_E</definedName>
    <definedName name="Google_Sheet_Link_1912649755" hidden="1">ME_27_D</definedName>
    <definedName name="Google_Sheet_Link_1916331108" hidden="1">ME_13_G</definedName>
    <definedName name="Google_Sheet_Link_1916740928_174419560" hidden="1">ME_130_D</definedName>
    <definedName name="Google_Sheet_Link_1918410240_174419560" hidden="1">ME_49_D</definedName>
    <definedName name="Google_Sheet_Link_1919297178" hidden="1">ME_59_E</definedName>
    <definedName name="Google_Sheet_Link_1920915867_174419560" hidden="1">ME_1_E</definedName>
    <definedName name="Google_Sheet_Link_1922778903_174419560" hidden="1">ME_81_E</definedName>
    <definedName name="Google_Sheet_Link_1928236839_174419560" hidden="1">ME_63_D</definedName>
    <definedName name="Google_Sheet_Link_193171085" hidden="1">ME_104_E</definedName>
    <definedName name="Google_Sheet_Link_193313898_1293901380" hidden="1">RANGE70C</definedName>
    <definedName name="Google_Sheet_Link_1933411803_174419560" hidden="1">ME_32_G</definedName>
    <definedName name="Google_Sheet_Link_1940954112" hidden="1">RANGE11F</definedName>
    <definedName name="Google_Sheet_Link_1941880924" hidden="1">ME_95_E</definedName>
    <definedName name="Google_Sheet_Link_1942977569" hidden="1">ME_100_G</definedName>
    <definedName name="Google_Sheet_Link_1944499392" hidden="1">RANGE89C</definedName>
    <definedName name="Google_Sheet_Link_1946654135" hidden="1">ME_12_E</definedName>
    <definedName name="Google_Sheet_Link_1948160474_174419560" hidden="1">ME_71_E</definedName>
    <definedName name="Google_Sheet_Link_194973757" hidden="1">RANGE41C</definedName>
    <definedName name="Google_Sheet_Link_1950269593_174419560" hidden="1">ME_73_G</definedName>
    <definedName name="Google_Sheet_Link_1953073198" hidden="1">ME_52_D</definedName>
    <definedName name="Google_Sheet_Link_1953520561_174419560" hidden="1">ME_53_D</definedName>
    <definedName name="Google_Sheet_Link_1954145023_174419560" hidden="1">ME_70_E</definedName>
    <definedName name="Google_Sheet_Link_1955170235" hidden="1">ME_10_D</definedName>
    <definedName name="Google_Sheet_Link_1956463740_174419560" hidden="1">ME_96_D</definedName>
    <definedName name="Google_Sheet_Link_1964867385_174419560" hidden="1">ME_14_E</definedName>
    <definedName name="Google_Sheet_Link_1965056254" hidden="1">ME_45_D</definedName>
    <definedName name="Google_Sheet_Link_1971292018" hidden="1">ME_39_D</definedName>
    <definedName name="Google_Sheet_Link_1972351067_1293901380" hidden="1">RANGE53C</definedName>
    <definedName name="Google_Sheet_Link_1972400397_174419560" hidden="1">ME_121_E</definedName>
    <definedName name="Google_Sheet_Link_197311369_174419560" hidden="1">ME_131_G</definedName>
    <definedName name="Google_Sheet_Link_1974299741" hidden="1">RANGE88F</definedName>
    <definedName name="Google_Sheet_Link_1978633349" hidden="1">ME_76_G</definedName>
    <definedName name="Google_Sheet_Link_1983044365" hidden="1">ME_146_E</definedName>
    <definedName name="Google_Sheet_Link_1983096739" hidden="1">ME_54_D</definedName>
    <definedName name="Google_Sheet_Link_1983640301" hidden="1">ME_92_G</definedName>
    <definedName name="Google_Sheet_Link_1985238694" hidden="1">RANGE8C</definedName>
    <definedName name="Google_Sheet_Link_1987903552" hidden="1">RANGE45F</definedName>
    <definedName name="Google_Sheet_Link_1989756383_1293901380" hidden="1">RANGE18C</definedName>
    <definedName name="Google_Sheet_Link_1991161416_174419560" hidden="1">ME_69_G</definedName>
    <definedName name="Google_Sheet_Link_1993471713" hidden="1">ME_75_E</definedName>
    <definedName name="Google_Sheet_Link_1995314902" hidden="1">RANGE50C</definedName>
    <definedName name="Google_Sheet_Link_1995637046" hidden="1">ME_63_G</definedName>
    <definedName name="Google_Sheet_Link_1998901456" hidden="1">ME_4_D</definedName>
    <definedName name="Google_Sheet_Link_2001769487" hidden="1">RANGE25F</definedName>
    <definedName name="Google_Sheet_Link_2001854115" hidden="1">ME_84_E</definedName>
    <definedName name="Google_Sheet_Link_2005101511" hidden="1">ME_80_E</definedName>
    <definedName name="Google_Sheet_Link_2008007670" hidden="1">ME_106_E</definedName>
    <definedName name="Google_Sheet_Link_2008378712" hidden="1">ME_143_D</definedName>
    <definedName name="Google_Sheet_Link_2011804315_174419560" hidden="1">ME_43_D</definedName>
    <definedName name="Google_Sheet_Link_2012440392_174419560" hidden="1">ME_15_G</definedName>
    <definedName name="Google_Sheet_Link_2013804661" hidden="1">ME_112_D</definedName>
    <definedName name="Google_Sheet_Link_2015084521" hidden="1">ME_56_E</definedName>
    <definedName name="Google_Sheet_Link_2016373306_174419560" hidden="1">ME_120_G</definedName>
    <definedName name="Google_Sheet_Link_2016626770_174419560" hidden="1">ME_145_E</definedName>
    <definedName name="Google_Sheet_Link_2018178278" hidden="1">ME_52_G</definedName>
    <definedName name="Google_Sheet_Link_2019162308_174419560" hidden="1">ME_135_D</definedName>
    <definedName name="Google_Sheet_Link_2020561395_174419560" hidden="1">ME_88_G</definedName>
    <definedName name="Google_Sheet_Link_2023257944" hidden="1">RANGE27C</definedName>
    <definedName name="Google_Sheet_Link_2024842383" hidden="1">RANGE62F</definedName>
    <definedName name="Google_Sheet_Link_2027879833" hidden="1">ME_82_D</definedName>
    <definedName name="Google_Sheet_Link_202803334" hidden="1">ME_57_D</definedName>
    <definedName name="Google_Sheet_Link_2030133046" hidden="1">COMB_6_G</definedName>
    <definedName name="Google_Sheet_Link_2031123060_1293901380" hidden="1">RANGE35C</definedName>
    <definedName name="Google_Sheet_Link_2031678113_1293901380" hidden="1">RANGE69C</definedName>
    <definedName name="Google_Sheet_Link_2032519175" hidden="1">ME_129_G</definedName>
    <definedName name="Google_Sheet_Link_2033468543" hidden="1">ME_1_E</definedName>
    <definedName name="Google_Sheet_Link_2034781478_1293901380" hidden="1">RANGE48C</definedName>
    <definedName name="Google_Sheet_Link_2036176772_1293901380" hidden="1">RANGE51F</definedName>
    <definedName name="Google_Sheet_Link_2039124305" hidden="1">COMB_2_D</definedName>
    <definedName name="Google_Sheet_Link_204200180_1293901380" hidden="1">RANGE5C</definedName>
    <definedName name="Google_Sheet_Link_2043984388" hidden="1">ME_120_E</definedName>
    <definedName name="Google_Sheet_Link_2048296859_1293901380" hidden="1">RANGE55F</definedName>
    <definedName name="Google_Sheet_Link_2048430708_174419560" hidden="1">ME_108_G</definedName>
    <definedName name="Google_Sheet_Link_2051793550" hidden="1">ME_54_G</definedName>
    <definedName name="Google_Sheet_Link_2053198643_1293901380" hidden="1">RANGE74C</definedName>
    <definedName name="Google_Sheet_Link_2054293096_174419560" hidden="1">ME_95_D</definedName>
    <definedName name="Google_Sheet_Link_2054524397_174419560" hidden="1">ME_48_D</definedName>
    <definedName name="Google_Sheet_Link_2055162475" hidden="1">ME_16_E</definedName>
    <definedName name="Google_Sheet_Link_2055869701_174419560" hidden="1">ME_30_G</definedName>
    <definedName name="Google_Sheet_Link_2055941297_174419560" hidden="1">ME_15_D</definedName>
    <definedName name="Google_Sheet_Link_2061040611" hidden="1">RANGE69F</definedName>
    <definedName name="Google_Sheet_Link_2065598785" hidden="1">ME_136_D</definedName>
    <definedName name="Google_Sheet_Link_2068144503" hidden="1">RANGE54F</definedName>
    <definedName name="Google_Sheet_Link_2068956329_1293901380" hidden="1">RANGE84F</definedName>
    <definedName name="Google_Sheet_Link_2069728733_1293901380" hidden="1">RANGE60C</definedName>
    <definedName name="Google_Sheet_Link_2070327224_174419560" hidden="1">ME_87_G</definedName>
    <definedName name="Google_Sheet_Link_2071304038" hidden="1">ME_69_G</definedName>
    <definedName name="Google_Sheet_Link_2073593427_174419560" hidden="1">ME_112_D</definedName>
    <definedName name="Google_Sheet_Link_2075348821" hidden="1">COMB_8_G</definedName>
    <definedName name="Google_Sheet_Link_2076316738_174419560" hidden="1">ME_22_E</definedName>
    <definedName name="Google_Sheet_Link_207645206" hidden="1">ME_23_G</definedName>
    <definedName name="Google_Sheet_Link_2076824083_174419560" hidden="1">ME_101_G</definedName>
    <definedName name="Google_Sheet_Link_2077052345_174419560" hidden="1">ME_84_D</definedName>
    <definedName name="Google_Sheet_Link_2077054098_174419560" hidden="1">ME_13_D</definedName>
    <definedName name="Google_Sheet_Link_2078139549" hidden="1">ME_34_D</definedName>
    <definedName name="Google_Sheet_Link_2080976294" hidden="1">RANGE41F</definedName>
    <definedName name="Google_Sheet_Link_2081386585" hidden="1">ME_3_G</definedName>
    <definedName name="Google_Sheet_Link_2081964315" hidden="1">ME_2_D</definedName>
    <definedName name="Google_Sheet_Link_2082723040" hidden="1">ME_148_D</definedName>
    <definedName name="Google_Sheet_Link_2083776795" hidden="1">RANGE78C</definedName>
    <definedName name="Google_Sheet_Link_2086276173_174419560" hidden="1">ME_95_E</definedName>
    <definedName name="Google_Sheet_Link_2086394439" hidden="1">ME_121_E</definedName>
    <definedName name="Google_Sheet_Link_2087010493_174419560" hidden="1">ME_99_E</definedName>
    <definedName name="Google_Sheet_Link_2087160225_1293901380" hidden="1">RANGE8C</definedName>
    <definedName name="Google_Sheet_Link_2088375618" hidden="1">ME_55_G</definedName>
    <definedName name="Google_Sheet_Link_2088902768_174419560" hidden="1">ME_101_D</definedName>
    <definedName name="Google_Sheet_Link_208908561_174419560" hidden="1">ME_21_E</definedName>
    <definedName name="Google_Sheet_Link_2091064969" hidden="1">ME_13_D</definedName>
    <definedName name="Google_Sheet_Link_2091424820" hidden="1">ME_90_G</definedName>
    <definedName name="Google_Sheet_Link_209294946_174419560" hidden="1">ME_12_G</definedName>
    <definedName name="Google_Sheet_Link_2097898447" hidden="1">ME_25_G</definedName>
    <definedName name="Google_Sheet_Link_2097899266" hidden="1">RANGE21C</definedName>
    <definedName name="Google_Sheet_Link_2098860768" hidden="1">ME_132_E</definedName>
    <definedName name="Google_Sheet_Link_2098922175_174419560" hidden="1">ME_43_G</definedName>
    <definedName name="Google_Sheet_Link_2100257939_174419560" hidden="1">ME_90_D</definedName>
    <definedName name="Google_Sheet_Link_2101447287_174419560" hidden="1">ME_73_D</definedName>
    <definedName name="Google_Sheet_Link_2106220369_174419560" hidden="1">ME_19_G</definedName>
    <definedName name="Google_Sheet_Link_2106255066" hidden="1">ME_48_G</definedName>
    <definedName name="Google_Sheet_Link_2106781421" hidden="1">ME_63_E</definedName>
    <definedName name="Google_Sheet_Link_2108560610" hidden="1">RANGE29C</definedName>
    <definedName name="Google_Sheet_Link_2108812120_1293901380" hidden="1">RANGE32F</definedName>
    <definedName name="Google_Sheet_Link_2109153483_174419560" hidden="1">ME_2_E</definedName>
    <definedName name="Google_Sheet_Link_2109585750" hidden="1">ME_39_G</definedName>
    <definedName name="Google_Sheet_Link_2110588557_1293901380" hidden="1">RANGE61F</definedName>
    <definedName name="Google_Sheet_Link_211101920_174419560" hidden="1">ME_24_E</definedName>
    <definedName name="Google_Sheet_Link_211143547" hidden="1">ME_113_G</definedName>
    <definedName name="Google_Sheet_Link_2113978587" hidden="1">RANGE38F</definedName>
    <definedName name="Google_Sheet_Link_2114091212_174419560" hidden="1">ME_138_E</definedName>
    <definedName name="Google_Sheet_Link_2114176472" hidden="1">ME_115_D</definedName>
    <definedName name="Google_Sheet_Link_2114599443" hidden="1">ME_17_E</definedName>
    <definedName name="Google_Sheet_Link_2115094564_174419560" hidden="1">ME_62_E</definedName>
    <definedName name="Google_Sheet_Link_2117615748" hidden="1">ME_53_G</definedName>
    <definedName name="Google_Sheet_Link_2118480401" hidden="1">ME_20_D</definedName>
    <definedName name="Google_Sheet_Link_2121252856" hidden="1">ME_47_E</definedName>
    <definedName name="Google_Sheet_Link_2121363454_174419560" hidden="1">NamedRange1</definedName>
    <definedName name="Google_Sheet_Link_21241763" hidden="1">ME_21_E</definedName>
    <definedName name="Google_Sheet_Link_2124488448_174419560" hidden="1">ME_127_E</definedName>
    <definedName name="Google_Sheet_Link_2129040146" hidden="1">ME_123_D</definedName>
    <definedName name="Google_Sheet_Link_213368252_1293901380" hidden="1">RANGE72F</definedName>
    <definedName name="Google_Sheet_Link_2134634556_1293901380" hidden="1">RANGE37F</definedName>
    <definedName name="Google_Sheet_Link_2135415782" hidden="1">ME_116_G</definedName>
    <definedName name="Google_Sheet_Link_2137915677" hidden="1">RANGE47C</definedName>
    <definedName name="Google_Sheet_Link_2137934962" hidden="1">ME_36_G</definedName>
    <definedName name="Google_Sheet_Link_2140134662" hidden="1">RANGE76C</definedName>
    <definedName name="Google_Sheet_Link_2140200892" hidden="1">ME_46_E</definedName>
    <definedName name="Google_Sheet_Link_2142590036" hidden="1">ME_52_E</definedName>
    <definedName name="Google_Sheet_Link_2143598029" hidden="1">RANGE17C</definedName>
    <definedName name="Google_Sheet_Link_2144053009" hidden="1">ME_128_G</definedName>
    <definedName name="Google_Sheet_Link_2145513359" hidden="1">RANGE37F</definedName>
    <definedName name="Google_Sheet_Link_2146753245_174419560" hidden="1">ME_60_D</definedName>
    <definedName name="Google_Sheet_Link_217933197" hidden="1">ME_141_G</definedName>
    <definedName name="Google_Sheet_Link_221483468_174419560" hidden="1">ME_116_D</definedName>
    <definedName name="Google_Sheet_Link_221826750_174419560" hidden="1">ME_19_D</definedName>
    <definedName name="Google_Sheet_Link_223175505" hidden="1">ME_97_D</definedName>
    <definedName name="Google_Sheet_Link_223302815" hidden="1">ME_8_D</definedName>
    <definedName name="Google_Sheet_Link_223704149" hidden="1">RANGE43F</definedName>
    <definedName name="Google_Sheet_Link_224356763" hidden="1">RANGE24C</definedName>
    <definedName name="Google_Sheet_Link_229957524_1293901380" hidden="1">RANGE9F</definedName>
    <definedName name="Google_Sheet_Link_232226894" hidden="1">RANGE76F</definedName>
    <definedName name="Google_Sheet_Link_232282704_174419560" hidden="1">ME_124_G</definedName>
    <definedName name="Google_Sheet_Link_234965196_174419560" hidden="1">ME_36_E</definedName>
    <definedName name="Google_Sheet_Link_240169669_174419560" hidden="1">ME_143_E</definedName>
    <definedName name="Google_Sheet_Link_240664906_1293901380" hidden="1">RANGE11C</definedName>
    <definedName name="Google_Sheet_Link_241504482_174419560" hidden="1">ME_94_E</definedName>
    <definedName name="Google_Sheet_Link_241765947_174419560" hidden="1">ME_52_G</definedName>
    <definedName name="Google_Sheet_Link_241975646_174419560" hidden="1">ME_100_E</definedName>
    <definedName name="Google_Sheet_Link_243489840" hidden="1">ME_94_D</definedName>
    <definedName name="Google_Sheet_Link_245933056_174419560" hidden="1">ME_50_D</definedName>
    <definedName name="Google_Sheet_Link_246676946_174419560" hidden="1">ME_67_E</definedName>
    <definedName name="Google_Sheet_Link_248600838" hidden="1">RANGE15F</definedName>
    <definedName name="Google_Sheet_Link_248830837" hidden="1">RANGE73C</definedName>
    <definedName name="Google_Sheet_Link_250321086" hidden="1">ME_142_E</definedName>
    <definedName name="Google_Sheet_Link_252842230" hidden="1">ME_73_G</definedName>
    <definedName name="Google_Sheet_Link_25714414" hidden="1">ME_59_G</definedName>
    <definedName name="Google_Sheet_Link_257727496" hidden="1">ME_4_E</definedName>
    <definedName name="Google_Sheet_Link_259594289_174419560" hidden="1">ME_39_G</definedName>
    <definedName name="Google_Sheet_Link_261333386_174419560" hidden="1">ME_34_G</definedName>
    <definedName name="Google_Sheet_Link_267625621_174419560" hidden="1">ME_113_D</definedName>
    <definedName name="Google_Sheet_Link_268068529_174419560" hidden="1">ME_146_D</definedName>
    <definedName name="Google_Sheet_Link_268346604_174419560" hidden="1">ME_46_E</definedName>
    <definedName name="Google_Sheet_Link_268429748_174419560" hidden="1">ME_106_D</definedName>
    <definedName name="Google_Sheet_Link_26893571_174419560" hidden="1">ME_67_D</definedName>
    <definedName name="Google_Sheet_Link_273182615" hidden="1">RANGE44F</definedName>
    <definedName name="Google_Sheet_Link_273842986" hidden="1">ME_41_G</definedName>
    <definedName name="Google_Sheet_Link_27590551" hidden="1">ME_10_G</definedName>
    <definedName name="Google_Sheet_Link_276900834_174419560" hidden="1">ME_48_E</definedName>
    <definedName name="Google_Sheet_Link_279449403" hidden="1">RANGE13C</definedName>
    <definedName name="Google_Sheet_Link_280365826" hidden="1">RANGE39C</definedName>
    <definedName name="Google_Sheet_Link_280689410_174419560" hidden="1">ME_63_G</definedName>
    <definedName name="Google_Sheet_Link_28677759_174419560" hidden="1">ME_41_D</definedName>
    <definedName name="Google_Sheet_Link_287902152" hidden="1">ME_65_G</definedName>
    <definedName name="Google_Sheet_Link_288158149_174419560" hidden="1">ME_128_G</definedName>
    <definedName name="Google_Sheet_Link_289491405" hidden="1">ME_94_G</definedName>
    <definedName name="Google_Sheet_Link_292935757_174419560" hidden="1">ME_54_D</definedName>
    <definedName name="Google_Sheet_Link_294037864_1293901380" hidden="1">RANGE49F</definedName>
    <definedName name="Google_Sheet_Link_29476217_1293901380" hidden="1">RANGE81F</definedName>
    <definedName name="Google_Sheet_Link_296042533_174419560" hidden="1">ME_128_D</definedName>
    <definedName name="Google_Sheet_Link_297805432" hidden="1">ME_116_D</definedName>
    <definedName name="Google_Sheet_Link_299620246_1293901380" hidden="1">RANGE19F</definedName>
    <definedName name="Google_Sheet_Link_299679972" hidden="1">RANGE25C</definedName>
    <definedName name="Google_Sheet_Link_300486364" hidden="1">ME_5_E</definedName>
    <definedName name="Google_Sheet_Link_304429823_1293901380" hidden="1">RANGE10F</definedName>
    <definedName name="Google_Sheet_Link_304768749_1293901380" hidden="1">RANGE29C</definedName>
    <definedName name="Google_Sheet_Link_305001312" hidden="1">RANGE32C</definedName>
    <definedName name="Google_Sheet_Link_305654725" hidden="1">ME_43_D</definedName>
    <definedName name="Google_Sheet_Link_307109839" hidden="1">ME_82_G</definedName>
    <definedName name="Google_Sheet_Link_307426929" hidden="1">ME_45_E</definedName>
    <definedName name="Google_Sheet_Link_307531452_174419560" hidden="1">ME_67_G</definedName>
    <definedName name="Google_Sheet_Link_308523269" hidden="1">ME_46_G</definedName>
    <definedName name="Google_Sheet_Link_308722909_174419560" hidden="1">ME_71_D</definedName>
    <definedName name="Google_Sheet_Link_308741792" hidden="1">RANGE63C</definedName>
    <definedName name="Google_Sheet_Link_309668998" hidden="1">ME_103_D</definedName>
    <definedName name="Google_Sheet_Link_310012237" hidden="1">ME_37_G</definedName>
    <definedName name="Google_Sheet_Link_311608874_174419560" hidden="1">ME_5_E</definedName>
    <definedName name="Google_Sheet_Link_3119186" hidden="1">ME_134_D</definedName>
    <definedName name="Google_Sheet_Link_312910126" hidden="1">ME_98_D</definedName>
    <definedName name="Google_Sheet_Link_314151541" hidden="1">ME_42_E</definedName>
    <definedName name="Google_Sheet_Link_315184472_1293901380" hidden="1">RANGE38C</definedName>
    <definedName name="Google_Sheet_Link_317417363" hidden="1">COMB_9_E</definedName>
    <definedName name="Google_Sheet_Link_318478840" hidden="1">RANGE39F</definedName>
    <definedName name="Google_Sheet_Link_318994064_174419560" hidden="1">ME_8_D</definedName>
    <definedName name="Google_Sheet_Link_320483042_174419560" hidden="1">ME_27_E</definedName>
    <definedName name="Google_Sheet_Link_324114482" hidden="1">ME_29_G</definedName>
    <definedName name="Google_Sheet_Link_324603069_174419560" hidden="1">ME_31_G</definedName>
    <definedName name="Google_Sheet_Link_326459560_174419560" hidden="1">ME_98_E</definedName>
    <definedName name="Google_Sheet_Link_326606733" hidden="1">RANGE84F</definedName>
    <definedName name="Google_Sheet_Link_33025289_174419560" hidden="1">ME_97_G</definedName>
    <definedName name="Google_Sheet_Link_331644417" hidden="1">ME_57_G</definedName>
    <definedName name="Google_Sheet_Link_332131647" hidden="1">ME_124_D</definedName>
    <definedName name="Google_Sheet_Link_332601630_174419560" hidden="1">ME_116_E</definedName>
    <definedName name="Google_Sheet_Link_335518703_174419560" hidden="1">ME_29_D</definedName>
    <definedName name="Google_Sheet_Link_337495938" hidden="1">RANGE22C</definedName>
    <definedName name="Google_Sheet_Link_340175786_174419560" hidden="1">ME_128_E</definedName>
    <definedName name="Google_Sheet_Link_34378354" hidden="1">RANGE48F</definedName>
    <definedName name="Google_Sheet_Link_346160431" hidden="1">ME_65_E</definedName>
    <definedName name="Google_Sheet_Link_347453782" hidden="1">ME_137_G</definedName>
    <definedName name="Google_Sheet_Link_347877217" hidden="1">ME_135_G</definedName>
    <definedName name="Google_Sheet_Link_348205217_1293901380" hidden="1">RANGE20C</definedName>
    <definedName name="Google_Sheet_Link_348459438" hidden="1">ME_19_D</definedName>
    <definedName name="Google_Sheet_Link_348873503_174419560" hidden="1">ME_11_D</definedName>
    <definedName name="Google_Sheet_Link_350806540_174419560" hidden="1">ME_10_G</definedName>
    <definedName name="Google_Sheet_Link_351130994_174419560" hidden="1">ME_141_D</definedName>
    <definedName name="Google_Sheet_Link_352826970" hidden="1">RANGE33C</definedName>
    <definedName name="Google_Sheet_Link_354260036_174419560" hidden="1">ME_4_E</definedName>
    <definedName name="Google_Sheet_Link_354627048" hidden="1">ME_130_G</definedName>
    <definedName name="Google_Sheet_Link_355758530" hidden="1">ME_7_G</definedName>
    <definedName name="Google_Sheet_Link_359687217_1293901380" hidden="1">RANGE41F</definedName>
    <definedName name="Google_Sheet_Link_360351816" hidden="1">ME_125_D</definedName>
    <definedName name="Google_Sheet_Link_360902942_174419560" hidden="1">ME_138_G</definedName>
    <definedName name="Google_Sheet_Link_361279998_174419560" hidden="1">ME_142_G</definedName>
    <definedName name="Google_Sheet_Link_363699577" hidden="1">ME_105_G</definedName>
    <definedName name="Google_Sheet_Link_365918602_174419560" hidden="1">ME_8_E</definedName>
    <definedName name="Google_Sheet_Link_369223421" hidden="1">ME_44_D</definedName>
    <definedName name="Google_Sheet_Link_370429093" hidden="1">ME_84_G</definedName>
    <definedName name="Google_Sheet_Link_371501893" hidden="1">ME_119_E</definedName>
    <definedName name="Google_Sheet_Link_372178494_174419560" hidden="1">ME_127_D</definedName>
    <definedName name="Google_Sheet_Link_37292926_1293901380" hidden="1">RANGE14C</definedName>
    <definedName name="Google_Sheet_Link_374722513" hidden="1">ME_55_D</definedName>
    <definedName name="Google_Sheet_Link_376799516_174419560" hidden="1">ME_56_D</definedName>
    <definedName name="Google_Sheet_Link_376895829" hidden="1">RANGE64C</definedName>
    <definedName name="Google_Sheet_Link_382143236_174419560" hidden="1">ME_47_E</definedName>
    <definedName name="Google_Sheet_Link_389670816" hidden="1">ME_91_E</definedName>
    <definedName name="Google_Sheet_Link_391309488" hidden="1">ME_108_E</definedName>
    <definedName name="Google_Sheet_Link_392940270_1293901380" hidden="1">RANGE56C</definedName>
    <definedName name="Google_Sheet_Link_394662609" hidden="1">RANGE43C</definedName>
    <definedName name="Google_Sheet_Link_39476479_1293901380" hidden="1">RANGE51C</definedName>
    <definedName name="Google_Sheet_Link_396986433_174419560" hidden="1">ME_76_D</definedName>
    <definedName name="Google_Sheet_Link_40093806_174419560" hidden="1">ME_31_E</definedName>
    <definedName name="Google_Sheet_Link_402053213_1293901380" hidden="1">RANGE18F</definedName>
    <definedName name="Google_Sheet_Link_40458859_174419560" hidden="1">ME_5_G</definedName>
    <definedName name="Google_Sheet_Link_407564694_1293901380" hidden="1">RANGE5F</definedName>
    <definedName name="Google_Sheet_Link_407835656_1293901380" hidden="1">RANGE11F</definedName>
    <definedName name="Google_Sheet_Link_411401592_1293901380" hidden="1">RANGE27F</definedName>
    <definedName name="Google_Sheet_Link_411770051" hidden="1">ME_108_D</definedName>
    <definedName name="Google_Sheet_Link_412391581_1293901380" hidden="1">RANGE72C</definedName>
    <definedName name="Google_Sheet_Link_414618327" hidden="1">RANGE35F</definedName>
    <definedName name="Google_Sheet_Link_414946597_174419560" hidden="1">ME_89_G</definedName>
    <definedName name="Google_Sheet_Link_417042814_174419560" hidden="1">ME_131_E</definedName>
    <definedName name="Google_Sheet_Link_418414479_174419560" hidden="1">ME_65_E</definedName>
    <definedName name="Google_Sheet_Link_421367517" hidden="1">ME_49_G</definedName>
    <definedName name="Google_Sheet_Link_421815207" hidden="1">ME_50_E</definedName>
    <definedName name="Google_Sheet_Link_422375380" hidden="1">ME_18_G</definedName>
    <definedName name="Google_Sheet_Link_422424247" hidden="1">RANGE30F</definedName>
    <definedName name="Google_Sheet_Link_422845290_1293901380" hidden="1">RANGE75F</definedName>
    <definedName name="Google_Sheet_Link_425224124_174419560" hidden="1">ME_3_D</definedName>
    <definedName name="Google_Sheet_Link_426658559" hidden="1">ME_22_G</definedName>
    <definedName name="Google_Sheet_Link_427218066_174419560" hidden="1">ME_129_G</definedName>
    <definedName name="Google_Sheet_Link_429188255_174419560" hidden="1">ME_90_E</definedName>
    <definedName name="Google_Sheet_Link_430780318_174419560" hidden="1">ME_33_E</definedName>
    <definedName name="Google_Sheet_Link_43145471_1293901380" hidden="1">RANGE42F</definedName>
    <definedName name="Google_Sheet_Link_43185190_174419560" hidden="1">ME_42_E</definedName>
    <definedName name="Google_Sheet_Link_432630646_174419560" hidden="1">ME_87_D</definedName>
    <definedName name="Google_Sheet_Link_433790965_1293901380" hidden="1">RANGE60F</definedName>
    <definedName name="Google_Sheet_Link_438404495_174419560" hidden="1">ME_75_D</definedName>
    <definedName name="Google_Sheet_Link_438432923_174419560" hidden="1">ME_59_E</definedName>
    <definedName name="Google_Sheet_Link_438983948_1293901380" hidden="1">RANGE55C</definedName>
    <definedName name="Google_Sheet_Link_44124662" hidden="1">ME_143_E</definedName>
    <definedName name="Google_Sheet_Link_445824625" hidden="1">ME_91_D</definedName>
    <definedName name="Google_Sheet_Link_445843666" hidden="1">ME_102_G</definedName>
    <definedName name="Google_Sheet_Link_446634979_174419560" hidden="1">ME_140_D</definedName>
    <definedName name="Google_Sheet_Link_447905033" hidden="1">ME_78_D</definedName>
    <definedName name="Google_Sheet_Link_447921450" hidden="1">ME_41_D</definedName>
    <definedName name="Google_Sheet_Link_448688356" hidden="1">RANGE49C</definedName>
    <definedName name="Google_Sheet_Link_449094672_1293901380" hidden="1">RANGE45F</definedName>
    <definedName name="Google_Sheet_Link_451060715" hidden="1">RANGE67C</definedName>
    <definedName name="Google_Sheet_Link_452751945_1293901380" hidden="1">RANGE40C</definedName>
    <definedName name="Google_Sheet_Link_45294869" hidden="1">ME_110_G</definedName>
    <definedName name="Google_Sheet_Link_45424374_174419560" hidden="1">ME_51_D</definedName>
    <definedName name="Google_Sheet_Link_456047261_174419560" hidden="1">ME_143_D</definedName>
    <definedName name="Google_Sheet_Link_456251020" hidden="1">COMB_3_G</definedName>
    <definedName name="Google_Sheet_Link_456795557" hidden="1">ME_88_E</definedName>
    <definedName name="Google_Sheet_Link_458013409" hidden="1">ME_81_G</definedName>
    <definedName name="Google_Sheet_Link_458499124_174419560" hidden="1">ME_40_E</definedName>
    <definedName name="Google_Sheet_Link_459410962_174419560" hidden="1">ME_37_G</definedName>
    <definedName name="Google_Sheet_Link_459810381_1293901380" hidden="1">RANGE36C</definedName>
    <definedName name="Google_Sheet_Link_462124756" hidden="1">RANGE78F</definedName>
    <definedName name="Google_Sheet_Link_462203156" hidden="1">ME_65_D</definedName>
    <definedName name="Google_Sheet_Link_463407946_174419560" hidden="1">ME_4_G</definedName>
    <definedName name="Google_Sheet_Link_463712930_174419560" hidden="1">ME_104_D</definedName>
    <definedName name="Google_Sheet_Link_464114271_174419560" hidden="1">ME_47_G</definedName>
    <definedName name="Google_Sheet_Link_465784329" hidden="1">ME_70_D</definedName>
    <definedName name="Google_Sheet_Link_46653204" hidden="1">RANGE57C</definedName>
    <definedName name="Google_Sheet_Link_467661905_174419560" hidden="1">ME_34_E</definedName>
    <definedName name="Google_Sheet_Link_470476916_174419560" hidden="1">ME_100_D</definedName>
    <definedName name="Google_Sheet_Link_473106729_174419560" hidden="1">ME_30_E</definedName>
    <definedName name="Google_Sheet_Link_473834340_174419560" hidden="1">ME_105_D</definedName>
    <definedName name="Google_Sheet_Link_475877978_174419560" hidden="1">ME_127_G</definedName>
    <definedName name="Google_Sheet_Link_476346921" hidden="1">ME_16_D</definedName>
    <definedName name="Google_Sheet_Link_476592383_174419560" hidden="1">ME_120_E</definedName>
    <definedName name="Google_Sheet_Link_477169079_1293901380" hidden="1">RANGE71C</definedName>
    <definedName name="Google_Sheet_Link_477688147_174419560" hidden="1">ME_136_E</definedName>
    <definedName name="Google_Sheet_Link_480608462_174419560" hidden="1">ME_49_G</definedName>
    <definedName name="Google_Sheet_Link_48101895" hidden="1">ME_140_G</definedName>
    <definedName name="Google_Sheet_Link_481150872_1293901380" hidden="1">RANGE27C</definedName>
    <definedName name="Google_Sheet_Link_481228693_1293901380" hidden="1">RANGE89F</definedName>
    <definedName name="Google_Sheet_Link_481560022" hidden="1">RANGE34F</definedName>
    <definedName name="Google_Sheet_Link_482009779" hidden="1">ME_38_E</definedName>
    <definedName name="Google_Sheet_Link_483674506" hidden="1">ME_124_G</definedName>
    <definedName name="Google_Sheet_Link_497421248" hidden="1">ME_120_D</definedName>
    <definedName name="Google_Sheet_Link_503685495" hidden="1">ME_148_E</definedName>
    <definedName name="Google_Sheet_Link_50428053_174419560" hidden="1">ME_29_E</definedName>
    <definedName name="Google_Sheet_Link_504731175_174419560" hidden="1">ME_6_D</definedName>
    <definedName name="Google_Sheet_Link_507672352" hidden="1">ME_77_E</definedName>
    <definedName name="Google_Sheet_Link_50767415_174419560" hidden="1">ME_88_D</definedName>
    <definedName name="Google_Sheet_Link_511533116" hidden="1">ME_25_D</definedName>
    <definedName name="Google_Sheet_Link_514852433_174419560" hidden="1">ME_141_E</definedName>
    <definedName name="Google_Sheet_Link_51519458" hidden="1">RANGE5C</definedName>
    <definedName name="Google_Sheet_Link_516067402" hidden="1">ME_57_E</definedName>
    <definedName name="Google_Sheet_Link_516529884_174419560" hidden="1">ME_18_E</definedName>
    <definedName name="Google_Sheet_Link_519687981" hidden="1">RANGE65F</definedName>
    <definedName name="Google_Sheet_Link_521218200" hidden="1">ME_127_G</definedName>
    <definedName name="Google_Sheet_Link_52716738_174419560" hidden="1">ME_122_G</definedName>
    <definedName name="Google_Sheet_Link_527264027_174419560" hidden="1">ME_58_G</definedName>
    <definedName name="Google_Sheet_Link_530185492_1293901380" hidden="1">RANGE57F</definedName>
    <definedName name="Google_Sheet_Link_53156" hidden="1">ME_62_E</definedName>
    <definedName name="Google_Sheet_Link_533006379_1293901380" hidden="1">RANGE7F</definedName>
    <definedName name="Google_Sheet_Link_533154570" hidden="1">ME_31_E</definedName>
    <definedName name="Google_Sheet_Link_533581955" hidden="1">ME_41_E</definedName>
    <definedName name="Google_Sheet_Link_533993182" hidden="1">ME_126_E</definedName>
    <definedName name="Google_Sheet_Link_53719067" hidden="1">ME_136_G</definedName>
    <definedName name="Google_Sheet_Link_538622152_174419560" hidden="1">ME_11_E</definedName>
    <definedName name="Google_Sheet_Link_538871393_174419560" hidden="1">ME_29_G</definedName>
    <definedName name="Google_Sheet_Link_540618980_174419560" hidden="1">ME_44_G</definedName>
    <definedName name="Google_Sheet_Link_540837639_174419560" hidden="1">ME_106_E</definedName>
    <definedName name="Google_Sheet_Link_541946879_1293901380" hidden="1">RANGE36F</definedName>
    <definedName name="Google_Sheet_Link_54384993_1293901380" hidden="1">RANGE79C</definedName>
    <definedName name="Google_Sheet_Link_544994297_1293901380" hidden="1">RANGE1C</definedName>
    <definedName name="Google_Sheet_Link_547639741" hidden="1">COMB_9_D</definedName>
    <definedName name="Google_Sheet_Link_54910373" hidden="1">RANGE83F</definedName>
    <definedName name="Google_Sheet_Link_551222345_1293901380" hidden="1">RANGE28C</definedName>
    <definedName name="Google_Sheet_Link_551244162" hidden="1">ME_115_G</definedName>
    <definedName name="Google_Sheet_Link_551808903_174419560" hidden="1">ME_58_E</definedName>
    <definedName name="Google_Sheet_Link_557293431_174419560" hidden="1">ME_24_D</definedName>
    <definedName name="Google_Sheet_Link_557853844" hidden="1">ME_95_D</definedName>
    <definedName name="Google_Sheet_Link_558677332_174419560" hidden="1">ME_92_E</definedName>
    <definedName name="Google_Sheet_Link_560674206_174419560" hidden="1">ME_129_D</definedName>
    <definedName name="Google_Sheet_Link_561969511" hidden="1">ME_51_G</definedName>
    <definedName name="Google_Sheet_Link_569682225" hidden="1">ME_109_D</definedName>
    <definedName name="Google_Sheet_Link_570897771_174419560" hidden="1">ME_44_D</definedName>
    <definedName name="Google_Sheet_Link_574090516" hidden="1">ME_49_E</definedName>
    <definedName name="Google_Sheet_Link_578814325_174419560" hidden="1">ME_109_E</definedName>
    <definedName name="Google_Sheet_Link_579972141" hidden="1">ME_126_G</definedName>
    <definedName name="Google_Sheet_Link_580858506" hidden="1">ME_48_E</definedName>
    <definedName name="Google_Sheet_Link_582084200" hidden="1">ME_141_D</definedName>
    <definedName name="Google_Sheet_Link_584274999_174419560" hidden="1">ME_47_D</definedName>
    <definedName name="Google_Sheet_Link_584340551_174419560" hidden="1">ME_8_G</definedName>
    <definedName name="Google_Sheet_Link_584585749" hidden="1">ME_114_D</definedName>
    <definedName name="Google_Sheet_Link_585588465_1293901380" hidden="1">RANGE81C</definedName>
    <definedName name="Google_Sheet_Link_586054049" hidden="1">ME_60_D</definedName>
    <definedName name="Google_Sheet_Link_587024608_174419560" hidden="1">ME_59_G</definedName>
    <definedName name="Google_Sheet_Link_587764134_174419560" hidden="1">ME_52_E</definedName>
    <definedName name="Google_Sheet_Link_588619531" hidden="1">ME_39_E</definedName>
    <definedName name="Google_Sheet_Link_588632358" hidden="1">ME_79_G</definedName>
    <definedName name="Google_Sheet_Link_588704165_174419560" hidden="1">ME_68_E</definedName>
    <definedName name="Google_Sheet_Link_590408223" hidden="1">ME_66_E</definedName>
    <definedName name="Google_Sheet_Link_592103299_1293901380" hidden="1">RANGE61C</definedName>
    <definedName name="Google_Sheet_Link_593435676" hidden="1">ME_96_E</definedName>
    <definedName name="Google_Sheet_Link_595187335" hidden="1">ME_88_D</definedName>
    <definedName name="Google_Sheet_Link_595861656" hidden="1">ME_7_D</definedName>
    <definedName name="Google_Sheet_Link_59729676" hidden="1">RANGE53F</definedName>
    <definedName name="Google_Sheet_Link_603837652" hidden="1">RANGE4C</definedName>
    <definedName name="Google_Sheet_Link_604903187_174419560" hidden="1">ME_134_E</definedName>
    <definedName name="Google_Sheet_Link_605045905_174419560" hidden="1">ME_122_D</definedName>
    <definedName name="Google_Sheet_Link_605076415_174419560" hidden="1">ME_10_E</definedName>
    <definedName name="Google_Sheet_Link_605079554_174419560" hidden="1">ME_85_D</definedName>
    <definedName name="Google_Sheet_Link_605592645" hidden="1">RANGE40F</definedName>
    <definedName name="Google_Sheet_Link_609814915_174419560" hidden="1">ME_64_D</definedName>
    <definedName name="Google_Sheet_Link_612027125" hidden="1">ME_129_D</definedName>
    <definedName name="Google_Sheet_Link_615426174" hidden="1">ME_132_G</definedName>
    <definedName name="Google_Sheet_Link_618405656" hidden="1">COMB_6_E</definedName>
    <definedName name="Google_Sheet_Link_619299362" hidden="1">ME_71_G</definedName>
    <definedName name="Google_Sheet_Link_620423516_174419560" hidden="1">ME_114_D</definedName>
    <definedName name="Google_Sheet_Link_621906197_174419560" hidden="1">ME_40_G</definedName>
    <definedName name="Google_Sheet_Link_622660592_174419560" hidden="1">ME_135_E</definedName>
    <definedName name="Google_Sheet_Link_624747282" hidden="1">ME_135_D</definedName>
    <definedName name="Google_Sheet_Link_625200442_174419560" hidden="1">ME_5_D</definedName>
    <definedName name="Google_Sheet_Link_625461232_1293901380" hidden="1">RANGE2F</definedName>
    <definedName name="Google_Sheet_Link_630387037_174419560" hidden="1">ME_64_E</definedName>
    <definedName name="Google_Sheet_Link_631198508" hidden="1">RANGE16F</definedName>
    <definedName name="Google_Sheet_Link_631573163" hidden="1">ME_43_E</definedName>
    <definedName name="Google_Sheet_Link_634195663_174419560" hidden="1">ME_133_D</definedName>
    <definedName name="Google_Sheet_Link_634549592_174419560" hidden="1">ME_139_E</definedName>
    <definedName name="Google_Sheet_Link_635073329_174419560" hidden="1">ME_33_D</definedName>
    <definedName name="Google_Sheet_Link_635081034_174419560" hidden="1">ME_45_G</definedName>
    <definedName name="Google_Sheet_Link_636383125_1293901380" hidden="1">RANGE66C</definedName>
    <definedName name="Google_Sheet_Link_636392415" hidden="1">COMB_2_G</definedName>
    <definedName name="Google_Sheet_Link_641162616" hidden="1">COMB_10_D</definedName>
    <definedName name="Google_Sheet_Link_643530684" hidden="1">ME_93_E</definedName>
    <definedName name="Google_Sheet_Link_644053483" hidden="1">ME_34_G</definedName>
    <definedName name="Google_Sheet_Link_645316804_174419560" hidden="1">ME_61_G</definedName>
    <definedName name="Google_Sheet_Link_648705472_174419560" hidden="1">ME_123_E</definedName>
    <definedName name="Google_Sheet_Link_651804459_174419560" hidden="1">ME_125_G</definedName>
    <definedName name="Google_Sheet_Link_653708810" hidden="1">ME_60_E</definedName>
    <definedName name="Google_Sheet_Link_653992342" hidden="1">ME_107_G</definedName>
    <definedName name="Google_Sheet_Link_655451483_174419560" hidden="1">ME_133_G</definedName>
    <definedName name="Google_Sheet_Link_663700173_174419560" hidden="1">ME_27_G</definedName>
    <definedName name="Google_Sheet_Link_664628361_174419560" hidden="1">ME_80_E</definedName>
    <definedName name="Google_Sheet_Link_665188262_174419560" hidden="1">ME_131_D</definedName>
    <definedName name="Google_Sheet_Link_665796550_174419560" hidden="1">ME_35_E</definedName>
    <definedName name="Google_Sheet_Link_667207394_174419560" hidden="1">ME_149_G</definedName>
    <definedName name="Google_Sheet_Link_671876570" hidden="1">ME_34_E</definedName>
    <definedName name="Google_Sheet_Link_67324676_174419560" hidden="1">ME_114_E</definedName>
    <definedName name="Google_Sheet_Link_675456080" hidden="1">ME_94_E</definedName>
    <definedName name="Google_Sheet_Link_675675705_174419560" hidden="1">ME_28_D</definedName>
    <definedName name="Google_Sheet_Link_678554670" hidden="1">RANGE21F</definedName>
    <definedName name="Google_Sheet_Link_679551542" hidden="1">RANGE10F</definedName>
    <definedName name="Google_Sheet_Link_682138886_174419560" hidden="1">ME_7_G</definedName>
    <definedName name="Google_Sheet_Link_685595852" hidden="1">ME_82_E</definedName>
    <definedName name="Google_Sheet_Link_687511324" hidden="1">ME_17_D</definedName>
    <definedName name="Google_Sheet_Link_692359114" hidden="1">RANGE75C</definedName>
    <definedName name="Google_Sheet_Link_695181744" hidden="1">ME_138_G</definedName>
    <definedName name="Google_Sheet_Link_695570099" hidden="1">ME_96_D</definedName>
    <definedName name="Google_Sheet_Link_696643090" hidden="1">ME_8_G</definedName>
    <definedName name="Google_Sheet_Link_697054657" hidden="1">ME_18_D</definedName>
    <definedName name="Google_Sheet_Link_697145518_174419560" hidden="1">ME_62_G</definedName>
    <definedName name="Google_Sheet_Link_701163178_1293901380" hidden="1">RANGE59C</definedName>
    <definedName name="Google_Sheet_Link_701231627_174419560" hidden="1">ME_15_E</definedName>
    <definedName name="Google_Sheet_Link_703918456" hidden="1">ME_58_E</definedName>
    <definedName name="Google_Sheet_Link_708473653" hidden="1">ME_114_G</definedName>
    <definedName name="Google_Sheet_Link_70927927" hidden="1">ME_145_D</definedName>
    <definedName name="Google_Sheet_Link_70930763" hidden="1">ME_104_G</definedName>
    <definedName name="Google_Sheet_Link_710540154_174419560" hidden="1">ME_26_D</definedName>
    <definedName name="Google_Sheet_Link_71156118_174419560" hidden="1">ME_113_E</definedName>
    <definedName name="Google_Sheet_Link_712856136_174419560" hidden="1">ME_104_G</definedName>
    <definedName name="Google_Sheet_Link_715066848" hidden="1">RANGE59C</definedName>
    <definedName name="Google_Sheet_Link_715657953" hidden="1">RANGE32F</definedName>
    <definedName name="Google_Sheet_Link_717067875" hidden="1">RANGE49F</definedName>
    <definedName name="Google_Sheet_Link_720025618" hidden="1">ME_115_E</definedName>
    <definedName name="Google_Sheet_Link_722566327" hidden="1">ME_23_D</definedName>
    <definedName name="Google_Sheet_Link_723149708_1293901380" hidden="1">RANGE56F</definedName>
    <definedName name="Google_Sheet_Link_723572457" hidden="1">ME_90_D</definedName>
    <definedName name="Google_Sheet_Link_725204560_174419560" hidden="1">ME_107_G</definedName>
    <definedName name="Google_Sheet_Link_727132963_1293901380" hidden="1">RANGE69F</definedName>
    <definedName name="Google_Sheet_Link_727301288_174419560" hidden="1">ME_85_E</definedName>
    <definedName name="Google_Sheet_Link_730129075_1293901380" hidden="1">RANGE45C</definedName>
    <definedName name="Google_Sheet_Link_73084088" hidden="1">ME_123_E</definedName>
    <definedName name="Google_Sheet_Link_730851903" hidden="1">ME_99_D</definedName>
    <definedName name="Google_Sheet_Link_732999407" hidden="1">ME_131_G</definedName>
    <definedName name="Google_Sheet_Link_734209917_174419560" hidden="1">ME_4_D</definedName>
    <definedName name="Google_Sheet_Link_737190670_174419560" hidden="1">ME_126_G</definedName>
    <definedName name="Google_Sheet_Link_738254294" hidden="1">RANGE60C</definedName>
    <definedName name="Google_Sheet_Link_738858022_174419560" hidden="1">ME_13_G</definedName>
    <definedName name="Google_Sheet_Link_741117548" hidden="1">ME_106_D</definedName>
    <definedName name="Google_Sheet_Link_741672517" hidden="1">ME_147_D</definedName>
    <definedName name="Google_Sheet_Link_74344298_174419560" hidden="1">ME_114_G</definedName>
    <definedName name="Google_Sheet_Link_743543356" hidden="1">ME_23_E</definedName>
    <definedName name="Google_Sheet_Link_743568985" hidden="1">ME_62_D</definedName>
    <definedName name="Google_Sheet_Link_743880020" hidden="1">ME_9_E</definedName>
    <definedName name="Google_Sheet_Link_744441136_174419560" hidden="1">ME_112_G</definedName>
    <definedName name="Google_Sheet_Link_744778045" hidden="1">ME_90_E</definedName>
    <definedName name="Google_Sheet_Link_745976691_174419560" hidden="1">ME_126_D</definedName>
    <definedName name="Google_Sheet_Link_750258376" hidden="1">ME_2_G</definedName>
    <definedName name="Google_Sheet_Link_751558683" hidden="1">ME_61_D</definedName>
    <definedName name="Google_Sheet_Link_751954175_1293901380" hidden="1">RANGE33F</definedName>
    <definedName name="Google_Sheet_Link_75447535" hidden="1">ME_148_G</definedName>
    <definedName name="Google_Sheet_Link_757000263" hidden="1">ME_102_E</definedName>
    <definedName name="Google_Sheet_Link_76153778_174419560" hidden="1">ME_96_E</definedName>
    <definedName name="Google_Sheet_Link_761539032_174419560" hidden="1">ME_61_E</definedName>
    <definedName name="Google_Sheet_Link_7618786" hidden="1">RANGE52C</definedName>
    <definedName name="Google_Sheet_Link_76345645" hidden="1">ME_59_D</definedName>
    <definedName name="Google_Sheet_Link_764091354_1293901380" hidden="1">RANGE63C</definedName>
    <definedName name="Google_Sheet_Link_764930168_174419560" hidden="1">ME_125_D</definedName>
    <definedName name="Google_Sheet_Link_765177975" hidden="1">COMB_3_D</definedName>
    <definedName name="Google_Sheet_Link_767138593" hidden="1">NamedRange1</definedName>
    <definedName name="Google_Sheet_Link_767270529" hidden="1">RANGE18F</definedName>
    <definedName name="Google_Sheet_Link_768015404" hidden="1">ME_121_D</definedName>
    <definedName name="Google_Sheet_Link_76969359_174419560" hidden="1">ME_140_E</definedName>
    <definedName name="Google_Sheet_Link_769709162" hidden="1">ME_8_E</definedName>
    <definedName name="Google_Sheet_Link_770829611" hidden="1">ME_70_G</definedName>
    <definedName name="Google_Sheet_Link_771768637_174419560" hidden="1">ME_110_D</definedName>
    <definedName name="Google_Sheet_Link_773198728_1293901380" hidden="1">RANGE54F</definedName>
    <definedName name="Google_Sheet_Link_773218185_174419560" hidden="1">ME_147_E</definedName>
    <definedName name="Google_Sheet_Link_773891832_174419560" hidden="1">ME_87_E</definedName>
    <definedName name="Google_Sheet_Link_774701340_174419560" hidden="1">ME_134_D</definedName>
    <definedName name="Google_Sheet_Link_776076629" hidden="1">ME_86_E</definedName>
    <definedName name="Google_Sheet_Link_778127448" hidden="1">ME_147_E</definedName>
    <definedName name="Google_Sheet_Link_778155683" hidden="1">ME_81_D</definedName>
    <definedName name="Google_Sheet_Link_779682180_174419560" hidden="1">ME_35_G</definedName>
    <definedName name="Google_Sheet_Link_780377704_1293901380" hidden="1">RANGE33C</definedName>
    <definedName name="Google_Sheet_Link_783582344" hidden="1">RANGE63F</definedName>
    <definedName name="Google_Sheet_Link_784679676_174419560" hidden="1">ME_146_E</definedName>
    <definedName name="Google_Sheet_Link_785096507" hidden="1">RANGE46C</definedName>
    <definedName name="Google_Sheet_Link_787069432" hidden="1">ME_64_D</definedName>
    <definedName name="Google_Sheet_Link_787505161_174419560" hidden="1">ME_82_D</definedName>
    <definedName name="Google_Sheet_Link_790218845_174419560" hidden="1">ME_9_D</definedName>
    <definedName name="Google_Sheet_Link_791500861" hidden="1">ME_80_G</definedName>
    <definedName name="Google_Sheet_Link_792298565" hidden="1">ME_19_E</definedName>
    <definedName name="Google_Sheet_Link_792806988_174419560" hidden="1">ME_140_G</definedName>
    <definedName name="Google_Sheet_Link_793064161" hidden="1">ME_5_D</definedName>
    <definedName name="Google_Sheet_Link_794042206" hidden="1">ME_135_E</definedName>
    <definedName name="Google_Sheet_Link_794512419" hidden="1">ME_103_G</definedName>
    <definedName name="Google_Sheet_Link_794800798_1293901380" hidden="1">RANGE8F</definedName>
    <definedName name="Google_Sheet_Link_796563029" hidden="1">ME_9_D</definedName>
    <definedName name="Google_Sheet_Link_796718768" hidden="1">RANGE36C</definedName>
    <definedName name="Google_Sheet_Link_797328693" hidden="1">RANGE1F</definedName>
    <definedName name="Google_Sheet_Link_804022192_1293901380" hidden="1">RANGE25F</definedName>
    <definedName name="Google_Sheet_Link_807576140_1293901380" hidden="1">RANGE25C</definedName>
    <definedName name="Google_Sheet_Link_808423365" hidden="1">RANGE34C</definedName>
    <definedName name="Google_Sheet_Link_811177508" hidden="1">RANGE18C</definedName>
    <definedName name="Google_Sheet_Link_811585618" hidden="1">ME_122_E</definedName>
    <definedName name="Google_Sheet_Link_811623942" hidden="1">RANGE42F</definedName>
    <definedName name="Google_Sheet_Link_813041740_174419560" hidden="1">ME_26_G</definedName>
    <definedName name="Google_Sheet_Link_816650885" hidden="1">ME_117_G</definedName>
    <definedName name="Google_Sheet_Link_81694435" hidden="1">RANGE14C</definedName>
    <definedName name="Google_Sheet_Link_817826460_174419560" hidden="1">ME_117_G</definedName>
    <definedName name="Google_Sheet_Link_818079281" hidden="1">RANGE6F</definedName>
    <definedName name="Google_Sheet_Link_819293542_174419560" hidden="1">ME_52_D</definedName>
    <definedName name="Google_Sheet_Link_822755411_1293901380" hidden="1">RANGE30C</definedName>
    <definedName name="Google_Sheet_Link_823010835" hidden="1">RANGE64F</definedName>
    <definedName name="Google_Sheet_Link_823331777" hidden="1">RANGE73F</definedName>
    <definedName name="Google_Sheet_Link_823721025_174419560" hidden="1">ME_144_E</definedName>
    <definedName name="Google_Sheet_Link_825058191" hidden="1">ME_6_D</definedName>
    <definedName name="Google_Sheet_Link_825153683_174419560" hidden="1">ME_85_G</definedName>
    <definedName name="Google_Sheet_Link_825401770" hidden="1">ME_28_D</definedName>
    <definedName name="Google_Sheet_Link_825721717" hidden="1">ME_78_G</definedName>
    <definedName name="Google_Sheet_Link_827462193_174419560" hidden="1">ME_81_G</definedName>
    <definedName name="Google_Sheet_Link_827541301" hidden="1">COMB_7_E</definedName>
    <definedName name="Google_Sheet_Link_827794412" hidden="1">RANGE40C</definedName>
    <definedName name="Google_Sheet_Link_828640011" hidden="1">ME_111_E</definedName>
    <definedName name="Google_Sheet_Link_829646938" hidden="1">ME_1_D</definedName>
    <definedName name="Google_Sheet_Link_82988348" hidden="1">ME_54_E</definedName>
    <definedName name="Google_Sheet_Link_830726090" hidden="1">ME_89_E</definedName>
    <definedName name="Google_Sheet_Link_833393249_1293901380" hidden="1">RANGE89C</definedName>
    <definedName name="Google_Sheet_Link_834771781" hidden="1">RANGE26F</definedName>
    <definedName name="Google_Sheet_Link_834942340" hidden="1">ME_74_E</definedName>
    <definedName name="Google_Sheet_Link_836267905_174419560" hidden="1">ME_148_D</definedName>
    <definedName name="Google_Sheet_Link_83875038" hidden="1">ME_149_D</definedName>
    <definedName name="Google_Sheet_Link_839352571_1293901380" hidden="1">RANGE34C</definedName>
    <definedName name="Google_Sheet_Link_842081722_1293901380" hidden="1">RANGE22F</definedName>
    <definedName name="Google_Sheet_Link_84280345_1293901380" hidden="1">RANGE13C</definedName>
    <definedName name="Google_Sheet_Link_843147070_1293901380" hidden="1">RANGE54C</definedName>
    <definedName name="Google_Sheet_Link_843405943_174419560" hidden="1">ME_58_D</definedName>
    <definedName name="Google_Sheet_Link_848512493" hidden="1">RANGE85C</definedName>
    <definedName name="Google_Sheet_Link_850563278_1293901380" hidden="1">RANGE76F</definedName>
    <definedName name="Google_Sheet_Link_851711060" hidden="1">ME_3_D</definedName>
    <definedName name="Google_Sheet_Link_851768882" hidden="1">ME_48_D</definedName>
    <definedName name="Google_Sheet_Link_856903658" hidden="1">ME_125_G</definedName>
    <definedName name="Google_Sheet_Link_862861675_174419560" hidden="1">ME_74_G</definedName>
    <definedName name="Google_Sheet_Link_863749815_174419560" hidden="1">ME_126_E</definedName>
    <definedName name="Google_Sheet_Link_866016030_174419560" hidden="1">ME_84_G</definedName>
    <definedName name="Google_Sheet_Link_866500577" hidden="1">COMB_2_E</definedName>
    <definedName name="Google_Sheet_Link_869107432_174419560" hidden="1">ME_142_D</definedName>
    <definedName name="Google_Sheet_Link_873054622" hidden="1">ME_2_E</definedName>
    <definedName name="Google_Sheet_Link_8740400_174419560" hidden="1">ME_69_D</definedName>
    <definedName name="Google_Sheet_Link_875611471_1293901380" hidden="1">RANGE15F</definedName>
    <definedName name="Google_Sheet_Link_876977506_174419560" hidden="1">ME_129_E</definedName>
    <definedName name="Google_Sheet_Link_879781015" hidden="1">ME_80_D</definedName>
    <definedName name="Google_Sheet_Link_880947580_174419560" hidden="1">ME_74_E</definedName>
    <definedName name="Google_Sheet_Link_882656983_174419560" hidden="1">ME_40_D</definedName>
    <definedName name="Google_Sheet_Link_883203962_174419560" hidden="1">ME_121_G</definedName>
    <definedName name="Google_Sheet_Link_889597204" hidden="1">ME_142_D</definedName>
    <definedName name="Google_Sheet_Link_891508008_174419560" hidden="1">ME_20_D</definedName>
    <definedName name="Google_Sheet_Link_892720804" hidden="1">ME_149_E</definedName>
    <definedName name="Google_Sheet_Link_892901937" hidden="1">ME_77_D</definedName>
    <definedName name="Google_Sheet_Link_895183654" hidden="1">ME_114_E</definedName>
    <definedName name="Google_Sheet_Link_895241997_174419560" hidden="1">ME_93_D</definedName>
    <definedName name="Google_Sheet_Link_898640267_174419560" hidden="1">ME_3_G</definedName>
    <definedName name="Google_Sheet_Link_898983572" hidden="1">ME_92_D</definedName>
    <definedName name="Google_Sheet_Link_900342724_174419560" hidden="1">ME_106_G</definedName>
    <definedName name="Google_Sheet_Link_901030397" hidden="1">RANGE12F</definedName>
    <definedName name="Google_Sheet_Link_902332375_174419560" hidden="1">ME_16_D</definedName>
    <definedName name="Google_Sheet_Link_908134994" hidden="1">ME_79_E</definedName>
    <definedName name="Google_Sheet_Link_909421058_1293901380" hidden="1">RANGE78F</definedName>
    <definedName name="Google_Sheet_Link_911691712_174419560" hidden="1">ME_82_E</definedName>
    <definedName name="Google_Sheet_Link_912008107" hidden="1">RANGE3F</definedName>
    <definedName name="Google_Sheet_Link_912618693_1293901380" hidden="1">RANGE31F</definedName>
    <definedName name="Google_Sheet_Link_913016592" hidden="1">RANGE58C</definedName>
    <definedName name="Google_Sheet_Link_914766507_174419560" hidden="1">ME_22_D</definedName>
    <definedName name="Google_Sheet_Link_914834368" hidden="1">ME_17_G</definedName>
    <definedName name="Google_Sheet_Link_915391384_174419560" hidden="1">ME_10_D</definedName>
    <definedName name="Google_Sheet_Link_916025545_174419560" hidden="1">ME_46_G</definedName>
    <definedName name="Google_Sheet_Link_916544056" hidden="1">RANGE51F</definedName>
    <definedName name="Google_Sheet_Link_918790049" hidden="1">COMB_1_D</definedName>
    <definedName name="Google_Sheet_Link_919601804_1293901380" hidden="1">RANGE20F</definedName>
    <definedName name="Google_Sheet_Link_920554704_1293901380" hidden="1">RANGE43F</definedName>
    <definedName name="Google_Sheet_Link_921223623_1293901380" hidden="1">RANGE16F</definedName>
    <definedName name="Google_Sheet_Link_926288870" hidden="1">ME_113_E</definedName>
    <definedName name="Google_Sheet_Link_928567745" hidden="1">ME_47_D</definedName>
    <definedName name="Google_Sheet_Link_928861308" hidden="1">ME_56_G</definedName>
    <definedName name="Google_Sheet_Link_93483948_174419560" hidden="1">ME_104_E</definedName>
    <definedName name="Google_Sheet_Link_936184280_174419560" hidden="1">ME_100_G</definedName>
    <definedName name="Google_Sheet_Link_936440064_1293901380" hidden="1">RANGE39F</definedName>
    <definedName name="Google_Sheet_Link_938549418" hidden="1">ME_85_G</definedName>
    <definedName name="Google_Sheet_Link_938919771_174419560" hidden="1">ME_109_G</definedName>
    <definedName name="Google_Sheet_Link_941175918" hidden="1">ME_42_D</definedName>
    <definedName name="Google_Sheet_Link_941800942_174419560" hidden="1">ME_50_G</definedName>
    <definedName name="Google_Sheet_Link_941827783_1293901380" hidden="1">RANGE13F</definedName>
    <definedName name="Google_Sheet_Link_941974782" hidden="1">ME_107_D</definedName>
    <definedName name="Google_Sheet_Link_943010046_1293901380" hidden="1">RANGE26F</definedName>
    <definedName name="Google_Sheet_Link_943481478_1293901380" hidden="1">RANGE52C</definedName>
    <definedName name="Google_Sheet_Link_94624510" hidden="1">ME_68_D</definedName>
    <definedName name="Google_Sheet_Link_946266353_1293901380" hidden="1">RANGE46F</definedName>
    <definedName name="Google_Sheet_Link_946274968_174419560" hidden="1">ME_73_E</definedName>
    <definedName name="Google_Sheet_Link_947361507_174419560" hidden="1">ME_72_D</definedName>
    <definedName name="Google_Sheet_Link_947754984_174419560" hidden="1">ME_123_D</definedName>
    <definedName name="Google_Sheet_Link_94850931" hidden="1">ME_21_G</definedName>
    <definedName name="Google_Sheet_Link_950168109_174419560" hidden="1">ME_115_D</definedName>
    <definedName name="Google_Sheet_Link_952905078" hidden="1">ME_109_E</definedName>
    <definedName name="Google_Sheet_Link_953317444" hidden="1">RANGE9F</definedName>
    <definedName name="Google_Sheet_Link_95332649" hidden="1">ME_36_E</definedName>
    <definedName name="Google_Sheet_Link_953648416" hidden="1">RANGE12C</definedName>
    <definedName name="Google_Sheet_Link_954109121" hidden="1">ME_111_G</definedName>
    <definedName name="Google_Sheet_Link_955516878" hidden="1">ME_99_G</definedName>
    <definedName name="Google_Sheet_Link_956476454_1293901380" hidden="1">RANGE10C</definedName>
    <definedName name="Google_Sheet_Link_957963854" hidden="1">COMB_4_G</definedName>
    <definedName name="Google_Sheet_Link_958027333_174419560" hidden="1">ME_99_G</definedName>
    <definedName name="Google_Sheet_Link_961034043" hidden="1">RANGE65C</definedName>
    <definedName name="Google_Sheet_Link_962227141_1293901380" hidden="1">RANGE58F</definedName>
    <definedName name="Google_Sheet_Link_96347834_174419560" hidden="1">ME_146_G</definedName>
    <definedName name="Google_Sheet_Link_963733640_1293901380" hidden="1">RANGE44F</definedName>
    <definedName name="Google_Sheet_Link_966355333_174419560" hidden="1">ME_109_D</definedName>
    <definedName name="Google_Sheet_Link_970999609_1293901380" hidden="1">RANGE50F</definedName>
    <definedName name="Google_Sheet_Link_97209805" hidden="1">ME_83_E</definedName>
    <definedName name="Google_Sheet_Link_973111149_174419560" hidden="1">ME_143_G</definedName>
    <definedName name="Google_Sheet_Link_97449661" hidden="1">RANGE23C</definedName>
    <definedName name="Google_Sheet_Link_98227315_1293901380" hidden="1">RANGE21F</definedName>
    <definedName name="Google_Sheet_Link_982718156" hidden="1">COMB_1_G</definedName>
    <definedName name="Google_Sheet_Link_983764284" hidden="1">ME_134_E</definedName>
    <definedName name="Google_Sheet_Link_984659319" hidden="1">ME_133_D</definedName>
    <definedName name="Google_Sheet_Link_989378541" hidden="1">RANGE62C</definedName>
    <definedName name="Google_Sheet_Link_99002976" hidden="1">COMB_8_E</definedName>
    <definedName name="Google_Sheet_Link_997340147_174419560" hidden="1">ME_42_G</definedName>
    <definedName name="Google_Sheet_Link_999459111" hidden="1">ME_58_G</definedName>
    <definedName name="ME_1_D">'Mechanical Engineering Faculty'!$G$1494:$G$1543</definedName>
    <definedName name="ME_1_E">'Mechanical Engineering Faculty'!$H$1494:$H$1543</definedName>
    <definedName name="ME_1_G">'Mechanical Engineering Faculty'!$J$1494:$J$1543</definedName>
    <definedName name="ME_10_D">'Mechanical Engineering Faculty'!$G$1937:$G$1954</definedName>
    <definedName name="ME_10_E">'Mechanical Engineering Faculty'!$H$1937:$H$1954</definedName>
    <definedName name="ME_10_G">'Mechanical Engineering Faculty'!$J$1937:$J$1954</definedName>
    <definedName name="ME_100_D">'Mechanical Engineering Faculty'!$G$4970:$G$4986</definedName>
    <definedName name="ME_100_E">'Mechanical Engineering Faculty'!$H$4970:$H$4986</definedName>
    <definedName name="ME_100_G">'Mechanical Engineering Faculty'!$J$4970:$J$4986</definedName>
    <definedName name="ME_101_D">'Mechanical Engineering Faculty'!$G$4988:$G$5011</definedName>
    <definedName name="ME_101_E">'Mechanical Engineering Faculty'!$H$4988:$H$5011</definedName>
    <definedName name="ME_101_G">'Mechanical Engineering Faculty'!$J$4988:$J$5011</definedName>
    <definedName name="ME_102_D">'Mechanical Engineering Faculty'!$G$5013:$G$5028</definedName>
    <definedName name="ME_102_E">'Mechanical Engineering Faculty'!$H$5013:$H$5028</definedName>
    <definedName name="ME_102_G">'Mechanical Engineering Faculty'!$J$5013:$J$5028</definedName>
    <definedName name="ME_103_D">'Mechanical Engineering Faculty'!$G$5031:$G$5049</definedName>
    <definedName name="ME_103_E">'Mechanical Engineering Faculty'!$H$5031:$H$5049</definedName>
    <definedName name="ME_103_G">'Mechanical Engineering Faculty'!$J$5031:$J$5049</definedName>
    <definedName name="ME_104_D">'Mechanical Engineering Faculty'!$G$5051:$G$5082</definedName>
    <definedName name="ME_104_E">'Mechanical Engineering Faculty'!$H$5051:$H$5082</definedName>
    <definedName name="ME_104_G">'Mechanical Engineering Faculty'!$J$5051:$J$5082</definedName>
    <definedName name="ME_105_D">'Mechanical Engineering Faculty'!$G$5084:$G$5097</definedName>
    <definedName name="ME_105_E">'Mechanical Engineering Faculty'!$H$5084:$H$5097</definedName>
    <definedName name="ME_105_G">'Mechanical Engineering Faculty'!$J$5084:$J$5097</definedName>
    <definedName name="ME_106_D">'Mechanical Engineering Faculty'!$G$5102:$G$5118</definedName>
    <definedName name="ME_106_E">'Mechanical Engineering Faculty'!$H$5102:$H$5118</definedName>
    <definedName name="ME_106_G">'Mechanical Engineering Faculty'!$J$5102:$J$5118</definedName>
    <definedName name="ME_107_D">'Mechanical Engineering Faculty'!$G$5120:$G$5141</definedName>
    <definedName name="ME_107_E">'Mechanical Engineering Faculty'!$H$5120:$H$5141</definedName>
    <definedName name="ME_107_G">'Mechanical Engineering Faculty'!$J$5120:$J$5141</definedName>
    <definedName name="ME_108_D">'Mechanical Engineering Faculty'!$G$5143:$G$5157</definedName>
    <definedName name="ME_108_E">'Mechanical Engineering Faculty'!$H$5143:$H$5157</definedName>
    <definedName name="ME_108_G">'Mechanical Engineering Faculty'!$J$5143:$J$5157</definedName>
    <definedName name="ME_109_D">'Mechanical Engineering Faculty'!$G$5161:$G$5180</definedName>
    <definedName name="ME_109_E">'Mechanical Engineering Faculty'!$H$5161:$H$5180</definedName>
    <definedName name="ME_109_G">'Mechanical Engineering Faculty'!$J$5161:$J$5180</definedName>
    <definedName name="ME_11_D">'Mechanical Engineering Faculty'!$G$1956:$G$1990</definedName>
    <definedName name="ME_11_E">'Mechanical Engineering Faculty'!$H$1956:$H$1990</definedName>
    <definedName name="ME_11_G">'Mechanical Engineering Faculty'!$J$1956:$J$1990</definedName>
    <definedName name="ME_110_D">'Mechanical Engineering Faculty'!$G$5183:$G$5210</definedName>
    <definedName name="ME_110_E">'Mechanical Engineering Faculty'!$H$5183:$H$5210</definedName>
    <definedName name="ME_110_G">'Mechanical Engineering Faculty'!$J$5183:$J$5210</definedName>
    <definedName name="ME_111_D">'Mechanical Engineering Faculty'!$G$5212:$G$5226</definedName>
    <definedName name="ME_111_E">'Mechanical Engineering Faculty'!$H$5212:$H$5226</definedName>
    <definedName name="ME_111_G">'Mechanical Engineering Faculty'!$J$5212:$J$5226</definedName>
    <definedName name="ME_112_D">'Mechanical Engineering Faculty'!$G$5230:$G$5244</definedName>
    <definedName name="ME_112_E">'Mechanical Engineering Faculty'!$H$5230:$H$5244</definedName>
    <definedName name="ME_112_G">'Mechanical Engineering Faculty'!$J$5230:$J$5244</definedName>
    <definedName name="ME_113_D">'Mechanical Engineering Faculty'!$G$5248:$G$5261</definedName>
    <definedName name="ME_113_E">'Mechanical Engineering Faculty'!$H$5248:$H$5261</definedName>
    <definedName name="ME_113_G">'Mechanical Engineering Faculty'!$J$5248:$J$5261</definedName>
    <definedName name="ME_114_D">'Mechanical Engineering Faculty'!$G$5266:$G$5285</definedName>
    <definedName name="ME_114_E">'Mechanical Engineering Faculty'!$H$5266:$H$5285</definedName>
    <definedName name="ME_114_G">'Mechanical Engineering Faculty'!$J$5266:$J$5285</definedName>
    <definedName name="ME_115_D">'Mechanical Engineering Faculty'!$G$5287:$G$5302</definedName>
    <definedName name="ME_115_E">'Mechanical Engineering Faculty'!$H$5287:$H$5302</definedName>
    <definedName name="ME_115_G">'Mechanical Engineering Faculty'!$J$5287:$J$5302</definedName>
    <definedName name="ME_116_D">'Mechanical Engineering Faculty'!$G$5305:$G$5324</definedName>
    <definedName name="ME_116_E">'Mechanical Engineering Faculty'!$H$5305:$H$5324</definedName>
    <definedName name="ME_116_G">'Mechanical Engineering Faculty'!$J$5305:$J$5324</definedName>
    <definedName name="ME_117_D">'Mechanical Engineering Faculty'!$G$5344:$G$5354</definedName>
    <definedName name="ME_117_E">'Mechanical Engineering Faculty'!$H$5344:$H$5354</definedName>
    <definedName name="ME_117_G">'Mechanical Engineering Faculty'!$J$5344:$J$5354</definedName>
    <definedName name="ME_118_D">'Mechanical Engineering Faculty'!$G$5362:$G$5376</definedName>
    <definedName name="ME_118_E">'Mechanical Engineering Faculty'!$H$5362:$H$5376</definedName>
    <definedName name="ME_118_G">'Mechanical Engineering Faculty'!$J$5362:$J$5376</definedName>
    <definedName name="ME_119_D">'Mechanical Engineering Faculty'!$G$5380:$G$5391</definedName>
    <definedName name="ME_119_E">'Mechanical Engineering Faculty'!$H$5380:$H$5391</definedName>
    <definedName name="ME_119_G">'Mechanical Engineering Faculty'!$J$5380:$J$5391</definedName>
    <definedName name="ME_12_D">'Mechanical Engineering Faculty'!$G$1992:$G$2043</definedName>
    <definedName name="ME_12_E">'Mechanical Engineering Faculty'!$H$1992:$H$2043</definedName>
    <definedName name="ME_12_G">'Mechanical Engineering Faculty'!$J$1992:$J$2043</definedName>
    <definedName name="ME_120_D">'Mechanical Engineering Faculty'!$G$5398:$G$5427</definedName>
    <definedName name="ME_120_E">'Mechanical Engineering Faculty'!$H$5398:$H$5427</definedName>
    <definedName name="ME_120_G">'Mechanical Engineering Faculty'!$J$5398:$J$5427</definedName>
    <definedName name="ME_121_D">'Mechanical Engineering Faculty'!$G$5429:$G$5444</definedName>
    <definedName name="ME_121_E">'Mechanical Engineering Faculty'!$H$5429:$H$5444</definedName>
    <definedName name="ME_121_G">'Mechanical Engineering Faculty'!$J$5429:$J$5444</definedName>
    <definedName name="ME_122_D">'Mechanical Engineering Faculty'!$G$5447:$G$5462</definedName>
    <definedName name="ME_122_E">'Mechanical Engineering Faculty'!$H$5447:$H$5462</definedName>
    <definedName name="ME_122_G">'Mechanical Engineering Faculty'!$J$5447:$J$5462</definedName>
    <definedName name="ME_123_D">'Mechanical Engineering Faculty'!$G$5483:$G$5493</definedName>
    <definedName name="ME_123_E">'Mechanical Engineering Faculty'!$H$5483:$H$5493</definedName>
    <definedName name="ME_123_G">'Mechanical Engineering Faculty'!$J$5483:$J$5493</definedName>
    <definedName name="ME_124_D">'Mechanical Engineering Faculty'!$G$5502:$G$5514</definedName>
    <definedName name="ME_124_E">'Mechanical Engineering Faculty'!$H$5502:$H$5514</definedName>
    <definedName name="ME_124_G">'Mechanical Engineering Faculty'!$J$5502:$J$5514</definedName>
    <definedName name="ME_125_D">'Mechanical Engineering Faculty'!$G$5519:$G$5532</definedName>
    <definedName name="ME_125_E">'Mechanical Engineering Faculty'!$H$5519:$H$5532</definedName>
    <definedName name="ME_125_G">'Mechanical Engineering Faculty'!$J$5519:$J$5532</definedName>
    <definedName name="ME_126_D">'Mechanical Engineering Faculty'!$G$5537:$G$5550</definedName>
    <definedName name="ME_126_E">'Mechanical Engineering Faculty'!$H$5537:$H$5550</definedName>
    <definedName name="ME_126_G">'Mechanical Engineering Faculty'!$J$5537:$J$5550</definedName>
    <definedName name="ME_127_D">'Mechanical Engineering Faculty'!$G$5555:$G$5578</definedName>
    <definedName name="ME_127_E">'Mechanical Engineering Faculty'!$H$5555:$H$5578</definedName>
    <definedName name="ME_127_G">'Mechanical Engineering Faculty'!$J$5555:$J$5578</definedName>
    <definedName name="ME_128_D">'Mechanical Engineering Faculty'!$G$5580:$G$5595</definedName>
    <definedName name="ME_128_E">'Mechanical Engineering Faculty'!$H$5580:$H$5595</definedName>
    <definedName name="ME_128_G">'Mechanical Engineering Faculty'!$J$5580:$J$5595</definedName>
    <definedName name="ME_129_D">'Mechanical Engineering Faculty'!$G$5598:$G$5608</definedName>
    <definedName name="ME_129_E">'Mechanical Engineering Faculty'!$H$5598:$H$5608</definedName>
    <definedName name="ME_129_G">'Mechanical Engineering Faculty'!$J$5598:$J$5608</definedName>
    <definedName name="ME_13_D">'Mechanical Engineering Faculty'!$G$2045:$G$2066</definedName>
    <definedName name="ME_13_E">'Mechanical Engineering Faculty'!$H$2045:$H$2066</definedName>
    <definedName name="ME_13_G">'Mechanical Engineering Faculty'!$J$2045:$J$2066</definedName>
    <definedName name="ME_130_D">'Mechanical Engineering Faculty'!$G$5616:$G$5635</definedName>
    <definedName name="ME_130_E">'Mechanical Engineering Faculty'!$H$5616:$H$5635</definedName>
    <definedName name="ME_130_G">'Mechanical Engineering Faculty'!$J$5616:$J$5635</definedName>
    <definedName name="ME_131_D">'Mechanical Engineering Faculty'!$G$5637:$G$5666</definedName>
    <definedName name="ME_131_E">'Mechanical Engineering Faculty'!$H$5637:$H$5666</definedName>
    <definedName name="ME_131_G">'Mechanical Engineering Faculty'!$J$5637:$J$5666</definedName>
    <definedName name="ME_132_D">'Mechanical Engineering Faculty'!$G$5668:$G$5683</definedName>
    <definedName name="ME_132_E">'Mechanical Engineering Faculty'!$H$5668:$H$5683</definedName>
    <definedName name="ME_132_G">'Mechanical Engineering Faculty'!$J$5668:$J$5683</definedName>
    <definedName name="ME_133_D">'Mechanical Engineering Faculty'!$G$5686:$G$5710</definedName>
    <definedName name="ME_133_E">'Mechanical Engineering Faculty'!$H$5686:$H$5710</definedName>
    <definedName name="ME_133_G">'Mechanical Engineering Faculty'!$J$5686:$J$5710</definedName>
    <definedName name="ME_134_D">'Mechanical Engineering Faculty'!$G$5712:$G$5727</definedName>
    <definedName name="ME_134_E">'Mechanical Engineering Faculty'!$H$5712:$H$5727</definedName>
    <definedName name="ME_134_G">'Mechanical Engineering Faculty'!$J$5712:$J$5727</definedName>
    <definedName name="ME_135_D">'Mechanical Engineering Faculty'!$G$5730:$G$5745</definedName>
    <definedName name="ME_135_E">'Mechanical Engineering Faculty'!$H$5730:$H$5745</definedName>
    <definedName name="ME_135_G">'Mechanical Engineering Faculty'!$J$5730:$J$5745</definedName>
    <definedName name="ME_136_D">'Mechanical Engineering Faculty'!$G$5748:$G$5760</definedName>
    <definedName name="ME_136_E">'Mechanical Engineering Faculty'!$H$5748:$H$5760</definedName>
    <definedName name="ME_136_G">'Mechanical Engineering Faculty'!$J$5748:$J$5760</definedName>
    <definedName name="ME_137_D">'Mechanical Engineering Faculty'!$G$5766:$G$5784</definedName>
    <definedName name="ME_137_E">'Mechanical Engineering Faculty'!$H$5766:$H$5784</definedName>
    <definedName name="ME_137_G">'Mechanical Engineering Faculty'!$J$5766:$J$5784</definedName>
    <definedName name="ME_138_D">'Mechanical Engineering Faculty'!$G$5786:$G$5789</definedName>
    <definedName name="ME_138_E">'Mechanical Engineering Faculty'!$H$5786:$H$5789</definedName>
    <definedName name="ME_138_G">'Mechanical Engineering Faculty'!$J$5786:$J$5789</definedName>
    <definedName name="ME_139_D">'Mechanical Engineering Faculty'!$G$5804:$G$5816</definedName>
    <definedName name="ME_139_E">'Mechanical Engineering Faculty'!$H$5804:$H$5816</definedName>
    <definedName name="ME_139_G">'Mechanical Engineering Faculty'!$J$5804:$J$5816</definedName>
    <definedName name="ME_14_D">'Mechanical Engineering Faculty'!$G$2068:$G$2108</definedName>
    <definedName name="ME_14_E">'Mechanical Engineering Faculty'!$H$2068:$H$2108</definedName>
    <definedName name="ME_14_G">'Mechanical Engineering Faculty'!$J$2068:$J$2108</definedName>
    <definedName name="ME_140_D">'Mechanical Engineering Faculty'!$G$5822:$G$5832</definedName>
    <definedName name="ME_140_E">'Mechanical Engineering Faculty'!$H$5822:$H$5832</definedName>
    <definedName name="ME_140_G">'Mechanical Engineering Faculty'!$J$5822:$J$5832</definedName>
    <definedName name="ME_141_D">'Mechanical Engineering Faculty'!$G$5840:$G$5858</definedName>
    <definedName name="ME_141_E">'Mechanical Engineering Faculty'!$H$5840:$H$5858</definedName>
    <definedName name="ME_141_G">'Mechanical Engineering Faculty'!$J$5840:$J$5858</definedName>
    <definedName name="ME_142_D">'Mechanical Engineering Faculty'!$G$5860:$G$5868</definedName>
    <definedName name="ME_142_E">'Mechanical Engineering Faculty'!$H$5860:$H$5868</definedName>
    <definedName name="ME_142_G">'Mechanical Engineering Faculty'!$J$5860:$J$5868</definedName>
    <definedName name="ME_143_D">'Mechanical Engineering Faculty'!$G$5896:$G$5907</definedName>
    <definedName name="ME_143_E">'Mechanical Engineering Faculty'!$H$5896:$H$5907</definedName>
    <definedName name="ME_143_G">'Mechanical Engineering Faculty'!$J$5896:$J$5907</definedName>
    <definedName name="ME_144_D">'Mechanical Engineering Faculty'!$G$5914:$G$5933</definedName>
    <definedName name="ME_144_E">'Mechanical Engineering Faculty'!$H$5914:$H$5933</definedName>
    <definedName name="ME_144_G">'Mechanical Engineering Faculty'!$J$5914:$J$5933</definedName>
    <definedName name="ME_145_D">'Mechanical Engineering Faculty'!$G$5935:$G$5947</definedName>
    <definedName name="ME_145_E">'Mechanical Engineering Faculty'!$H$5935:$H$5947</definedName>
    <definedName name="ME_145_G">'Mechanical Engineering Faculty'!$J$5935:$J$5947</definedName>
    <definedName name="ME_146_D">'Mechanical Engineering Faculty'!$G$5953:$G$5965</definedName>
    <definedName name="ME_146_E">'Mechanical Engineering Faculty'!$H$5953:$H$5965</definedName>
    <definedName name="ME_146_G">'Mechanical Engineering Faculty'!$J$5953:$J$5965</definedName>
    <definedName name="ME_147_D">'Mechanical Engineering Faculty'!$G$5974:$G$5981</definedName>
    <definedName name="ME_147_E">'Mechanical Engineering Faculty'!$H$5974:$H$5981</definedName>
    <definedName name="ME_147_G">'Mechanical Engineering Faculty'!$J$5974:$J$5981</definedName>
    <definedName name="ME_148_D">'Mechanical Engineering Faculty'!$G$5992:$G$6008</definedName>
    <definedName name="ME_148_E">'Mechanical Engineering Faculty'!$H$5992:$H$6008</definedName>
    <definedName name="ME_148_G">'Mechanical Engineering Faculty'!$J$5992:$J$6008</definedName>
    <definedName name="ME_149_D">'Mechanical Engineering Faculty'!$G$6011:$G$6019</definedName>
    <definedName name="ME_149_E">'Mechanical Engineering Faculty'!$H$6011:$H$6019</definedName>
    <definedName name="ME_149_G">'Mechanical Engineering Faculty'!$J$6011:$J$6019</definedName>
    <definedName name="ME_15_D">'Mechanical Engineering Faculty'!$G$2110:$G$2154</definedName>
    <definedName name="ME_15_E">'Mechanical Engineering Faculty'!$H$2110:$H$2154</definedName>
    <definedName name="ME_15_G">'Mechanical Engineering Faculty'!$J$2110:$J$2154</definedName>
    <definedName name="ME_16_D">'Mechanical Engineering Faculty'!$G$2156:$G$2186</definedName>
    <definedName name="ME_16_E">'Mechanical Engineering Faculty'!$H$2156:$H$2186</definedName>
    <definedName name="ME_16_G">'Mechanical Engineering Faculty'!$J$2156:$J$2186</definedName>
    <definedName name="ME_17_D">'Mechanical Engineering Faculty'!$G$2189:$G$2242</definedName>
    <definedName name="ME_17_E">'Mechanical Engineering Faculty'!$H$2189:$H$2242</definedName>
    <definedName name="ME_17_G">'Mechanical Engineering Faculty'!$J$2189:$J$2242</definedName>
    <definedName name="ME_18_D">'Mechanical Engineering Faculty'!$G$2244:$G$2299</definedName>
    <definedName name="ME_18_E">'Mechanical Engineering Faculty'!$H$2244:$H$2299</definedName>
    <definedName name="ME_18_G">'Mechanical Engineering Faculty'!$J$2244:$J$2299</definedName>
    <definedName name="ME_19_D">'Mechanical Engineering Faculty'!$G$2320:$G$2358</definedName>
    <definedName name="ME_19_E">'Mechanical Engineering Faculty'!$H$2320:$H$2358</definedName>
    <definedName name="ME_19_G">'Mechanical Engineering Faculty'!$J$2320:$J$2358</definedName>
    <definedName name="ME_2_D">'Mechanical Engineering Faculty'!$G$1545:$G$1615</definedName>
    <definedName name="ME_2_E">'Mechanical Engineering Faculty'!$H$1545:$H$1615</definedName>
    <definedName name="ME_2_G">'Mechanical Engineering Faculty'!$J$1545:$J$1615</definedName>
    <definedName name="ME_20_D">'Mechanical Engineering Faculty'!$G$2360:$G$2385</definedName>
    <definedName name="ME_20_E">'Mechanical Engineering Faculty'!$H$2360:$H$2385</definedName>
    <definedName name="ME_20_G">'Mechanical Engineering Faculty'!$J$2360:$J$2385</definedName>
    <definedName name="ME_21_D">'Mechanical Engineering Faculty'!$G$2387:$G$2410</definedName>
    <definedName name="ME_21_E">'Mechanical Engineering Faculty'!$H$2387:$H$2410</definedName>
    <definedName name="ME_21_G">'Mechanical Engineering Faculty'!$J$2387:$J$2410</definedName>
    <definedName name="ME_22_D">'Mechanical Engineering Faculty'!$G$2412:$G$2462</definedName>
    <definedName name="ME_22_E">'Mechanical Engineering Faculty'!$H$2412:$H$2462</definedName>
    <definedName name="ME_22_G">'Mechanical Engineering Faculty'!$J$2412:$J$2462</definedName>
    <definedName name="ME_23_D">'Mechanical Engineering Faculty'!$G$2464:$G$2481</definedName>
    <definedName name="ME_23_E">'Mechanical Engineering Faculty'!$H$2464:$H$2481</definedName>
    <definedName name="ME_23_G">'Mechanical Engineering Faculty'!$J$2464:$J$2481</definedName>
    <definedName name="ME_24_D">'Mechanical Engineering Faculty'!$G$2483:$G$2534</definedName>
    <definedName name="ME_24_E">'Mechanical Engineering Faculty'!$H$2483:$H$2534</definedName>
    <definedName name="ME_24_G">'Mechanical Engineering Faculty'!$J$2483:$J$2534</definedName>
    <definedName name="ME_25_D">'Mechanical Engineering Faculty'!$G$2536:$G$2586</definedName>
    <definedName name="ME_25_E">'Mechanical Engineering Faculty'!$H$2536:$H$2586</definedName>
    <definedName name="ME_25_G">'Mechanical Engineering Faculty'!$J$2536:$J$2586</definedName>
    <definedName name="ME_26_D">'Mechanical Engineering Faculty'!$G$2588:$G$2625</definedName>
    <definedName name="ME_26_E">'Mechanical Engineering Faculty'!$H$2588:$H$2625</definedName>
    <definedName name="ME_26_G">'Mechanical Engineering Faculty'!$J$2588:$J$2625</definedName>
    <definedName name="ME_27_D">'Mechanical Engineering Faculty'!$G$2627:$G$2661</definedName>
    <definedName name="ME_27_E">'Mechanical Engineering Faculty'!$H$2627:$H$2661</definedName>
    <definedName name="ME_27_G">'Mechanical Engineering Faculty'!$J$2627:$J$2661</definedName>
    <definedName name="ME_28_D">'Mechanical Engineering Faculty'!$G$2663:$G$2704</definedName>
    <definedName name="ME_28_E">'Mechanical Engineering Faculty'!$H$2663:$H$2704</definedName>
    <definedName name="ME_28_G">'Mechanical Engineering Faculty'!$J$2663:$J$2704</definedName>
    <definedName name="ME_29_D">'Mechanical Engineering Faculty'!$G$2706:$G$2738</definedName>
    <definedName name="ME_29_E">'Mechanical Engineering Faculty'!$H$2706:$H$2738</definedName>
    <definedName name="ME_29_G">'Mechanical Engineering Faculty'!$J$2706:$J$2738</definedName>
    <definedName name="ME_3_D">'Mechanical Engineering Faculty'!$G$1616:$G$1634</definedName>
    <definedName name="ME_3_E">'Mechanical Engineering Faculty'!$H$1616:$H$1634</definedName>
    <definedName name="ME_3_G">'Mechanical Engineering Faculty'!$J$1616:$J$1634</definedName>
    <definedName name="ME_30_D">'Mechanical Engineering Faculty'!$G$2740:$G$2761</definedName>
    <definedName name="ME_30_E">'Mechanical Engineering Faculty'!$H$2740:$H$2761</definedName>
    <definedName name="ME_30_G">'Mechanical Engineering Faculty'!$J$2740:$J$2761</definedName>
    <definedName name="ME_31_D">'Mechanical Engineering Faculty'!$G$2763:$G$2804</definedName>
    <definedName name="ME_31_E">'Mechanical Engineering Faculty'!$H$2763:$H$2804</definedName>
    <definedName name="ME_31_G">'Mechanical Engineering Faculty'!$J$2763:$J$2804</definedName>
    <definedName name="ME_32_D">'Mechanical Engineering Faculty'!$G$2806:$G$2834</definedName>
    <definedName name="ME_32_E">'Mechanical Engineering Faculty'!$H$2806:$H$2834</definedName>
    <definedName name="ME_32_G">'Mechanical Engineering Faculty'!$J$2806:$J$2834</definedName>
    <definedName name="ME_33_D">'Mechanical Engineering Faculty'!$G$2836:$G$2874</definedName>
    <definedName name="ME_33_E">'Mechanical Engineering Faculty'!$H$2836:$H$2874</definedName>
    <definedName name="ME_33_G">'Mechanical Engineering Faculty'!$J$2836:$J$2874</definedName>
    <definedName name="ME_34_D">'Mechanical Engineering Faculty'!$G$2876:$G$2898</definedName>
    <definedName name="ME_34_E">'Mechanical Engineering Faculty'!$H$2876:$H$2898</definedName>
    <definedName name="ME_34_G">'Mechanical Engineering Faculty'!$J$2876:$J$2898</definedName>
    <definedName name="ME_35_D">'Mechanical Engineering Faculty'!$G$2900:$G$2954</definedName>
    <definedName name="ME_35_E">'Mechanical Engineering Faculty'!$H$2900:$H$2954</definedName>
    <definedName name="ME_35_G">'Mechanical Engineering Faculty'!$J$2900:$J$2954</definedName>
    <definedName name="ME_36_D">'Mechanical Engineering Faculty'!$G$2956:$G$2992</definedName>
    <definedName name="ME_36_E">'Mechanical Engineering Faculty'!$H$2956:$H$2992</definedName>
    <definedName name="ME_36_G">'Mechanical Engineering Faculty'!$J$2956:$J$2992</definedName>
    <definedName name="ME_37_D">'Mechanical Engineering Faculty'!$G$3012:$G$3038</definedName>
    <definedName name="ME_37_E">'Mechanical Engineering Faculty'!$H$3012:$H$3038</definedName>
    <definedName name="ME_37_G">'Mechanical Engineering Faculty'!$J$3012:$J$3038</definedName>
    <definedName name="ME_38_D">'Mechanical Engineering Faculty'!$G$3040:$G$3069</definedName>
    <definedName name="ME_38_E">'Mechanical Engineering Faculty'!$H$3040:$H$3069</definedName>
    <definedName name="ME_38_G">'Mechanical Engineering Faculty'!$J$3040:$J$3069</definedName>
    <definedName name="ME_39_D">'Mechanical Engineering Faculty'!$G$3071:$G$3106</definedName>
    <definedName name="ME_39_E">'Mechanical Engineering Faculty'!$H$3071:$H$3106</definedName>
    <definedName name="ME_39_G">'Mechanical Engineering Faculty'!$J$3071:$J$3106</definedName>
    <definedName name="ME_4_D">'Mechanical Engineering Faculty'!$G$1636:$G$1655</definedName>
    <definedName name="ME_4_E">'Mechanical Engineering Faculty'!$H$1636:$H$1655</definedName>
    <definedName name="ME_4_G">'Mechanical Engineering Faculty'!$J$1636:$J$1655</definedName>
    <definedName name="ME_40_D">'Mechanical Engineering Faculty'!$G$3108:$G$3134</definedName>
    <definedName name="ME_40_E">'Mechanical Engineering Faculty'!$H$3108:$H$3134</definedName>
    <definedName name="ME_40_G">'Mechanical Engineering Faculty'!$J$3108:$J$3134</definedName>
    <definedName name="ME_41_D">'Mechanical Engineering Faculty'!$G$3136:$G$3154</definedName>
    <definedName name="ME_41_E">'Mechanical Engineering Faculty'!$H$3136:$H$3154</definedName>
    <definedName name="ME_41_G">'Mechanical Engineering Faculty'!$J$3136:$J$3154</definedName>
    <definedName name="ME_42_D">'Mechanical Engineering Faculty'!$G$3156:$G$3182</definedName>
    <definedName name="ME_42_E">'Mechanical Engineering Faculty'!$H$3156:$H$3182</definedName>
    <definedName name="ME_42_G">'Mechanical Engineering Faculty'!$J$3156:$J$3182</definedName>
    <definedName name="ME_43_D">'Mechanical Engineering Faculty'!$G$3202:$G$3261</definedName>
    <definedName name="ME_43_E">'Mechanical Engineering Faculty'!$H$3202:$H$3261</definedName>
    <definedName name="ME_43_G">'Mechanical Engineering Faculty'!$J$3202:$J$3261</definedName>
    <definedName name="ME_44_D">'Mechanical Engineering Faculty'!$G$3263:$G$3307</definedName>
    <definedName name="ME_44_E">'Mechanical Engineering Faculty'!$H$3263:$H$3307</definedName>
    <definedName name="ME_44_G">'Mechanical Engineering Faculty'!$J$3263:$J$3307</definedName>
    <definedName name="ME_45_D">'Mechanical Engineering Faculty'!$G$3309:$G$3328</definedName>
    <definedName name="ME_45_E">'Mechanical Engineering Faculty'!$H$3309:$H$3328</definedName>
    <definedName name="ME_45_G">'Mechanical Engineering Faculty'!$J$3309:$J$3328</definedName>
    <definedName name="ME_46_D">'Mechanical Engineering Faculty'!$G$3348:$G$3365</definedName>
    <definedName name="ME_46_E">'Mechanical Engineering Faculty'!$H$3348:$H$3365</definedName>
    <definedName name="ME_46_G">'Mechanical Engineering Faculty'!$J$3348:$J$3365</definedName>
    <definedName name="ME_47_D">'Mechanical Engineering Faculty'!$G$3367:$G$3394</definedName>
    <definedName name="ME_47_E">'Mechanical Engineering Faculty'!$H$3367:$H$3394</definedName>
    <definedName name="ME_47_G">'Mechanical Engineering Faculty'!$J$3367:$J$3394</definedName>
    <definedName name="ME_48_D">'Mechanical Engineering Faculty'!$G$3396:$G$3424</definedName>
    <definedName name="ME_48_E">'Mechanical Engineering Faculty'!$H$3396:$H$3424</definedName>
    <definedName name="ME_48_G">'Mechanical Engineering Faculty'!$J$3396:$J$3424</definedName>
    <definedName name="ME_49_D">'Mechanical Engineering Faculty'!$G$3426:$G$3475</definedName>
    <definedName name="ME_49_E">'Mechanical Engineering Faculty'!$H$3426:$H$3475</definedName>
    <definedName name="ME_49_G">'Mechanical Engineering Faculty'!$J$3426:$J$3475</definedName>
    <definedName name="ME_5_D">'Mechanical Engineering Faculty'!$G$1658:$G$1719</definedName>
    <definedName name="ME_5_E">'Mechanical Engineering Faculty'!$H$1658:$H$1719</definedName>
    <definedName name="ME_5_G">'Mechanical Engineering Faculty'!$J$1658:$J$1719</definedName>
    <definedName name="ME_50_D">'Mechanical Engineering Faculty'!$G$3477:$G$3517</definedName>
    <definedName name="ME_50_E">'Mechanical Engineering Faculty'!$H$3477:$H$3517</definedName>
    <definedName name="ME_50_G">'Mechanical Engineering Faculty'!$J$3477:$J$3517</definedName>
    <definedName name="ME_51_D">'Mechanical Engineering Faculty'!$G$3519:$G$3553</definedName>
    <definedName name="ME_51_E">'Mechanical Engineering Faculty'!$H$3519:$H$3553</definedName>
    <definedName name="ME_51_G">'Mechanical Engineering Faculty'!$J$3519:$J$3553</definedName>
    <definedName name="ME_52_D">'Mechanical Engineering Faculty'!$G$3555:$G$3586</definedName>
    <definedName name="ME_52_E">'Mechanical Engineering Faculty'!$H$3555:$H$3586</definedName>
    <definedName name="ME_52_G">'Mechanical Engineering Faculty'!$J$3555:$J$3586</definedName>
    <definedName name="ME_53_D">'Mechanical Engineering Faculty'!$G$3588:$G$3616</definedName>
    <definedName name="ME_53_E">'Mechanical Engineering Faculty'!$H$3588:$H$3616</definedName>
    <definedName name="ME_53_G">'Mechanical Engineering Faculty'!$J$3588:$J$3616</definedName>
    <definedName name="ME_54_D">'Mechanical Engineering Faculty'!$G$3618:$G$3659</definedName>
    <definedName name="ME_54_E">'Mechanical Engineering Faculty'!$H$3618:$H$3659</definedName>
    <definedName name="ME_54_G">'Mechanical Engineering Faculty'!$J$3618:$J$3659</definedName>
    <definedName name="ME_55_D">'Mechanical Engineering Faculty'!$G$3661:$G$3691</definedName>
    <definedName name="ME_55_E">'Mechanical Engineering Faculty'!$H$3661:$H$3691</definedName>
    <definedName name="ME_55_G">'Mechanical Engineering Faculty'!$J$3661:$J$3691</definedName>
    <definedName name="ME_56_D">'Mechanical Engineering Faculty'!$G$3693:$G$3719</definedName>
    <definedName name="ME_56_E">'Mechanical Engineering Faculty'!$H$3693:$H$3719</definedName>
    <definedName name="ME_56_G">'Mechanical Engineering Faculty'!$J$3693:$J$3719</definedName>
    <definedName name="ME_57_D">'Mechanical Engineering Faculty'!$G$3721:$G$3757</definedName>
    <definedName name="ME_57_E">'Mechanical Engineering Faculty'!$H$3721:$H$3757</definedName>
    <definedName name="ME_57_G">'Mechanical Engineering Faculty'!$J$3721:$J$3757</definedName>
    <definedName name="ME_58_D">'Mechanical Engineering Faculty'!$G$3759:$G$3784</definedName>
    <definedName name="ME_58_E">'Mechanical Engineering Faculty'!$H$3759:$H$3784</definedName>
    <definedName name="ME_58_G">'Mechanical Engineering Faculty'!$J$3759:$J$3784</definedName>
    <definedName name="ME_59_D">'Mechanical Engineering Faculty'!$G$3786:$G$3820</definedName>
    <definedName name="ME_59_E">'Mechanical Engineering Faculty'!$H$3786:$H$3820</definedName>
    <definedName name="ME_59_G">'Mechanical Engineering Faculty'!$J$3786:$J$3820</definedName>
    <definedName name="ME_6_D">'Mechanical Engineering Faculty'!$G$1721:$G$1782</definedName>
    <definedName name="ME_6_E">'Mechanical Engineering Faculty'!$H$1721:$H$1782</definedName>
    <definedName name="ME_6_G">'Mechanical Engineering Faculty'!$J$1721:$J$1782</definedName>
    <definedName name="ME_60_D">'Mechanical Engineering Faculty'!$G$3822:$G$3853</definedName>
    <definedName name="ME_60_E">'Mechanical Engineering Faculty'!$H$3822:$H$3853</definedName>
    <definedName name="ME_60_G">'Mechanical Engineering Faculty'!$J$3822:$J$3853</definedName>
    <definedName name="ME_61_D">'Mechanical Engineering Faculty'!$G$3873:$G$3919</definedName>
    <definedName name="ME_61_E">'Mechanical Engineering Faculty'!$H$3873:$H$3919</definedName>
    <definedName name="ME_61_G">'Mechanical Engineering Faculty'!$J$3873:$J$3919</definedName>
    <definedName name="ME_62_D">'Mechanical Engineering Faculty'!$G$3921:$G$3944</definedName>
    <definedName name="ME_62_E">'Mechanical Engineering Faculty'!$H$3921:$H$3944</definedName>
    <definedName name="ME_62_G">'Mechanical Engineering Faculty'!$J$3921:$J$3944</definedName>
    <definedName name="ME_63_D">'Mechanical Engineering Faculty'!$G$3946:$G$3990</definedName>
    <definedName name="ME_63_E">'Mechanical Engineering Faculty'!$H$3946:$H$3990</definedName>
    <definedName name="ME_63_G">'Mechanical Engineering Faculty'!$J$3946:$J$3990</definedName>
    <definedName name="ME_64_D">'Mechanical Engineering Faculty'!$G$3992:$G$4025</definedName>
    <definedName name="ME_64_E">'Mechanical Engineering Faculty'!$H$3992:$H$4025</definedName>
    <definedName name="ME_64_G">'Mechanical Engineering Faculty'!$J$3992:$J$4025</definedName>
    <definedName name="ME_65_D">'Mechanical Engineering Faculty'!$G$4027:$G$4070</definedName>
    <definedName name="ME_65_E">'Mechanical Engineering Faculty'!$H$4027:$H$4070</definedName>
    <definedName name="ME_65_G">'Mechanical Engineering Faculty'!$J$4027:$J$4070</definedName>
    <definedName name="ME_66_D">'Mechanical Engineering Faculty'!$G$4072:$G$4105</definedName>
    <definedName name="ME_66_E">'Mechanical Engineering Faculty'!$H$4072:$H$4105</definedName>
    <definedName name="ME_66_G">'Mechanical Engineering Faculty'!$J$4072:$J$4105</definedName>
    <definedName name="ME_67_D">'Mechanical Engineering Faculty'!$G$4107:$G$4153</definedName>
    <definedName name="ME_67_E">'Mechanical Engineering Faculty'!$H$4107:$H$4153</definedName>
    <definedName name="ME_67_G">'Mechanical Engineering Faculty'!$J$4107:$J$4153</definedName>
    <definedName name="ME_68_D">'Mechanical Engineering Faculty'!$G$4155:$G$4176</definedName>
    <definedName name="ME_68_E">'Mechanical Engineering Faculty'!$H$4155:$H$4176</definedName>
    <definedName name="ME_68_G">'Mechanical Engineering Faculty'!$J$4155:$J$4176</definedName>
    <definedName name="ME_69_D">'Mechanical Engineering Faculty'!$G$4178:$G$4201</definedName>
    <definedName name="ME_69_E">'Mechanical Engineering Faculty'!$H$4178:$H$4201</definedName>
    <definedName name="ME_69_G">'Mechanical Engineering Faculty'!$J$4178:$J$4201</definedName>
    <definedName name="ME_7_D">'Mechanical Engineering Faculty'!$G$1784:$G$1817</definedName>
    <definedName name="ME_7_E">'Mechanical Engineering Faculty'!$H$1784:$H$1817</definedName>
    <definedName name="ME_7_G">'Mechanical Engineering Faculty'!$J$1784:$J$1817</definedName>
    <definedName name="ME_70_D">'Mechanical Engineering Faculty'!$G$4203:$G$4224</definedName>
    <definedName name="ME_70_E">'Mechanical Engineering Faculty'!$H$4203:$H$4224</definedName>
    <definedName name="ME_70_G">'Mechanical Engineering Faculty'!$J$4203:$J$4224</definedName>
    <definedName name="ME_71_D">'Mechanical Engineering Faculty'!$G$4226:$G$4249</definedName>
    <definedName name="ME_71_E">'Mechanical Engineering Faculty'!$H$4226:$H$4249</definedName>
    <definedName name="ME_71_G">'Mechanical Engineering Faculty'!$J$4226:$J$4249</definedName>
    <definedName name="ME_72_D">'Mechanical Engineering Faculty'!$G$4251:$G$4284</definedName>
    <definedName name="ME_72_E">'Mechanical Engineering Faculty'!$H$4251:$H$4284</definedName>
    <definedName name="ME_72_G">'Mechanical Engineering Faculty'!$J$4251:$J$4284</definedName>
    <definedName name="ME_73_D">'Mechanical Engineering Faculty'!$G$4286:$G$4320</definedName>
    <definedName name="ME_73_E">'Mechanical Engineering Faculty'!$H$4286:$H$4320</definedName>
    <definedName name="ME_73_G">'Mechanical Engineering Faculty'!$J$4286:$J$4320</definedName>
    <definedName name="ME_74_D">'Mechanical Engineering Faculty'!$G$4322:$G$4369</definedName>
    <definedName name="ME_74_E">'Mechanical Engineering Faculty'!$H$4322:$H$4369</definedName>
    <definedName name="ME_74_G">'Mechanical Engineering Faculty'!$J$4322:$J$4369</definedName>
    <definedName name="ME_75_D">'Mechanical Engineering Faculty'!$G$4371:$G$4388</definedName>
    <definedName name="ME_75_E">'Mechanical Engineering Faculty'!$H$4371:$H$4388</definedName>
    <definedName name="ME_75_G">'Mechanical Engineering Faculty'!$J$4371:$J$4388</definedName>
    <definedName name="ME_76_D">'Mechanical Engineering Faculty'!$G$4390:$G$4407</definedName>
    <definedName name="ME_76_E">'Mechanical Engineering Faculty'!$H$4390:$H$4407</definedName>
    <definedName name="ME_76_G">'Mechanical Engineering Faculty'!$J$4390:$J$4407</definedName>
    <definedName name="ME_77_D">'Mechanical Engineering Faculty'!$G$4427:$G$4451</definedName>
    <definedName name="ME_77_E">'Mechanical Engineering Faculty'!$H$4427:$H$4451</definedName>
    <definedName name="ME_77_G">'Mechanical Engineering Faculty'!$J$4427:$J$4451</definedName>
    <definedName name="ME_78_D">'Mechanical Engineering Faculty'!$G$4453:$G$4474</definedName>
    <definedName name="ME_78_E">'Mechanical Engineering Faculty'!$H$4453:$H$4474</definedName>
    <definedName name="ME_78_G">'Mechanical Engineering Faculty'!$J$4453:$J$4474</definedName>
    <definedName name="ME_79_D">'Mechanical Engineering Faculty'!$G$4476:$G$4501</definedName>
    <definedName name="ME_79_E">'Mechanical Engineering Faculty'!$H$4476:$H$4501</definedName>
    <definedName name="ME_79_G">'Mechanical Engineering Faculty'!$J$4476:$J$4501</definedName>
    <definedName name="ME_8_D">'Mechanical Engineering Faculty'!$G$1819:$G$1861</definedName>
    <definedName name="ME_8_E">'Mechanical Engineering Faculty'!$H$1819:$H$1861</definedName>
    <definedName name="ME_8_G">'Mechanical Engineering Faculty'!$J$1819:$J$1861</definedName>
    <definedName name="ME_80_D">'Mechanical Engineering Faculty'!$G$4503:$G$4543</definedName>
    <definedName name="ME_80_E">'Mechanical Engineering Faculty'!$H$4503:$H$4543</definedName>
    <definedName name="ME_80_G">'Mechanical Engineering Faculty'!$J$4503:$J$4543</definedName>
    <definedName name="ME_81_D">'Mechanical Engineering Faculty'!$G$4545:$G$4562</definedName>
    <definedName name="ME_81_E">'Mechanical Engineering Faculty'!$H$4545:$H$4562</definedName>
    <definedName name="ME_81_G">'Mechanical Engineering Faculty'!$J$4545:$J$4562</definedName>
    <definedName name="ME_82_D">'Mechanical Engineering Faculty'!$G$4564:$G$4596</definedName>
    <definedName name="ME_82_E">'Mechanical Engineering Faculty'!$H$4564:$H$4596</definedName>
    <definedName name="ME_82_G">'Mechanical Engineering Faculty'!$J$4564:$J$4596</definedName>
    <definedName name="ME_83_D">'Mechanical Engineering Faculty'!$G$4598:$G$4624</definedName>
    <definedName name="ME_83_E">'Mechanical Engineering Faculty'!$H$4598:$H$4624</definedName>
    <definedName name="ME_83_G">'Mechanical Engineering Faculty'!$J$4598:$J$4624</definedName>
    <definedName name="ME_84_D">'Mechanical Engineering Faculty'!$G$4626:$G$4647</definedName>
    <definedName name="ME_84_E">'Mechanical Engineering Faculty'!$H$4626:$H$4647</definedName>
    <definedName name="ME_84_G">'Mechanical Engineering Faculty'!$J$4626:$J$4647</definedName>
    <definedName name="ME_85_D">'Mechanical Engineering Faculty'!$G$4649:$G$4663</definedName>
    <definedName name="ME_85_E">'Mechanical Engineering Faculty'!$H$4649:$H$4663</definedName>
    <definedName name="ME_85_G">'Mechanical Engineering Faculty'!$J$4649:$J$4663</definedName>
    <definedName name="ME_86_D">'Mechanical Engineering Faculty'!$G$4667:$G$4684</definedName>
    <definedName name="ME_86_E">'Mechanical Engineering Faculty'!$H$4667:$H$4684</definedName>
    <definedName name="ME_86_G">'Mechanical Engineering Faculty'!$J$4667:$J$4684</definedName>
    <definedName name="ME_87_D">'Mechanical Engineering Faculty'!$G$4686:$G$4709</definedName>
    <definedName name="ME_87_E">'Mechanical Engineering Faculty'!$H$4686:$H$4709</definedName>
    <definedName name="ME_87_G">'Mechanical Engineering Faculty'!$J$4686:$J$4709</definedName>
    <definedName name="ME_88_D">'Mechanical Engineering Faculty'!$G$4711:$G$4720</definedName>
    <definedName name="ME_88_E">'Mechanical Engineering Faculty'!$H$4711:$H$4720</definedName>
    <definedName name="ME_88_G">'Mechanical Engineering Faculty'!$J$4711:$J$4720</definedName>
    <definedName name="ME_89_D">'Mechanical Engineering Faculty'!$G$4729:$G$4742</definedName>
    <definedName name="ME_89_E">'Mechanical Engineering Faculty'!$H$4729:$H$4742</definedName>
    <definedName name="ME_89_G">'Mechanical Engineering Faculty'!$J$4729:$J$4742</definedName>
    <definedName name="ME_9_D">'Mechanical Engineering Faculty'!$G$1865:$G$1935</definedName>
    <definedName name="ME_9_E">'Mechanical Engineering Faculty'!$H$1865:$H$1935</definedName>
    <definedName name="ME_9_G">'Mechanical Engineering Faculty'!$J$1865:$J$1935</definedName>
    <definedName name="ME_90_D">'Mechanical Engineering Faculty'!$G$4747:$G$4777</definedName>
    <definedName name="ME_90_E">'Mechanical Engineering Faculty'!$H$4747:$H$4777</definedName>
    <definedName name="ME_90_G">'Mechanical Engineering Faculty'!$J$4747:$J$4777</definedName>
    <definedName name="ME_91_D">'Mechanical Engineering Faculty'!$G$4797:$G$4809</definedName>
    <definedName name="ME_91_E">'Mechanical Engineering Faculty'!$H$4797:$H$4809</definedName>
    <definedName name="ME_91_G">'Mechanical Engineering Faculty'!$J$4797:$J$4809</definedName>
    <definedName name="ME_92_D">'Mechanical Engineering Faculty'!$G$4815:$G$4833</definedName>
    <definedName name="ME_92_E">'Mechanical Engineering Faculty'!$H$4815:$H$4833</definedName>
    <definedName name="ME_92_G">'Mechanical Engineering Faculty'!$J$4815:$J$4833</definedName>
    <definedName name="ME_93_D">'Mechanical Engineering Faculty'!$G$4835:$G$4847</definedName>
    <definedName name="ME_93_E">'Mechanical Engineering Faculty'!$H$4835:$H$4847</definedName>
    <definedName name="ME_93_G">'Mechanical Engineering Faculty'!$J$4835:$J$4847</definedName>
    <definedName name="ME_94_D">'Mechanical Engineering Faculty'!$G$4853:$G$4861</definedName>
    <definedName name="ME_94_E">'Mechanical Engineering Faculty'!$H$4853:$H$4861</definedName>
    <definedName name="ME_94_G">'Mechanical Engineering Faculty'!$J$4853:$J$4861</definedName>
    <definedName name="ME_95_D">'Mechanical Engineering Faculty'!$G$4871:$G$4888</definedName>
    <definedName name="ME_95_E">'Mechanical Engineering Faculty'!$H$4871:$H$4888</definedName>
    <definedName name="ME_95_G">'Mechanical Engineering Faculty'!$J$4871:$J$4888</definedName>
    <definedName name="ME_96_D">'Mechanical Engineering Faculty'!$G$4890:$G$4907</definedName>
    <definedName name="ME_96_E">'Mechanical Engineering Faculty'!$H$4890:$H$4907</definedName>
    <definedName name="ME_96_G">'Mechanical Engineering Faculty'!$J$4890:$J$4907</definedName>
    <definedName name="ME_97_D">'Mechanical Engineering Faculty'!$G$4909:$G$4922</definedName>
    <definedName name="ME_97_E">'Mechanical Engineering Faculty'!$H$4909:$H$4922</definedName>
    <definedName name="ME_97_G">'Mechanical Engineering Faculty'!$J$4909:$J$4922</definedName>
    <definedName name="ME_98_D">'Mechanical Engineering Faculty'!$G$4927:$G$4949</definedName>
    <definedName name="ME_98_E">'Mechanical Engineering Faculty'!$H$4927:$H$4949</definedName>
    <definedName name="ME_98_G">'Mechanical Engineering Faculty'!$J$4927:$J$4949</definedName>
    <definedName name="ME_99_D">'Mechanical Engineering Faculty'!$G$4951:$G$4968</definedName>
    <definedName name="ME_99_E">'Mechanical Engineering Faculty'!$H$4951:$H$4968</definedName>
    <definedName name="ME_99_G">'Mechanical Engineering Faculty'!$J$4951:$J$4968</definedName>
    <definedName name="NamedRange1">'Mechanical Engineering Faculty'!$J$562:$J$671</definedName>
    <definedName name="NamedRange2">'Mechanical Engineering Faculty'!$H$562:$H$672</definedName>
    <definedName name="RANGE10C">#REF!</definedName>
    <definedName name="RANGE10F">#REF!</definedName>
    <definedName name="RANGE11C">#REF!</definedName>
    <definedName name="RANGE11F">#REF!</definedName>
    <definedName name="RANGE12C">#REF!</definedName>
    <definedName name="RANGE12F">#REF!</definedName>
    <definedName name="RANGE13C">#REF!</definedName>
    <definedName name="RANGE13F">#REF!</definedName>
    <definedName name="RANGE14C">#REF!</definedName>
    <definedName name="RANGE14F">#REF!</definedName>
    <definedName name="RANGE15C">#REF!</definedName>
    <definedName name="RANGE15F">#REF!</definedName>
    <definedName name="RANGE16C">#REF!</definedName>
    <definedName name="RANGE16F">#REF!</definedName>
    <definedName name="RANGE17C">#REF!</definedName>
    <definedName name="RANGE17F">#REF!</definedName>
    <definedName name="RANGE18C">#REF!</definedName>
    <definedName name="RANGE18F">#REF!</definedName>
    <definedName name="RANGE19C">#REF!</definedName>
    <definedName name="RANGE19F">#REF!</definedName>
    <definedName name="RANGE1C">#REF!</definedName>
    <definedName name="RANGE1F">#REF!</definedName>
    <definedName name="RANGE20C">#REF!</definedName>
    <definedName name="RANGE20F">#REF!</definedName>
    <definedName name="RANGE21C">#REF!</definedName>
    <definedName name="RANGE21F">#REF!</definedName>
    <definedName name="RANGE22C">#REF!</definedName>
    <definedName name="RANGE22F">#REF!</definedName>
    <definedName name="RANGE23C">#REF!</definedName>
    <definedName name="RANGE23F">#REF!</definedName>
    <definedName name="RANGE24C">#REF!</definedName>
    <definedName name="RANGE24F">#REF!</definedName>
    <definedName name="RANGE25C">#REF!</definedName>
    <definedName name="RANGE25F">#REF!</definedName>
    <definedName name="RANGE26C">#REF!</definedName>
    <definedName name="RANGE26F">#REF!</definedName>
    <definedName name="RANGE27C">#REF!</definedName>
    <definedName name="RANGE27F">#REF!</definedName>
    <definedName name="RANGE28C">#REF!</definedName>
    <definedName name="RANGE28F">#REF!</definedName>
    <definedName name="RANGE29C">#REF!</definedName>
    <definedName name="RANGE29F">#REF!</definedName>
    <definedName name="RANGE2C">#REF!</definedName>
    <definedName name="RANGE2F">#REF!</definedName>
    <definedName name="RANGE30C">#REF!</definedName>
    <definedName name="RANGE30F">#REF!</definedName>
    <definedName name="RANGE31C">#REF!</definedName>
    <definedName name="RANGE31F">#REF!</definedName>
    <definedName name="RANGE32C">#REF!</definedName>
    <definedName name="RANGE32F">#REF!</definedName>
    <definedName name="RANGE33C">#REF!</definedName>
    <definedName name="RANGE33F">#REF!</definedName>
    <definedName name="RANGE34C">#REF!</definedName>
    <definedName name="RANGE34F">#REF!</definedName>
    <definedName name="RANGE35C">#REF!</definedName>
    <definedName name="RANGE35F">#REF!</definedName>
    <definedName name="RANGE36C">#REF!</definedName>
    <definedName name="RANGE36F">#REF!</definedName>
    <definedName name="RANGE37C">#REF!</definedName>
    <definedName name="RANGE37F">#REF!</definedName>
    <definedName name="RANGE38C">#REF!</definedName>
    <definedName name="RANGE38F">#REF!</definedName>
    <definedName name="RANGE39C">#REF!</definedName>
    <definedName name="RANGE39F">#REF!</definedName>
    <definedName name="RANGE3C">#REF!</definedName>
    <definedName name="RANGE3F">#REF!</definedName>
    <definedName name="RANGE40C">#REF!</definedName>
    <definedName name="RANGE40F">#REF!</definedName>
    <definedName name="RANGE41C">#REF!</definedName>
    <definedName name="RANGE41F">#REF!</definedName>
    <definedName name="RANGE42C">#REF!</definedName>
    <definedName name="RANGE42F">#REF!</definedName>
    <definedName name="RANGE43C">#REF!</definedName>
    <definedName name="RANGE43F">#REF!</definedName>
    <definedName name="RANGE44C">#REF!</definedName>
    <definedName name="RANGE44F">#REF!</definedName>
    <definedName name="RANGE45C">#REF!</definedName>
    <definedName name="RANGE45F">#REF!</definedName>
    <definedName name="RANGE46C">#REF!</definedName>
    <definedName name="RANGE46F">#REF!</definedName>
    <definedName name="RANGE47C">#REF!</definedName>
    <definedName name="RANGE47F">#REF!</definedName>
    <definedName name="RANGE48C">#REF!</definedName>
    <definedName name="RANGE48F">#REF!</definedName>
    <definedName name="RANGE49C">#REF!</definedName>
    <definedName name="RANGE49F">#REF!</definedName>
    <definedName name="RANGE4C">#REF!</definedName>
    <definedName name="RANGE4F">#REF!</definedName>
    <definedName name="RANGE50C">#REF!</definedName>
    <definedName name="RANGE50F">#REF!</definedName>
    <definedName name="RANGE51C">#REF!</definedName>
    <definedName name="RANGE51F">#REF!</definedName>
    <definedName name="RANGE52C">#REF!</definedName>
    <definedName name="RANGE52F">#REF!</definedName>
    <definedName name="RANGE53C">#REF!</definedName>
    <definedName name="RANGE53F">#REF!</definedName>
    <definedName name="RANGE54C">#REF!</definedName>
    <definedName name="RANGE54F">#REF!</definedName>
    <definedName name="RANGE55C">#REF!</definedName>
    <definedName name="RANGE55F">#REF!</definedName>
    <definedName name="RANGE56C">#REF!</definedName>
    <definedName name="RANGE56F">#REF!</definedName>
    <definedName name="RANGE57C">#REF!</definedName>
    <definedName name="RANGE57F">#REF!</definedName>
    <definedName name="RANGE58C">#REF!</definedName>
    <definedName name="RANGE58F">#REF!</definedName>
    <definedName name="RANGE59C">#REF!</definedName>
    <definedName name="RANGE59F">#REF!</definedName>
    <definedName name="RANGE5C">#REF!</definedName>
    <definedName name="RANGE5F">#REF!</definedName>
    <definedName name="RANGE60C">#REF!</definedName>
    <definedName name="RANGE60F">#REF!</definedName>
    <definedName name="RANGE61C">#REF!</definedName>
    <definedName name="RANGE61F">#REF!</definedName>
    <definedName name="RANGE62C">#REF!</definedName>
    <definedName name="RANGE62F">#REF!</definedName>
    <definedName name="RANGE63C">#REF!</definedName>
    <definedName name="RANGE63F">#REF!</definedName>
    <definedName name="RANGE64C">#REF!</definedName>
    <definedName name="RANGE64F">#REF!</definedName>
    <definedName name="RANGE65C">#REF!</definedName>
    <definedName name="RANGE65F">#REF!</definedName>
    <definedName name="RANGE66C">#REF!</definedName>
    <definedName name="RANGE66F">#REF!</definedName>
    <definedName name="RANGE67C">#REF!</definedName>
    <definedName name="RANGE67F">#REF!</definedName>
    <definedName name="RANGE68C">#REF!</definedName>
    <definedName name="RANGE68F">#REF!</definedName>
    <definedName name="RANGE69C">#REF!</definedName>
    <definedName name="RANGE69F">#REF!</definedName>
    <definedName name="RANGE6C">#REF!</definedName>
    <definedName name="RANGE6F">#REF!</definedName>
    <definedName name="RANGE70C">#REF!</definedName>
    <definedName name="RANGE70F">#REF!</definedName>
    <definedName name="RANGE71C">#REF!</definedName>
    <definedName name="RANGE71F">#REF!</definedName>
    <definedName name="RANGE72C">#REF!</definedName>
    <definedName name="RANGE72F">#REF!</definedName>
    <definedName name="RANGE73C">#REF!</definedName>
    <definedName name="RANGE73F">#REF!</definedName>
    <definedName name="RANGE74C">#REF!</definedName>
    <definedName name="RANGE74F">#REF!</definedName>
    <definedName name="RANGE75C">#REF!</definedName>
    <definedName name="RANGE75F">#REF!</definedName>
    <definedName name="RANGE76C">#REF!</definedName>
    <definedName name="RANGE76F">#REF!</definedName>
    <definedName name="RANGE78C">#REF!</definedName>
    <definedName name="RANGE78F">#REF!</definedName>
    <definedName name="RANGE79C">#REF!</definedName>
    <definedName name="RANGE79F">#REF!</definedName>
    <definedName name="RANGE7C">#REF!</definedName>
    <definedName name="RANGE7F">#REF!</definedName>
    <definedName name="RANGE81C">#REF!</definedName>
    <definedName name="RANGE81F">#REF!</definedName>
    <definedName name="RANGE83C">#REF!</definedName>
    <definedName name="RANGE83F">#REF!</definedName>
    <definedName name="RANGE84C">#REF!</definedName>
    <definedName name="RANGE84F">#REF!</definedName>
    <definedName name="RANGE85C">#REF!</definedName>
    <definedName name="RANGE85F">#REF!</definedName>
    <definedName name="RANGE88C">#REF!</definedName>
    <definedName name="RANGE88F">#REF!</definedName>
    <definedName name="RANGE89C">#REF!</definedName>
    <definedName name="RANGE89F">#REF!</definedName>
    <definedName name="RANGE8C">#REF!</definedName>
    <definedName name="RANGE8F">#REF!</definedName>
    <definedName name="RANGE9C">#REF!</definedName>
    <definedName name="RANGE9F">#REF!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xdmh7D7SAGOUAwisXiypBZATlW7WTREUPJylZVeg5GE="/>
    </ext>
  </extLst>
</workbook>
</file>

<file path=xl/calcChain.xml><?xml version="1.0" encoding="utf-8"?>
<calcChain xmlns="http://schemas.openxmlformats.org/spreadsheetml/2006/main">
  <c r="BJ173" i="2" l="1"/>
  <c r="BB173" i="2"/>
  <c r="AT173" i="2"/>
  <c r="AL173" i="2"/>
  <c r="AD173" i="2"/>
  <c r="AC173" i="2"/>
  <c r="AB173" i="2"/>
  <c r="AA173" i="2"/>
  <c r="Z173" i="2"/>
  <c r="Y173" i="2"/>
  <c r="X173" i="2"/>
  <c r="W173" i="2"/>
  <c r="S173" i="2"/>
  <c r="O173" i="2"/>
  <c r="N173" i="2"/>
  <c r="M173" i="2"/>
  <c r="J173" i="2"/>
  <c r="G173" i="2"/>
  <c r="BB163" i="2"/>
  <c r="AT163" i="2"/>
  <c r="AL163" i="2"/>
  <c r="AD163" i="2"/>
  <c r="AC163" i="2"/>
  <c r="AB163" i="2"/>
  <c r="AA163" i="2"/>
  <c r="Z163" i="2"/>
  <c r="Y163" i="2"/>
  <c r="X163" i="2"/>
  <c r="W163" i="2"/>
  <c r="S163" i="2"/>
  <c r="O163" i="2"/>
  <c r="N163" i="2"/>
  <c r="M163" i="2"/>
  <c r="J163" i="2"/>
  <c r="G163" i="2"/>
  <c r="BB174" i="2"/>
  <c r="AT174" i="2"/>
  <c r="AL174" i="2"/>
  <c r="AD174" i="2"/>
  <c r="AC174" i="2"/>
  <c r="AB174" i="2"/>
  <c r="AA174" i="2"/>
  <c r="Z174" i="2"/>
  <c r="Y174" i="2"/>
  <c r="X174" i="2"/>
  <c r="W174" i="2"/>
  <c r="S174" i="2"/>
  <c r="O174" i="2"/>
  <c r="N174" i="2"/>
  <c r="M174" i="2"/>
  <c r="J174" i="2"/>
  <c r="G174" i="2"/>
  <c r="BB159" i="2"/>
  <c r="AT159" i="2"/>
  <c r="AL159" i="2"/>
  <c r="AD159" i="2"/>
  <c r="AC159" i="2"/>
  <c r="AB159" i="2"/>
  <c r="AA159" i="2"/>
  <c r="Z159" i="2"/>
  <c r="Y159" i="2"/>
  <c r="X159" i="2"/>
  <c r="W159" i="2"/>
  <c r="S159" i="2"/>
  <c r="O159" i="2"/>
  <c r="N159" i="2"/>
  <c r="M159" i="2"/>
  <c r="J159" i="2"/>
  <c r="G159" i="2"/>
  <c r="BJ171" i="2"/>
  <c r="BB171" i="2"/>
  <c r="AT171" i="2"/>
  <c r="AL171" i="2"/>
  <c r="AD171" i="2"/>
  <c r="AC171" i="2"/>
  <c r="AB171" i="2"/>
  <c r="AA171" i="2"/>
  <c r="Z171" i="2"/>
  <c r="Y171" i="2"/>
  <c r="X171" i="2"/>
  <c r="W171" i="2"/>
  <c r="S171" i="2"/>
  <c r="O171" i="2"/>
  <c r="N171" i="2"/>
  <c r="M171" i="2"/>
  <c r="J171" i="2"/>
  <c r="G171" i="2"/>
  <c r="BJ170" i="2"/>
  <c r="BB170" i="2"/>
  <c r="AT170" i="2"/>
  <c r="AL170" i="2"/>
  <c r="AD170" i="2"/>
  <c r="AC170" i="2"/>
  <c r="AB170" i="2"/>
  <c r="AA170" i="2"/>
  <c r="Z170" i="2"/>
  <c r="Y170" i="2"/>
  <c r="X170" i="2"/>
  <c r="W170" i="2"/>
  <c r="S170" i="2"/>
  <c r="O170" i="2"/>
  <c r="N170" i="2"/>
  <c r="M170" i="2"/>
  <c r="J170" i="2"/>
  <c r="G170" i="2"/>
  <c r="BB158" i="2"/>
  <c r="AT158" i="2"/>
  <c r="AL158" i="2"/>
  <c r="AD158" i="2"/>
  <c r="AC158" i="2"/>
  <c r="AB158" i="2"/>
  <c r="AA158" i="2"/>
  <c r="Z158" i="2"/>
  <c r="Y158" i="2"/>
  <c r="X158" i="2"/>
  <c r="W158" i="2"/>
  <c r="S158" i="2"/>
  <c r="O158" i="2"/>
  <c r="N158" i="2"/>
  <c r="M158" i="2"/>
  <c r="J158" i="2"/>
  <c r="G158" i="2"/>
  <c r="BB169" i="2"/>
  <c r="AT169" i="2"/>
  <c r="AL169" i="2"/>
  <c r="AD169" i="2"/>
  <c r="AC169" i="2"/>
  <c r="AB169" i="2"/>
  <c r="AA169" i="2"/>
  <c r="Z169" i="2"/>
  <c r="Y169" i="2"/>
  <c r="X169" i="2"/>
  <c r="W169" i="2"/>
  <c r="S169" i="2"/>
  <c r="O169" i="2"/>
  <c r="N169" i="2"/>
  <c r="M169" i="2"/>
  <c r="J169" i="2"/>
  <c r="G169" i="2"/>
  <c r="BJ168" i="2"/>
  <c r="BB168" i="2"/>
  <c r="AT168" i="2"/>
  <c r="AL168" i="2"/>
  <c r="AD168" i="2"/>
  <c r="AC168" i="2"/>
  <c r="AB168" i="2"/>
  <c r="AA168" i="2"/>
  <c r="Z168" i="2"/>
  <c r="Y168" i="2"/>
  <c r="X168" i="2"/>
  <c r="W168" i="2"/>
  <c r="S168" i="2"/>
  <c r="O168" i="2"/>
  <c r="N168" i="2"/>
  <c r="M168" i="2"/>
  <c r="J168" i="2"/>
  <c r="G168" i="2"/>
  <c r="BJ149" i="2"/>
  <c r="BB149" i="2"/>
  <c r="AT149" i="2"/>
  <c r="AL149" i="2"/>
  <c r="AD149" i="2"/>
  <c r="AC149" i="2"/>
  <c r="AB149" i="2"/>
  <c r="AA149" i="2"/>
  <c r="Z149" i="2"/>
  <c r="Y149" i="2"/>
  <c r="X149" i="2"/>
  <c r="W149" i="2"/>
  <c r="S149" i="2"/>
  <c r="O149" i="2"/>
  <c r="N149" i="2"/>
  <c r="M149" i="2"/>
  <c r="J149" i="2"/>
  <c r="G149" i="2"/>
  <c r="BJ157" i="2"/>
  <c r="BB157" i="2"/>
  <c r="AT157" i="2"/>
  <c r="AL157" i="2"/>
  <c r="AD157" i="2"/>
  <c r="AC157" i="2"/>
  <c r="AB157" i="2"/>
  <c r="AA157" i="2"/>
  <c r="Z157" i="2"/>
  <c r="Y157" i="2"/>
  <c r="X157" i="2"/>
  <c r="W157" i="2"/>
  <c r="S157" i="2"/>
  <c r="O157" i="2"/>
  <c r="N157" i="2"/>
  <c r="M157" i="2"/>
  <c r="J157" i="2"/>
  <c r="G157" i="2"/>
  <c r="BJ167" i="2"/>
  <c r="BB167" i="2"/>
  <c r="AT167" i="2"/>
  <c r="AL167" i="2"/>
  <c r="AD167" i="2"/>
  <c r="AC167" i="2"/>
  <c r="AB167" i="2"/>
  <c r="AA167" i="2"/>
  <c r="Z167" i="2"/>
  <c r="Y167" i="2"/>
  <c r="X167" i="2"/>
  <c r="W167" i="2"/>
  <c r="S167" i="2"/>
  <c r="O167" i="2"/>
  <c r="N167" i="2"/>
  <c r="M167" i="2"/>
  <c r="J167" i="2"/>
  <c r="G167" i="2"/>
  <c r="BJ162" i="2"/>
  <c r="BB162" i="2"/>
  <c r="AT162" i="2"/>
  <c r="AL162" i="2"/>
  <c r="AD162" i="2"/>
  <c r="AC162" i="2"/>
  <c r="AB162" i="2"/>
  <c r="AA162" i="2"/>
  <c r="Z162" i="2"/>
  <c r="Y162" i="2"/>
  <c r="X162" i="2"/>
  <c r="W162" i="2"/>
  <c r="S162" i="2"/>
  <c r="O162" i="2"/>
  <c r="N162" i="2"/>
  <c r="M162" i="2"/>
  <c r="J162" i="2"/>
  <c r="G162" i="2"/>
  <c r="BB156" i="2"/>
  <c r="AT156" i="2"/>
  <c r="AL156" i="2"/>
  <c r="AD156" i="2"/>
  <c r="AC156" i="2"/>
  <c r="AB156" i="2"/>
  <c r="AA156" i="2"/>
  <c r="Z156" i="2"/>
  <c r="Y156" i="2"/>
  <c r="X156" i="2"/>
  <c r="W156" i="2"/>
  <c r="S156" i="2"/>
  <c r="O156" i="2"/>
  <c r="N156" i="2"/>
  <c r="M156" i="2"/>
  <c r="J156" i="2"/>
  <c r="G156" i="2"/>
  <c r="BB166" i="2"/>
  <c r="AT166" i="2"/>
  <c r="AL166" i="2"/>
  <c r="AD166" i="2"/>
  <c r="AC166" i="2"/>
  <c r="AB166" i="2"/>
  <c r="AA166" i="2"/>
  <c r="Z166" i="2"/>
  <c r="Y166" i="2"/>
  <c r="X166" i="2"/>
  <c r="W166" i="2"/>
  <c r="S166" i="2"/>
  <c r="O166" i="2"/>
  <c r="N166" i="2"/>
  <c r="M166" i="2"/>
  <c r="J166" i="2"/>
  <c r="G166" i="2"/>
  <c r="BB165" i="2"/>
  <c r="AT165" i="2"/>
  <c r="AL165" i="2"/>
  <c r="AD165" i="2"/>
  <c r="AC165" i="2"/>
  <c r="AB165" i="2"/>
  <c r="AA165" i="2"/>
  <c r="Z165" i="2"/>
  <c r="Y165" i="2"/>
  <c r="X165" i="2"/>
  <c r="W165" i="2"/>
  <c r="S165" i="2"/>
  <c r="O165" i="2"/>
  <c r="N165" i="2"/>
  <c r="M165" i="2"/>
  <c r="J165" i="2"/>
  <c r="G165" i="2"/>
  <c r="BB148" i="2"/>
  <c r="AT148" i="2"/>
  <c r="AL148" i="2"/>
  <c r="AD148" i="2"/>
  <c r="AC148" i="2"/>
  <c r="AB148" i="2"/>
  <c r="AA148" i="2"/>
  <c r="Z148" i="2"/>
  <c r="Y148" i="2"/>
  <c r="X148" i="2"/>
  <c r="W148" i="2"/>
  <c r="S148" i="2"/>
  <c r="O148" i="2"/>
  <c r="N148" i="2"/>
  <c r="M148" i="2"/>
  <c r="J148" i="2"/>
  <c r="G148" i="2"/>
  <c r="BJ147" i="2"/>
  <c r="BB147" i="2"/>
  <c r="AT147" i="2"/>
  <c r="AL147" i="2"/>
  <c r="AD147" i="2"/>
  <c r="AC147" i="2"/>
  <c r="AB147" i="2"/>
  <c r="AA147" i="2"/>
  <c r="Z147" i="2"/>
  <c r="Y147" i="2"/>
  <c r="X147" i="2"/>
  <c r="W147" i="2"/>
  <c r="S147" i="2"/>
  <c r="O147" i="2"/>
  <c r="N147" i="2"/>
  <c r="M147" i="2"/>
  <c r="J147" i="2"/>
  <c r="G147" i="2"/>
  <c r="BJ161" i="2"/>
  <c r="BB161" i="2"/>
  <c r="AT161" i="2"/>
  <c r="AL161" i="2"/>
  <c r="AD161" i="2"/>
  <c r="AC161" i="2"/>
  <c r="AB161" i="2"/>
  <c r="AA161" i="2"/>
  <c r="Z161" i="2"/>
  <c r="Y161" i="2"/>
  <c r="X161" i="2"/>
  <c r="W161" i="2"/>
  <c r="S161" i="2"/>
  <c r="O161" i="2"/>
  <c r="N161" i="2"/>
  <c r="M161" i="2"/>
  <c r="J161" i="2"/>
  <c r="G161" i="2"/>
  <c r="BJ146" i="2"/>
  <c r="BB146" i="2"/>
  <c r="AT146" i="2"/>
  <c r="AL146" i="2"/>
  <c r="AD146" i="2"/>
  <c r="AC146" i="2"/>
  <c r="AB146" i="2"/>
  <c r="AA146" i="2"/>
  <c r="Z146" i="2"/>
  <c r="Y146" i="2"/>
  <c r="X146" i="2"/>
  <c r="W146" i="2"/>
  <c r="S146" i="2"/>
  <c r="O146" i="2"/>
  <c r="N146" i="2"/>
  <c r="M146" i="2"/>
  <c r="J146" i="2"/>
  <c r="G146" i="2"/>
  <c r="BJ138" i="2"/>
  <c r="BB138" i="2"/>
  <c r="AT138" i="2"/>
  <c r="AL138" i="2"/>
  <c r="AD138" i="2"/>
  <c r="AC138" i="2"/>
  <c r="AB138" i="2"/>
  <c r="AA138" i="2"/>
  <c r="Z138" i="2"/>
  <c r="Y138" i="2"/>
  <c r="X138" i="2"/>
  <c r="W138" i="2"/>
  <c r="S138" i="2"/>
  <c r="O138" i="2"/>
  <c r="N138" i="2"/>
  <c r="M138" i="2"/>
  <c r="J138" i="2"/>
  <c r="G138" i="2"/>
  <c r="BJ145" i="2"/>
  <c r="BB145" i="2"/>
  <c r="AT145" i="2"/>
  <c r="AL145" i="2"/>
  <c r="AD145" i="2"/>
  <c r="AC145" i="2"/>
  <c r="AB145" i="2"/>
  <c r="AA145" i="2"/>
  <c r="Z145" i="2"/>
  <c r="Y145" i="2"/>
  <c r="X145" i="2"/>
  <c r="W145" i="2"/>
  <c r="S145" i="2"/>
  <c r="Q145" i="2"/>
  <c r="U145" i="2" s="1"/>
  <c r="P145" i="2"/>
  <c r="O145" i="2"/>
  <c r="N145" i="2"/>
  <c r="M145" i="2"/>
  <c r="J145" i="2"/>
  <c r="G145" i="2"/>
  <c r="BJ155" i="2"/>
  <c r="BB155" i="2"/>
  <c r="AT155" i="2"/>
  <c r="AL155" i="2"/>
  <c r="AD155" i="2"/>
  <c r="AC155" i="2"/>
  <c r="AB155" i="2"/>
  <c r="AA155" i="2"/>
  <c r="Z155" i="2"/>
  <c r="Y155" i="2"/>
  <c r="X155" i="2"/>
  <c r="W155" i="2"/>
  <c r="S155" i="2"/>
  <c r="O155" i="2"/>
  <c r="N155" i="2"/>
  <c r="M155" i="2"/>
  <c r="J155" i="2"/>
  <c r="G155" i="2"/>
  <c r="BJ164" i="2"/>
  <c r="BB164" i="2"/>
  <c r="AT164" i="2"/>
  <c r="AL164" i="2"/>
  <c r="AD164" i="2"/>
  <c r="AC164" i="2"/>
  <c r="AB164" i="2"/>
  <c r="AA164" i="2"/>
  <c r="Z164" i="2"/>
  <c r="Y164" i="2"/>
  <c r="X164" i="2"/>
  <c r="W164" i="2"/>
  <c r="S164" i="2"/>
  <c r="R164" i="2"/>
  <c r="Q164" i="2"/>
  <c r="O164" i="2"/>
  <c r="N164" i="2"/>
  <c r="M164" i="2"/>
  <c r="J164" i="2"/>
  <c r="G164" i="2"/>
  <c r="BB154" i="2"/>
  <c r="AT154" i="2"/>
  <c r="AL154" i="2"/>
  <c r="AD154" i="2"/>
  <c r="AC154" i="2"/>
  <c r="AB154" i="2"/>
  <c r="AA154" i="2"/>
  <c r="Z154" i="2"/>
  <c r="Y154" i="2"/>
  <c r="X154" i="2"/>
  <c r="W154" i="2"/>
  <c r="S154" i="2"/>
  <c r="O154" i="2"/>
  <c r="N154" i="2"/>
  <c r="M154" i="2"/>
  <c r="K154" i="2"/>
  <c r="L154" i="2" s="1"/>
  <c r="J154" i="2"/>
  <c r="G154" i="2"/>
  <c r="BJ153" i="2"/>
  <c r="BB153" i="2"/>
  <c r="AT153" i="2"/>
  <c r="AL153" i="2"/>
  <c r="AD153" i="2"/>
  <c r="AC153" i="2"/>
  <c r="AB153" i="2"/>
  <c r="AA153" i="2"/>
  <c r="Z153" i="2"/>
  <c r="Y153" i="2"/>
  <c r="X153" i="2"/>
  <c r="W153" i="2"/>
  <c r="S153" i="2"/>
  <c r="Q153" i="2"/>
  <c r="U153" i="2" s="1"/>
  <c r="O153" i="2"/>
  <c r="N153" i="2"/>
  <c r="M153" i="2"/>
  <c r="J153" i="2"/>
  <c r="G153" i="2"/>
  <c r="BJ144" i="2"/>
  <c r="BB144" i="2"/>
  <c r="AT144" i="2"/>
  <c r="AL144" i="2"/>
  <c r="AD144" i="2"/>
  <c r="AC144" i="2"/>
  <c r="AB144" i="2"/>
  <c r="AA144" i="2"/>
  <c r="Z144" i="2"/>
  <c r="Y144" i="2"/>
  <c r="X144" i="2"/>
  <c r="W144" i="2"/>
  <c r="S144" i="2"/>
  <c r="R144" i="2"/>
  <c r="O144" i="2"/>
  <c r="N144" i="2"/>
  <c r="M144" i="2"/>
  <c r="J144" i="2"/>
  <c r="G144" i="2"/>
  <c r="BJ137" i="2"/>
  <c r="BB137" i="2"/>
  <c r="AT137" i="2"/>
  <c r="AL137" i="2"/>
  <c r="AD137" i="2"/>
  <c r="AC137" i="2"/>
  <c r="AB137" i="2"/>
  <c r="AA137" i="2"/>
  <c r="Z137" i="2"/>
  <c r="Y137" i="2"/>
  <c r="X137" i="2"/>
  <c r="W137" i="2"/>
  <c r="S137" i="2"/>
  <c r="O137" i="2"/>
  <c r="N137" i="2"/>
  <c r="M137" i="2"/>
  <c r="J137" i="2"/>
  <c r="G137" i="2"/>
  <c r="BJ152" i="2"/>
  <c r="BB152" i="2"/>
  <c r="AT152" i="2"/>
  <c r="AL152" i="2"/>
  <c r="AD152" i="2"/>
  <c r="AC152" i="2"/>
  <c r="AB152" i="2"/>
  <c r="AA152" i="2"/>
  <c r="Z152" i="2"/>
  <c r="Y152" i="2"/>
  <c r="X152" i="2"/>
  <c r="W152" i="2"/>
  <c r="S152" i="2"/>
  <c r="O152" i="2"/>
  <c r="N152" i="2"/>
  <c r="M152" i="2"/>
  <c r="J152" i="2"/>
  <c r="G152" i="2"/>
  <c r="BJ143" i="2"/>
  <c r="BB143" i="2"/>
  <c r="AT143" i="2"/>
  <c r="AL143" i="2"/>
  <c r="AD143" i="2"/>
  <c r="AC143" i="2"/>
  <c r="AB143" i="2"/>
  <c r="AA143" i="2"/>
  <c r="Z143" i="2"/>
  <c r="Y143" i="2"/>
  <c r="X143" i="2"/>
  <c r="W143" i="2"/>
  <c r="S143" i="2"/>
  <c r="O143" i="2"/>
  <c r="N143" i="2"/>
  <c r="M143" i="2"/>
  <c r="J143" i="2"/>
  <c r="G143" i="2"/>
  <c r="BB160" i="2"/>
  <c r="AT160" i="2"/>
  <c r="AL160" i="2"/>
  <c r="AD160" i="2"/>
  <c r="AC160" i="2"/>
  <c r="AB160" i="2"/>
  <c r="AA160" i="2"/>
  <c r="Z160" i="2"/>
  <c r="Y160" i="2"/>
  <c r="X160" i="2"/>
  <c r="W160" i="2"/>
  <c r="S160" i="2"/>
  <c r="O160" i="2"/>
  <c r="N160" i="2"/>
  <c r="M160" i="2"/>
  <c r="J160" i="2"/>
  <c r="G160" i="2"/>
  <c r="BB136" i="2"/>
  <c r="AT136" i="2"/>
  <c r="AL136" i="2"/>
  <c r="AD136" i="2"/>
  <c r="AC136" i="2"/>
  <c r="AB136" i="2"/>
  <c r="AA136" i="2"/>
  <c r="Z136" i="2"/>
  <c r="Y136" i="2"/>
  <c r="X136" i="2"/>
  <c r="W136" i="2"/>
  <c r="S136" i="2"/>
  <c r="O136" i="2"/>
  <c r="N136" i="2"/>
  <c r="M136" i="2"/>
  <c r="J136" i="2"/>
  <c r="G136" i="2"/>
  <c r="BB135" i="2"/>
  <c r="AT135" i="2"/>
  <c r="AL135" i="2"/>
  <c r="AD135" i="2"/>
  <c r="AC135" i="2"/>
  <c r="AB135" i="2"/>
  <c r="AA135" i="2"/>
  <c r="Z135" i="2"/>
  <c r="Y135" i="2"/>
  <c r="X135" i="2"/>
  <c r="W135" i="2"/>
  <c r="S135" i="2"/>
  <c r="O135" i="2"/>
  <c r="N135" i="2"/>
  <c r="M135" i="2"/>
  <c r="J135" i="2"/>
  <c r="H135" i="2"/>
  <c r="G135" i="2"/>
  <c r="I135" i="2" s="1"/>
  <c r="BJ134" i="2"/>
  <c r="BB134" i="2"/>
  <c r="AT134" i="2"/>
  <c r="AL134" i="2"/>
  <c r="AD134" i="2"/>
  <c r="AC134" i="2"/>
  <c r="AB134" i="2"/>
  <c r="AA134" i="2"/>
  <c r="Z134" i="2"/>
  <c r="Y134" i="2"/>
  <c r="X134" i="2"/>
  <c r="W134" i="2"/>
  <c r="S134" i="2"/>
  <c r="O134" i="2"/>
  <c r="N134" i="2"/>
  <c r="M134" i="2"/>
  <c r="J134" i="2"/>
  <c r="G134" i="2"/>
  <c r="BJ133" i="2"/>
  <c r="BB133" i="2"/>
  <c r="AT133" i="2"/>
  <c r="AL133" i="2"/>
  <c r="AD133" i="2"/>
  <c r="AC133" i="2"/>
  <c r="AB133" i="2"/>
  <c r="AA133" i="2"/>
  <c r="Z133" i="2"/>
  <c r="Y133" i="2"/>
  <c r="X133" i="2"/>
  <c r="W133" i="2"/>
  <c r="S133" i="2"/>
  <c r="O133" i="2"/>
  <c r="N133" i="2"/>
  <c r="M133" i="2"/>
  <c r="J133" i="2"/>
  <c r="G133" i="2"/>
  <c r="BJ123" i="2"/>
  <c r="BB123" i="2"/>
  <c r="AT123" i="2"/>
  <c r="AL123" i="2"/>
  <c r="AD123" i="2"/>
  <c r="AC123" i="2"/>
  <c r="AB123" i="2"/>
  <c r="AA123" i="2"/>
  <c r="Z123" i="2"/>
  <c r="Y123" i="2"/>
  <c r="X123" i="2"/>
  <c r="W123" i="2"/>
  <c r="S123" i="2"/>
  <c r="O123" i="2"/>
  <c r="N123" i="2"/>
  <c r="M123" i="2"/>
  <c r="J123" i="2"/>
  <c r="G123" i="2"/>
  <c r="BJ172" i="2"/>
  <c r="BB172" i="2"/>
  <c r="AT172" i="2"/>
  <c r="AL172" i="2"/>
  <c r="AD172" i="2"/>
  <c r="AC172" i="2"/>
  <c r="AB172" i="2"/>
  <c r="AA172" i="2"/>
  <c r="Z172" i="2"/>
  <c r="Y172" i="2"/>
  <c r="X172" i="2"/>
  <c r="W172" i="2"/>
  <c r="S172" i="2"/>
  <c r="O172" i="2"/>
  <c r="N172" i="2"/>
  <c r="M172" i="2"/>
  <c r="J172" i="2"/>
  <c r="G172" i="2"/>
  <c r="BJ151" i="2"/>
  <c r="BB151" i="2"/>
  <c r="AT151" i="2"/>
  <c r="AL151" i="2"/>
  <c r="AD151" i="2"/>
  <c r="AC151" i="2"/>
  <c r="AB151" i="2"/>
  <c r="AA151" i="2"/>
  <c r="Z151" i="2"/>
  <c r="Y151" i="2"/>
  <c r="X151" i="2"/>
  <c r="W151" i="2"/>
  <c r="S151" i="2"/>
  <c r="O151" i="2"/>
  <c r="N151" i="2"/>
  <c r="M151" i="2"/>
  <c r="J151" i="2"/>
  <c r="G151" i="2"/>
  <c r="BJ132" i="2"/>
  <c r="BB132" i="2"/>
  <c r="AT132" i="2"/>
  <c r="AL132" i="2"/>
  <c r="AD132" i="2"/>
  <c r="AC132" i="2"/>
  <c r="AB132" i="2"/>
  <c r="AA132" i="2"/>
  <c r="Z132" i="2"/>
  <c r="Y132" i="2"/>
  <c r="X132" i="2"/>
  <c r="W132" i="2"/>
  <c r="S132" i="2"/>
  <c r="O132" i="2"/>
  <c r="N132" i="2"/>
  <c r="M132" i="2"/>
  <c r="J132" i="2"/>
  <c r="G132" i="2"/>
  <c r="BB122" i="2"/>
  <c r="AT122" i="2"/>
  <c r="AL122" i="2"/>
  <c r="AD122" i="2"/>
  <c r="AC122" i="2"/>
  <c r="AB122" i="2"/>
  <c r="AA122" i="2"/>
  <c r="Z122" i="2"/>
  <c r="Y122" i="2"/>
  <c r="X122" i="2"/>
  <c r="W122" i="2"/>
  <c r="S122" i="2"/>
  <c r="O122" i="2"/>
  <c r="N122" i="2"/>
  <c r="M122" i="2"/>
  <c r="J122" i="2"/>
  <c r="G122" i="2"/>
  <c r="BJ142" i="2"/>
  <c r="BB142" i="2"/>
  <c r="AT142" i="2"/>
  <c r="AL142" i="2"/>
  <c r="AD142" i="2"/>
  <c r="AC142" i="2"/>
  <c r="AB142" i="2"/>
  <c r="AA142" i="2"/>
  <c r="Z142" i="2"/>
  <c r="Y142" i="2"/>
  <c r="X142" i="2"/>
  <c r="W142" i="2"/>
  <c r="S142" i="2"/>
  <c r="O142" i="2"/>
  <c r="N142" i="2"/>
  <c r="M142" i="2"/>
  <c r="J142" i="2"/>
  <c r="G142" i="2"/>
  <c r="BJ150" i="2"/>
  <c r="BB150" i="2"/>
  <c r="AT150" i="2"/>
  <c r="AL150" i="2"/>
  <c r="AD150" i="2"/>
  <c r="AC150" i="2"/>
  <c r="AB150" i="2"/>
  <c r="AA150" i="2"/>
  <c r="Z150" i="2"/>
  <c r="Y150" i="2"/>
  <c r="X150" i="2"/>
  <c r="W150" i="2"/>
  <c r="S150" i="2"/>
  <c r="O150" i="2"/>
  <c r="N150" i="2"/>
  <c r="M150" i="2"/>
  <c r="J150" i="2"/>
  <c r="G150" i="2"/>
  <c r="BB131" i="2"/>
  <c r="AT131" i="2"/>
  <c r="AL131" i="2"/>
  <c r="AD131" i="2"/>
  <c r="AC131" i="2"/>
  <c r="AB131" i="2"/>
  <c r="AA131" i="2"/>
  <c r="Z131" i="2"/>
  <c r="Y131" i="2"/>
  <c r="X131" i="2"/>
  <c r="W131" i="2"/>
  <c r="S131" i="2"/>
  <c r="O131" i="2"/>
  <c r="N131" i="2"/>
  <c r="M131" i="2"/>
  <c r="J131" i="2"/>
  <c r="H131" i="2"/>
  <c r="G131" i="2"/>
  <c r="BJ121" i="2"/>
  <c r="BB121" i="2"/>
  <c r="AT121" i="2"/>
  <c r="AL121" i="2"/>
  <c r="AD121" i="2"/>
  <c r="AC121" i="2"/>
  <c r="AB121" i="2"/>
  <c r="AA121" i="2"/>
  <c r="Z121" i="2"/>
  <c r="Y121" i="2"/>
  <c r="X121" i="2"/>
  <c r="W121" i="2"/>
  <c r="S121" i="2"/>
  <c r="O121" i="2"/>
  <c r="N121" i="2"/>
  <c r="M121" i="2"/>
  <c r="J121" i="2"/>
  <c r="G121" i="2"/>
  <c r="BB130" i="2"/>
  <c r="AT130" i="2"/>
  <c r="AL130" i="2"/>
  <c r="AD130" i="2"/>
  <c r="AC130" i="2"/>
  <c r="AB130" i="2"/>
  <c r="AA130" i="2"/>
  <c r="Z130" i="2"/>
  <c r="Y130" i="2"/>
  <c r="X130" i="2"/>
  <c r="W130" i="2"/>
  <c r="S130" i="2"/>
  <c r="O130" i="2"/>
  <c r="N130" i="2"/>
  <c r="M130" i="2"/>
  <c r="J130" i="2"/>
  <c r="G130" i="2"/>
  <c r="BJ129" i="2"/>
  <c r="BB129" i="2"/>
  <c r="AT129" i="2"/>
  <c r="AL129" i="2"/>
  <c r="AD129" i="2"/>
  <c r="AC129" i="2"/>
  <c r="AB129" i="2"/>
  <c r="AA129" i="2"/>
  <c r="Z129" i="2"/>
  <c r="Y129" i="2"/>
  <c r="X129" i="2"/>
  <c r="W129" i="2"/>
  <c r="S129" i="2"/>
  <c r="O129" i="2"/>
  <c r="N129" i="2"/>
  <c r="M129" i="2"/>
  <c r="K129" i="2"/>
  <c r="L129" i="2" s="1"/>
  <c r="J129" i="2"/>
  <c r="G129" i="2"/>
  <c r="BJ116" i="2"/>
  <c r="BB116" i="2"/>
  <c r="AT116" i="2"/>
  <c r="AL116" i="2"/>
  <c r="AD116" i="2"/>
  <c r="AC116" i="2"/>
  <c r="AB116" i="2"/>
  <c r="AA116" i="2"/>
  <c r="Z116" i="2"/>
  <c r="Y116" i="2"/>
  <c r="X116" i="2"/>
  <c r="W116" i="2"/>
  <c r="S116" i="2"/>
  <c r="O116" i="2"/>
  <c r="N116" i="2"/>
  <c r="M116" i="2"/>
  <c r="J116" i="2"/>
  <c r="G116" i="2"/>
  <c r="BJ120" i="2"/>
  <c r="BB120" i="2"/>
  <c r="AT120" i="2"/>
  <c r="AL120" i="2"/>
  <c r="AD120" i="2"/>
  <c r="AC120" i="2"/>
  <c r="AB120" i="2"/>
  <c r="AA120" i="2"/>
  <c r="Z120" i="2"/>
  <c r="Y120" i="2"/>
  <c r="X120" i="2"/>
  <c r="W120" i="2"/>
  <c r="S120" i="2"/>
  <c r="O120" i="2"/>
  <c r="N120" i="2"/>
  <c r="M120" i="2"/>
  <c r="J120" i="2"/>
  <c r="G120" i="2"/>
  <c r="BJ128" i="2"/>
  <c r="BB128" i="2"/>
  <c r="AT128" i="2"/>
  <c r="AL128" i="2"/>
  <c r="AD128" i="2"/>
  <c r="AC128" i="2"/>
  <c r="AB128" i="2"/>
  <c r="AA128" i="2"/>
  <c r="Z128" i="2"/>
  <c r="Y128" i="2"/>
  <c r="X128" i="2"/>
  <c r="W128" i="2"/>
  <c r="S128" i="2"/>
  <c r="O128" i="2"/>
  <c r="N128" i="2"/>
  <c r="M128" i="2"/>
  <c r="J128" i="2"/>
  <c r="G128" i="2"/>
  <c r="BJ141" i="2"/>
  <c r="BB141" i="2"/>
  <c r="AT141" i="2"/>
  <c r="AL141" i="2"/>
  <c r="AD141" i="2"/>
  <c r="AC141" i="2"/>
  <c r="AB141" i="2"/>
  <c r="AA141" i="2"/>
  <c r="Z141" i="2"/>
  <c r="Y141" i="2"/>
  <c r="X141" i="2"/>
  <c r="W141" i="2"/>
  <c r="S141" i="2"/>
  <c r="O141" i="2"/>
  <c r="N141" i="2"/>
  <c r="M141" i="2"/>
  <c r="J141" i="2"/>
  <c r="G141" i="2"/>
  <c r="BB140" i="2"/>
  <c r="AT140" i="2"/>
  <c r="AL140" i="2"/>
  <c r="AD140" i="2"/>
  <c r="AC140" i="2"/>
  <c r="AB140" i="2"/>
  <c r="AA140" i="2"/>
  <c r="Z140" i="2"/>
  <c r="Y140" i="2"/>
  <c r="X140" i="2"/>
  <c r="W140" i="2"/>
  <c r="S140" i="2"/>
  <c r="P140" i="2"/>
  <c r="O140" i="2"/>
  <c r="N140" i="2"/>
  <c r="M140" i="2"/>
  <c r="J140" i="2"/>
  <c r="G140" i="2"/>
  <c r="BJ127" i="2"/>
  <c r="BB127" i="2"/>
  <c r="AT127" i="2"/>
  <c r="AL127" i="2"/>
  <c r="AD127" i="2"/>
  <c r="AC127" i="2"/>
  <c r="AB127" i="2"/>
  <c r="AA127" i="2"/>
  <c r="Z127" i="2"/>
  <c r="Y127" i="2"/>
  <c r="X127" i="2"/>
  <c r="W127" i="2"/>
  <c r="S127" i="2"/>
  <c r="O127" i="2"/>
  <c r="N127" i="2"/>
  <c r="M127" i="2"/>
  <c r="J127" i="2"/>
  <c r="H127" i="2"/>
  <c r="G127" i="2"/>
  <c r="BJ126" i="2"/>
  <c r="BB126" i="2"/>
  <c r="AT126" i="2"/>
  <c r="AL126" i="2"/>
  <c r="AD126" i="2"/>
  <c r="AC126" i="2"/>
  <c r="AB126" i="2"/>
  <c r="AA126" i="2"/>
  <c r="Z126" i="2"/>
  <c r="Y126" i="2"/>
  <c r="X126" i="2"/>
  <c r="W126" i="2"/>
  <c r="S126" i="2"/>
  <c r="O126" i="2"/>
  <c r="N126" i="2"/>
  <c r="M126" i="2"/>
  <c r="K126" i="2"/>
  <c r="J126" i="2"/>
  <c r="G126" i="2"/>
  <c r="BB139" i="2"/>
  <c r="AT139" i="2"/>
  <c r="AL139" i="2"/>
  <c r="AD139" i="2"/>
  <c r="AC139" i="2"/>
  <c r="AB139" i="2"/>
  <c r="AA139" i="2"/>
  <c r="Z139" i="2"/>
  <c r="Y139" i="2"/>
  <c r="X139" i="2"/>
  <c r="W139" i="2"/>
  <c r="S139" i="2"/>
  <c r="O139" i="2"/>
  <c r="N139" i="2"/>
  <c r="M139" i="2"/>
  <c r="J139" i="2"/>
  <c r="G139" i="2"/>
  <c r="BJ125" i="2"/>
  <c r="BB125" i="2"/>
  <c r="AT125" i="2"/>
  <c r="AL125" i="2"/>
  <c r="AD125" i="2"/>
  <c r="AC125" i="2"/>
  <c r="AB125" i="2"/>
  <c r="AA125" i="2"/>
  <c r="Z125" i="2"/>
  <c r="Y125" i="2"/>
  <c r="X125" i="2"/>
  <c r="W125" i="2"/>
  <c r="S125" i="2"/>
  <c r="O125" i="2"/>
  <c r="N125" i="2"/>
  <c r="M125" i="2"/>
  <c r="J125" i="2"/>
  <c r="G125" i="2"/>
  <c r="BJ124" i="2"/>
  <c r="BB124" i="2"/>
  <c r="AT124" i="2"/>
  <c r="AL124" i="2"/>
  <c r="AD124" i="2"/>
  <c r="AC124" i="2"/>
  <c r="AB124" i="2"/>
  <c r="AA124" i="2"/>
  <c r="Z124" i="2"/>
  <c r="Y124" i="2"/>
  <c r="X124" i="2"/>
  <c r="W124" i="2"/>
  <c r="S124" i="2"/>
  <c r="R124" i="2"/>
  <c r="V124" i="2" s="1"/>
  <c r="Q124" i="2"/>
  <c r="U124" i="2" s="1"/>
  <c r="O124" i="2"/>
  <c r="N124" i="2"/>
  <c r="M124" i="2"/>
  <c r="J124" i="2"/>
  <c r="G124" i="2"/>
  <c r="BJ115" i="2"/>
  <c r="BB115" i="2"/>
  <c r="AT115" i="2"/>
  <c r="AL115" i="2"/>
  <c r="AD115" i="2"/>
  <c r="AC115" i="2"/>
  <c r="AB115" i="2"/>
  <c r="AA115" i="2"/>
  <c r="Z115" i="2"/>
  <c r="Y115" i="2"/>
  <c r="X115" i="2"/>
  <c r="W115" i="2"/>
  <c r="S115" i="2"/>
  <c r="O115" i="2"/>
  <c r="N115" i="2"/>
  <c r="M115" i="2"/>
  <c r="J115" i="2"/>
  <c r="H115" i="2"/>
  <c r="G115" i="2"/>
  <c r="BJ114" i="2"/>
  <c r="BB114" i="2"/>
  <c r="AT114" i="2"/>
  <c r="AL114" i="2"/>
  <c r="AD114" i="2"/>
  <c r="AC114" i="2"/>
  <c r="AB114" i="2"/>
  <c r="AA114" i="2"/>
  <c r="Z114" i="2"/>
  <c r="Y114" i="2"/>
  <c r="X114" i="2"/>
  <c r="W114" i="2"/>
  <c r="S114" i="2"/>
  <c r="O114" i="2"/>
  <c r="N114" i="2"/>
  <c r="M114" i="2"/>
  <c r="J114" i="2"/>
  <c r="G114" i="2"/>
  <c r="BB100" i="2"/>
  <c r="AT100" i="2"/>
  <c r="AL100" i="2"/>
  <c r="AD100" i="2"/>
  <c r="AC100" i="2"/>
  <c r="AB100" i="2"/>
  <c r="AA100" i="2"/>
  <c r="Z100" i="2"/>
  <c r="Y100" i="2"/>
  <c r="X100" i="2"/>
  <c r="W100" i="2"/>
  <c r="S100" i="2"/>
  <c r="P100" i="2"/>
  <c r="O100" i="2"/>
  <c r="N100" i="2"/>
  <c r="M100" i="2"/>
  <c r="J100" i="2"/>
  <c r="G100" i="2"/>
  <c r="BJ113" i="2"/>
  <c r="BB113" i="2"/>
  <c r="AT113" i="2"/>
  <c r="AL113" i="2"/>
  <c r="AD113" i="2"/>
  <c r="AC113" i="2"/>
  <c r="AB113" i="2"/>
  <c r="AA113" i="2"/>
  <c r="Z113" i="2"/>
  <c r="Y113" i="2"/>
  <c r="X113" i="2"/>
  <c r="W113" i="2"/>
  <c r="S113" i="2"/>
  <c r="R113" i="2"/>
  <c r="V113" i="2" s="1"/>
  <c r="O113" i="2"/>
  <c r="N113" i="2"/>
  <c r="M113" i="2"/>
  <c r="J113" i="2"/>
  <c r="G113" i="2"/>
  <c r="BJ112" i="2"/>
  <c r="BB112" i="2"/>
  <c r="AT112" i="2"/>
  <c r="AL112" i="2"/>
  <c r="AD112" i="2"/>
  <c r="AC112" i="2"/>
  <c r="AB112" i="2"/>
  <c r="AA112" i="2"/>
  <c r="Z112" i="2"/>
  <c r="Y112" i="2"/>
  <c r="X112" i="2"/>
  <c r="W112" i="2"/>
  <c r="S112" i="2"/>
  <c r="Q112" i="2"/>
  <c r="O112" i="2"/>
  <c r="N112" i="2"/>
  <c r="M112" i="2"/>
  <c r="J112" i="2"/>
  <c r="G112" i="2"/>
  <c r="BB111" i="2"/>
  <c r="AT111" i="2"/>
  <c r="AL111" i="2"/>
  <c r="AD111" i="2"/>
  <c r="AC111" i="2"/>
  <c r="AB111" i="2"/>
  <c r="AA111" i="2"/>
  <c r="Z111" i="2"/>
  <c r="Y111" i="2"/>
  <c r="X111" i="2"/>
  <c r="W111" i="2"/>
  <c r="S111" i="2"/>
  <c r="Q111" i="2"/>
  <c r="P111" i="2"/>
  <c r="O111" i="2"/>
  <c r="N111" i="2"/>
  <c r="M111" i="2"/>
  <c r="J111" i="2"/>
  <c r="G111" i="2"/>
  <c r="BJ119" i="2"/>
  <c r="BB119" i="2"/>
  <c r="AT119" i="2"/>
  <c r="AL119" i="2"/>
  <c r="AD119" i="2"/>
  <c r="AC119" i="2"/>
  <c r="AB119" i="2"/>
  <c r="AA119" i="2"/>
  <c r="Z119" i="2"/>
  <c r="Y119" i="2"/>
  <c r="X119" i="2"/>
  <c r="W119" i="2"/>
  <c r="S119" i="2"/>
  <c r="O119" i="2"/>
  <c r="N119" i="2"/>
  <c r="M119" i="2"/>
  <c r="J119" i="2"/>
  <c r="G119" i="2"/>
  <c r="BB110" i="2"/>
  <c r="AT110" i="2"/>
  <c r="AL110" i="2"/>
  <c r="AD110" i="2"/>
  <c r="AC110" i="2"/>
  <c r="AB110" i="2"/>
  <c r="AA110" i="2"/>
  <c r="Z110" i="2"/>
  <c r="Y110" i="2"/>
  <c r="X110" i="2"/>
  <c r="W110" i="2"/>
  <c r="S110" i="2"/>
  <c r="O110" i="2"/>
  <c r="N110" i="2"/>
  <c r="M110" i="2"/>
  <c r="J110" i="2"/>
  <c r="G110" i="2"/>
  <c r="BJ118" i="2"/>
  <c r="BB118" i="2"/>
  <c r="AT118" i="2"/>
  <c r="AL118" i="2"/>
  <c r="AD118" i="2"/>
  <c r="AC118" i="2"/>
  <c r="AB118" i="2"/>
  <c r="AA118" i="2"/>
  <c r="Z118" i="2"/>
  <c r="Y118" i="2"/>
  <c r="X118" i="2"/>
  <c r="W118" i="2"/>
  <c r="S118" i="2"/>
  <c r="O118" i="2"/>
  <c r="N118" i="2"/>
  <c r="M118" i="2"/>
  <c r="J118" i="2"/>
  <c r="G118" i="2"/>
  <c r="BJ117" i="2"/>
  <c r="BB117" i="2"/>
  <c r="AT117" i="2"/>
  <c r="AL117" i="2"/>
  <c r="AD117" i="2"/>
  <c r="AC117" i="2"/>
  <c r="AB117" i="2"/>
  <c r="AA117" i="2"/>
  <c r="Z117" i="2"/>
  <c r="Y117" i="2"/>
  <c r="X117" i="2"/>
  <c r="W117" i="2"/>
  <c r="S117" i="2"/>
  <c r="O117" i="2"/>
  <c r="N117" i="2"/>
  <c r="M117" i="2"/>
  <c r="J117" i="2"/>
  <c r="G117" i="2"/>
  <c r="BJ99" i="2"/>
  <c r="BB99" i="2"/>
  <c r="AT99" i="2"/>
  <c r="AL99" i="2"/>
  <c r="AD99" i="2"/>
  <c r="AC99" i="2"/>
  <c r="AB99" i="2"/>
  <c r="AA99" i="2"/>
  <c r="Z99" i="2"/>
  <c r="Y99" i="2"/>
  <c r="X99" i="2"/>
  <c r="W99" i="2"/>
  <c r="S99" i="2"/>
  <c r="O99" i="2"/>
  <c r="N99" i="2"/>
  <c r="M99" i="2"/>
  <c r="J99" i="2"/>
  <c r="G99" i="2"/>
  <c r="BB109" i="2"/>
  <c r="AT109" i="2"/>
  <c r="AL109" i="2"/>
  <c r="AD109" i="2"/>
  <c r="AC109" i="2"/>
  <c r="AB109" i="2"/>
  <c r="AA109" i="2"/>
  <c r="Z109" i="2"/>
  <c r="Y109" i="2"/>
  <c r="X109" i="2"/>
  <c r="W109" i="2"/>
  <c r="S109" i="2"/>
  <c r="O109" i="2"/>
  <c r="N109" i="2"/>
  <c r="M109" i="2"/>
  <c r="J109" i="2"/>
  <c r="G109" i="2"/>
  <c r="BJ108" i="2"/>
  <c r="BB108" i="2"/>
  <c r="AT108" i="2"/>
  <c r="AL108" i="2"/>
  <c r="AD108" i="2"/>
  <c r="AC108" i="2"/>
  <c r="AB108" i="2"/>
  <c r="AA108" i="2"/>
  <c r="Z108" i="2"/>
  <c r="Y108" i="2"/>
  <c r="X108" i="2"/>
  <c r="W108" i="2"/>
  <c r="S108" i="2"/>
  <c r="O108" i="2"/>
  <c r="N108" i="2"/>
  <c r="M108" i="2"/>
  <c r="J108" i="2"/>
  <c r="G108" i="2"/>
  <c r="BJ107" i="2"/>
  <c r="BB107" i="2"/>
  <c r="AT107" i="2"/>
  <c r="AL107" i="2"/>
  <c r="AD107" i="2"/>
  <c r="AC107" i="2"/>
  <c r="AB107" i="2"/>
  <c r="AA107" i="2"/>
  <c r="Z107" i="2"/>
  <c r="Y107" i="2"/>
  <c r="X107" i="2"/>
  <c r="W107" i="2"/>
  <c r="S107" i="2"/>
  <c r="O107" i="2"/>
  <c r="N107" i="2"/>
  <c r="M107" i="2"/>
  <c r="J107" i="2"/>
  <c r="G107" i="2"/>
  <c r="BB106" i="2"/>
  <c r="AT106" i="2"/>
  <c r="AL106" i="2"/>
  <c r="AD106" i="2"/>
  <c r="AC106" i="2"/>
  <c r="AB106" i="2"/>
  <c r="AA106" i="2"/>
  <c r="Z106" i="2"/>
  <c r="Y106" i="2"/>
  <c r="X106" i="2"/>
  <c r="W106" i="2"/>
  <c r="S106" i="2"/>
  <c r="R106" i="2"/>
  <c r="P106" i="2"/>
  <c r="T106" i="2" s="1"/>
  <c r="O106" i="2"/>
  <c r="N106" i="2"/>
  <c r="M106" i="2"/>
  <c r="J106" i="2"/>
  <c r="G106" i="2"/>
  <c r="BJ98" i="2"/>
  <c r="BB98" i="2"/>
  <c r="AT98" i="2"/>
  <c r="AL98" i="2"/>
  <c r="AD98" i="2"/>
  <c r="AC98" i="2"/>
  <c r="AB98" i="2"/>
  <c r="AA98" i="2"/>
  <c r="Z98" i="2"/>
  <c r="Y98" i="2"/>
  <c r="X98" i="2"/>
  <c r="W98" i="2"/>
  <c r="S98" i="2"/>
  <c r="P98" i="2"/>
  <c r="O98" i="2"/>
  <c r="N98" i="2"/>
  <c r="M98" i="2"/>
  <c r="J98" i="2"/>
  <c r="G98" i="2"/>
  <c r="BJ105" i="2"/>
  <c r="BB105" i="2"/>
  <c r="AT105" i="2"/>
  <c r="AL105" i="2"/>
  <c r="AD105" i="2"/>
  <c r="AC105" i="2"/>
  <c r="AB105" i="2"/>
  <c r="AA105" i="2"/>
  <c r="Z105" i="2"/>
  <c r="Y105" i="2"/>
  <c r="X105" i="2"/>
  <c r="W105" i="2"/>
  <c r="S105" i="2"/>
  <c r="O105" i="2"/>
  <c r="N105" i="2"/>
  <c r="M105" i="2"/>
  <c r="J105" i="2"/>
  <c r="G105" i="2"/>
  <c r="BJ104" i="2"/>
  <c r="BB104" i="2"/>
  <c r="AT104" i="2"/>
  <c r="AL104" i="2"/>
  <c r="AD104" i="2"/>
  <c r="AC104" i="2"/>
  <c r="AB104" i="2"/>
  <c r="AA104" i="2"/>
  <c r="Z104" i="2"/>
  <c r="Y104" i="2"/>
  <c r="X104" i="2"/>
  <c r="W104" i="2"/>
  <c r="S104" i="2"/>
  <c r="O104" i="2"/>
  <c r="N104" i="2"/>
  <c r="M104" i="2"/>
  <c r="J104" i="2"/>
  <c r="G104" i="2"/>
  <c r="BJ90" i="2"/>
  <c r="BB90" i="2"/>
  <c r="AT90" i="2"/>
  <c r="AL90" i="2"/>
  <c r="AD90" i="2"/>
  <c r="AC90" i="2"/>
  <c r="AB90" i="2"/>
  <c r="AA90" i="2"/>
  <c r="Z90" i="2"/>
  <c r="Y90" i="2"/>
  <c r="X90" i="2"/>
  <c r="W90" i="2"/>
  <c r="S90" i="2"/>
  <c r="O90" i="2"/>
  <c r="N90" i="2"/>
  <c r="M90" i="2"/>
  <c r="J90" i="2"/>
  <c r="G90" i="2"/>
  <c r="BB103" i="2"/>
  <c r="AT103" i="2"/>
  <c r="AL103" i="2"/>
  <c r="AD103" i="2"/>
  <c r="AC103" i="2"/>
  <c r="AB103" i="2"/>
  <c r="AA103" i="2"/>
  <c r="Z103" i="2"/>
  <c r="Y103" i="2"/>
  <c r="X103" i="2"/>
  <c r="W103" i="2"/>
  <c r="S103" i="2"/>
  <c r="O103" i="2"/>
  <c r="N103" i="2"/>
  <c r="M103" i="2"/>
  <c r="J103" i="2"/>
  <c r="G103" i="2"/>
  <c r="BJ97" i="2"/>
  <c r="BB97" i="2"/>
  <c r="AT97" i="2"/>
  <c r="AL97" i="2"/>
  <c r="AD97" i="2"/>
  <c r="AC97" i="2"/>
  <c r="AB97" i="2"/>
  <c r="AA97" i="2"/>
  <c r="Z97" i="2"/>
  <c r="Y97" i="2"/>
  <c r="X97" i="2"/>
  <c r="W97" i="2"/>
  <c r="S97" i="2"/>
  <c r="O97" i="2"/>
  <c r="N97" i="2"/>
  <c r="M97" i="2"/>
  <c r="J97" i="2"/>
  <c r="G97" i="2"/>
  <c r="BB96" i="2"/>
  <c r="AT96" i="2"/>
  <c r="AL96" i="2"/>
  <c r="AD96" i="2"/>
  <c r="AC96" i="2"/>
  <c r="AB96" i="2"/>
  <c r="AA96" i="2"/>
  <c r="Z96" i="2"/>
  <c r="Y96" i="2"/>
  <c r="X96" i="2"/>
  <c r="W96" i="2"/>
  <c r="S96" i="2"/>
  <c r="O96" i="2"/>
  <c r="N96" i="2"/>
  <c r="M96" i="2"/>
  <c r="J96" i="2"/>
  <c r="G96" i="2"/>
  <c r="BJ95" i="2"/>
  <c r="BB95" i="2"/>
  <c r="AT95" i="2"/>
  <c r="AL95" i="2"/>
  <c r="AD95" i="2"/>
  <c r="AC95" i="2"/>
  <c r="AB95" i="2"/>
  <c r="AA95" i="2"/>
  <c r="Z95" i="2"/>
  <c r="Y95" i="2"/>
  <c r="X95" i="2"/>
  <c r="W95" i="2"/>
  <c r="S95" i="2"/>
  <c r="O95" i="2"/>
  <c r="N95" i="2"/>
  <c r="M95" i="2"/>
  <c r="J95" i="2"/>
  <c r="G95" i="2"/>
  <c r="BJ102" i="2"/>
  <c r="BB102" i="2"/>
  <c r="AT102" i="2"/>
  <c r="AL102" i="2"/>
  <c r="AD102" i="2"/>
  <c r="AC102" i="2"/>
  <c r="AB102" i="2"/>
  <c r="AA102" i="2"/>
  <c r="Z102" i="2"/>
  <c r="Y102" i="2"/>
  <c r="X102" i="2"/>
  <c r="W102" i="2"/>
  <c r="S102" i="2"/>
  <c r="O102" i="2"/>
  <c r="N102" i="2"/>
  <c r="M102" i="2"/>
  <c r="J102" i="2"/>
  <c r="G102" i="2"/>
  <c r="BB101" i="2"/>
  <c r="AT101" i="2"/>
  <c r="AL101" i="2"/>
  <c r="AD101" i="2"/>
  <c r="AC101" i="2"/>
  <c r="AB101" i="2"/>
  <c r="AA101" i="2"/>
  <c r="Z101" i="2"/>
  <c r="Y101" i="2"/>
  <c r="X101" i="2"/>
  <c r="W101" i="2"/>
  <c r="S101" i="2"/>
  <c r="O101" i="2"/>
  <c r="N101" i="2"/>
  <c r="M101" i="2"/>
  <c r="J101" i="2"/>
  <c r="G101" i="2"/>
  <c r="BJ89" i="2"/>
  <c r="BB89" i="2"/>
  <c r="AT89" i="2"/>
  <c r="AL89" i="2"/>
  <c r="AD89" i="2"/>
  <c r="AC89" i="2"/>
  <c r="AB89" i="2"/>
  <c r="AA89" i="2"/>
  <c r="Z89" i="2"/>
  <c r="Y89" i="2"/>
  <c r="X89" i="2"/>
  <c r="W89" i="2"/>
  <c r="S89" i="2"/>
  <c r="O89" i="2"/>
  <c r="N89" i="2"/>
  <c r="M89" i="2"/>
  <c r="J89" i="2"/>
  <c r="G89" i="2"/>
  <c r="BJ88" i="2"/>
  <c r="BB88" i="2"/>
  <c r="AT88" i="2"/>
  <c r="AL88" i="2"/>
  <c r="AD88" i="2"/>
  <c r="AC88" i="2"/>
  <c r="AB88" i="2"/>
  <c r="AA88" i="2"/>
  <c r="Z88" i="2"/>
  <c r="Y88" i="2"/>
  <c r="X88" i="2"/>
  <c r="W88" i="2"/>
  <c r="S88" i="2"/>
  <c r="Q88" i="2"/>
  <c r="P88" i="2"/>
  <c r="O88" i="2"/>
  <c r="N88" i="2"/>
  <c r="M88" i="2"/>
  <c r="J88" i="2"/>
  <c r="G88" i="2"/>
  <c r="BB94" i="2"/>
  <c r="AT94" i="2"/>
  <c r="AL94" i="2"/>
  <c r="AD94" i="2"/>
  <c r="AC94" i="2"/>
  <c r="AB94" i="2"/>
  <c r="AA94" i="2"/>
  <c r="Z94" i="2"/>
  <c r="Y94" i="2"/>
  <c r="X94" i="2"/>
  <c r="W94" i="2"/>
  <c r="S94" i="2"/>
  <c r="O94" i="2"/>
  <c r="N94" i="2"/>
  <c r="M94" i="2"/>
  <c r="K94" i="2"/>
  <c r="J94" i="2"/>
  <c r="G94" i="2"/>
  <c r="BJ87" i="2"/>
  <c r="BB87" i="2"/>
  <c r="AT87" i="2"/>
  <c r="AL87" i="2"/>
  <c r="AD87" i="2"/>
  <c r="AC87" i="2"/>
  <c r="AB87" i="2"/>
  <c r="AA87" i="2"/>
  <c r="Z87" i="2"/>
  <c r="Y87" i="2"/>
  <c r="X87" i="2"/>
  <c r="W87" i="2"/>
  <c r="S87" i="2"/>
  <c r="O87" i="2"/>
  <c r="N87" i="2"/>
  <c r="M87" i="2"/>
  <c r="J87" i="2"/>
  <c r="G87" i="2"/>
  <c r="BJ93" i="2"/>
  <c r="BB93" i="2"/>
  <c r="AT93" i="2"/>
  <c r="AL93" i="2"/>
  <c r="AD93" i="2"/>
  <c r="AC93" i="2"/>
  <c r="AB93" i="2"/>
  <c r="AA93" i="2"/>
  <c r="Z93" i="2"/>
  <c r="Y93" i="2"/>
  <c r="X93" i="2"/>
  <c r="W93" i="2"/>
  <c r="S93" i="2"/>
  <c r="O93" i="2"/>
  <c r="N93" i="2"/>
  <c r="M93" i="2"/>
  <c r="J93" i="2"/>
  <c r="G93" i="2"/>
  <c r="BJ86" i="2"/>
  <c r="BB86" i="2"/>
  <c r="AT86" i="2"/>
  <c r="AL86" i="2"/>
  <c r="AD86" i="2"/>
  <c r="AC86" i="2"/>
  <c r="AB86" i="2"/>
  <c r="AA86" i="2"/>
  <c r="Z86" i="2"/>
  <c r="Y86" i="2"/>
  <c r="X86" i="2"/>
  <c r="W86" i="2"/>
  <c r="S86" i="2"/>
  <c r="O86" i="2"/>
  <c r="N86" i="2"/>
  <c r="M86" i="2"/>
  <c r="J86" i="2"/>
  <c r="G86" i="2"/>
  <c r="BJ92" i="2"/>
  <c r="BB92" i="2"/>
  <c r="AT92" i="2"/>
  <c r="AL92" i="2"/>
  <c r="AD92" i="2"/>
  <c r="AC92" i="2"/>
  <c r="AB92" i="2"/>
  <c r="AA92" i="2"/>
  <c r="Z92" i="2"/>
  <c r="Y92" i="2"/>
  <c r="X92" i="2"/>
  <c r="W92" i="2"/>
  <c r="S92" i="2"/>
  <c r="O92" i="2"/>
  <c r="N92" i="2"/>
  <c r="M92" i="2"/>
  <c r="J92" i="2"/>
  <c r="G92" i="2"/>
  <c r="BB85" i="2"/>
  <c r="AT85" i="2"/>
  <c r="AL85" i="2"/>
  <c r="AD85" i="2"/>
  <c r="AC85" i="2"/>
  <c r="AB85" i="2"/>
  <c r="AA85" i="2"/>
  <c r="Z85" i="2"/>
  <c r="Y85" i="2"/>
  <c r="X85" i="2"/>
  <c r="W85" i="2"/>
  <c r="S85" i="2"/>
  <c r="O85" i="2"/>
  <c r="N85" i="2"/>
  <c r="M85" i="2"/>
  <c r="J85" i="2"/>
  <c r="G85" i="2"/>
  <c r="BJ91" i="2"/>
  <c r="BB91" i="2"/>
  <c r="AT91" i="2"/>
  <c r="AL91" i="2"/>
  <c r="AD91" i="2"/>
  <c r="AC91" i="2"/>
  <c r="AB91" i="2"/>
  <c r="AA91" i="2"/>
  <c r="Z91" i="2"/>
  <c r="Y91" i="2"/>
  <c r="X91" i="2"/>
  <c r="W91" i="2"/>
  <c r="S91" i="2"/>
  <c r="O91" i="2"/>
  <c r="N91" i="2"/>
  <c r="M91" i="2"/>
  <c r="J91" i="2"/>
  <c r="G91" i="2"/>
  <c r="BJ81" i="2"/>
  <c r="BB81" i="2"/>
  <c r="AT81" i="2"/>
  <c r="AL81" i="2"/>
  <c r="AD81" i="2"/>
  <c r="AC81" i="2"/>
  <c r="AB81" i="2"/>
  <c r="AA81" i="2"/>
  <c r="Z81" i="2"/>
  <c r="Y81" i="2"/>
  <c r="X81" i="2"/>
  <c r="W81" i="2"/>
  <c r="S81" i="2"/>
  <c r="O81" i="2"/>
  <c r="N81" i="2"/>
  <c r="M81" i="2"/>
  <c r="J81" i="2"/>
  <c r="G81" i="2"/>
  <c r="BJ84" i="2"/>
  <c r="BB84" i="2"/>
  <c r="AT84" i="2"/>
  <c r="AL84" i="2"/>
  <c r="AD84" i="2"/>
  <c r="AC84" i="2"/>
  <c r="AB84" i="2"/>
  <c r="AA84" i="2"/>
  <c r="Z84" i="2"/>
  <c r="Y84" i="2"/>
  <c r="X84" i="2"/>
  <c r="W84" i="2"/>
  <c r="S84" i="2"/>
  <c r="O84" i="2"/>
  <c r="N84" i="2"/>
  <c r="M84" i="2"/>
  <c r="J84" i="2"/>
  <c r="G84" i="2"/>
  <c r="BJ80" i="2"/>
  <c r="BB80" i="2"/>
  <c r="AT80" i="2"/>
  <c r="AL80" i="2"/>
  <c r="AD80" i="2"/>
  <c r="AC80" i="2"/>
  <c r="AB80" i="2"/>
  <c r="AA80" i="2"/>
  <c r="Z80" i="2"/>
  <c r="Y80" i="2"/>
  <c r="X80" i="2"/>
  <c r="W80" i="2"/>
  <c r="S80" i="2"/>
  <c r="Q80" i="2"/>
  <c r="U80" i="2" s="1"/>
  <c r="P80" i="2"/>
  <c r="O80" i="2"/>
  <c r="N80" i="2"/>
  <c r="M80" i="2"/>
  <c r="J80" i="2"/>
  <c r="G80" i="2"/>
  <c r="BJ79" i="2"/>
  <c r="BB79" i="2"/>
  <c r="AT79" i="2"/>
  <c r="AL79" i="2"/>
  <c r="AD79" i="2"/>
  <c r="AC79" i="2"/>
  <c r="AB79" i="2"/>
  <c r="AA79" i="2"/>
  <c r="Z79" i="2"/>
  <c r="Y79" i="2"/>
  <c r="X79" i="2"/>
  <c r="W79" i="2"/>
  <c r="S79" i="2"/>
  <c r="R79" i="2"/>
  <c r="O79" i="2"/>
  <c r="N79" i="2"/>
  <c r="M79" i="2"/>
  <c r="J79" i="2"/>
  <c r="G79" i="2"/>
  <c r="BJ78" i="2"/>
  <c r="BB78" i="2"/>
  <c r="AT78" i="2"/>
  <c r="AL78" i="2"/>
  <c r="AD78" i="2"/>
  <c r="AC78" i="2"/>
  <c r="AB78" i="2"/>
  <c r="AA78" i="2"/>
  <c r="Z78" i="2"/>
  <c r="Y78" i="2"/>
  <c r="X78" i="2"/>
  <c r="W78" i="2"/>
  <c r="S78" i="2"/>
  <c r="R78" i="2"/>
  <c r="O78" i="2"/>
  <c r="N78" i="2"/>
  <c r="M78" i="2"/>
  <c r="J78" i="2"/>
  <c r="G78" i="2"/>
  <c r="BB73" i="2"/>
  <c r="AT73" i="2"/>
  <c r="AL73" i="2"/>
  <c r="AD73" i="2"/>
  <c r="AC73" i="2"/>
  <c r="AB73" i="2"/>
  <c r="AA73" i="2"/>
  <c r="Z73" i="2"/>
  <c r="Y73" i="2"/>
  <c r="X73" i="2"/>
  <c r="W73" i="2"/>
  <c r="S73" i="2"/>
  <c r="O73" i="2"/>
  <c r="N73" i="2"/>
  <c r="M73" i="2"/>
  <c r="J73" i="2"/>
  <c r="G73" i="2"/>
  <c r="BB77" i="2"/>
  <c r="AT77" i="2"/>
  <c r="AL77" i="2"/>
  <c r="AD77" i="2"/>
  <c r="AC77" i="2"/>
  <c r="AB77" i="2"/>
  <c r="AA77" i="2"/>
  <c r="Z77" i="2"/>
  <c r="Y77" i="2"/>
  <c r="X77" i="2"/>
  <c r="W77" i="2"/>
  <c r="S77" i="2"/>
  <c r="O77" i="2"/>
  <c r="N77" i="2"/>
  <c r="M77" i="2"/>
  <c r="J77" i="2"/>
  <c r="G77" i="2"/>
  <c r="BJ76" i="2"/>
  <c r="BB76" i="2"/>
  <c r="AT76" i="2"/>
  <c r="AL76" i="2"/>
  <c r="AD76" i="2"/>
  <c r="AC76" i="2"/>
  <c r="AB76" i="2"/>
  <c r="AA76" i="2"/>
  <c r="Z76" i="2"/>
  <c r="Y76" i="2"/>
  <c r="X76" i="2"/>
  <c r="W76" i="2"/>
  <c r="S76" i="2"/>
  <c r="O76" i="2"/>
  <c r="N76" i="2"/>
  <c r="M76" i="2"/>
  <c r="J76" i="2"/>
  <c r="G76" i="2"/>
  <c r="BJ67" i="2"/>
  <c r="BB67" i="2"/>
  <c r="AT67" i="2"/>
  <c r="AL67" i="2"/>
  <c r="AD67" i="2"/>
  <c r="AC67" i="2"/>
  <c r="AB67" i="2"/>
  <c r="AA67" i="2"/>
  <c r="Z67" i="2"/>
  <c r="Y67" i="2"/>
  <c r="X67" i="2"/>
  <c r="W67" i="2"/>
  <c r="S67" i="2"/>
  <c r="O67" i="2"/>
  <c r="N67" i="2"/>
  <c r="M67" i="2"/>
  <c r="J67" i="2"/>
  <c r="G67" i="2"/>
  <c r="BJ75" i="2"/>
  <c r="BB75" i="2"/>
  <c r="AT75" i="2"/>
  <c r="AL75" i="2"/>
  <c r="AD75" i="2"/>
  <c r="AC75" i="2"/>
  <c r="AB75" i="2"/>
  <c r="AA75" i="2"/>
  <c r="Z75" i="2"/>
  <c r="Y75" i="2"/>
  <c r="X75" i="2"/>
  <c r="W75" i="2"/>
  <c r="S75" i="2"/>
  <c r="O75" i="2"/>
  <c r="N75" i="2"/>
  <c r="M75" i="2"/>
  <c r="J75" i="2"/>
  <c r="G75" i="2"/>
  <c r="BB66" i="2"/>
  <c r="AT66" i="2"/>
  <c r="AL66" i="2"/>
  <c r="AD66" i="2"/>
  <c r="AC66" i="2"/>
  <c r="AB66" i="2"/>
  <c r="AA66" i="2"/>
  <c r="Z66" i="2"/>
  <c r="Y66" i="2"/>
  <c r="X66" i="2"/>
  <c r="W66" i="2"/>
  <c r="S66" i="2"/>
  <c r="O66" i="2"/>
  <c r="N66" i="2"/>
  <c r="M66" i="2"/>
  <c r="J66" i="2"/>
  <c r="G66" i="2"/>
  <c r="BB72" i="2"/>
  <c r="AT72" i="2"/>
  <c r="AL72" i="2"/>
  <c r="AD72" i="2"/>
  <c r="AC72" i="2"/>
  <c r="AB72" i="2"/>
  <c r="AA72" i="2"/>
  <c r="Z72" i="2"/>
  <c r="Y72" i="2"/>
  <c r="X72" i="2"/>
  <c r="W72" i="2"/>
  <c r="S72" i="2"/>
  <c r="Q72" i="2"/>
  <c r="U72" i="2" s="1"/>
  <c r="O72" i="2"/>
  <c r="N72" i="2"/>
  <c r="M72" i="2"/>
  <c r="J72" i="2"/>
  <c r="G72" i="2"/>
  <c r="BB83" i="2"/>
  <c r="AT83" i="2"/>
  <c r="AL83" i="2"/>
  <c r="AD83" i="2"/>
  <c r="AC83" i="2"/>
  <c r="AB83" i="2"/>
  <c r="AA83" i="2"/>
  <c r="Z83" i="2"/>
  <c r="Y83" i="2"/>
  <c r="X83" i="2"/>
  <c r="W83" i="2"/>
  <c r="S83" i="2"/>
  <c r="O83" i="2"/>
  <c r="N83" i="2"/>
  <c r="M83" i="2"/>
  <c r="J83" i="2"/>
  <c r="G83" i="2"/>
  <c r="BJ71" i="2"/>
  <c r="BB71" i="2"/>
  <c r="AT71" i="2"/>
  <c r="AL71" i="2"/>
  <c r="AD71" i="2"/>
  <c r="AC71" i="2"/>
  <c r="AB71" i="2"/>
  <c r="AA71" i="2"/>
  <c r="Z71" i="2"/>
  <c r="Y71" i="2"/>
  <c r="X71" i="2"/>
  <c r="W71" i="2"/>
  <c r="S71" i="2"/>
  <c r="R71" i="2"/>
  <c r="Q71" i="2"/>
  <c r="U71" i="2" s="1"/>
  <c r="P71" i="2"/>
  <c r="O71" i="2"/>
  <c r="V71" i="2" s="1"/>
  <c r="N71" i="2"/>
  <c r="M71" i="2"/>
  <c r="T71" i="2" s="1"/>
  <c r="K71" i="2"/>
  <c r="J71" i="2"/>
  <c r="I71" i="2"/>
  <c r="H71" i="2"/>
  <c r="G71" i="2"/>
  <c r="BB70" i="2"/>
  <c r="AT70" i="2"/>
  <c r="AL70" i="2"/>
  <c r="AD70" i="2"/>
  <c r="AC70" i="2"/>
  <c r="AB70" i="2"/>
  <c r="AA70" i="2"/>
  <c r="Z70" i="2"/>
  <c r="Y70" i="2"/>
  <c r="X70" i="2"/>
  <c r="W70" i="2"/>
  <c r="S70" i="2"/>
  <c r="R70" i="2"/>
  <c r="Q70" i="2"/>
  <c r="P70" i="2"/>
  <c r="O70" i="2"/>
  <c r="N70" i="2"/>
  <c r="M70" i="2"/>
  <c r="K70" i="2"/>
  <c r="J70" i="2"/>
  <c r="L70" i="2" s="1"/>
  <c r="H70" i="2"/>
  <c r="G70" i="2"/>
  <c r="BJ82" i="2"/>
  <c r="BB82" i="2"/>
  <c r="AT82" i="2"/>
  <c r="AL82" i="2"/>
  <c r="AD82" i="2"/>
  <c r="AC82" i="2"/>
  <c r="AB82" i="2"/>
  <c r="AA82" i="2"/>
  <c r="Z82" i="2"/>
  <c r="Y82" i="2"/>
  <c r="X82" i="2"/>
  <c r="W82" i="2"/>
  <c r="S82" i="2"/>
  <c r="R82" i="2"/>
  <c r="Q82" i="2"/>
  <c r="P82" i="2"/>
  <c r="T82" i="2" s="1"/>
  <c r="O82" i="2"/>
  <c r="V82" i="2" s="1"/>
  <c r="N82" i="2"/>
  <c r="M82" i="2"/>
  <c r="K82" i="2"/>
  <c r="J82" i="2"/>
  <c r="H82" i="2"/>
  <c r="G82" i="2"/>
  <c r="BJ65" i="2"/>
  <c r="BB65" i="2"/>
  <c r="AT65" i="2"/>
  <c r="AL65" i="2"/>
  <c r="AD65" i="2"/>
  <c r="AC65" i="2"/>
  <c r="AB65" i="2"/>
  <c r="AA65" i="2"/>
  <c r="Z65" i="2"/>
  <c r="Y65" i="2"/>
  <c r="X65" i="2"/>
  <c r="W65" i="2"/>
  <c r="S65" i="2"/>
  <c r="R65" i="2"/>
  <c r="Q65" i="2"/>
  <c r="P65" i="2"/>
  <c r="O65" i="2"/>
  <c r="N65" i="2"/>
  <c r="M65" i="2"/>
  <c r="K65" i="2"/>
  <c r="L65" i="2" s="1"/>
  <c r="J65" i="2"/>
  <c r="H65" i="2"/>
  <c r="G65" i="2"/>
  <c r="BB64" i="2"/>
  <c r="AT64" i="2"/>
  <c r="AL64" i="2"/>
  <c r="AD64" i="2"/>
  <c r="AC64" i="2"/>
  <c r="AB64" i="2"/>
  <c r="AA64" i="2"/>
  <c r="Z64" i="2"/>
  <c r="Y64" i="2"/>
  <c r="X64" i="2"/>
  <c r="W64" i="2"/>
  <c r="S64" i="2"/>
  <c r="R64" i="2"/>
  <c r="Q64" i="2"/>
  <c r="P64" i="2"/>
  <c r="O64" i="2"/>
  <c r="N64" i="2"/>
  <c r="M64" i="2"/>
  <c r="T64" i="2" s="1"/>
  <c r="K64" i="2"/>
  <c r="J64" i="2"/>
  <c r="I64" i="2"/>
  <c r="H64" i="2"/>
  <c r="G64" i="2"/>
  <c r="BJ63" i="2"/>
  <c r="BB63" i="2"/>
  <c r="AT63" i="2"/>
  <c r="AL63" i="2"/>
  <c r="AD63" i="2"/>
  <c r="AC63" i="2"/>
  <c r="AB63" i="2"/>
  <c r="AA63" i="2"/>
  <c r="Z63" i="2"/>
  <c r="Y63" i="2"/>
  <c r="X63" i="2"/>
  <c r="W63" i="2"/>
  <c r="S63" i="2"/>
  <c r="R63" i="2"/>
  <c r="Q63" i="2"/>
  <c r="P63" i="2"/>
  <c r="O63" i="2"/>
  <c r="N63" i="2"/>
  <c r="U63" i="2" s="1"/>
  <c r="M63" i="2"/>
  <c r="K63" i="2"/>
  <c r="L63" i="2" s="1"/>
  <c r="J63" i="2"/>
  <c r="H63" i="2"/>
  <c r="G63" i="2"/>
  <c r="BB69" i="2"/>
  <c r="AT69" i="2"/>
  <c r="AL69" i="2"/>
  <c r="AD69" i="2"/>
  <c r="AC69" i="2"/>
  <c r="AB69" i="2"/>
  <c r="AA69" i="2"/>
  <c r="Z69" i="2"/>
  <c r="Y69" i="2"/>
  <c r="X69" i="2"/>
  <c r="W69" i="2"/>
  <c r="S69" i="2"/>
  <c r="R69" i="2"/>
  <c r="Q69" i="2"/>
  <c r="U69" i="2" s="1"/>
  <c r="P69" i="2"/>
  <c r="O69" i="2"/>
  <c r="V69" i="2" s="1"/>
  <c r="N69" i="2"/>
  <c r="M69" i="2"/>
  <c r="K69" i="2"/>
  <c r="L69" i="2" s="1"/>
  <c r="J69" i="2"/>
  <c r="H69" i="2"/>
  <c r="G69" i="2"/>
  <c r="BJ62" i="2"/>
  <c r="BB62" i="2"/>
  <c r="AT62" i="2"/>
  <c r="AL62" i="2"/>
  <c r="AD62" i="2"/>
  <c r="AC62" i="2"/>
  <c r="AB62" i="2"/>
  <c r="AA62" i="2"/>
  <c r="Z62" i="2"/>
  <c r="Y62" i="2"/>
  <c r="X62" i="2"/>
  <c r="W62" i="2"/>
  <c r="S62" i="2"/>
  <c r="R62" i="2"/>
  <c r="Q62" i="2"/>
  <c r="P62" i="2"/>
  <c r="O62" i="2"/>
  <c r="N62" i="2"/>
  <c r="M62" i="2"/>
  <c r="K62" i="2"/>
  <c r="J62" i="2"/>
  <c r="L62" i="2" s="1"/>
  <c r="H62" i="2"/>
  <c r="G62" i="2"/>
  <c r="BB55" i="2"/>
  <c r="AT55" i="2"/>
  <c r="AL55" i="2"/>
  <c r="AD55" i="2"/>
  <c r="AC55" i="2"/>
  <c r="AB55" i="2"/>
  <c r="AA55" i="2"/>
  <c r="Z55" i="2"/>
  <c r="Y55" i="2"/>
  <c r="X55" i="2"/>
  <c r="W55" i="2"/>
  <c r="S55" i="2"/>
  <c r="R55" i="2"/>
  <c r="Q55" i="2"/>
  <c r="P55" i="2"/>
  <c r="O55" i="2"/>
  <c r="N55" i="2"/>
  <c r="U55" i="2" s="1"/>
  <c r="M55" i="2"/>
  <c r="T55" i="2" s="1"/>
  <c r="K55" i="2"/>
  <c r="J55" i="2"/>
  <c r="L55" i="2" s="1"/>
  <c r="H55" i="2"/>
  <c r="I55" i="2" s="1"/>
  <c r="G55" i="2"/>
  <c r="BJ74" i="2"/>
  <c r="BB74" i="2"/>
  <c r="AT74" i="2"/>
  <c r="AL74" i="2"/>
  <c r="AD74" i="2"/>
  <c r="AC74" i="2"/>
  <c r="AB74" i="2"/>
  <c r="AA74" i="2"/>
  <c r="Z74" i="2"/>
  <c r="Y74" i="2"/>
  <c r="X74" i="2"/>
  <c r="W74" i="2"/>
  <c r="S74" i="2"/>
  <c r="R74" i="2"/>
  <c r="Q74" i="2"/>
  <c r="P74" i="2"/>
  <c r="O74" i="2"/>
  <c r="N74" i="2"/>
  <c r="M74" i="2"/>
  <c r="K74" i="2"/>
  <c r="J74" i="2"/>
  <c r="H74" i="2"/>
  <c r="G74" i="2"/>
  <c r="I74" i="2" s="1"/>
  <c r="BJ68" i="2"/>
  <c r="BB68" i="2"/>
  <c r="AT68" i="2"/>
  <c r="AL68" i="2"/>
  <c r="AD68" i="2"/>
  <c r="AC68" i="2"/>
  <c r="AB68" i="2"/>
  <c r="AA68" i="2"/>
  <c r="Z68" i="2"/>
  <c r="Y68" i="2"/>
  <c r="X68" i="2"/>
  <c r="W68" i="2"/>
  <c r="S68" i="2"/>
  <c r="R68" i="2"/>
  <c r="Q68" i="2"/>
  <c r="P68" i="2"/>
  <c r="O68" i="2"/>
  <c r="V68" i="2" s="1"/>
  <c r="N68" i="2"/>
  <c r="U68" i="2" s="1"/>
  <c r="M68" i="2"/>
  <c r="T68" i="2" s="1"/>
  <c r="L68" i="2"/>
  <c r="K68" i="2"/>
  <c r="J68" i="2"/>
  <c r="H68" i="2"/>
  <c r="I68" i="2" s="1"/>
  <c r="G68" i="2"/>
  <c r="BJ54" i="2"/>
  <c r="BB54" i="2"/>
  <c r="AT54" i="2"/>
  <c r="AL54" i="2"/>
  <c r="AD54" i="2"/>
  <c r="AC54" i="2"/>
  <c r="AB54" i="2"/>
  <c r="AA54" i="2"/>
  <c r="Z54" i="2"/>
  <c r="Y54" i="2"/>
  <c r="X54" i="2"/>
  <c r="W54" i="2"/>
  <c r="S54" i="2"/>
  <c r="R54" i="2"/>
  <c r="Q54" i="2"/>
  <c r="P54" i="2"/>
  <c r="O54" i="2"/>
  <c r="N54" i="2"/>
  <c r="M54" i="2"/>
  <c r="K54" i="2"/>
  <c r="L54" i="2" s="1"/>
  <c r="J54" i="2"/>
  <c r="H54" i="2"/>
  <c r="G54" i="2"/>
  <c r="BJ60" i="2"/>
  <c r="BB60" i="2"/>
  <c r="AT60" i="2"/>
  <c r="AL60" i="2"/>
  <c r="AD60" i="2"/>
  <c r="AC60" i="2"/>
  <c r="AB60" i="2"/>
  <c r="AA60" i="2"/>
  <c r="Z60" i="2"/>
  <c r="Y60" i="2"/>
  <c r="X60" i="2"/>
  <c r="W60" i="2"/>
  <c r="S60" i="2"/>
  <c r="R60" i="2"/>
  <c r="V60" i="2" s="1"/>
  <c r="Q60" i="2"/>
  <c r="U60" i="2" s="1"/>
  <c r="P60" i="2"/>
  <c r="O60" i="2"/>
  <c r="N60" i="2"/>
  <c r="M60" i="2"/>
  <c r="T60" i="2" s="1"/>
  <c r="K60" i="2"/>
  <c r="J60" i="2"/>
  <c r="L60" i="2" s="1"/>
  <c r="H60" i="2"/>
  <c r="G60" i="2"/>
  <c r="BJ53" i="2"/>
  <c r="BB53" i="2"/>
  <c r="AT53" i="2"/>
  <c r="AL53" i="2"/>
  <c r="AD53" i="2"/>
  <c r="AC53" i="2"/>
  <c r="AB53" i="2"/>
  <c r="AA53" i="2"/>
  <c r="Z53" i="2"/>
  <c r="Y53" i="2"/>
  <c r="X53" i="2"/>
  <c r="W53" i="2"/>
  <c r="S53" i="2"/>
  <c r="R53" i="2"/>
  <c r="Q53" i="2"/>
  <c r="P53" i="2"/>
  <c r="O53" i="2"/>
  <c r="N53" i="2"/>
  <c r="M53" i="2"/>
  <c r="L53" i="2"/>
  <c r="K53" i="2"/>
  <c r="J53" i="2"/>
  <c r="H53" i="2"/>
  <c r="G53" i="2"/>
  <c r="BB59" i="2"/>
  <c r="AT59" i="2"/>
  <c r="AL59" i="2"/>
  <c r="AD59" i="2"/>
  <c r="AC59" i="2"/>
  <c r="AB59" i="2"/>
  <c r="AA59" i="2"/>
  <c r="Z59" i="2"/>
  <c r="Y59" i="2"/>
  <c r="X59" i="2"/>
  <c r="W59" i="2"/>
  <c r="S59" i="2"/>
  <c r="R59" i="2"/>
  <c r="Q59" i="2"/>
  <c r="P59" i="2"/>
  <c r="O59" i="2"/>
  <c r="N59" i="2"/>
  <c r="M59" i="2"/>
  <c r="T59" i="2" s="1"/>
  <c r="K59" i="2"/>
  <c r="L59" i="2" s="1"/>
  <c r="J59" i="2"/>
  <c r="I59" i="2"/>
  <c r="H59" i="2"/>
  <c r="G59" i="2"/>
  <c r="BJ58" i="2"/>
  <c r="BB58" i="2"/>
  <c r="AT58" i="2"/>
  <c r="AL58" i="2"/>
  <c r="AD58" i="2"/>
  <c r="AC58" i="2"/>
  <c r="AB58" i="2"/>
  <c r="AA58" i="2"/>
  <c r="Z58" i="2"/>
  <c r="Y58" i="2"/>
  <c r="X58" i="2"/>
  <c r="W58" i="2"/>
  <c r="S58" i="2"/>
  <c r="R58" i="2"/>
  <c r="Q58" i="2"/>
  <c r="P58" i="2"/>
  <c r="O58" i="2"/>
  <c r="N58" i="2"/>
  <c r="M58" i="2"/>
  <c r="L58" i="2"/>
  <c r="K58" i="2"/>
  <c r="J58" i="2"/>
  <c r="H58" i="2"/>
  <c r="I58" i="2" s="1"/>
  <c r="G58" i="2"/>
  <c r="BJ61" i="2"/>
  <c r="BB61" i="2"/>
  <c r="AT61" i="2"/>
  <c r="AL61" i="2"/>
  <c r="AD61" i="2"/>
  <c r="AC61" i="2"/>
  <c r="AB61" i="2"/>
  <c r="AA61" i="2"/>
  <c r="Z61" i="2"/>
  <c r="Y61" i="2"/>
  <c r="X61" i="2"/>
  <c r="W61" i="2"/>
  <c r="S61" i="2"/>
  <c r="R61" i="2"/>
  <c r="Q61" i="2"/>
  <c r="U61" i="2" s="1"/>
  <c r="P61" i="2"/>
  <c r="O61" i="2"/>
  <c r="N61" i="2"/>
  <c r="M61" i="2"/>
  <c r="K61" i="2"/>
  <c r="J61" i="2"/>
  <c r="L61" i="2" s="1"/>
  <c r="H61" i="2"/>
  <c r="G61" i="2"/>
  <c r="BJ57" i="2"/>
  <c r="BB57" i="2"/>
  <c r="AT57" i="2"/>
  <c r="AL57" i="2"/>
  <c r="AD57" i="2"/>
  <c r="AC57" i="2"/>
  <c r="AB57" i="2"/>
  <c r="AA57" i="2"/>
  <c r="Z57" i="2"/>
  <c r="Y57" i="2"/>
  <c r="X57" i="2"/>
  <c r="W57" i="2"/>
  <c r="S57" i="2"/>
  <c r="R57" i="2"/>
  <c r="V57" i="2" s="1"/>
  <c r="Q57" i="2"/>
  <c r="U57" i="2" s="1"/>
  <c r="P57" i="2"/>
  <c r="T57" i="2" s="1"/>
  <c r="O57" i="2"/>
  <c r="N57" i="2"/>
  <c r="M57" i="2"/>
  <c r="L57" i="2"/>
  <c r="K57" i="2"/>
  <c r="J57" i="2"/>
  <c r="H57" i="2"/>
  <c r="G57" i="2"/>
  <c r="I57" i="2" s="1"/>
  <c r="BJ56" i="2"/>
  <c r="BB56" i="2"/>
  <c r="AT56" i="2"/>
  <c r="AL56" i="2"/>
  <c r="AD56" i="2"/>
  <c r="AC56" i="2"/>
  <c r="AB56" i="2"/>
  <c r="AA56" i="2"/>
  <c r="Z56" i="2"/>
  <c r="Y56" i="2"/>
  <c r="X56" i="2"/>
  <c r="W56" i="2"/>
  <c r="S56" i="2"/>
  <c r="R56" i="2"/>
  <c r="Q56" i="2"/>
  <c r="U56" i="2" s="1"/>
  <c r="P56" i="2"/>
  <c r="O56" i="2"/>
  <c r="N56" i="2"/>
  <c r="M56" i="2"/>
  <c r="K56" i="2"/>
  <c r="J56" i="2"/>
  <c r="H56" i="2"/>
  <c r="G56" i="2"/>
  <c r="BJ52" i="2"/>
  <c r="BB52" i="2"/>
  <c r="AT52" i="2"/>
  <c r="AL52" i="2"/>
  <c r="AD52" i="2"/>
  <c r="AC52" i="2"/>
  <c r="AB52" i="2"/>
  <c r="AA52" i="2"/>
  <c r="Z52" i="2"/>
  <c r="Y52" i="2"/>
  <c r="X52" i="2"/>
  <c r="W52" i="2"/>
  <c r="S52" i="2"/>
  <c r="R52" i="2"/>
  <c r="Q52" i="2"/>
  <c r="P52" i="2"/>
  <c r="O52" i="2"/>
  <c r="N52" i="2"/>
  <c r="M52" i="2"/>
  <c r="K52" i="2"/>
  <c r="L52" i="2" s="1"/>
  <c r="J52" i="2"/>
  <c r="H52" i="2"/>
  <c r="G52" i="2"/>
  <c r="BB49" i="2"/>
  <c r="AT49" i="2"/>
  <c r="AL49" i="2"/>
  <c r="AD49" i="2"/>
  <c r="AC49" i="2"/>
  <c r="AB49" i="2"/>
  <c r="AA49" i="2"/>
  <c r="Z49" i="2"/>
  <c r="Y49" i="2"/>
  <c r="X49" i="2"/>
  <c r="W49" i="2"/>
  <c r="S49" i="2"/>
  <c r="R49" i="2"/>
  <c r="Q49" i="2"/>
  <c r="P49" i="2"/>
  <c r="O49" i="2"/>
  <c r="V49" i="2" s="1"/>
  <c r="N49" i="2"/>
  <c r="M49" i="2"/>
  <c r="K49" i="2"/>
  <c r="L49" i="2" s="1"/>
  <c r="J49" i="2"/>
  <c r="H49" i="2"/>
  <c r="G49" i="2"/>
  <c r="BJ48" i="2"/>
  <c r="BB48" i="2"/>
  <c r="AT48" i="2"/>
  <c r="AL48" i="2"/>
  <c r="AD48" i="2"/>
  <c r="AC48" i="2"/>
  <c r="AB48" i="2"/>
  <c r="AA48" i="2"/>
  <c r="Z48" i="2"/>
  <c r="Y48" i="2"/>
  <c r="X48" i="2"/>
  <c r="W48" i="2"/>
  <c r="S48" i="2"/>
  <c r="R48" i="2"/>
  <c r="V48" i="2" s="1"/>
  <c r="Q48" i="2"/>
  <c r="U48" i="2" s="1"/>
  <c r="P48" i="2"/>
  <c r="O48" i="2"/>
  <c r="N48" i="2"/>
  <c r="M48" i="2"/>
  <c r="T48" i="2" s="1"/>
  <c r="K48" i="2"/>
  <c r="J48" i="2"/>
  <c r="L48" i="2" s="1"/>
  <c r="H48" i="2"/>
  <c r="G48" i="2"/>
  <c r="BJ45" i="2"/>
  <c r="BB45" i="2"/>
  <c r="AT45" i="2"/>
  <c r="AL45" i="2"/>
  <c r="AD45" i="2"/>
  <c r="AC45" i="2"/>
  <c r="AB45" i="2"/>
  <c r="AA45" i="2"/>
  <c r="Z45" i="2"/>
  <c r="Y45" i="2"/>
  <c r="X45" i="2"/>
  <c r="W45" i="2"/>
  <c r="S45" i="2"/>
  <c r="R45" i="2"/>
  <c r="V45" i="2" s="1"/>
  <c r="Q45" i="2"/>
  <c r="U45" i="2" s="1"/>
  <c r="P45" i="2"/>
  <c r="O45" i="2"/>
  <c r="N45" i="2"/>
  <c r="M45" i="2"/>
  <c r="L45" i="2"/>
  <c r="K45" i="2"/>
  <c r="J45" i="2"/>
  <c r="H45" i="2"/>
  <c r="G45" i="2"/>
  <c r="I45" i="2" s="1"/>
  <c r="BJ41" i="2"/>
  <c r="BB41" i="2"/>
  <c r="AT41" i="2"/>
  <c r="AL41" i="2"/>
  <c r="AD41" i="2"/>
  <c r="AC41" i="2"/>
  <c r="AB41" i="2"/>
  <c r="AA41" i="2"/>
  <c r="Z41" i="2"/>
  <c r="Y41" i="2"/>
  <c r="X41" i="2"/>
  <c r="W41" i="2"/>
  <c r="S41" i="2"/>
  <c r="R41" i="2"/>
  <c r="Q41" i="2"/>
  <c r="U41" i="2" s="1"/>
  <c r="P41" i="2"/>
  <c r="O41" i="2"/>
  <c r="N41" i="2"/>
  <c r="M41" i="2"/>
  <c r="K41" i="2"/>
  <c r="J41" i="2"/>
  <c r="H41" i="2"/>
  <c r="G41" i="2"/>
  <c r="I41" i="2" s="1"/>
  <c r="BJ51" i="2"/>
  <c r="BB51" i="2"/>
  <c r="AT51" i="2"/>
  <c r="AL51" i="2"/>
  <c r="AD51" i="2"/>
  <c r="AC51" i="2"/>
  <c r="AB51" i="2"/>
  <c r="AA51" i="2"/>
  <c r="Z51" i="2"/>
  <c r="Y51" i="2"/>
  <c r="X51" i="2"/>
  <c r="W51" i="2"/>
  <c r="S51" i="2"/>
  <c r="R51" i="2"/>
  <c r="Q51" i="2"/>
  <c r="U51" i="2" s="1"/>
  <c r="P51" i="2"/>
  <c r="T51" i="2" s="1"/>
  <c r="O51" i="2"/>
  <c r="N51" i="2"/>
  <c r="M51" i="2"/>
  <c r="K51" i="2"/>
  <c r="L51" i="2" s="1"/>
  <c r="J51" i="2"/>
  <c r="H51" i="2"/>
  <c r="G51" i="2"/>
  <c r="I51" i="2" s="1"/>
  <c r="BJ47" i="2"/>
  <c r="BB47" i="2"/>
  <c r="AT47" i="2"/>
  <c r="AL47" i="2"/>
  <c r="AD47" i="2"/>
  <c r="AC47" i="2"/>
  <c r="AB47" i="2"/>
  <c r="AA47" i="2"/>
  <c r="Z47" i="2"/>
  <c r="Y47" i="2"/>
  <c r="X47" i="2"/>
  <c r="W47" i="2"/>
  <c r="S47" i="2"/>
  <c r="R47" i="2"/>
  <c r="Q47" i="2"/>
  <c r="U47" i="2" s="1"/>
  <c r="P47" i="2"/>
  <c r="O47" i="2"/>
  <c r="N47" i="2"/>
  <c r="M47" i="2"/>
  <c r="K47" i="2"/>
  <c r="J47" i="2"/>
  <c r="H47" i="2"/>
  <c r="G47" i="2"/>
  <c r="I47" i="2" s="1"/>
  <c r="BB50" i="2"/>
  <c r="AT50" i="2"/>
  <c r="AL50" i="2"/>
  <c r="AD50" i="2"/>
  <c r="AC50" i="2"/>
  <c r="AB50" i="2"/>
  <c r="AA50" i="2"/>
  <c r="Z50" i="2"/>
  <c r="Y50" i="2"/>
  <c r="X50" i="2"/>
  <c r="W50" i="2"/>
  <c r="S50" i="2"/>
  <c r="R50" i="2"/>
  <c r="V50" i="2" s="1"/>
  <c r="Q50" i="2"/>
  <c r="P50" i="2"/>
  <c r="T50" i="2" s="1"/>
  <c r="O50" i="2"/>
  <c r="N50" i="2"/>
  <c r="M50" i="2"/>
  <c r="K50" i="2"/>
  <c r="J50" i="2"/>
  <c r="H50" i="2"/>
  <c r="G50" i="2"/>
  <c r="I50" i="2" s="1"/>
  <c r="BJ44" i="2"/>
  <c r="BB44" i="2"/>
  <c r="AT44" i="2"/>
  <c r="AL44" i="2"/>
  <c r="AD44" i="2"/>
  <c r="AC44" i="2"/>
  <c r="AB44" i="2"/>
  <c r="AA44" i="2"/>
  <c r="Z44" i="2"/>
  <c r="Y44" i="2"/>
  <c r="X44" i="2"/>
  <c r="W44" i="2"/>
  <c r="S44" i="2"/>
  <c r="R44" i="2"/>
  <c r="Q44" i="2"/>
  <c r="U44" i="2" s="1"/>
  <c r="P44" i="2"/>
  <c r="O44" i="2"/>
  <c r="N44" i="2"/>
  <c r="M44" i="2"/>
  <c r="K44" i="2"/>
  <c r="L44" i="2" s="1"/>
  <c r="J44" i="2"/>
  <c r="H44" i="2"/>
  <c r="G44" i="2"/>
  <c r="I44" i="2" s="1"/>
  <c r="BJ40" i="2"/>
  <c r="BB40" i="2"/>
  <c r="AT40" i="2"/>
  <c r="AL40" i="2"/>
  <c r="AD40" i="2"/>
  <c r="AC40" i="2"/>
  <c r="AB40" i="2"/>
  <c r="AA40" i="2"/>
  <c r="Z40" i="2"/>
  <c r="Y40" i="2"/>
  <c r="X40" i="2"/>
  <c r="W40" i="2"/>
  <c r="S40" i="2"/>
  <c r="R40" i="2"/>
  <c r="V40" i="2" s="1"/>
  <c r="Q40" i="2"/>
  <c r="U40" i="2" s="1"/>
  <c r="P40" i="2"/>
  <c r="T40" i="2" s="1"/>
  <c r="O40" i="2"/>
  <c r="N40" i="2"/>
  <c r="M40" i="2"/>
  <c r="K40" i="2"/>
  <c r="J40" i="2"/>
  <c r="L40" i="2" s="1"/>
  <c r="H40" i="2"/>
  <c r="G40" i="2"/>
  <c r="BJ46" i="2"/>
  <c r="BB46" i="2"/>
  <c r="AT46" i="2"/>
  <c r="AL46" i="2"/>
  <c r="AD46" i="2"/>
  <c r="AC46" i="2"/>
  <c r="AB46" i="2"/>
  <c r="AA46" i="2"/>
  <c r="Z46" i="2"/>
  <c r="Y46" i="2"/>
  <c r="X46" i="2"/>
  <c r="W46" i="2"/>
  <c r="V46" i="2"/>
  <c r="U46" i="2"/>
  <c r="T46" i="2"/>
  <c r="S46" i="2"/>
  <c r="R46" i="2"/>
  <c r="Q46" i="2"/>
  <c r="P46" i="2"/>
  <c r="O46" i="2"/>
  <c r="N46" i="2"/>
  <c r="M46" i="2"/>
  <c r="K46" i="2"/>
  <c r="J46" i="2"/>
  <c r="L46" i="2" s="1"/>
  <c r="H46" i="2"/>
  <c r="G46" i="2"/>
  <c r="BJ39" i="2"/>
  <c r="BB39" i="2"/>
  <c r="AT39" i="2"/>
  <c r="AL39" i="2"/>
  <c r="AD39" i="2"/>
  <c r="AC39" i="2"/>
  <c r="AB39" i="2"/>
  <c r="AA39" i="2"/>
  <c r="Z39" i="2"/>
  <c r="Y39" i="2"/>
  <c r="X39" i="2"/>
  <c r="W39" i="2"/>
  <c r="S39" i="2"/>
  <c r="R39" i="2"/>
  <c r="Q39" i="2"/>
  <c r="P39" i="2"/>
  <c r="O39" i="2"/>
  <c r="N39" i="2"/>
  <c r="M39" i="2"/>
  <c r="K39" i="2"/>
  <c r="J39" i="2"/>
  <c r="L39" i="2" s="1"/>
  <c r="H39" i="2"/>
  <c r="G39" i="2"/>
  <c r="I39" i="2" s="1"/>
  <c r="BJ43" i="2"/>
  <c r="BB43" i="2"/>
  <c r="AT43" i="2"/>
  <c r="AL43" i="2"/>
  <c r="AD43" i="2"/>
  <c r="AC43" i="2"/>
  <c r="AB43" i="2"/>
  <c r="AA43" i="2"/>
  <c r="Z43" i="2"/>
  <c r="Y43" i="2"/>
  <c r="X43" i="2"/>
  <c r="W43" i="2"/>
  <c r="S43" i="2"/>
  <c r="R43" i="2"/>
  <c r="V43" i="2" s="1"/>
  <c r="Q43" i="2"/>
  <c r="U43" i="2" s="1"/>
  <c r="P43" i="2"/>
  <c r="O43" i="2"/>
  <c r="N43" i="2"/>
  <c r="M43" i="2"/>
  <c r="K43" i="2"/>
  <c r="J43" i="2"/>
  <c r="L43" i="2" s="1"/>
  <c r="H43" i="2"/>
  <c r="G43" i="2"/>
  <c r="BJ42" i="2"/>
  <c r="BB42" i="2"/>
  <c r="AT42" i="2"/>
  <c r="AL42" i="2"/>
  <c r="AD42" i="2"/>
  <c r="AC42" i="2"/>
  <c r="AB42" i="2"/>
  <c r="AA42" i="2"/>
  <c r="Z42" i="2"/>
  <c r="Y42" i="2"/>
  <c r="X42" i="2"/>
  <c r="W42" i="2"/>
  <c r="S42" i="2"/>
  <c r="R42" i="2"/>
  <c r="V42" i="2" s="1"/>
  <c r="Q42" i="2"/>
  <c r="P42" i="2"/>
  <c r="O42" i="2"/>
  <c r="N42" i="2"/>
  <c r="M42" i="2"/>
  <c r="K42" i="2"/>
  <c r="J42" i="2"/>
  <c r="L42" i="2" s="1"/>
  <c r="H42" i="2"/>
  <c r="G42" i="2"/>
  <c r="I42" i="2" s="1"/>
  <c r="BB36" i="2"/>
  <c r="AT36" i="2"/>
  <c r="AL36" i="2"/>
  <c r="AD36" i="2"/>
  <c r="AC36" i="2"/>
  <c r="AB36" i="2"/>
  <c r="AA36" i="2"/>
  <c r="Z36" i="2"/>
  <c r="Y36" i="2"/>
  <c r="X36" i="2"/>
  <c r="W36" i="2"/>
  <c r="S36" i="2"/>
  <c r="R36" i="2"/>
  <c r="V36" i="2" s="1"/>
  <c r="Q36" i="2"/>
  <c r="U36" i="2" s="1"/>
  <c r="P36" i="2"/>
  <c r="O36" i="2"/>
  <c r="N36" i="2"/>
  <c r="M36" i="2"/>
  <c r="K36" i="2"/>
  <c r="J36" i="2"/>
  <c r="L36" i="2" s="1"/>
  <c r="H36" i="2"/>
  <c r="G36" i="2"/>
  <c r="I36" i="2" s="1"/>
  <c r="BB38" i="2"/>
  <c r="AT38" i="2"/>
  <c r="AL38" i="2"/>
  <c r="AD38" i="2"/>
  <c r="AC38" i="2"/>
  <c r="AB38" i="2"/>
  <c r="AA38" i="2"/>
  <c r="Z38" i="2"/>
  <c r="Y38" i="2"/>
  <c r="X38" i="2"/>
  <c r="W38" i="2"/>
  <c r="S38" i="2"/>
  <c r="R38" i="2"/>
  <c r="V38" i="2" s="1"/>
  <c r="Q38" i="2"/>
  <c r="P38" i="2"/>
  <c r="O38" i="2"/>
  <c r="N38" i="2"/>
  <c r="M38" i="2"/>
  <c r="K38" i="2"/>
  <c r="J38" i="2"/>
  <c r="H38" i="2"/>
  <c r="G38" i="2"/>
  <c r="BB30" i="2"/>
  <c r="AT30" i="2"/>
  <c r="AL30" i="2"/>
  <c r="AD30" i="2"/>
  <c r="AC30" i="2"/>
  <c r="AB30" i="2"/>
  <c r="AA30" i="2"/>
  <c r="Z30" i="2"/>
  <c r="Y30" i="2"/>
  <c r="X30" i="2"/>
  <c r="W30" i="2"/>
  <c r="S30" i="2"/>
  <c r="R30" i="2"/>
  <c r="Q30" i="2"/>
  <c r="P30" i="2"/>
  <c r="O30" i="2"/>
  <c r="N30" i="2"/>
  <c r="M30" i="2"/>
  <c r="K30" i="2"/>
  <c r="J30" i="2"/>
  <c r="H30" i="2"/>
  <c r="I30" i="2" s="1"/>
  <c r="G30" i="2"/>
  <c r="BJ35" i="2"/>
  <c r="BB35" i="2"/>
  <c r="AT35" i="2"/>
  <c r="AL35" i="2"/>
  <c r="AD35" i="2"/>
  <c r="AC35" i="2"/>
  <c r="AB35" i="2"/>
  <c r="AA35" i="2"/>
  <c r="Z35" i="2"/>
  <c r="Y35" i="2"/>
  <c r="X35" i="2"/>
  <c r="W35" i="2"/>
  <c r="S35" i="2"/>
  <c r="R35" i="2"/>
  <c r="V35" i="2" s="1"/>
  <c r="Q35" i="2"/>
  <c r="P35" i="2"/>
  <c r="O35" i="2"/>
  <c r="N35" i="2"/>
  <c r="M35" i="2"/>
  <c r="L35" i="2"/>
  <c r="K35" i="2"/>
  <c r="J35" i="2"/>
  <c r="H35" i="2"/>
  <c r="G35" i="2"/>
  <c r="I35" i="2" s="1"/>
  <c r="BB29" i="2"/>
  <c r="AT29" i="2"/>
  <c r="AL29" i="2"/>
  <c r="AD29" i="2"/>
  <c r="AC29" i="2"/>
  <c r="AB29" i="2"/>
  <c r="AA29" i="2"/>
  <c r="Z29" i="2"/>
  <c r="Y29" i="2"/>
  <c r="X29" i="2"/>
  <c r="W29" i="2"/>
  <c r="S29" i="2"/>
  <c r="R29" i="2"/>
  <c r="Q29" i="2"/>
  <c r="U29" i="2" s="1"/>
  <c r="P29" i="2"/>
  <c r="O29" i="2"/>
  <c r="N29" i="2"/>
  <c r="M29" i="2"/>
  <c r="L29" i="2"/>
  <c r="K29" i="2"/>
  <c r="J29" i="2"/>
  <c r="H29" i="2"/>
  <c r="G29" i="2"/>
  <c r="I29" i="2" s="1"/>
  <c r="BB34" i="2"/>
  <c r="AT34" i="2"/>
  <c r="AL34" i="2"/>
  <c r="AD34" i="2"/>
  <c r="AC34" i="2"/>
  <c r="AB34" i="2"/>
  <c r="AA34" i="2"/>
  <c r="Z34" i="2"/>
  <c r="Y34" i="2"/>
  <c r="X34" i="2"/>
  <c r="W34" i="2"/>
  <c r="S34" i="2"/>
  <c r="R34" i="2"/>
  <c r="V34" i="2" s="1"/>
  <c r="Q34" i="2"/>
  <c r="P34" i="2"/>
  <c r="O34" i="2"/>
  <c r="N34" i="2"/>
  <c r="M34" i="2"/>
  <c r="K34" i="2"/>
  <c r="L34" i="2" s="1"/>
  <c r="J34" i="2"/>
  <c r="H34" i="2"/>
  <c r="G34" i="2"/>
  <c r="I34" i="2" s="1"/>
  <c r="BJ33" i="2"/>
  <c r="BB33" i="2"/>
  <c r="AT33" i="2"/>
  <c r="AL33" i="2"/>
  <c r="AD33" i="2"/>
  <c r="AC33" i="2"/>
  <c r="AB33" i="2"/>
  <c r="AA33" i="2"/>
  <c r="Z33" i="2"/>
  <c r="Y33" i="2"/>
  <c r="X33" i="2"/>
  <c r="W33" i="2"/>
  <c r="S33" i="2"/>
  <c r="R33" i="2"/>
  <c r="V33" i="2" s="1"/>
  <c r="Q33" i="2"/>
  <c r="U33" i="2" s="1"/>
  <c r="P33" i="2"/>
  <c r="O33" i="2"/>
  <c r="N33" i="2"/>
  <c r="M33" i="2"/>
  <c r="K33" i="2"/>
  <c r="J33" i="2"/>
  <c r="H33" i="2"/>
  <c r="G33" i="2"/>
  <c r="I33" i="2" s="1"/>
  <c r="BJ37" i="2"/>
  <c r="BB37" i="2"/>
  <c r="AT37" i="2"/>
  <c r="AL37" i="2"/>
  <c r="AD37" i="2"/>
  <c r="AC37" i="2"/>
  <c r="AB37" i="2"/>
  <c r="AA37" i="2"/>
  <c r="Z37" i="2"/>
  <c r="Y37" i="2"/>
  <c r="X37" i="2"/>
  <c r="W37" i="2"/>
  <c r="S37" i="2"/>
  <c r="R37" i="2"/>
  <c r="Q37" i="2"/>
  <c r="U37" i="2" s="1"/>
  <c r="P37" i="2"/>
  <c r="T37" i="2" s="1"/>
  <c r="O37" i="2"/>
  <c r="N37" i="2"/>
  <c r="M37" i="2"/>
  <c r="L37" i="2"/>
  <c r="K37" i="2"/>
  <c r="J37" i="2"/>
  <c r="H37" i="2"/>
  <c r="G37" i="2"/>
  <c r="I37" i="2" s="1"/>
  <c r="BJ32" i="2"/>
  <c r="BB32" i="2"/>
  <c r="AT32" i="2"/>
  <c r="AL32" i="2"/>
  <c r="AD32" i="2"/>
  <c r="AC32" i="2"/>
  <c r="AB32" i="2"/>
  <c r="AA32" i="2"/>
  <c r="Z32" i="2"/>
  <c r="Y32" i="2"/>
  <c r="X32" i="2"/>
  <c r="W32" i="2"/>
  <c r="U32" i="2"/>
  <c r="S32" i="2"/>
  <c r="R32" i="2"/>
  <c r="V32" i="2" s="1"/>
  <c r="Q32" i="2"/>
  <c r="P32" i="2"/>
  <c r="O32" i="2"/>
  <c r="N32" i="2"/>
  <c r="M32" i="2"/>
  <c r="K32" i="2"/>
  <c r="J32" i="2"/>
  <c r="L32" i="2" s="1"/>
  <c r="H32" i="2"/>
  <c r="G32" i="2"/>
  <c r="BB31" i="2"/>
  <c r="AT31" i="2"/>
  <c r="AL31" i="2"/>
  <c r="AD31" i="2"/>
  <c r="AC31" i="2"/>
  <c r="AB31" i="2"/>
  <c r="AA31" i="2"/>
  <c r="Z31" i="2"/>
  <c r="Y31" i="2"/>
  <c r="X31" i="2"/>
  <c r="W31" i="2"/>
  <c r="S31" i="2"/>
  <c r="R31" i="2"/>
  <c r="V31" i="2" s="1"/>
  <c r="Q31" i="2"/>
  <c r="U31" i="2" s="1"/>
  <c r="P31" i="2"/>
  <c r="O31" i="2"/>
  <c r="N31" i="2"/>
  <c r="M31" i="2"/>
  <c r="K31" i="2"/>
  <c r="J31" i="2"/>
  <c r="L31" i="2" s="1"/>
  <c r="H31" i="2"/>
  <c r="G31" i="2"/>
  <c r="BB28" i="2"/>
  <c r="AT28" i="2"/>
  <c r="AL28" i="2"/>
  <c r="AD28" i="2"/>
  <c r="AC28" i="2"/>
  <c r="AB28" i="2"/>
  <c r="AA28" i="2"/>
  <c r="Z28" i="2"/>
  <c r="Y28" i="2"/>
  <c r="X28" i="2"/>
  <c r="W28" i="2"/>
  <c r="S28" i="2"/>
  <c r="R28" i="2"/>
  <c r="Q28" i="2"/>
  <c r="P28" i="2"/>
  <c r="T28" i="2" s="1"/>
  <c r="O28" i="2"/>
  <c r="N28" i="2"/>
  <c r="M28" i="2"/>
  <c r="L28" i="2"/>
  <c r="K28" i="2"/>
  <c r="J28" i="2"/>
  <c r="H28" i="2"/>
  <c r="G28" i="2"/>
  <c r="I28" i="2" s="1"/>
  <c r="BJ27" i="2"/>
  <c r="BB27" i="2"/>
  <c r="AT27" i="2"/>
  <c r="AL27" i="2"/>
  <c r="AD27" i="2"/>
  <c r="AC27" i="2"/>
  <c r="AB27" i="2"/>
  <c r="AA27" i="2"/>
  <c r="Z27" i="2"/>
  <c r="Y27" i="2"/>
  <c r="X27" i="2"/>
  <c r="W27" i="2"/>
  <c r="S27" i="2"/>
  <c r="R27" i="2"/>
  <c r="Q27" i="2"/>
  <c r="U27" i="2" s="1"/>
  <c r="P27" i="2"/>
  <c r="O27" i="2"/>
  <c r="N27" i="2"/>
  <c r="M27" i="2"/>
  <c r="K27" i="2"/>
  <c r="J27" i="2"/>
  <c r="H27" i="2"/>
  <c r="G27" i="2"/>
  <c r="I27" i="2" s="1"/>
  <c r="BJ26" i="2"/>
  <c r="BB26" i="2"/>
  <c r="AT26" i="2"/>
  <c r="AL26" i="2"/>
  <c r="AD26" i="2"/>
  <c r="AC26" i="2"/>
  <c r="AB26" i="2"/>
  <c r="AA26" i="2"/>
  <c r="Z26" i="2"/>
  <c r="Y26" i="2"/>
  <c r="X26" i="2"/>
  <c r="W26" i="2"/>
  <c r="S26" i="2"/>
  <c r="R26" i="2"/>
  <c r="V26" i="2" s="1"/>
  <c r="Q26" i="2"/>
  <c r="U26" i="2" s="1"/>
  <c r="P26" i="2"/>
  <c r="O26" i="2"/>
  <c r="N26" i="2"/>
  <c r="M26" i="2"/>
  <c r="K26" i="2"/>
  <c r="J26" i="2"/>
  <c r="L26" i="2" s="1"/>
  <c r="H26" i="2"/>
  <c r="G26" i="2"/>
  <c r="I26" i="2" s="1"/>
  <c r="BJ23" i="2"/>
  <c r="BB23" i="2"/>
  <c r="AT23" i="2"/>
  <c r="AL23" i="2"/>
  <c r="S23" i="2"/>
  <c r="R23" i="2"/>
  <c r="V23" i="2" s="1"/>
  <c r="Q23" i="2"/>
  <c r="P23" i="2"/>
  <c r="O23" i="2"/>
  <c r="N23" i="2"/>
  <c r="M23" i="2"/>
  <c r="L23" i="2"/>
  <c r="K23" i="2"/>
  <c r="J23" i="2"/>
  <c r="I23" i="2"/>
  <c r="H23" i="2"/>
  <c r="G23" i="2"/>
  <c r="BJ25" i="2"/>
  <c r="BB25" i="2"/>
  <c r="AT25" i="2"/>
  <c r="AL25" i="2"/>
  <c r="Q25" i="2"/>
  <c r="P25" i="2"/>
  <c r="O25" i="2"/>
  <c r="V25" i="2" s="1"/>
  <c r="N25" i="2"/>
  <c r="M25" i="2"/>
  <c r="T25" i="2" s="1"/>
  <c r="L25" i="2"/>
  <c r="K25" i="2"/>
  <c r="J25" i="2"/>
  <c r="I25" i="2"/>
  <c r="H25" i="2"/>
  <c r="G25" i="2"/>
  <c r="BB22" i="2"/>
  <c r="AT22" i="2"/>
  <c r="AL22" i="2"/>
  <c r="AD22" i="2"/>
  <c r="AC22" i="2"/>
  <c r="S22" i="2"/>
  <c r="R22" i="2"/>
  <c r="V22" i="2" s="1"/>
  <c r="Q22" i="2"/>
  <c r="P22" i="2"/>
  <c r="O22" i="2"/>
  <c r="N22" i="2"/>
  <c r="M22" i="2"/>
  <c r="L22" i="2"/>
  <c r="K22" i="2"/>
  <c r="J22" i="2"/>
  <c r="I22" i="2"/>
  <c r="H22" i="2"/>
  <c r="G22" i="2"/>
  <c r="BJ21" i="2"/>
  <c r="BB21" i="2"/>
  <c r="AT21" i="2"/>
  <c r="AL21" i="2"/>
  <c r="AD21" i="2"/>
  <c r="AC21" i="2"/>
  <c r="S21" i="2"/>
  <c r="R21" i="2"/>
  <c r="Q21" i="2"/>
  <c r="P21" i="2"/>
  <c r="T21" i="2" s="1"/>
  <c r="O21" i="2"/>
  <c r="N21" i="2"/>
  <c r="M21" i="2"/>
  <c r="L21" i="2"/>
  <c r="K21" i="2"/>
  <c r="J21" i="2"/>
  <c r="I21" i="2"/>
  <c r="H21" i="2"/>
  <c r="G21" i="2"/>
  <c r="BJ20" i="2"/>
  <c r="BB20" i="2"/>
  <c r="AT20" i="2"/>
  <c r="AL20" i="2"/>
  <c r="AD20" i="2"/>
  <c r="AC20" i="2"/>
  <c r="AB20" i="2"/>
  <c r="S20" i="2"/>
  <c r="R20" i="2"/>
  <c r="Q20" i="2"/>
  <c r="P20" i="2"/>
  <c r="O20" i="2"/>
  <c r="N20" i="2"/>
  <c r="M20" i="2"/>
  <c r="T20" i="2" s="1"/>
  <c r="L20" i="2"/>
  <c r="K20" i="2"/>
  <c r="J20" i="2"/>
  <c r="I20" i="2"/>
  <c r="H20" i="2"/>
  <c r="G20" i="2"/>
  <c r="BJ24" i="2"/>
  <c r="BB24" i="2"/>
  <c r="AT24" i="2"/>
  <c r="AL24" i="2"/>
  <c r="AD24" i="2"/>
  <c r="AC24" i="2"/>
  <c r="AA24" i="2"/>
  <c r="R24" i="2"/>
  <c r="V24" i="2" s="1"/>
  <c r="Q24" i="2"/>
  <c r="U24" i="2" s="1"/>
  <c r="P24" i="2"/>
  <c r="O24" i="2"/>
  <c r="N24" i="2"/>
  <c r="M24" i="2"/>
  <c r="L24" i="2"/>
  <c r="K24" i="2"/>
  <c r="J24" i="2"/>
  <c r="I24" i="2"/>
  <c r="H24" i="2"/>
  <c r="G24" i="2"/>
  <c r="BJ19" i="2"/>
  <c r="BB19" i="2"/>
  <c r="AT19" i="2"/>
  <c r="AL19" i="2"/>
  <c r="AD19" i="2"/>
  <c r="AC19" i="2"/>
  <c r="AB19" i="2"/>
  <c r="S19" i="2"/>
  <c r="R19" i="2"/>
  <c r="Q19" i="2"/>
  <c r="P19" i="2"/>
  <c r="O19" i="2"/>
  <c r="N19" i="2"/>
  <c r="U19" i="2" s="1"/>
  <c r="M19" i="2"/>
  <c r="L19" i="2"/>
  <c r="K19" i="2"/>
  <c r="J19" i="2"/>
  <c r="I19" i="2"/>
  <c r="H19" i="2"/>
  <c r="G19" i="2"/>
  <c r="BJ18" i="2"/>
  <c r="BB18" i="2"/>
  <c r="AT18" i="2"/>
  <c r="AL18" i="2"/>
  <c r="AD18" i="2"/>
  <c r="AC18" i="2"/>
  <c r="S18" i="2"/>
  <c r="R18" i="2"/>
  <c r="V18" i="2" s="1"/>
  <c r="Q18" i="2"/>
  <c r="P18" i="2"/>
  <c r="O18" i="2"/>
  <c r="N18" i="2"/>
  <c r="U18" i="2" s="1"/>
  <c r="M18" i="2"/>
  <c r="L18" i="2"/>
  <c r="K18" i="2"/>
  <c r="J18" i="2"/>
  <c r="I18" i="2"/>
  <c r="H18" i="2"/>
  <c r="G18" i="2"/>
  <c r="BJ16" i="2"/>
  <c r="BB16" i="2"/>
  <c r="AT16" i="2"/>
  <c r="AL16" i="2"/>
  <c r="AD16" i="2"/>
  <c r="AC16" i="2"/>
  <c r="S16" i="2"/>
  <c r="R16" i="2"/>
  <c r="Q16" i="2"/>
  <c r="P16" i="2"/>
  <c r="O16" i="2"/>
  <c r="N16" i="2"/>
  <c r="M16" i="2"/>
  <c r="L16" i="2"/>
  <c r="K16" i="2"/>
  <c r="J16" i="2"/>
  <c r="I16" i="2"/>
  <c r="H16" i="2"/>
  <c r="G16" i="2"/>
  <c r="BB17" i="2"/>
  <c r="AT17" i="2"/>
  <c r="AL17" i="2"/>
  <c r="O17" i="2"/>
  <c r="V17" i="2" s="1"/>
  <c r="N17" i="2"/>
  <c r="U17" i="2" s="1"/>
  <c r="M17" i="2"/>
  <c r="T17" i="2" s="1"/>
  <c r="H17" i="2"/>
  <c r="I17" i="2" s="1"/>
  <c r="G17" i="2"/>
  <c r="BJ15" i="2"/>
  <c r="BB15" i="2"/>
  <c r="AT15" i="2"/>
  <c r="AL15" i="2"/>
  <c r="T15" i="2"/>
  <c r="O15" i="2"/>
  <c r="V15" i="2" s="1"/>
  <c r="N15" i="2"/>
  <c r="U15" i="2" s="1"/>
  <c r="M15" i="2"/>
  <c r="H15" i="2"/>
  <c r="I15" i="2" s="1"/>
  <c r="G15" i="2"/>
  <c r="BJ14" i="2"/>
  <c r="BB14" i="2"/>
  <c r="AT14" i="2"/>
  <c r="AL14" i="2"/>
  <c r="O14" i="2"/>
  <c r="V14" i="2" s="1"/>
  <c r="N14" i="2"/>
  <c r="U14" i="2" s="1"/>
  <c r="M14" i="2"/>
  <c r="T14" i="2" s="1"/>
  <c r="H14" i="2"/>
  <c r="I14" i="2" s="1"/>
  <c r="G14" i="2"/>
  <c r="BJ10" i="2"/>
  <c r="BB10" i="2"/>
  <c r="AT10" i="2"/>
  <c r="AL10" i="2"/>
  <c r="O10" i="2"/>
  <c r="V10" i="2" s="1"/>
  <c r="N10" i="2"/>
  <c r="U10" i="2" s="1"/>
  <c r="M10" i="2"/>
  <c r="T10" i="2" s="1"/>
  <c r="H10" i="2"/>
  <c r="G10" i="2"/>
  <c r="BJ13" i="2"/>
  <c r="BB13" i="2"/>
  <c r="AT13" i="2"/>
  <c r="AL13" i="2"/>
  <c r="V13" i="2"/>
  <c r="O13" i="2"/>
  <c r="N13" i="2"/>
  <c r="U13" i="2" s="1"/>
  <c r="M13" i="2"/>
  <c r="T13" i="2" s="1"/>
  <c r="H13" i="2"/>
  <c r="G13" i="2"/>
  <c r="I13" i="2" s="1"/>
  <c r="BJ12" i="2"/>
  <c r="BB12" i="2"/>
  <c r="AT12" i="2"/>
  <c r="AL12" i="2"/>
  <c r="V12" i="2"/>
  <c r="O12" i="2"/>
  <c r="N12" i="2"/>
  <c r="U12" i="2" s="1"/>
  <c r="M12" i="2"/>
  <c r="T12" i="2" s="1"/>
  <c r="H12" i="2"/>
  <c r="G12" i="2"/>
  <c r="BJ11" i="2"/>
  <c r="BB11" i="2"/>
  <c r="AT11" i="2"/>
  <c r="AL11" i="2"/>
  <c r="V11" i="2"/>
  <c r="O11" i="2"/>
  <c r="N11" i="2"/>
  <c r="U11" i="2" s="1"/>
  <c r="M11" i="2"/>
  <c r="T11" i="2" s="1"/>
  <c r="H11" i="2"/>
  <c r="G11" i="2"/>
  <c r="BJ9" i="2"/>
  <c r="BB9" i="2"/>
  <c r="AT9" i="2"/>
  <c r="AL9" i="2"/>
  <c r="O9" i="2"/>
  <c r="V9" i="2" s="1"/>
  <c r="N9" i="2"/>
  <c r="U9" i="2" s="1"/>
  <c r="M9" i="2"/>
  <c r="T9" i="2" s="1"/>
  <c r="L9" i="2"/>
  <c r="K9" i="2"/>
  <c r="H9" i="2"/>
  <c r="G9" i="2"/>
  <c r="BB8" i="2"/>
  <c r="AT8" i="2"/>
  <c r="AL8" i="2"/>
  <c r="O8" i="2"/>
  <c r="V8" i="2" s="1"/>
  <c r="N8" i="2"/>
  <c r="U8" i="2" s="1"/>
  <c r="M8" i="2"/>
  <c r="T8" i="2" s="1"/>
  <c r="H8" i="2"/>
  <c r="G8" i="2"/>
  <c r="BJ7" i="2"/>
  <c r="BB7" i="2"/>
  <c r="AT7" i="2"/>
  <c r="AL7" i="2"/>
  <c r="O7" i="2"/>
  <c r="V7" i="2" s="1"/>
  <c r="N7" i="2"/>
  <c r="U7" i="2" s="1"/>
  <c r="M7" i="2"/>
  <c r="T7" i="2" s="1"/>
  <c r="H7" i="2"/>
  <c r="G7" i="2"/>
  <c r="BJ6" i="2"/>
  <c r="BB6" i="2"/>
  <c r="AT6" i="2"/>
  <c r="AL6" i="2"/>
  <c r="O6" i="2"/>
  <c r="V6" i="2" s="1"/>
  <c r="N6" i="2"/>
  <c r="U6" i="2" s="1"/>
  <c r="M6" i="2"/>
  <c r="T6" i="2" s="1"/>
  <c r="H6" i="2"/>
  <c r="G6" i="2"/>
  <c r="BJ5" i="2"/>
  <c r="BB5" i="2"/>
  <c r="AT5" i="2"/>
  <c r="AL5" i="2"/>
  <c r="O5" i="2"/>
  <c r="V5" i="2" s="1"/>
  <c r="N5" i="2"/>
  <c r="U5" i="2" s="1"/>
  <c r="M5" i="2"/>
  <c r="T5" i="2" s="1"/>
  <c r="L5" i="2"/>
  <c r="H5" i="2"/>
  <c r="G5" i="2"/>
  <c r="I5" i="2" s="1"/>
  <c r="BB4" i="2"/>
  <c r="AT4" i="2"/>
  <c r="AL4" i="2"/>
  <c r="O4" i="2"/>
  <c r="V4" i="2" s="1"/>
  <c r="N4" i="2"/>
  <c r="U4" i="2" s="1"/>
  <c r="M4" i="2"/>
  <c r="T4" i="2" s="1"/>
  <c r="L4" i="2"/>
  <c r="H4" i="2"/>
  <c r="G4" i="2"/>
  <c r="BJ3" i="2"/>
  <c r="BB3" i="2"/>
  <c r="AT3" i="2"/>
  <c r="AL3" i="2"/>
  <c r="T3" i="2"/>
  <c r="O3" i="2"/>
  <c r="V3" i="2" s="1"/>
  <c r="N3" i="2"/>
  <c r="U3" i="2" s="1"/>
  <c r="M3" i="2"/>
  <c r="L3" i="2"/>
  <c r="I3" i="2"/>
  <c r="H3" i="2"/>
  <c r="G3" i="2"/>
  <c r="BJ2" i="2"/>
  <c r="BB2" i="2"/>
  <c r="AT2" i="2"/>
  <c r="AL2" i="2"/>
  <c r="T2" i="2"/>
  <c r="O2" i="2"/>
  <c r="V2" i="2" s="1"/>
  <c r="N2" i="2"/>
  <c r="U2" i="2" s="1"/>
  <c r="M2" i="2"/>
  <c r="L2" i="2"/>
  <c r="I2" i="2"/>
  <c r="H2" i="2"/>
  <c r="G2" i="2"/>
  <c r="J6019" i="1"/>
  <c r="J6018" i="1"/>
  <c r="J6017" i="1"/>
  <c r="J6016" i="1"/>
  <c r="J6015" i="1"/>
  <c r="J6014" i="1"/>
  <c r="J6013" i="1"/>
  <c r="J6012" i="1"/>
  <c r="J6011" i="1"/>
  <c r="J6010" i="1"/>
  <c r="J6009" i="1"/>
  <c r="J6008" i="1"/>
  <c r="J6007" i="1"/>
  <c r="J6006" i="1"/>
  <c r="J6005" i="1"/>
  <c r="J6004" i="1"/>
  <c r="J6003" i="1"/>
  <c r="J6002" i="1"/>
  <c r="J6001" i="1"/>
  <c r="J6000" i="1"/>
  <c r="J5998" i="1"/>
  <c r="J5997" i="1"/>
  <c r="J5996" i="1"/>
  <c r="J5995" i="1"/>
  <c r="J5994" i="1"/>
  <c r="J5993" i="1"/>
  <c r="J5992" i="1"/>
  <c r="J5991" i="1"/>
  <c r="J5990" i="1"/>
  <c r="J5989" i="1"/>
  <c r="J5988" i="1"/>
  <c r="J5987" i="1"/>
  <c r="J5986" i="1"/>
  <c r="J5985" i="1"/>
  <c r="J5984" i="1"/>
  <c r="J5983" i="1"/>
  <c r="J5982" i="1"/>
  <c r="J5981" i="1"/>
  <c r="J5980" i="1"/>
  <c r="J5979" i="1"/>
  <c r="J5978" i="1"/>
  <c r="J5977" i="1"/>
  <c r="J5976" i="1"/>
  <c r="J5975" i="1"/>
  <c r="K174" i="2" s="1"/>
  <c r="J5974" i="1"/>
  <c r="J5973" i="1"/>
  <c r="J5972" i="1"/>
  <c r="J5971" i="1"/>
  <c r="J5970" i="1"/>
  <c r="J5969" i="1"/>
  <c r="J5968" i="1"/>
  <c r="J5967" i="1"/>
  <c r="J5966" i="1"/>
  <c r="J5965" i="1"/>
  <c r="J5964" i="1"/>
  <c r="J5963" i="1"/>
  <c r="J5962" i="1"/>
  <c r="J5961" i="1"/>
  <c r="J5960" i="1"/>
  <c r="J5959" i="1"/>
  <c r="R159" i="2" s="1"/>
  <c r="V159" i="2" s="1"/>
  <c r="J5958" i="1"/>
  <c r="J5954" i="1"/>
  <c r="J5953" i="1"/>
  <c r="K159" i="2" s="1"/>
  <c r="J5952" i="1"/>
  <c r="J5951" i="1"/>
  <c r="J5950" i="1"/>
  <c r="J5949" i="1"/>
  <c r="J5948" i="1"/>
  <c r="J5947" i="1"/>
  <c r="J5946" i="1"/>
  <c r="J5945" i="1"/>
  <c r="J5944" i="1"/>
  <c r="J5943" i="1"/>
  <c r="J5942" i="1"/>
  <c r="J5941" i="1"/>
  <c r="J5940" i="1"/>
  <c r="J5939" i="1"/>
  <c r="J5938" i="1"/>
  <c r="J5937" i="1"/>
  <c r="J5936" i="1"/>
  <c r="J5935" i="1"/>
  <c r="J5934" i="1"/>
  <c r="J5933" i="1"/>
  <c r="J5932" i="1"/>
  <c r="J5931" i="1"/>
  <c r="J5930" i="1"/>
  <c r="J5929" i="1"/>
  <c r="J5928" i="1"/>
  <c r="J5927" i="1"/>
  <c r="J5926" i="1"/>
  <c r="J5925" i="1"/>
  <c r="J5924" i="1"/>
  <c r="J5923" i="1"/>
  <c r="J5922" i="1"/>
  <c r="J5921" i="1"/>
  <c r="J5920" i="1"/>
  <c r="J5919" i="1"/>
  <c r="J5918" i="1"/>
  <c r="J5917" i="1"/>
  <c r="J5916" i="1"/>
  <c r="J5915" i="1"/>
  <c r="J5914" i="1"/>
  <c r="J5913" i="1"/>
  <c r="J5912" i="1"/>
  <c r="J5911" i="1"/>
  <c r="J5910" i="1"/>
  <c r="J5909" i="1"/>
  <c r="J5908" i="1"/>
  <c r="J5907" i="1"/>
  <c r="J5906" i="1"/>
  <c r="J5905" i="1"/>
  <c r="J5904" i="1"/>
  <c r="J5903" i="1"/>
  <c r="J5902" i="1"/>
  <c r="J5901" i="1"/>
  <c r="J5899" i="1"/>
  <c r="J5898" i="1"/>
  <c r="J5897" i="1"/>
  <c r="J5896" i="1"/>
  <c r="J5895" i="1"/>
  <c r="J5894" i="1"/>
  <c r="J5877" i="1"/>
  <c r="J5876" i="1"/>
  <c r="J5875" i="1"/>
  <c r="J5874" i="1"/>
  <c r="J5873" i="1"/>
  <c r="J5872" i="1"/>
  <c r="J5871" i="1"/>
  <c r="J5870" i="1"/>
  <c r="J5869" i="1"/>
  <c r="J5868" i="1"/>
  <c r="J5867" i="1"/>
  <c r="J5866" i="1"/>
  <c r="J5865" i="1"/>
  <c r="J5864" i="1"/>
  <c r="J5863" i="1"/>
  <c r="J5862" i="1"/>
  <c r="J5861" i="1"/>
  <c r="J5860" i="1"/>
  <c r="J5859" i="1"/>
  <c r="J5858" i="1"/>
  <c r="J5857" i="1"/>
  <c r="J5856" i="1"/>
  <c r="J5855" i="1"/>
  <c r="J5854" i="1"/>
  <c r="J5853" i="1"/>
  <c r="J5852" i="1"/>
  <c r="J5851" i="1"/>
  <c r="J5850" i="1"/>
  <c r="J5849" i="1"/>
  <c r="J5848" i="1"/>
  <c r="J5847" i="1"/>
  <c r="J5846" i="1"/>
  <c r="J5845" i="1"/>
  <c r="J5844" i="1"/>
  <c r="J5843" i="1"/>
  <c r="J5842" i="1"/>
  <c r="J5841" i="1"/>
  <c r="J5840" i="1"/>
  <c r="J5839" i="1"/>
  <c r="J5838" i="1"/>
  <c r="J5837" i="1"/>
  <c r="J5836" i="1"/>
  <c r="J5835" i="1"/>
  <c r="J5834" i="1"/>
  <c r="J5833" i="1"/>
  <c r="J5832" i="1"/>
  <c r="J5831" i="1"/>
  <c r="J5830" i="1"/>
  <c r="J5829" i="1"/>
  <c r="J5828" i="1"/>
  <c r="J5827" i="1"/>
  <c r="J5826" i="1"/>
  <c r="J5825" i="1"/>
  <c r="J5824" i="1"/>
  <c r="J5823" i="1"/>
  <c r="J5822" i="1"/>
  <c r="J5821" i="1"/>
  <c r="J5820" i="1"/>
  <c r="J5819" i="1"/>
  <c r="J5818" i="1"/>
  <c r="J5817" i="1"/>
  <c r="J5816" i="1"/>
  <c r="J5815" i="1"/>
  <c r="J5814" i="1"/>
  <c r="J5813" i="1"/>
  <c r="J5812" i="1"/>
  <c r="J5811" i="1"/>
  <c r="J5810" i="1"/>
  <c r="J5809" i="1"/>
  <c r="J5808" i="1"/>
  <c r="P157" i="2" s="1"/>
  <c r="T157" i="2" s="1"/>
  <c r="J5807" i="1"/>
  <c r="J5806" i="1"/>
  <c r="J5805" i="1"/>
  <c r="J5804" i="1"/>
  <c r="R157" i="2" s="1"/>
  <c r="V157" i="2" s="1"/>
  <c r="J5803" i="1"/>
  <c r="J5802" i="1"/>
  <c r="J5801" i="1"/>
  <c r="J5800" i="1"/>
  <c r="J5799" i="1"/>
  <c r="J5798" i="1"/>
  <c r="J5797" i="1"/>
  <c r="J5796" i="1"/>
  <c r="J5795" i="1"/>
  <c r="J5794" i="1"/>
  <c r="J5793" i="1"/>
  <c r="J5792" i="1"/>
  <c r="J5791" i="1"/>
  <c r="J5790" i="1"/>
  <c r="J5789" i="1"/>
  <c r="J5788" i="1"/>
  <c r="J5787" i="1"/>
  <c r="J5786" i="1"/>
  <c r="J5785" i="1"/>
  <c r="J5784" i="1"/>
  <c r="J5783" i="1"/>
  <c r="J5782" i="1"/>
  <c r="J5781" i="1"/>
  <c r="J5780" i="1"/>
  <c r="J5779" i="1"/>
  <c r="J5778" i="1"/>
  <c r="J5777" i="1"/>
  <c r="J5776" i="1"/>
  <c r="R162" i="2" s="1"/>
  <c r="V162" i="2" s="1"/>
  <c r="J5775" i="1"/>
  <c r="J5774" i="1"/>
  <c r="J5773" i="1"/>
  <c r="J5772" i="1"/>
  <c r="J5771" i="1"/>
  <c r="J5770" i="1"/>
  <c r="J5769" i="1"/>
  <c r="J5768" i="1"/>
  <c r="J5767" i="1"/>
  <c r="J5766" i="1"/>
  <c r="J5765" i="1"/>
  <c r="J5764" i="1"/>
  <c r="J5763" i="1"/>
  <c r="J5762" i="1"/>
  <c r="J5761" i="1"/>
  <c r="J5760" i="1"/>
  <c r="J5759" i="1"/>
  <c r="J5758" i="1"/>
  <c r="J5757" i="1"/>
  <c r="J5756" i="1"/>
  <c r="J5755" i="1"/>
  <c r="J5754" i="1"/>
  <c r="K156" i="2" s="1"/>
  <c r="J5753" i="1"/>
  <c r="J5752" i="1"/>
  <c r="J5751" i="1"/>
  <c r="J5750" i="1"/>
  <c r="J5749" i="1"/>
  <c r="J5748" i="1"/>
  <c r="J5747" i="1"/>
  <c r="J5746" i="1"/>
  <c r="J5745" i="1"/>
  <c r="J5744" i="1"/>
  <c r="J5743" i="1"/>
  <c r="J5742" i="1"/>
  <c r="J5741" i="1"/>
  <c r="J5740" i="1"/>
  <c r="J5739" i="1"/>
  <c r="J5738" i="1"/>
  <c r="J5737" i="1"/>
  <c r="J5736" i="1"/>
  <c r="J5735" i="1"/>
  <c r="J5734" i="1"/>
  <c r="J5733" i="1"/>
  <c r="J5732" i="1"/>
  <c r="J5731" i="1"/>
  <c r="J5730" i="1"/>
  <c r="J5729" i="1"/>
  <c r="J5728" i="1"/>
  <c r="J5727" i="1"/>
  <c r="J5726" i="1"/>
  <c r="J5725" i="1"/>
  <c r="J5724" i="1"/>
  <c r="J5723" i="1"/>
  <c r="J5722" i="1"/>
  <c r="J5721" i="1"/>
  <c r="J5720" i="1"/>
  <c r="J5719" i="1"/>
  <c r="J5718" i="1"/>
  <c r="J5717" i="1"/>
  <c r="J5716" i="1"/>
  <c r="J5715" i="1"/>
  <c r="J5714" i="1"/>
  <c r="J5713" i="1"/>
  <c r="J5712" i="1"/>
  <c r="J5711" i="1"/>
  <c r="J5710" i="1"/>
  <c r="J5709" i="1"/>
  <c r="J5708" i="1"/>
  <c r="J5707" i="1"/>
  <c r="J5706" i="1"/>
  <c r="J5705" i="1"/>
  <c r="J5704" i="1"/>
  <c r="J5703" i="1"/>
  <c r="J5702" i="1"/>
  <c r="J5701" i="1"/>
  <c r="J5700" i="1"/>
  <c r="J5699" i="1"/>
  <c r="J5698" i="1"/>
  <c r="J5697" i="1"/>
  <c r="J5696" i="1"/>
  <c r="J5695" i="1"/>
  <c r="J5694" i="1"/>
  <c r="J5693" i="1"/>
  <c r="J5692" i="1"/>
  <c r="J5691" i="1"/>
  <c r="J5690" i="1"/>
  <c r="J5689" i="1"/>
  <c r="J5688" i="1"/>
  <c r="J5687" i="1"/>
  <c r="J5686" i="1"/>
  <c r="J5685" i="1"/>
  <c r="J5684" i="1"/>
  <c r="J5683" i="1"/>
  <c r="J5682" i="1"/>
  <c r="J5681" i="1"/>
  <c r="J5680" i="1"/>
  <c r="J5679" i="1"/>
  <c r="J5678" i="1"/>
  <c r="J5677" i="1"/>
  <c r="J5676" i="1"/>
  <c r="Q147" i="2" s="1"/>
  <c r="U147" i="2" s="1"/>
  <c r="J5675" i="1"/>
  <c r="J5674" i="1"/>
  <c r="J5673" i="1"/>
  <c r="J5672" i="1"/>
  <c r="J5671" i="1"/>
  <c r="J5670" i="1"/>
  <c r="J5669" i="1"/>
  <c r="R147" i="2" s="1"/>
  <c r="V147" i="2" s="1"/>
  <c r="J5668" i="1"/>
  <c r="J5667" i="1"/>
  <c r="J5666" i="1"/>
  <c r="J5665" i="1"/>
  <c r="J5664" i="1"/>
  <c r="J5663" i="1"/>
  <c r="J5662" i="1"/>
  <c r="J5661" i="1"/>
  <c r="J5660" i="1"/>
  <c r="J5659" i="1"/>
  <c r="J5658" i="1"/>
  <c r="J5657" i="1"/>
  <c r="J5656" i="1"/>
  <c r="J5655" i="1"/>
  <c r="J5654" i="1"/>
  <c r="J5653" i="1"/>
  <c r="J5652" i="1"/>
  <c r="J5651" i="1"/>
  <c r="J5650" i="1"/>
  <c r="J5649" i="1"/>
  <c r="J5648" i="1"/>
  <c r="J5647" i="1"/>
  <c r="J5646" i="1"/>
  <c r="J5645" i="1"/>
  <c r="J5644" i="1"/>
  <c r="R161" i="2" s="1"/>
  <c r="V161" i="2" s="1"/>
  <c r="J5643" i="1"/>
  <c r="J5642" i="1"/>
  <c r="J5641" i="1"/>
  <c r="J5640" i="1"/>
  <c r="J5639" i="1"/>
  <c r="J5638" i="1"/>
  <c r="J5637" i="1"/>
  <c r="J5636" i="1"/>
  <c r="J5635" i="1"/>
  <c r="J5634" i="1"/>
  <c r="J5633" i="1"/>
  <c r="J5632" i="1"/>
  <c r="J5631" i="1"/>
  <c r="J5630" i="1"/>
  <c r="J5629" i="1"/>
  <c r="J5628" i="1"/>
  <c r="J5627" i="1"/>
  <c r="J5626" i="1"/>
  <c r="J5625" i="1"/>
  <c r="J5624" i="1"/>
  <c r="J5623" i="1"/>
  <c r="J5622" i="1"/>
  <c r="R146" i="2" s="1"/>
  <c r="V146" i="2" s="1"/>
  <c r="J5621" i="1"/>
  <c r="J5620" i="1"/>
  <c r="J5619" i="1"/>
  <c r="J5618" i="1"/>
  <c r="J5617" i="1"/>
  <c r="J5616" i="1"/>
  <c r="H146" i="2" s="1"/>
  <c r="J5615" i="1"/>
  <c r="J5614" i="1"/>
  <c r="J5613" i="1"/>
  <c r="J5612" i="1"/>
  <c r="J5611" i="1"/>
  <c r="J5610" i="1"/>
  <c r="J5609" i="1"/>
  <c r="J5608" i="1"/>
  <c r="J5607" i="1"/>
  <c r="J5606" i="1"/>
  <c r="J5605" i="1"/>
  <c r="J5604" i="1"/>
  <c r="J5603" i="1"/>
  <c r="J5602" i="1"/>
  <c r="J5601" i="1"/>
  <c r="J5600" i="1"/>
  <c r="R138" i="2" s="1"/>
  <c r="V138" i="2" s="1"/>
  <c r="J5599" i="1"/>
  <c r="J5598" i="1"/>
  <c r="J5597" i="1"/>
  <c r="J5596" i="1"/>
  <c r="J5595" i="1"/>
  <c r="J5594" i="1"/>
  <c r="J5593" i="1"/>
  <c r="J5592" i="1"/>
  <c r="J5591" i="1"/>
  <c r="J5590" i="1"/>
  <c r="J5589" i="1"/>
  <c r="J5588" i="1"/>
  <c r="J5587" i="1"/>
  <c r="J5586" i="1"/>
  <c r="J5585" i="1"/>
  <c r="J5584" i="1"/>
  <c r="J5583" i="1"/>
  <c r="J5582" i="1"/>
  <c r="J5581" i="1"/>
  <c r="J5580" i="1"/>
  <c r="J5579" i="1"/>
  <c r="J5578" i="1"/>
  <c r="J5577" i="1"/>
  <c r="J5576" i="1"/>
  <c r="J5575" i="1"/>
  <c r="J5574" i="1"/>
  <c r="J5573" i="1"/>
  <c r="J5572" i="1"/>
  <c r="J5571" i="1"/>
  <c r="J5570" i="1"/>
  <c r="J5569" i="1"/>
  <c r="J5568" i="1"/>
  <c r="J5567" i="1"/>
  <c r="J5566" i="1"/>
  <c r="J5565" i="1"/>
  <c r="J5564" i="1"/>
  <c r="J5563" i="1"/>
  <c r="J5562" i="1"/>
  <c r="J5561" i="1"/>
  <c r="J5560" i="1"/>
  <c r="J5559" i="1"/>
  <c r="J5558" i="1"/>
  <c r="J5557" i="1"/>
  <c r="J5556" i="1"/>
  <c r="J5555" i="1"/>
  <c r="J5554" i="1"/>
  <c r="J5553" i="1"/>
  <c r="J5552" i="1"/>
  <c r="J5551" i="1"/>
  <c r="J5550" i="1"/>
  <c r="J5549" i="1"/>
  <c r="J5548" i="1"/>
  <c r="J5547" i="1"/>
  <c r="J5546" i="1"/>
  <c r="J5545" i="1"/>
  <c r="J5544" i="1"/>
  <c r="J5543" i="1"/>
  <c r="J5542" i="1"/>
  <c r="J5541" i="1"/>
  <c r="J5540" i="1"/>
  <c r="J5539" i="1"/>
  <c r="J5538" i="1"/>
  <c r="J5537" i="1"/>
  <c r="J5536" i="1"/>
  <c r="J5535" i="1"/>
  <c r="J5534" i="1"/>
  <c r="J5533" i="1"/>
  <c r="J5532" i="1"/>
  <c r="J5531" i="1"/>
  <c r="J5530" i="1"/>
  <c r="J5529" i="1"/>
  <c r="J5528" i="1"/>
  <c r="J5527" i="1"/>
  <c r="J5526" i="1"/>
  <c r="J5525" i="1"/>
  <c r="J5524" i="1"/>
  <c r="J5523" i="1"/>
  <c r="J5522" i="1"/>
  <c r="J5521" i="1"/>
  <c r="J5520" i="1"/>
  <c r="J5519" i="1"/>
  <c r="P154" i="2" s="1"/>
  <c r="J5518" i="1"/>
  <c r="J5517" i="1"/>
  <c r="J5516" i="1"/>
  <c r="J5515" i="1"/>
  <c r="J5514" i="1"/>
  <c r="J5513" i="1"/>
  <c r="J5512" i="1"/>
  <c r="R153" i="2" s="1"/>
  <c r="V153" i="2" s="1"/>
  <c r="J5511" i="1"/>
  <c r="J5510" i="1"/>
  <c r="J5509" i="1"/>
  <c r="J5508" i="1"/>
  <c r="J5507" i="1"/>
  <c r="J5506" i="1"/>
  <c r="J5505" i="1"/>
  <c r="J5504" i="1"/>
  <c r="J5503" i="1"/>
  <c r="J5502" i="1"/>
  <c r="J5501" i="1"/>
  <c r="J5500" i="1"/>
  <c r="J5499" i="1"/>
  <c r="J5498" i="1"/>
  <c r="J5497" i="1"/>
  <c r="J5496" i="1"/>
  <c r="J5495" i="1"/>
  <c r="J5494" i="1"/>
  <c r="J5493" i="1"/>
  <c r="J5492" i="1"/>
  <c r="J5491" i="1"/>
  <c r="J5490" i="1"/>
  <c r="J5489" i="1"/>
  <c r="J5488" i="1"/>
  <c r="J5487" i="1"/>
  <c r="J5486" i="1"/>
  <c r="J5485" i="1"/>
  <c r="J5484" i="1"/>
  <c r="J5483" i="1"/>
  <c r="J5482" i="1"/>
  <c r="J5464" i="1"/>
  <c r="J5463" i="1"/>
  <c r="J5462" i="1"/>
  <c r="J5461" i="1"/>
  <c r="J5460" i="1"/>
  <c r="J5459" i="1"/>
  <c r="J5458" i="1"/>
  <c r="J5457" i="1"/>
  <c r="J5456" i="1"/>
  <c r="J5455" i="1"/>
  <c r="J5454" i="1"/>
  <c r="J5453" i="1"/>
  <c r="J5452" i="1"/>
  <c r="J5451" i="1"/>
  <c r="R137" i="2" s="1"/>
  <c r="V137" i="2" s="1"/>
  <c r="J5450" i="1"/>
  <c r="J5449" i="1"/>
  <c r="J5448" i="1"/>
  <c r="J5447" i="1"/>
  <c r="J5446" i="1"/>
  <c r="J5445" i="1"/>
  <c r="J5444" i="1"/>
  <c r="J5443" i="1"/>
  <c r="J5442" i="1"/>
  <c r="J5441" i="1"/>
  <c r="J5440" i="1"/>
  <c r="J5439" i="1"/>
  <c r="J5438" i="1"/>
  <c r="J5437" i="1"/>
  <c r="J5436" i="1"/>
  <c r="J5435" i="1"/>
  <c r="J5434" i="1"/>
  <c r="J5433" i="1"/>
  <c r="J5432" i="1"/>
  <c r="J5431" i="1"/>
  <c r="J5430" i="1"/>
  <c r="J5429" i="1"/>
  <c r="J5428" i="1"/>
  <c r="J5427" i="1"/>
  <c r="J5426" i="1"/>
  <c r="J5425" i="1"/>
  <c r="J5424" i="1"/>
  <c r="J5423" i="1"/>
  <c r="J5422" i="1"/>
  <c r="J5421" i="1"/>
  <c r="J5420" i="1"/>
  <c r="J5419" i="1"/>
  <c r="J5418" i="1"/>
  <c r="J5417" i="1"/>
  <c r="J5416" i="1"/>
  <c r="J5415" i="1"/>
  <c r="J5414" i="1"/>
  <c r="J5413" i="1"/>
  <c r="J5412" i="1"/>
  <c r="J5411" i="1"/>
  <c r="J5410" i="1"/>
  <c r="J5409" i="1"/>
  <c r="J5408" i="1"/>
  <c r="J5407" i="1"/>
  <c r="H143" i="2" s="1"/>
  <c r="J5406" i="1"/>
  <c r="J5405" i="1"/>
  <c r="J5404" i="1"/>
  <c r="J5403" i="1"/>
  <c r="J5402" i="1"/>
  <c r="J5401" i="1"/>
  <c r="J5400" i="1"/>
  <c r="J5399" i="1"/>
  <c r="J5398" i="1"/>
  <c r="J5397" i="1"/>
  <c r="J5396" i="1"/>
  <c r="J5395" i="1"/>
  <c r="J5394" i="1"/>
  <c r="J5393" i="1"/>
  <c r="J5392" i="1"/>
  <c r="J5391" i="1"/>
  <c r="J5390" i="1"/>
  <c r="J5389" i="1"/>
  <c r="J5388" i="1"/>
  <c r="J5387" i="1"/>
  <c r="J5386" i="1"/>
  <c r="J5385" i="1"/>
  <c r="Q160" i="2" s="1"/>
  <c r="U160" i="2" s="1"/>
  <c r="J5384" i="1"/>
  <c r="J5383" i="1"/>
  <c r="J5382" i="1"/>
  <c r="J5381" i="1"/>
  <c r="J5380" i="1"/>
  <c r="J5379" i="1"/>
  <c r="J5378" i="1"/>
  <c r="J5377" i="1"/>
  <c r="J5376" i="1"/>
  <c r="J5375" i="1"/>
  <c r="J5374" i="1"/>
  <c r="J5373" i="1"/>
  <c r="J5372" i="1"/>
  <c r="J5371" i="1"/>
  <c r="J5370" i="1"/>
  <c r="J5369" i="1"/>
  <c r="J5368" i="1"/>
  <c r="J5367" i="1"/>
  <c r="J5366" i="1"/>
  <c r="J5365" i="1"/>
  <c r="J5364" i="1"/>
  <c r="J5363" i="1"/>
  <c r="J5362" i="1"/>
  <c r="J5361" i="1"/>
  <c r="J5360" i="1"/>
  <c r="J5359" i="1"/>
  <c r="J5358" i="1"/>
  <c r="J5357" i="1"/>
  <c r="J5356" i="1"/>
  <c r="J5355" i="1"/>
  <c r="J5354" i="1"/>
  <c r="J5353" i="1"/>
  <c r="J5352" i="1"/>
  <c r="J5351" i="1"/>
  <c r="J5350" i="1"/>
  <c r="J5349" i="1"/>
  <c r="J5348" i="1"/>
  <c r="J5347" i="1"/>
  <c r="J5346" i="1"/>
  <c r="J5345" i="1"/>
  <c r="J5344" i="1"/>
  <c r="J5343" i="1"/>
  <c r="J5325" i="1"/>
  <c r="J5324" i="1"/>
  <c r="J5323" i="1"/>
  <c r="J5322" i="1"/>
  <c r="J5321" i="1"/>
  <c r="J5320" i="1"/>
  <c r="J5319" i="1"/>
  <c r="J5318" i="1"/>
  <c r="J5317" i="1"/>
  <c r="J5316" i="1"/>
  <c r="J5315" i="1"/>
  <c r="J5314" i="1"/>
  <c r="J5313" i="1"/>
  <c r="J5312" i="1"/>
  <c r="J5311" i="1"/>
  <c r="J5310" i="1"/>
  <c r="J5309" i="1"/>
  <c r="J5308" i="1"/>
  <c r="J5307" i="1"/>
  <c r="J5306" i="1"/>
  <c r="J5305" i="1"/>
  <c r="J5304" i="1"/>
  <c r="J5303" i="1"/>
  <c r="J5302" i="1"/>
  <c r="J5301" i="1"/>
  <c r="J5300" i="1"/>
  <c r="J5299" i="1"/>
  <c r="J5298" i="1"/>
  <c r="J5297" i="1"/>
  <c r="J5296" i="1"/>
  <c r="J5295" i="1"/>
  <c r="J5294" i="1"/>
  <c r="J5293" i="1"/>
  <c r="J5292" i="1"/>
  <c r="J5291" i="1"/>
  <c r="J5290" i="1"/>
  <c r="J5289" i="1"/>
  <c r="J5288" i="1"/>
  <c r="J5287" i="1"/>
  <c r="J5286" i="1"/>
  <c r="J5285" i="1"/>
  <c r="J5284" i="1"/>
  <c r="J5283" i="1"/>
  <c r="J5282" i="1"/>
  <c r="J5281" i="1"/>
  <c r="J5280" i="1"/>
  <c r="J5279" i="1"/>
  <c r="J5278" i="1"/>
  <c r="J5277" i="1"/>
  <c r="J5276" i="1"/>
  <c r="J5275" i="1"/>
  <c r="J5274" i="1"/>
  <c r="J5273" i="1"/>
  <c r="J5272" i="1"/>
  <c r="J5271" i="1"/>
  <c r="J5270" i="1"/>
  <c r="J5269" i="1"/>
  <c r="J5268" i="1"/>
  <c r="J5267" i="1"/>
  <c r="J5266" i="1"/>
  <c r="J5265" i="1"/>
  <c r="J5264" i="1"/>
  <c r="J5263" i="1"/>
  <c r="J5262" i="1"/>
  <c r="J5261" i="1"/>
  <c r="J5260" i="1"/>
  <c r="J5259" i="1"/>
  <c r="J5258" i="1"/>
  <c r="H172" i="2" s="1"/>
  <c r="J5257" i="1"/>
  <c r="J5256" i="1"/>
  <c r="J5255" i="1"/>
  <c r="J5254" i="1"/>
  <c r="J5253" i="1"/>
  <c r="J5252" i="1"/>
  <c r="J5251" i="1"/>
  <c r="J5250" i="1"/>
  <c r="J5249" i="1"/>
  <c r="J5248" i="1"/>
  <c r="J5247" i="1"/>
  <c r="J5246" i="1"/>
  <c r="J5245" i="1"/>
  <c r="J5244" i="1"/>
  <c r="J5243" i="1"/>
  <c r="J5242" i="1"/>
  <c r="J5241" i="1"/>
  <c r="J5240" i="1"/>
  <c r="J5239" i="1"/>
  <c r="J5238" i="1"/>
  <c r="J5237" i="1"/>
  <c r="J5236" i="1"/>
  <c r="P151" i="2" s="1"/>
  <c r="T151" i="2" s="1"/>
  <c r="J5235" i="1"/>
  <c r="J5234" i="1"/>
  <c r="J5233" i="1"/>
  <c r="J5232" i="1"/>
  <c r="J5231" i="1"/>
  <c r="J5230" i="1"/>
  <c r="Q151" i="2" s="1"/>
  <c r="U151" i="2" s="1"/>
  <c r="J5229" i="1"/>
  <c r="J5228" i="1"/>
  <c r="J5227" i="1"/>
  <c r="J5226" i="1"/>
  <c r="J5225" i="1"/>
  <c r="J5224" i="1"/>
  <c r="J5223" i="1"/>
  <c r="J5222" i="1"/>
  <c r="J5221" i="1"/>
  <c r="J5220" i="1"/>
  <c r="J5219" i="1"/>
  <c r="J5218" i="1"/>
  <c r="J5217" i="1"/>
  <c r="J5216" i="1"/>
  <c r="J5215" i="1"/>
  <c r="J5214" i="1"/>
  <c r="J5213" i="1"/>
  <c r="J5212" i="1"/>
  <c r="J5211" i="1"/>
  <c r="J5210" i="1"/>
  <c r="J5209" i="1"/>
  <c r="J5208" i="1"/>
  <c r="J5207" i="1"/>
  <c r="J5206" i="1"/>
  <c r="J5205" i="1"/>
  <c r="J5204" i="1"/>
  <c r="J5203" i="1"/>
  <c r="J5202" i="1"/>
  <c r="J5201" i="1"/>
  <c r="J5200" i="1"/>
  <c r="J5199" i="1"/>
  <c r="J5198" i="1"/>
  <c r="J5197" i="1"/>
  <c r="J5196" i="1"/>
  <c r="J5195" i="1"/>
  <c r="J5194" i="1"/>
  <c r="J5193" i="1"/>
  <c r="J5192" i="1"/>
  <c r="J5191" i="1"/>
  <c r="J5190" i="1"/>
  <c r="J5189" i="1"/>
  <c r="J5188" i="1"/>
  <c r="J5187" i="1"/>
  <c r="J5186" i="1"/>
  <c r="J5185" i="1"/>
  <c r="J5184" i="1"/>
  <c r="J5183" i="1"/>
  <c r="J5182" i="1"/>
  <c r="J5181" i="1"/>
  <c r="J5180" i="1"/>
  <c r="J5179" i="1"/>
  <c r="J5178" i="1"/>
  <c r="J5177" i="1"/>
  <c r="J5176" i="1"/>
  <c r="J5175" i="1"/>
  <c r="J5174" i="1"/>
  <c r="J5173" i="1"/>
  <c r="J5172" i="1"/>
  <c r="J5171" i="1"/>
  <c r="J5170" i="1"/>
  <c r="H142" i="2" s="1"/>
  <c r="I142" i="2" s="1"/>
  <c r="J5169" i="1"/>
  <c r="J5168" i="1"/>
  <c r="J5167" i="1"/>
  <c r="J5166" i="1"/>
  <c r="J5165" i="1"/>
  <c r="J5164" i="1"/>
  <c r="J5163" i="1"/>
  <c r="J5162" i="1"/>
  <c r="J5161" i="1"/>
  <c r="J5160" i="1"/>
  <c r="J5159" i="1"/>
  <c r="J5158" i="1"/>
  <c r="J5157" i="1"/>
  <c r="J5156" i="1"/>
  <c r="J5155" i="1"/>
  <c r="J5154" i="1"/>
  <c r="J5153" i="1"/>
  <c r="J5152" i="1"/>
  <c r="J5151" i="1"/>
  <c r="J5150" i="1"/>
  <c r="J5149" i="1"/>
  <c r="J5148" i="1"/>
  <c r="H150" i="2" s="1"/>
  <c r="I150" i="2" s="1"/>
  <c r="J5147" i="1"/>
  <c r="J5146" i="1"/>
  <c r="J5145" i="1"/>
  <c r="J5144" i="1"/>
  <c r="J5143" i="1"/>
  <c r="J5142" i="1"/>
  <c r="J5141" i="1"/>
  <c r="J5140" i="1"/>
  <c r="J5139" i="1"/>
  <c r="J5138" i="1"/>
  <c r="J5137" i="1"/>
  <c r="J5136" i="1"/>
  <c r="J5135" i="1"/>
  <c r="J5134" i="1"/>
  <c r="J5133" i="1"/>
  <c r="J5132" i="1"/>
  <c r="J5131" i="1"/>
  <c r="J5130" i="1"/>
  <c r="J5129" i="1"/>
  <c r="J5128" i="1"/>
  <c r="J5127" i="1"/>
  <c r="J5126" i="1"/>
  <c r="R131" i="2" s="1"/>
  <c r="V131" i="2" s="1"/>
  <c r="J5125" i="1"/>
  <c r="J5124" i="1"/>
  <c r="J5123" i="1"/>
  <c r="J5122" i="1"/>
  <c r="J5121" i="1"/>
  <c r="J5120" i="1"/>
  <c r="J5119" i="1"/>
  <c r="J5118" i="1"/>
  <c r="J5117" i="1"/>
  <c r="J5116" i="1"/>
  <c r="J5115" i="1"/>
  <c r="J5114" i="1"/>
  <c r="J5113" i="1"/>
  <c r="J5112" i="1"/>
  <c r="J5111" i="1"/>
  <c r="J5110" i="1"/>
  <c r="J5109" i="1"/>
  <c r="J5108" i="1"/>
  <c r="J5107" i="1"/>
  <c r="J5106" i="1"/>
  <c r="J5105" i="1"/>
  <c r="J5104" i="1"/>
  <c r="H121" i="2" s="1"/>
  <c r="I121" i="2" s="1"/>
  <c r="J5103" i="1"/>
  <c r="J5102" i="1"/>
  <c r="J5101" i="1"/>
  <c r="J5100" i="1"/>
  <c r="J5099" i="1"/>
  <c r="J5098" i="1"/>
  <c r="J5097" i="1"/>
  <c r="J5096" i="1"/>
  <c r="J5095" i="1"/>
  <c r="J5094" i="1"/>
  <c r="J5093" i="1"/>
  <c r="J5092" i="1"/>
  <c r="J5091" i="1"/>
  <c r="J5090" i="1"/>
  <c r="J5089" i="1"/>
  <c r="J5088" i="1"/>
  <c r="J5087" i="1"/>
  <c r="J5086" i="1"/>
  <c r="J5085" i="1"/>
  <c r="J5084" i="1"/>
  <c r="J5083" i="1"/>
  <c r="J5082" i="1"/>
  <c r="J5081" i="1"/>
  <c r="J5080" i="1"/>
  <c r="J5079" i="1"/>
  <c r="J5078" i="1"/>
  <c r="J5077" i="1"/>
  <c r="J5076" i="1"/>
  <c r="J5075" i="1"/>
  <c r="J5074" i="1"/>
  <c r="J5073" i="1"/>
  <c r="J5072" i="1"/>
  <c r="J5071" i="1"/>
  <c r="J5070" i="1"/>
  <c r="J5069" i="1"/>
  <c r="J5068" i="1"/>
  <c r="J5067" i="1"/>
  <c r="J5066" i="1"/>
  <c r="J5065" i="1"/>
  <c r="J5064" i="1"/>
  <c r="J5063" i="1"/>
  <c r="J5062" i="1"/>
  <c r="J5061" i="1"/>
  <c r="J5060" i="1"/>
  <c r="J5059" i="1"/>
  <c r="J5058" i="1"/>
  <c r="J5057" i="1"/>
  <c r="J5056" i="1"/>
  <c r="J5055" i="1"/>
  <c r="J5054" i="1"/>
  <c r="J5053" i="1"/>
  <c r="J5052" i="1"/>
  <c r="J5051" i="1"/>
  <c r="J5050" i="1"/>
  <c r="J5049" i="1"/>
  <c r="J5048" i="1"/>
  <c r="J5047" i="1"/>
  <c r="J5046" i="1"/>
  <c r="J5045" i="1"/>
  <c r="J5044" i="1"/>
  <c r="J5043" i="1"/>
  <c r="J5042" i="1"/>
  <c r="J5041" i="1"/>
  <c r="J5040" i="1"/>
  <c r="J5039" i="1"/>
  <c r="J5038" i="1"/>
  <c r="R116" i="2" s="1"/>
  <c r="V116" i="2" s="1"/>
  <c r="J5037" i="1"/>
  <c r="J5036" i="1"/>
  <c r="J5035" i="1"/>
  <c r="J5034" i="1"/>
  <c r="J5033" i="1"/>
  <c r="J5032" i="1"/>
  <c r="J5031" i="1"/>
  <c r="J5030" i="1"/>
  <c r="J5029" i="1"/>
  <c r="J5028" i="1"/>
  <c r="J5027" i="1"/>
  <c r="J5026" i="1"/>
  <c r="J5025" i="1"/>
  <c r="J5024" i="1"/>
  <c r="J5023" i="1"/>
  <c r="J5022" i="1"/>
  <c r="J5021" i="1"/>
  <c r="J5020" i="1"/>
  <c r="J5019" i="1"/>
  <c r="J5018" i="1"/>
  <c r="J5017" i="1"/>
  <c r="J5016" i="1"/>
  <c r="J5015" i="1"/>
  <c r="J5014" i="1"/>
  <c r="J5013" i="1"/>
  <c r="J5012" i="1"/>
  <c r="J5011" i="1"/>
  <c r="J5010" i="1"/>
  <c r="J5009" i="1"/>
  <c r="J5008" i="1"/>
  <c r="J5007" i="1"/>
  <c r="J5006" i="1"/>
  <c r="J5005" i="1"/>
  <c r="J5004" i="1"/>
  <c r="J5003" i="1"/>
  <c r="J5002" i="1"/>
  <c r="J5001" i="1"/>
  <c r="J5000" i="1"/>
  <c r="J4999" i="1"/>
  <c r="J4998" i="1"/>
  <c r="J4997" i="1"/>
  <c r="J4996" i="1"/>
  <c r="J4995" i="1"/>
  <c r="J4994" i="1"/>
  <c r="P128" i="2" s="1"/>
  <c r="J4993" i="1"/>
  <c r="J4992" i="1"/>
  <c r="J4991" i="1"/>
  <c r="J4990" i="1"/>
  <c r="J4989" i="1"/>
  <c r="J4988" i="1"/>
  <c r="R128" i="2" s="1"/>
  <c r="V128" i="2" s="1"/>
  <c r="J4987" i="1"/>
  <c r="J4986" i="1"/>
  <c r="J4985" i="1"/>
  <c r="J4984" i="1"/>
  <c r="J4983" i="1"/>
  <c r="J4982" i="1"/>
  <c r="J4981" i="1"/>
  <c r="J4980" i="1"/>
  <c r="J4979" i="1"/>
  <c r="J4978" i="1"/>
  <c r="J4977" i="1"/>
  <c r="J4976" i="1"/>
  <c r="J4975" i="1"/>
  <c r="J4974" i="1"/>
  <c r="J4973" i="1"/>
  <c r="J4972" i="1"/>
  <c r="J4971" i="1"/>
  <c r="J4970" i="1"/>
  <c r="J4969" i="1"/>
  <c r="J4968" i="1"/>
  <c r="J4967" i="1"/>
  <c r="J4966" i="1"/>
  <c r="J4965" i="1"/>
  <c r="J4964" i="1"/>
  <c r="J4963" i="1"/>
  <c r="J4962" i="1"/>
  <c r="J4961" i="1"/>
  <c r="J4960" i="1"/>
  <c r="J4959" i="1"/>
  <c r="J4958" i="1"/>
  <c r="J4957" i="1"/>
  <c r="J4956" i="1"/>
  <c r="J4955" i="1"/>
  <c r="J4954" i="1"/>
  <c r="J4953" i="1"/>
  <c r="J4952" i="1"/>
  <c r="J4951" i="1"/>
  <c r="J4950" i="1"/>
  <c r="J4949" i="1"/>
  <c r="J4948" i="1"/>
  <c r="J4947" i="1"/>
  <c r="J4946" i="1"/>
  <c r="J4945" i="1"/>
  <c r="J4944" i="1"/>
  <c r="J4943" i="1"/>
  <c r="J4942" i="1"/>
  <c r="J4941" i="1"/>
  <c r="J4940" i="1"/>
  <c r="J4939" i="1"/>
  <c r="J4938" i="1"/>
  <c r="J4937" i="1"/>
  <c r="J4936" i="1"/>
  <c r="J4935" i="1"/>
  <c r="J4934" i="1"/>
  <c r="J4933" i="1"/>
  <c r="J4932" i="1"/>
  <c r="J4931" i="1"/>
  <c r="J4930" i="1"/>
  <c r="J4929" i="1"/>
  <c r="J4928" i="1"/>
  <c r="J4927" i="1"/>
  <c r="J4926" i="1"/>
  <c r="J4925" i="1"/>
  <c r="J4924" i="1"/>
  <c r="J4923" i="1"/>
  <c r="J4922" i="1"/>
  <c r="J4921" i="1"/>
  <c r="J4920" i="1"/>
  <c r="J4919" i="1"/>
  <c r="J4918" i="1"/>
  <c r="J4917" i="1"/>
  <c r="J4916" i="1"/>
  <c r="J4915" i="1"/>
  <c r="J4914" i="1"/>
  <c r="J4913" i="1"/>
  <c r="J4912" i="1"/>
  <c r="J4911" i="1"/>
  <c r="J4910" i="1"/>
  <c r="J4909" i="1"/>
  <c r="J4908" i="1"/>
  <c r="J4907" i="1"/>
  <c r="J4906" i="1"/>
  <c r="J4905" i="1"/>
  <c r="J4904" i="1"/>
  <c r="J4903" i="1"/>
  <c r="J4902" i="1"/>
  <c r="J4901" i="1"/>
  <c r="J4900" i="1"/>
  <c r="J4899" i="1"/>
  <c r="J4898" i="1"/>
  <c r="J4897" i="1"/>
  <c r="J4896" i="1"/>
  <c r="J4895" i="1"/>
  <c r="J4894" i="1"/>
  <c r="J4893" i="1"/>
  <c r="J4892" i="1"/>
  <c r="J4891" i="1"/>
  <c r="J4890" i="1"/>
  <c r="J4889" i="1"/>
  <c r="J4888" i="1"/>
  <c r="J4887" i="1"/>
  <c r="J4886" i="1"/>
  <c r="J4885" i="1"/>
  <c r="J4884" i="1"/>
  <c r="P125" i="2" s="1"/>
  <c r="T125" i="2" s="1"/>
  <c r="J4883" i="1"/>
  <c r="J4882" i="1"/>
  <c r="J4881" i="1"/>
  <c r="J4880" i="1"/>
  <c r="J4879" i="1"/>
  <c r="J4878" i="1"/>
  <c r="J4877" i="1"/>
  <c r="J4876" i="1"/>
  <c r="J4875" i="1"/>
  <c r="J4874" i="1"/>
  <c r="J4873" i="1"/>
  <c r="J4872" i="1"/>
  <c r="J4871" i="1"/>
  <c r="J4870" i="1"/>
  <c r="J4869" i="1"/>
  <c r="J4868" i="1"/>
  <c r="J4867" i="1"/>
  <c r="J4866" i="1"/>
  <c r="J4865" i="1"/>
  <c r="J4864" i="1"/>
  <c r="J4863" i="1"/>
  <c r="J4862" i="1"/>
  <c r="J4861" i="1"/>
  <c r="J4860" i="1"/>
  <c r="J4859" i="1"/>
  <c r="J4858" i="1"/>
  <c r="J4857" i="1"/>
  <c r="J4856" i="1"/>
  <c r="J4855" i="1"/>
  <c r="J4854" i="1"/>
  <c r="J4853" i="1"/>
  <c r="J4852" i="1"/>
  <c r="J4851" i="1"/>
  <c r="J4850" i="1"/>
  <c r="J4849" i="1"/>
  <c r="J4848" i="1"/>
  <c r="J4847" i="1"/>
  <c r="J4846" i="1"/>
  <c r="J4845" i="1"/>
  <c r="J4844" i="1"/>
  <c r="J4843" i="1"/>
  <c r="J4842" i="1"/>
  <c r="J4841" i="1"/>
  <c r="J4840" i="1"/>
  <c r="Q115" i="2" s="1"/>
  <c r="U115" i="2" s="1"/>
  <c r="J4839" i="1"/>
  <c r="J4838" i="1"/>
  <c r="J4837" i="1"/>
  <c r="J4836" i="1"/>
  <c r="J4835" i="1"/>
  <c r="J4834" i="1"/>
  <c r="J4833" i="1"/>
  <c r="J4832" i="1"/>
  <c r="J4831" i="1"/>
  <c r="J4830" i="1"/>
  <c r="J4829" i="1"/>
  <c r="J4828" i="1"/>
  <c r="J4827" i="1"/>
  <c r="J4826" i="1"/>
  <c r="J4825" i="1"/>
  <c r="J4824" i="1"/>
  <c r="J4823" i="1"/>
  <c r="J4822" i="1"/>
  <c r="J4821" i="1"/>
  <c r="J4820" i="1"/>
  <c r="J4819" i="1"/>
  <c r="J4818" i="1"/>
  <c r="J4817" i="1"/>
  <c r="J4816" i="1"/>
  <c r="J4815" i="1"/>
  <c r="J4814" i="1"/>
  <c r="J4813" i="1"/>
  <c r="J4812" i="1"/>
  <c r="J4811" i="1"/>
  <c r="J4810" i="1"/>
  <c r="J4809" i="1"/>
  <c r="J4808" i="1"/>
  <c r="J4807" i="1"/>
  <c r="J4806" i="1"/>
  <c r="J4805" i="1"/>
  <c r="J4804" i="1"/>
  <c r="J4803" i="1"/>
  <c r="J4802" i="1"/>
  <c r="J4801" i="1"/>
  <c r="J4800" i="1"/>
  <c r="J4799" i="1"/>
  <c r="J4798" i="1"/>
  <c r="J4797" i="1"/>
  <c r="J4796" i="1"/>
  <c r="J4778" i="1"/>
  <c r="J4777" i="1"/>
  <c r="J4776" i="1"/>
  <c r="J4775" i="1"/>
  <c r="J4774" i="1"/>
  <c r="J4773" i="1"/>
  <c r="J4772" i="1"/>
  <c r="J4771" i="1"/>
  <c r="J4770" i="1"/>
  <c r="J4769" i="1"/>
  <c r="J4768" i="1"/>
  <c r="J4767" i="1"/>
  <c r="J4766" i="1"/>
  <c r="J4765" i="1"/>
  <c r="J4764" i="1"/>
  <c r="J4763" i="1"/>
  <c r="J4762" i="1"/>
  <c r="J4761" i="1"/>
  <c r="J4760" i="1"/>
  <c r="J4759" i="1"/>
  <c r="J4758" i="1"/>
  <c r="J4757" i="1"/>
  <c r="H113" i="2" s="1"/>
  <c r="I113" i="2" s="1"/>
  <c r="J4756" i="1"/>
  <c r="J4755" i="1"/>
  <c r="J4754" i="1"/>
  <c r="J4753" i="1"/>
  <c r="J4752" i="1"/>
  <c r="J4751" i="1"/>
  <c r="J4750" i="1"/>
  <c r="J4749" i="1"/>
  <c r="J4748" i="1"/>
  <c r="J4747" i="1"/>
  <c r="J4746" i="1"/>
  <c r="J4745" i="1"/>
  <c r="J4744" i="1"/>
  <c r="J4743" i="1"/>
  <c r="J4742" i="1"/>
  <c r="J4741" i="1"/>
  <c r="J4740" i="1"/>
  <c r="J4739" i="1"/>
  <c r="J4738" i="1"/>
  <c r="J4737" i="1"/>
  <c r="J4736" i="1"/>
  <c r="J4735" i="1"/>
  <c r="K112" i="2" s="1"/>
  <c r="L112" i="2" s="1"/>
  <c r="J4734" i="1"/>
  <c r="J4733" i="1"/>
  <c r="J4732" i="1"/>
  <c r="J4731" i="1"/>
  <c r="J4730" i="1"/>
  <c r="J4729" i="1"/>
  <c r="J4728" i="1"/>
  <c r="I4727" i="1"/>
  <c r="J4727" i="1" s="1"/>
  <c r="J4726" i="1"/>
  <c r="I4726" i="1"/>
  <c r="J4725" i="1"/>
  <c r="I4725" i="1"/>
  <c r="I4724" i="1"/>
  <c r="J4724" i="1" s="1"/>
  <c r="I4723" i="1"/>
  <c r="J4723" i="1" s="1"/>
  <c r="I4722" i="1"/>
  <c r="J4722" i="1" s="1"/>
  <c r="I4721" i="1"/>
  <c r="J4721" i="1" s="1"/>
  <c r="J4720" i="1"/>
  <c r="J4719" i="1"/>
  <c r="J4718" i="1"/>
  <c r="J4717" i="1"/>
  <c r="J4716" i="1"/>
  <c r="J4715" i="1"/>
  <c r="J4714" i="1"/>
  <c r="J4713" i="1"/>
  <c r="J4712" i="1"/>
  <c r="J4711" i="1"/>
  <c r="J4710" i="1"/>
  <c r="J4709" i="1"/>
  <c r="J4708" i="1"/>
  <c r="J4707" i="1"/>
  <c r="J4706" i="1"/>
  <c r="J4705" i="1"/>
  <c r="J4704" i="1"/>
  <c r="J4703" i="1"/>
  <c r="J4702" i="1"/>
  <c r="J4701" i="1"/>
  <c r="R119" i="2" s="1"/>
  <c r="V119" i="2" s="1"/>
  <c r="J4700" i="1"/>
  <c r="J4699" i="1"/>
  <c r="J4698" i="1"/>
  <c r="J4697" i="1"/>
  <c r="J4696" i="1"/>
  <c r="J4695" i="1"/>
  <c r="J4694" i="1"/>
  <c r="J4693" i="1"/>
  <c r="J4692" i="1"/>
  <c r="J4691" i="1"/>
  <c r="J4690" i="1"/>
  <c r="J4689" i="1"/>
  <c r="J4688" i="1"/>
  <c r="J4687" i="1"/>
  <c r="J4686" i="1"/>
  <c r="J4685" i="1"/>
  <c r="J4684" i="1"/>
  <c r="J4683" i="1"/>
  <c r="J4682" i="1"/>
  <c r="J4681" i="1"/>
  <c r="J4680" i="1"/>
  <c r="J4679" i="1"/>
  <c r="Q110" i="2" s="1"/>
  <c r="U110" i="2" s="1"/>
  <c r="J4678" i="1"/>
  <c r="J4677" i="1"/>
  <c r="J4676" i="1"/>
  <c r="J4675" i="1"/>
  <c r="J4674" i="1"/>
  <c r="J4673" i="1"/>
  <c r="J4672" i="1"/>
  <c r="J4671" i="1"/>
  <c r="J4670" i="1"/>
  <c r="J4669" i="1"/>
  <c r="J4668" i="1"/>
  <c r="J4667" i="1"/>
  <c r="J4666" i="1"/>
  <c r="J4665" i="1"/>
  <c r="J4664" i="1"/>
  <c r="J4663" i="1"/>
  <c r="J4662" i="1"/>
  <c r="J4661" i="1"/>
  <c r="J4660" i="1"/>
  <c r="J4659" i="1"/>
  <c r="J4658" i="1"/>
  <c r="J4657" i="1"/>
  <c r="J4656" i="1"/>
  <c r="J4655" i="1"/>
  <c r="R118" i="2" s="1"/>
  <c r="V118" i="2" s="1"/>
  <c r="J4654" i="1"/>
  <c r="J4653" i="1"/>
  <c r="J4652" i="1"/>
  <c r="J4651" i="1"/>
  <c r="J4650" i="1"/>
  <c r="H118" i="2" s="1"/>
  <c r="I118" i="2" s="1"/>
  <c r="J4649" i="1"/>
  <c r="J4648" i="1"/>
  <c r="J4647" i="1"/>
  <c r="J4646" i="1"/>
  <c r="J4645" i="1"/>
  <c r="J4644" i="1"/>
  <c r="J4643" i="1"/>
  <c r="J4642" i="1"/>
  <c r="J4641" i="1"/>
  <c r="J4640" i="1"/>
  <c r="J4639" i="1"/>
  <c r="J4638" i="1"/>
  <c r="J4637" i="1"/>
  <c r="J4636" i="1"/>
  <c r="J4635" i="1"/>
  <c r="J4634" i="1"/>
  <c r="J4633" i="1"/>
  <c r="J4632" i="1"/>
  <c r="J4631" i="1"/>
  <c r="J4630" i="1"/>
  <c r="J4629" i="1"/>
  <c r="J4628" i="1"/>
  <c r="H117" i="2" s="1"/>
  <c r="I117" i="2" s="1"/>
  <c r="J4627" i="1"/>
  <c r="J4626" i="1"/>
  <c r="J4625" i="1"/>
  <c r="J4624" i="1"/>
  <c r="J4623" i="1"/>
  <c r="J4622" i="1"/>
  <c r="J4621" i="1"/>
  <c r="J4620" i="1"/>
  <c r="J4619" i="1"/>
  <c r="J4618" i="1"/>
  <c r="J4617" i="1"/>
  <c r="J4616" i="1"/>
  <c r="J4615" i="1"/>
  <c r="J4614" i="1"/>
  <c r="J4613" i="1"/>
  <c r="R99" i="2" s="1"/>
  <c r="V99" i="2" s="1"/>
  <c r="J4612" i="1"/>
  <c r="J4611" i="1"/>
  <c r="J4610" i="1"/>
  <c r="J4609" i="1"/>
  <c r="J4608" i="1"/>
  <c r="J4607" i="1"/>
  <c r="J4606" i="1"/>
  <c r="J4605" i="1"/>
  <c r="J4604" i="1"/>
  <c r="J4603" i="1"/>
  <c r="J4602" i="1"/>
  <c r="J4601" i="1"/>
  <c r="J4600" i="1"/>
  <c r="J4599" i="1"/>
  <c r="J4598" i="1"/>
  <c r="J4597" i="1"/>
  <c r="J4596" i="1"/>
  <c r="J4595" i="1"/>
  <c r="J4594" i="1"/>
  <c r="J4593" i="1"/>
  <c r="J4592" i="1"/>
  <c r="J4591" i="1"/>
  <c r="J4590" i="1"/>
  <c r="J4589" i="1"/>
  <c r="J4588" i="1"/>
  <c r="J4587" i="1"/>
  <c r="J4586" i="1"/>
  <c r="J4585" i="1"/>
  <c r="J4584" i="1"/>
  <c r="J4583" i="1"/>
  <c r="J4582" i="1"/>
  <c r="J4581" i="1"/>
  <c r="J4580" i="1"/>
  <c r="J4579" i="1"/>
  <c r="J4578" i="1"/>
  <c r="J4577" i="1"/>
  <c r="J4576" i="1"/>
  <c r="J4575" i="1"/>
  <c r="J4574" i="1"/>
  <c r="J4573" i="1"/>
  <c r="J4572" i="1"/>
  <c r="J4571" i="1"/>
  <c r="J4570" i="1"/>
  <c r="J4569" i="1"/>
  <c r="J4568" i="1"/>
  <c r="J4567" i="1"/>
  <c r="P109" i="2" s="1"/>
  <c r="T109" i="2" s="1"/>
  <c r="J4566" i="1"/>
  <c r="J4565" i="1"/>
  <c r="J4564" i="1"/>
  <c r="J4563" i="1"/>
  <c r="J4562" i="1"/>
  <c r="J4561" i="1"/>
  <c r="J4560" i="1"/>
  <c r="J4559" i="1"/>
  <c r="J4558" i="1"/>
  <c r="J4557" i="1"/>
  <c r="J4556" i="1"/>
  <c r="J4555" i="1"/>
  <c r="J4554" i="1"/>
  <c r="J4553" i="1"/>
  <c r="J4552" i="1"/>
  <c r="J4551" i="1"/>
  <c r="J4550" i="1"/>
  <c r="J4549" i="1"/>
  <c r="J4548" i="1"/>
  <c r="J4547" i="1"/>
  <c r="J4546" i="1"/>
  <c r="J4545" i="1"/>
  <c r="J4544" i="1"/>
  <c r="J4543" i="1"/>
  <c r="J4542" i="1"/>
  <c r="J4541" i="1"/>
  <c r="J4540" i="1"/>
  <c r="J4539" i="1"/>
  <c r="J4538" i="1"/>
  <c r="J4537" i="1"/>
  <c r="J4536" i="1"/>
  <c r="J4535" i="1"/>
  <c r="J4534" i="1"/>
  <c r="J4533" i="1"/>
  <c r="J4532" i="1"/>
  <c r="J4531" i="1"/>
  <c r="J4530" i="1"/>
  <c r="J4529" i="1"/>
  <c r="J4528" i="1"/>
  <c r="J4527" i="1"/>
  <c r="J4526" i="1"/>
  <c r="J4525" i="1"/>
  <c r="J4524" i="1"/>
  <c r="J4523" i="1"/>
  <c r="J4522" i="1"/>
  <c r="J4521" i="1"/>
  <c r="J4520" i="1"/>
  <c r="J4519" i="1"/>
  <c r="J4518" i="1"/>
  <c r="J4517" i="1"/>
  <c r="J4516" i="1"/>
  <c r="J4515" i="1"/>
  <c r="J4514" i="1"/>
  <c r="J4513" i="1"/>
  <c r="J4512" i="1"/>
  <c r="J4511" i="1"/>
  <c r="J4510" i="1"/>
  <c r="J4509" i="1"/>
  <c r="J4508" i="1"/>
  <c r="J4507" i="1"/>
  <c r="J4506" i="1"/>
  <c r="J4505" i="1"/>
  <c r="J4504" i="1"/>
  <c r="J4503" i="1"/>
  <c r="P107" i="2" s="1"/>
  <c r="T107" i="2" s="1"/>
  <c r="J4502" i="1"/>
  <c r="J4501" i="1"/>
  <c r="J4500" i="1"/>
  <c r="J4499" i="1"/>
  <c r="J4498" i="1"/>
  <c r="J4497" i="1"/>
  <c r="J4496" i="1"/>
  <c r="J4495" i="1"/>
  <c r="J4494" i="1"/>
  <c r="J4493" i="1"/>
  <c r="J4492" i="1"/>
  <c r="J4491" i="1"/>
  <c r="J4490" i="1"/>
  <c r="J4489" i="1"/>
  <c r="J4488" i="1"/>
  <c r="J4487" i="1"/>
  <c r="J4486" i="1"/>
  <c r="J4485" i="1"/>
  <c r="J4484" i="1"/>
  <c r="J4483" i="1"/>
  <c r="J4482" i="1"/>
  <c r="J4481" i="1"/>
  <c r="J4480" i="1"/>
  <c r="J4479" i="1"/>
  <c r="J4478" i="1"/>
  <c r="J4477" i="1"/>
  <c r="J4476" i="1"/>
  <c r="J4475" i="1"/>
  <c r="J4474" i="1"/>
  <c r="J4473" i="1"/>
  <c r="J4472" i="1"/>
  <c r="J4471" i="1"/>
  <c r="J4470" i="1"/>
  <c r="J4469" i="1"/>
  <c r="J4468" i="1"/>
  <c r="J4467" i="1"/>
  <c r="J4466" i="1"/>
  <c r="J4465" i="1"/>
  <c r="J4464" i="1"/>
  <c r="J4463" i="1"/>
  <c r="J4462" i="1"/>
  <c r="J4461" i="1"/>
  <c r="J4460" i="1"/>
  <c r="J4459" i="1"/>
  <c r="Q98" i="2" s="1"/>
  <c r="U98" i="2" s="1"/>
  <c r="J4458" i="1"/>
  <c r="J4457" i="1"/>
  <c r="J4456" i="1"/>
  <c r="J4455" i="1"/>
  <c r="J4454" i="1"/>
  <c r="J4453" i="1"/>
  <c r="J4452" i="1"/>
  <c r="J4451" i="1"/>
  <c r="J4450" i="1"/>
  <c r="J4449" i="1"/>
  <c r="J4448" i="1"/>
  <c r="J4447" i="1"/>
  <c r="J4446" i="1"/>
  <c r="J4445" i="1"/>
  <c r="J4444" i="1"/>
  <c r="J4443" i="1"/>
  <c r="J4442" i="1"/>
  <c r="J4441" i="1"/>
  <c r="J4440" i="1"/>
  <c r="J4439" i="1"/>
  <c r="J4438" i="1"/>
  <c r="J4437" i="1"/>
  <c r="P105" i="2" s="1"/>
  <c r="T105" i="2" s="1"/>
  <c r="J4436" i="1"/>
  <c r="J4435" i="1"/>
  <c r="J4434" i="1"/>
  <c r="J4433" i="1"/>
  <c r="J4432" i="1"/>
  <c r="J4431" i="1"/>
  <c r="J4430" i="1"/>
  <c r="J4429" i="1"/>
  <c r="J4428" i="1"/>
  <c r="J4427" i="1"/>
  <c r="J4426" i="1"/>
  <c r="J4408" i="1"/>
  <c r="J4407" i="1"/>
  <c r="J4406" i="1"/>
  <c r="J4405" i="1"/>
  <c r="J4404" i="1"/>
  <c r="J4403" i="1"/>
  <c r="J4402" i="1"/>
  <c r="J4401" i="1"/>
  <c r="J4400" i="1"/>
  <c r="J4399" i="1"/>
  <c r="J4398" i="1"/>
  <c r="J4397" i="1"/>
  <c r="J4396" i="1"/>
  <c r="J4395" i="1"/>
  <c r="J4394" i="1"/>
  <c r="J4393" i="1"/>
  <c r="J4392" i="1"/>
  <c r="J4391" i="1"/>
  <c r="J4390" i="1"/>
  <c r="J4389" i="1"/>
  <c r="J4388" i="1"/>
  <c r="J4387" i="1"/>
  <c r="J4386" i="1"/>
  <c r="J4385" i="1"/>
  <c r="J4384" i="1"/>
  <c r="J4383" i="1"/>
  <c r="J4382" i="1"/>
  <c r="J4381" i="1"/>
  <c r="J4380" i="1"/>
  <c r="J4379" i="1"/>
  <c r="J4378" i="1"/>
  <c r="J4377" i="1"/>
  <c r="J4376" i="1"/>
  <c r="Q90" i="2" s="1"/>
  <c r="U90" i="2" s="1"/>
  <c r="J4375" i="1"/>
  <c r="J4374" i="1"/>
  <c r="J4373" i="1"/>
  <c r="J4372" i="1"/>
  <c r="J4371" i="1"/>
  <c r="J4370" i="1"/>
  <c r="J4369" i="1"/>
  <c r="J4368" i="1"/>
  <c r="J4367" i="1"/>
  <c r="J4366" i="1"/>
  <c r="J4365" i="1"/>
  <c r="J4364" i="1"/>
  <c r="J4363" i="1"/>
  <c r="J4362" i="1"/>
  <c r="J4361" i="1"/>
  <c r="J4360" i="1"/>
  <c r="J4359" i="1"/>
  <c r="J4358" i="1"/>
  <c r="J4357" i="1"/>
  <c r="J4356" i="1"/>
  <c r="J4355" i="1"/>
  <c r="J4354" i="1"/>
  <c r="J4353" i="1"/>
  <c r="J4352" i="1"/>
  <c r="J4351" i="1"/>
  <c r="J4350" i="1"/>
  <c r="J4349" i="1"/>
  <c r="J4348" i="1"/>
  <c r="J4347" i="1"/>
  <c r="J4346" i="1"/>
  <c r="J4345" i="1"/>
  <c r="J4344" i="1"/>
  <c r="J4343" i="1"/>
  <c r="J4342" i="1"/>
  <c r="J4341" i="1"/>
  <c r="J4340" i="1"/>
  <c r="J4339" i="1"/>
  <c r="J4338" i="1"/>
  <c r="J4337" i="1"/>
  <c r="J4336" i="1"/>
  <c r="J4335" i="1"/>
  <c r="J4334" i="1"/>
  <c r="J4333" i="1"/>
  <c r="J4332" i="1"/>
  <c r="Q103" i="2" s="1"/>
  <c r="U103" i="2" s="1"/>
  <c r="J4331" i="1"/>
  <c r="J4330" i="1"/>
  <c r="J4329" i="1"/>
  <c r="J4328" i="1"/>
  <c r="J4327" i="1"/>
  <c r="J4326" i="1"/>
  <c r="J4325" i="1"/>
  <c r="J4324" i="1"/>
  <c r="J4323" i="1"/>
  <c r="J4322" i="1"/>
  <c r="J4321" i="1"/>
  <c r="J4320" i="1"/>
  <c r="J4319" i="1"/>
  <c r="J4318" i="1"/>
  <c r="J4317" i="1"/>
  <c r="J4316" i="1"/>
  <c r="J4315" i="1"/>
  <c r="J4314" i="1"/>
  <c r="J4313" i="1"/>
  <c r="J4312" i="1"/>
  <c r="J4311" i="1"/>
  <c r="J4310" i="1"/>
  <c r="J4309" i="1"/>
  <c r="J4308" i="1"/>
  <c r="J4307" i="1"/>
  <c r="J4306" i="1"/>
  <c r="J4305" i="1"/>
  <c r="J4304" i="1"/>
  <c r="J4303" i="1"/>
  <c r="J4302" i="1"/>
  <c r="J4301" i="1"/>
  <c r="J4300" i="1"/>
  <c r="J4299" i="1"/>
  <c r="J4298" i="1"/>
  <c r="J4297" i="1"/>
  <c r="J4296" i="1"/>
  <c r="J4295" i="1"/>
  <c r="J4294" i="1"/>
  <c r="J4293" i="1"/>
  <c r="J4292" i="1"/>
  <c r="J4291" i="1"/>
  <c r="J4290" i="1"/>
  <c r="J4289" i="1"/>
  <c r="J4288" i="1"/>
  <c r="Q97" i="2" s="1"/>
  <c r="U97" i="2" s="1"/>
  <c r="J4287" i="1"/>
  <c r="J4286" i="1"/>
  <c r="J4285" i="1"/>
  <c r="J4284" i="1"/>
  <c r="J4283" i="1"/>
  <c r="J4282" i="1"/>
  <c r="J4281" i="1"/>
  <c r="J4280" i="1"/>
  <c r="J4279" i="1"/>
  <c r="J4278" i="1"/>
  <c r="J4277" i="1"/>
  <c r="J4276" i="1"/>
  <c r="J4275" i="1"/>
  <c r="J4274" i="1"/>
  <c r="J4273" i="1"/>
  <c r="J4272" i="1"/>
  <c r="J4271" i="1"/>
  <c r="J4270" i="1"/>
  <c r="J4269" i="1"/>
  <c r="J4268" i="1"/>
  <c r="J4267" i="1"/>
  <c r="J4266" i="1"/>
  <c r="P96" i="2" s="1"/>
  <c r="T96" i="2" s="1"/>
  <c r="J4265" i="1"/>
  <c r="J4264" i="1"/>
  <c r="J4263" i="1"/>
  <c r="J4262" i="1"/>
  <c r="J4261" i="1"/>
  <c r="J4260" i="1"/>
  <c r="J4259" i="1"/>
  <c r="J4258" i="1"/>
  <c r="J4257" i="1"/>
  <c r="J4256" i="1"/>
  <c r="J4255" i="1"/>
  <c r="J4254" i="1"/>
  <c r="J4253" i="1"/>
  <c r="J4252" i="1"/>
  <c r="J4251" i="1"/>
  <c r="J4250" i="1"/>
  <c r="J4249" i="1"/>
  <c r="J4248" i="1"/>
  <c r="J4247" i="1"/>
  <c r="J4246" i="1"/>
  <c r="J4245" i="1"/>
  <c r="J4244" i="1"/>
  <c r="P95" i="2" s="1"/>
  <c r="J4243" i="1"/>
  <c r="J4242" i="1"/>
  <c r="J4241" i="1"/>
  <c r="J4240" i="1"/>
  <c r="J4239" i="1"/>
  <c r="J4238" i="1"/>
  <c r="J4237" i="1"/>
  <c r="J4236" i="1"/>
  <c r="J4235" i="1"/>
  <c r="J4234" i="1"/>
  <c r="J4233" i="1"/>
  <c r="J4232" i="1"/>
  <c r="J4231" i="1"/>
  <c r="J4230" i="1"/>
  <c r="J4229" i="1"/>
  <c r="J4228" i="1"/>
  <c r="J4227" i="1"/>
  <c r="J4226" i="1"/>
  <c r="J4225" i="1"/>
  <c r="J4224" i="1"/>
  <c r="D4224" i="1"/>
  <c r="J4223" i="1"/>
  <c r="D4223" i="1"/>
  <c r="J4222" i="1"/>
  <c r="D4222" i="1"/>
  <c r="J4221" i="1"/>
  <c r="D4221" i="1"/>
  <c r="J4220" i="1"/>
  <c r="D4220" i="1"/>
  <c r="J4219" i="1"/>
  <c r="D4219" i="1"/>
  <c r="J4218" i="1"/>
  <c r="D4218" i="1"/>
  <c r="J4217" i="1"/>
  <c r="D4217" i="1"/>
  <c r="J4216" i="1"/>
  <c r="D4216" i="1"/>
  <c r="J4215" i="1"/>
  <c r="D4215" i="1"/>
  <c r="J4214" i="1"/>
  <c r="D4214" i="1"/>
  <c r="J4213" i="1"/>
  <c r="D4213" i="1"/>
  <c r="J4212" i="1"/>
  <c r="D4212" i="1"/>
  <c r="J4211" i="1"/>
  <c r="D4211" i="1"/>
  <c r="J4210" i="1"/>
  <c r="D4210" i="1"/>
  <c r="J4209" i="1"/>
  <c r="D4209" i="1"/>
  <c r="J4208" i="1"/>
  <c r="D4208" i="1"/>
  <c r="J4207" i="1"/>
  <c r="D4207" i="1"/>
  <c r="J4206" i="1"/>
  <c r="D4206" i="1"/>
  <c r="J4205" i="1"/>
  <c r="D4205" i="1"/>
  <c r="J4204" i="1"/>
  <c r="P102" i="2" s="1"/>
  <c r="T102" i="2" s="1"/>
  <c r="D4204" i="1"/>
  <c r="J4203" i="1"/>
  <c r="D4203" i="1"/>
  <c r="J4202" i="1"/>
  <c r="J4201" i="1"/>
  <c r="J4200" i="1"/>
  <c r="J4199" i="1"/>
  <c r="J4198" i="1"/>
  <c r="J4197" i="1"/>
  <c r="J4196" i="1"/>
  <c r="J4195" i="1"/>
  <c r="J4194" i="1"/>
  <c r="J4193" i="1"/>
  <c r="J4192" i="1"/>
  <c r="J4191" i="1"/>
  <c r="J4190" i="1"/>
  <c r="J4189" i="1"/>
  <c r="J4188" i="1"/>
  <c r="J4187" i="1"/>
  <c r="J4186" i="1"/>
  <c r="J4185" i="1"/>
  <c r="J4184" i="1"/>
  <c r="J4183" i="1"/>
  <c r="J4182" i="1"/>
  <c r="J4181" i="1"/>
  <c r="J4180" i="1"/>
  <c r="J4179" i="1"/>
  <c r="J4178" i="1"/>
  <c r="J4177" i="1"/>
  <c r="J4176" i="1"/>
  <c r="J4175" i="1"/>
  <c r="J4174" i="1"/>
  <c r="J4173" i="1"/>
  <c r="J4172" i="1"/>
  <c r="J4171" i="1"/>
  <c r="J4170" i="1"/>
  <c r="J4169" i="1"/>
  <c r="J4168" i="1"/>
  <c r="J4167" i="1"/>
  <c r="J4166" i="1"/>
  <c r="J4165" i="1"/>
  <c r="J4164" i="1"/>
  <c r="J4163" i="1"/>
  <c r="J4162" i="1"/>
  <c r="J4161" i="1"/>
  <c r="J4160" i="1"/>
  <c r="J4159" i="1"/>
  <c r="J4158" i="1"/>
  <c r="J4157" i="1"/>
  <c r="J4156" i="1"/>
  <c r="J4155" i="1"/>
  <c r="J4154" i="1"/>
  <c r="J4153" i="1"/>
  <c r="J4152" i="1"/>
  <c r="J4151" i="1"/>
  <c r="J4150" i="1"/>
  <c r="J4149" i="1"/>
  <c r="J4148" i="1"/>
  <c r="J4147" i="1"/>
  <c r="J4146" i="1"/>
  <c r="J4145" i="1"/>
  <c r="J4144" i="1"/>
  <c r="J4143" i="1"/>
  <c r="J4142" i="1"/>
  <c r="J4141" i="1"/>
  <c r="J4140" i="1"/>
  <c r="J4139" i="1"/>
  <c r="J4138" i="1"/>
  <c r="J4137" i="1"/>
  <c r="J4136" i="1"/>
  <c r="J4135" i="1"/>
  <c r="J4134" i="1"/>
  <c r="J4133" i="1"/>
  <c r="J4132" i="1"/>
  <c r="J4131" i="1"/>
  <c r="J4130" i="1"/>
  <c r="J4129" i="1"/>
  <c r="J4128" i="1"/>
  <c r="J4127" i="1"/>
  <c r="J4126" i="1"/>
  <c r="J4125" i="1"/>
  <c r="J4124" i="1"/>
  <c r="J4123" i="1"/>
  <c r="J4122" i="1"/>
  <c r="J4121" i="1"/>
  <c r="J4120" i="1"/>
  <c r="J4119" i="1"/>
  <c r="J4118" i="1"/>
  <c r="J4117" i="1"/>
  <c r="J4116" i="1"/>
  <c r="J4115" i="1"/>
  <c r="J4114" i="1"/>
  <c r="J4113" i="1"/>
  <c r="J4112" i="1"/>
  <c r="J4111" i="1"/>
  <c r="J4110" i="1"/>
  <c r="J4109" i="1"/>
  <c r="J4108" i="1"/>
  <c r="J4107" i="1"/>
  <c r="J4106" i="1"/>
  <c r="J4105" i="1"/>
  <c r="J4104" i="1"/>
  <c r="J4103" i="1"/>
  <c r="J4102" i="1"/>
  <c r="J4101" i="1"/>
  <c r="J4100" i="1"/>
  <c r="J4099" i="1"/>
  <c r="J4098" i="1"/>
  <c r="J4097" i="1"/>
  <c r="J4096" i="1"/>
  <c r="J4095" i="1"/>
  <c r="J4094" i="1"/>
  <c r="J4093" i="1"/>
  <c r="J4092" i="1"/>
  <c r="J4091" i="1"/>
  <c r="J4090" i="1"/>
  <c r="Q94" i="2" s="1"/>
  <c r="U94" i="2" s="1"/>
  <c r="J4089" i="1"/>
  <c r="J4088" i="1"/>
  <c r="J4087" i="1"/>
  <c r="J4086" i="1"/>
  <c r="J4085" i="1"/>
  <c r="J4084" i="1"/>
  <c r="J4083" i="1"/>
  <c r="J4082" i="1"/>
  <c r="J4081" i="1"/>
  <c r="J4080" i="1"/>
  <c r="J4079" i="1"/>
  <c r="J4078" i="1"/>
  <c r="J4077" i="1"/>
  <c r="J4076" i="1"/>
  <c r="J4075" i="1"/>
  <c r="J4074" i="1"/>
  <c r="J4073" i="1"/>
  <c r="J4072" i="1"/>
  <c r="J4071" i="1"/>
  <c r="J4070" i="1"/>
  <c r="J4069" i="1"/>
  <c r="J4068" i="1"/>
  <c r="J4067" i="1"/>
  <c r="J4066" i="1"/>
  <c r="J4065" i="1"/>
  <c r="J4064" i="1"/>
  <c r="J4063" i="1"/>
  <c r="J4062" i="1"/>
  <c r="J4061" i="1"/>
  <c r="J4060" i="1"/>
  <c r="J4059" i="1"/>
  <c r="J4058" i="1"/>
  <c r="J4057" i="1"/>
  <c r="J4056" i="1"/>
  <c r="J4055" i="1"/>
  <c r="J4054" i="1"/>
  <c r="J4053" i="1"/>
  <c r="J4052" i="1"/>
  <c r="J4051" i="1"/>
  <c r="J4050" i="1"/>
  <c r="J4049" i="1"/>
  <c r="J4048" i="1"/>
  <c r="J4047" i="1"/>
  <c r="J4046" i="1"/>
  <c r="R87" i="2" s="1"/>
  <c r="V87" i="2" s="1"/>
  <c r="J4045" i="1"/>
  <c r="J4044" i="1"/>
  <c r="J4043" i="1"/>
  <c r="J4042" i="1"/>
  <c r="J4041" i="1"/>
  <c r="J4040" i="1"/>
  <c r="J4039" i="1"/>
  <c r="J4038" i="1"/>
  <c r="J4037" i="1"/>
  <c r="J4036" i="1"/>
  <c r="J4035" i="1"/>
  <c r="J4034" i="1"/>
  <c r="J4033" i="1"/>
  <c r="J4032" i="1"/>
  <c r="J4031" i="1"/>
  <c r="J4030" i="1"/>
  <c r="J4029" i="1"/>
  <c r="J4028" i="1"/>
  <c r="J4027" i="1"/>
  <c r="J4026" i="1"/>
  <c r="J4025" i="1"/>
  <c r="J4024" i="1"/>
  <c r="J4023" i="1"/>
  <c r="J4022" i="1"/>
  <c r="J4021" i="1"/>
  <c r="J4020" i="1"/>
  <c r="J4019" i="1"/>
  <c r="J4018" i="1"/>
  <c r="J4017" i="1"/>
  <c r="J4016" i="1"/>
  <c r="J4015" i="1"/>
  <c r="J4014" i="1"/>
  <c r="J4013" i="1"/>
  <c r="J4012" i="1"/>
  <c r="J4011" i="1"/>
  <c r="J4010" i="1"/>
  <c r="J4009" i="1"/>
  <c r="J4008" i="1"/>
  <c r="J4007" i="1"/>
  <c r="J4006" i="1"/>
  <c r="J4005" i="1"/>
  <c r="J4004" i="1"/>
  <c r="J4003" i="1"/>
  <c r="J4002" i="1"/>
  <c r="J4001" i="1"/>
  <c r="J4000" i="1"/>
  <c r="J3999" i="1"/>
  <c r="J3998" i="1"/>
  <c r="J3997" i="1"/>
  <c r="J3996" i="1"/>
  <c r="J3995" i="1"/>
  <c r="J3994" i="1"/>
  <c r="J3993" i="1"/>
  <c r="J3992" i="1"/>
  <c r="J3991" i="1"/>
  <c r="J3990" i="1"/>
  <c r="J3989" i="1"/>
  <c r="J3988" i="1"/>
  <c r="J3987" i="1"/>
  <c r="J3986" i="1"/>
  <c r="J3985" i="1"/>
  <c r="J3984" i="1"/>
  <c r="J3983" i="1"/>
  <c r="J3982" i="1"/>
  <c r="J3981" i="1"/>
  <c r="J3980" i="1"/>
  <c r="J3979" i="1"/>
  <c r="J3978" i="1"/>
  <c r="J3977" i="1"/>
  <c r="J3976" i="1"/>
  <c r="J3975" i="1"/>
  <c r="J3974" i="1"/>
  <c r="J3973" i="1"/>
  <c r="J3972" i="1"/>
  <c r="J3971" i="1"/>
  <c r="J3970" i="1"/>
  <c r="J3969" i="1"/>
  <c r="J3968" i="1"/>
  <c r="J3967" i="1"/>
  <c r="J3966" i="1"/>
  <c r="J3965" i="1"/>
  <c r="J3964" i="1"/>
  <c r="J3963" i="1"/>
  <c r="J3962" i="1"/>
  <c r="J3961" i="1"/>
  <c r="J3960" i="1"/>
  <c r="J3959" i="1"/>
  <c r="J3958" i="1"/>
  <c r="J3957" i="1"/>
  <c r="J3956" i="1"/>
  <c r="J3955" i="1"/>
  <c r="J3954" i="1"/>
  <c r="J3953" i="1"/>
  <c r="J3952" i="1"/>
  <c r="J3951" i="1"/>
  <c r="J3950" i="1"/>
  <c r="J3949" i="1"/>
  <c r="J3948" i="1"/>
  <c r="J3947" i="1"/>
  <c r="J3946" i="1"/>
  <c r="J3945" i="1"/>
  <c r="J3944" i="1"/>
  <c r="J3943" i="1"/>
  <c r="J3942" i="1"/>
  <c r="J3941" i="1"/>
  <c r="J3940" i="1"/>
  <c r="J3939" i="1"/>
  <c r="J3938" i="1"/>
  <c r="J3937" i="1"/>
  <c r="J3936" i="1"/>
  <c r="J3935" i="1"/>
  <c r="J3934" i="1"/>
  <c r="J3933" i="1"/>
  <c r="J3932" i="1"/>
  <c r="J3931" i="1"/>
  <c r="J3930" i="1"/>
  <c r="J3929" i="1"/>
  <c r="J3928" i="1"/>
  <c r="J3927" i="1"/>
  <c r="J3926" i="1"/>
  <c r="J3925" i="1"/>
  <c r="J3924" i="1"/>
  <c r="J3923" i="1"/>
  <c r="J3922" i="1"/>
  <c r="J3921" i="1"/>
  <c r="J3920" i="1"/>
  <c r="J3919" i="1"/>
  <c r="J3918" i="1"/>
  <c r="J3917" i="1"/>
  <c r="J3916" i="1"/>
  <c r="J3915" i="1"/>
  <c r="J3914" i="1"/>
  <c r="J3913" i="1"/>
  <c r="J3912" i="1"/>
  <c r="J3911" i="1"/>
  <c r="J3910" i="1"/>
  <c r="J3909" i="1"/>
  <c r="J3908" i="1"/>
  <c r="J3907" i="1"/>
  <c r="J3906" i="1"/>
  <c r="J3905" i="1"/>
  <c r="J3904" i="1"/>
  <c r="J3903" i="1"/>
  <c r="J3902" i="1"/>
  <c r="J3901" i="1"/>
  <c r="J3900" i="1"/>
  <c r="J3899" i="1"/>
  <c r="J3898" i="1"/>
  <c r="J3897" i="1"/>
  <c r="J3896" i="1"/>
  <c r="J3895" i="1"/>
  <c r="J3894" i="1"/>
  <c r="J3893" i="1"/>
  <c r="J3892" i="1"/>
  <c r="J3891" i="1"/>
  <c r="J3890" i="1"/>
  <c r="P85" i="2" s="1"/>
  <c r="T85" i="2" s="1"/>
  <c r="J3889" i="1"/>
  <c r="J3888" i="1"/>
  <c r="J3887" i="1"/>
  <c r="J3886" i="1"/>
  <c r="J3885" i="1"/>
  <c r="J3884" i="1"/>
  <c r="J3883" i="1"/>
  <c r="J3882" i="1"/>
  <c r="J3881" i="1"/>
  <c r="J3880" i="1"/>
  <c r="J3879" i="1"/>
  <c r="J3878" i="1"/>
  <c r="J3877" i="1"/>
  <c r="J3876" i="1"/>
  <c r="J3875" i="1"/>
  <c r="J3874" i="1"/>
  <c r="J3873" i="1"/>
  <c r="J3872" i="1"/>
  <c r="J3854" i="1"/>
  <c r="J3853" i="1"/>
  <c r="J3852" i="1"/>
  <c r="J3851" i="1"/>
  <c r="J3850" i="1"/>
  <c r="J3849" i="1"/>
  <c r="J3848" i="1"/>
  <c r="J3847" i="1"/>
  <c r="J3846" i="1"/>
  <c r="J3845" i="1"/>
  <c r="J3844" i="1"/>
  <c r="J3843" i="1"/>
  <c r="J3842" i="1"/>
  <c r="J3841" i="1"/>
  <c r="J3840" i="1"/>
  <c r="J3839" i="1"/>
  <c r="J3838" i="1"/>
  <c r="J3837" i="1"/>
  <c r="J3836" i="1"/>
  <c r="J3835" i="1"/>
  <c r="J3834" i="1"/>
  <c r="J3833" i="1"/>
  <c r="J3832" i="1"/>
  <c r="J3831" i="1"/>
  <c r="J3830" i="1"/>
  <c r="J3829" i="1"/>
  <c r="J3828" i="1"/>
  <c r="J3827" i="1"/>
  <c r="J3826" i="1"/>
  <c r="J3825" i="1"/>
  <c r="J3824" i="1"/>
  <c r="J3823" i="1"/>
  <c r="J3822" i="1"/>
  <c r="J3821" i="1"/>
  <c r="J3820" i="1"/>
  <c r="J3819" i="1"/>
  <c r="J3818" i="1"/>
  <c r="J3817" i="1"/>
  <c r="J3816" i="1"/>
  <c r="J3815" i="1"/>
  <c r="J3814" i="1"/>
  <c r="J3813" i="1"/>
  <c r="J3812" i="1"/>
  <c r="J3811" i="1"/>
  <c r="J3810" i="1"/>
  <c r="J3809" i="1"/>
  <c r="J3808" i="1"/>
  <c r="J3807" i="1"/>
  <c r="J3806" i="1"/>
  <c r="J3805" i="1"/>
  <c r="J3804" i="1"/>
  <c r="J3803" i="1"/>
  <c r="J3802" i="1"/>
  <c r="J3801" i="1"/>
  <c r="J3800" i="1"/>
  <c r="J3799" i="1"/>
  <c r="J3798" i="1"/>
  <c r="J3797" i="1"/>
  <c r="J3796" i="1"/>
  <c r="J3795" i="1"/>
  <c r="J3794" i="1"/>
  <c r="J3793" i="1"/>
  <c r="J3792" i="1"/>
  <c r="J3791" i="1"/>
  <c r="J3790" i="1"/>
  <c r="J3789" i="1"/>
  <c r="J3788" i="1"/>
  <c r="J3787" i="1"/>
  <c r="P81" i="2" s="1"/>
  <c r="T81" i="2" s="1"/>
  <c r="J3786" i="1"/>
  <c r="J3785" i="1"/>
  <c r="J3784" i="1"/>
  <c r="J3783" i="1"/>
  <c r="J3782" i="1"/>
  <c r="J3781" i="1"/>
  <c r="J3780" i="1"/>
  <c r="J3779" i="1"/>
  <c r="J3778" i="1"/>
  <c r="J3777" i="1"/>
  <c r="J3776" i="1"/>
  <c r="J3775" i="1"/>
  <c r="J3774" i="1"/>
  <c r="J3773" i="1"/>
  <c r="J3772" i="1"/>
  <c r="J3771" i="1"/>
  <c r="J3770" i="1"/>
  <c r="J3769" i="1"/>
  <c r="J3768" i="1"/>
  <c r="J3767" i="1"/>
  <c r="J3766" i="1"/>
  <c r="J3765" i="1"/>
  <c r="J3764" i="1"/>
  <c r="J3763" i="1"/>
  <c r="K84" i="2" s="1"/>
  <c r="L84" i="2" s="1"/>
  <c r="J3762" i="1"/>
  <c r="J3761" i="1"/>
  <c r="J3760" i="1"/>
  <c r="J3759" i="1"/>
  <c r="J3758" i="1"/>
  <c r="J3757" i="1"/>
  <c r="J3756" i="1"/>
  <c r="J3755" i="1"/>
  <c r="J3754" i="1"/>
  <c r="J3753" i="1"/>
  <c r="J3752" i="1"/>
  <c r="J3751" i="1"/>
  <c r="J3750" i="1"/>
  <c r="J3749" i="1"/>
  <c r="J3748" i="1"/>
  <c r="J3747" i="1"/>
  <c r="J3746" i="1"/>
  <c r="J3745" i="1"/>
  <c r="J3744" i="1"/>
  <c r="J3743" i="1"/>
  <c r="J3742" i="1"/>
  <c r="J3741" i="1"/>
  <c r="J3740" i="1"/>
  <c r="J3739" i="1"/>
  <c r="J3738" i="1"/>
  <c r="J3737" i="1"/>
  <c r="J3736" i="1"/>
  <c r="J3735" i="1"/>
  <c r="J3734" i="1"/>
  <c r="J3733" i="1"/>
  <c r="J3732" i="1"/>
  <c r="J3731" i="1"/>
  <c r="J3730" i="1"/>
  <c r="J3729" i="1"/>
  <c r="J3728" i="1"/>
  <c r="J3727" i="1"/>
  <c r="J3726" i="1"/>
  <c r="J3725" i="1"/>
  <c r="J3724" i="1"/>
  <c r="J3723" i="1"/>
  <c r="J3722" i="1"/>
  <c r="J3721" i="1"/>
  <c r="J3720" i="1"/>
  <c r="J3719" i="1"/>
  <c r="J3718" i="1"/>
  <c r="J3717" i="1"/>
  <c r="J3716" i="1"/>
  <c r="J3715" i="1"/>
  <c r="J3714" i="1"/>
  <c r="J3713" i="1"/>
  <c r="J3712" i="1"/>
  <c r="J3711" i="1"/>
  <c r="J3710" i="1"/>
  <c r="J3709" i="1"/>
  <c r="J3708" i="1"/>
  <c r="J3707" i="1"/>
  <c r="J3706" i="1"/>
  <c r="J3705" i="1"/>
  <c r="J3704" i="1"/>
  <c r="J3703" i="1"/>
  <c r="J3702" i="1"/>
  <c r="J3701" i="1"/>
  <c r="J3700" i="1"/>
  <c r="J3699" i="1"/>
  <c r="K79" i="2" s="1"/>
  <c r="J3698" i="1"/>
  <c r="J3697" i="1"/>
  <c r="J3696" i="1"/>
  <c r="J3695" i="1"/>
  <c r="J3694" i="1"/>
  <c r="J3693" i="1"/>
  <c r="J3692" i="1"/>
  <c r="J3691" i="1"/>
  <c r="J3690" i="1"/>
  <c r="J3689" i="1"/>
  <c r="J3688" i="1"/>
  <c r="J3687" i="1"/>
  <c r="J3686" i="1"/>
  <c r="J3685" i="1"/>
  <c r="J3684" i="1"/>
  <c r="J3683" i="1"/>
  <c r="J3682" i="1"/>
  <c r="J3681" i="1"/>
  <c r="J3680" i="1"/>
  <c r="J3679" i="1"/>
  <c r="J3678" i="1"/>
  <c r="J3677" i="1"/>
  <c r="J3676" i="1"/>
  <c r="J3675" i="1"/>
  <c r="J3674" i="1"/>
  <c r="J3673" i="1"/>
  <c r="J3672" i="1"/>
  <c r="J3671" i="1"/>
  <c r="J3670" i="1"/>
  <c r="J3669" i="1"/>
  <c r="J3668" i="1"/>
  <c r="J3667" i="1"/>
  <c r="J3666" i="1"/>
  <c r="J3665" i="1"/>
  <c r="J3664" i="1"/>
  <c r="J3663" i="1"/>
  <c r="J3662" i="1"/>
  <c r="J3661" i="1"/>
  <c r="J3660" i="1"/>
  <c r="J3659" i="1"/>
  <c r="J3658" i="1"/>
  <c r="J3657" i="1"/>
  <c r="J3656" i="1"/>
  <c r="J3655" i="1"/>
  <c r="J3654" i="1"/>
  <c r="J3653" i="1"/>
  <c r="J3652" i="1"/>
  <c r="J3651" i="1"/>
  <c r="J3650" i="1"/>
  <c r="J3649" i="1"/>
  <c r="J3648" i="1"/>
  <c r="J3647" i="1"/>
  <c r="J3646" i="1"/>
  <c r="J3645" i="1"/>
  <c r="J3644" i="1"/>
  <c r="J3643" i="1"/>
  <c r="J3642" i="1"/>
  <c r="J3641" i="1"/>
  <c r="J3640" i="1"/>
  <c r="J3639" i="1"/>
  <c r="J3638" i="1"/>
  <c r="J3637" i="1"/>
  <c r="J3636" i="1"/>
  <c r="J3635" i="1"/>
  <c r="J3634" i="1"/>
  <c r="J3633" i="1"/>
  <c r="J3632" i="1"/>
  <c r="J3631" i="1"/>
  <c r="J3630" i="1"/>
  <c r="J3629" i="1"/>
  <c r="J3628" i="1"/>
  <c r="J3627" i="1"/>
  <c r="J3626" i="1"/>
  <c r="J3625" i="1"/>
  <c r="J3624" i="1"/>
  <c r="J3623" i="1"/>
  <c r="J3622" i="1"/>
  <c r="J3621" i="1"/>
  <c r="J3620" i="1"/>
  <c r="J3619" i="1"/>
  <c r="J3618" i="1"/>
  <c r="J3617" i="1"/>
  <c r="J3616" i="1"/>
  <c r="J3615" i="1"/>
  <c r="J3614" i="1"/>
  <c r="J3613" i="1"/>
  <c r="J3612" i="1"/>
  <c r="J3611" i="1"/>
  <c r="J3610" i="1"/>
  <c r="J3609" i="1"/>
  <c r="J3608" i="1"/>
  <c r="J3607" i="1"/>
  <c r="J3606" i="1"/>
  <c r="J3605" i="1"/>
  <c r="J3604" i="1"/>
  <c r="J3603" i="1"/>
  <c r="J3602" i="1"/>
  <c r="J3601" i="1"/>
  <c r="J3600" i="1"/>
  <c r="J3599" i="1"/>
  <c r="J3598" i="1"/>
  <c r="J3597" i="1"/>
  <c r="J3596" i="1"/>
  <c r="J3595" i="1"/>
  <c r="J3594" i="1"/>
  <c r="J3593" i="1"/>
  <c r="J3592" i="1"/>
  <c r="J3591" i="1"/>
  <c r="J3590" i="1"/>
  <c r="J3589" i="1"/>
  <c r="J3588" i="1"/>
  <c r="J3587" i="1"/>
  <c r="J3586" i="1"/>
  <c r="J3585" i="1"/>
  <c r="J3584" i="1"/>
  <c r="J3583" i="1"/>
  <c r="J3582" i="1"/>
  <c r="J3581" i="1"/>
  <c r="J3580" i="1"/>
  <c r="J3579" i="1"/>
  <c r="J3578" i="1"/>
  <c r="J3577" i="1"/>
  <c r="J3576" i="1"/>
  <c r="J3575" i="1"/>
  <c r="J3574" i="1"/>
  <c r="J3573" i="1"/>
  <c r="J3572" i="1"/>
  <c r="J3571" i="1"/>
  <c r="J3570" i="1"/>
  <c r="J3569" i="1"/>
  <c r="J3568" i="1"/>
  <c r="J3567" i="1"/>
  <c r="J3566" i="1"/>
  <c r="J3565" i="1"/>
  <c r="J3564" i="1"/>
  <c r="J3563" i="1"/>
  <c r="J3562" i="1"/>
  <c r="J3561" i="1"/>
  <c r="J3560" i="1"/>
  <c r="J3559" i="1"/>
  <c r="J3558" i="1"/>
  <c r="J3557" i="1"/>
  <c r="J3556" i="1"/>
  <c r="J3555" i="1"/>
  <c r="J3554" i="1"/>
  <c r="J3553" i="1"/>
  <c r="J3552" i="1"/>
  <c r="J3551" i="1"/>
  <c r="J3550" i="1"/>
  <c r="J3549" i="1"/>
  <c r="J3548" i="1"/>
  <c r="J3547" i="1"/>
  <c r="J3546" i="1"/>
  <c r="J3545" i="1"/>
  <c r="J3544" i="1"/>
  <c r="J3543" i="1"/>
  <c r="J3542" i="1"/>
  <c r="J3541" i="1"/>
  <c r="J3540" i="1"/>
  <c r="J3539" i="1"/>
  <c r="J3538" i="1"/>
  <c r="J3537" i="1"/>
  <c r="J3536" i="1"/>
  <c r="J3535" i="1"/>
  <c r="J3534" i="1"/>
  <c r="J3533" i="1"/>
  <c r="J3532" i="1"/>
  <c r="J3531" i="1"/>
  <c r="J3530" i="1"/>
  <c r="J3529" i="1"/>
  <c r="J3528" i="1"/>
  <c r="J3527" i="1"/>
  <c r="J3526" i="1"/>
  <c r="J3525" i="1"/>
  <c r="J3524" i="1"/>
  <c r="J3522" i="1"/>
  <c r="P67" i="2" s="1"/>
  <c r="T67" i="2" s="1"/>
  <c r="J3521" i="1"/>
  <c r="J3520" i="1"/>
  <c r="J3519" i="1"/>
  <c r="J3518" i="1"/>
  <c r="J3517" i="1"/>
  <c r="J3516" i="1"/>
  <c r="J3515" i="1"/>
  <c r="J3514" i="1"/>
  <c r="J3513" i="1"/>
  <c r="J3512" i="1"/>
  <c r="J3511" i="1"/>
  <c r="J3510" i="1"/>
  <c r="J3509" i="1"/>
  <c r="J3508" i="1"/>
  <c r="J3507" i="1"/>
  <c r="J3506" i="1"/>
  <c r="J3505" i="1"/>
  <c r="J3504" i="1"/>
  <c r="J3503" i="1"/>
  <c r="J3502" i="1"/>
  <c r="J3501" i="1"/>
  <c r="J3500" i="1"/>
  <c r="J3499" i="1"/>
  <c r="J3498" i="1"/>
  <c r="J3497" i="1"/>
  <c r="J3496" i="1"/>
  <c r="J3495" i="1"/>
  <c r="J3494" i="1"/>
  <c r="J3493" i="1"/>
  <c r="J3492" i="1"/>
  <c r="J3491" i="1"/>
  <c r="J3490" i="1"/>
  <c r="J3489" i="1"/>
  <c r="J3488" i="1"/>
  <c r="J3487" i="1"/>
  <c r="J3486" i="1"/>
  <c r="J3485" i="1"/>
  <c r="J3484" i="1"/>
  <c r="J3483" i="1"/>
  <c r="J3482" i="1"/>
  <c r="J3481" i="1"/>
  <c r="J3480" i="1"/>
  <c r="J3479" i="1"/>
  <c r="J3478" i="1"/>
  <c r="J3477" i="1"/>
  <c r="J3476" i="1"/>
  <c r="J3475" i="1"/>
  <c r="J3474" i="1"/>
  <c r="J3473" i="1"/>
  <c r="J3472" i="1"/>
  <c r="J3471" i="1"/>
  <c r="J3470" i="1"/>
  <c r="J3469" i="1"/>
  <c r="J3468" i="1"/>
  <c r="J3467" i="1"/>
  <c r="J3466" i="1"/>
  <c r="J3465" i="1"/>
  <c r="J3464" i="1"/>
  <c r="J3463" i="1"/>
  <c r="J3462" i="1"/>
  <c r="J3461" i="1"/>
  <c r="J3460" i="1"/>
  <c r="J3459" i="1"/>
  <c r="J3458" i="1"/>
  <c r="J3457" i="1"/>
  <c r="J3456" i="1"/>
  <c r="J3455" i="1"/>
  <c r="J3454" i="1"/>
  <c r="J3453" i="1"/>
  <c r="J3452" i="1"/>
  <c r="J3451" i="1"/>
  <c r="J3450" i="1"/>
  <c r="J3449" i="1"/>
  <c r="J3448" i="1"/>
  <c r="J3447" i="1"/>
  <c r="J3446" i="1"/>
  <c r="J3445" i="1"/>
  <c r="J3444" i="1"/>
  <c r="J3443" i="1"/>
  <c r="J3442" i="1"/>
  <c r="J3441" i="1"/>
  <c r="J3440" i="1"/>
  <c r="J3439" i="1"/>
  <c r="J3438" i="1"/>
  <c r="J3437" i="1"/>
  <c r="J3436" i="1"/>
  <c r="J3435" i="1"/>
  <c r="J3434" i="1"/>
  <c r="Q66" i="2" s="1"/>
  <c r="U66" i="2" s="1"/>
  <c r="J3433" i="1"/>
  <c r="J3432" i="1"/>
  <c r="J3431" i="1"/>
  <c r="J3430" i="1"/>
  <c r="J3429" i="1"/>
  <c r="J3428" i="1"/>
  <c r="J3427" i="1"/>
  <c r="J3426" i="1"/>
  <c r="J3425" i="1"/>
  <c r="J3424" i="1"/>
  <c r="J3423" i="1"/>
  <c r="J3422" i="1"/>
  <c r="J3421" i="1"/>
  <c r="J3420" i="1"/>
  <c r="J3419" i="1"/>
  <c r="J3418" i="1"/>
  <c r="J3417" i="1"/>
  <c r="J3416" i="1"/>
  <c r="J3415" i="1"/>
  <c r="J3414" i="1"/>
  <c r="J3413" i="1"/>
  <c r="J3412" i="1"/>
  <c r="J3411" i="1"/>
  <c r="J3410" i="1"/>
  <c r="J3409" i="1"/>
  <c r="J3408" i="1"/>
  <c r="J3407" i="1"/>
  <c r="J3406" i="1"/>
  <c r="J3405" i="1"/>
  <c r="J3404" i="1"/>
  <c r="J3403" i="1"/>
  <c r="J3402" i="1"/>
  <c r="J3401" i="1"/>
  <c r="J3400" i="1"/>
  <c r="J3399" i="1"/>
  <c r="J3398" i="1"/>
  <c r="J3397" i="1"/>
  <c r="J3396" i="1"/>
  <c r="J3395" i="1"/>
  <c r="J3394" i="1"/>
  <c r="J3393" i="1"/>
  <c r="J3392" i="1"/>
  <c r="J3391" i="1"/>
  <c r="J3390" i="1"/>
  <c r="J3389" i="1"/>
  <c r="J3388" i="1"/>
  <c r="J3387" i="1"/>
  <c r="J3386" i="1"/>
  <c r="J3385" i="1"/>
  <c r="J3384" i="1"/>
  <c r="J3383" i="1"/>
  <c r="J3382" i="1"/>
  <c r="J3381" i="1"/>
  <c r="J3380" i="1"/>
  <c r="J3379" i="1"/>
  <c r="J3378" i="1"/>
  <c r="J3377" i="1"/>
  <c r="J3376" i="1"/>
  <c r="J3375" i="1"/>
  <c r="J3374" i="1"/>
  <c r="J3373" i="1"/>
  <c r="J3372" i="1"/>
  <c r="J3371" i="1"/>
  <c r="J3370" i="1"/>
  <c r="J3369" i="1"/>
  <c r="J3368" i="1"/>
  <c r="Q83" i="2" s="1"/>
  <c r="U83" i="2" s="1"/>
  <c r="J3367" i="1"/>
  <c r="V37" i="2" l="1"/>
  <c r="U88" i="2"/>
  <c r="V106" i="2"/>
  <c r="I131" i="2"/>
  <c r="U30" i="2"/>
  <c r="L74" i="2"/>
  <c r="I6" i="2"/>
  <c r="V21" i="2"/>
  <c r="U25" i="2"/>
  <c r="I31" i="2"/>
  <c r="V29" i="2"/>
  <c r="V30" i="2"/>
  <c r="I43" i="2"/>
  <c r="T49" i="2"/>
  <c r="V52" i="2"/>
  <c r="T58" i="2"/>
  <c r="T100" i="2"/>
  <c r="U49" i="2"/>
  <c r="V61" i="2"/>
  <c r="U53" i="2"/>
  <c r="T54" i="2"/>
  <c r="T62" i="2"/>
  <c r="U82" i="2"/>
  <c r="V144" i="2"/>
  <c r="T154" i="2"/>
  <c r="I38" i="2"/>
  <c r="U59" i="2"/>
  <c r="U54" i="2"/>
  <c r="V55" i="2"/>
  <c r="U62" i="2"/>
  <c r="V79" i="2"/>
  <c r="T19" i="2"/>
  <c r="U35" i="2"/>
  <c r="I9" i="2"/>
  <c r="I11" i="2"/>
  <c r="U20" i="2"/>
  <c r="U23" i="2"/>
  <c r="L27" i="2"/>
  <c r="T32" i="2"/>
  <c r="L38" i="2"/>
  <c r="T43" i="2"/>
  <c r="T39" i="2"/>
  <c r="L50" i="2"/>
  <c r="L47" i="2"/>
  <c r="I52" i="2"/>
  <c r="I56" i="2"/>
  <c r="V59" i="2"/>
  <c r="T74" i="2"/>
  <c r="V62" i="2"/>
  <c r="U64" i="2"/>
  <c r="V70" i="2"/>
  <c r="T98" i="2"/>
  <c r="T111" i="2"/>
  <c r="T26" i="2"/>
  <c r="T27" i="2"/>
  <c r="T31" i="2"/>
  <c r="L33" i="2"/>
  <c r="T36" i="2"/>
  <c r="I48" i="2"/>
  <c r="L56" i="2"/>
  <c r="I61" i="2"/>
  <c r="I53" i="2"/>
  <c r="I60" i="2"/>
  <c r="U74" i="2"/>
  <c r="V64" i="2"/>
  <c r="U111" i="2"/>
  <c r="T18" i="2"/>
  <c r="T95" i="2"/>
  <c r="L30" i="2"/>
  <c r="T38" i="2"/>
  <c r="V39" i="2"/>
  <c r="T47" i="2"/>
  <c r="I54" i="2"/>
  <c r="I69" i="2"/>
  <c r="I63" i="2"/>
  <c r="I82" i="2"/>
  <c r="I127" i="2"/>
  <c r="V16" i="2"/>
  <c r="I46" i="2"/>
  <c r="V56" i="2"/>
  <c r="V19" i="2"/>
  <c r="I12" i="2"/>
  <c r="T24" i="2"/>
  <c r="V27" i="2"/>
  <c r="U50" i="2"/>
  <c r="T56" i="2"/>
  <c r="I7" i="2"/>
  <c r="U34" i="2"/>
  <c r="I8" i="2"/>
  <c r="U16" i="2"/>
  <c r="V28" i="2"/>
  <c r="T29" i="2"/>
  <c r="V51" i="2"/>
  <c r="T45" i="2"/>
  <c r="I62" i="2"/>
  <c r="L82" i="2"/>
  <c r="I70" i="2"/>
  <c r="L71" i="2"/>
  <c r="V78" i="2"/>
  <c r="L174" i="2"/>
  <c r="U164" i="2"/>
  <c r="U112" i="2"/>
  <c r="L126" i="2"/>
  <c r="V164" i="2"/>
  <c r="T30" i="2"/>
  <c r="T61" i="2"/>
  <c r="T69" i="2"/>
  <c r="T22" i="2"/>
  <c r="T128" i="2"/>
  <c r="T52" i="2"/>
  <c r="T63" i="2"/>
  <c r="T34" i="2"/>
  <c r="T80" i="2"/>
  <c r="T41" i="2"/>
  <c r="T88" i="2"/>
  <c r="T44" i="2"/>
  <c r="T140" i="2"/>
  <c r="T145" i="2"/>
  <c r="T23" i="2"/>
  <c r="T35" i="2"/>
  <c r="T65" i="2"/>
  <c r="K76" i="2"/>
  <c r="L76" i="2" s="1"/>
  <c r="H86" i="2"/>
  <c r="K160" i="2"/>
  <c r="L160" i="2" s="1"/>
  <c r="P138" i="2"/>
  <c r="T138" i="2" s="1"/>
  <c r="Q113" i="2"/>
  <c r="U113" i="2" s="1"/>
  <c r="I164" i="2"/>
  <c r="K127" i="2"/>
  <c r="L127" i="2" s="1"/>
  <c r="R127" i="2"/>
  <c r="V127" i="2" s="1"/>
  <c r="R141" i="2"/>
  <c r="V141" i="2" s="1"/>
  <c r="P141" i="2"/>
  <c r="T141" i="2" s="1"/>
  <c r="H141" i="2"/>
  <c r="I141" i="2" s="1"/>
  <c r="R150" i="2"/>
  <c r="V150" i="2" s="1"/>
  <c r="P150" i="2"/>
  <c r="T150" i="2" s="1"/>
  <c r="K132" i="2"/>
  <c r="R132" i="2"/>
  <c r="V132" i="2" s="1"/>
  <c r="P132" i="2"/>
  <c r="T132" i="2" s="1"/>
  <c r="R136" i="2"/>
  <c r="V136" i="2" s="1"/>
  <c r="H136" i="2"/>
  <c r="I136" i="2" s="1"/>
  <c r="Q136" i="2"/>
  <c r="U136" i="2" s="1"/>
  <c r="P136" i="2"/>
  <c r="T136" i="2" s="1"/>
  <c r="R152" i="2"/>
  <c r="V152" i="2" s="1"/>
  <c r="P152" i="2"/>
  <c r="T152" i="2" s="1"/>
  <c r="H152" i="2"/>
  <c r="K152" i="2"/>
  <c r="H79" i="2"/>
  <c r="I79" i="2" s="1"/>
  <c r="Q126" i="2"/>
  <c r="U126" i="2" s="1"/>
  <c r="P126" i="2"/>
  <c r="T126" i="2" s="1"/>
  <c r="H126" i="2"/>
  <c r="R130" i="2"/>
  <c r="V130" i="2" s="1"/>
  <c r="P130" i="2"/>
  <c r="T130" i="2" s="1"/>
  <c r="H134" i="2"/>
  <c r="I134" i="2" s="1"/>
  <c r="R134" i="2"/>
  <c r="V134" i="2" s="1"/>
  <c r="K134" i="2"/>
  <c r="L134" i="2" s="1"/>
  <c r="P134" i="2"/>
  <c r="T134" i="2" s="1"/>
  <c r="K135" i="2"/>
  <c r="L135" i="2" s="1"/>
  <c r="Q135" i="2"/>
  <c r="U135" i="2" s="1"/>
  <c r="R135" i="2"/>
  <c r="V135" i="2" s="1"/>
  <c r="H164" i="2"/>
  <c r="K164" i="2"/>
  <c r="P164" i="2"/>
  <c r="T164" i="2" s="1"/>
  <c r="H165" i="2"/>
  <c r="H130" i="2"/>
  <c r="K121" i="2"/>
  <c r="L121" i="2" s="1"/>
  <c r="R114" i="2"/>
  <c r="V114" i="2" s="1"/>
  <c r="P114" i="2"/>
  <c r="T114" i="2" s="1"/>
  <c r="K114" i="2"/>
  <c r="L114" i="2" s="1"/>
  <c r="H120" i="2"/>
  <c r="I120" i="2" s="1"/>
  <c r="R120" i="2"/>
  <c r="V120" i="2" s="1"/>
  <c r="K155" i="2"/>
  <c r="H155" i="2"/>
  <c r="I155" i="2" s="1"/>
  <c r="H138" i="2"/>
  <c r="I138" i="2" s="1"/>
  <c r="K138" i="2"/>
  <c r="L138" i="2" s="1"/>
  <c r="H148" i="2"/>
  <c r="I148" i="2" s="1"/>
  <c r="R148" i="2"/>
  <c r="V148" i="2" s="1"/>
  <c r="K148" i="2"/>
  <c r="L148" i="2" s="1"/>
  <c r="P166" i="2"/>
  <c r="T166" i="2" s="1"/>
  <c r="H166" i="2"/>
  <c r="K166" i="2"/>
  <c r="R168" i="2"/>
  <c r="V168" i="2" s="1"/>
  <c r="Q168" i="2"/>
  <c r="U168" i="2" s="1"/>
  <c r="P168" i="2"/>
  <c r="T168" i="2" s="1"/>
  <c r="H168" i="2"/>
  <c r="I168" i="2" s="1"/>
  <c r="H169" i="2"/>
  <c r="I169" i="2" s="1"/>
  <c r="Q169" i="2"/>
  <c r="U169" i="2" s="1"/>
  <c r="R158" i="2"/>
  <c r="V158" i="2" s="1"/>
  <c r="Q158" i="2"/>
  <c r="U158" i="2" s="1"/>
  <c r="K163" i="2"/>
  <c r="Q163" i="2"/>
  <c r="U163" i="2" s="1"/>
  <c r="R163" i="2"/>
  <c r="V163" i="2" s="1"/>
  <c r="H163" i="2"/>
  <c r="I163" i="2" s="1"/>
  <c r="V54" i="2"/>
  <c r="T70" i="2"/>
  <c r="R155" i="2"/>
  <c r="V155" i="2" s="1"/>
  <c r="T16" i="2"/>
  <c r="I130" i="2"/>
  <c r="R66" i="2"/>
  <c r="V66" i="2" s="1"/>
  <c r="R67" i="2"/>
  <c r="V67" i="2" s="1"/>
  <c r="R76" i="2"/>
  <c r="V76" i="2" s="1"/>
  <c r="Q86" i="2"/>
  <c r="U86" i="2" s="1"/>
  <c r="R97" i="2"/>
  <c r="V97" i="2" s="1"/>
  <c r="P97" i="2"/>
  <c r="T97" i="2" s="1"/>
  <c r="H97" i="2"/>
  <c r="I97" i="2" s="1"/>
  <c r="K106" i="2"/>
  <c r="L106" i="2" s="1"/>
  <c r="P108" i="2"/>
  <c r="T108" i="2" s="1"/>
  <c r="Q108" i="2"/>
  <c r="U108" i="2" s="1"/>
  <c r="H108" i="2"/>
  <c r="I108" i="2" s="1"/>
  <c r="K108" i="2"/>
  <c r="L108" i="2" s="1"/>
  <c r="V47" i="2"/>
  <c r="K97" i="2"/>
  <c r="L97" i="2" s="1"/>
  <c r="R126" i="2"/>
  <c r="V126" i="2" s="1"/>
  <c r="Q131" i="2"/>
  <c r="U131" i="2" s="1"/>
  <c r="P135" i="2"/>
  <c r="T135" i="2" s="1"/>
  <c r="R83" i="2"/>
  <c r="V83" i="2" s="1"/>
  <c r="H83" i="2"/>
  <c r="I83" i="2" s="1"/>
  <c r="P83" i="2"/>
  <c r="T83" i="2" s="1"/>
  <c r="K83" i="2"/>
  <c r="L83" i="2" s="1"/>
  <c r="Q75" i="2"/>
  <c r="U75" i="2" s="1"/>
  <c r="R75" i="2"/>
  <c r="V75" i="2" s="1"/>
  <c r="P75" i="2"/>
  <c r="T75" i="2" s="1"/>
  <c r="H75" i="2"/>
  <c r="I75" i="2" s="1"/>
  <c r="K75" i="2"/>
  <c r="L75" i="2" s="1"/>
  <c r="K77" i="2"/>
  <c r="L77" i="2" s="1"/>
  <c r="H77" i="2"/>
  <c r="I77" i="2" s="1"/>
  <c r="Q77" i="2"/>
  <c r="U77" i="2" s="1"/>
  <c r="P77" i="2"/>
  <c r="T77" i="2" s="1"/>
  <c r="Q81" i="2"/>
  <c r="U81" i="2" s="1"/>
  <c r="K81" i="2"/>
  <c r="L81" i="2" s="1"/>
  <c r="R81" i="2"/>
  <c r="V81" i="2" s="1"/>
  <c r="H81" i="2"/>
  <c r="I81" i="2" s="1"/>
  <c r="R89" i="2"/>
  <c r="V89" i="2" s="1"/>
  <c r="Q89" i="2"/>
  <c r="U89" i="2" s="1"/>
  <c r="H89" i="2"/>
  <c r="I89" i="2" s="1"/>
  <c r="P89" i="2"/>
  <c r="T89" i="2" s="1"/>
  <c r="K89" i="2"/>
  <c r="L89" i="2" s="1"/>
  <c r="R77" i="2"/>
  <c r="V77" i="2" s="1"/>
  <c r="Q134" i="2"/>
  <c r="U134" i="2" s="1"/>
  <c r="P153" i="2"/>
  <c r="T153" i="2" s="1"/>
  <c r="P165" i="2"/>
  <c r="T165" i="2" s="1"/>
  <c r="K80" i="2"/>
  <c r="L80" i="2" s="1"/>
  <c r="R80" i="2"/>
  <c r="V80" i="2" s="1"/>
  <c r="H80" i="2"/>
  <c r="I80" i="2" s="1"/>
  <c r="R133" i="2"/>
  <c r="V133" i="2" s="1"/>
  <c r="Q137" i="2"/>
  <c r="U137" i="2" s="1"/>
  <c r="R103" i="2"/>
  <c r="V103" i="2" s="1"/>
  <c r="P133" i="2"/>
  <c r="T133" i="2" s="1"/>
  <c r="Q125" i="2"/>
  <c r="U125" i="2" s="1"/>
  <c r="R167" i="2"/>
  <c r="V167" i="2" s="1"/>
  <c r="P167" i="2"/>
  <c r="T167" i="2" s="1"/>
  <c r="K167" i="2"/>
  <c r="L167" i="2" s="1"/>
  <c r="H167" i="2"/>
  <c r="I167" i="2" s="1"/>
  <c r="H94" i="2"/>
  <c r="I94" i="2" s="1"/>
  <c r="H95" i="2"/>
  <c r="I95" i="2" s="1"/>
  <c r="R95" i="2"/>
  <c r="V95" i="2" s="1"/>
  <c r="Q95" i="2"/>
  <c r="U95" i="2" s="1"/>
  <c r="R109" i="2"/>
  <c r="V109" i="2" s="1"/>
  <c r="Q116" i="2"/>
  <c r="U116" i="2" s="1"/>
  <c r="Q92" i="2"/>
  <c r="U92" i="2" s="1"/>
  <c r="Q119" i="2"/>
  <c r="U119" i="2" s="1"/>
  <c r="T33" i="2"/>
  <c r="R108" i="2"/>
  <c r="V108" i="2" s="1"/>
  <c r="L132" i="2"/>
  <c r="Q167" i="2"/>
  <c r="U167" i="2" s="1"/>
  <c r="L164" i="2"/>
  <c r="L166" i="2"/>
  <c r="I126" i="2"/>
  <c r="K101" i="2"/>
  <c r="L101" i="2" s="1"/>
  <c r="P101" i="2"/>
  <c r="T101" i="2" s="1"/>
  <c r="R101" i="2"/>
  <c r="V101" i="2" s="1"/>
  <c r="Q101" i="2"/>
  <c r="U101" i="2" s="1"/>
  <c r="H101" i="2"/>
  <c r="R107" i="2"/>
  <c r="V107" i="2" s="1"/>
  <c r="Q107" i="2"/>
  <c r="U107" i="2" s="1"/>
  <c r="H107" i="2"/>
  <c r="I107" i="2" s="1"/>
  <c r="K107" i="2"/>
  <c r="L107" i="2" s="1"/>
  <c r="P103" i="2"/>
  <c r="T103" i="2" s="1"/>
  <c r="L152" i="2"/>
  <c r="P139" i="2"/>
  <c r="T139" i="2" s="1"/>
  <c r="P99" i="2"/>
  <c r="T99" i="2" s="1"/>
  <c r="K139" i="2"/>
  <c r="L139" i="2" s="1"/>
  <c r="P148" i="2"/>
  <c r="T148" i="2" s="1"/>
  <c r="R125" i="2"/>
  <c r="V125" i="2" s="1"/>
  <c r="P123" i="2"/>
  <c r="T123" i="2" s="1"/>
  <c r="H171" i="2"/>
  <c r="I171" i="2" s="1"/>
  <c r="R171" i="2"/>
  <c r="V171" i="2" s="1"/>
  <c r="Q171" i="2"/>
  <c r="U171" i="2" s="1"/>
  <c r="P171" i="2"/>
  <c r="T171" i="2" s="1"/>
  <c r="K171" i="2"/>
  <c r="L171" i="2" s="1"/>
  <c r="V41" i="2"/>
  <c r="I101" i="2"/>
  <c r="K120" i="2"/>
  <c r="L120" i="2" s="1"/>
  <c r="Q152" i="2"/>
  <c r="U152" i="2" s="1"/>
  <c r="I146" i="2"/>
  <c r="P115" i="2"/>
  <c r="T115" i="2" s="1"/>
  <c r="H132" i="2"/>
  <c r="I132" i="2" s="1"/>
  <c r="P72" i="2"/>
  <c r="T72" i="2" s="1"/>
  <c r="K72" i="2"/>
  <c r="L72" i="2" s="1"/>
  <c r="H72" i="2"/>
  <c r="I72" i="2" s="1"/>
  <c r="R72" i="2"/>
  <c r="V72" i="2" s="1"/>
  <c r="K78" i="2"/>
  <c r="L78" i="2" s="1"/>
  <c r="P78" i="2"/>
  <c r="T78" i="2" s="1"/>
  <c r="H78" i="2"/>
  <c r="I78" i="2" s="1"/>
  <c r="Q78" i="2"/>
  <c r="U78" i="2" s="1"/>
  <c r="R85" i="2"/>
  <c r="V85" i="2" s="1"/>
  <c r="Q85" i="2"/>
  <c r="U85" i="2" s="1"/>
  <c r="H87" i="2"/>
  <c r="I87" i="2" s="1"/>
  <c r="Q87" i="2"/>
  <c r="U87" i="2" s="1"/>
  <c r="Q102" i="2"/>
  <c r="U102" i="2" s="1"/>
  <c r="R172" i="2"/>
  <c r="V172" i="2" s="1"/>
  <c r="K141" i="2"/>
  <c r="L141" i="2" s="1"/>
  <c r="P116" i="2"/>
  <c r="T116" i="2" s="1"/>
  <c r="H161" i="2"/>
  <c r="I161" i="2" s="1"/>
  <c r="L156" i="2"/>
  <c r="H100" i="2"/>
  <c r="Q100" i="2"/>
  <c r="U100" i="2" s="1"/>
  <c r="R100" i="2"/>
  <c r="V100" i="2" s="1"/>
  <c r="H140" i="2"/>
  <c r="I140" i="2" s="1"/>
  <c r="K140" i="2"/>
  <c r="L140" i="2" s="1"/>
  <c r="L105" i="2"/>
  <c r="I109" i="2"/>
  <c r="L155" i="2"/>
  <c r="K67" i="2"/>
  <c r="Q67" i="2"/>
  <c r="U67" i="2" s="1"/>
  <c r="R84" i="2"/>
  <c r="V84" i="2" s="1"/>
  <c r="P84" i="2"/>
  <c r="T84" i="2" s="1"/>
  <c r="R88" i="2"/>
  <c r="V88" i="2" s="1"/>
  <c r="H88" i="2"/>
  <c r="I88" i="2" s="1"/>
  <c r="R90" i="2"/>
  <c r="V90" i="2" s="1"/>
  <c r="H90" i="2"/>
  <c r="I90" i="2" s="1"/>
  <c r="K98" i="2"/>
  <c r="L98" i="2" s="1"/>
  <c r="H106" i="2"/>
  <c r="I106" i="2" s="1"/>
  <c r="K109" i="2"/>
  <c r="L109" i="2" s="1"/>
  <c r="Q130" i="2"/>
  <c r="U130" i="2" s="1"/>
  <c r="K130" i="2"/>
  <c r="L130" i="2" s="1"/>
  <c r="R145" i="2"/>
  <c r="V145" i="2" s="1"/>
  <c r="K145" i="2"/>
  <c r="L145" i="2" s="1"/>
  <c r="H145" i="2"/>
  <c r="I145" i="2" s="1"/>
  <c r="P147" i="2"/>
  <c r="T147" i="2" s="1"/>
  <c r="K147" i="2"/>
  <c r="L147" i="2" s="1"/>
  <c r="R165" i="2"/>
  <c r="V165" i="2" s="1"/>
  <c r="Q165" i="2"/>
  <c r="U165" i="2" s="1"/>
  <c r="P149" i="2"/>
  <c r="T149" i="2" s="1"/>
  <c r="R149" i="2"/>
  <c r="V149" i="2" s="1"/>
  <c r="Q149" i="2"/>
  <c r="U149" i="2" s="1"/>
  <c r="P174" i="2"/>
  <c r="T174" i="2" s="1"/>
  <c r="R174" i="2"/>
  <c r="V174" i="2" s="1"/>
  <c r="Q174" i="2"/>
  <c r="U174" i="2" s="1"/>
  <c r="H174" i="2"/>
  <c r="I174" i="2" s="1"/>
  <c r="K90" i="2"/>
  <c r="L90" i="2" s="1"/>
  <c r="K100" i="2"/>
  <c r="L100" i="2" s="1"/>
  <c r="H128" i="2"/>
  <c r="I128" i="2" s="1"/>
  <c r="I172" i="2"/>
  <c r="K165" i="2"/>
  <c r="L165" i="2" s="1"/>
  <c r="P87" i="2"/>
  <c r="T87" i="2" s="1"/>
  <c r="T42" i="2"/>
  <c r="V65" i="2"/>
  <c r="Q140" i="2"/>
  <c r="U140" i="2" s="1"/>
  <c r="Q172" i="2"/>
  <c r="U172" i="2" s="1"/>
  <c r="K95" i="2"/>
  <c r="L95" i="2" s="1"/>
  <c r="K125" i="2"/>
  <c r="L125" i="2" s="1"/>
  <c r="H125" i="2"/>
  <c r="R139" i="2"/>
  <c r="V139" i="2" s="1"/>
  <c r="K123" i="2"/>
  <c r="L123" i="2" s="1"/>
  <c r="R154" i="2"/>
  <c r="V154" i="2" s="1"/>
  <c r="Q157" i="2"/>
  <c r="U157" i="2" s="1"/>
  <c r="H157" i="2"/>
  <c r="I32" i="2"/>
  <c r="U42" i="2"/>
  <c r="R140" i="2"/>
  <c r="V140" i="2" s="1"/>
  <c r="R73" i="2"/>
  <c r="V73" i="2" s="1"/>
  <c r="P73" i="2"/>
  <c r="T73" i="2" s="1"/>
  <c r="Q73" i="2"/>
  <c r="U73" i="2" s="1"/>
  <c r="H73" i="2"/>
  <c r="K119" i="2"/>
  <c r="H119" i="2"/>
  <c r="I119" i="2" s="1"/>
  <c r="P119" i="2"/>
  <c r="T119" i="2" s="1"/>
  <c r="P113" i="2"/>
  <c r="T113" i="2" s="1"/>
  <c r="K113" i="2"/>
  <c r="L113" i="2" s="1"/>
  <c r="K162" i="2"/>
  <c r="H162" i="2"/>
  <c r="I162" i="2" s="1"/>
  <c r="Q162" i="2"/>
  <c r="U162" i="2" s="1"/>
  <c r="P162" i="2"/>
  <c r="T162" i="2" s="1"/>
  <c r="P124" i="2"/>
  <c r="T124" i="2" s="1"/>
  <c r="K124" i="2"/>
  <c r="L124" i="2" s="1"/>
  <c r="Q129" i="2"/>
  <c r="U129" i="2" s="1"/>
  <c r="H129" i="2"/>
  <c r="I129" i="2" s="1"/>
  <c r="R129" i="2"/>
  <c r="V129" i="2" s="1"/>
  <c r="P129" i="2"/>
  <c r="T129" i="2" s="1"/>
  <c r="Q142" i="2"/>
  <c r="U142" i="2" s="1"/>
  <c r="K142" i="2"/>
  <c r="L142" i="2" s="1"/>
  <c r="R142" i="2"/>
  <c r="V142" i="2" s="1"/>
  <c r="P142" i="2"/>
  <c r="T142" i="2" s="1"/>
  <c r="K122" i="2"/>
  <c r="L122" i="2" s="1"/>
  <c r="P122" i="2"/>
  <c r="T122" i="2" s="1"/>
  <c r="R122" i="2"/>
  <c r="V122" i="2" s="1"/>
  <c r="Q122" i="2"/>
  <c r="U122" i="2" s="1"/>
  <c r="H122" i="2"/>
  <c r="I122" i="2" s="1"/>
  <c r="K143" i="2"/>
  <c r="L143" i="2" s="1"/>
  <c r="R143" i="2"/>
  <c r="V143" i="2" s="1"/>
  <c r="Q143" i="2"/>
  <c r="U143" i="2" s="1"/>
  <c r="P143" i="2"/>
  <c r="T143" i="2" s="1"/>
  <c r="U22" i="2"/>
  <c r="U28" i="2"/>
  <c r="V58" i="2"/>
  <c r="P110" i="2"/>
  <c r="T110" i="2" s="1"/>
  <c r="K110" i="2"/>
  <c r="L110" i="2" s="1"/>
  <c r="R110" i="2"/>
  <c r="V110" i="2" s="1"/>
  <c r="Q144" i="2"/>
  <c r="U144" i="2" s="1"/>
  <c r="P144" i="2"/>
  <c r="T144" i="2" s="1"/>
  <c r="H144" i="2"/>
  <c r="I144" i="2" s="1"/>
  <c r="L159" i="2"/>
  <c r="K128" i="2"/>
  <c r="L128" i="2" s="1"/>
  <c r="Q128" i="2"/>
  <c r="U128" i="2" s="1"/>
  <c r="K131" i="2"/>
  <c r="L131" i="2" s="1"/>
  <c r="P131" i="2"/>
  <c r="T131" i="2" s="1"/>
  <c r="Q156" i="2"/>
  <c r="U156" i="2" s="1"/>
  <c r="R156" i="2"/>
  <c r="V156" i="2" s="1"/>
  <c r="P156" i="2"/>
  <c r="T156" i="2" s="1"/>
  <c r="K158" i="2"/>
  <c r="L158" i="2" s="1"/>
  <c r="H158" i="2"/>
  <c r="I158" i="2" s="1"/>
  <c r="K173" i="2"/>
  <c r="L173" i="2" s="1"/>
  <c r="Q173" i="2"/>
  <c r="U173" i="2" s="1"/>
  <c r="R173" i="2"/>
  <c r="V173" i="2" s="1"/>
  <c r="H173" i="2"/>
  <c r="I173" i="2" s="1"/>
  <c r="P173" i="2"/>
  <c r="T173" i="2" s="1"/>
  <c r="H67" i="2"/>
  <c r="I67" i="2" s="1"/>
  <c r="H103" i="2"/>
  <c r="I103" i="2" s="1"/>
  <c r="K103" i="2"/>
  <c r="L103" i="2" s="1"/>
  <c r="R105" i="2"/>
  <c r="V105" i="2" s="1"/>
  <c r="K105" i="2"/>
  <c r="Q105" i="2"/>
  <c r="U105" i="2" s="1"/>
  <c r="K115" i="2"/>
  <c r="L115" i="2" s="1"/>
  <c r="R115" i="2"/>
  <c r="V115" i="2" s="1"/>
  <c r="Q150" i="2"/>
  <c r="U150" i="2" s="1"/>
  <c r="K150" i="2"/>
  <c r="L150" i="2" s="1"/>
  <c r="K91" i="2"/>
  <c r="L91" i="2" s="1"/>
  <c r="Q91" i="2"/>
  <c r="U91" i="2" s="1"/>
  <c r="P91" i="2"/>
  <c r="T91" i="2" s="1"/>
  <c r="R91" i="2"/>
  <c r="V91" i="2" s="1"/>
  <c r="K117" i="2"/>
  <c r="L117" i="2" s="1"/>
  <c r="R117" i="2"/>
  <c r="V117" i="2" s="1"/>
  <c r="Q117" i="2"/>
  <c r="U117" i="2" s="1"/>
  <c r="P117" i="2"/>
  <c r="T117" i="2" s="1"/>
  <c r="K137" i="2"/>
  <c r="L137" i="2" s="1"/>
  <c r="H137" i="2"/>
  <c r="P137" i="2"/>
  <c r="T137" i="2" s="1"/>
  <c r="R169" i="2"/>
  <c r="V169" i="2" s="1"/>
  <c r="P169" i="2"/>
  <c r="T169" i="2" s="1"/>
  <c r="K169" i="2"/>
  <c r="L169" i="2" s="1"/>
  <c r="L41" i="2"/>
  <c r="T53" i="2"/>
  <c r="L67" i="2"/>
  <c r="H149" i="2"/>
  <c r="I149" i="2" s="1"/>
  <c r="R92" i="2"/>
  <c r="V92" i="2" s="1"/>
  <c r="P92" i="2"/>
  <c r="T92" i="2" s="1"/>
  <c r="H92" i="2"/>
  <c r="P172" i="2"/>
  <c r="T172" i="2" s="1"/>
  <c r="K172" i="2"/>
  <c r="L172" i="2" s="1"/>
  <c r="Q170" i="2"/>
  <c r="U170" i="2" s="1"/>
  <c r="K170" i="2"/>
  <c r="L170" i="2" s="1"/>
  <c r="H170" i="2"/>
  <c r="U70" i="2"/>
  <c r="Q76" i="2"/>
  <c r="U76" i="2" s="1"/>
  <c r="P76" i="2"/>
  <c r="T76" i="2" s="1"/>
  <c r="H76" i="2"/>
  <c r="I76" i="2" s="1"/>
  <c r="P86" i="2"/>
  <c r="T86" i="2" s="1"/>
  <c r="K86" i="2"/>
  <c r="L86" i="2" s="1"/>
  <c r="R86" i="2"/>
  <c r="V86" i="2" s="1"/>
  <c r="H111" i="2"/>
  <c r="I111" i="2" s="1"/>
  <c r="R111" i="2"/>
  <c r="V111" i="2" s="1"/>
  <c r="K111" i="2"/>
  <c r="L111" i="2" s="1"/>
  <c r="U21" i="2"/>
  <c r="L163" i="2"/>
  <c r="R112" i="2"/>
  <c r="V112" i="2" s="1"/>
  <c r="H112" i="2"/>
  <c r="I112" i="2" s="1"/>
  <c r="P112" i="2"/>
  <c r="T112" i="2" s="1"/>
  <c r="R93" i="2"/>
  <c r="V93" i="2" s="1"/>
  <c r="Q93" i="2"/>
  <c r="U93" i="2" s="1"/>
  <c r="P93" i="2"/>
  <c r="T93" i="2" s="1"/>
  <c r="H93" i="2"/>
  <c r="I93" i="2" s="1"/>
  <c r="P160" i="2"/>
  <c r="T160" i="2" s="1"/>
  <c r="R160" i="2"/>
  <c r="V160" i="2" s="1"/>
  <c r="H160" i="2"/>
  <c r="I160" i="2" s="1"/>
  <c r="I73" i="2"/>
  <c r="H66" i="2"/>
  <c r="I66" i="2" s="1"/>
  <c r="K66" i="2"/>
  <c r="L66" i="2" s="1"/>
  <c r="H104" i="2"/>
  <c r="I104" i="2" s="1"/>
  <c r="K104" i="2"/>
  <c r="L104" i="2" s="1"/>
  <c r="R104" i="2"/>
  <c r="V104" i="2" s="1"/>
  <c r="Q104" i="2"/>
  <c r="U104" i="2" s="1"/>
  <c r="P104" i="2"/>
  <c r="T104" i="2" s="1"/>
  <c r="Q118" i="2"/>
  <c r="U118" i="2" s="1"/>
  <c r="P118" i="2"/>
  <c r="T118" i="2" s="1"/>
  <c r="K118" i="2"/>
  <c r="L118" i="2" s="1"/>
  <c r="Q114" i="2"/>
  <c r="U114" i="2" s="1"/>
  <c r="Q120" i="2"/>
  <c r="U120" i="2" s="1"/>
  <c r="K73" i="2"/>
  <c r="L73" i="2" s="1"/>
  <c r="H91" i="2"/>
  <c r="I91" i="2" s="1"/>
  <c r="K92" i="2"/>
  <c r="L92" i="2" s="1"/>
  <c r="K93" i="2"/>
  <c r="L93" i="2" s="1"/>
  <c r="I157" i="2"/>
  <c r="P159" i="2"/>
  <c r="T159" i="2" s="1"/>
  <c r="Q99" i="2"/>
  <c r="U99" i="2" s="1"/>
  <c r="K99" i="2"/>
  <c r="L99" i="2" s="1"/>
  <c r="H99" i="2"/>
  <c r="I99" i="2" s="1"/>
  <c r="K153" i="2"/>
  <c r="L153" i="2" s="1"/>
  <c r="H153" i="2"/>
  <c r="I153" i="2" s="1"/>
  <c r="I152" i="2"/>
  <c r="H147" i="2"/>
  <c r="I147" i="2" s="1"/>
  <c r="H156" i="2"/>
  <c r="I156" i="2" s="1"/>
  <c r="Q159" i="2"/>
  <c r="U159" i="2" s="1"/>
  <c r="H96" i="2"/>
  <c r="I96" i="2" s="1"/>
  <c r="R96" i="2"/>
  <c r="V96" i="2" s="1"/>
  <c r="Q96" i="2"/>
  <c r="U96" i="2" s="1"/>
  <c r="V74" i="2"/>
  <c r="I159" i="2"/>
  <c r="K116" i="2"/>
  <c r="L116" i="2" s="1"/>
  <c r="H116" i="2"/>
  <c r="I116" i="2" s="1"/>
  <c r="Q161" i="2"/>
  <c r="U161" i="2" s="1"/>
  <c r="P161" i="2"/>
  <c r="T161" i="2" s="1"/>
  <c r="K161" i="2"/>
  <c r="L161" i="2" s="1"/>
  <c r="H151" i="2"/>
  <c r="I151" i="2" s="1"/>
  <c r="R151" i="2"/>
  <c r="V151" i="2" s="1"/>
  <c r="K151" i="2"/>
  <c r="L151" i="2" s="1"/>
  <c r="K146" i="2"/>
  <c r="L146" i="2" s="1"/>
  <c r="Q146" i="2"/>
  <c r="U146" i="2" s="1"/>
  <c r="P146" i="2"/>
  <c r="T146" i="2" s="1"/>
  <c r="V20" i="2"/>
  <c r="I86" i="2"/>
  <c r="V53" i="2"/>
  <c r="H110" i="2"/>
  <c r="I110" i="2" s="1"/>
  <c r="Q79" i="2"/>
  <c r="U79" i="2" s="1"/>
  <c r="Q84" i="2"/>
  <c r="U84" i="2" s="1"/>
  <c r="Q127" i="2"/>
  <c r="U127" i="2" s="1"/>
  <c r="K136" i="2"/>
  <c r="L136" i="2" s="1"/>
  <c r="Q155" i="2"/>
  <c r="U155" i="2" s="1"/>
  <c r="L64" i="2"/>
  <c r="P66" i="2"/>
  <c r="T66" i="2" s="1"/>
  <c r="L79" i="2"/>
  <c r="L94" i="2"/>
  <c r="K88" i="2"/>
  <c r="K96" i="2"/>
  <c r="L96" i="2" s="1"/>
  <c r="H105" i="2"/>
  <c r="I105" i="2" s="1"/>
  <c r="I115" i="2"/>
  <c r="H124" i="2"/>
  <c r="I124" i="2" s="1"/>
  <c r="I143" i="2"/>
  <c r="I137" i="2"/>
  <c r="K144" i="2"/>
  <c r="L144" i="2" s="1"/>
  <c r="I165" i="2"/>
  <c r="K157" i="2"/>
  <c r="L157" i="2" s="1"/>
  <c r="K149" i="2"/>
  <c r="L149" i="2" s="1"/>
  <c r="P158" i="2"/>
  <c r="T158" i="2" s="1"/>
  <c r="H133" i="2"/>
  <c r="I133" i="2" s="1"/>
  <c r="I166" i="2"/>
  <c r="U58" i="2"/>
  <c r="I65" i="2"/>
  <c r="I100" i="2"/>
  <c r="P90" i="2"/>
  <c r="T90" i="2" s="1"/>
  <c r="Q106" i="2"/>
  <c r="U106" i="2" s="1"/>
  <c r="H109" i="2"/>
  <c r="Q141" i="2"/>
  <c r="U141" i="2" s="1"/>
  <c r="R121" i="2"/>
  <c r="V121" i="2" s="1"/>
  <c r="Q132" i="2"/>
  <c r="U132" i="2" s="1"/>
  <c r="Q138" i="2"/>
  <c r="U138" i="2" s="1"/>
  <c r="Q148" i="2"/>
  <c r="U148" i="2" s="1"/>
  <c r="R166" i="2"/>
  <c r="V166" i="2" s="1"/>
  <c r="K168" i="2"/>
  <c r="L168" i="2" s="1"/>
  <c r="U52" i="2"/>
  <c r="V63" i="2"/>
  <c r="L88" i="2"/>
  <c r="K85" i="2"/>
  <c r="L85" i="2" s="1"/>
  <c r="K87" i="2"/>
  <c r="L87" i="2" s="1"/>
  <c r="Q139" i="2"/>
  <c r="U139" i="2" s="1"/>
  <c r="H139" i="2"/>
  <c r="I139" i="2" s="1"/>
  <c r="H159" i="2"/>
  <c r="V44" i="2"/>
  <c r="I49" i="2"/>
  <c r="H85" i="2"/>
  <c r="I98" i="2"/>
  <c r="U65" i="2"/>
  <c r="I85" i="2"/>
  <c r="I170" i="2"/>
  <c r="R94" i="2"/>
  <c r="V94" i="2" s="1"/>
  <c r="P94" i="2"/>
  <c r="T94" i="2" s="1"/>
  <c r="H102" i="2"/>
  <c r="I102" i="2" s="1"/>
  <c r="R102" i="2"/>
  <c r="V102" i="2" s="1"/>
  <c r="K102" i="2"/>
  <c r="L102" i="2" s="1"/>
  <c r="K133" i="2"/>
  <c r="L133" i="2" s="1"/>
  <c r="Q133" i="2"/>
  <c r="U133" i="2" s="1"/>
  <c r="Q154" i="2"/>
  <c r="U154" i="2" s="1"/>
  <c r="H154" i="2"/>
  <c r="I154" i="2" s="1"/>
  <c r="I92" i="2"/>
  <c r="L119" i="2"/>
  <c r="R123" i="2"/>
  <c r="V123" i="2" s="1"/>
  <c r="Q123" i="2"/>
  <c r="U123" i="2" s="1"/>
  <c r="H123" i="2"/>
  <c r="I123" i="2" s="1"/>
  <c r="I4" i="2"/>
  <c r="I10" i="2"/>
  <c r="I125" i="2"/>
  <c r="H84" i="2"/>
  <c r="I84" i="2" s="1"/>
  <c r="H114" i="2"/>
  <c r="I114" i="2" s="1"/>
  <c r="P170" i="2"/>
  <c r="T170" i="2" s="1"/>
  <c r="R98" i="2"/>
  <c r="V98" i="2" s="1"/>
  <c r="P121" i="2"/>
  <c r="T121" i="2" s="1"/>
  <c r="Q166" i="2"/>
  <c r="U166" i="2" s="1"/>
  <c r="R170" i="2"/>
  <c r="V170" i="2" s="1"/>
  <c r="U39" i="2"/>
  <c r="P79" i="2"/>
  <c r="T79" i="2" s="1"/>
  <c r="H98" i="2"/>
  <c r="P127" i="2"/>
  <c r="T127" i="2" s="1"/>
  <c r="P120" i="2"/>
  <c r="T120" i="2" s="1"/>
  <c r="Q121" i="2"/>
  <c r="U121" i="2" s="1"/>
  <c r="P155" i="2"/>
  <c r="T155" i="2" s="1"/>
  <c r="L162" i="2"/>
  <c r="Q109" i="2"/>
  <c r="U109" i="2" s="1"/>
  <c r="P163" i="2"/>
  <c r="T163" i="2" s="1"/>
  <c r="U38" i="2"/>
  <c r="I40"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F2" authorId="0" shapeId="0" xr:uid="{00000000-0006-0000-0000-000002000000}">
      <text>
        <r>
          <rPr>
            <sz val="10"/>
            <color rgb="FF000000"/>
            <rFont val="Arial"/>
            <scheme val="minor"/>
          </rPr>
          <t>======
ID#AAABSVgDspA
Matias Salazar Ismodes    (2024-07-25 00:09:03)
Collected by Caleb</t>
        </r>
      </text>
    </comment>
    <comment ref="G2" authorId="0" shapeId="0" xr:uid="{00000000-0006-0000-0000-000001000000}">
      <text>
        <r>
          <rPr>
            <sz val="10"/>
            <color rgb="FF000000"/>
            <rFont val="Arial"/>
            <scheme val="minor"/>
          </rPr>
          <t>======
ID#AAABSVgDspE
Matias Salazar Ismodes    (2024-07-25 00:09:19)
Double checked by Matias</t>
        </r>
      </text>
    </comment>
  </commentList>
  <extLst>
    <ext xmlns:r="http://schemas.openxmlformats.org/officeDocument/2006/relationships" uri="GoogleSheetsCustomDataVersion2">
      <go:sheetsCustomData xmlns:go="http://customooxmlschemas.google.com/" r:id="rId1" roundtripDataSignature="AMtx7mgwjzGasRmw7Ew30CL0Rdb7DQx07Q=="/>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M1" authorId="0" shapeId="0" xr:uid="{00000000-0006-0000-0100-000001000000}">
      <text>
        <r>
          <rPr>
            <sz val="10"/>
            <color rgb="FF000000"/>
            <rFont val="Arial"/>
            <scheme val="minor"/>
          </rPr>
          <t>======
ID#AAABItzlMjo
Matias Salazar Ismodes    (2024-03-27 00:27:43)
(5/12/23)</t>
        </r>
      </text>
    </comment>
    <comment ref="P1" authorId="0" shapeId="0" xr:uid="{00000000-0006-0000-0100-000002000000}">
      <text>
        <r>
          <rPr>
            <sz val="10"/>
            <color rgb="FF000000"/>
            <rFont val="Arial"/>
            <scheme val="minor"/>
          </rPr>
          <t>======
ID#AAABItzlMjk
Matias Salazar Ismodes    (2024-03-27 00:16:02)
From (11/7/2023)</t>
        </r>
      </text>
    </comment>
  </commentList>
  <extLst>
    <ext xmlns:r="http://schemas.openxmlformats.org/officeDocument/2006/relationships" uri="GoogleSheetsCustomDataVersion2">
      <go:sheetsCustomData xmlns:go="http://customooxmlschemas.google.com/" r:id="rId1" roundtripDataSignature="AMtx7mjSXnTUjB6LkuJioWrpZ5ZEPT+46g=="/>
    </ext>
  </extLst>
</comments>
</file>

<file path=xl/sharedStrings.xml><?xml version="1.0" encoding="utf-8"?>
<sst xmlns="http://schemas.openxmlformats.org/spreadsheetml/2006/main" count="52525" uniqueCount="20764">
  <si>
    <t>College Name (US News)</t>
  </si>
  <si>
    <t>Faculty</t>
  </si>
  <si>
    <t>Displayed Info</t>
  </si>
  <si>
    <t>Date of Last Edit</t>
  </si>
  <si>
    <t>Maximum citation on paper</t>
  </si>
  <si>
    <t>Year of publication</t>
  </si>
  <si>
    <t>Link</t>
  </si>
  <si>
    <t>Date of access to publications</t>
  </si>
  <si>
    <t>Rank (Since septemeber 2024)</t>
  </si>
  <si>
    <t>Faculty Member</t>
  </si>
  <si>
    <t>Since november 2024</t>
  </si>
  <si>
    <t>Email</t>
  </si>
  <si>
    <t>Original Research Interests</t>
  </si>
  <si>
    <t>Rank (5/12/23)</t>
  </si>
  <si>
    <t>Rank (11/7/2023)</t>
  </si>
  <si>
    <t>Endowed/Distinguished (11/7/23)</t>
  </si>
  <si>
    <t>NTT/TT(5/12/23)</t>
  </si>
  <si>
    <t>NTT/TT(11/7/23)</t>
  </si>
  <si>
    <t>Summary of research Interests Modified version of  ChatGPT output in December 2023)</t>
  </si>
  <si>
    <t># of citation</t>
  </si>
  <si>
    <t>H-index</t>
  </si>
  <si>
    <t>i10-index</t>
  </si>
  <si>
    <t>Massachusetts Institute of Technology</t>
  </si>
  <si>
    <t xml:space="preserve">Rohit N Karnik </t>
  </si>
  <si>
    <t>P</t>
  </si>
  <si>
    <t>karnik@mit.edu</t>
  </si>
  <si>
    <t>Microfluidic and nanofluidic transport, Graphene and nanostructured membranes, BioMEMS and lab-on-a-chiPdevices</t>
  </si>
  <si>
    <t>P1</t>
  </si>
  <si>
    <t>P2</t>
  </si>
  <si>
    <t>TT</t>
  </si>
  <si>
    <t>Microfluidic , nanofluidic transport, Graphene , nanostructured membranes, BioMEMS, lab-on-a-chiPdevices</t>
  </si>
  <si>
    <t>https://scholar.google.com/citations?hl=en&amp;user=U6qwtCcAAAAJ</t>
  </si>
  <si>
    <t>MIT DEPARTMENT OF MECHANICAL ENGINEERING</t>
  </si>
  <si>
    <t>Pierre Lermusiaux</t>
  </si>
  <si>
    <t>pierrel@mit.edu</t>
  </si>
  <si>
    <t>Ocean Data Assimilation, Numerical Ocean ModelingUncertainty Quantification, Bayesian Inference, and Machine LearningApplications to Ocean Dynamics and Engineering</t>
  </si>
  <si>
    <t>E2</t>
  </si>
  <si>
    <t>Ocean Data Assimilation, Numerical Ocean ModelingUncertainty Quantification, Bayesian InferenceMachine Learning Applications</t>
  </si>
  <si>
    <t>https://scholar.google.com/citations?hl=en&amp;user=CX02g7gAAAAJ</t>
  </si>
  <si>
    <t>US News Ranking</t>
  </si>
  <si>
    <t>Rohan Abeyaratne</t>
  </si>
  <si>
    <t>rohan@mit.edu</t>
  </si>
  <si>
    <t>Mechanics of discrete and continuous systems, Material instabilities, Mechanics of growth</t>
  </si>
  <si>
    <t>Mechanics of discrete, continuous systems, Material instabilities, Mechanics of growth</t>
  </si>
  <si>
    <t>#1 - Mechanical Engineering</t>
  </si>
  <si>
    <t>Faez Ahmed</t>
  </si>
  <si>
    <t>Assistant P</t>
  </si>
  <si>
    <t>faez@mit.edu</t>
  </si>
  <si>
    <t>Generative design,Machine learning and optimization for engineering design,Human-AI teams</t>
  </si>
  <si>
    <t>Assistant P1</t>
  </si>
  <si>
    <t>Assistant P2</t>
  </si>
  <si>
    <t>Generative design,Machine learning,optimization for engineering design,Human-AI teams</t>
  </si>
  <si>
    <t>#1 - Best Engineering Schools</t>
  </si>
  <si>
    <t>Triantaphyllos Akylas</t>
  </si>
  <si>
    <t>trakylas@mit.edu</t>
  </si>
  <si>
    <t>NA</t>
  </si>
  <si>
    <t>Overall Score</t>
  </si>
  <si>
    <t>Lallit Anand</t>
  </si>
  <si>
    <t>anand@mit.edu</t>
  </si>
  <si>
    <t>Mechanics of Materials, Solid Mechanics, Plasticity</t>
  </si>
  <si>
    <t>Harry Asada</t>
  </si>
  <si>
    <t>asada@mit.edu</t>
  </si>
  <si>
    <t>Augmenting human capabilities with wearable robots, Modeling and understanding cell interactions through numerical simulations, harmonic actuator based on piezo-electric units.</t>
  </si>
  <si>
    <t>Augmenting human capabilities with wearable robots, Modeling , underst,ing cell interactions through numerical simulations, harmonic actuator based on piezo-electric units,</t>
  </si>
  <si>
    <t>Peer assessment score (out of 5)</t>
  </si>
  <si>
    <t>Navid Azizan</t>
  </si>
  <si>
    <t>azizan@mit.edu</t>
  </si>
  <si>
    <t>Machine learning, AI, and intelligent systemsOptimization, control, and autonomous systemsDynamical systems, networks, and smart grids</t>
  </si>
  <si>
    <t>Machine learning, AI, intelligent systemsOptimization, control, autonomous systems ,Dynamical systems, networks, smart grids</t>
  </si>
  <si>
    <t>George Barbastathis</t>
  </si>
  <si>
    <t>gbarb@mit.edu</t>
  </si>
  <si>
    <t>Quantitative phase imaging in the visible and x-ray bandsCorrelation functions and sparse representations,Radient-INdex (GRIN) optics</t>
  </si>
  <si>
    <t>Quantitative phase imaging in the visible , x-ray bands, Correlation functions, sparse representations,Radient-INdex (GRIN) optics</t>
  </si>
  <si>
    <t>Recruiter assessment score (out of 5)</t>
  </si>
  <si>
    <t>Klaus-Jürgen Bathe</t>
  </si>
  <si>
    <t>kjb@mit.edu</t>
  </si>
  <si>
    <t>Nonlinear analysis of structures and solids, heat transfer and fluids using modern computational techniques</t>
  </si>
  <si>
    <t>Nonlinear analysis of structures , solids, heat transfer , fluids using modern computational techniques</t>
  </si>
  <si>
    <t>Mark Bathe</t>
  </si>
  <si>
    <t>mbathe@mit.edu</t>
  </si>
  <si>
    <t>Computational modeling, Molecular biomechanics, Fluorescence imaging and spectroscopy</t>
  </si>
  <si>
    <t>Computational modeling, Molecular biomechanics, Fluorescence imaging , spectroscopy</t>
  </si>
  <si>
    <t>TUITION AND FEES (MASTER'S)</t>
  </si>
  <si>
    <t>Kaitlyn Becker</t>
  </si>
  <si>
    <t>kait@mit.edu</t>
  </si>
  <si>
    <t>$57,590 per year (full-time)</t>
  </si>
  <si>
    <t>Irmgard Bischofberger</t>
  </si>
  <si>
    <t>Associate P</t>
  </si>
  <si>
    <t>irmgard@mit.edu</t>
  </si>
  <si>
    <t>Pattern formation, Fluid dynamics, Soft condensed matter</t>
  </si>
  <si>
    <t>Associate P1</t>
  </si>
  <si>
    <t>Associate P2</t>
  </si>
  <si>
    <t>ENROLLMENT (FULL-TIME)</t>
  </si>
  <si>
    <t>Lydia Bourouiba</t>
  </si>
  <si>
    <t>lbouro@mit.edu</t>
  </si>
  <si>
    <t>Interfacial flows, instabilities, and fluid fragmentationComplex biological fluidsPathogen-fluid interaction and disease transmission in epidemiology</t>
  </si>
  <si>
    <t>Interfacial flows, instabilities, fluid fragmentation ,Complex biological fluidsPathogen-fluid interaction, disease transmission in epidemiology</t>
  </si>
  <si>
    <t>John Brisson</t>
  </si>
  <si>
    <t>brisson@mit.edu</t>
  </si>
  <si>
    <t>Cryogenics, Sub-Kelvin refrigeration, Hydrogen liquefaction</t>
  </si>
  <si>
    <t>AVERAGE QUANTITATIVE GRE</t>
  </si>
  <si>
    <t>Markus Buehler</t>
  </si>
  <si>
    <t>mbuehler@mit.edu</t>
  </si>
  <si>
    <t>Atomistic, molecular and multiscale modelingArtificial intelligence and machine learningBioinspired design, biomaterials and protein materials, additive manufacturing</t>
  </si>
  <si>
    <t>Atomistic, molecular , multiscale modeling,Artificial intelligence , machine learningBioinspired design, biomaterials , protein materials, additive manufacturing</t>
  </si>
  <si>
    <r>
      <rPr>
        <u/>
        <sz val="10"/>
        <color rgb="FF000000"/>
        <rFont val="Arial"/>
        <family val="2"/>
      </rPr>
      <t>Cullen Buie</t>
    </r>
    <r>
      <rPr>
        <sz val="10"/>
        <color rgb="FF000000"/>
        <rFont val="Arial"/>
        <family val="2"/>
      </rPr>
      <t xml:space="preserve">
</t>
    </r>
  </si>
  <si>
    <t>crb@mit.edu</t>
  </si>
  <si>
    <t>Microfluidic tools genetic transformation in synthetic biology, Dynamic interactions between fluids and porous media, Low cost energy storage systems</t>
  </si>
  <si>
    <t>Microfluidic tools genetic transformation in synthetic biology, Dynamic interactions between fluids , porous media, Low cost energy storage systems</t>
  </si>
  <si>
    <t>Tonio Buonassisi</t>
  </si>
  <si>
    <t>buonassi@mit.edu</t>
  </si>
  <si>
    <t>Sustainable Materials, High-Throughput Experimentation, Scientific Machine Learning</t>
  </si>
  <si>
    <r>
      <rPr>
        <u/>
        <sz val="10"/>
        <color rgb="FF000000"/>
        <rFont val="Arial"/>
        <family val="2"/>
      </rPr>
      <t>Jacopo Buongiorno</t>
    </r>
  </si>
  <si>
    <t>jacopo@mit.edu</t>
  </si>
  <si>
    <t>Gang Chen</t>
  </si>
  <si>
    <t>gchen2@mit.edu</t>
  </si>
  <si>
    <t>Heat transfer, Energy conversion, Nanotechnology</t>
  </si>
  <si>
    <r>
      <rPr>
        <u/>
        <sz val="10"/>
        <color rgb="FF000000"/>
        <rFont val="Arial"/>
        <family val="2"/>
      </rPr>
      <t>Wai Cheng</t>
    </r>
  </si>
  <si>
    <t>wkcheng@mit.edu</t>
  </si>
  <si>
    <t>Automotive engines, Energy conversion, Transportation system</t>
  </si>
  <si>
    <r>
      <rPr>
        <u/>
        <sz val="10"/>
        <color rgb="FF000000"/>
        <rFont val="Arial"/>
        <family val="2"/>
      </rPr>
      <t>Chryssostomos Chryssostomidis</t>
    </r>
    <r>
      <rPr>
        <sz val="10"/>
        <color rgb="FF000000"/>
        <rFont val="Arial"/>
        <family val="2"/>
      </rPr>
      <t xml:space="preserve">
</t>
    </r>
  </si>
  <si>
    <t>R</t>
  </si>
  <si>
    <t>CHRYS@MIT.EDU</t>
  </si>
  <si>
    <t>Autonomous Underwater Vehicle Design, Analysis of the Shipboard Power Systems</t>
  </si>
  <si>
    <r>
      <rPr>
        <u/>
        <sz val="10"/>
        <color rgb="FF000000"/>
        <rFont val="Arial"/>
        <family val="2"/>
      </rPr>
      <t>Jung-Hoon Chun</t>
    </r>
  </si>
  <si>
    <t>jchun@mit.edu</t>
  </si>
  <si>
    <t>Cu Chemical-Mechanical PolishingContinuous Manufacturing of Pharmaceutical Dosage FormsEffects of Technology Multiplier on Manufacturing</t>
  </si>
  <si>
    <t>Chemical-Mechanical Polishing,Continuous Manufacturing of Pharmaceutical Dosage Forms,Effects of Technology Multiplier on Manufacturing</t>
  </si>
  <si>
    <r>
      <rPr>
        <u/>
        <sz val="10"/>
        <color rgb="FF000000"/>
        <rFont val="Arial"/>
        <family val="2"/>
      </rPr>
      <t>Tal Cohen</t>
    </r>
  </si>
  <si>
    <t>talco@mit.edu</t>
  </si>
  <si>
    <t>Nonlinear Solid Mechanics, Material Growth, Material Instabilities</t>
  </si>
  <si>
    <t>Martin Culpepper</t>
  </si>
  <si>
    <t>mculpepp@mit.edu</t>
  </si>
  <si>
    <t>Theory, design, and fabrication of next generation precision machines and mechanisms, micro, meso, and macro-scale compliant mechanism-based devices/machines for manufacturing, metrology, manipulation, robotics applications</t>
  </si>
  <si>
    <t>Theory, design,fabrication of next generation precision machines , mechanisms, micro, meso, macro-scale compliant mechanism-based devices/machines for manufacturing, metrology, manipulation, robotics applications</t>
  </si>
  <si>
    <t>Domitilla Del Vecchio</t>
  </si>
  <si>
    <t>ddv@mit.edu</t>
  </si>
  <si>
    <t>Control and Dynamical Systems Theory, Systems and Synthetic Biology</t>
  </si>
  <si>
    <t>Control , Dynamical Systems Theory, Systems,Synthetic Biology</t>
  </si>
  <si>
    <r>
      <rPr>
        <u/>
        <sz val="10"/>
        <color rgb="FF000000"/>
        <rFont val="Arial"/>
        <family val="2"/>
      </rPr>
      <t>Sili Deng</t>
    </r>
    <r>
      <rPr>
        <sz val="10"/>
        <color rgb="FF000000"/>
        <rFont val="Arial"/>
        <family val="2"/>
      </rPr>
      <t xml:space="preserve">
</t>
    </r>
  </si>
  <si>
    <t>silideng@mit.edu</t>
  </si>
  <si>
    <t>Energy conversion and storage, Scientific Machine Learning, Reacting Flows</t>
  </si>
  <si>
    <t>Energy conversion , storage, Scientific Machine Learning, Reacting Flows</t>
  </si>
  <si>
    <t>Elazer Edelman</t>
  </si>
  <si>
    <t>ere@mit.edu</t>
  </si>
  <si>
    <t/>
  </si>
  <si>
    <t>Daniel Frey</t>
  </si>
  <si>
    <t>danfrey@mit.edu</t>
  </si>
  <si>
    <t>Design for Consistent Performance of Systems Despite Variation, Planning of Experiments/ Adaptive Experimentation, Design and Evaluation of Devices for Use in the Developing World</t>
  </si>
  <si>
    <t>Design for Consistent Performance of Systems Despite Variation, Planning of Experiments/ Adaptive Experimentation, Design , Evaluation of Devices for Use in the Developing World</t>
  </si>
  <si>
    <r>
      <rPr>
        <u/>
        <sz val="10"/>
        <color rgb="FF000000"/>
        <rFont val="Arial"/>
        <family val="2"/>
      </rPr>
      <t>Betar Gallant</t>
    </r>
    <r>
      <rPr>
        <sz val="10"/>
        <color rgb="FF000000"/>
        <rFont val="Arial"/>
        <family val="2"/>
      </rPr>
      <t xml:space="preserve">
</t>
    </r>
  </si>
  <si>
    <t>bgallant@mit.edu</t>
  </si>
  <si>
    <t>Li and Ca anodes for beyond Li-ion rechargeable batteries, High-energy primary (non-rechargeable) batteries, Electrochemical CO2 mitigation</t>
  </si>
  <si>
    <t>Ca anodes for beyond Li-ion rechargeable batteries, High-energy primary (non-rechargeable) batteries, Electrochemical CO2 mitigation</t>
  </si>
  <si>
    <t>Ahmed Ghoniem</t>
  </si>
  <si>
    <t>ghoniem@mit.edu</t>
  </si>
  <si>
    <t>Energy Conversion, Computational Methods, Turbulent Reacting Flow and Combustion</t>
  </si>
  <si>
    <t>Energy Conversion, Computational Methods, Turbulent Reacting Flow,Combustion</t>
  </si>
  <si>
    <t>Ashwin Gopinath</t>
  </si>
  <si>
    <t>agopi@mit.edu</t>
  </si>
  <si>
    <t>Molecular self-assembly and atomically precise manufacturingBiotic - abiotic interface and single molecule sensors, Synthetic biology</t>
  </si>
  <si>
    <t>Molecular self-assembly, atomically precise manufacturingBiotic - abiotic interface,single molecule sensors, Synthetic biology</t>
  </si>
  <si>
    <t>Ming Guo</t>
  </si>
  <si>
    <t>guom@mit.edu</t>
  </si>
  <si>
    <t>Cell Mechanics and Mechanobiology, Biophysics, Mechanics of Soft Materials</t>
  </si>
  <si>
    <t>Cell Mechanics , Mechanobiology, Biophysics, Mechanics of Soft Materials</t>
  </si>
  <si>
    <t>Timothy Gutowski</t>
  </si>
  <si>
    <t>gutowski@mit.edu</t>
  </si>
  <si>
    <t>climate change consequences of engineered systems including, manufacturing, transportation and buildings</t>
  </si>
  <si>
    <t>climate change consequences of engineered systems including, manufacturing, transportation, buildings</t>
  </si>
  <si>
    <t>Nicolas Hadjiconstantinou</t>
  </si>
  <si>
    <t>ngh@mit.edu</t>
  </si>
  <si>
    <t>Kinetic transport for small-scale fluid flow and solid-state heat transfer applicationsMolecular and stochastic simulation of nanoscale transport phenomenaMolecular and multiscale simulation method development</t>
  </si>
  <si>
    <t>Kinetic transport for small-scale fluid flow , solid-state, heat transfer applications,Molecular , stochastic simulation of nanoscale transport phenomena,Molecular , multiscale simulation method development</t>
  </si>
  <si>
    <t>David Hardt</t>
  </si>
  <si>
    <t>hardt@mit.edu</t>
  </si>
  <si>
    <t>Manufacturing Process Control, Additive Manufacturing, Smart Manufacturing</t>
  </si>
  <si>
    <r>
      <rPr>
        <sz val="10"/>
        <color rgb="FF000000"/>
        <rFont val="Arial"/>
        <family val="2"/>
      </rPr>
      <t xml:space="preserve">Head - </t>
    </r>
    <r>
      <rPr>
        <u/>
        <sz val="10"/>
        <color rgb="FF000000"/>
        <rFont val="Arial"/>
        <family val="2"/>
      </rPr>
      <t>John Hart</t>
    </r>
  </si>
  <si>
    <t>ajhart@mit.edu</t>
  </si>
  <si>
    <t>Manufacturing, Materials, Mechanical design and automation</t>
  </si>
  <si>
    <t>Manufacturing, Materials, Mechanical design, automation</t>
  </si>
  <si>
    <r>
      <rPr>
        <u/>
        <sz val="10"/>
        <color rgb="FF000000"/>
        <rFont val="Arial"/>
        <family val="2"/>
      </rPr>
      <t>Douglas Hart</t>
    </r>
  </si>
  <si>
    <t>dphart@mit.edu</t>
  </si>
  <si>
    <t>Energy Systems, Instrumentation, Ocean Robotics</t>
  </si>
  <si>
    <t>Asegun Henry</t>
  </si>
  <si>
    <t>ase@mit.edu</t>
  </si>
  <si>
    <t>Heat Transfer, Energy storage and conversion, Phonon transport</t>
  </si>
  <si>
    <t>Heat Transfer, Energy storage , conversion, Phonon transport</t>
  </si>
  <si>
    <t>Neville Hogan</t>
  </si>
  <si>
    <t>neville@mit.edu</t>
  </si>
  <si>
    <t>Controlling physical interaction (between humans, robots and tools), Human biomechanics and dexterous control of movement, Agile dynamic locomotion in humans and robots</t>
  </si>
  <si>
    <t>Controlling physical interaction , Human biomechanics , dexterous control of movement, Agile dynamic locomotion in humans , robots</t>
  </si>
  <si>
    <t>Anette (Peko) Hosoi</t>
  </si>
  <si>
    <t>peko@mit.edu</t>
  </si>
  <si>
    <t>Fluid dynamics, Bio-inspired design, Sports Data and Technology</t>
  </si>
  <si>
    <t>Fluid dynamics, Bio-inspired design, Sports Data , Technology</t>
  </si>
  <si>
    <t>Ian Hunter</t>
  </si>
  <si>
    <t>ihunter@mit.edu</t>
  </si>
  <si>
    <t>Micro-instrumentation, micro-fabrication, micro-robotics, medical devices, Conducting polymers, artificial muscle fibers, Laser imaging systems and instrumentation physics.</t>
  </si>
  <si>
    <t>Micro-instrumentation, micro-fabrication, micro-robotics, medical devices, Conducting polymers, artificial muscle fibers, Laser imaging systems, instrumentation physics,</t>
  </si>
  <si>
    <r>
      <rPr>
        <u/>
        <sz val="10"/>
        <color rgb="FF000000"/>
        <rFont val="Arial"/>
        <family val="2"/>
      </rPr>
      <t>Joseph Jacobson</t>
    </r>
  </si>
  <si>
    <t>JACOBSON@MEDIA.MIT.EDU</t>
  </si>
  <si>
    <t>Roger Kamm</t>
  </si>
  <si>
    <t>rdkamm@mit.edu</t>
  </si>
  <si>
    <t>Microfluidic models for metastatic cancer, neurological disease, cellular systems and living machines</t>
  </si>
  <si>
    <t>Microfluidic models for metastatic cancer, neurological disease, cellular systems , living machines</t>
  </si>
  <si>
    <t>Kenneth Kamrin</t>
  </si>
  <si>
    <t>kkamrin@mit.edu</t>
  </si>
  <si>
    <t>Granular Media, Computational Methods for Fluids and Solids, Analytical and Asymptotic Techniques in Mechanics</t>
  </si>
  <si>
    <t>Granular Media, Computational Methods for Fluids , Solids, Analytical , Asymptotic Techniques in Mechanics</t>
  </si>
  <si>
    <t>Jeehwan Kim</t>
  </si>
  <si>
    <t>jeehwan@mit.edu</t>
  </si>
  <si>
    <t>2D material-based layer transfer, Neuromorphic Computing, Nanoscale thin film flexible electronics/photonics</t>
  </si>
  <si>
    <t>Sang-Gook Kim</t>
  </si>
  <si>
    <t>sangkim@mit.edu</t>
  </si>
  <si>
    <t>Piezoelectric MEMS, Energy harvesting (Micro, Solar, Water Splitting), AI for Design, Axiomatic Design</t>
  </si>
  <si>
    <t>Sangbae Kim</t>
  </si>
  <si>
    <t>sangbae@mit.edu</t>
  </si>
  <si>
    <t>Bio-inspired Robotics, Bipedal Locomotion, Manipulation</t>
  </si>
  <si>
    <t>Mathias Kolle</t>
  </si>
  <si>
    <t>mkolle@mit.edu</t>
  </si>
  <si>
    <t>Biologically inspired tunable optical materials, Scalable manufacture of optical materials, Morphogenesis of biological photonic structures.</t>
  </si>
  <si>
    <t>Biologically inspired tunable optical materials, Scalable manufacture of optical materials, Morphogenesis of biological photonic structures,</t>
  </si>
  <si>
    <t>Robert Langer</t>
  </si>
  <si>
    <t>RLANGER@MIT.EDU</t>
  </si>
  <si>
    <t>polymeric delivery systems with concomitant microstructural analysis and mathematical modeling, long-term delivery systems for insulin, anti-cancer drugs, growth factors, gene therapy agents and vaccines, controlled release systems that can be magnetically, ultrasonically, or enzymatically triggered to increase release rates</t>
  </si>
  <si>
    <t>polymeric delivery systems with concomitant microstructural analysis , mathematical modeling, long-term delivery systems for insulin, anti-cancer drugs, growth factors, gene therapy agents , vaccines, controlled release systems that can be magnetically, ultrasonically,enzymatically triggered to increase release rates</t>
  </si>
  <si>
    <r>
      <rPr>
        <u/>
        <sz val="10"/>
        <color rgb="FF000000"/>
        <rFont val="Arial"/>
        <family val="2"/>
      </rPr>
      <t>John Leonard</t>
    </r>
  </si>
  <si>
    <t>CP</t>
  </si>
  <si>
    <t>jleonard@mit.edu</t>
  </si>
  <si>
    <t>Navigation and mapping for autonomous mobile robots, long-term visual simultaneous localization and mapping in dynamic environments, self-driving autonomous cars</t>
  </si>
  <si>
    <t>CP1</t>
  </si>
  <si>
    <t>CP2</t>
  </si>
  <si>
    <t>NTT</t>
  </si>
  <si>
    <t>Navigation , mapping for autonomous mobile robots, long-term visual simultaneous localization, mapping in dynamic environments, self-driving autonomous cars</t>
  </si>
  <si>
    <r>
      <rPr>
        <u/>
        <sz val="10"/>
        <color rgb="FF000000"/>
        <rFont val="Arial"/>
        <family val="2"/>
      </rPr>
      <t>Seth Lloyd</t>
    </r>
  </si>
  <si>
    <t>slloyd@mit.edu</t>
  </si>
  <si>
    <t>Quantum information, quantum computation, quantum communications, Quantum control and measurement quantum limits to control and sensing, Complex systems characterizing and controlling complex systems</t>
  </si>
  <si>
    <t>Quantum information, quantum computation, quantum communications, Quantum control , measurement quantum limits to control , sensing, Complex systems characterizing , controlling complex systems</t>
  </si>
  <si>
    <r>
      <rPr>
        <u/>
        <sz val="10"/>
        <color rgb="FF000000"/>
        <rFont val="Arial"/>
        <family val="2"/>
      </rPr>
      <t>Nicholas Makris</t>
    </r>
  </si>
  <si>
    <t>makris@mit.edu</t>
  </si>
  <si>
    <t>Physics of Sensing, Imaging and Perception, Acoustics, Statistical Estimation in Sensing, Ocean Exploration, Undersea Remote Sensing of Marine Life and Geophysical Phenomena, Ocean Ecology, GrouPBehavior, Wave Propagation and Scattering Theory in Remote Sensing through Random Media and Waveguides, Polar and Icy Satellite exploration, Musical Instrument Acoustics</t>
  </si>
  <si>
    <t>Physics of Sensing, Imaging , Perception, Acoustics, Statistical Estimation in Sensing, Ocean Exploration, Undersea Remote Sensing of Marine Life , Geophysical Phenomena, Ocean Ecology, GrouPBehavior, Wave Propagation , Scattering Theory in Remote Sensing through R,om Media , Waveguides, Polar , Icy Satellite exploration, Musical Instrument Acoustics</t>
  </si>
  <si>
    <t>Wojciech Matusik</t>
  </si>
  <si>
    <t>wojciech@mit.edu</t>
  </si>
  <si>
    <t>Computational Design and Fabrication</t>
  </si>
  <si>
    <t>Computational Design,Fabrication</t>
  </si>
  <si>
    <r>
      <rPr>
        <u/>
        <sz val="10"/>
        <color rgb="FF000000"/>
        <rFont val="Arial"/>
        <family val="2"/>
      </rPr>
      <t>Gareth McKinley</t>
    </r>
  </si>
  <si>
    <t>gareth@mit.edu</t>
  </si>
  <si>
    <t>Extensional rheology of complex fluids, Non-Newtonian fluid dynamics, Microrheology &amp; microfluidics</t>
  </si>
  <si>
    <r>
      <rPr>
        <u/>
        <sz val="10"/>
        <color rgb="FF000000"/>
        <rFont val="Arial"/>
        <family val="2"/>
      </rPr>
      <t>Stefanie Mueller</t>
    </r>
  </si>
  <si>
    <t>stefanie.mueller@mit.edu</t>
  </si>
  <si>
    <t>Computational fabrication, Interactive systems engineering, Design and prototyping</t>
  </si>
  <si>
    <t>Computational fabrication, Interactive systems engineering, Design , prototyping</t>
  </si>
  <si>
    <r>
      <rPr>
        <u/>
        <sz val="10"/>
        <color rgb="FF000000"/>
        <rFont val="Arial"/>
        <family val="2"/>
      </rPr>
      <t>David Parks</t>
    </r>
  </si>
  <si>
    <t>dmparks@mit.edu</t>
  </si>
  <si>
    <t>Failure analysis, Stress analysis and design assessment, Multiscale micromechanical modeling of nanocomposites</t>
  </si>
  <si>
    <t>Failure analysis, Stress analysis , design assessment, Multiscale micromechanical modeling of nanocomposites</t>
  </si>
  <si>
    <t>Anthony Patera</t>
  </si>
  <si>
    <t>itsme_e@mit.edu</t>
  </si>
  <si>
    <r>
      <rPr>
        <u/>
        <sz val="10"/>
        <color rgb="FF000000"/>
        <rFont val="Arial"/>
        <family val="2"/>
      </rPr>
      <t>Nicholas Patrikalakis</t>
    </r>
  </si>
  <si>
    <t>MARIA@MIT.EDU</t>
  </si>
  <si>
    <t>Thomas Peacock</t>
  </si>
  <si>
    <t>tomp@mit.edu</t>
  </si>
  <si>
    <t>Deep-Sea Mining, Environmental Fluid Dynamics, Physical Oceanography</t>
  </si>
  <si>
    <t>Carlos Portela</t>
  </si>
  <si>
    <t>cportela@mit.edu</t>
  </si>
  <si>
    <t>Architected Materials, Nanomechanics (static and dynamic), Metamaterials</t>
  </si>
  <si>
    <t>Architected Materials, Nanomechanics ,Metamaterials</t>
  </si>
  <si>
    <r>
      <rPr>
        <u/>
        <sz val="10"/>
        <color rgb="FF000000"/>
        <rFont val="Arial"/>
        <family val="2"/>
      </rPr>
      <t>Ritu Raman</t>
    </r>
  </si>
  <si>
    <t>ritur@mit.edu</t>
  </si>
  <si>
    <t>Biofabrication, Neuromuscular Tissue Engineering, Biohybrid Robots</t>
  </si>
  <si>
    <t>Ellen Roche</t>
  </si>
  <si>
    <t>etr@mit.edu</t>
  </si>
  <si>
    <t>Medical Devices, Soft Robotics, Therapy Delivery</t>
  </si>
  <si>
    <r>
      <rPr>
        <u/>
        <sz val="10"/>
        <color rgb="FF000000"/>
        <rFont val="Arial"/>
        <family val="2"/>
      </rPr>
      <t>Alberto Rodriguez</t>
    </r>
  </si>
  <si>
    <t>albertor@mit.edu</t>
  </si>
  <si>
    <t>Autonomous Robotic ManipulationDexterous Manipulation and GraspingEnd-effector Design</t>
  </si>
  <si>
    <t>Autonomous Robotic ManipulationDexterous Manipulation , GraspingEnd-effector Design</t>
  </si>
  <si>
    <r>
      <rPr>
        <u/>
        <sz val="10"/>
        <color rgb="FF000000"/>
        <rFont val="Arial"/>
        <family val="2"/>
      </rPr>
      <t>Themistoklis Sapsis</t>
    </r>
  </si>
  <si>
    <t>sapsis@mit.edu</t>
  </si>
  <si>
    <t>Quantification and prediction of extremes events in complex systemsReduced order modeling of chaotic and turbulent systemsTargeted energy transfers in mechanical systems</t>
  </si>
  <si>
    <t>Quantification , prediction of extremes events in complex systems,Reduced order modeling of chaotic, turbulent systems,Targeted energy transfers in mechanical systems</t>
  </si>
  <si>
    <t>Sanjay Sarma</t>
  </si>
  <si>
    <t>sesarma@mit.edu</t>
  </si>
  <si>
    <t>RFID, Sensors, IOTDesign Automotive, Developing WorldLearning Science, Digital, Universities, Schools</t>
  </si>
  <si>
    <t>Elsewhere</t>
  </si>
  <si>
    <t>RFID, Sensors, IOT,Design Automotive, Developing World,Learning Science, Digital, Universities, Schools</t>
  </si>
  <si>
    <r>
      <rPr>
        <u/>
        <sz val="10"/>
        <color rgb="FF000000"/>
        <rFont val="Arial"/>
        <family val="2"/>
      </rPr>
      <t>Henrik Schmidt</t>
    </r>
  </si>
  <si>
    <t>henrik@mit.edu</t>
  </si>
  <si>
    <t>Arctic and shallow water acousticsSeismic-acoustic propagation and reverberationScattering and reverberation due to sea surface and ice roughness</t>
  </si>
  <si>
    <t>Arctic , shallow water acoustics,Seismic-acoustic propagation , reverberation,Scattering , reverberation due to sea surface,ice roughness</t>
  </si>
  <si>
    <t>Paul Sclavounos</t>
  </si>
  <si>
    <t>pauls@mit.edu</t>
  </si>
  <si>
    <t>Hydrodynamics of ships and offshore platformsStochastic dynamics and controls of marine structuresOffshore wind, wave, tidal and solar energy conversion</t>
  </si>
  <si>
    <t>Hydrodynamics of ships , offshore platforms,Stochastic dynamics , controls of marine structures,Offshore wind, wave, tidal , solar energy conversion</t>
  </si>
  <si>
    <r>
      <rPr>
        <u/>
        <sz val="10"/>
        <color rgb="FF000000"/>
        <rFont val="Arial"/>
        <family val="2"/>
      </rPr>
      <t>Warren Seering</t>
    </r>
  </si>
  <si>
    <t>seering@mit.edu</t>
  </si>
  <si>
    <t>Design, Product Development, Machine Dynamics</t>
  </si>
  <si>
    <t>Yang Shao-Horn</t>
  </si>
  <si>
    <t>shaohorn@mit.edu</t>
  </si>
  <si>
    <t>Electrochemical Energy Storage and Conversion, Catalysis/Electrocatalysis/Photoelectrocatalysis, Nanoscience</t>
  </si>
  <si>
    <t>Electrochemical Energy Storage , Conversion, Catalysis/Electrocatalysis/Photoelectrocatalysis, Nanoscience</t>
  </si>
  <si>
    <r>
      <rPr>
        <u/>
        <sz val="10"/>
        <color rgb="FF000000"/>
        <rFont val="Arial"/>
        <family val="2"/>
      </rPr>
      <t>Alexander Slocum</t>
    </r>
  </si>
  <si>
    <t>slocum@mit.edu</t>
  </si>
  <si>
    <t>Precision machine design, Medical device design, Machines for the energy industry</t>
  </si>
  <si>
    <r>
      <rPr>
        <u/>
        <sz val="10"/>
        <color rgb="FF000000"/>
        <rFont val="Arial"/>
        <family val="2"/>
      </rPr>
      <t>Jean-Jacques Slotine</t>
    </r>
  </si>
  <si>
    <t>jjs@mit.edu</t>
  </si>
  <si>
    <t>Peter So</t>
  </si>
  <si>
    <t>ptso@mit.edu</t>
  </si>
  <si>
    <t>Two-photon deePtissue imaging, two-photon lifetime resolved imaging, two-photon fluorescence correlation spectroscopyStudying neuronal plasticity, investigating mechanotransduction processes, developing image informatics approach to study liver fibrosis and nerve regenerationconstructing endomicroscopes for non-invasive cancer diagnosis</t>
  </si>
  <si>
    <t>Two-photon deep tissue imaging, two-photon lifetime resolved imaging, two-photon fluorescence correlation spectroscopyStudying neuronal plasticity, investigating mechanotransduction processes, developing image informatics approach to study liver fibrosis, nerve regenerationconstructing endomicroscopes for non-invasive cancer diagnosis</t>
  </si>
  <si>
    <t>Vivishek Sudhir</t>
  </si>
  <si>
    <t>vivishek@mit.edu</t>
  </si>
  <si>
    <t>Quantum measurements and control, Precision measurements, Quantum optics</t>
  </si>
  <si>
    <t>Quantum measurements , control, Precision measurements, Quantum optics</t>
  </si>
  <si>
    <t>Loza Tadesse</t>
  </si>
  <si>
    <t>lozat@mit.edu</t>
  </si>
  <si>
    <t>Medical diagnostics, cell type monitoring, and detection,Optics, spectroscopy, plasmonics and nanophotonics,Machine learning, spectral analysis</t>
  </si>
  <si>
    <t>Medical diagnostics, cell type monitoring, detection,Optics, spectroscopy, plasmonics,nanophotonics,Machine learning, spectral analysis</t>
  </si>
  <si>
    <r>
      <rPr>
        <u/>
        <sz val="10"/>
        <color rgb="FF000000"/>
        <rFont val="Arial"/>
        <family val="2"/>
      </rPr>
      <t>Alexandra Techet</t>
    </r>
  </si>
  <si>
    <t>hydrodynamics, 3D imaging</t>
  </si>
  <si>
    <r>
      <rPr>
        <u/>
        <sz val="10"/>
        <color rgb="FF000000"/>
        <rFont val="Arial"/>
        <family val="2"/>
      </rPr>
      <t>Russ Tedrake</t>
    </r>
  </si>
  <si>
    <t>russt@mit.edu</t>
  </si>
  <si>
    <t>Robot Locomotion</t>
  </si>
  <si>
    <r>
      <rPr>
        <u/>
        <sz val="10"/>
        <color rgb="FF000000"/>
        <rFont val="Arial"/>
        <family val="2"/>
      </rPr>
      <t>Giovanni Traverso</t>
    </r>
  </si>
  <si>
    <t>cgt20@mit.edu</t>
  </si>
  <si>
    <t>Biomedical devices, Ingestible and implantable robotics, Drug delivery</t>
  </si>
  <si>
    <t>Biomedical devices, Ingestible , implantable robotics, Drug delivery</t>
  </si>
  <si>
    <r>
      <rPr>
        <u/>
        <sz val="10"/>
        <color rgb="FF000000"/>
        <rFont val="Arial"/>
        <family val="2"/>
      </rPr>
      <t>Michael Triantafyllou</t>
    </r>
  </si>
  <si>
    <t>MISTETRI@MIT.EDU</t>
  </si>
  <si>
    <t>Biomimetic ocean robots and sensors, Flow-structure interaction, Dynamics, control of ocean vehicles</t>
  </si>
  <si>
    <t>Biomimetic ocean robots , sensors, Flow-structure interaction, Dynamics, control of ocean vehicles</t>
  </si>
  <si>
    <r>
      <rPr>
        <u/>
        <sz val="10"/>
        <color rgb="FF000000"/>
        <rFont val="Arial"/>
        <family val="2"/>
      </rPr>
      <t>David Trumper</t>
    </r>
  </si>
  <si>
    <t>trumper@mit.edu</t>
  </si>
  <si>
    <t>Design of precision mechatronic systems, Magnetic levitation for nanometer-scale motion control, Novel actuation, sensing devices</t>
  </si>
  <si>
    <r>
      <rPr>
        <u/>
        <sz val="10"/>
        <color rgb="FF000000"/>
        <rFont val="Arial"/>
        <family val="2"/>
      </rPr>
      <t>Wim van Rees</t>
    </r>
  </si>
  <si>
    <t>wvanrees@mit.edu</t>
  </si>
  <si>
    <t>Numerical methods for fluids and structures, Bio-inspired propulsion, Shape-changing elastic structures</t>
  </si>
  <si>
    <t>Numerical methods for fluids , structures, Bio-inspired propulsion, Shape-changing elastic structures</t>
  </si>
  <si>
    <r>
      <rPr>
        <u/>
        <sz val="10"/>
        <color rgb="FF000000"/>
        <rFont val="Arial"/>
        <family val="2"/>
      </rPr>
      <t>J Kim Vandiver</t>
    </r>
  </si>
  <si>
    <t>kimv@mit.edu</t>
  </si>
  <si>
    <t>Flow-induced vibration of large marine structures, damping in control of vibration</t>
  </si>
  <si>
    <t>Kripa Varanasi</t>
  </si>
  <si>
    <t>kripa@mit.edu</t>
  </si>
  <si>
    <t>Physico-Chemical Phenomena, Thermal-Fluids, Interfaces, Electromagnetism, Electrochemistry,Energy, Water, Agriculture, CO2, H2Biointerfaces, Soft Matter, Biomanufacturing, BioMedical</t>
  </si>
  <si>
    <t>David Wallace</t>
  </si>
  <si>
    <t>drwallac@mit.edu</t>
  </si>
  <si>
    <t>Environmentally conscious design, Computer-aided industrial design, New-media design education</t>
  </si>
  <si>
    <r>
      <rPr>
        <u/>
        <sz val="10"/>
        <color rgb="FF000000"/>
        <rFont val="Arial"/>
        <family val="2"/>
      </rPr>
      <t>Evelyn Wang</t>
    </r>
  </si>
  <si>
    <t>enwang@mit.edu</t>
  </si>
  <si>
    <t>Thermal management, energy conversion, and storage, Nanoengineered surfaces and materials, Water harvesting, purification, and conservation</t>
  </si>
  <si>
    <t>Thermal management, energy conversion, storage, Nanoengineered surfaces , materials, Water harvesting, purification, conservation</t>
  </si>
  <si>
    <r>
      <rPr>
        <u/>
        <sz val="10"/>
        <color rgb="FF000000"/>
        <rFont val="Arial"/>
        <family val="2"/>
      </rPr>
      <t>Sherrie Wang</t>
    </r>
  </si>
  <si>
    <t>sherwang@mit.edu</t>
  </si>
  <si>
    <t>Brian Wardle</t>
  </si>
  <si>
    <t>wardle@mit.edu</t>
  </si>
  <si>
    <r>
      <rPr>
        <u/>
        <sz val="10"/>
        <color rgb="FF000000"/>
        <rFont val="Arial"/>
        <family val="2"/>
      </rPr>
      <t>Tomasz Wierzbicki</t>
    </r>
  </si>
  <si>
    <t>BSMITH@MIT.EDU</t>
  </si>
  <si>
    <t>E</t>
  </si>
  <si>
    <r>
      <rPr>
        <u/>
        <sz val="10"/>
        <color rgb="FF000000"/>
        <rFont val="Arial"/>
        <family val="2"/>
      </rPr>
      <t>James Williams</t>
    </r>
  </si>
  <si>
    <t>jhwill@mit.edu</t>
  </si>
  <si>
    <t>Nondestructive Evaluation of Materials and Structures, Stress Analysis, Vibration, Dynamics, and WavesCivic Commentary</t>
  </si>
  <si>
    <t>Nondestructive Evaluation of Materials , Structures, Stress Analysis, Vibration, Dynamics, WavesCivic Commentary</t>
  </si>
  <si>
    <t>Amos Winter</t>
  </si>
  <si>
    <t>awinter@mit.edu</t>
  </si>
  <si>
    <t>Engineering Global Development, Design for Highly Constrained Environments, Machine and Product Design</t>
  </si>
  <si>
    <t>Engineering Global Development, Design for Highly Constrained Environments, Machine , Product Design</t>
  </si>
  <si>
    <r>
      <rPr>
        <u/>
        <sz val="10"/>
        <color rgb="FF000000"/>
        <rFont val="Arial"/>
        <family val="2"/>
      </rPr>
      <t>Ioannis Yannas</t>
    </r>
  </si>
  <si>
    <t>yannas@mit.edu</t>
  </si>
  <si>
    <t>organ regeneration, Regeneration of skin, peripheral nerves, spinal cord and conjunctiva, Molécular biological mechanism of induced regeneration</t>
  </si>
  <si>
    <t>organ regeneration, Regeneration of skin, peripheral nerves, spinal cord , conjunctiva, Molécular biological mechanism of induced regeneration</t>
  </si>
  <si>
    <r>
      <rPr>
        <u/>
        <sz val="10"/>
        <color rgb="FF000000"/>
        <rFont val="Arial"/>
        <family val="2"/>
      </rPr>
      <t>Kamal Youcef-Toumi</t>
    </r>
  </si>
  <si>
    <t>youcef@mit.edu</t>
  </si>
  <si>
    <t>Dynamic Systems and Controls, Robotics and Manufacturing Automation, Mechatronic Design of Precision Machines</t>
  </si>
  <si>
    <t>Dynamic Systems , Controls, Robotics , Manufacturing Automation, Mechatronic Design of Precision Machines</t>
  </si>
  <si>
    <r>
      <rPr>
        <u/>
        <sz val="10"/>
        <color rgb="FF000000"/>
        <rFont val="Arial"/>
        <family val="2"/>
      </rPr>
      <t>Dick Yue</t>
    </r>
  </si>
  <si>
    <t>yue@mit.edu</t>
  </si>
  <si>
    <t>Wave hydrodynamics, Fluid mechanics of turbulent and two-phase flows, Dynamics of ships, underwater vehicles and offshore structures</t>
  </si>
  <si>
    <t>Wave hydrodynamics, Fluid mechanics of turbulent , two-phase flows, Dynamics of ships, underwater vehicles , offshore structures</t>
  </si>
  <si>
    <r>
      <rPr>
        <u/>
        <sz val="10"/>
        <color rgb="FF000000"/>
        <rFont val="Arial"/>
        <family val="2"/>
      </rPr>
      <t>Xuanhe Zhao</t>
    </r>
  </si>
  <si>
    <t>zhaox@mit.edu</t>
  </si>
  <si>
    <t>Soft materials and systems, Solid mechanics, Health and sustainability</t>
  </si>
  <si>
    <t>Soft materials , systems, Solid mechanics, Health , sustainability</t>
  </si>
  <si>
    <r>
      <rPr>
        <u/>
        <sz val="10"/>
        <color rgb="FF000000"/>
        <rFont val="Arial"/>
        <family val="2"/>
      </rPr>
      <t>Lorna Gibson</t>
    </r>
  </si>
  <si>
    <t>ljgibson@mit.edu</t>
  </si>
  <si>
    <t>Leon Glicksman</t>
  </si>
  <si>
    <t>glicks@mit.edu</t>
  </si>
  <si>
    <t>Energy efficiency in buildingsNatural ventilationDeveloping countries</t>
  </si>
  <si>
    <r>
      <rPr>
        <u/>
        <sz val="10"/>
        <color rgb="FF000000"/>
        <rFont val="Arial"/>
        <family val="2"/>
      </rPr>
      <t>Stephen Graves</t>
    </r>
  </si>
  <si>
    <t>sgraves@mit.edu</t>
  </si>
  <si>
    <t>roduction and Operations Management</t>
  </si>
  <si>
    <t>roduction , Operations Management</t>
  </si>
  <si>
    <r>
      <rPr>
        <u/>
        <sz val="10"/>
        <color rgb="FF000000"/>
        <rFont val="Arial"/>
        <family val="2"/>
      </rPr>
      <t>Linda Griffith</t>
    </r>
  </si>
  <si>
    <t>GRIFF@MIT.EDU</t>
  </si>
  <si>
    <t>Alan Grodzinsky</t>
  </si>
  <si>
    <t>alg@mit.edu</t>
  </si>
  <si>
    <t>John Heywood</t>
  </si>
  <si>
    <t>jheywood@mit.edu</t>
  </si>
  <si>
    <t>Engine and fuel interactionsImproving engine efficiencyOptions for reducing transportation's greenhouse gas emissions</t>
  </si>
  <si>
    <t>Engine , fuel interactionsImproving engine efficiencyOptions for reducing transportation's greenhouse gas emissions</t>
  </si>
  <si>
    <r>
      <rPr>
        <u/>
        <sz val="10"/>
        <color rgb="FF000000"/>
        <rFont val="Arial"/>
        <family val="2"/>
      </rPr>
      <t>Steven Leeb</t>
    </r>
  </si>
  <si>
    <t>SBLEEB@MIT.EDU</t>
  </si>
  <si>
    <t>Power Electronics and Power Systems, Controls for Energy Conversion Systems, Motor Drives</t>
  </si>
  <si>
    <t>Power Electronics , Power Systems, Controls for Energy Conversion Systems, Motor Drives</t>
  </si>
  <si>
    <r>
      <rPr>
        <u/>
        <sz val="10"/>
        <color rgb="FF000000"/>
        <rFont val="Arial"/>
        <family val="2"/>
      </rPr>
      <t>ScoTTManalis</t>
    </r>
    <r>
      <rPr>
        <sz val="10"/>
        <color rgb="FF000000"/>
        <rFont val="Arial"/>
        <family val="2"/>
      </rPr>
      <t xml:space="preserve">
</t>
    </r>
  </si>
  <si>
    <t>srm@mit.edu</t>
  </si>
  <si>
    <t>Single cell analysis, Microfluidics, Micro- and nanomechanical resonators</t>
  </si>
  <si>
    <t>Single cell analysis, Microfluidics, Micro- , nanomechanical resonators</t>
  </si>
  <si>
    <r>
      <rPr>
        <u/>
        <sz val="10"/>
        <color rgb="FF000000"/>
        <rFont val="Arial"/>
        <family val="2"/>
      </rPr>
      <t>Emanuel Sachs</t>
    </r>
  </si>
  <si>
    <t>SACHS@MIT.EDU</t>
  </si>
  <si>
    <t>Banzaert, Steve</t>
  </si>
  <si>
    <t>Lecturer</t>
  </si>
  <si>
    <t>sgtist@mit.edu</t>
  </si>
  <si>
    <t>Lecturer1</t>
  </si>
  <si>
    <t>Lecturer2</t>
  </si>
  <si>
    <t>Braunstein, Daniel</t>
  </si>
  <si>
    <t>dbrauns@mit.edu</t>
  </si>
  <si>
    <t>Cedrone, Kevin</t>
  </si>
  <si>
    <t>kcedrone@mit.edu</t>
  </si>
  <si>
    <t>Chase, Christina</t>
  </si>
  <si>
    <t>cchase@mit.edu</t>
  </si>
  <si>
    <t>Chin, Harrison H.</t>
  </si>
  <si>
    <t>hchin@mit.edu</t>
  </si>
  <si>
    <t>Comeau, Benita M.</t>
  </si>
  <si>
    <t>bcomeau@mit.edu</t>
  </si>
  <si>
    <t>Fantone, Stephen</t>
  </si>
  <si>
    <t>sdfantone@optikos.com</t>
  </si>
  <si>
    <t>Gilbert, Daniel</t>
  </si>
  <si>
    <t>dpgilber@mit.edu</t>
  </si>
  <si>
    <t>Grama, Sorin</t>
  </si>
  <si>
    <t>grama@mit.edu</t>
  </si>
  <si>
    <t>Hayward, Pierce</t>
  </si>
  <si>
    <t>phayward@mit.edu</t>
  </si>
  <si>
    <t>Hover, Franz S</t>
  </si>
  <si>
    <t>hover@mit.edu</t>
  </si>
  <si>
    <t>Hughey, Barbara</t>
  </si>
  <si>
    <t>bhughey@mit.edu</t>
  </si>
  <si>
    <t>Hung, Victor</t>
  </si>
  <si>
    <t>vhung@mit.edu</t>
  </si>
  <si>
    <t>Ihns, Sam</t>
  </si>
  <si>
    <t>samihns@mit.edu</t>
  </si>
  <si>
    <t>Jester, Michellana</t>
  </si>
  <si>
    <t>mjester@mit.edu</t>
  </si>
  <si>
    <t>Keshavarz, Bavand</t>
  </si>
  <si>
    <t>bavand@mit.edu</t>
  </si>
  <si>
    <t>Lawson, J. Chappell</t>
  </si>
  <si>
    <t>clawson@mit.edu</t>
  </si>
  <si>
    <t>McCord, Raymond S</t>
  </si>
  <si>
    <t>rsmccord@mit.edu</t>
  </si>
  <si>
    <t>Nielsen, Peter</t>
  </si>
  <si>
    <t>pnielsen@mit.edu</t>
  </si>
  <si>
    <t>Left</t>
  </si>
  <si>
    <t>Penn, James Douglass</t>
  </si>
  <si>
    <t>pennjam@mit.edu</t>
  </si>
  <si>
    <t>Phipps, Nathan</t>
  </si>
  <si>
    <t>nate@bingodesigns.us</t>
  </si>
  <si>
    <t>Plummer, William</t>
  </si>
  <si>
    <t>wplummer@mit.edu</t>
  </si>
  <si>
    <t>Podoloff, Rob</t>
  </si>
  <si>
    <t>podoloff@mit.edu</t>
  </si>
  <si>
    <t>Quintus-Bosz, Harald</t>
  </si>
  <si>
    <t>haraldqb@mit.edu</t>
  </si>
  <si>
    <t>Ramos, Josh</t>
  </si>
  <si>
    <t>ramos01@mit.edu</t>
  </si>
  <si>
    <t>Smith, Amy</t>
  </si>
  <si>
    <t>abs@mit.edu</t>
  </si>
  <si>
    <t>Socrate, Simona</t>
  </si>
  <si>
    <t>ssocrate@mit.edu</t>
  </si>
  <si>
    <t>Sonin, Juhan</t>
  </si>
  <si>
    <t>juhan@mit.edu</t>
  </si>
  <si>
    <t>Spector, Myron</t>
  </si>
  <si>
    <t>mspector@mit.edu</t>
  </si>
  <si>
    <t>Wardlaw, Mike</t>
  </si>
  <si>
    <t>wardlaw@mit.edu</t>
  </si>
  <si>
    <t>Warman, Wade Collins</t>
  </si>
  <si>
    <t>wwarman@mit.edu</t>
  </si>
  <si>
    <t>Weiss, Abbott</t>
  </si>
  <si>
    <t>adw@mit.edu</t>
  </si>
  <si>
    <t>Zolot, Kenneth</t>
  </si>
  <si>
    <t>zolot@mit.edu</t>
  </si>
  <si>
    <t>Stanford University</t>
  </si>
  <si>
    <t>Wei Cai</t>
  </si>
  <si>
    <t>caiwei@stanford.edu</t>
  </si>
  <si>
    <t>Strength of materials through theory and simulations of defect microstructures across atomic, mesoscopic, and continuum scales; atomistic simulation methods for long time-scale processes, such as crystal growth and self-assembly; metallurgical processes in metal 3D printing; understanding microstructure-property relationships; pin materials for stretchable electronics, such as carbon nanotube networks and semiconducting elastomers.</t>
  </si>
  <si>
    <t>Strength of materials through theory , simulations of defect microstructures across atomic, mesoscopic, continuum scales; atomistic simulation methods for long time-scale processes, such as crystal growth , self-assembly; metallurgical processes in metal 3D printing; underst,ing microstructure-property relationships; pin materials for stretchable electronics</t>
  </si>
  <si>
    <t>Adam Boeis</t>
  </si>
  <si>
    <t>aboies@stanford.edu</t>
  </si>
  <si>
    <t>focuses on developing energy and environmental technologies through aerosol and nano-scale approaches that can either synthesize or measure aerosols, nanoparticles, or pollution</t>
  </si>
  <si>
    <t>Stanford ENGINEERING | Mechanical Engineering</t>
  </si>
  <si>
    <t>Mark A. Cappelli</t>
  </si>
  <si>
    <t>cap@stanford.edu</t>
  </si>
  <si>
    <t>applied plasma physics, space propulsion, aerodynamics, medicine, materials synthesis, and fusion.</t>
  </si>
  <si>
    <t>applied plasma physics, space propulsion, aerodynamics, medicine, materials synthesis, fusion,</t>
  </si>
  <si>
    <t>Ovijit Chaudhuri</t>
  </si>
  <si>
    <t>chaudhuri@stanford.edu</t>
  </si>
  <si>
    <t xml:space="preserve">atomic force microscopy, 3D cell </t>
  </si>
  <si>
    <t>#2 - Mechanical Engineering</t>
  </si>
  <si>
    <t>Steven Hartley Collins</t>
  </si>
  <si>
    <t>stevecollins@stanford.edu</t>
  </si>
  <si>
    <t>prostheses and exoskeletons using versatile device emulator hardware and human-in-the-loo, Poptimization algorithms. efficient autonomous devices, energy-efficient walking robots, exoskeletons</t>
  </si>
  <si>
    <t>prostheses , exoskeletons using versatile device emulator hardware , human-in-the-loo, Poptimization algorithms, efficient autonomous devices, energy-efficient walking robots, exoskeletons</t>
  </si>
  <si>
    <t>#2 - Best Engineering Schools</t>
  </si>
  <si>
    <t>Mark Cutkosky</t>
  </si>
  <si>
    <t>cutkosky@stanford.edu</t>
  </si>
  <si>
    <t>analyses, simulations, experiments, design, control, robotic hands, tactile sensors, devices, human/computer interaction, manufacturing, rapid prototyping.</t>
  </si>
  <si>
    <t>analyses, simulations, experiments, design, control, robotic h,s, tactile sensors, devices, human/computer interaction, manufacturing, rapid prototyping,</t>
  </si>
  <si>
    <t>Eric Darve</t>
  </si>
  <si>
    <t>darve@stanford.edu</t>
  </si>
  <si>
    <t>machine learning for engineering, surrogate modeling, reduced order modeling, stochastic inversing, anomaly detection, numerical linear algebra, high-performance computing, parallel computing, GPGPU.</t>
  </si>
  <si>
    <t>machine learning for engineering, surrogate modeling, reduced order modeling, stochastic inversing, anomaly detection, numerical linear algebra, high-performance computing, parallel computing, GPGPU,</t>
  </si>
  <si>
    <t>ScoTTL. Delp, Ph.D.</t>
  </si>
  <si>
    <t>delp@stanford.edu</t>
  </si>
  <si>
    <t>movement science, human health, software tools, OpenSim, international collaboration, simulations of human movement, biomechanics, sports science, robotics, rehabilitation, health technology,</t>
  </si>
  <si>
    <t>movement science, human health, software tools, OpenSim, international collaboration, simulations of human movement, biomechanics, sports science, robotics, rehabilitation, health technology</t>
  </si>
  <si>
    <t>Matthew R. Edwards</t>
  </si>
  <si>
    <t>mredwards@stanford.edu</t>
  </si>
  <si>
    <t>high-power lasers, optical diagnostics, fluids, plasmas, intense light-matter interactions, compact light sources, particle sources, adaptive high-repetition-rate experiments, large-scale simulations, fluid mechanics, thermodynamics, materials science, plasma physics.</t>
  </si>
  <si>
    <t>high-power lasers, optical diagnostics, fluids, plasmas, intense light-matter interactions, compact light sources, particle sources, adaptive high-repetition-rate experiments, large-scale simulations, fluid mechanics, thermodynamics, materials science, plasma physics</t>
  </si>
  <si>
    <t>Charbel Farhat</t>
  </si>
  <si>
    <t>cfarhat@stanford.edu</t>
  </si>
  <si>
    <t>Vivian Feig</t>
  </si>
  <si>
    <t xml:space="preserve">Assistant P </t>
  </si>
  <si>
    <t>vfeig@stanford.edu</t>
  </si>
  <si>
    <t>The Feig lab aims to develop low-cost, noninvasive, and widely-accessible medical technologies that integrate seamlessly with the human body. We accomplish this by developing functional materials and devices with dynamic mechanical properties, leveraging chemistry and physics insights to engineer novel systems at multiple length scales.</t>
  </si>
  <si>
    <t>Sean Follmer</t>
  </si>
  <si>
    <t>sfollmer@stanford.edu</t>
  </si>
  <si>
    <t>Human Computer Interaction, Human Machine Interaction, Shape Changing, Tangible User Interfaces, Haptic Interaction, Accessible User Interfaces, Blind and Visually Impaired, Shape Changing Robotics, Design Tools, Debugging Tools, Physical Computing, Robotic Systems.</t>
  </si>
  <si>
    <t>Human Computer Interaction, Human Machine Interaction, Shape Changing, Tangible User Interfaces, Haptic Interaction, Accessible User Interfaces, Blind , Visually Impaired, Shape Changing Robotics, Design Tools, Debugging Tools, Physical Computing, Robotic Systems</t>
  </si>
  <si>
    <t>Kenneth Goodson</t>
  </si>
  <si>
    <t>goodson@stanford.edu</t>
  </si>
  <si>
    <t>heat transfer, energy conversion, thermal science, mentoring, Ph.D. graduates, SRC Aristotle Award, alumni, MIT, Princeton, UC Berkeley, Stanford, leadership, ARPA-E, Intel, Sandia Labs, Tesla, patents, National Academy of Inventors, co-founded Cooligy, heat sinks, Apple, Emerson.</t>
  </si>
  <si>
    <t>heat transfer, energy conversion, thermal science, mentoring, Ph,D, graduates, SRC Aristotle Award, alumni, MIT, Princeton, UC Berkeley, Stanford, leadership, ARPA-E, Intel, S,ia Labs, Tesla, patents, National Academy of Inventors, co-founded Cooligy, heat sinks, Apple, Emerson</t>
  </si>
  <si>
    <t>Wendy Gu</t>
  </si>
  <si>
    <t>xwgu@stanford.edu</t>
  </si>
  <si>
    <t>mechanical behavior, nanomaterials, solid mechanics, materials science, nano-chemistry, nanoscale metals, ceramics, nano-architected composites, structural materials, extreme environments, mechanically-actuated sensors, nanoindentation, electron microscopy, colloidal synthesis.</t>
  </si>
  <si>
    <t>mechanical behavior, nanomaterials, solid mechanics, materials science, nano-chemistry, nanoscale metals, ceramics, nano-architected composites, structural materials, extreme environments, mechanically-actuated sensors, nanoindentation, electron microscopy, colloidal synthesis,</t>
  </si>
  <si>
    <t>$66,297 per year (full-time)</t>
  </si>
  <si>
    <t>Ronald Hanson</t>
  </si>
  <si>
    <t>rkhanson@stanford.edu</t>
  </si>
  <si>
    <t>During his career at Stanford, PHanson has successfully managed over 100 research contracts and grants, with a total value well over $50 million. He and his students have authored over 1300 publications.</t>
  </si>
  <si>
    <t>During his career at Stanford, PHanson has successfully managed over 100 research contracts , grants, with a total value well over $50 million, He , his students have authored over 1300 publications,</t>
  </si>
  <si>
    <t>Gianluca Iaccarino</t>
  </si>
  <si>
    <t>jops@stanford.edu</t>
  </si>
  <si>
    <t>computing, data, energy, biomedicine, aerodynamics, propulsion, design.</t>
  </si>
  <si>
    <t>computing, data, energy, biomedicine, aerodynamics, propulsion, design,</t>
  </si>
  <si>
    <t>Matthias Ihme</t>
  </si>
  <si>
    <t>mihme@stanford.edu</t>
  </si>
  <si>
    <t>Large-eddy simulation, turbulent reacting flows, non-premixed flame, aeroacoustics, combustion-generated noise, turbulence, fluid dynamics, numerical methods, high-order schemes.</t>
  </si>
  <si>
    <t>Large-eddy simulation, turbulent reacting flows, non-premixed flame, aeroacoustics, combustion-generated noise, turbulence, fluid dynamics, numerical methods, high-order schemes,</t>
  </si>
  <si>
    <t>David Kelley</t>
  </si>
  <si>
    <t>david.kelley@stanford.edu</t>
  </si>
  <si>
    <t>Design Thinking, empathy, user needs, solutions, iterative prototyping</t>
  </si>
  <si>
    <t>Monroe Kennedy III</t>
  </si>
  <si>
    <t>monroek@stanford.edu</t>
  </si>
  <si>
    <t xml:space="preserve">collaborative robotics, theoretical approaches, experimental approaches, robotic autonomy, robotic effectiveness, decentralized tasks, human-robot collaboration, machine learning, computer vision, collaborative robot teammate intent estimation, dynamical systems analysis, control theory (classical, non-linear, and robust control), state estimation, prediction, motion planning.
</t>
  </si>
  <si>
    <t xml:space="preserve">collaborative robotics, theoretical approaches, experimental approaches, robotic autonomy, robotic effectiveness, decentralized tasks, human-robot collaboration, machine learning, computer vision, collaborative robot teammate intent estimation, dynamical systems analysis, control theory (classical, non-linear, robust control), state estimation, prediction, motion planning,
</t>
  </si>
  <si>
    <t>Thomas Kenny</t>
  </si>
  <si>
    <t>kenny@cdr.stanford.edu</t>
  </si>
  <si>
    <t>micromechanical structures,integrated packaging, inertial navigation, fundamental force measurements, experiments on bio-molecules, device cooling, bio-analytical instruments, and small robots.</t>
  </si>
  <si>
    <t>micromechanical structures,integrated packaging, inertial navigation, fundamental force measurements, experiments on bio-molecules, device cooling, bio-analytical instruments, small robots,</t>
  </si>
  <si>
    <r>
      <rPr>
        <sz val="10"/>
        <color rgb="FF000000"/>
        <rFont val="Arial"/>
        <family val="2"/>
      </rPr>
      <t xml:space="preserve">Chair - </t>
    </r>
    <r>
      <rPr>
        <u/>
        <sz val="10"/>
        <color rgb="FF000000"/>
        <rFont val="Arial"/>
        <family val="2"/>
      </rPr>
      <t>Ellen Kuhl</t>
    </r>
  </si>
  <si>
    <t>ekuhl@stanford.edu</t>
  </si>
  <si>
    <t>Living Matter Physics, Computational modeling of biological systems, Computational Epidemiology, Biomechanics, Cardiovascular science, Data-driven modeling, Mechanics and physics applied to biological systems.</t>
  </si>
  <si>
    <t>Living Matter Physics, Computational modeling of biological systems, Computational Epidemiology, Biomechanics, Cardiovascular science, Data-driven modeling, Mechanics , physics applied to biological systems,</t>
  </si>
  <si>
    <t>Natalie Larson</t>
  </si>
  <si>
    <t>nmlarson@stanford.edu</t>
  </si>
  <si>
    <t>The Larson Lab develops hybrid manufacturing methods (e.g., multimaterial 3D printing with subvoxel control) and applies in-situ characterization techniques (e.g., 4D X-ray computed tomography) to investigate new classes of hierarchical architected materials.</t>
  </si>
  <si>
    <t>Sanjiva Lele</t>
  </si>
  <si>
    <t>lele@stanford.edu</t>
  </si>
  <si>
    <t>Numerical simulations, Modeling, Unsteady flow phenomena, Turbulence, Flow instabilities, Flow-generated sound, Shock-turbulent boundary layer interactions, Supersonic jet noise, Wind turbine aeroacoustics, Wind farm modeling, Aircraft contrails, Multi-material mixing, Multi-phase flows involving cavitation, High-fidelity computational methods for engineering applications.</t>
  </si>
  <si>
    <t>Numerical simulations, Modeling, Unsteady flow phenomena, Turbulence, Flow instabilities, Flow-generated sound, Shock-turbulent boundary layer interactions, Supersonic jet noise, Wind turbine aeroacoustics, Wind farm modeling, Aircraft contrails, Multi-material mixing, Multi-phase flows involving cavitation, High-fidelity computational methods for engineering applications,</t>
  </si>
  <si>
    <t>Marc Levenston</t>
  </si>
  <si>
    <t>Levenston@stanford.edu</t>
  </si>
  <si>
    <t>Function, degeneration and repair of articular cartilage and fibrocartilage, Understanding complex interactions between biophysical and biochemical cues in controlling cell behavior, Mechanisms and functional implications of cell mediated tissue degeneration in cartilage and meniscus, Novel imaging techniques for nondestructive assessment of cartilage composition, Interactions between mechanical, chemical and matrix-supplied cues in controlling the development of engineered tissues.</t>
  </si>
  <si>
    <t>Function, degeneration , repair of articular cartilage , fibrocartilage, Underst,ing complex interactions between biophysical , biochemical cues in controlling cell behavior, Mechanisms , functional implications of cell mediated tissue degeneration in cartilage , meniscus, Novel imaging techniques for nondestructive assessment of cartilage composition, Interactions between mechanical, chemical , matrix-supplied cues in controlling the development of engineered tissues,</t>
  </si>
  <si>
    <t>Adrian Lew</t>
  </si>
  <si>
    <t>lewa@stanford.edu</t>
  </si>
  <si>
    <t>Computational solid mechanics, Fundamental design and mathematical analysis of material models and numerical algorithms, Algorithms for simulating hydraulic fracturing, Time-integration embedded or immersed boundary methods.</t>
  </si>
  <si>
    <t>Computational solid mechanics, Fundamental design , mathematical analysis of material models , numerical algorithms, Algorithms for simulating hydraulic fracturing, Time-integration embedded or immersed boundary methods,</t>
  </si>
  <si>
    <t>Dr. Arun Majumdar</t>
  </si>
  <si>
    <t>amajumdar@stanford.edu</t>
  </si>
  <si>
    <t xml:space="preserve"> science and engineering of nanoscale materials and devices for energy conversion, transport and storage, biomolecular analysis, redox reactions and systems for sustainable energy future, and multidimensional nanoscale imaging and microscopy. He is also interested in leveraging modern AI techniques for energy and climate solutions. </t>
  </si>
  <si>
    <t xml:space="preserve"> science , engineering of nanoscale materials , devices for energy conversion, transport , storage, biomolecular analysis, redox reactions , systems for sustainable energy future, multidimensional nanoscale imaging , microscopy, He is also interested in leveraging modern AI techniques for energy , climate solutions, </t>
  </si>
  <si>
    <t>Ali Mani</t>
  </si>
  <si>
    <t>alimani@stanford.edu</t>
  </si>
  <si>
    <t>large-scale high-fidelity numerical simulations, applied mathematics, quantitative understanding, transport processes, strong coupling, fluid flow, turbulence, chaos.</t>
  </si>
  <si>
    <t>large-scale high-fidelity numerical simulations, applied mathematics, quantitative underst,ing, transport processes, strong coupling, fluid flow, turbulence, chaos,</t>
  </si>
  <si>
    <t>Michaëlle Ntala Mayalu</t>
  </si>
  <si>
    <t>mmayalu@stanford.edu</t>
  </si>
  <si>
    <t xml:space="preserve">control theoretic tools, understanding, controlling, predicting, biological function, molecular level, cellular level, organismal level, therapeutic intervention optimization.
</t>
  </si>
  <si>
    <t xml:space="preserve">control theoretic tools, underst,ing, controlling, predicting, biological function, molecular level, cellular level, organismal level, therapeutic intervention optimization,
</t>
  </si>
  <si>
    <t>Beverley J McKeon</t>
  </si>
  <si>
    <t>bjmckeon@stanford.edu</t>
  </si>
  <si>
    <t>manipulation of boundary layer flows, morphing surfaces, fundamental experimental investigations, wall turbulence, high Reynolds number, resolvent analysis, modeling turbulent flows, assimilation of experimental data, low-order flow modeling.</t>
  </si>
  <si>
    <t>manipulation of boundary layer flows, morphing surfaces, fundamental experimental investigations, wall turbulence, high Reynolds number, resolvent analysis, modeling turbulent flows, assimilation of experimental data, low-order flow modeling,</t>
  </si>
  <si>
    <t>Parviz Moin</t>
  </si>
  <si>
    <t>MOIN@STANFORD.EDU</t>
  </si>
  <si>
    <t>Drew Nelson</t>
  </si>
  <si>
    <t>dnelson@stanford.edu</t>
  </si>
  <si>
    <t>fatigue life prediction, engineering materials, manufacturing processes, experimental mechanics, residual stresses, optical methods.</t>
  </si>
  <si>
    <t>fatigue life prediction, engineering materials, manufacturing processes, experimental mechanics, residual stresses, optical methods,</t>
  </si>
  <si>
    <t>Allison Okamura</t>
  </si>
  <si>
    <t>aokamura@stanford.edu</t>
  </si>
  <si>
    <t>Robotics and Automation</t>
  </si>
  <si>
    <t>Robotics , Automation</t>
  </si>
  <si>
    <t>Friedrich Prinz</t>
  </si>
  <si>
    <t>prinz-nanolab@stanford.edu</t>
  </si>
  <si>
    <t>nano-fabrication technologies, prototype fuel cells, capacitors, topological electronic states, atomic layer deposition, scanning tunneling microscopy, impedance spectroscopy, atomic-scale modeling, charge separation, recombination processes.</t>
  </si>
  <si>
    <t>nano-fabrication technologies, prototype fuel cells, capacitors, topological electronic states, atomic layer deposition, scanning tunneling microscopy, impedance spectroscopy, atomic-scale modeling, charge separation, recombination processes,</t>
  </si>
  <si>
    <t>Bernard Roth</t>
  </si>
  <si>
    <t>broth@stanford.edu</t>
  </si>
  <si>
    <t xml:space="preserve">kinematics, dynamics, control, design, computer-controlled mechanical devices.
</t>
  </si>
  <si>
    <t xml:space="preserve">kinematics, dynamics, control, design, computer-controlled mechanical devices,
</t>
  </si>
  <si>
    <t>Juan G. Santiago</t>
  </si>
  <si>
    <t>juan.santiago@stanford.edu</t>
  </si>
  <si>
    <t>microsystems, on-chip, chemical analysis, biochemical analysis, DNA quantification, DNA hybridization, electric-field-based deionization methods.</t>
  </si>
  <si>
    <t>microsystems, on-chip, chemical analysis, biochemical analysis, DNA quantification, DNA hybridization, electric-field-based deionization methods,</t>
  </si>
  <si>
    <t>Eric S.G. Shaqfeh</t>
  </si>
  <si>
    <t>esgs@stanford.edu</t>
  </si>
  <si>
    <t>non-Newtonian fluid mechanics, elastic instabilities, turbulent drag reduction, nonequilibrium polymer statistical dynamics, single molecule studies of DNA, suspension mechanics, fiber suspensions, particles, vesicles, microfluidics.</t>
  </si>
  <si>
    <t>non-Newtonian fluid mechanics, elastic instabilities, turbulent drag reduction, nonequilibrium polymer statistical dynamics, single molecule studies of DNA, suspension mechanics, fiber suspensions, particles, vesicles, microfluidics,</t>
  </si>
  <si>
    <t>Sindy Tang</t>
  </si>
  <si>
    <t>sindy@stanford.edu</t>
  </si>
  <si>
    <t xml:space="preserve">micro-nano-bio lab, innovative micro and nanoscale devices, precise manipulation, measurement, recapitulation, biological systems, rules of life, precision medicine, material design, health, environmental sustainability.
</t>
  </si>
  <si>
    <t xml:space="preserve">micro-nano-bio lab, innovative micro , nanoscale devices, precise manipulation, measurement, recapitulation, biological systems, rules of life, precision medicine, material design, health, environmental sustainability,
</t>
  </si>
  <si>
    <t>Hai Wang</t>
  </si>
  <si>
    <t>haiwang@stanford.edu</t>
  </si>
  <si>
    <t>high-speed propulsion, combustion, renewable energy conversion, combustion chemistry, conventional fuels, renewable fuels, detonation, quantum-chemistry guided battery materials design, transport theories.</t>
  </si>
  <si>
    <t>high-speed propulsion, combustion, renewable energy conversion, combustion chemistry, conventional fuels, renewable fuels, detonation, quantum-chemistry guided battery materials design, transport theories,</t>
  </si>
  <si>
    <t>Renee Zhao</t>
  </si>
  <si>
    <t>rrzhao@stanford.edu</t>
  </si>
  <si>
    <t xml:space="preserve">stimuli-responsive soft composites, multifunctional robotic systems, shape-changing, assembling, sensing, navigation, mechanics, polymer engineering, advanced material manufacturing techniques, soft robotics, miniaturized biomedical devices, flexible electronics, deployable structures, morphing structures.
</t>
  </si>
  <si>
    <t xml:space="preserve">stimuli-responsive soft composites, multifunctional robotic systems, shape-changing, assembling, sensing, navigation, mechanics, polymer engineering, advanced material manufacturing techniques, soft robotics, miniaturized biomedical devices, flexible electronics, deployable structures, morphing structures,
</t>
  </si>
  <si>
    <t>Xiaolin Zheng</t>
  </si>
  <si>
    <t>xlzheng@stanford.edu</t>
  </si>
  <si>
    <t>design, synthesis, testing, novel materials, energy, propulsion applications.</t>
  </si>
  <si>
    <t>design, synthesis, testing, novel materials, energy, propulsion applications,</t>
  </si>
  <si>
    <t>Anna Boslough</t>
  </si>
  <si>
    <t>boslough@stanford.edu</t>
  </si>
  <si>
    <t>Kathleen Davies</t>
  </si>
  <si>
    <t>kathyhdavies@stanford.edu</t>
  </si>
  <si>
    <t>Vadim Khayms</t>
  </si>
  <si>
    <t>vadim@stanford.edu</t>
  </si>
  <si>
    <t>Marlo Kohn</t>
  </si>
  <si>
    <t>marlod@stanford.edu</t>
  </si>
  <si>
    <t>Dustin Liu</t>
  </si>
  <si>
    <t>dustinliu@stanford.edu</t>
  </si>
  <si>
    <t>Craig Milroy</t>
  </si>
  <si>
    <t>milroy@stanford.edu</t>
  </si>
  <si>
    <t>Nicholas Miguel Robles</t>
  </si>
  <si>
    <t>nichrobl@stanford.edu</t>
  </si>
  <si>
    <t>Jack Rokous</t>
  </si>
  <si>
    <t>jackroko@stanford.edu</t>
  </si>
  <si>
    <t>Christian Simamora</t>
  </si>
  <si>
    <t>Daniel Somen</t>
  </si>
  <si>
    <t>dansomen@stanford.edu</t>
  </si>
  <si>
    <t>Joseph D. Towles, PhD</t>
  </si>
  <si>
    <t>towles@stanford.edu</t>
  </si>
  <si>
    <t>Urmila Venkatesh</t>
  </si>
  <si>
    <t>urmilav@stanford.edu</t>
  </si>
  <si>
    <t>Shanice C. Webb</t>
  </si>
  <si>
    <t>swebb2@stanford.edu</t>
  </si>
  <si>
    <t>California Institute of Technology</t>
  </si>
  <si>
    <t>Aaron Ames</t>
  </si>
  <si>
    <t>mlaite@caltech.edu</t>
  </si>
  <si>
    <t xml:space="preserve">robotics, nonlinear control, hybrid systems, cyber-physical systems, foundational theory, experimental realization, bipedal robots, prosthesis, human-like bipedal robotic walking, robotic assistive devices.
</t>
  </si>
  <si>
    <t xml:space="preserve">robotics, nonlinear control, hybrid systems, cyber-physical systems, foundational theory, experimental realization, bipedal robots, prosthesis, human-like bipedal robotic walking, robotic assistive devices,
</t>
  </si>
  <si>
    <t>CalTech Department of Mechanical and Civil Engineering</t>
  </si>
  <si>
    <t>José E. Andrade</t>
  </si>
  <si>
    <t>stakase@caltech.edu</t>
  </si>
  <si>
    <t>porous materials, multiscale behaviors, multiphysical behaviors, soils, rocks, concrete, bone, granular materials, sand, snow, grain, geologic infrastructure materials, engineering infrastructure materials, petroleum industry.</t>
  </si>
  <si>
    <t>porous materials, multiscale behaviors, multiphysical behaviors, soils, rocks, concrete, bone, granular materials, s,, snow, grain, geologic infrastructure materials, engineering infrastructure materials, petroleum industry,</t>
  </si>
  <si>
    <t>Domniki Asimaki</t>
  </si>
  <si>
    <t>susta@caltech.edu</t>
  </si>
  <si>
    <t xml:space="preserve">geotechnical engineering, computational mechanics, structural dynamics, natural ground surface features, man-made geotechnical systems, high fidelity numerical simulations, field data, experimental data, engineering design models, infrastructure resilience, urban scales, regional scales.
</t>
  </si>
  <si>
    <t xml:space="preserve">geotechnical engineering, computational mechanics, structural dynamics, natural ground surface features, man-made geotechnical systems, high fidelity numerical simulations, field data, experimental data, engineering design models, infrastructure resilience, urban scales, regional scales,
</t>
  </si>
  <si>
    <t>#3 - Mechanical Engineering</t>
  </si>
  <si>
    <t>Jean-Philippe Avouac</t>
  </si>
  <si>
    <t>earthquakes, crustal deformation, geomorphic processes, field observations, seismological measurements, geodetic measurements, remote sensing, kinematic models, dynamic models, seismicity, mountain building processes, Himalaya, seismic fault slip, slow earthquakes, probabilistic forecasting, ground deformation, subsurface engineering operations, CO2 storage, geothermal energy production, hydrology, dune dynamics, Mars, Earth.</t>
  </si>
  <si>
    <t>earthquakes, crustal deformation, geomorphic processes, field observations, seismological measurements, geodetic measurements, remote sensing, kinematic models, dynamic models, seismicity, mountain building processes, Himalaya, seismic fault slip, slow earthquakes, probabilistic forecasting, ground deformation, subsurface engineering operations, CO2 storage, geothermal energy production, hydrology, dune dynamics, Mars, Earth,</t>
  </si>
  <si>
    <t>#7 - Best Engineering Schools</t>
  </si>
  <si>
    <t>Kaushik Bhattacharya</t>
  </si>
  <si>
    <t>mechanical behavior of solids, active materials, shape-memory alloys, ferroelectrics, liquid crystal elastomers, heterogeneous materials, unprecedented properties, exploiting heterogeneities, coarse-grained density functional theory, defects in solids.</t>
  </si>
  <si>
    <t>mechanical behavior of solids, active materials, shape-memory alloys, ferroelectrics, liquid crystal elastomers, heterogeneous materials, unprecedented properties, exploiting heterogeneities, coarse-grained density functional theory, defects in solids,</t>
  </si>
  <si>
    <t>Guillaume Blanquart</t>
  </si>
  <si>
    <t>kbazua@caltech.edu</t>
  </si>
  <si>
    <t xml:space="preserve">modeling, interactions, combustion processes, turbulent flows, formation of pollutants, effects of turbulence, dynamics of nano-particles, hydrodynamic instabilities, flame instabilities.
</t>
  </si>
  <si>
    <t xml:space="preserve">modeling, interactions, combustion processes, turbulent flows, formation of pollutants, effects of turbulence, dynamics of nano-particles, hydrodynamic instabilities, flame instabilities,
</t>
  </si>
  <si>
    <t>John F. Brady</t>
  </si>
  <si>
    <t xml:space="preserve">fluid mechanics, transport processes, complex fluids, multiphase fluids.
</t>
  </si>
  <si>
    <t xml:space="preserve">fluid mechanics, transport processes, complex fluids, multiphase fluids,
</t>
  </si>
  <si>
    <t>Joel W. Burdick</t>
  </si>
  <si>
    <t xml:space="preserve">robotics, kinematics, mechanical systems, control, robotic locomotion, sensor-based motion planning algorithms, multi-fingered robotic manipulation, applied nonlinear control theory, neural prosthetics, medical applications of robotics.
</t>
  </si>
  <si>
    <t xml:space="preserve">robotics, kinematics, mechanical systems, control, robotic locomotion, sensor-based motion planning algorithms, multi-fingered robotic manipulation, applied nonlinear control theory, neural prosthetics, medical applications of robotics,
</t>
  </si>
  <si>
    <r>
      <rPr>
        <sz val="10"/>
        <color rgb="FF000000"/>
        <rFont val="Arial"/>
        <family val="2"/>
      </rPr>
      <t xml:space="preserve">Chair - </t>
    </r>
    <r>
      <rPr>
        <u/>
        <sz val="10"/>
        <color rgb="FF000000"/>
        <rFont val="Arial"/>
        <family val="2"/>
      </rPr>
      <t>Tim Colonius</t>
    </r>
  </si>
  <si>
    <t>complex flow phenomena, multiscale flow, control theory, numerical experiments, simulations, turbulence, instabilities, sources of sound, shock dynamics, bubble dynamics, ultrasound imaging, therapy, jet noise mitigation, energy generation from flow systems.</t>
  </si>
  <si>
    <t>complex flow phenomena, multiscale flow, control theory, numerical experiments, simulations, turbulence, instabilities, sources of sound, shock dynamics, bubble dynamics, ultrasound imaging, therapy, jet noise mitigation, energy generation from flow systems,</t>
  </si>
  <si>
    <t>John O. Dabiri</t>
  </si>
  <si>
    <t>spontes@caltech.edu</t>
  </si>
  <si>
    <t>unsteady fluid mechanics, flow physics, biological fluid dynamics, ocean, next-generation wind energy, experimental methods, energy, environment.</t>
  </si>
  <si>
    <t>unsteady fluid mechanics, flow physics, biological fluid dynamics, ocean, next-generation wind energy, experimental methods, energy, environment,</t>
  </si>
  <si>
    <t>Chiara Daraio</t>
  </si>
  <si>
    <t>materials science, condensed matter physics, solid mechanics.</t>
  </si>
  <si>
    <t>materials science, condensed matter physics, solid mechanics,</t>
  </si>
  <si>
    <t>Xiaojing (Ruby) Fu</t>
  </si>
  <si>
    <t>subsurface fluid mechanics, geoscience, energy, resources, geohazards, clathrate formation, ice formation, porous media, hydrology, geologic carbon sequestration, volcanic systems, geothermal systems.</t>
  </si>
  <si>
    <t>subsurface fluid mechanics, geoscience, energy, resources, geohazards, clathrate formation, ice formation, porous media, hydrology, geologic carbon sequestration, volcanic systems, geothermal systems,</t>
  </si>
  <si>
    <t>Julia R. Greer</t>
  </si>
  <si>
    <t>nano-scale phenomena, mechanical properties, in-situ deformation, nano-fabrication.</t>
  </si>
  <si>
    <t>nano-scale phenomena, mechanical properties, in-situ deformation, nano-fabrication,</t>
  </si>
  <si>
    <t>Melany L. Hunt</t>
  </si>
  <si>
    <t xml:space="preserve">transport, mechanics, multiphase systems, granular flows, particulate flows, fluidized beds, porous media, energy systems.
</t>
  </si>
  <si>
    <t xml:space="preserve">transport, mechanics, multiphase systems, granular flows, particulate flows, fluidized beds, porous media, energy systems,
</t>
  </si>
  <si>
    <t>Nadia Lapusta</t>
  </si>
  <si>
    <t xml:space="preserve">friction, fracture phenomena, analytical modeling, numerical modeling, experimental findings, failure of geomaterials, fluids, physics of earthquakes, induced seismicity, faulting, cracking.
</t>
  </si>
  <si>
    <t xml:space="preserve">friction, fracture phenomena, analytical modeling, numerical modeling, experimental findings, failure of geomaterials, fluids, physics of earthquakes, induced seismicity, faulting, cracking,
</t>
  </si>
  <si>
    <t>Michael Mello</t>
  </si>
  <si>
    <t xml:space="preserve">pressure-shear plate impact experiments, interferometric measurement techniques, Laboratory Earthquake investigations, Rigid Body Statics, Hydrostatics, Mechanics of Materials, Dynamics, CFD/FEA Modeling, Experimental Solid &amp; Fluid Mechanics, Engineering Design and Fabrication.
</t>
  </si>
  <si>
    <t xml:space="preserve">pressure-shear plate impact experiments, interferometric measurement techniques, Laboratory Earthquake investigations, Rigid Body Statics, Hydrostatics, Mechanics of Materials, Dynamics, CFD/FEA Modeling, Experimental Solid &amp; Fluid Mechanics, Engineering Design , Fabrication,
</t>
  </si>
  <si>
    <t>Austin Minnich</t>
  </si>
  <si>
    <t>microwave technology, millimeter-wave technology, radio astronomy, quantum information science, electronic noise, nanofabrication processes, ultralow noise transistor amplifiers, quantum simulation, superconducting qubit quantum computers.</t>
  </si>
  <si>
    <t>microwave technology, millimeter-wave technology, radio astronomy, quantum information science, electronic noise, nanofabrication processes, ultralow noise transistor amplifiers, quantum simulation, superconducting qubit quantum computers,</t>
  </si>
  <si>
    <t>Richard M. Murray</t>
  </si>
  <si>
    <t>mnolasco@caltech.edu</t>
  </si>
  <si>
    <t>feedback and control, networked systems, applications in biology, autonomy, control system architectures, biomolecular feedback systems, networked control systems.</t>
  </si>
  <si>
    <t>feedback , control, networked systems, applications in biology, autonomy, control system architectures, biomolecular feedback systems, networked control systems,</t>
  </si>
  <si>
    <t>Sergio Pellegrino</t>
  </si>
  <si>
    <t>pmark@caltech.edu</t>
  </si>
  <si>
    <t>lightweight structures, packaging, deployment, shape control, stability.</t>
  </si>
  <si>
    <t>lightweight structures, packaging, deployment, shape control, stability,</t>
  </si>
  <si>
    <t>Guruswami (Ravi) Ravichandran</t>
  </si>
  <si>
    <t>mojahedi@caltech.edu</t>
  </si>
  <si>
    <t xml:space="preserve">deformation and failure of materials, dynamic behavior, wave propagation, micro/nano mechanics, composites, active materials, biomaterials, cell mechanics, experimental mechanics.
</t>
  </si>
  <si>
    <t xml:space="preserve">deformation , failure of materials, dynamic behavior, wave propagation, micro/nano mechanics, composites, active materials, biomaterials, cell mechanics, experimental mechanics,
</t>
  </si>
  <si>
    <t>Ares J. Rosakis</t>
  </si>
  <si>
    <t>Solid mechanics, dynamic mechanical properties, ballistic impact, hypervelocity impact of micrometeorites on spacecraft, dynamic fracture and fragmentation, adiabatic shear banding, mechanics of metallic glasses, mechanics of thin films, mechanics of geological materials, restoration of ancient stone monuments, earthquake fault mechanics, induced seismicity.</t>
  </si>
  <si>
    <t>Solid mechanics, dynamic mechanical properties, ballistic impact, hypervelocity impact of micrometeorites on spacecraft, dynamic fracture , fragmentation, adiabatic shear b,ing, mechanics of metallic glasses, mechanics of thin films, mechanics of geological materials, restoration of ancient stone monuments, earthquake fault mechanics, induced seismicity,</t>
  </si>
  <si>
    <t>Joseph E. Shepherd</t>
  </si>
  <si>
    <t>lizabr@caltech.edu</t>
  </si>
  <si>
    <t xml:space="preserve">fluid mechanics, solid mechanics, chemistry, thermodynamics, structural mechanics, explosion dynamics, industrial safety, aviation, nuclear power, high-speed flight, propulsion, fluid-structure interaction, energy conversion technologies, medical devices.
</t>
  </si>
  <si>
    <t xml:space="preserve">fluid mechanics, solid mechanics, chemistry, thermodynamics, structural mechanics, explosion dynamics, industrial safety, aviation, nuclear power, high-speed flight, propulsion, fluid-structure interaction, energy conversion technologies, medical devices,
</t>
  </si>
  <si>
    <t>Sandra M. Troian</t>
  </si>
  <si>
    <t>cjenstad@caltech.edu</t>
  </si>
  <si>
    <t>micro/nanoscale fluidic systems, surface forces, capillary, van der Waals, Maxwell, thermocapillary, Marangoni fields, theoretical analysis, numerical simulations, experimentation, nonlinear wave phenomena, rapid transport of mass, momentum, heat at interfaces, thermally/electrically driven thin films, nanofluidic phenomena, spatio-temporal parametric resonance, array formations in polymeric films, Lyapunov analysis, capillary and field-enhanced propellant management systems, 3D lithographic patterning of nanofilms, non-contact lithography of 3D micro-optical structures, Marangoni wave phenomena, fractal wavefronts, layering transitions, optical wave propagation in structured polymeric waveguides.</t>
  </si>
  <si>
    <t>micro/nanoscale fluidic systems, surface forces, capillary, van der Waals, Maxwell, thermocapillary, Marangoni fields, theoretical analysis, numerical simulations, experimentation, nonlinear wave phenomena, rapid transport of mass, momentum, heat at interfaces, thermally/electrically driven thin films, nanofluidic phenomena, spatio-temporal parametric resonance, array formations in polymeric films, Lyapunov analysis, capillary , field-enhanced propellant management systems, 3D lithographic patterning of nanofilms, non-contact lithography of 3D micro-optical structures, Marangoni wave phenomena, fractal wavefronts, layering transitions, optical wave propagation in structured polymeric waveguides,</t>
  </si>
  <si>
    <t>Gunter Niemeyer</t>
  </si>
  <si>
    <t>Paul B. Stovall</t>
  </si>
  <si>
    <t>Design, Protyping</t>
  </si>
  <si>
    <t>University of California, Berkeley</t>
  </si>
  <si>
    <t>M. Reza Alam</t>
  </si>
  <si>
    <t>reza.alam@berkeley.edu</t>
  </si>
  <si>
    <t>Theoretical Fluid Dynamics, Nonlinear Wave Mechanics, Ocean and Coastal Waves Phenomena, Ocean Renewable Energy (Wave, Tide and Offshore Wind Energy), Nonlinear Dynamical Systems, Fluid Flow Control</t>
  </si>
  <si>
    <t>Theoretical Fluid Dynamics, Nonlinear Wave Mechanics, Ocean , Coastal Waves Phenomena, Ocean Renewable Energy (Wave, Tide , Offshore Wind Energy), Nonlinear Dynamical Systems, Fluid Flow Control</t>
  </si>
  <si>
    <t>University of California, Berkeley | Mechanical Engineering</t>
  </si>
  <si>
    <r>
      <rPr>
        <u/>
        <sz val="10"/>
        <color rgb="FF000000"/>
        <rFont val="Arial"/>
        <family val="2"/>
      </rPr>
      <t>Francesco Borrelli</t>
    </r>
  </si>
  <si>
    <t>fborrelli@berkeley.edu</t>
  </si>
  <si>
    <t>Model Predictive Control, Model-Based AI, Distributed and Robust Constrained Control, Automotive Control Systems, Energy Efficiency, Energy Efficient Building Control Systems, Solar Power Plants, Mobility Contextual Intelligence, Robotics and Food Systems.</t>
  </si>
  <si>
    <t>Model Predictive Control, Model-Based AI, Distributed , Robust Constrained Control, Automotive Control Systems, Energy Efficiency, Energy Efficient Building Control Systems, Solar Power Plants, Mobility Contextual Intelligence, Robotics , Food Systems,</t>
  </si>
  <si>
    <r>
      <rPr>
        <u/>
        <sz val="10"/>
        <color rgb="FF000000"/>
        <rFont val="Arial"/>
        <family val="2"/>
      </rPr>
      <t>Van P. Carey</t>
    </r>
  </si>
  <si>
    <t>vpcarey@berkeley.edu</t>
  </si>
  <si>
    <t>near-interface micro- and nanoscale thermophysics, transport in liquid-vapor systems, computational modeling, simulation of energy conversion and transport processes, molecular dynamics simulation of thermophysics, multidevice system models, machine learning strategies, energy technologies, autonomous adaptation, performance enhancement, environmental impact reduction.</t>
  </si>
  <si>
    <t>E/D</t>
  </si>
  <si>
    <t>near-interface micro- , nanoscale thermophysics, transport in liquid-vapor systems, computational modeling, simulation of energy conversion , transport processes, molecular dynamics simulation of thermophysics, multidevice system models, machine learning strategies, energy technologies, autonomous adaptation, performance enhancement, environmental impact reduction,</t>
  </si>
  <si>
    <t>James Casey</t>
  </si>
  <si>
    <t>jimcasey@berkeley.edu</t>
  </si>
  <si>
    <t>Continuum mechanics, plasticity, approximate nonlinear theories of elasticity, dynamics of nearly rigid bodies.</t>
  </si>
  <si>
    <t>Continuum mechanics, plasticity, approximate nonlinear theories of elasticity, dynamics of nearly rigid bodies,</t>
  </si>
  <si>
    <t>#3 - Best Engineering Schools</t>
  </si>
  <si>
    <r>
      <rPr>
        <sz val="10"/>
        <color rgb="FF000000"/>
        <rFont val="Arial"/>
        <family val="2"/>
      </rPr>
      <t xml:space="preserve">Chair - </t>
    </r>
    <r>
      <rPr>
        <u/>
        <sz val="10"/>
        <color rgb="FF000000"/>
        <rFont val="Arial"/>
        <family val="2"/>
      </rPr>
      <t>Chris Dames</t>
    </r>
  </si>
  <si>
    <t>cdames@berkeley.edu</t>
  </si>
  <si>
    <t>heat transfer, energy conversion, micro and nano scale, theoretical methods, experimental methods, nanostructured thermoelectric materials, thermal rectification, graphene, nonlinear heat transfer, anisotropic heat transfer, asymmetric heat transfer.</t>
  </si>
  <si>
    <t>heat transfer, energy conversion, micro , nano scale, theoretical methods, experimental methods, nanostructured thermoelectric materials, thermal rectification, graphene, nonlinear heat transfer, anisotropic heat transfer, asymmetric heat transfer,</t>
  </si>
  <si>
    <t>Michael Frenklach</t>
  </si>
  <si>
    <t>frenklach@berkeley.edu</t>
  </si>
  <si>
    <t>chemical kinetics, computer modeling, combustion chemistry, pollutant formation (NOx, soot), shock tube, chemical vapor deposition of diamond films, homogeneous nucleation of silicon, silicon carbide, diamond powders, interstellar dust formation.</t>
  </si>
  <si>
    <t>chemical kinetics, computer modeling, combustion chemistry, pollutant formation (NOx, soot), shock tube, chemical vapor deposition of diamond films, homogeneous nucleation of silicon, silicon carbide, diamond powders, interstellar dust formation,</t>
  </si>
  <si>
    <t>Michael Gollner</t>
  </si>
  <si>
    <t>mgollner@berkeley.edu</t>
  </si>
  <si>
    <t>Combustion, Fire Dynamics, Wildland Fire, Fluid Mechanics</t>
  </si>
  <si>
    <t>Combustion, Fire Dynamics, Wildl, Fire, Fluid Mechanics</t>
  </si>
  <si>
    <r>
      <rPr>
        <u/>
        <sz val="10"/>
        <color rgb="FF000000"/>
        <rFont val="Arial"/>
        <family val="2"/>
      </rPr>
      <t>Kosa Goucher-Lambert</t>
    </r>
  </si>
  <si>
    <t>kosa@berkeley.edu</t>
  </si>
  <si>
    <t>design theory, methodology, automation decision-making, engineering teams, individuals, ideation, creativity, analogical reasoning in design, preference modeling, design attribute optimization, design cognition, neuroimaging methods applied to design, sustainable design, new product development, crowdsourcing, collaboration.</t>
  </si>
  <si>
    <t>design theory, methodology, automation decision-making, engineering teams, individuals, ideation, creativity, analogical reasoning in design, preference modeling, design attribute optimization, design cognition, neuroimaging methods applied to design, sustainable design, new product development, crowdsourcing, collaboration,</t>
  </si>
  <si>
    <r>
      <rPr>
        <u/>
        <sz val="10"/>
        <color rgb="FF000000"/>
        <rFont val="Arial"/>
        <family val="2"/>
      </rPr>
      <t>Costas Grigoropoulos</t>
    </r>
  </si>
  <si>
    <t>cgrigoro@berkeley.edu</t>
  </si>
  <si>
    <t>laser materials processing, micro/nano-machining, fabrication of flexible electronics, energy conversion devices, characterization of micro/nanofluidic transport, laser interactions with biological materials, architected materials.</t>
  </si>
  <si>
    <t>laser materials processing, micro/nano-machining, fabrication of flexible electronics, energy conversion devices, characterization of micro/nanofluidic transport, laser interactions with biological materials, architected materials,</t>
  </si>
  <si>
    <r>
      <rPr>
        <u/>
        <sz val="10"/>
        <color rgb="FF000000"/>
        <rFont val="Arial"/>
        <family val="2"/>
      </rPr>
      <t>Grace X. Gu</t>
    </r>
  </si>
  <si>
    <t>ggu@berkeley.edu</t>
  </si>
  <si>
    <t xml:space="preserve">composites, additive manufacturing, fracture mechanics, topology optimization, machine learning, finite element analysis, bioinspired materials.
</t>
  </si>
  <si>
    <t xml:space="preserve">composites, additive manufacturing, fracture mechanics, topology optimization, machine learning, finite element analysis, bioinspired materials,
</t>
  </si>
  <si>
    <t>Roberto Horowitz</t>
  </si>
  <si>
    <t>horowitz@berkeley.edu</t>
  </si>
  <si>
    <t>Adaptive, learning and nonlinear control, control of robot manipulators, computer mechatronics systems, micro-electromechanical systems (MEMS), intelligent vehicle and highways systems (IVHS)</t>
  </si>
  <si>
    <t>Adaptive, learning , nonlinear control, control of robot manipulators, computer mechatronics systems, micro-electromechanical systems (MEMS), intelligent vehicle , highways systems (IVHS)</t>
  </si>
  <si>
    <r>
      <rPr>
        <u/>
        <sz val="10"/>
        <color rgb="FF000000"/>
        <rFont val="Arial"/>
        <family val="2"/>
      </rPr>
      <t>Alexis Kaminski</t>
    </r>
  </si>
  <si>
    <t>kaminski@berkeley.edu</t>
  </si>
  <si>
    <t>Stratified flows, hydrodynamic instabilities, transition to turbulence, mixing and entrainment, internal waves, non-normal stability, upper-ocean dynamics, physical oceanography, geophysical and environmental fluid dynamics.</t>
  </si>
  <si>
    <t>Stratified flows, hydrodynamic instabilities, transition to turbulence, mixing , entrainment, internal waves, non-normal stability, upper-ocean dynamics, physical oceanography, geophysical , environmental fluid dynamics,</t>
  </si>
  <si>
    <t>$11,700 per year (in-state, full-time)</t>
  </si>
  <si>
    <r>
      <rPr>
        <u/>
        <sz val="10"/>
        <color rgb="FF000000"/>
        <rFont val="Arial"/>
        <family val="2"/>
      </rPr>
      <t>Homayoon Kazerooni</t>
    </r>
  </si>
  <si>
    <t>kazerooni@berkeley.edu</t>
  </si>
  <si>
    <t>Bioengineering, robotics, control systems, mechatronics, design, automated manufacturing and human-machine systems</t>
  </si>
  <si>
    <t>Bioengineering, robotics, control systems, mechatronics, design, automated manufacturing , human-machine systems</t>
  </si>
  <si>
    <t>Tony M. Keaveny</t>
  </si>
  <si>
    <t>tonykeaveny@berkeley.edu</t>
  </si>
  <si>
    <t>Biomechanics mechanical behavior of bone, finite element modeling and experimentation, design of bone-implant systems, tissue engineering</t>
  </si>
  <si>
    <t>Biomechanics mechanical behavior of bone, finite element modeling , experimentation, design of bone-implant systems, tissue engineering</t>
  </si>
  <si>
    <r>
      <rPr>
        <u/>
        <sz val="10"/>
        <color rgb="FF000000"/>
        <rFont val="Arial"/>
        <family val="2"/>
      </rPr>
      <t>Kyriakos Komvopoulos</t>
    </r>
  </si>
  <si>
    <t>kyriakos@me.berkeley.edu</t>
  </si>
  <si>
    <t>Theoretical and numerical studies in nano/microscale contact mechanics, tribology, mechanical behavior of thin-film structures, deposition and characterization of ultrathin films by sputtering and filtered cathodic vacuum arc methods, stress analysis, fracture, and adhesion of dynamic microdevices, plasma-assisted surface modification of biopolymers, surface chemical functionalization for enhanced biocompatibility and cell activity, mechanotransduction effects at the single-cell and tissue levels, and electrospun fibrous scaffolds for tissue engineering.</t>
  </si>
  <si>
    <t>D2</t>
  </si>
  <si>
    <t>Theoretical , numerical studies in nano/microscale contact mechanics, tribology, mechanical behavior of thin-film structures, deposition , characterization of ultrathin films by sputtering , filtered cathodic vacuum arc methods, stress analysis, fracture, adhesion of dynamic microdevices, plasma-assisted surface modification of biopolymers, surface chemical functionalization for enhanced biocompatibility , cell activity, mechanotransduction effects at the single-cell , tissue levels, electrospun fibrous scaffolds for tissue engineering,</t>
  </si>
  <si>
    <r>
      <rPr>
        <u/>
        <sz val="10"/>
        <color rgb="FF000000"/>
        <rFont val="Arial"/>
        <family val="2"/>
      </rPr>
      <t>Liwei Lin</t>
    </r>
  </si>
  <si>
    <t>lwlin@berkeley.edu</t>
  </si>
  <si>
    <t>MEMS (Microelectromechanical Systems), NEMS (Nanoelectromechanical Systems), Nanotechnology, design and manufacturing of microsensors and microactuators, development of micromachining processes by silicon surface/bulk micromachining, micromolding process, mechanical issues in MEMS including heat transfer, solid/fluid mechanics, and dynamics.</t>
  </si>
  <si>
    <t>MEMS (Microelectromechanical Systems), NEMS (Nanoelectromechanical Systems), Nanotechnology, design , manufacturing of microsensors , microactuators, development of micromachining processes by silicon surface/bulk micromachining, micromolding process, mechanical issues in MEMS including heat transfer, solid/fluid mechanics, dynamics,</t>
  </si>
  <si>
    <r>
      <rPr>
        <u/>
        <sz val="10"/>
        <color rgb="FF000000"/>
        <rFont val="Arial"/>
        <family val="2"/>
      </rPr>
      <t>Fai Ma</t>
    </r>
  </si>
  <si>
    <t>fma@berkeley.edu</t>
  </si>
  <si>
    <t>Dynamical Systems with Inherent Uncertainties, Vibration, Damping and Hysteresis</t>
  </si>
  <si>
    <t>Dynamical Systems with Inherent Uncertainties, Vibration, Damping , Hysteresis</t>
  </si>
  <si>
    <r>
      <rPr>
        <u/>
        <sz val="10"/>
        <color rgb="FF000000"/>
        <rFont val="Arial"/>
        <family val="2"/>
      </rPr>
      <t>Simo Mäkiharju</t>
    </r>
  </si>
  <si>
    <t>makiharju@berkeley.edu</t>
  </si>
  <si>
    <t>One of the central objectives of PMäkiharju’s research is to advance the physical understanding of high Reynolds number single- and multiphase flows primarily through experimental research, and through the development and use of advanced experimental techniques. Multiphase flows are encountered in almost every aspect of modern life, including offshore applications, biological flows, energy production, chemical processing, and naval hydrodynamics. Specific topics PMäkiharju has worked on include the reduction drag on marine vehicles, mitigation of damage and noise caused by cavitation in naval and industrial applications, and efficient handling of single- and multiphase flows in energy production applications.</t>
  </si>
  <si>
    <t>One of the central objectives of PMäkiharju’s research is to advance the physical underst,ing of high Reynolds number single- , multiphase flows primarily through experimental research, through the development , use of advanced experimental techniques, Multiphase flows are encountered in almost every aspect of modern life, including offshore applications, biological flows, energy production, chemical processing, naval hydrodynamics, Specific topics PMäkiharju has worked on include the reduction drag on marine vehicles, mitigation of damage , noise caused by cavitation in naval , industrial applications, efficient h,ling of single- , multiphase flows in energy production applications,</t>
  </si>
  <si>
    <r>
      <rPr>
        <u/>
        <sz val="10"/>
        <color rgb="FF000000"/>
        <rFont val="Arial"/>
        <family val="2"/>
      </rPr>
      <t>PhiliPS. Marcus</t>
    </r>
  </si>
  <si>
    <t>pmarcus@me.berkeley.edu</t>
  </si>
  <si>
    <t>Algorithms, atmospheric flows, convection, fluid mechanics, nonlinear dynamics, ocean flows, numerical analysis, turbulence.</t>
  </si>
  <si>
    <t>Algorithms, atmospheric flows, convection, fluid mechanics, nonlinear dynamics, ocean flows, numerical analysis, turbulence,</t>
  </si>
  <si>
    <r>
      <rPr>
        <u/>
        <sz val="10"/>
        <color rgb="FF000000"/>
        <rFont val="Arial"/>
        <family val="2"/>
      </rPr>
      <t>Sara McMains</t>
    </r>
  </si>
  <si>
    <t>mcmains@me.berkeley.edu</t>
  </si>
  <si>
    <t>Geometric and solid modeling, computer aided design, computer aided manufacturing, layered manufacturing, computer graphics and visualization, virtual prototyping, virtual reality.</t>
  </si>
  <si>
    <t>Geometric , solid modeling, computer aided design, computer aided manufacturing, layered manufacturing, computer graphics , visualization, virtual prototyping, virtual reality,</t>
  </si>
  <si>
    <r>
      <rPr>
        <u/>
        <sz val="10"/>
        <color rgb="FF000000"/>
        <rFont val="Arial"/>
        <family val="2"/>
      </rPr>
      <t>Negar Mehr</t>
    </r>
  </si>
  <si>
    <t>negar@berkeley.edu</t>
  </si>
  <si>
    <t>algorithms and mathematical models for autonomous systems to interact safely and intelligently with humans and other autonomous systems.</t>
  </si>
  <si>
    <t>algorithms , mathematical models for autonomous systems to interact safely , intelligently with humans , other autonomous systems,</t>
  </si>
  <si>
    <r>
      <rPr>
        <u/>
        <sz val="10"/>
        <color rgb="FF000000"/>
        <rFont val="Arial"/>
        <family val="2"/>
      </rPr>
      <t>Mohammad R. K. Mofrad</t>
    </r>
  </si>
  <si>
    <t>mofrad@berkeley.edu</t>
  </si>
  <si>
    <t>Multiscale Biomechanics of Cardiovascular Disease and Brain Injury, Molecular and Cellular Mechanobiology, Mechanics of Integrin-Mediated Focal Adhesions, Mechanics of the Nuclear Pore and Nucleocytoplasmic Transport</t>
  </si>
  <si>
    <t>Multiscale Biomechanics of Cardiovascular Disease , Brain Injury, Molecular , Cellular Mechanobiology, Mechanics of Integrin-Mediated Focal Adhesions, Mechanics of the Nuclear Pore , Nucleocytoplasmic Transport</t>
  </si>
  <si>
    <r>
      <rPr>
        <u/>
        <sz val="10"/>
        <color rgb="FF000000"/>
        <rFont val="Arial"/>
        <family val="2"/>
      </rPr>
      <t>Mark W. Mueller</t>
    </r>
  </si>
  <si>
    <t>mwm@berkeley.edu</t>
  </si>
  <si>
    <t>Unmanned Aerial Vehicles, dynamics and control, motion planning and coordination, state estimation and localization.</t>
  </si>
  <si>
    <t>Unmanned Aerial Vehicles, dynamics , control, motion planning , coordination, state estimation , localization,</t>
  </si>
  <si>
    <r>
      <rPr>
        <u/>
        <sz val="10"/>
        <color rgb="FF000000"/>
        <rFont val="Arial"/>
        <family val="2"/>
      </rPr>
      <t>Grace D. O’Connell</t>
    </r>
  </si>
  <si>
    <t>g.oconnell@berkeley.edu</t>
  </si>
  <si>
    <t>Biomechanics of cartilage and intervertebral disc, tissue engineering, continuum modeling of soft tissues, intervertebral disc function, degeneration, and regeneration</t>
  </si>
  <si>
    <t>Biomechanics of cartilage , intervertebral disc, tissue engineering, continuum modeling of soft tissues, intervertebral disc function, degeneration, regeneration</t>
  </si>
  <si>
    <r>
      <rPr>
        <u/>
        <sz val="10"/>
        <color rgb="FF000000"/>
        <rFont val="Arial"/>
        <family val="2"/>
      </rPr>
      <t>Oliver M. O’Reilly</t>
    </r>
  </si>
  <si>
    <t>oreilly@berkeley.edu</t>
  </si>
  <si>
    <t>Dynamics, Vibrations, Continuum Mechanics</t>
  </si>
  <si>
    <r>
      <rPr>
        <u/>
        <sz val="10"/>
        <color rgb="FF000000"/>
        <rFont val="Arial"/>
        <family val="2"/>
      </rPr>
      <t>Panayiotis Papadopoulos</t>
    </r>
  </si>
  <si>
    <t>panos@berkeley.edu</t>
  </si>
  <si>
    <t>Computational mechanics, solid mechanics, biomechanics, applied mathematics</t>
  </si>
  <si>
    <r>
      <rPr>
        <u/>
        <sz val="10"/>
        <color rgb="FF000000"/>
        <rFont val="Arial"/>
        <family val="2"/>
      </rPr>
      <t>Kameshwar Poolla</t>
    </r>
  </si>
  <si>
    <t>poolla@berkeley.edu</t>
  </si>
  <si>
    <t>Theory Modeling &amp; System Identification, Robust Control, Optimization, Applications Wireless Sensor Networks, Green Buildings, Semiconductor Manufacturing, Medical Imaging.</t>
  </si>
  <si>
    <t>Theory Modeling &amp; System Identification, Robust Control, Optimization, Applications Wireless Sensor Networks, Green Buildings, Semiconductor Manufacturing, Medical Imaging,</t>
  </si>
  <si>
    <r>
      <rPr>
        <u/>
        <sz val="10"/>
        <color rgb="FF000000"/>
        <rFont val="Arial"/>
        <family val="2"/>
      </rPr>
      <t>Lisa Pruitt</t>
    </r>
  </si>
  <si>
    <t>lpruitt@berkeley.edu</t>
  </si>
  <si>
    <t>structure-property relationships in orthopedic tissues, biomaterials and medical polymers.</t>
  </si>
  <si>
    <t>structure-property relationships in orthopedic tissues, biomaterials , medical polymers,</t>
  </si>
  <si>
    <r>
      <rPr>
        <u/>
        <sz val="10"/>
        <color rgb="FF000000"/>
        <rFont val="Arial"/>
        <family val="2"/>
      </rPr>
      <t>Ömer Savaş</t>
    </r>
  </si>
  <si>
    <t>savas@berkeley.edu</t>
  </si>
  <si>
    <t>Fluid mechanics aircraft wake vortices, biofluid mechanics, boundary layers, instrumentation, rotating flows, transient aerodynamics, turbulent flows, vortex dynamics</t>
  </si>
  <si>
    <r>
      <rPr>
        <u/>
        <sz val="10"/>
        <color rgb="FF000000"/>
        <rFont val="Arial"/>
        <family val="2"/>
      </rPr>
      <t>Thomas Schutzius</t>
    </r>
  </si>
  <si>
    <t>tschutzius@berkeley.edu</t>
  </si>
  <si>
    <t>Dr. Schutzius’ research grou, Pis committed to deepening our understanding of nanoscale transport phenomena and leveraging this knowledge for future transformative, sustainable water and energy technologies. Core competencies include micro/nanofabrication techniques, interfacial optical methods, and thermodynamic and interfacial modeling, which are use to study how surfaces and bulk materials can be (nano)engineered to enhance micro/nano-scale and interfacial transport. Based on the group’s findings, they develo, Pand fine-tune materials and devices for application at the water-energy nexus or in healthcare.</t>
  </si>
  <si>
    <t>nanoscale transport phenomena , leveraging this knowledge for future transformative, sustainable water , energy technologies, Core competencies include micro/nanofabrication techniques, interfacial optical methods, thermodynamic , interfacial modeling, which are use to study how surfaces , bulk materials can be (nano)engineered to enhance micro/nano-scale , interfacial transport</t>
  </si>
  <si>
    <r>
      <rPr>
        <u/>
        <sz val="10"/>
        <color rgb="FF000000"/>
        <rFont val="Arial"/>
        <family val="2"/>
      </rPr>
      <t>Shawn Shadden</t>
    </r>
  </si>
  <si>
    <t>shadden@berkeley.edu</t>
  </si>
  <si>
    <t>Cardiovascular Biomechanics, Computational Mechanics, Computational Fluid Dynamics, Dynamical Systems, Fluid Dynamics, Lagrangian Coherent Structures, Mathematical Modeling, Thrombosis</t>
  </si>
  <si>
    <r>
      <rPr>
        <u/>
        <sz val="10"/>
        <color rgb="FF000000"/>
        <rFont val="Arial"/>
        <family val="2"/>
      </rPr>
      <t>Lydia Sohn</t>
    </r>
  </si>
  <si>
    <t>sohn@berkeley.edu</t>
  </si>
  <si>
    <t>Micro-nano engineering, bioengineering</t>
  </si>
  <si>
    <r>
      <rPr>
        <u/>
        <sz val="10"/>
        <color rgb="FF000000"/>
        <rFont val="Arial"/>
        <family val="2"/>
      </rPr>
      <t>Koushil Sreenath</t>
    </r>
  </si>
  <si>
    <t>koushils@berkeley.edu</t>
  </si>
  <si>
    <t>Hybrid Dynamic Robotics, Applied Nonlinear Control, Dynamic Legged Locomotion, Dynamic Aerial Manipulation</t>
  </si>
  <si>
    <r>
      <rPr>
        <u/>
        <sz val="10"/>
        <color rgb="FF000000"/>
        <rFont val="Arial"/>
        <family val="2"/>
      </rPr>
      <t>David Steigmann</t>
    </r>
  </si>
  <si>
    <t>dsteigmann@berkeley.edu</t>
  </si>
  <si>
    <t>Continuum, mechanics, shell theory, finite elasticity, variational methods, stability, surface stress, capillary phenomena, mechanics of thin films.</t>
  </si>
  <si>
    <t>Continuum, mechanics, shell theory, finite elasticity, variational methods, stability, surface stress, capillary phenomena, mechanics of thin films,</t>
  </si>
  <si>
    <r>
      <rPr>
        <u/>
        <sz val="10"/>
        <color rgb="FF000000"/>
        <rFont val="Arial"/>
        <family val="2"/>
      </rPr>
      <t>Hannah Stuart</t>
    </r>
  </si>
  <si>
    <t>hstuart@berkeley.edu</t>
  </si>
  <si>
    <t>PStuart’s s include Dexterous manipulation, Bioinspired design, Soft and multi-material mechanisms, Skin contact conditions, Tactile sensing and haptics.Mobile robots face a rapidly expanding range of potential applications, including remote exploration, search-and-rescue and household assistance. In many of these cases, the focus of interaction is via the robot’s end-effectors. However, current manipulators have limited capabilities in comparison to their biological counterparts. Our grou, Pis interested in improving robot dexterity through building end-effectors with embodied intelligence and robustness, especially for challenging submerged or wet environments. This includes the design of (1) novel grippers and hands, (2) touch perception for autonomous or teleoperated interventions and (3) bioinspired manipulation strategies. This vision includes the advancement of relevant design analysis tools and the validation of concepts by applying technologies in the field.</t>
  </si>
  <si>
    <t>Dexterous manipulation, Bioinspired design, Soft , multi-material mechanisms, Skin contact conditions, Tactile sensing , haptics,Mobile robots face a rapidly exp,ing range of potential applications, including remote exploration, search-,-rescue , household assistance, In many of these cases, the focus of interaction is via the robot’s end-effectors, However, current manipulators have limited capabilities in comparison to their biological counterparts</t>
  </si>
  <si>
    <r>
      <rPr>
        <u/>
        <sz val="10"/>
        <color rgb="FF000000"/>
        <rFont val="Arial"/>
        <family val="2"/>
      </rPr>
      <t>Hayden Taylor</t>
    </r>
  </si>
  <si>
    <t>hkt@berkeley.edu</t>
  </si>
  <si>
    <t>The invention, modeling and simulation of micro- and nano-manufacturing processes, materials-testing techniques operating down to the nanoscale, and applications of polymeric materials in micro- and nano-fabrication—including for tissue scaffold engineering.</t>
  </si>
  <si>
    <t>The invention, modeling , simulation of micro- , nano-manufacturing processes, materials-testing techniques operating down to the nanoscale, applications of polymeric materials in micro- , nano-fabrication—including for tissue scaffold engineering,</t>
  </si>
  <si>
    <r>
      <rPr>
        <u/>
        <sz val="10"/>
        <color rgb="FF000000"/>
        <rFont val="Arial"/>
        <family val="2"/>
      </rPr>
      <t>Masayoshi Tomizuka</t>
    </r>
  </si>
  <si>
    <t>tomizuka@berkeley.edu</t>
  </si>
  <si>
    <t>Adaptive control, computer-aided manufacturing, control systems and theory, digital control, dynamic systems, manufacturing, mechanical vibrations.</t>
  </si>
  <si>
    <t>Adaptive control, computer-aided manufacturing, control systems , theory, digital control, dynamic systems, manufacturing, mechanical vibrations,</t>
  </si>
  <si>
    <t>Lining Yao</t>
  </si>
  <si>
    <t>liningy@berkeley.edu</t>
  </si>
  <si>
    <t>Dr. Lining Yao’s research explores the positive impact of active and morphing materials on sustainable design across different scales and contexts. Her work focuses on discovering and studying morphing material mechanisms, as well as algorithms for computational design and fabrication pipelines. Dr. Yao has published in both computer science and physical science venues and has received nine Best Paper or Best Talk Awards and nominations from premier conferences in Human-Computer Interaction. Her journal papers have been featured as cover stories in Nature, Science Advances, and Advanced Materials Technologies.</t>
  </si>
  <si>
    <t>active , morphing materials on sustainable design across different scales , contexts, Her work focuses on discovering , studying morphing material mechanisms, as well as algorithms for computational design , fabrication pipelines</t>
  </si>
  <si>
    <r>
      <rPr>
        <u/>
        <sz val="10"/>
        <color rgb="FF000000"/>
        <rFont val="Arial"/>
        <family val="2"/>
      </rPr>
      <t>Tarek I. Zohdi</t>
    </r>
  </si>
  <si>
    <t>zohdi@berkeley.edu</t>
  </si>
  <si>
    <t>Multiphysics Simulation and Optimization</t>
  </si>
  <si>
    <t>Multiphysics Simulation , Optimization</t>
  </si>
  <si>
    <r>
      <rPr>
        <u/>
        <sz val="10"/>
        <color rgb="FF000000"/>
        <rFont val="Arial"/>
        <family val="2"/>
      </rPr>
      <t>George Anwar</t>
    </r>
  </si>
  <si>
    <t>ganwar@berkeley.edu</t>
  </si>
  <si>
    <t>Model Predictive Control, Distributed and Robust Constrained Control, Automotie Control Systems, Energy Efficient Building Control Systems</t>
  </si>
  <si>
    <t>Model Predictive Control, Distributed , Robust Constrained Control, Automotie Control Systems, Energy Efficient Building Control Systems</t>
  </si>
  <si>
    <r>
      <rPr>
        <u/>
        <sz val="10"/>
        <color rgb="FF000000"/>
        <rFont val="Arial"/>
        <family val="2"/>
      </rPr>
      <t>Gabriel Gomes</t>
    </r>
  </si>
  <si>
    <t>gomes@berkeley.edu</t>
  </si>
  <si>
    <r>
      <rPr>
        <u/>
        <sz val="10"/>
        <color rgb="FF000000"/>
        <rFont val="Arial"/>
        <family val="2"/>
      </rPr>
      <t>Marcel Kristel</t>
    </r>
  </si>
  <si>
    <t>marcelk@berkeley.edu</t>
  </si>
  <si>
    <r>
      <rPr>
        <u/>
        <sz val="10"/>
        <color rgb="FF000000"/>
        <rFont val="Arial"/>
        <family val="2"/>
      </rPr>
      <t>Ala Moradian</t>
    </r>
  </si>
  <si>
    <t>moradian@berkeley.edu</t>
  </si>
  <si>
    <t>Dr. Moradian’s primary s are product development, advanced materials processing, semiconductor manufacturing, computational methods for process modeling and virtual fabrication, digital twin, and multi-physics modeling for product design optimization and manufacturing.</t>
  </si>
  <si>
    <t>product development, advanced materials processing, semiconductor manufacturing, computational methods for process modeling , virtual fabrication, digital twin multi-physics modeling for product design optimization ,manufacturing,</t>
  </si>
  <si>
    <r>
      <rPr>
        <u/>
        <sz val="10"/>
        <color rgb="FF000000"/>
        <rFont val="Arial"/>
        <family val="2"/>
      </rPr>
      <t>K. Youssefi</t>
    </r>
  </si>
  <si>
    <t>kyoussefi@berkeley.edu</t>
  </si>
  <si>
    <t>Georgia Institute of Technology</t>
  </si>
  <si>
    <t>Cyrus K. Aidun</t>
  </si>
  <si>
    <t>cyrus.aidun@me.gatech.edu</t>
  </si>
  <si>
    <t>Dr. Aidun's research focuses on direct numerical simulation (DNS) of suspension hydrodynamics, including fiber suspension, biotransport, and whole blood flow. Additional s include methods for enhancement of convective and boiling heat transfer, multiscale biotransport and fluidics-based automation of sorting and selection of somatic embryogenesis for clonal propagation of plants.</t>
  </si>
  <si>
    <t>direct numerical simulation (DNS) of suspension hydrodynamicsfiber suspension, biotransport, whole blood flow, Additional s include methods for enhancement of convective, boiling heat transfer, multiscale biotransport , fluidics-based automation of sorting, selection of somatic embryogenesis for clonal propagation of plants,</t>
  </si>
  <si>
    <t>Greeshma Agasthya</t>
  </si>
  <si>
    <t>greeshma.agasthya@me.gatech.edu</t>
  </si>
  <si>
    <t>(1) developing multiscale digital twins for personalized radiation dosimetry for imaging, therapy, and theranostics, (2) modeling and simulations to assess novel radiation protocols from cancer diagnosis to cancer treatment, and (3) developing AI frameworks to model patient trajectories for early intervention and treatment in oncology.</t>
  </si>
  <si>
    <t>George W. Woodruff School of Mechanical Engineering</t>
  </si>
  <si>
    <t>Alexander Alexeev</t>
  </si>
  <si>
    <t>alexander.alexeev@me.gatech.edu</t>
  </si>
  <si>
    <t>Fluid Mechanics and Heat Transfer, Combustion, and Energy Systems Fluid mechanics of complex fluids, soft materials, multiphase and granular flows, surface-tension-driven flows, aerosol mechanics, computational fluid mechanics coarse-grained numerical simulations</t>
  </si>
  <si>
    <t>Fluid Mechanics , Heat Transfer, Combustion, Energy Systems Fluid mechanics of complex fluids, soft materials, multiphase , granular flows, surface-tension-driven flows, aerosol mechanics, computational fluid mechanics coarse-grained numerical simulations</t>
  </si>
  <si>
    <t>Antonia Antoniou</t>
  </si>
  <si>
    <t>antonia.antoniou@me.gatech.edu</t>
  </si>
  <si>
    <t>Mechanics of Materials Experimental mechanics, micro and nanomechanics, mechanochemical interactions, stress corrosion, and fracture</t>
  </si>
  <si>
    <t>Mechanics of Materials Experimental mechanics, micro , nanomechanics, mechanochemical interactions, stress corrosion, fracture</t>
  </si>
  <si>
    <t>#5 - Mechanical Engineering</t>
  </si>
  <si>
    <t>Costas D. Arvanitis</t>
  </si>
  <si>
    <t>costas.arvanitis@gatech.edu</t>
  </si>
  <si>
    <t>Dr. Arvanitis’ research is focused on biomedical ultrasound and image guided therapy. His work focuses on understanding the biological effects of ultrasound and of acoustically induced microbubble oscillations (acoustic cavitation) and using them to study complex biological systems, such as the neurovascular network and the tumor microenvironment, with the goal of developing novel therapies for the treatment of cancer and central nervous system diseases and disorders.</t>
  </si>
  <si>
    <t>biomedical ultrasound , image guided therapy, His work focuses on underst,ing the biological effects of ultrasound , of acoustically induced microbubble oscillations (acoustic cavitation) , using them to study complex biological systems, such as the neurovascular network , the tumor microenvironment, with the goal of developing novel therapies for the treatment of cancer , central nervous system diseases , disorders,</t>
  </si>
  <si>
    <t>#5 - Best Engineering Schools</t>
  </si>
  <si>
    <t>Nazanin Bassiri-Gharb</t>
  </si>
  <si>
    <t>nazanin.bassirigharb@me.gatech.edu</t>
  </si>
  <si>
    <t>Micro and Nano Engineering and Mechanics of Materials, Ferroelectric thin films and nanostructures synthesis and characterization, Piezoelectric NEMS/MEMS sensors and actuators</t>
  </si>
  <si>
    <t>Micro , Nano Engineering , Mechanics of Materials, Ferroelectric thin films , nanostructures synthesis , characterization, Piezoelectric NEMS/MEMS sensors , actuators</t>
  </si>
  <si>
    <t>Hailong Chen</t>
  </si>
  <si>
    <t>hailong.chen@me.gatech.edu</t>
  </si>
  <si>
    <t>The research in Chen grou, Pis cross-disciplinary, bridging u, Pmechanical engineering, chemistry and materials science, focusing on electrochemical energy storage related materials and devices, as well as functional and structural metals/alloys. The technical expertise of the grou, Pinclude development and application of advance in situ characterization methods for energy storage devices, computation-aided materials design and novel synthesis methods for nanostructured materials.</t>
  </si>
  <si>
    <t>cross-disciplinary, bridging u, Pmechanical engineering, chemistry , materials science, focusing on electrochemical energy storage related materials , devices, as well as functional , structural metals/alloys, The technical expertise of the grou, Pinclude development , application of advance in situ characterization methods for energy storage devices, computation-aided materials design , novel synthesis methods for nanostructured materials,</t>
  </si>
  <si>
    <t xml:space="preserve">Tony G. Chen </t>
  </si>
  <si>
    <t>tonygchen@gatech.edu</t>
  </si>
  <si>
    <t>His research focuses on designing mechanical intelligent mechanisms for various different robotics applications</t>
  </si>
  <si>
    <t>Seung-Kyum Choi</t>
  </si>
  <si>
    <t>seungkyum.choi@me.gatech.edu</t>
  </si>
  <si>
    <t>Computer-Aided Engineering and Mechanics of Materials, additive manufacturing, robust design, modeling uncertainty, probabilistic mechanics, and multidisciplinary optimization.</t>
  </si>
  <si>
    <t>Computer-Aided Engineering , Mechanics of Materials, additive manufacturing, robust design, modeling uncertainty, probabilistic mechanics, multidisciplinary optimization,</t>
  </si>
  <si>
    <t>Baratunde A. Cola</t>
  </si>
  <si>
    <t>cola@gatech.edu</t>
  </si>
  <si>
    <t>Heat Transfer, Combustion and Energy Systems and Micro and Nano Engineering Thermal management of electronics, energy transport and conversion at the nanoscale, and applications of carbon nanotubes.</t>
  </si>
  <si>
    <t>Heat Transfer, Combustion , Energy Systems , Micro , Nano Engineering Thermal management of electronics, energy transport , conversion at the nanoscale, applications of carbon nanotubes,</t>
  </si>
  <si>
    <t>Jonathan S. Colton</t>
  </si>
  <si>
    <t>jonathan.colton@me.gatech.edu</t>
  </si>
  <si>
    <t>Manufacturing, CAE &amp; Design and Micro and Nano Engineering, Humanitarian Design and Engineering (Hum, DE), Manufacturing, Production, and Design, Polymer and polymer composites, Biomedical and Medical Devices, Technologies for developing countries and other resource-limited environment, Product development and industrial design.</t>
  </si>
  <si>
    <t>Manufacturing, CAE &amp; Design , Micro , Nano Engineering, Humanitarian Design , Engineering (Hum, DE), Manufacturing, Production, Design, Polymer , polymer composites, Biomedical , Medical Devices, Technologies for developing countries , other resource-limited environment, Product development , industrial design,</t>
  </si>
  <si>
    <t>Suman Das</t>
  </si>
  <si>
    <t>suman.das@me.gatech.edu</t>
  </si>
  <si>
    <t>Manufacturing, Mechanics of Materials, Bioengineering, and Micro and Nano Engineering. Advanced manufacturing and materials processing of metallic, polymeric, ceramic, and composite materials for applications in life sciences, propulsion, and energy.</t>
  </si>
  <si>
    <t>Manufacturing, Mechanics of Materials, Bioengineering, Micro , Nano Engineering, Advanced manufacturing , materials processing of metallic, polymeric, ceramic, composite materials for applications in life sciences, propulsion, energy,</t>
  </si>
  <si>
    <t>Nico F. Declercq</t>
  </si>
  <si>
    <t>declercq@gatech.edu</t>
  </si>
  <si>
    <t>Acoustics and Dynamics, Ultrasonic nondestructive evaluation, physical acoustics, acousto-optics, materials characterization, acoustic microscopy and phononic crystals</t>
  </si>
  <si>
    <t>Acoustics , Dynamics, Ultrasonic nondestructive evaluation, physical acoustics, acousto-optics, materials characterization, acoustic microscopy , phononic crystals</t>
  </si>
  <si>
    <t>F. Levent Degertekin</t>
  </si>
  <si>
    <t>levent.degertekin@me.gatech.edu</t>
  </si>
  <si>
    <t>Micro and Nano Engineering and Acoustics and Dynamics, Micromachined ultrasonic and opto-acoustic transducers, atomic force microscopy, and medical ultrasound imaging.</t>
  </si>
  <si>
    <t>Micro , Nano Engineering , Acoustics , Dynamics, Micromachined ultrasonic , opto-acoustic transducers, atomic force microscopy, medical ultrasound imaging,</t>
  </si>
  <si>
    <t>$14,064 per year (in-state, full-time)</t>
  </si>
  <si>
    <t>Chaitanya S. Deo</t>
  </si>
  <si>
    <t>chaitanya.deo@nre.gatech.edu</t>
  </si>
  <si>
    <t>Nuclear and Radiological Engineering, Structure property relationships in nuclear materials theory and simulations across electronic, atomic, mesoscopic and continuum scales. Radiation effects in materials for nuclear energy including structural materials and nuclear fuels identifying atomic mechanisms in defect mobility and interaction in crystalline solids and modeling the collective evolution of defects.</t>
  </si>
  <si>
    <t>Nuclear , Radiological Engineering, Structure property relationships in nuclear materials theory , simulations across electronic, atomic, mesoscopic , continuum scales, Radiation effects in materials for nuclear energy including structural materials , nuclear fuels identifying atomic mechanisms in defect mobility , interaction in crystalline solids , modeling the collective evolution of defects,</t>
  </si>
  <si>
    <t>Jaydev Desai</t>
  </si>
  <si>
    <t>jaydev@gatech.edu</t>
  </si>
  <si>
    <t>Image-guided Surgical Robotics, Rehabilitation Robotics, Cancer diagnosis at the micro-scale, and Grasping.</t>
  </si>
  <si>
    <t>Image-guided Surgical Robotics, Rehabilitation Robotics, Cancer diagnosis at the micro-scale, Grasping,</t>
  </si>
  <si>
    <t>Shaheen Dewji</t>
  </si>
  <si>
    <t>shaheen.dewji@gatech.edu</t>
  </si>
  <si>
    <t xml:space="preserve">Thrust Area 1 - Computational Dosimetry Research activities include the development of dose coefficients using age/sex-specific anthropomorphic computational phantoms and radionuclide biokinetic models for occupational nuclear workers, members of the public, nuclear medicine, space, defense, and emergency response.Thrust Area 2 - Radiation Detection Research activities include the employment of validation and verification of gamma-ray spectroscopic detector responses for contaminated environmental media for environmental assessment and decommissioning, field triage assessment of radiation uptake during nuclear, radiological, and fission product release events, and nuclear materials control, accounting, and safeguards of special nuclear material.Thrust Area 3 - Nuclear Safety, Security &amp; Nonproliferation Policy, and Nuclear Knowledge Management Research activities include evaluation of nuclear safety, security, and nonproliferation policy, including low dose regulation, nuclear safeguards and nonproliferation, emergency response, nuclear forensics, and nuclear knowledge management. </t>
  </si>
  <si>
    <t xml:space="preserve">Computational Dosimetry Research activities include the development of dose coefficients using age/sex-specific anthropomorphic computational phantoms , radionuclide biokinetic models for occupational nuclear workers, members of the public, nuclear medicine, space, defense, emergency response,Radiation Detection Research activities include the employment of validation , verification of gamma-ray spectroscopic detector responses for contaminated environmental media for environmental assessment , decommissioning, field triage assessment of radiation uptake during nuclear, radiological, fission product release events, nuclear materials control, accounting, safeguards of special nuclear material,Thrust Area 3 - Nuclear Safety, Security &amp; Nonproliferation Policy, Nuclear Knowledge Management Research activities include evaluation of nuclear safety, security, nonproliferation policy, including low dose regulation, nuclear safeguards , nonproliferation, emergency response, nuclear forensics, nuclear knowledge management, </t>
  </si>
  <si>
    <t>Bachir El Fil</t>
  </si>
  <si>
    <t>bachir.elfil@me.gatech.edu</t>
  </si>
  <si>
    <t>J. Brandon Dixon</t>
  </si>
  <si>
    <t>dixon@gatech.edu</t>
  </si>
  <si>
    <t>Bioengineering Lymphatics, lipid metabolism, biomechanics, biomedical optics, image processing, and tissue engineering</t>
  </si>
  <si>
    <t>Bioengineering Lymphatics, lipid metabolism, biomechanics, biomedical optics, image processing, tissue engineering</t>
  </si>
  <si>
    <t>Anna Erickson</t>
  </si>
  <si>
    <t>anna.erickson@me.gatech.edu</t>
  </si>
  <si>
    <t>Nuclear and Radiological Engineering, Medical Physics Advanced radiation detection, nuclear security and safeguards, advanced nuclear systems design and analysis with emphasis on safety and performance.</t>
  </si>
  <si>
    <t>Nuclear , Radiological Engineering, Medical Physics Advanced radiation detection, nuclear security , safeguards, advanced nuclear systems design , analysis with emphasis on safety , performance</t>
  </si>
  <si>
    <t>Aldo A. Ferri</t>
  </si>
  <si>
    <t>al.ferri@me.gatech.edu</t>
  </si>
  <si>
    <t>Acoustics and Dynamics and Automation and Mechatronics, Acoustics, structural dynamics, and nonlinear dynamics and control.</t>
  </si>
  <si>
    <t>Acoustics , Dynamics , Automation , Mechatronics, Acoustics, structural dynamics, nonlinear dynamics , control</t>
  </si>
  <si>
    <t>Craig R. Forest</t>
  </si>
  <si>
    <t>craig.forest@me.gatech.edu</t>
  </si>
  <si>
    <t>Neuroengineering tools and robotics, ultra-high throughput genomics and molecular measurement instrumentation, 3-D microfabrication and bio, MEMS technologies for neuroscience and genomics applications, and micro-lenslet arrays</t>
  </si>
  <si>
    <t>Neuroengineering tools , robotics, ultra-high throughput genomics , molecular measurement instrumentation, 3-D microfabrication , bio, MEMS technologies for neuroscience , genomics applications, micro-lenslet arrays</t>
  </si>
  <si>
    <t>Caroline L. Genzale</t>
  </si>
  <si>
    <t>caroline.genzale@me.gatech.edu</t>
  </si>
  <si>
    <t>Heat Transfer, Combustion, and Energy Systems Internal combustion engines, physics and chemistry of spray combustion, pollution formation and mitigation, sustainable fuels, optical diagnostics, and computational fluid dynamics.</t>
  </si>
  <si>
    <t>Heat Transfer, Combustion, Energy Systems Internal combustion engines, physics , chemistry of spray combustion, pollution formation , mitigation, sustainable fuels, optical diagnostics, computational fluid dynamics</t>
  </si>
  <si>
    <t>S. Mostafa Ghiaasiaan</t>
  </si>
  <si>
    <t>mghiaasiaan@me.gatech.edu</t>
  </si>
  <si>
    <t>Heat Transfer, Combustion, and Energy Systems and Nuclear and Radiological Engineering and Medical Physics, Multiphase flow, aerosol and particle transport, microscale heat transfer, nuclear reactor thermohydraulics and safety, and cryogenics and cryocoolers</t>
  </si>
  <si>
    <t>Heat Transfer, CombustionEnergy Systems , Nuclear , Radiological Engineering , Medical Physics, Multiphase flow, aerosol , particle transport, microscale heat transfer, nuclear reactor thermohydraulics , safety, cryogenics , cryocoolers</t>
  </si>
  <si>
    <t>Rudolph L. Gleason</t>
  </si>
  <si>
    <t>rudy.gleason@me.gatech.edu</t>
  </si>
  <si>
    <t>Bioengineering and Mechanics of Materials, Cardiovascular mechanics, soft tissue growth and remodeling, and tissue engineering.</t>
  </si>
  <si>
    <t>Bioengineering , Mechanics of Materials, Cardiovascular mechanics, soft tissue growth , remodeling, tissue engineering,</t>
  </si>
  <si>
    <t>Samuel Graham</t>
  </si>
  <si>
    <t>sam.graham@me.gatech.edu</t>
  </si>
  <si>
    <t>Micro and Nano Engineering, Microscale heat transfer, thermophysical properties, nanostructured materials, nanodevices, and device reliability.</t>
  </si>
  <si>
    <t>Micro , Nano Engineering, Microscale heat transfer, thermophysical properties, nanostructured materials, nanodevices, device reliability,</t>
  </si>
  <si>
    <t>Itzhak Green</t>
  </si>
  <si>
    <t>itzhak.green@me.gatech.edu</t>
  </si>
  <si>
    <t>Tribology and Acoustics and Dynamics, Hydrodynamic lubrication, vibrations, rotordynamics, fluid sealing, tribology, design and diagnostics.</t>
  </si>
  <si>
    <t>Tribology , Acoustics , Dynamics, Hydrodynamic lubrication, vibrations, rotordynamics, fluid sealing, tribology, design, diagnostics</t>
  </si>
  <si>
    <t>Frank L. Hammond III</t>
  </si>
  <si>
    <t>frank.hammond@me.gatech.edu</t>
  </si>
  <si>
    <t xml:space="preserve">Dr. Hammond’s research focuses on the design and control of adaptive robotic manipulation (ARM) systems. </t>
  </si>
  <si>
    <t>design , control of adaptive robotic manipulation (ARM) systems</t>
  </si>
  <si>
    <t>Tequila A. L. Harris</t>
  </si>
  <si>
    <t>tequila.harris@me.gatech.edu</t>
  </si>
  <si>
    <t>Manufacturing and Fluid Mechanics, Polymer processing, mechanical system design, fluid flow, and mechanical and physical property characterization of thin film.</t>
  </si>
  <si>
    <t>Manufacturing , Fluid Mechanics, Polymer processing, mechanical system design, fluid flowmechanical , physical property characterization of thin film,</t>
  </si>
  <si>
    <t>Marta Hatzell</t>
  </si>
  <si>
    <t>marta.hatzell@me.gatech.edu</t>
  </si>
  <si>
    <t>Combustion and Energy Systems, Electrochemical energy conversion, generation, and storage, Hydrogen production, Renewable energy, Waste conversion, Waste heat recovery, Desalination, Water treatment, Electrochemical energy production from natural and engineered salinity gradients</t>
  </si>
  <si>
    <t>Combustion , Energy Systems, Electrochemical energy conversion, generation, storage, Hydrogen production, Renewable energy, Waste conversion, Waste heat recovery, Desalination, Water treatment, Electrochemical energy production from natural,engineered salinity gradients</t>
  </si>
  <si>
    <t>Nolan E. Hertel</t>
  </si>
  <si>
    <t>nolan.hertel@nre.gatech.edu</t>
  </si>
  <si>
    <t>Nuclear and Radiological Engineering/Medical Physics, Radiation detection and shielding, neutron spectrometry and dosimetry, radiological assessment, radiation sources and applications, and computational dosimetry.</t>
  </si>
  <si>
    <t>Nuclear , Radiological Engineering/Medical Physics, Radiation detection , shielding, neutron spectrometry , dosimetry, radiological assessment, radiation sources , applications, computational dosimetry,</t>
  </si>
  <si>
    <t>Peter J. Hesketh</t>
  </si>
  <si>
    <t>peter.hesketh@me.gatech.edu</t>
  </si>
  <si>
    <t>Micro and Nano Engineering and Manufacturing, Microfabrication, micromachining, sensors, actuators, biosensors, and microfluid</t>
  </si>
  <si>
    <t>Micro , Nano Engineering , Manufacturing, Microfabrication, micromachining, sensors, actuators, biosensors, microfluid</t>
  </si>
  <si>
    <t>David Hu</t>
  </si>
  <si>
    <t>hu@me.gatech.edu</t>
  </si>
  <si>
    <t>Fluid Mechanics Fluid dynamics, solid mechanics, biomechanics, locomotion, and physical applied mathematics</t>
  </si>
  <si>
    <t>Fluid Mechanics Fluid dynamics, solid mechanics, biomechanics, locomotion, physical applied mathematics</t>
  </si>
  <si>
    <t>Yuhang Hu</t>
  </si>
  <si>
    <t>yuhang.hu@me.gatech.edu</t>
  </si>
  <si>
    <t>Mechanics of Soft Active Materials  stimuli-responsive gels, soft biological tissues, and bio-inspired interfacial materials. The exploratory phenomena include poroelasticity, coupled deformation and chemical reaction, and multi-scale contact of soft wet materials.</t>
  </si>
  <si>
    <t>Mechanics of Soft Active Materials  stimuli-responsive gels, soft biological tissues, bio-inspired interfacial materials, The exploratory phenomena include poroelasticity, coupled deformation , chemical reaction, multi-scale contact of soft wet materials,</t>
  </si>
  <si>
    <t>Karl I. Jacob</t>
  </si>
  <si>
    <t>karl.jacob@mse.gatech.edu</t>
  </si>
  <si>
    <t>Mechanics of Materials, Phase transformation &amp; clustering, nanoscale modeling such as molecular dynamics and Monte Carlo methods, nanostructured composites, networked polymers, fracture, and drug delivery systems.</t>
  </si>
  <si>
    <t>Mechanics of Materials, Phase transformation &amp; clustering, nanoscale modeling such as molecular dynamics , Monte Carlo methods, nanostructured composites, networked polymers, fracture, drug delivery systems,</t>
  </si>
  <si>
    <t>Laurence J. Jacobs</t>
  </si>
  <si>
    <t>laurence.jacobs@coe.gatech.edu</t>
  </si>
  <si>
    <t>Mechanics of Materials and Acoustics and Dynamics, Nondestructive evaluation, wave propogation in solids, and experimental mechanics</t>
  </si>
  <si>
    <t>Mechanics of Materials , Acoustics , Dynamics, Nondestructive evaluation, wave propogation in solids, experimental mechanics</t>
  </si>
  <si>
    <t>Suhas S. Jain</t>
  </si>
  <si>
    <t xml:space="preserve">His s include computational modeling of fluid flows (multiphase flows, turbulent flows, compressible flows, and fluid-structure interaction) with a current focus on modeling atomization, sprays, and phase change for propulsion applications, ice accretion and aerodynamics for sustainable energy and aerospace design, and air-sea interaction modeling for understanding climate change, and modeling of fluid-solid and solid-solid systems for biomedical and high-speed applications. Through the integration of numerical modeling, high-performance computing, and data-driven approaches, Jain aims to address key challenges in these areas. </t>
  </si>
  <si>
    <t>computational modeling of fluid flows (multiphase flows, turbulent flows, compressible flows, fluid-structure interaction) with a current focus on modeling atomization, sprays, phase change for propulsion applications, ice accretion , aerodynamics for sustainable energy , aerospace design, air-sea interaction modeling for underst,ing climate change, modeling of fluid-solid , solid-solid systems for biomedical , high-speed applications</t>
  </si>
  <si>
    <t>Roger Jiao</t>
  </si>
  <si>
    <t>roger.jiao@me.gatech.edu</t>
  </si>
  <si>
    <t>Computer-Aided Engineering and Design and Manufacturing, Enterprise and industrial systems engineering, information engineering for complex engineered systems, production and operations management, affective design, decision-based design, and human-machine interfaces</t>
  </si>
  <si>
    <t>Computer-Aided Engineering , Design , Manufacturing, Enterprise , industrial systems engineering, information engineering for complex engineered systems, production , operations management, affective design, decision-based design, human-machine interfaces</t>
  </si>
  <si>
    <t>Surya Kalidindi</t>
  </si>
  <si>
    <t>surya.kalidindi@me.gatech.edu</t>
  </si>
  <si>
    <t>Physics-Based Multi-scale Models, Crystal Plasticity, Crystallographic Slip, Deformation Twinning, Texture Evolution, Finite Element Models, Computational Mechanics and Materials Science.Microstructure Sensitive Design, n-point Statistics, Microstructure Hulls, Property Closures, Process Networks, Spectral Methods for Microstructure-Property-Processing Linkages.Microstructure Informatics, Data Analytics, Materials Knowledge Systems, Cyberinfrastructure for Materials Innovation.Characterization of Local Anisotropic Mechanical Behavior in Heterogeneous Materials using Spherical Nanoindentation and extracting Indentation Stress-Strain Curves.Microstructure-Property Relationships in Bone, Bone Quality, Raman Spectroscopy.</t>
  </si>
  <si>
    <t>Physics-Based Multi-scale Models, Crystal Plasticity, Crystallographic Slip, Deformation Twinning, Texture Evolution, Finite Element Models, Computational Mechanics , Materials Science,Microstructure Sensitive Design, n-point Statistics, Microstructure Hulls, Property Closures, Process Networks, Spectral Methods for Microstructure-Property-Processing Linkages,Microstructure Informatics, Data Analytics, Materials Knowledge Systems, Cyberinfrastructure for Materials Innovation,Characterization of Local Anisotropic Mechanical Behavior in Heterogeneous Materials using Spherical Nanoindentation , extracting Indentation Stress-Strain Curves,Microstructure-Property Relationships in Bone, Bone Quality, Raman Spectroscopy,</t>
  </si>
  <si>
    <t>YongTae (Tony) Kim</t>
  </si>
  <si>
    <t>yongtae.kim@me.gatech.edu</t>
  </si>
  <si>
    <t>Biomimetic microsystems (Organ-on-a-Chip), Multifunctional nanomaterials, Synthetic biomaterials, Tissue engineering, Microfluidics, Dynamics and controls, Mechatronics, and Robotics.</t>
  </si>
  <si>
    <t>Biomimetic microsystems (Organ-on-a-Chip), Multifunctional nanomaterials, Synthetic biomaterials, Tissue engineering, Microfluidics, Dynamics , controls, Mechatronics, Robotics,</t>
  </si>
  <si>
    <t>Dan Kotlyar</t>
  </si>
  <si>
    <t>dan.kotlyar@me.gatech.edu</t>
  </si>
  <si>
    <t xml:space="preserve">Thrust 1 Advanced Reactor Physics Modeling Tools, which are necessary to understand the operational limits and assess fuel performance, in terms of burnu, Pand thermal hydraulic reliability, and the Associated safety margins.Thrust 2 Design of Advanced Nuclear Systemsfor both terrestrial and special purpose applications. Dr. Kotlyar’s research in this area includes the design of various reactor types and fuel cycle options to address the issues of the current fuel cycles most efficiently. This part of his research also focuses on concerns about nuclear proliferation, resource utilization, and waste repository sizing. </t>
  </si>
  <si>
    <t xml:space="preserve"> Advanced Reactor Physics Modeling Tools, which are necessary to underst, the operational limits , assess fuel performance, in terms of burnu, P, thermal hydraulic reliability, the Associated safety margins,Design of Advanced Nuclear Systemsfor both terrestrial , special purpose applications,</t>
  </si>
  <si>
    <t>Shreyas Kousik</t>
  </si>
  <si>
    <t>shreyas.kousik@me.gatech.edu</t>
  </si>
  <si>
    <t>Automation, Robotics, and Control</t>
  </si>
  <si>
    <t>Automation, Robotics, Control</t>
  </si>
  <si>
    <t>David N. Ku</t>
  </si>
  <si>
    <t>david.ku@me.gatech.edu</t>
  </si>
  <si>
    <t>Bioengineering and Fluid Mechanics, Biofluid mechanics, medical devices, medical implants, translational technology, and entrepreneurship.</t>
  </si>
  <si>
    <t>Bioengineering , Fluid Mechanics, Biofluid mechanics, medical devices, medical implants, translational technology, entrepreneurship,</t>
  </si>
  <si>
    <t>Satish Kumar</t>
  </si>
  <si>
    <t>satish.kumar@me.gatech.edu</t>
  </si>
  <si>
    <t>Heat Transfer and Fluid Mechanics micro-nano heat transfer, electro-thermal transport, nanoscale materials and devices, computational fluid dynamics, bio-fluids, and electronics cooling.</t>
  </si>
  <si>
    <t>Heat Transfer , Fluid Mechanics micro-nano heat transfer, electro-thermal transport, nanoscale materials , devices, computational fluid dynamics, bio-fluids, electronics cooling,</t>
  </si>
  <si>
    <t>Michael J. Leamy</t>
  </si>
  <si>
    <t>michael.leamy@me.gatech.edu</t>
  </si>
  <si>
    <t>Acoustics and Dynamics and Mechanics of Materials, Computational and nonlinear dynamics of reduced-dimensional structures and materials, multiscale modeling of nanostructured materials, and nonlinear behavior in automotive accessory drives.</t>
  </si>
  <si>
    <t>Acoustics , Dynamics , Mechanics of Materials, Computational , nonlinear dynamics of reduced-dimensional structures , materials, multiscale modeling of nanostructured materials, nonlinear behavior in automotive accessory drives,</t>
  </si>
  <si>
    <t>Kok-Meng Lee</t>
  </si>
  <si>
    <t>kokmeng.lee@me.gatech.edu</t>
  </si>
  <si>
    <t>Automation and Mechatronics, System dynamics, control, automation, optomechatronics, vision, magnteics, flexonics, and handling of biomaterials</t>
  </si>
  <si>
    <t>Automation , Mechatronics, System dynamics, control, automation, optomechatronics, vision, magnteics, flexonics, h,ling of biomaterials</t>
  </si>
  <si>
    <t>Seung Woo Lee</t>
  </si>
  <si>
    <t>seung.lee@me.gatech.edu</t>
  </si>
  <si>
    <t>Heat Transfer, Combustion and Energy Systems and Micro and Nano Engineering Electrochemical energy storage and conversion systems, batteries and supercapacitors, catalysis and fuel cells, CO2 reduction and water-splitting for solar energy storage, electrochemical reaction mechanisms, nanostructured electrodes and electrocatalysts, self-assembly of nano-objects.</t>
  </si>
  <si>
    <t>Heat Transfer, Combustion , Energy Systems , Micro , Nano Engineering Electrochemical energy storage , conversion systems, batteries , supercapacitors, catalysis , fuel cells, CO2 reduction , water-splitting for solar energy storage, electrochemical reaction mechanisms, nanostructured electrodes , electrocatalysts, self-assembly of nano-objects,</t>
  </si>
  <si>
    <t>Steven Y. Liang</t>
  </si>
  <si>
    <t>steven.liang@me.gatech.edu</t>
  </si>
  <si>
    <t>Manufacturing and Automation and Mechatronics, Modeling, monitoring, and control of advanced manufacturing processes and equipment.</t>
  </si>
  <si>
    <t>Manufacturing , Automation , Mechatronics, Modeling, monitoring, control of advanced manufacturing processes , equipment,</t>
  </si>
  <si>
    <t>Timothy C. Lieuwen</t>
  </si>
  <si>
    <t>tim.lieuwen@aerospace.gatech.edu</t>
  </si>
  <si>
    <t>Heat Transfer, Combustion, and Energy Systems and Acoustics and Dynamics, Low emissions, alternative fuel, energy, combustion, and acoustics</t>
  </si>
  <si>
    <t>Heat Transfer, Combustion, Energy Systems , Acoustics , Dynamics, Low emissions, alternative fuel, energy, combustion, acoustics</t>
  </si>
  <si>
    <t>Julie Linsey</t>
  </si>
  <si>
    <t>julie.linsey@me.gatech.edu</t>
  </si>
  <si>
    <t>Design Cognition, Engineering Design Theory and Methods, Engineering Innovation and Creativity, Design by Analogy / Bioinspired Design, Engineering Education</t>
  </si>
  <si>
    <t>Design Cognition, Engineering Design Theory , Methods, Engineering Innovation , Creativity, Design by Analogy / Bioinspired Design, Engineering Education</t>
  </si>
  <si>
    <t>Peter Loutzenhiser</t>
  </si>
  <si>
    <t>peter.loutzenhiser@me.gatech.edu</t>
  </si>
  <si>
    <t>Heat Transfer, Combustion, and Energy Systems Solar fuels and technologies, radiative heat transfer, and thermodynamic and kinetic analyses.</t>
  </si>
  <si>
    <t>Heat Transfer, Combustion, Energy Systems Solar fuels , technologies, radiative heat transfer, thermodynamic , kinetic analyses,</t>
  </si>
  <si>
    <t>J. RheTTMayor</t>
  </si>
  <si>
    <t>rhett.mayor@me.gatech.edu</t>
  </si>
  <si>
    <t>Manufacturing and Heat Transfer, Combustion and Energy Systems, Micro-factories, micro/meso-scale manufacturing processes, integrated micro-mechatronics, micro-engines, and micro-power generation</t>
  </si>
  <si>
    <t>Manufacturing , Heat Transfer, Combustion , Energy Systems, Micro-factories, micro/meso-scale manufacturing processes, integrated micro-mechatronics, micro-engines, micro-power generation</t>
  </si>
  <si>
    <t>Anirban Mazumdar</t>
  </si>
  <si>
    <t>anirban.mazumdar@me.gatech.edu</t>
  </si>
  <si>
    <t>Automation &amp; Mechatronics Mobile robotics, uninhabited aerial vehicles, energy efficient mobile systems, underwater vehicles, advanced maneuverability.</t>
  </si>
  <si>
    <t>Automation &amp; Mechatronics Mobile robotics, uninhabited aerial vehicles, energy efficient mobile systems, underwater vehicles, advanced maneuverability,</t>
  </si>
  <si>
    <t>Ellen Yi Chen Mazumdar</t>
  </si>
  <si>
    <t>ellen.mazumdar@me.gatech.edu</t>
  </si>
  <si>
    <t xml:space="preserve">Scientific advancements in fields ranging from flow diagnostics to autonomous vehicles rely on the ability to quantitatively sense, measure, and understand physical phenomena. As we study more complex systems in harsher environments, new methods are needed for gathering and perceiving information.  </t>
  </si>
  <si>
    <t>Scientific advancements in fields ranging from flow diagnostics to autonomous vehicles rely on the ability to quantitatively sense, measure, underst, physical phenomena, As we study more complex systems in harsher environments, new methods are needed for gathering , perceiving information</t>
  </si>
  <si>
    <t>Matthew McDowell</t>
  </si>
  <si>
    <t>mattmcdowell@gatech.edu</t>
  </si>
  <si>
    <t>Mechanics of materials, micro- and nanoengineering, heat transfer, combustion and energy systems. Electrochemical energy conversion and storage, batteries, in situ characterization of electrochemical energy materials and systems, reaction mechanisms and phase transformations, mechanics of energy materials, mesoscale dynamics of energy systems, catalysis, water splitting for solar fuels, engineering of nanostructured materials and devices.</t>
  </si>
  <si>
    <t>Mechanics of materials, micro- , nanoengineering, heat transfer, combustion , energy systems, Electrochemical energy conversion , storage, batteries, in situ characterization of electrochemical energy materials , systems, reaction mechanisms , phase transformations, mechanics of energy materials, mesoscale dynamics of energy systems, catalysis, water splitting for solar fuels, engineering of nanostructured materials , devices,</t>
  </si>
  <si>
    <t>David L. McDowell</t>
  </si>
  <si>
    <t>david.mcdowell@me.gatech.edu</t>
  </si>
  <si>
    <t>Mechanics of Materials and Computer-Aided Engineering and Design, Material deformation and damage, constitutive laws, and metals processing</t>
  </si>
  <si>
    <t>Mechanics of Materials , Computer-Aided Engineering , Design, Material deformation , damage, constitutive laws, metals processing</t>
  </si>
  <si>
    <t>Julien Meaud</t>
  </si>
  <si>
    <t>julien.meaud@me.gatech.edu</t>
  </si>
  <si>
    <t>Acoustics and Dynamics, Mechanics of Materials and Bioengineering Auditory mechanics, physiological acoustics, composite materials, computational mechanics, finite element method, viscoelasticity</t>
  </si>
  <si>
    <t>Acoustics , Dynamics, Mechanics of Materials , Bioengineering Auditory mechanics, physiological acoustics, composite materials, computational mechanics, finite element method, viscoelasticity</t>
  </si>
  <si>
    <t>Shreyes N. Melkote</t>
  </si>
  <si>
    <t>shreyes.melkote@me.gatech.edu</t>
  </si>
  <si>
    <t>Manufacturing and Tribology, Precision machining, hybrid processes, surface modification, AI/ML for manufacturing, robotics for manufacturing</t>
  </si>
  <si>
    <t>Manufacturing , Tribology, Precision machining, hybrid processes, surface modification, AI/ML for manufacturing, robotics for manufacturing</t>
  </si>
  <si>
    <t>Akanksha Menon</t>
  </si>
  <si>
    <t>akanksha.menon@me.gatech.edu</t>
  </si>
  <si>
    <t>Heat transfer and energy systems, Micro and nano engineering, Solar/thermal desalination and zero liquid discharge, Thermal/thermochemical energy storage, Waste heat recovery/energy harvesting, Functional materials</t>
  </si>
  <si>
    <t>Heat transfer , energy systems, Micro , nano engineering, Solar/thermal desalination , zero liquid discharge, Thermal/thermochemical energy storage, Waste heat recovery/energy harvesting, Functional materials</t>
  </si>
  <si>
    <t>Karthik Menon</t>
  </si>
  <si>
    <t>karthik.menon@me.gatech.edu</t>
  </si>
  <si>
    <t>Menon’s broad research interests include fluid mechanics, computational modeling, and data-driven methods. His research aims to advance interdisciplinary technology in a wide range of healthcare, engineering and energy applications.</t>
  </si>
  <si>
    <t>Bojan Petrovic</t>
  </si>
  <si>
    <t>bojan.petrovic@gatech.edu</t>
  </si>
  <si>
    <t>Nuclear and Radiological Engineering Reactor physics, advanced reactors design, nuclear fuel cycle and waste management, modeling and simulations of nuclear systems, industrial and medical applications of nuclear technology.</t>
  </si>
  <si>
    <t>Nuclear , Radiological Engineering Reactor physics, advanced reactors design, nuclear fuel cycle , waste management, modeling , simulations of nuclear systems, industrial , medical applications of nuclear technology,</t>
  </si>
  <si>
    <t>Olivier Pierron</t>
  </si>
  <si>
    <t>olivier.pierron@me.gatech.edu</t>
  </si>
  <si>
    <t>Mechanics of Materials and Micro and Nano Engineering Nanomechanics, thin film mechanics, fatigue, fracture, plasticity.</t>
  </si>
  <si>
    <t>Mechanics of Materials , Micro , Nano Engineering Nanomechanics, thin film mechanics, fatigue, fracture, plasticity,</t>
  </si>
  <si>
    <t>Raghuram V. Pucha</t>
  </si>
  <si>
    <t>raghuram.pucha@me.gatech.edu</t>
  </si>
  <si>
    <t>Computer-Aided Engineering &amp; Design and Manufacturing Design, analysis and manufacturing of composite materials for structural and electronics applications, Manufacturing Process Mechanics and Design-for-Reliability.</t>
  </si>
  <si>
    <t>Computer-Aided Engineering &amp; Design , Manufacturing Design, analysis , manufacturing of composite materials for structural , electronics applications, Manufacturing Process Mechanics , Design-for-Reliability,</t>
  </si>
  <si>
    <t>H. Jerry Qi</t>
  </si>
  <si>
    <t>qih@me.gatech.edu</t>
  </si>
  <si>
    <t>Mechanics of Materials, Soft active materials, 3D/4D printing technology, 3D printing of active materials and structures, Design of active materials and structures, Recyclable polymer systems, Experimental characterization and constitutive modeling of nonlinear thermoviscoelastic behaviors of polymers, Polymer physics and mechanics, Photo-mechanics of light activated polymers, Shape memory polymers, Nonlinear finite element analysis, Mechanics of soft tissue growth.</t>
  </si>
  <si>
    <t>Mechanics of Materials, Soft active materials, 3D/4D printing technology, 3D printing of active materials , structures, Design of active materials , structures, Recyclable polymer systems, Experimental characterization , constitutive modeling of nonlinear thermoviscoelastic behaviors of polymers, Polymer physics , mechanics, Photo-mechanics of light activated polymers, Shape memory polymers, Nonlinear finite element analysis, Mechanics of soft tissue growth,</t>
  </si>
  <si>
    <t>Farzad Rahnema</t>
  </si>
  <si>
    <t>farzad.rahnema@nre.gatech.edu</t>
  </si>
  <si>
    <t>Nuclear and Radiological Engineering/Medical Physics, Perturbation and variational methods, theoretical and computational radiation transport and reactor physics methods and code development with applications to reactor core analysis, nuclear security and detection, and radiotherapy calculations</t>
  </si>
  <si>
    <t>Nuclear , Radiological Engineering/Medical Physics, Perturbation , variational methods, theoretical , computational radiation transport , reactor physics methods , code development with applications to reactor core analysis, nuclear security , detection, radiotherapy calculations</t>
  </si>
  <si>
    <t>Karim Sabra</t>
  </si>
  <si>
    <t>karim.sabra@me.gatech.edu</t>
  </si>
  <si>
    <t>Acoustics and Dynamics, Wave propagation, structural health monitoring, biomechanical systems evaluation, underwater acoustics, and geophysics.</t>
  </si>
  <si>
    <t>Acoustics , Dynamics, Wave propagation, structural health monitoring, biomechanical systems evaluation, underwater acoustics, geophysics,</t>
  </si>
  <si>
    <t>Nader Sadegh</t>
  </si>
  <si>
    <t>nader.sadegh@me.gatech.edu</t>
  </si>
  <si>
    <t>Automation and Mechatronics and Acoustics and Dynamics, Controls, vibrations, and design</t>
  </si>
  <si>
    <t>Automation , Mechatronics , Acoustics , Dynamics, Controls, vibrations, design</t>
  </si>
  <si>
    <t>Sourabh Saha</t>
  </si>
  <si>
    <t>sourabh.saha@me.gatech.edu</t>
  </si>
  <si>
    <t>Manufacturing, Micro and Nano Engineering</t>
  </si>
  <si>
    <t>Manufacturing, Micro , Nano Engineering</t>
  </si>
  <si>
    <t>Christopher J. Saldaña</t>
  </si>
  <si>
    <t>christopher.saldana@me.gatech.edu</t>
  </si>
  <si>
    <t>Manufacturing and Mechanics of Materials, Additive and hybrid manufacturing, Deformation-based surface processing, Digital and smart manufacturing, Industry 4.0,</t>
  </si>
  <si>
    <t>Manufacturing , Mechanics of Materials, Additive , hybrid manufacturing, Deformation-based surface processing, Digital , smart manufacturing, Industry 4,0,</t>
  </si>
  <si>
    <t>Emily Sanders</t>
  </si>
  <si>
    <t>emily.sanders@me.gatech.edu</t>
  </si>
  <si>
    <t>Computational mechanics, Optimization-based design, Design for advanced manufacturing</t>
  </si>
  <si>
    <t>Gregory Sawicki</t>
  </si>
  <si>
    <t>gregory.sawicki@me.gatech.edu</t>
  </si>
  <si>
    <t>Dr. Sawicki directs the Human Physiology of Wearable Robotics (Po, We, R) laboratory—where the goal is to combine tools from engineering, physiology and neuroscience to discover neuromechanical principles underpinning optimal locomotion performance and apply them to develo, Plower-limb robotic devices capable of improving both healthy and impaired human locomotion (e.g., for elite athletes, aging baby-boomers, post-stroke community ambulators).</t>
  </si>
  <si>
    <t>Human Physiology of Wearable Robotics (Po, We, R) laboratory—where the goal is to combine tools from engineering, physiology , neuroscience to discover neuromechanical principles underpinning optimal locomotion performance , apply them to develo, Plower-limb robotic devices capable of improving both healthy , impaired human locomotion</t>
  </si>
  <si>
    <t>Carolyn Seepersad</t>
  </si>
  <si>
    <t>carolyn.seepersad@me.gatech.edu</t>
  </si>
  <si>
    <t>Computer-Aided Engineering and Design</t>
  </si>
  <si>
    <t>Computer-Aided Engineering , Design</t>
  </si>
  <si>
    <t>Jianjun (Jan) Shi</t>
  </si>
  <si>
    <t>jianjun.shi@isye.gatech.edu</t>
  </si>
  <si>
    <t xml:space="preserve">PShi's s focus on system informatics and control for the design and operational improvements of manufacturing and service systems. </t>
  </si>
  <si>
    <t xml:space="preserve">system informatics , control for the design , operational improvements of manufacturing , service systems, </t>
  </si>
  <si>
    <t>Chengzhi Shi</t>
  </si>
  <si>
    <t>chengzhi.shi@me.gatech.edu</t>
  </si>
  <si>
    <t>Acoustics and Dynamics, Mechanics of Materials, Bioengineering, and Micro &amp; Nano Engineering Acoustic metamaterials, wave propagation, cell manipulations, microfluidics, high-speed acoustic communication, ultrasonic imaging, high intensity focused ultrasound therapy, and phonons.</t>
  </si>
  <si>
    <t>Acoustics , Dynamics, Mechanics of Materials, Bioengineering, Micro &amp; Nano Engineering Acoustic metamaterials, wave propagation, cell manipulations, microfluidics, high-speed acoustic communication, ultrasonic imaging, high intensity focused ultrasound therapy, phonons,</t>
  </si>
  <si>
    <t>Ankur Singh</t>
  </si>
  <si>
    <t>ankur.singh@gatech.edu</t>
  </si>
  <si>
    <t>Bioengineering, Engineered materials and technologies for studying and modulating immunity, infectious diseases, cancer, and inflammation. We have four major directions Immuno-engineering, Cancer Bioengineering, Immunomodulation in Metabolic Syndrome, Micro-Nano-Bioengineering</t>
  </si>
  <si>
    <t>Bioengineering, Engineered materials , technologies for studying , modulating immunity, infectious diseases, cancer, inflammation, We have four major directions Immuno-engineering, Cancer Bioengineering, Immunomodulation in Metabolic Syndrome, Micro-Nano-Bioengineering</t>
  </si>
  <si>
    <t>William E. Singhose</t>
  </si>
  <si>
    <t>william.singhose@me.gatech.edu</t>
  </si>
  <si>
    <t>Automation and Mechatronics, Vibration and oscillation control, flexible dynamics, command generation, active seating, crane control, human-machine interfaces, and spacecraft control</t>
  </si>
  <si>
    <t>Automation , Mechatronics, Vibration , oscillation control, flexible dynamics, comm, generation, active seating, crane control, human-machine interfaces, spacecraft control</t>
  </si>
  <si>
    <t>Suresh K. Sitaraman</t>
  </si>
  <si>
    <t>suresh.sitaraman@me.gatech.edu</t>
  </si>
  <si>
    <t>Computer-Aided Engineering and Design, Manufacturing, Micro &amp; Nano Engineering, and Mechanics of Materials, Fabrication, Testing, and Characterization of Micro- and Nano-Scale Structures, Physics-based Predictive Modeling and Reliable Design, Fatigue and Fracture, Rigid and Flexible Microsystems, Emerging Technologies</t>
  </si>
  <si>
    <t>Computer-Aided Engineering , Design, Manufacturing, Micro &amp; Nano Engineering, Mechanics of Materials, Fabrication, Testing, Characterization of Micro- , Nano-Scale Structures, Physics-based Predictive Modeling , Reliable Design, Fatigue , Fracture, Rigid , Flexible Microsystems, Emerging Technologies</t>
  </si>
  <si>
    <t>Vanessa Smet</t>
  </si>
  <si>
    <t>vanessa.smet@me.gatech.edu</t>
  </si>
  <si>
    <t>Micro and Nano Engineering</t>
  </si>
  <si>
    <t>Micro , Nano Engineering</t>
  </si>
  <si>
    <t>Marc K. Smith</t>
  </si>
  <si>
    <t>marc.smith@me.gatech.edu</t>
  </si>
  <si>
    <t>Fluid Mechanics, Hydrodynamic stability, liquid films,and droplet atomization</t>
  </si>
  <si>
    <t>Fluid Mechanics, Hydrodynamic stability, liquid films,, droplet atomization</t>
  </si>
  <si>
    <t>David R. Smith</t>
  </si>
  <si>
    <t>david.smith@me.gatech.edu</t>
  </si>
  <si>
    <t>Stephen Sprigle</t>
  </si>
  <si>
    <t>sprigle@gatech.edu</t>
  </si>
  <si>
    <t>Aaron Stebner</t>
  </si>
  <si>
    <t>aaron.stebner@gatech.edu</t>
  </si>
  <si>
    <t>Mechanics, Manufacturing, Machine Learning, Materials additive manufacturing, micromechanics, alloys, composites, process-structure-property relationships, X-ray diffraction and tomography, neutron diffraction, data informatics, continuum thermodynamics</t>
  </si>
  <si>
    <t>Mechanics, Manufacturing, Machine Learning, Materials additive manufacturing, micromechanics, alloys, composites, process-structure-property relationships, X-ray diffraction , tomography, neutron diffraction, data informatics, continuum thermodynamics</t>
  </si>
  <si>
    <t>Todd Sulchek</t>
  </si>
  <si>
    <t>todd.sulchek@me.gatech.edu</t>
  </si>
  <si>
    <t>Bioengineering and Micro and Nano Engineering Atomic force microscopy, pathogen adhesion and endocytosis, cell biomechanics, single molecule biophysics, drug delivery and targeting, cell membrane mimetics, biosensors</t>
  </si>
  <si>
    <t>Bioengineering , Micro , Nano Engineering Atomic force microscopy, pathogen adhesion , endocytosis, cell biomechanics, single molecule biophysics, drug delivery , targeting, cell membrane mimetics, biosensors</t>
  </si>
  <si>
    <t>Wenting Sun</t>
  </si>
  <si>
    <t>wenting.sun@aerospace.gatech.edu</t>
  </si>
  <si>
    <t>Dr. Sun’s research spans on combustion simulation, combustion kinetics of conventional and alternative fuels, and new combustion technologies to enhance combustion process. Key to his research is developing new numerical algorithms to accelerate large scale CFD simulation using predictive kinetic models. His work on plasma/ozone assisted combustion is to induce plasma generated species into combustion system to enable combustion at extreme conditions, such as those in supersonic combustion Ramjet engines hypersonic propulsion. Dr. Sun has developed a high pressure shock tube with unique capability allowing investigation of combustion kinetics at supercritical carbon dioxide conditions for the next generation of power generation systems. The new supercritical carbon dioxide oxy-combustion power generation system features high efficiency and almost 100% carbon capture, which will change the landscape of power generation. He also developed a novel super rapid combustion machine to study fundamental turbulence/autoignition interaction to improve combustion models.</t>
  </si>
  <si>
    <t>combustion simulation, combustion kinetics of conventional , alternative fuels, new combustion technologies to enhance combustion process, Key to his research is developing new numerical algorithms to accelerate large scale CFD simulation using predictive kinetic models</t>
  </si>
  <si>
    <t>Naresh N. Thadhani</t>
  </si>
  <si>
    <t>naresh.thadhani@me.gatech.edu</t>
  </si>
  <si>
    <t>High-strain-rate mechanical properties, Shock-compression, Shock induced physical and chemical changes, Dynamic Compaction of Powders, Energetic Materials, Phase transformations, non-equilibrium processing, metallic glasses, nanocrystalline alloys, Dynamic fracture</t>
  </si>
  <si>
    <t>High-strain-rate mechanical properties, Shock-compression, Shock induced physical , chemical changes, Dynamic Compaction of Powders, Energetic Materials, Phase transformations, non-equilibrium processing, metallic glasses, nanocrystalline alloys, Dynamic fracture</t>
  </si>
  <si>
    <t>Susan Napier Thomas</t>
  </si>
  <si>
    <t>susan.thomas@me.gatech.edu</t>
  </si>
  <si>
    <t>Bioengineering</t>
  </si>
  <si>
    <t>Lena H. Ting</t>
  </si>
  <si>
    <t>lena.ting@bme.gatech.edu</t>
  </si>
  <si>
    <t>Bioengineering and Automation &amp; Mechatronics Dynamics, control theory, bioengineering, robotics, and modeling</t>
  </si>
  <si>
    <t>Bioengineering , Automation &amp; Mechatronics Dynamics, control theory, bioengineering, robotics, modeling</t>
  </si>
  <si>
    <t>Maegan Tucker</t>
  </si>
  <si>
    <t>mtucker@gatech.edu</t>
  </si>
  <si>
    <t>Automation, Robotics and Control</t>
  </si>
  <si>
    <t>Jun Ueda</t>
  </si>
  <si>
    <t>jun.ueda@me.gatech.edu</t>
  </si>
  <si>
    <t>Automation and Mechatronics Robotics (bio-inspired actuators, sensors, and integration) and Automatic Control (Robust control, flexible mechanism control, human-robot physical interaction)</t>
  </si>
  <si>
    <t>Automation , Mechatronics Robotics (bio-inspired actuators, sensors, integration) , Automatic Control (Robust control, flexible mechanism control, human-robot physical interaction)</t>
  </si>
  <si>
    <t>Yan Wang</t>
  </si>
  <si>
    <t>yan.wang@me.gatech.edu</t>
  </si>
  <si>
    <t>CAE &amp; Design, Manufacturing, and Mechanics and Material, Multiscale CAD/CAM/CAE, Materials Design, Modeling &amp; Simulation, Uncertainty Quantification</t>
  </si>
  <si>
    <t>CAE &amp; Design, Manufacturing, Mechanics , Material, Multiscale CAD/CAM/CAE, Materials Design, Modeling &amp; Simulation, Uncertainty Quantification</t>
  </si>
  <si>
    <t>C.-K. Chris Wang</t>
  </si>
  <si>
    <t>chris.wang@nre.gatech.edu</t>
  </si>
  <si>
    <t>Nuclear and Radiological Engineering/Medical Physics, Radiation detection, nuclear material assay, nanodosimetry, biophysical modeling of radiation-induced cell damages, and neutron therapies for cancer.</t>
  </si>
  <si>
    <t>Nuclear , Radiological Engineering/Medical Physics, Radiation detection, nuclear material assay, nanodosimetry, biophysical modeling of radiation-induced cell damages, neutron therapies for cancer,</t>
  </si>
  <si>
    <t>Levi Wood</t>
  </si>
  <si>
    <t>levi.wood@me.gatech.edu</t>
  </si>
  <si>
    <t>Bioengineering Vasculature, inflammation, systems biology, Alzheimer’s disease, inflammatory bowel disease</t>
  </si>
  <si>
    <t>Shuman Xia</t>
  </si>
  <si>
    <t>shuman.xia@me.gatech.edu</t>
  </si>
  <si>
    <t>Mechanics of Materials experimental solid mechanics, nano and micromechanics, mechanics of energy storage and conversion materials, mechanics of heterogeneous media, fracture and fatigue of active materials.</t>
  </si>
  <si>
    <t>Mechanics of Materials experimental solid mechanics, nano , micromechanics, mechanics of energy storage , conversion materials, mechanics of heterogeneous media, fracture , fatigue of active materials,</t>
  </si>
  <si>
    <t>Arash Yavari</t>
  </si>
  <si>
    <t>arash.yavari@ce.gatech.edu</t>
  </si>
  <si>
    <t>PYavari's interests are in developing systematic theories of discrete mechanics for crystalline solids with defects. Defects play a crucial role in determining the properties of materials. The development of atomistic methods including density functional theory, bond-order potentials and embedded atom potentials has enabled a detailed study of such defects. However, much of the work is numerical and often with ad hoc boundary/far-field conditions. Specifically, a systematic method for studying these discrete yet non-local problems is lacking. Design in small scales requires solving inverse problems and this is not possible with purely numerical techniques. From a mechanics point of view, defective crystals are modeled as discrete boundary-value problems. The challenging issues are extending the existing techniques from solid state physics for non-periodic systems, new developments in the theory of vector-valued partial difference equations, existence and uniqueness of solutions of discrete boundary-value problems and their symmetries, etc. The other efforts in this direction are understanding the geometric structure of discrete mechanics and its link with similar attempts in the physics and computational mechanics literatures and investigating the rigorous continuum limits of defective crystals.</t>
  </si>
  <si>
    <t>systematic theories of discrete mechanics for crystalline solids with defects, Defects play a crucial role in determining the properties of materials, The development of atomistic methods including density functional theory, bond-order potentials , embedded atom potentials has enabled a detailed study of such defects, However, much of the work is numerical , often with ad hoc boundary/far-field conditions, Specifically, a systematic method for studying these discrete yet non-local problems is lacking, Design in small scales requires solving inverse problems , this is not possible with purely numerical techniques, From a mechanics point of view, defective crystals are modeled as discrete boundary-value problems</t>
  </si>
  <si>
    <t>Shannon Yee</t>
  </si>
  <si>
    <t>shannon.yee@me.gatech.edu</t>
  </si>
  <si>
    <t>Heat Transfer, Combustion and Energy Systems Thermal energy conversion technologies and thermal transport technologies. Thermal energy conversion technologies organic thermoelectrics, thermo-electrochemical heat engines, thermo-electrochemical refrigeration, thermophotovoltaics, etc.Thermal transport technologies thermal switches, thermal physical property measurements, nanoscale thermal transport, thermal conduction, etc. Micro and Nano Engineering Electrical and thermal transport in polymers, Nuclear &amp; Radiological Engineering Nuclear batteries, betavoltaics, applied nuclear physics, and transmutation.</t>
  </si>
  <si>
    <t>Heat Transfer, Combustion , Energy Systems Thermal energy conversion technologies , thermal transport technologies, Thermal energy conversion technologies organic thermoelectrics, thermo-electrochemical heat engines, thermo-electrochemical refrigeration, thermophotovoltaics, etc,Thermal transport technologies thermal switches, thermal physical property measurements, nanoscale thermal transport, thermal conduction, etc, Micro , Nano Engineering Electrical , thermal transport in polymers, Nuclear &amp; Radiological Engineering Nuclear batteries, betavoltaics, applied nuclear physics, transmutation,</t>
  </si>
  <si>
    <t>W. Hong Yeo</t>
  </si>
  <si>
    <t>woonhong.yeo@me.gatech.edu</t>
  </si>
  <si>
    <t>Soft Robotics and Human-Machine Interfaces, Smart Machine Intelligence and Dee, PLearning, Soft Electronics for Health Monitoring and Disease Diagnosis, Nanomembrane Implantable Electronics for Therapeutics, High-throughput Fabrication of Micro/Nano-structures, Nano-Biosensors for Disease Diagnostics, Sensors and Actuators for Radiotherapy</t>
  </si>
  <si>
    <t>Soft Robotics , Human-Machine Interfaces, Smart Machine Intelligence , Dee, PLearning, Soft Electronics for Health Monitoring , Disease Diagnosis, Nanomembrane Implantable Electronics for Therapeutics, High-throughput Fabrication of Micro/Nano-structures, Nano-Biosensors for Disease Diagnostics, Sensors , Actuators for Radiotherapy</t>
  </si>
  <si>
    <t>P. K. Yeung</t>
  </si>
  <si>
    <t>pk.yeung@ae.gatech.edu</t>
  </si>
  <si>
    <t>Fluid Mechanics Fluid dynamics, turbulence, mixing, dispersion, and high-performance computing.</t>
  </si>
  <si>
    <t>Fluid Mechanics Fluid dynamics, turbulence, mixing, dispersion, high-performance computing,</t>
  </si>
  <si>
    <t>Minami Yoda</t>
  </si>
  <si>
    <t>minami.yoda@me.gatech.edu</t>
  </si>
  <si>
    <t>Fluid Mechanics Experimental fluid mechanics, suspension flows, nano- and microfluids, and optical diagnostics</t>
  </si>
  <si>
    <t>Fluid Mechanics Experimental fluid mechanics, suspension flows, nano- , microfluids, optical diagnostics</t>
  </si>
  <si>
    <t>Aaron Young</t>
  </si>
  <si>
    <t>aaron.young@me.gatech.edu</t>
  </si>
  <si>
    <t>Lower Limb Prostheses and Exoskeletons, Human Augmentation, Wearable Robotics, Assistive Devices, Lower limb gait biomechanics, Machine learning, Physical human-robot control systems, Biological Signal Processing, Intent Recognition, Myoelectric Control, Human Subject Experimentation, Robotic Mobility Enhancement</t>
  </si>
  <si>
    <t>Lower Limb Prostheses , Exoskeletons, Human Augmentation, Wearable Robotics, Assistive Devices, Lower limb gait biomechanics, Machine learning, Physical human-robot control systems, Biological Signal Processing, Intent Recognition, Myoelectric Control, Human Subject Experimentation, Robotic Mobility Enhancement</t>
  </si>
  <si>
    <t>Chuck Zhang</t>
  </si>
  <si>
    <r>
      <rPr>
        <u/>
        <sz val="10"/>
        <color rgb="FF1155CC"/>
        <rFont val="Arial"/>
        <family val="2"/>
      </rPr>
      <t>chuck.zhang@gatech.edu</t>
    </r>
  </si>
  <si>
    <t>Dr. Zhang’s research interests include additive manufacturing (3D printing and printed electronics), scalable bio-/nano-manufacturing, advanced composite structures manufacturing and maintenance, and manufacturing cybersecurity</t>
  </si>
  <si>
    <t>Zhuomin Zhang</t>
  </si>
  <si>
    <t>zhuomin.zhang@me.gatech.edu</t>
  </si>
  <si>
    <t>Heat Transfer, Combustion and Energy Systems and Micro and Nano Engineering Nano/microscale heat transfer, thermophysical properties, and radiation thermometry</t>
  </si>
  <si>
    <t>Heat Transfer, Combustion , Energy Systems , Micro , Nano Engineering Nano/microscale heat transfer, thermophysical properties, radiation thermometry</t>
  </si>
  <si>
    <t>Fan Zhang</t>
  </si>
  <si>
    <t>fan.zhang@me.gatech.edu</t>
  </si>
  <si>
    <t xml:space="preserve">s include instrumentation &amp; control, autonomous control, cybersecurity, online monitoring, fault detection, prognostics, risk assessment, nuclear system simulation, data-driven models, and artificial intelligence applications.  </t>
  </si>
  <si>
    <t>instrumentation &amp; control, autonomous control, cybersecurity, online monitoring, fault detection, prognostics, risk assessment, nuclear system simulation, data-driven models, artificial intelligence applications</t>
  </si>
  <si>
    <t>Ye Zhao</t>
  </si>
  <si>
    <t>ye.zhao@me.gatech.edu</t>
  </si>
  <si>
    <t>Automation and Mechatronics robotics (legged locomotion and manipulation), task and motion planning, robust trajectory optimization, real-time motion planning, autonomy, and formal method based decision-making.</t>
  </si>
  <si>
    <t>Automation , Mechatronics robotics (legged locomotion , manipulation), task , motion planning, robust trajectory optimization, real-time motion planning, autonomy, formal method based decision-making,</t>
  </si>
  <si>
    <t>Min Zhou</t>
  </si>
  <si>
    <t>min.zhou@me.gatech.edu</t>
  </si>
  <si>
    <t>Mechanics of Materials and Manufacturing, Micro- and nanoscale behavior, continuum and molecular dynamics modeling, experimental/computational mechanics, dynamic behavior, and fracture</t>
  </si>
  <si>
    <t>Mechanics of Materials , Manufacturing, Micro- , nanoscale behavior, continuum , molecular dynamics modeling, experimental/computational mechanics, dynamic behavior, fracture</t>
  </si>
  <si>
    <t>Ting Zhu</t>
  </si>
  <si>
    <t>ting.zhu@me.gatech.edu</t>
  </si>
  <si>
    <t>Mechanics of Materials Mechanical properties and deformation mechanisms of materials, and multiscale modeling</t>
  </si>
  <si>
    <t>Mechanics of Materials Mechanical properties , deformation mechanisms of materials, multiscale modeling</t>
  </si>
  <si>
    <t>Cheng Zhu</t>
  </si>
  <si>
    <t>cheng.zhu@bme.gatech.edu</t>
  </si>
  <si>
    <t>Bioengineering, Biomechanics of single cells and single molecules, cell adhesion kinetics, and bio-MEMS</t>
  </si>
  <si>
    <t>Bioengineering, Biomechanics of single cells , single molecules, cell adhesion kinetics, bio-MEMS</t>
  </si>
  <si>
    <r>
      <rPr>
        <sz val="10"/>
        <color rgb="FF000000"/>
        <rFont val="Arial"/>
        <family val="2"/>
      </rPr>
      <t xml:space="preserve">Chair - </t>
    </r>
    <r>
      <rPr>
        <u/>
        <sz val="10"/>
        <color rgb="FF000000"/>
        <rFont val="Arial"/>
        <family val="2"/>
      </rPr>
      <t>Devesh Ranjan</t>
    </r>
  </si>
  <si>
    <t>schoolChair@me.gatech.edu</t>
  </si>
  <si>
    <t>Mechanics, Robotics and Automation, Thermal Sciences, Energy Systems, Bioengineering, Fluid Mechanics, Nuclear and Medical Physics, Acoustics, Tribology, Design, Manufacturing, and Machine Learning.</t>
  </si>
  <si>
    <t>Mechanics, Robotics , Automation, Thermal Sciences, Energy Systems, Bioengineering, Fluid Mechanics, Nuclear , Medical Physics, Acoustics, Tribology, Design, Manufacturing, Machine Learning,</t>
  </si>
  <si>
    <t>Denis Dorozhkin</t>
  </si>
  <si>
    <t>denis.dorozhkin@me.gatech.edu</t>
  </si>
  <si>
    <t>CAE and Design</t>
  </si>
  <si>
    <t>CAE , Design</t>
  </si>
  <si>
    <t>Esam Eldin Ahmed Mohamed</t>
  </si>
  <si>
    <t>eahmedm@georgiatech-metz.fr</t>
  </si>
  <si>
    <t>University of Illinois Urbana-Champaign</t>
  </si>
  <si>
    <t>Nikhil Chandra Admal</t>
  </si>
  <si>
    <t>admal@illinois.edu</t>
  </si>
  <si>
    <t>Atomistic origins of continuum theories, Interfacial mechanics grain boundaries, 2D materials and biofilms, Nanomechanics, Crystal plasticity, Grain Boundary Mechanics</t>
  </si>
  <si>
    <t>Atomistic origins of continuum theories, Interfacial mechanics grain boundaries, 2D materials , biofilms, Nanomechanics, Crystal plasticity, Grain Boundary Mechanics</t>
  </si>
  <si>
    <t>The Grainger College of Engineering
Mechanical Science &amp; Engineering</t>
  </si>
  <si>
    <t>Gaurav Bahl</t>
  </si>
  <si>
    <t>bahl@illinois.edu</t>
  </si>
  <si>
    <t>Gaurav Bahl performs experimental research at the interface between optical and mechanical systems. Of particular interest are the mechanisms by which light interacts mechanically with photonic microsystems (i.e. via radiation pressure, gradient force, electrostrictive pressure, and photothermal effects), and how mechanical devices can affect and manipulate light. Applications of this research include inertial sensors, microfluidic bio-chemical devices, microwave frequency references, and harsh-environment physical sensors.</t>
  </si>
  <si>
    <t>Gaurav Bahl performs experimental research at the interface between optical , mechanical systems, Of particular interest are the mechanisms by which light interacts mechanically with photonic microsystems (i,e, via radiation pressure, gradient force, electrostrictive pressure, photothermal effects), how mechanical devices can affect , manipulate light, Applications of this research include inertial sensors, microfluidic bio-chemical devices, microwave frequency references, harsh-environment physical sensors,</t>
  </si>
  <si>
    <t>Joseph Bentsman</t>
  </si>
  <si>
    <t>jbentsma@illinois.edu</t>
  </si>
  <si>
    <t>PBentsman's s include control of nonlinear and distributed parameter systems, nonlinear oscillations, network control, stability and stochastic multiscale methods. He has introduced a new class of dynamical systems with active singularities that admit control actions during the singular phases of their motion.</t>
  </si>
  <si>
    <t>PBentsman's s include control of nonlinear , distributed parameter systems, nonlinear oscillations, network control, stability , stochastic multiscale methods, He has introduced a new class of dynamical systems with active singularities that admit control actions during the singular phases of their motion,</t>
  </si>
  <si>
    <t>Craig Brandshaw</t>
  </si>
  <si>
    <t>crbrad@illinois.edu</t>
  </si>
  <si>
    <t xml:space="preserve">Compressors
Heat pumps and air-conditioners
Model development
Thermophysical properties of fluids
Decarbonization and energy utilization
</t>
  </si>
  <si>
    <t>M. Quinn Brewster</t>
  </si>
  <si>
    <t>brewster@illinois.edu</t>
  </si>
  <si>
    <t>PBrewster conducts fundamental scientific and engineering research in radiation heat transfer, combustion, thermophysical properties of materials, and energetic materials. His laboratory developed the laser-recoil technique for examining dynamic combustion response behavior of solid energetic materials. He and his students developed the theory (sometimes called WSB) of low gas-phase activation energy combustion of energetic solids that resolved and unified steady and unsteady combustion response data of most homogeneous energetic solids. They have also clarified aspects of the more complicated problem of non-premixed combustion of energetic solids. Lately he has worked with students to understand radiative and phase-change heat transfer involving water, including radiation-augmented evaporation and condensation of water and so-called phase-change radiation. Their findings have application to understanding changes Associated with global warming and increasing water in Earth's atmosphere. They also address long-standing puzzles in atmospheric science, such as how water droplets can grow in less than an hour from cloud size to sizes where growth by turbulent coalescence can take over (the condensation-coalescence "bottleneck"), the water-vapor radiation continuum problem, and "anomalous" measurements of radiant flux in both cloudy and clear atmospheres.</t>
  </si>
  <si>
    <t>PBrewster conducts fundamental scientific , engineering research in radiation heat transfer, combustion, thermophysical properties of materials, energetic materials, His laboratory developed the laser-recoil technique for examining dynamic combustion response behavior of solid energetic materials, He , his students developed the theory (sometimes called WSB) of low gas-phase activation energy combustion of energetic solids that resolved , unified steady , unsteady combustion response data of most homogeneous energetic solids, They have also clarified aspects of the more complicated problem of non-premixed combustion of energetic solids, Lately he has worked with students to underst, radiative , phase-change heat transfer involving water, including radiation-augmented evaporation , condensation of water , so-called phase-change radiation, Their findings have application to underst,ing changes Associated with global warming , increasing water in Earth's atmosphere, They also address long-st,ing puzzles in atmospheric science, such as how water droplets can grow in less than an hour from cloud size to sizes where growth by turbulent coalescence can take over (the condensation-coalescence "bottleneck"), the water-vapor radiation continuum problem, "anomalous" measurements of radiant flux in both cloudy , clear atmospheres,</t>
  </si>
  <si>
    <t>#11 - Best Engineering Schools</t>
  </si>
  <si>
    <t>Clark W. Bullard</t>
  </si>
  <si>
    <t>RP</t>
  </si>
  <si>
    <t>bullard@illinois.edu</t>
  </si>
  <si>
    <t>Technological innovation. Identification of the physical characteristics of technologies that make it necessary to develo, Ppolicies for establishing new economic and political institutions to facilitate technological innovation. Focus is on energy and environmental technologies.Thermal systems analysis. Simulation, optimization, and parameter estimation based on full scale experimentation with air conditioning and refrigeration systems.Simulation and optimization models for technology policy analysis. Development of simulation and optimization models of complex energy-economic systems containing explicit representations of technological change. Application to a wide range of technology policy issues, from acid rain to establishment of R&amp;D priorities for various advanced energy technologies (cogeneration, refrigeration, coal cleaning, electric utility systems, radioactive waste disposal).</t>
  </si>
  <si>
    <t>RP1</t>
  </si>
  <si>
    <t>RP2</t>
  </si>
  <si>
    <t>Other</t>
  </si>
  <si>
    <t>Technological innovation, Identification of the physical characteristics of technologies that make it necessary to develo, Ppolicies for establishing new economic , political institutions to facilitate technological innovation, Focus is on energy , environmental technologies,Thermal systems analysis, Simulation, optimization, parameter estimation based on full scale experimentation with air conditioning , refrigeration systems,Simulation , optimization models for technology policy analysis, Development of simulation , optimization models of complex energy-economic systems containing explicit representations of technological change, Application to a wide range of technology policy issues, from acid rain to establishment of R&amp;D priorities for various advanced energy technologies (cogeneration, refrigeration, coal cleaning, electric utility systems, radioactive waste disposal),</t>
  </si>
  <si>
    <t>Lili Cai</t>
  </si>
  <si>
    <t>lilicai@illinois.edu</t>
  </si>
  <si>
    <t>Applied Physics, Chemistry, Energy, Environment, Manufacturing</t>
  </si>
  <si>
    <t>Leonardo Chamorro</t>
  </si>
  <si>
    <t>p</t>
  </si>
  <si>
    <t>lpchamo@illinois.edu</t>
  </si>
  <si>
    <t>Advanced flow diagnosis, Particle Dynamics, Geophysical flows, complex boundary layer processes, Flow-structure interaction, Wind and Hydrokinetic energy</t>
  </si>
  <si>
    <t>Advanced flow diagnosis, Particle Dynamics, Geophysical flows, complex boundary layer processes, Flow-structure interaction, Wind , Hydrokinetic energy</t>
  </si>
  <si>
    <t>Wayne Chang</t>
  </si>
  <si>
    <t>wlchang@illinois.edu</t>
  </si>
  <si>
    <t>Heterogeneous processes in tropospheric chemistry, Internal combustion engine design, Engineering education</t>
  </si>
  <si>
    <t>Harry Dankowicz</t>
  </si>
  <si>
    <t>danko@illinois.edu</t>
  </si>
  <si>
    <t>Computation and Applied Math, Dynamics &amp; Controls, Energy, Health and Bio, Manufacturing</t>
  </si>
  <si>
    <t>Computation , Applied Math, Dynamics &amp; Controls, Energy, Health , Bio, Manufacturing</t>
  </si>
  <si>
    <t>Geir E. Dullerud</t>
  </si>
  <si>
    <t>dullerud@illinois.edu</t>
  </si>
  <si>
    <t>Security and Defense, Transportation</t>
  </si>
  <si>
    <t>Security , Defense, Transportation</t>
  </si>
  <si>
    <t>Alison C. Dunn</t>
  </si>
  <si>
    <t>acd@illinois.edu</t>
  </si>
  <si>
    <t>Frictional Morphological Adaptations in the Insect World, In Situ Friction and Wear Instrumentation Design, Wear of Materials, Soft Matter Tribology (Friction and Lubrication)</t>
  </si>
  <si>
    <t>Frictional Morphological Adaptations in the Insect World, In Situ Friction , Wear Instrumentation Design, Wear of Materials, Soft Matter Tribology (Friction , Lubrication)</t>
  </si>
  <si>
    <t>Stefan Elbel</t>
  </si>
  <si>
    <t>elbel@illinois.edu</t>
  </si>
  <si>
    <t>Energy, Environment, Fluid Mechanics, Security and Defense, Transportation</t>
  </si>
  <si>
    <t>Assistant RP1</t>
  </si>
  <si>
    <t>Energy, Environment, Fluid Mechanics, Security , Defense, Transportation</t>
  </si>
  <si>
    <t>$19,320 per year (in-state, full-time)</t>
  </si>
  <si>
    <t>Elif Ertekin</t>
  </si>
  <si>
    <t>ertekin@illinois.edu</t>
  </si>
  <si>
    <t>Applied Physics, Chemistry, Computation and Applied Math, Energy, Environment</t>
  </si>
  <si>
    <t>Applied Physics, Chemistry, Computation , Applied Math, Energy, Environment</t>
  </si>
  <si>
    <t>Randy H. Ewoldt</t>
  </si>
  <si>
    <t>ewoldt@illinois.edu</t>
  </si>
  <si>
    <t>Computation and Applied Math, Energy, Environment, Fluid Mechanics, Health and Bio</t>
  </si>
  <si>
    <t>Computation , Applied Math, Energy, Environment, Fluid Mechanics, Health , Bio</t>
  </si>
  <si>
    <t>Jie Feng</t>
  </si>
  <si>
    <t>jiefeng@illinois.edu</t>
  </si>
  <si>
    <t>Applied Physics, Chemistry, Energy, Environment, Fluid Mechanics</t>
  </si>
  <si>
    <t>Placid Ferreira</t>
  </si>
  <si>
    <t>pferreir@illinois.edu</t>
  </si>
  <si>
    <t>Computation and Applied Math, Dynamics &amp; Controls, Fluid Mechanics, Manufacturing</t>
  </si>
  <si>
    <t>Computation , Applied Math, Dynamics &amp; Controls, Fluid Mechanics, Manufacturing</t>
  </si>
  <si>
    <t>Paul Fischer</t>
  </si>
  <si>
    <t>fischerp@illinois.edu</t>
  </si>
  <si>
    <t>Bruce Flachsbart</t>
  </si>
  <si>
    <t>mems@illinois.edu</t>
  </si>
  <si>
    <t>Mattia Gazzola</t>
  </si>
  <si>
    <t>mgazzola@illinois.edu</t>
  </si>
  <si>
    <t>Bio-locomotion, Bio-hybrid robotics and computing, Fluid mechanics, Soft mechanics, Numerics</t>
  </si>
  <si>
    <t>Bio-locomotion, Bio-hybrid robotics , computing, Fluid mechanics, Soft mechanics, Numerics</t>
  </si>
  <si>
    <t>Nick G. Glumac</t>
  </si>
  <si>
    <t>glumac@illinois.edu</t>
  </si>
  <si>
    <t>Chemistry, Energy, Fluid Mechanics, Security and Defense, Thermo and Heat Transfer</t>
  </si>
  <si>
    <t>Chemistry, Energy, Fluid Mechanics, Security , Defense, Thermo , Heat Transfer</t>
  </si>
  <si>
    <t>Tom Golecki</t>
  </si>
  <si>
    <t>Assistant CP</t>
  </si>
  <si>
    <t>tfg@illinois.edu</t>
  </si>
  <si>
    <t>Assistant CP2</t>
  </si>
  <si>
    <t>Robert B. Haber</t>
  </si>
  <si>
    <t>rbh3@illinois.edu</t>
  </si>
  <si>
    <t>Energy, Environment, Manufacturing, Security and Defense</t>
  </si>
  <si>
    <t>Energy, Environment, Manufacturing, Security , Defense</t>
  </si>
  <si>
    <t>Varda Hagh</t>
  </si>
  <si>
    <t>hagh@illinois.edu</t>
  </si>
  <si>
    <t>Bumsoo Han</t>
  </si>
  <si>
    <t>bumsooh@illinois.edu</t>
  </si>
  <si>
    <t>Bumsoo Han's broad research interests are in biotransport phenomena for cancer research and tissue engineering. His current research is focused on drug transport at the tumor microenvironment, engineered microphysiological disease models, and cell-matrix interaction in the stroma tissue</t>
  </si>
  <si>
    <t>Jiajun He</t>
  </si>
  <si>
    <t>jiajunhe@illinois.edu</t>
  </si>
  <si>
    <t>Petroleum Engineering, Energy, Carbon Capture, Porous Materials</t>
  </si>
  <si>
    <t>Assistant CP1</t>
  </si>
  <si>
    <t>Sascha Hilgenfeldt</t>
  </si>
  <si>
    <t>sascha@illinois.edu</t>
  </si>
  <si>
    <t>Applied Physics, Computation and Applied Math, Fluid Mechanics, Health and Bio, Manufacturing</t>
  </si>
  <si>
    <t>Applied Physics, Computation , Applied Math, Fluid Mechanics, Health , Bio, Manufacturing</t>
  </si>
  <si>
    <t>Naira Hovakimyan</t>
  </si>
  <si>
    <t>nhovakim@illinois.edu</t>
  </si>
  <si>
    <t>machine learninghuman-robot interaction for elderly care, Broad area of roboticssafety critical systems in aerospace, electrical, mechanical, biomedical and petroleum engineeringmulti-vehicle unmanned systems</t>
  </si>
  <si>
    <t>machine learninghuman-robot interaction for elderly care, Broad area of roboticssafety critical systems in aerospace, electrical, mechanical, biomedical , petroleum engineeringmulti-vehicle unmanned systems</t>
  </si>
  <si>
    <t>Elizabeth T. Hsiao-Wecksler</t>
  </si>
  <si>
    <t>ethw@illinois.edu</t>
  </si>
  <si>
    <t>Dynamics &amp; Controls, Health and Bio</t>
  </si>
  <si>
    <t>Dynamics &amp; Controls, Health , Bio</t>
  </si>
  <si>
    <t>Shelby Hutchens</t>
  </si>
  <si>
    <t>hutchs@illinois.edu</t>
  </si>
  <si>
    <t>physico-chemo-mechanicscuttingfracturesoft materialssmall scale mechanical characterization</t>
  </si>
  <si>
    <t>Associate CP2</t>
  </si>
  <si>
    <r>
      <rPr>
        <sz val="10"/>
        <color rgb="FF000000"/>
        <rFont val="Arial"/>
        <family val="2"/>
      </rPr>
      <t xml:space="preserve">Head - </t>
    </r>
    <r>
      <rPr>
        <u/>
        <sz val="10"/>
        <color rgb="FF000000"/>
        <rFont val="Arial"/>
        <family val="2"/>
      </rPr>
      <t>Tony Jacobi</t>
    </r>
  </si>
  <si>
    <t>a-jacobi@illinois.edu</t>
  </si>
  <si>
    <t>Energy, Environment, Fluid Mechanics, Manufacturing, Security and Defense</t>
  </si>
  <si>
    <t>Energy, Environment, Fluid Mechanics, Manufacturing, Security , Defense</t>
  </si>
  <si>
    <t>Iwona M. Jasiuk</t>
  </si>
  <si>
    <t>ijasiuk@illinois.edu</t>
  </si>
  <si>
    <t>Computational mechanics, Bone mechanics, Biomechanics, Additive manufacturing, Architectured materials</t>
  </si>
  <si>
    <t>Blake EvereTTJohnson</t>
  </si>
  <si>
    <t>Associate CP</t>
  </si>
  <si>
    <t>bejohnso@illinois.edu</t>
  </si>
  <si>
    <t>Entrepreneurial Mindset Learning, Service Learning, Fluid Mechanics, Professional Identity Development, Engineering Education</t>
  </si>
  <si>
    <t>Harley T. Johnson</t>
  </si>
  <si>
    <t>htj@illinois.edu</t>
  </si>
  <si>
    <t>Applied Physics, Computation and Applied Math, Energy, Manufacturing, Security and Defense</t>
  </si>
  <si>
    <t>Applied Physics, Computation , Applied Math, Energy, Manufacturing, Security , Defense</t>
  </si>
  <si>
    <t>Gabriel Juarez</t>
  </si>
  <si>
    <t>gjuarez@illinois.edu</t>
  </si>
  <si>
    <t>Applied Physics, Computation and Applied Math, Environment, Fluid Mechanics, Health and Bio</t>
  </si>
  <si>
    <t>Applied Physics, Computation , Applied Math, Environment, Fluid Mechanics, Health , Bio</t>
  </si>
  <si>
    <t>Mariana E. Kersh</t>
  </si>
  <si>
    <t>mkersh@illinois.edu</t>
  </si>
  <si>
    <t>Computation and Applied Math, Health and Bio, Solid Mechanics and Materials</t>
  </si>
  <si>
    <t>Computation , Applied Math, Health , Bio, Solid Mechanics , Materials</t>
  </si>
  <si>
    <t>Seid Koric</t>
  </si>
  <si>
    <t>Associate RP</t>
  </si>
  <si>
    <t>koric@illinois.edu</t>
  </si>
  <si>
    <t>Artificial intelligence, large-scale multiphysics modeling, materials processing, advanced manufacturing, high-performance computing and biomechanics</t>
  </si>
  <si>
    <t>Associate RP1</t>
  </si>
  <si>
    <t>Associate RP2</t>
  </si>
  <si>
    <t>Artificial intelligence, large-scale multiphysics modeling, materials processing, advanced manufacturing, high-performance computing , biomechanics</t>
  </si>
  <si>
    <t>Herman Krier</t>
  </si>
  <si>
    <t>krier@illinois.edu</t>
  </si>
  <si>
    <t>Plasma Dynamics, Combustion Physics, Internal Ballistics of Rockets and Guns, Reactive Gas Dynamics</t>
  </si>
  <si>
    <t>Plasma Dynamics, Combustion Physics, Internal Ballistics of Rockets , Guns, Reactive Gas Dynamics</t>
  </si>
  <si>
    <t>Peter Kurath</t>
  </si>
  <si>
    <t>pkurath1@illinois.edu</t>
  </si>
  <si>
    <t>Tonghun Lee</t>
  </si>
  <si>
    <t>tonghun@illinois.edu</t>
  </si>
  <si>
    <t>Chemistry, Energy, Environment, Thermo and Heat Transfer</t>
  </si>
  <si>
    <t>Chemistry, Energy, Environment, Thermo , Heat Transfer</t>
  </si>
  <si>
    <t>Callan Luetkemeyer</t>
  </si>
  <si>
    <t>cluetke@illinois.edu</t>
  </si>
  <si>
    <t>Moshe Matalon</t>
  </si>
  <si>
    <t>matalon@illinois.edu</t>
  </si>
  <si>
    <t>Applied Physics, Computation and Applied Math, Energy, Fluid Mechanics, Security and Defense</t>
  </si>
  <si>
    <t>Applied Physics, Computation , Applied Math, Energy, Fluid Mechanics, Security , Defense</t>
  </si>
  <si>
    <t>Kathryn Matlack</t>
  </si>
  <si>
    <t>kmatlack@illinois.edu</t>
  </si>
  <si>
    <t>Applied Physics, Dynamics &amp; Controls, Energy, Manufacturing, Security and Defense</t>
  </si>
  <si>
    <t>Applied Physics, Dynamics &amp; Controls, Energy, Manufacturing, Security , Defense</t>
  </si>
  <si>
    <t>Prashant Mehta</t>
  </si>
  <si>
    <t>mehtapg@illinois.edu</t>
  </si>
  <si>
    <t>Dynamics &amp; Controls, Energy, Security and Defense</t>
  </si>
  <si>
    <t>Dynamics &amp; Controls, Energy, Security , Defense</t>
  </si>
  <si>
    <t>Brian S. Mercer</t>
  </si>
  <si>
    <t>bmercer@illinois.edu</t>
  </si>
  <si>
    <t>Engineering Education, Computational solid mechanics, Finite element methods, Multiscale modeling, Molecular dynamics</t>
  </si>
  <si>
    <t>Nenad Miljkovic</t>
  </si>
  <si>
    <t>nmiljkov@illinois.edu</t>
  </si>
  <si>
    <t>Applied Physics, Energy, Fluid Mechanics, Manufacturing, Thermo and Heat Transfer</t>
  </si>
  <si>
    <t>Applied Physics, Energy, Fluid Mechanics, Manufacturing, Thermo , Heat Transfer</t>
  </si>
  <si>
    <t>Martin Ostoja-Starzewski</t>
  </si>
  <si>
    <t>martinos@illinois.edu</t>
  </si>
  <si>
    <t>Computation and Applied Math, Dynamics &amp; Controls, Environment, Fluid Mechanics, Health and Bio</t>
  </si>
  <si>
    <t>Computation , Applied Math, Dynamics &amp; Controls, Environment, Fluid Mechanics, Health , Bio</t>
  </si>
  <si>
    <t>Arne J. Pearlstein</t>
  </si>
  <si>
    <t>ajp@illinois.edu</t>
  </si>
  <si>
    <t>Chemistry, Computation and Applied Math, Energy, Environment, Fluid Mechanics</t>
  </si>
  <si>
    <t>Chemistry, Computation , Applied Math, Energy, Environment, Fluid Mechanics</t>
  </si>
  <si>
    <t>Michael L. Philpott</t>
  </si>
  <si>
    <t>mphilpot@illinois.edu</t>
  </si>
  <si>
    <t>Robotics and Automation, Computer Integrated Manufacture (CIM)Rapid Prototyping and Layered Manufacturing, Design for Manufacture and Assembly, Micro-Miniature Systems</t>
  </si>
  <si>
    <t>Robotics , Automation, Computer Integrated Manufacture (CIM)Rapid Prototyping , Layered Manufacturing, Design for Manufacture , Assembly, Micro-Miniature Systems</t>
  </si>
  <si>
    <t>Joao Ramos</t>
  </si>
  <si>
    <t>jlramos@illinois.edu</t>
  </si>
  <si>
    <t>Health and Bio, Manufacturing, Security and Defense</t>
  </si>
  <si>
    <t>Health , Bio, Manufacturing, Security , Defense</t>
  </si>
  <si>
    <t>M Taher A. Saif</t>
  </si>
  <si>
    <t>saif@illinois.edu</t>
  </si>
  <si>
    <t>Applied Physics, Chemistry, Health and Bio, Manufacturing, Security and Defense</t>
  </si>
  <si>
    <t>Applied Physics, Chemistry, Health , Bio, Manufacturing, Security , Defense</t>
  </si>
  <si>
    <t>Srinivasa M. Salapaka</t>
  </si>
  <si>
    <t>salapaka@illinois.edu</t>
  </si>
  <si>
    <t>Computation and Applied Math, Dynamics &amp; Controls, Energy, Health and Bio, Security and Defense</t>
  </si>
  <si>
    <t>Computation , Applied Math, Dynamics &amp; Controls, Energy, Health , Bio, Security , Defense</t>
  </si>
  <si>
    <t>Huseyin Sehitoglu</t>
  </si>
  <si>
    <t>huseyin@illinois.edu</t>
  </si>
  <si>
    <t>Applied Physics, Energy, Health and Bio, Security and Defense, Solid Mechanics and Materials</t>
  </si>
  <si>
    <t>Applied Physics, Energy, Health , Bio, Security , Defense, Solid Mechanics , Materials</t>
  </si>
  <si>
    <t>Chenhui Shao</t>
  </si>
  <si>
    <t>chshao@illinois.edu</t>
  </si>
  <si>
    <t>Dynamics &amp; Controls, Energy, Environment, Health and Bio, Manufacturing</t>
  </si>
  <si>
    <t>Dynamics &amp; Controls, Energy, Environment, Health , Bio, Manufacturing</t>
  </si>
  <si>
    <t>Sanjiv Sinha</t>
  </si>
  <si>
    <t>sanjiv@illinois.edu</t>
  </si>
  <si>
    <t>Applied Physics, Energy, Environment, Fluid Mechanics, Security and Defense</t>
  </si>
  <si>
    <t>Applied Physics, Energy, Environment, Fluid Mechanics, Security , Defense</t>
  </si>
  <si>
    <t>Kyle Smith</t>
  </si>
  <si>
    <t>kcsmith@illinois.edu</t>
  </si>
  <si>
    <t>Applied Physics, Chemistry, Computation and Applied Math, Energy, Fluid Mechanics</t>
  </si>
  <si>
    <t>Applied Physics, Chemistry, Computation , Applied Math, Energy, Fluid Mechanics</t>
  </si>
  <si>
    <t>Darrell F. Socie</t>
  </si>
  <si>
    <t>dsocie@illinois.edu</t>
  </si>
  <si>
    <t>Mechanical behavior of materials, fracture mechanics</t>
  </si>
  <si>
    <t>Petros Sofronis</t>
  </si>
  <si>
    <t>sofronis@illinois.edu</t>
  </si>
  <si>
    <t>Computation and Applied Math, Energy, Security and Defense, Solid Mechanics and Materials</t>
  </si>
  <si>
    <t>Computation , Applied Math, Energy, Security , Defense, Solid Mechanics , Materials</t>
  </si>
  <si>
    <t>Kelly Stephani</t>
  </si>
  <si>
    <t>ksteph@illinois.edu</t>
  </si>
  <si>
    <t>Donald ScoTTStewart</t>
  </si>
  <si>
    <t>dss@illinois.edu</t>
  </si>
  <si>
    <t>Fluid Mechanics</t>
  </si>
  <si>
    <t>Ke Tang</t>
  </si>
  <si>
    <t>ketang@illinois.edu</t>
  </si>
  <si>
    <t>Engineering Education, Heat Transfer, Fluid Mechanics, Energy Conversion Systems, Thermoacoustics</t>
  </si>
  <si>
    <t>Sameh Tawfick</t>
  </si>
  <si>
    <t>tawfick@illinois.edu</t>
  </si>
  <si>
    <t>Applied Physics, Chemistry, Manufacturing, Security and Defense, Solid Mechanics and Materials</t>
  </si>
  <si>
    <t>Applied Physics, Chemistry, Manufacturing, Security , Defense, Solid Mechanics , Materials</t>
  </si>
  <si>
    <t>Brian G. Thomas</t>
  </si>
  <si>
    <t>bgthomas@illinois.edu</t>
  </si>
  <si>
    <t>Solid Mechanics and Materials</t>
  </si>
  <si>
    <t>Solid Mechanics , Materials</t>
  </si>
  <si>
    <t>Charles L. Tucker, III</t>
  </si>
  <si>
    <t>ctucker@illinois.edu</t>
  </si>
  <si>
    <t>Heat transfer, Rheology, Fluid mechanics, Numerical methods, Modeling and simulation of manufacturing processes</t>
  </si>
  <si>
    <t>Heat transfer, Rheology, Fluid mechanics, Numerical methods, Modeling , simulation of manufacturing processes</t>
  </si>
  <si>
    <t>Alex Vakakis</t>
  </si>
  <si>
    <t>avakakis@illinois.edu</t>
  </si>
  <si>
    <t>Applied Physics, Computation and Applied Math, Dynamics &amp; Controls, Energy, Manufacturing</t>
  </si>
  <si>
    <t>Applied Physics, Computation , Applied Math, Dynamics &amp; Controls, Energy, Manufacturing</t>
  </si>
  <si>
    <t>Arend van der Zande</t>
  </si>
  <si>
    <t>arendv@illinois.edu</t>
  </si>
  <si>
    <t>Applied Physics, Chemistry, Energy, Manufacturing, Security and Defense</t>
  </si>
  <si>
    <t>Applied Physics, Chemistry, Energy, Manufacturing, Security , Defense</t>
  </si>
  <si>
    <t>Amy Wagoner Johnson</t>
  </si>
  <si>
    <t>ajwj@illinois.edu</t>
  </si>
  <si>
    <t>Computation and Applied Math, Dynamics &amp; Controls, Environment, Health and Bio, Manufacturing</t>
  </si>
  <si>
    <t>Computation , Applied Math, Dynamics &amp; Controls, Environment, Health , Bio, Manufacturing</t>
  </si>
  <si>
    <t>Ning Wang</t>
  </si>
  <si>
    <t>Adjunct P</t>
  </si>
  <si>
    <t>nwangrw@illinois.edu</t>
  </si>
  <si>
    <t>Applied Physics, Chemistry, Health and Bio, Solid Mechanics and Materials</t>
  </si>
  <si>
    <t>Adjunct P2</t>
  </si>
  <si>
    <t>Applied Physics, Chemistry, Health , Bio, Solid Mechanics , Materials</t>
  </si>
  <si>
    <t>Sophie Wang</t>
  </si>
  <si>
    <t>wangxf@illinois.edu</t>
  </si>
  <si>
    <t>Dynamics &amp; Controls, Energy, Environment, Fluid Mechanics, Manufacturing</t>
  </si>
  <si>
    <t>Matthew West</t>
  </si>
  <si>
    <t>mwest@illinois.edu</t>
  </si>
  <si>
    <t>Computation and Applied Math, Dynamics &amp; Controls, Energy, Environment, Health and Bio</t>
  </si>
  <si>
    <t>Computation , Applied Math, Dynamics &amp; Controls, Energy, Environment, Health , Bio</t>
  </si>
  <si>
    <t>Janelle Wharry</t>
  </si>
  <si>
    <t>jpw@illinois.edu</t>
  </si>
  <si>
    <t>Advanced materials manufacturing and joining
Materials and fuels for nuclear energy systems
Mechanical behavior of materials
Irradiation effects and corrosion</t>
  </si>
  <si>
    <t>Siyi Xu</t>
  </si>
  <si>
    <t>siyixu@illinois.edu</t>
  </si>
  <si>
    <t>Soft robotics
Electrically-responsive soft actuators and transducers
Stretchable and flexible sensors
Wearable and implantable electronics</t>
  </si>
  <si>
    <t>Justin Yim</t>
  </si>
  <si>
    <t>jkyim@illinois.edu</t>
  </si>
  <si>
    <t>University of Michigan--Ann Arbor</t>
  </si>
  <si>
    <r>
      <rPr>
        <sz val="10"/>
        <color rgb="FF000000"/>
        <rFont val="Arial"/>
        <family val="2"/>
      </rPr>
      <t xml:space="preserve">Chair - </t>
    </r>
    <r>
      <rPr>
        <u/>
        <sz val="10"/>
        <color rgb="FF000000"/>
        <rFont val="Arial"/>
        <family val="2"/>
      </rPr>
      <t>Ellen Arruda</t>
    </r>
  </si>
  <si>
    <t>arruda-Chair@umich.edu</t>
  </si>
  <si>
    <t>Mechanical behavior of materials including polymers, elastomers and soft tissue, tissue engineering of tendon and muscle constructs, constitutive modeling of growth, remodeling and functional adaptation in soft tissue, deformation mechanisms in polymers, crystal transformation mechanisms in semi-crystalline polymers, split Hopkinson pressure bar testing of polymers and elastomers for high strain rate applications including crashworthiness in automotive applications.</t>
  </si>
  <si>
    <t>Mechanical behavior of materials including polymers, elastomers , soft tissue, tissue engineering of tendon , muscle constructs, constitutive modeling of growth, remodeling , functional adaptation in soft tissue, deformation mechanisms in polymers, crystal transformation mechanisms in semi-crystalline polymers, split Hopkinson pressure bar testing of polymers , elastomers for high strain rate applications including crashworthiness in automotive applications,</t>
  </si>
  <si>
    <t>University of Michigan | Mechanical Engineering</t>
  </si>
  <si>
    <t>Solomon Adera</t>
  </si>
  <si>
    <t>sadera@umich.edu</t>
  </si>
  <si>
    <t>Adera earned his Ph. D. in Mechanical Engineering from MIT. He was a postdoctoral Associate at the Harvard University before moving to the University of Michigan. His s include heat and mass transfer, phase-change (evaporation, condensation, freezing), water/fog harvesting, micro</t>
  </si>
  <si>
    <t>heat , mass transfer, phase-change (evaporation, condensation, freezing), water/fog harvesting, micro</t>
  </si>
  <si>
    <t>Rayhaneh Akhavan</t>
  </si>
  <si>
    <t>raa@umich.edu</t>
  </si>
  <si>
    <t>Fluid mechanics with emphasis on turbulence physics, turbulence modeling and turbulence control, high fidelity computations and reduced-order modeling of complex turbulent flows involving multi phases, fluid-structure interactions and viscoelastic effects, biomimetic and bio-inspired concepts for flow control and drag reduction, lattice Boltzmann, pseudo-spectral and stochastic methods, high performance computing. Applications in energy, environment, aerospace and naval disciplines.</t>
  </si>
  <si>
    <t>Fluid mechanics with emphasis on turbulence physics, turbulence modeling , turbulence control, high fidelity computations , reduced-order modeling of complex turbulent flows involving multi phases, fluid-structure interactions , viscoelastic effects, biomimetic , bio-inspired concepts for flow control , drag reduction, lattice Boltzmann, pseudo-spectral , stochastic methods, high performance computing, Applications in energy, environment, aerospace , naval disciplines,</t>
  </si>
  <si>
    <t>Mitra Aliabouzar</t>
  </si>
  <si>
    <t>Assistant RP</t>
  </si>
  <si>
    <t>aliabouz@med.umich.edu</t>
  </si>
  <si>
    <t>Cavitation enabled therapy, Mechanics of soft and bio-materials, High speed rheometry, 3D bioprinting</t>
  </si>
  <si>
    <t>Assistant RP2</t>
  </si>
  <si>
    <t>Cavitation enabled therapy, Mechanics of soft , bio-materials, High speed rheometry, 3D bioprinting</t>
  </si>
  <si>
    <t>John Allison</t>
  </si>
  <si>
    <t>johnea@umich.edu</t>
  </si>
  <si>
    <t>Understanding the inter-relationships between processing, alloying, microstructure and properties in metallic materials – and in incorporating this knowledge into computational tools for use in research, education and engineering.</t>
  </si>
  <si>
    <t>Underst,ing the inter-relationships between processing, alloying, microstructure , properties in metallic materials – , in incorporating this knowledge into computational tools for use in research, education , engineering,</t>
  </si>
  <si>
    <t>James Ashton-Miller</t>
  </si>
  <si>
    <t>jaam@umich.edu</t>
  </si>
  <si>
    <t>Biomechanics including mobility impairments in the elderly, trips, slips, and falls, elderly decision-making and risk-taking in physical tasks, birth related injury, female stress urinary incontinence, spine biomechanics, athletic injuries, occupant vehicular safety.</t>
  </si>
  <si>
    <t>Biomechanics including mobility impairments in the elderly, trips, slips, falls, elderly decision-making , risk-taking in physical tasks, birth related injury, female stress urinary incontinence, spine biomechanics, athletic injuries, occupant vehicular safety,</t>
  </si>
  <si>
    <t>Jesse Austin-Breneman</t>
  </si>
  <si>
    <t>gjausbren@umich.edu</t>
  </si>
  <si>
    <t>s Design research, complex systems design, design of product eco-systems, multi-disciplinary design teams, multi-disciplinary design optimization, modeling of team-based design decision-making, design for emerging markets, socially-engaged design, design for entrepreneurship.</t>
  </si>
  <si>
    <t>Design research, complex systems design, design of product eco-systems, multi-disciplinary design teams, multi-disciplinary design optimization, modeling of team-based design decision-making, design for emerging markets, socially-engaged design, design for entrepreneurship</t>
  </si>
  <si>
    <t>Shorya Awtar</t>
  </si>
  <si>
    <t>awtar@umich.edu</t>
  </si>
  <si>
    <t xml:space="preserve"> Mechanical design, precision engineering, human-centric design, mechatronic systems, and robotics. Specific research and development topics include constraint-based design, parallel kinematics, flexure mechanisms, dynamics of flexible systems, electromagnetic actuators, medical devices for minimally invasive surgery, precision motion stages for semiconductor metrology, motion sickness mitigation in autonomous vehicles, rehab robotics, modular prostheses, and micro-electromechanical systems (MEMS).</t>
  </si>
  <si>
    <t xml:space="preserve"> Mechanical design, precision engineering, human-centric design, mechatronic systems, robotics, Specific research , development topics include constraint-based design, parallel kinematics, flexure mechanisms, dynamics of flexible systems, electromagnetic actuators, medical devices for minimally invasive surgery, precision motion stages for semiconductor metrology, motion sickness mitigation in autonomous vehicles, rehab robotics, modular prostheses, micro-electromechanical systems (MEMS),</t>
  </si>
  <si>
    <t>Rohini Bala Chandran</t>
  </si>
  <si>
    <t>rbchan@umich.edu</t>
  </si>
  <si>
    <t xml:space="preserve"> Thermal and fluid sciences, multiscale computational model development, radiative heat transfer, optics, chemical kinetics of heterogeneous reactions, electrochemical engineering, semiconductor physics</t>
  </si>
  <si>
    <t xml:space="preserve"> Thermal , fluid sciences, multiscale computational model development, radiative heat transfer, optics, chemical kinetics of heterogeneous reactions, electrochemical engineering, semiconductor physics</t>
  </si>
  <si>
    <t>Mihaela Banu</t>
  </si>
  <si>
    <t>mbanu@umich.edu</t>
  </si>
  <si>
    <t xml:space="preserve"> The research focuses on lightweight materials, with emphasis on developing micro- and nanocellulose composites, natural fiber composites and Associated manufacturing processes for automotive and aerospace applications, multi-scale modeling of materials and simulation of forming processes, manufacturing of personalized dental ligaplants.</t>
  </si>
  <si>
    <t xml:space="preserve"> The research focuses on lightweight materials, with emphasis on developing micro- , nanocellulose composites, natural fiber composites , Associated manufacturing processes for automotive , aerospace applications, multi-scale modeling of materials , simulation of forming processes, manufacturing of personalized dental ligaplants,</t>
  </si>
  <si>
    <t>James Barber</t>
  </si>
  <si>
    <t>jbarber@umich.edu</t>
  </si>
  <si>
    <t xml:space="preserve"> Solid mechanics including thermoelasticity, elasticity, solidification, contact mechanics, tribology, elastodynamics, fracture, stability of thermoelastic contact, friction, contact of rough surfaces.</t>
  </si>
  <si>
    <t xml:space="preserve"> Solid mechanics including thermoelasticity, elasticity, solidification, contact mechanics, tribology, elastodynamics, fracture, stability of thermoelastic contact, friction, contact of rough surfaces,</t>
  </si>
  <si>
    <t>Kira Barton</t>
  </si>
  <si>
    <t>bartonkl@umich.edu</t>
  </si>
  <si>
    <t xml:space="preserve"> Control theory and applications, iterative learning control, multi-agent systems, human/robot collaborations, smart manufacturing, manufacturing robotics, high-performance micro</t>
  </si>
  <si>
    <t xml:space="preserve"> Control theory , applications, iterative learning control, multi-agent systems, human/robot collaborations, smart manufacturing, manufacturing robotics, high-performance micro</t>
  </si>
  <si>
    <t>$29,466 per year (in-state, full-time)</t>
  </si>
  <si>
    <t>Michael Bernitsas</t>
  </si>
  <si>
    <t>michaelb@umich.edu</t>
  </si>
  <si>
    <t xml:space="preserve"> Current Energy Conversion, Enhancement of High-Damping, High-Reynolds Vortex Induced Vibration, Suppression of Vortex Induced Vibration, Mooring System Dynamics, Structural Redesign and Topology/Material Evolution, Riser and Pipeline Mechanics</t>
  </si>
  <si>
    <t xml:space="preserve"> Current Energy Conversion, Enhancement of High-Damping, High-Reynolds Vortex Induced Vibration, Suppression of Vortex Induced Vibration, Mooring System Dynamics, Structural Redesign , Topology/Material Evolution, Riser , Pipeline Mechanics</t>
  </si>
  <si>
    <t>Andre Boehman</t>
  </si>
  <si>
    <t>boehman@umich.edu</t>
  </si>
  <si>
    <t xml:space="preserve"> Automotive engineering, energy and thermal sciences including fuel production and formulation, alternative fuels, diesel combustion, spark ignition combustion, autoignition, spray behavior, particulate emissions, NOx emissions, emissions control, thermodynamics of energy conversion systems.</t>
  </si>
  <si>
    <t xml:space="preserve"> Automotive engineering, energy , thermal sciences including fuel production , formulation, alternative fuels, diesel combustion, spark ignition combustion, autoignition, spray behavior, particulate emissions, NOx emissions, emissions control, thermodynamics of energy conversion systems,</t>
  </si>
  <si>
    <t>Diann Brei</t>
  </si>
  <si>
    <t>dibrei@umich.edu</t>
  </si>
  <si>
    <t xml:space="preserve"> Design, smart materials and structures, sensor and actuator design, structural dynamics, vibration and noise control, mechatronics, smart mechanisms</t>
  </si>
  <si>
    <t xml:space="preserve"> Design, smart materials , structures, sensor , actuator design, structural dynamics, vibration , noise control, mechatronics, smart mechanisms</t>
  </si>
  <si>
    <t>Daniel Bruder</t>
  </si>
  <si>
    <t>bruderd@umich.edu</t>
  </si>
  <si>
    <t xml:space="preserve"> Design, modeling, and control of soft and other non-traditional robotic systems with the goal of actualizing robots that are capable of safely assisting humans in real-world unstructured environments.</t>
  </si>
  <si>
    <t xml:space="preserve"> Design, modeling, control of soft , other non-traditional robotic systems with the goal of actualizing robots that are capable of safely assisting humans in real-world unstructured environments,</t>
  </si>
  <si>
    <t>Ashley Bucsek</t>
  </si>
  <si>
    <t>abucsek@umich.edu</t>
  </si>
  <si>
    <t xml:space="preserve"> Mechanical behavior of materials, micromechanical modeling, in sit/uin operando characterization including X-ray imaging and diffraction, functional materials, lightweight structural metals, shape memory alloys, phase transformations, energy conversion</t>
  </si>
  <si>
    <t xml:space="preserve"> Mechanical behavior of materials, micromechanical modeling, in sit/uin oper,o characterization including X-ray imaging , diffraction, functional materials, lightweight structural metals, shape memory alloys, phase transformations, energy conversion</t>
  </si>
  <si>
    <t>Jesse Capecelatro</t>
  </si>
  <si>
    <t>jcaps@umich.edu</t>
  </si>
  <si>
    <t xml:space="preserve"> Fluid mechanics, with an emphasis on multiphase flow, turbulence, reacting flows, and high-performance computing. Applications include renewable energy, disease transmission, and space exploration.</t>
  </si>
  <si>
    <t xml:space="preserve"> Fluid mechanics, with an emphasis on multiphase flow, turbulence, reacting flows, high-performance computing, Applications include renewable energy, disease transmission, space exploration,</t>
  </si>
  <si>
    <t>Steve Ceccio</t>
  </si>
  <si>
    <t>ceccio@umich.edu</t>
  </si>
  <si>
    <t xml:space="preserve"> Fluid mechanics with emphasis on experimental methods, multiphase flows, high Reynolds number flows, cavitation and bubbly flows, optical flow measurement methods, electrical and radiation based tomography.</t>
  </si>
  <si>
    <t xml:space="preserve"> Fluid mechanics with emphasis on experimental methods, multiphase flows, high Reynolds number flows, cavitation , bubbly flows, optical flow measurement methods, electrical , radiation based tomography,</t>
  </si>
  <si>
    <t>Erin Cech</t>
  </si>
  <si>
    <t>ecech@umich.edu</t>
  </si>
  <si>
    <t xml:space="preserve"> Gender and Sexuality, Inequalities and Stratification, Sociology of Culture, Theory, Knowledge, and Science, Work, Economy, and Organizations, Mixed Methods, Sociology, Administration</t>
  </si>
  <si>
    <t xml:space="preserve"> Gender , Sexuality, Inequalities , Stratification, Sociology of Culture, Theory, Knowledge, Science, Work, Economy, Organizations, Mixed Methods, Sociology, Administration</t>
  </si>
  <si>
    <t>Rhima Coleman</t>
  </si>
  <si>
    <t>rhimacol@umich.edu</t>
  </si>
  <si>
    <t xml:space="preserve"> My research is focused on investigation 2 key areas of manipulating cell behavior for cartilage tissue regeneration 1) genetic reprogramming of cells, and 2) cell-matrix interactions.</t>
  </si>
  <si>
    <t xml:space="preserve"> manipulating cell behavior for cartilage tissue regeneration 1) genetic reprogramming of cells, 2) cell-matrix interactions,</t>
  </si>
  <si>
    <t>Daniel Cooper</t>
  </si>
  <si>
    <t>drcooper@umich.edu</t>
  </si>
  <si>
    <t xml:space="preserve"> My research, which focuses on making impactful contributions to the areas of manufacturing and sustainability, considers multiple scales identifying significant opportunities to cut emissions and/or costs by conducting large scale analyses on processes, factories and material supply chains, and pursuing a rigorous technical analysis in order to capitalize on the opportunities.</t>
  </si>
  <si>
    <t>making impactful contributions to the areas of manufacturing , sustainability, considers multiple scales identifying significant opportunities to cut emissions ,/or costs by conducting large scale analyses on processes, factories , material supply chains, pursuing a rigorous technical analysis in order to capitalize on the opportunities</t>
  </si>
  <si>
    <t>Shanna Daly</t>
  </si>
  <si>
    <t>srdaly@umich.edu</t>
  </si>
  <si>
    <t xml:space="preserve"> Front-end design processes, idea generation, engineering creativity and divergent thinking, design cognition, socially-engaged design, socio-technical engineering skillsets, design ethnography, design problem finding and framing, design prototyping, design education</t>
  </si>
  <si>
    <t xml:space="preserve"> Front-end design processes, idea generation, engineering creativity , divergent thinking, design cognition, socially-engaged design, socio-technical engineering skillsets, design ethnography, design problem finding , framing, design prototyping, design education</t>
  </si>
  <si>
    <t>Neil Dasgupta</t>
  </si>
  <si>
    <t>ndasgupt@umich.edu</t>
  </si>
  <si>
    <t xml:space="preserve"> Renewable energy and energy storage, Batteries, Solar Energy, Catalysis, Nanomanufacturing, Atomic layer deposition, Bio-inspired materials, High-resolution microscopy and spectroscopy of nanomaterials, In situ/operando electrochemistry, Energy policy and economics</t>
  </si>
  <si>
    <t xml:space="preserve"> Renewable energy , energy storage, Batteries, Solar Energy, Catalysis, Nanomanufacturing, Atomic layer deposition, Bio-inspired materials, High-resolution microscopy , spectroscopy of nanomaterials, In situ/oper,o electrochemistry, Energy policy , economics</t>
  </si>
  <si>
    <t>Cheri Deng</t>
  </si>
  <si>
    <t>cxdeng@umich.edu</t>
  </si>
  <si>
    <t xml:space="preserve"> Research and development in the field of biomedical ultrasound, understanding of the processes and mechanism involved in ultrasound interaction with biological systems for the purpose of developing efficient techniques for diagnosis and treatment of human diseases, ultrasound mediated drug and gene delivery for cancer treatment and gene therapy, high intensity focus ultrasound ablation of cardiac arrhythmias such as atrial fibrillation, as well as quantitative ultrasound imaging for improved pancreatic cancer detection.</t>
  </si>
  <si>
    <t xml:space="preserve"> Research , development in the field of biomedical ultrasound, underst,ing of the processes , mechanism involved in ultrasound interaction with biological systems for the purpose of developing efficient techniques for diagnosis , treatment of human diseases, ultrasound mediated drug , gene delivery for cancer treatment , gene therapy, high intensity focus ultrasound ablation of cardiac arrhythmias such as atrial fibrillation, as well as quantitative ultrasound imaging for improved pancreatic cancer detection,</t>
  </si>
  <si>
    <t>Pingsha Dong</t>
  </si>
  <si>
    <t>dongp@umich.edu</t>
  </si>
  <si>
    <t xml:space="preserve"> (1) High-speed method for directly joining plastics directly to metals for manufacture of multi-materials lightweight structures, (2) solid-state rapid deposition technique for additive manufacture of bimetal components without introducing detrimental intermetallic compounds, (3) Fracture mechanics modeling of randomly distributed defects in additively-manufactured metal components, (4) smart modular design for manufacturing and assembly methods for advanced lightweight marine structures.</t>
  </si>
  <si>
    <t xml:space="preserve"> High-speed method for directly joining plastics directly to metals for manufacture of multi-materials lightweight structures, solid-state rapid deposition technique for additive manufacture of bimetal components without introducing detrimental intermetallic compounds, Fracture mechanics modeling of r,omly distributed defects in additively-manufactured metal components, smart modular design for manufacturing , assembly methods for advanced lightweight marine structures</t>
  </si>
  <si>
    <t>David Dowling</t>
  </si>
  <si>
    <t>drd@umich.edu</t>
  </si>
  <si>
    <t xml:space="preserve"> Underwater acoustics, hydrodynamics, hydro-acoustics, structural acoustics</t>
  </si>
  <si>
    <t>Karthik Duraisamy</t>
  </si>
  <si>
    <t>kdur@umich.edu</t>
  </si>
  <si>
    <t xml:space="preserve"> Computational Science and Engineering, Aerodynamics, High-Speed Flows, Turbulence modeling and simulation, Vortical Flows, Uncertainty Quantification, High-Performance Computing, Rotorcraft Aeromechanics, Adjoint-based methods, Optimization</t>
  </si>
  <si>
    <t xml:space="preserve"> Computational Science , Engineering, Aerodynamics, High-Speed Flows, Turbulence modeling , simulation, Vortical Flows, Uncertainty Quantification, High-Performance Computing, Rotorcraft Aeromechanics, Adjoint-based methods, Optimization</t>
  </si>
  <si>
    <t>Bogdan Epureanu</t>
  </si>
  <si>
    <t>epureanu@umich.edu</t>
  </si>
  <si>
    <t xml:space="preserve"> Research focuses on biological and epidemiological systems, aerospace and automotive structures, and turbomachinery. Examples include creating novel mechano-chemical dynamic models of nanoscale intracellular transport processes, developing the next generation of highly-sensitive diagnosis and monitoring techniques, discovering novel methods for forecasting tipping points in complex systems such as disease epidemics and ecological systems, developing innovative reduced order models of multi-physics systems such as Li-ion batteries and complex structures, creating advanced system identification and control methodologies for smart structures and fluid-structural systems. These blend novel methods and theory with fundamental experiments in linear and nonlinear dynamics from macro to nano-scale.</t>
  </si>
  <si>
    <t xml:space="preserve"> Research focuses on biological , epidemiological systems, aerospace , automotive structures, turbomachinery, Examples include creating novel mechano-chemical dynamic models of nanoscale intracellular transport processes, developing the next generation of highly-sensitive diagnosis , monitoring techniques, discovering novel methods for forecasting tipping points in complex systems such as disease epidemics , ecological systems, developing innovative reduced order models of multi-physics systems such as Li-ion batteries , complex structures, creating advanced system identification , control methodologies for smart structures , fluid-structural systems, These blend novel methods , theory with fundamental experiments in linear , nonlinear dynamics from macro to nano-scale,</t>
  </si>
  <si>
    <t>Jon Estrada</t>
  </si>
  <si>
    <t>jbestrad@umich.edu</t>
  </si>
  <si>
    <t xml:space="preserve"> Experimental mechanics of soft and bio-materials, material characterization including high speed rheometry, magnetic resonance, and inverse techniques, inertial cavitation dynamics, photoacoustic and laser microscopy, cell mechanics, image processing techniques, digital image and volume correlation</t>
  </si>
  <si>
    <t xml:space="preserve"> Experimental mechanics of soft , bio-materials, material characterization including high speed rheometry, magnetic resonance, inverse techniques, inertial cavitation dynamics, photoacoustic , laser microscopy, cell mechanics, image processing techniques, digital image , volume correlation</t>
  </si>
  <si>
    <t>Tulga Ersal</t>
  </si>
  <si>
    <t>tersal@umich.edu</t>
  </si>
  <si>
    <t>utonomous and semi-autonomous vehicles, human-autonomy interactions</t>
  </si>
  <si>
    <t>utonomous , semi-autonomous vehicles, human-autonomy interactions</t>
  </si>
  <si>
    <t>Yue Fan</t>
  </si>
  <si>
    <t>fanyue@umich.edu</t>
  </si>
  <si>
    <t xml:space="preserve"> Defects behaviors and microstructural evolution in structure materials, deformation mechanisms and mechanical properties of amorphous solids, long time scale atomistic simulation</t>
  </si>
  <si>
    <t xml:space="preserve"> Defects behaviors , microstructural evolution in structure materials, deformation mechanisms , mechanical properties of amorphous solids, long time scale atomistic simulation</t>
  </si>
  <si>
    <t>Nima Fazeli</t>
  </si>
  <si>
    <t>nfz@umich.edu</t>
  </si>
  <si>
    <t xml:space="preserve"> Robotic Manipulation, Physical Interaction and Contact, Robot Learning and Control, State-Estimation</t>
  </si>
  <si>
    <t xml:space="preserve"> Robotic Manipulation, Physical Interaction , Contact, Robot Learning , Control, State-Estimation</t>
  </si>
  <si>
    <t>Evgueni Filipov</t>
  </si>
  <si>
    <t>filipov@umich.edu</t>
  </si>
  <si>
    <t xml:space="preserve"> My s lie in the field of deployable and reconfigurable structural systems. Folding and adaptable structures based on the principles of origami can have practical applications ranging in scale and discipline from biomedical robotics to deployable architecture.</t>
  </si>
  <si>
    <t>deployable , reconfigurable structural systems</t>
  </si>
  <si>
    <t>Theodor Freiheit</t>
  </si>
  <si>
    <t>tfreihei@umich.edu</t>
  </si>
  <si>
    <t xml:space="preserve"> Manufacturing systems engineering. Design of manufacturing and service systems. Reliability and productivity. Markov chain models, including the application of predictive control. Interaction between manufacturing process parameters and failure modes. Product quality. The influence of production system approaches across industries. Applications of controls to manufacturing systems. Design theory and methodology. Product development. New product design. Design of machine components and systems. The influence of designer personality and environment on design outcomes. Engineering Management - with a particular interest in product development. Lean product design. Interaction of business, product, and process in engineering systems. Products design for flexible manufacturing systems.</t>
  </si>
  <si>
    <t xml:space="preserve"> Manufacturing systems engineering, Design of manufacturing , service systems, Reliability , productivity, Markov chain models, including the application of predictive control, Interaction between manufacturing process parameters , failure modes, Product quality, The influence of production system approaches across industries, Applications of controls to manufacturing systems, Design theory , methodology, Product development, New product design, Design of machine components , systems, The influence of designer personality , environment on design outcomes, Engineering Management - with a particular interest in product development, Lean product design, Interaction of business, product, process in engineering systems, Products design for flexible manufacturing systems,</t>
  </si>
  <si>
    <t>Jianping Fu</t>
  </si>
  <si>
    <t>jpfu@umich.edu</t>
  </si>
  <si>
    <t xml:space="preserve"> Stem Cell Bioengineering, Developmental Bioengineering, Mechanobiology, and Bio, MEMS</t>
  </si>
  <si>
    <t xml:space="preserve"> Stem Cell Bioengineering, Developmental Bioengineering, Mechanobiology, Bio, MEMS</t>
  </si>
  <si>
    <t>Krishna Garikipati</t>
  </si>
  <si>
    <t>krishna@umich.edu</t>
  </si>
  <si>
    <t xml:space="preserve"> I am a computational scientist focusing on the development of scientific machine learning and methods for data-driven computational science. My work draws upon nonlinear physics, applied mathematics and numerical methods. I have worked for quite a few years in mathematical biology, biophysics and materials physics. Some specific problems that I have been thinking about recently are (1) mathematical models of patterning and morphogenesis in developmental biology, (2) scale bridging using scientific machine learning, (3) using machine learning and graph-based methods to solve partial differential equations, (4) mechano-chemically driven phenomena in materials, such as phase transformations, electro-chemo-thermo-mechanics and the like, motivated by materials for batteries, electronics and structural alloys.</t>
  </si>
  <si>
    <t>scientific machine learning , methods for data-driven computational science, My work draws upon nonlinear physics, applied mathematics , numerical methods, I have worked for quite a few years in mathematical biology, biophysics , materials physics,mathematical models of patterning , morphogenesis in developmental biologyscale bridging using scientific machine learning, using machine learning , graph-based methods to solve partial differential equations, mechano-chemically driven phenomena in materials, such as phase transformations, electro-chemo-thermo-mechanics , the like, motivated by materials for batteries, electronics,structural alloys</t>
  </si>
  <si>
    <t>Vikram Gavini</t>
  </si>
  <si>
    <t>vikramg@umich.edu</t>
  </si>
  <si>
    <t xml:space="preserve"> Developing algorithms and computational frameworks for large-scale ab-initio calculations to understand materials properties, HPC aspects of electronic structure calculations, Electronic structure studies on defects in solids, Multi-scale modeling, Analysis of approximation theories</t>
  </si>
  <si>
    <t xml:space="preserve"> Developing algorithms , computational frameworks for large-scale ab-initio calculations to underst, materials properties, HPC aspects of electronic structure calculations, Electronic structure studies on defects in solids, Multi-scale modeling, Analysis of approximation theories</t>
  </si>
  <si>
    <t>Yogesh Gianchandani</t>
  </si>
  <si>
    <t>yogesh@umich.edu</t>
  </si>
  <si>
    <t>icro, Sensing Nanofabrication</t>
  </si>
  <si>
    <t>Brent Gillespie</t>
  </si>
  <si>
    <t>brentg@umich.edu</t>
  </si>
  <si>
    <t xml:space="preserve"> Haptic interface and robotics</t>
  </si>
  <si>
    <t xml:space="preserve"> Haptic interface , robotics</t>
  </si>
  <si>
    <t>Jerard Gordon</t>
  </si>
  <si>
    <t>jerardvg@umich.edu</t>
  </si>
  <si>
    <t xml:space="preserve"> Process-structure-property relationships of advanced materials, metal additive manufacturing, in-situ property evaluation, experimental and computational mechanics, materials discovery, design and manufacturing.</t>
  </si>
  <si>
    <t xml:space="preserve"> Process-structure-property relationships of advanced materials, metal additive manufacturing, in-situ property evaluation, experimental , computational mechanics, materials discovery, design , manufacturing,</t>
  </si>
  <si>
    <t>Nakhiah Goulbourne</t>
  </si>
  <si>
    <t>bourne@umich.edu</t>
  </si>
  <si>
    <t>Robert Gregg</t>
  </si>
  <si>
    <t>rdgregg@umich.edu</t>
  </si>
  <si>
    <t xml:space="preserve"> Wearable Robots, Legged Robots, Prosthetics &amp; Orthotics, Bipedal Locomotion, Nonlinear Control Theory, Rehabilitation Engineering</t>
  </si>
  <si>
    <t>Karl Grosh</t>
  </si>
  <si>
    <t>grosh@umich.edu</t>
  </si>
  <si>
    <t xml:space="preserve"> Cochlear mechanics and hearing, acoustic and vibrational transducers, prosthetics and sensors for biomedical applications, MEMS, distributed, active metamaterials, mechanics and computational mechanics, structural acoustics.</t>
  </si>
  <si>
    <t xml:space="preserve"> Cochlear mechanics , hearing, acoustic , vibrational transducers, prosthetics , sensors for biomedical applications, MEMS, distributed, active metamaterials, mechanics, computational mechanics, structural acousticS</t>
  </si>
  <si>
    <t>Jay Guo</t>
  </si>
  <si>
    <t>guo@umich.edu</t>
  </si>
  <si>
    <t xml:space="preserve"> Polymer-based photonic sensors and photoacoustics, organic and hybrid photovoltaics and photodetectors, flexible transparent conductors, nanophotonics &amp; structural colors, nanomanufacturing technologies and applications</t>
  </si>
  <si>
    <t xml:space="preserve"> Polymer-based photonic sensors , photoacoustics, organic , hybrid photovoltaics , photodetectors, flexible transparent conductors, nanophotonics &amp; structural colors, nanomanufacturing technologies , applications</t>
  </si>
  <si>
    <t>James Holly, Jr</t>
  </si>
  <si>
    <t>jhollyjr@umich.edu</t>
  </si>
  <si>
    <t>y research is interdisciplinary, using scholarshi, Pin education, engineering, and Black studies, I study methods of counteracting anti-Black racism within mechanical engineering study and practice. Specific topics include Black-centered design, pre-college engineering instruction, eco-centric materials and decision-making, sociotransformative engineering.</t>
  </si>
  <si>
    <t>y research is interdisciplinary, using scholarshi, Pin education, engineering, Black studies, I study methods of counteracting anti-Black racism within mechanical engineering study , practice, Specific topics include Black-centered design, pre-college engineering instruction, eco-centric materials , decision-making, sociotransformative engineering,</t>
  </si>
  <si>
    <t>Jingwen Hu</t>
  </si>
  <si>
    <t>jwhu@umich.edu</t>
  </si>
  <si>
    <t xml:space="preserve"> Impact/Injury Biomechanics Parametric Human Modeling, Statistical Injury Data Analysis, Cadaver/Dummy Testing - Occupant Protection Safety equity among diverse populations, Restraint Design Optimization, Rear Seat Occupants, Oblique Impacts, Adaptive Restraint Design, Active and Passive Safety Integration, Tactical Vehicle Safety, Vulnerable Populations, Automated Vehicles, Child Seat Design, Rollover Crashes - Others Pediatric Fall and Child Abuse, Seat Comfort, Computer Aided Surgery</t>
  </si>
  <si>
    <t xml:space="preserve"> Impact/Injury Biomechanics Parametric Human Modeling, Statistical Injury Data Analysis, Cadaver/Dummy Testing - Occupant Protection Safety equity among diverse populations, Restraint Design Optimization, Rear Seat Occupants, Oblique Impacts, Adaptive Restraint Design, Active , Passive Safety Integration, Tactical Vehicle Safety, Vulnerable Populations, Automated Vehicles, Child Seat Design, Rollover Crashes - Others Pediatric Fall , Child Abuse, Seat Comfort, Computer Aided Surgery</t>
  </si>
  <si>
    <t>Xun (Ryan) Huan</t>
  </si>
  <si>
    <t>xhuan@umich.edu</t>
  </si>
  <si>
    <t xml:space="preserve"> Uncertainty quantification, data-driven modeling, numerical optimization, optimal experimental design, Bayesian analysis, machine learning</t>
  </si>
  <si>
    <t>Greg Hulbert</t>
  </si>
  <si>
    <t>hulbert@umich.edu</t>
  </si>
  <si>
    <t xml:space="preserve"> Computational mechanics, finite element methods, structural dynamics, flexible multibody dynamics, dynamic response of composites, vehicle dynamics, engineering mechanics education.</t>
  </si>
  <si>
    <t xml:space="preserve"> Computational mechanics, finite element methods, structural dynamics, flexible multibody dynamics, dynamic response of composites, vehicle dynamics, engineering mechanics education,</t>
  </si>
  <si>
    <t>Uduak Inyang-Udoh</t>
  </si>
  <si>
    <t>udinyang@umich.edu</t>
  </si>
  <si>
    <t>utonomous &amp; Intelligent Systems (AI-Sys) Lab</t>
  </si>
  <si>
    <t>Eric Johnsen</t>
  </si>
  <si>
    <t>ejohnsen@umich.edu</t>
  </si>
  <si>
    <t xml:space="preserve"> Fluid mechanics, with an emphasis on multiphase flow, cavitation and bubble dynamics, computational fluid dynamics, high-speed flow and shock waves, turbulence and mixing, interfacial instabilities, plasmas, and high-performance computing. Applications include biomedical engineering, energy, aeronautics, turbomachinery, naval engineering and high-energy density physics.</t>
  </si>
  <si>
    <t xml:space="preserve"> Fluid mechanics, with an emphasis on multiphase flow, cavitation , bubble dynamics, computational fluid dynamics, high-speed flow , shock waves, turbulence , mixing, interfacial instabilities, plasmas, high-performance computing, Applications include biomedical engineering, energy, aeronautics, turbomachinery, naval engineering , high-energy density physics,</t>
  </si>
  <si>
    <t>Massoud Kaviany</t>
  </si>
  <si>
    <t>kaviany@umich.edu</t>
  </si>
  <si>
    <t xml:space="preserve"> Heat Transfer Physics efficient and innovative energy transport and conversion (transformation) through atomic tailoring of the principal energy carriers (phonon, electron, fluid particle, and photon). Current energy-related projects include thermoelectricity, phonoelectricity, thermal switch, and multidimensional wicks for record conductance and heat flux.</t>
  </si>
  <si>
    <t xml:space="preserve"> Heat Transfer Physics efficient , innovative energy transport , conversion (transformation) through atomic tailoring of the principal energy carriers (phonon, electron, fluid particle, photon), Current energy-related projects include thermoelectricity, phonoelectricity, thermal switch, multidimensional wicks for record conductance , heat flux,</t>
  </si>
  <si>
    <t>Brian Kish</t>
  </si>
  <si>
    <t>bakish@umich.edu</t>
  </si>
  <si>
    <t xml:space="preserve"> Lecturerfor ME 360 and ME 461. Discussion Lecturerfor ME 211. Research involving Experimental Flight Test.</t>
  </si>
  <si>
    <t>Research involving Experimental Flight Test</t>
  </si>
  <si>
    <t>Jeffrey Koller</t>
  </si>
  <si>
    <t>jrkoller@umich.edu</t>
  </si>
  <si>
    <t xml:space="preserve"> Lecturerwith a focus in teaching dynamics and controls.</t>
  </si>
  <si>
    <t>dynamics, controls</t>
  </si>
  <si>
    <t>Julia Kramer</t>
  </si>
  <si>
    <t>kramerju@umich.edu</t>
  </si>
  <si>
    <t xml:space="preserve"> My research has two primary aims (1) to apply engineering design to improve global health equity, and(2) to advance the methods and tools of equitable engineering design. My specific areas of interest include equitable design processes, design theory &amp; methodology, public health, social equity, and global development.</t>
  </si>
  <si>
    <t>apply engineering design to improve global health equity, to advance the methods , tools of equitable engineering design, equitable design processes, design theory, methodology, public health, social equityglobal development,</t>
  </si>
  <si>
    <t>Katsuo Kurabayashi</t>
  </si>
  <si>
    <t>katsuo@umich.edu</t>
  </si>
  <si>
    <t xml:space="preserve"> Biosensors, Biomedical Microelectromechanical Systems (Bio, MEMS), Optofluidics, Lab on a Chip</t>
  </si>
  <si>
    <t>David Kwabi</t>
  </si>
  <si>
    <t>dkwabi@umich.edu</t>
  </si>
  <si>
    <t xml:space="preserve"> Electrochemistry, grid energy storage, CO2 capture, organic batteries, desalination, solid-state batteries</t>
  </si>
  <si>
    <t>Ronald Larson</t>
  </si>
  <si>
    <t>rlarson@umich.edu</t>
  </si>
  <si>
    <t xml:space="preserve"> Complex fluids, polymers, fluid mechanics, surfactants, biomolecules, transport theory, rheology, instabilities, constitutive theory.</t>
  </si>
  <si>
    <t xml:space="preserve"> Complex fluids, polymers, fluid mechanics, surfactants, biomolecules, transport theory, rheology, instabilities, constitutive theory,</t>
  </si>
  <si>
    <t>Xiaogan Liang</t>
  </si>
  <si>
    <t>xiaoganl@umich.edu</t>
  </si>
  <si>
    <t xml:space="preserve"> Advanced Nanofabrication, Nanomanufacturing, and Microsystem Technologies, and Their Applications in Nanoelectronics, Nanophotonics, Integrated Biosensing Systems, and Airborne Sensing Systems Based on Microdrones.</t>
  </si>
  <si>
    <t xml:space="preserve"> Advanced Nanofabrication, Nanomanufacturing, Microsystem Technologies, Their Applications in Nanoelectronics, Nanophotonics, Integrated Biosensing Systems, Airborne Sensing Systems Based on Microdrones,</t>
  </si>
  <si>
    <t>Henry Liu</t>
  </si>
  <si>
    <t>henryliu@umich.edu</t>
  </si>
  <si>
    <t xml:space="preserve"> Prof. Liu conducts interdisciplinary research at the interface between Transportation Engineering, Automotive Engineering, and Artificial Intelligence, with a focus on cyber-physical transportation systems. Specifically, his scholarly interests concern traffic flow monitoring, modeling, and control, testing and evaluation of connected and automated vehicles, and cooperative automated driving.</t>
  </si>
  <si>
    <t>Transportation Engineering, Automotive Engineering, Artificial Intelligence</t>
  </si>
  <si>
    <t>Allen Liu</t>
  </si>
  <si>
    <t>allenliu@umich.edu</t>
  </si>
  <si>
    <t xml:space="preserve"> Mechanobiology and mechanotransduction, bottom-u, Psynthetic biology, quantitative cell biology</t>
  </si>
  <si>
    <t xml:space="preserve"> Mechanobiology , mechanotransduction, bottom-u, Psynthetic biology, quantitative cell biology</t>
  </si>
  <si>
    <t>Wei Lu</t>
  </si>
  <si>
    <t>weilu@umich.edu</t>
  </si>
  <si>
    <t xml:space="preserve"> Energy storage and electrochemistry, simulation of nano/microstructure evolution, mechanics in nano</t>
  </si>
  <si>
    <t xml:space="preserve"> Energy storage , electrochemistry, simulation of nano/microstructure evolution, mechanics in nano</t>
  </si>
  <si>
    <t>Jon Luntz</t>
  </si>
  <si>
    <t>jluntz@umich.edu</t>
  </si>
  <si>
    <t>echamatronic system design methodology, smart materials and structures</t>
  </si>
  <si>
    <t>echamatronic system design methodology, smart materials , structures</t>
  </si>
  <si>
    <t>Krishnan Mahesh</t>
  </si>
  <si>
    <t>krmahesh@umich.edu</t>
  </si>
  <si>
    <t xml:space="preserve"> The Mahesh laboratory is involved in the computation, analysis, and modeling of turbulent flows. The overall vision of the laboratory is to transform the role of simulations in the design and optimization of future Navy platforms, and enable the discovery of the fundamental science central to their multi-physics, turbulent flows. Traditionally, high-fidelity simulation methods like direct numerical and large-eddy simulation have been restricted to fairly simple geometries and flow physics. We are developing numerical methods, turbulence models and simulation tools that are flexible enough to handle multi-physics flows in engineering geometries without compromising the accuracy needed to simulate turbulence. Most of our simulations use unstructured grids on massively parallel computing platforms. We develo, Pour own simulation codes – MPCUGLES being our flagshi, Psoftware. Grou, Pmembers perform hands-on work on developing state-of-the-art algorithms, which they implement into parallel simulation codes and use to perform simulations on some of the largest parallel computers in the country. The simulation results are then examined to elaborate on the underlying flow physics. The MPCUGLES software has the accuracy to perform benchmark calculations of fundamental flows, as well as the flexibility to simulate flow in highly complicated engineering geometries. We conduct research into a variety of applications including marine propulsors, cavitation, hydroacoustics, flow over rough surfaces, laminar-turbulent transition, turbulent mixing, fluid/structure interaction, flow control, and moving-body flows. We are always interested in hiring strong new members to our group. Please contact PMahesh if you are interested.</t>
  </si>
  <si>
    <t>computation, analysis, modeling of turbulent flows, design , optimization of future Navy platforms, enable the discovery of the fundamental science central to their multi-physics, turbulent flows</t>
  </si>
  <si>
    <t>Edgar Meyhofer</t>
  </si>
  <si>
    <t>meyhofer@umich.edu</t>
  </si>
  <si>
    <t xml:space="preserve"> Nanotechnology, bionanotechnology, cellular and molecular biomechanics</t>
  </si>
  <si>
    <t xml:space="preserve"> Nanotechnology, bionanotechnology, cellular , molecular biomechanics</t>
  </si>
  <si>
    <t>Amit Misra</t>
  </si>
  <si>
    <t>amitmis@umich.edu</t>
  </si>
  <si>
    <t xml:space="preserve"> Nano mechanics, electron microscopy, laser processed metallic alloys, metallic thin films</t>
  </si>
  <si>
    <t>Talia Moore</t>
  </si>
  <si>
    <t>taliaym@umich.edu</t>
  </si>
  <si>
    <t xml:space="preserve"> Dynamics of terrestrial locomotion, arrhythmic and transient locomotion, bio-inspired design, bio-inspired robotics, soft robotics, animal-robot interaction</t>
  </si>
  <si>
    <t xml:space="preserve"> Dynamics of terrestrial locomotion, arrhythmic , transient locomotion, bio-inspired design, bio-inspired robotics, soft robotics, animal-robot interaction</t>
  </si>
  <si>
    <t>Sungmin Nam</t>
  </si>
  <si>
    <t>sungminn@umich.edu</t>
  </si>
  <si>
    <t>echanobiology, Biomaterials, Biomechanics, Medical devices, Mechanotherapy</t>
  </si>
  <si>
    <t>Chinedum Okwudire</t>
  </si>
  <si>
    <t>okwudire@umich.edu</t>
  </si>
  <si>
    <t xml:space="preserve"> Manufacturing Automation with key applications in additive manufacturing (or 3-D printing), nano-positioning, machining, distributed manufacturing, and smart manufacturing systems</t>
  </si>
  <si>
    <t xml:space="preserve"> Manufacturing Automation with key applications in additive manufacturing (or 3-D printing), nano-positioning, machining, distributed manufacturing, smart manufacturing systems</t>
  </si>
  <si>
    <t>Kenn Oldham</t>
  </si>
  <si>
    <t>oldham@umich.edu</t>
  </si>
  <si>
    <t xml:space="preserve"> Micro-mechatronic systems for endoscopic imaging, micro-robotic systems for manipulation and autonomous locomotion, identification of physiological feedback systems using novel sensing technologies, modeling, system identification, and state estimation for microelectromechanical systems (MEMS)</t>
  </si>
  <si>
    <t xml:space="preserve"> Micro-mechatronic systems for endoscopic imaging, micro-robotic systems for manipulation , autonomous locomotion, identification of physiological feedback systems using novel sensing technologies, modeling, system identification, state estimation for microelectromechanical systems (MEMS)</t>
  </si>
  <si>
    <t>Gabor Orosz</t>
  </si>
  <si>
    <t>orosz@umich.edu</t>
  </si>
  <si>
    <t xml:space="preserve"> Nonlinear dynamics and control, time delay systems, connected and automated vehicles, traffic flow</t>
  </si>
  <si>
    <t xml:space="preserve"> Nonlinear dynamics , control, time delay systems, connected , automated vehicles, traffic flow</t>
  </si>
  <si>
    <t>Jwo Pan</t>
  </si>
  <si>
    <t>jwo@umich.edu</t>
  </si>
  <si>
    <t xml:space="preserve"> Fracture and failure of materials, fatigue testing and modeling, constitutive laws for porous and pressure-sensitive materials, sheet metal forming, crankshaft fillet rolling and residual stresses, rolling modeling and fatigue, modeling/testing of fusion welds, solid state welds and mechanical joints, modeling</t>
  </si>
  <si>
    <t xml:space="preserve"> Fracture , failure of materials, fatigue testing , modeling, constitutive laws for porous , pressure-sensitive materials, sheet metal forming, crankshaft fillet rolling , residual stresses, rolling modeling , fatigue, modeling/testing of fusion welds, solid state welds , mechanical joints, modeling</t>
  </si>
  <si>
    <t>Kevin Pipe</t>
  </si>
  <si>
    <t>pipe@umich.edu</t>
  </si>
  <si>
    <t xml:space="preserve"> Microscale heat transfer, especially related to electronic and optoelectronic devices, thermoelectric energy conversion, medical applications of heat transfer</t>
  </si>
  <si>
    <t xml:space="preserve"> Microscale heat transfer, especially related to electronic , optoelectronic devices, thermoelectric energy conversion, medical applications of heat transfer</t>
  </si>
  <si>
    <t>Bogdan Popa</t>
  </si>
  <si>
    <t>bipopa@umich.edu</t>
  </si>
  <si>
    <t xml:space="preserve"> Design, optimization, and dynamics of new generations of engineered materials (metamaterials) that allow improved control over the propagation of acoustic, elastic and electromagnetic waves with applications in biomedical engineering, telecommunications, aero- and underwater acoustics, noise control, smart materials, mechatronics.</t>
  </si>
  <si>
    <t xml:space="preserve"> Design, optimization, dynamics of new generations of engineered materials (metamaterials) that allow improved control over the propagation of acoustic, elastic , electromagnetic waves with applications in biomedical engineering, telecommunications, aero- , underwater acoustics, noise control, smart materials, mechatronics,</t>
  </si>
  <si>
    <t>Venkat Raman</t>
  </si>
  <si>
    <t>ramanvr@umich.edu</t>
  </si>
  <si>
    <t xml:space="preserve"> Development of computational models for turbulent reacting flows with application to aircraft and scramjet engines, stationary power generation, and synthesis of novel materials. High-performance supercomputers and detailed numerical simulations to study the performance of combustion devices. Recent focus in the areas of numerical error analysis, uncertainty quantification, hypersonic design and optimization, and rotating detonation engines.</t>
  </si>
  <si>
    <t xml:space="preserve"> Development of computational models for turbulent reacting flows with application to aircraft , scramjet engines, stationary power generation, synthesis of novel materials, High-performance supercomputers , detailed numerical simulations to study the performance of combustion devices, Recent focus in the areas of numerical error analysis, uncertainty quantification, hypersonic design , optimization, rotating detonation engines,</t>
  </si>
  <si>
    <t>Pramod Sangi Reddy</t>
  </si>
  <si>
    <t>pramodr@umich.edu</t>
  </si>
  <si>
    <t xml:space="preserve"> Nanoscale charge and energy transport, thermoelectric devices, microscale heat transfer, organic photovoltaics, scanning probe microscopy and optics.</t>
  </si>
  <si>
    <t xml:space="preserve"> Nanoscale charge , energy transport, thermoelectric devices, microscale heat transfer, organic photovoltaics, scanning probe microscopy , optics,</t>
  </si>
  <si>
    <t>Elliott Rouse</t>
  </si>
  <si>
    <t>ejrouse@umich.edu</t>
  </si>
  <si>
    <t xml:space="preserve"> Precision machine design, development of exoskeletons/robotic prostheses, brushless motors, dynamics of human locomotion, human perception and psychophysics, neural control of movement, biomechanics, human performance augmentation</t>
  </si>
  <si>
    <t xml:space="preserve"> Precision machine design, development of exoskeletons/robotic prostheses, brushless motors, dynamics of human locomotion, human perception , psychophysics, neural control of movement, biomechanics, human performance augmentation</t>
  </si>
  <si>
    <t>Kazu Saitou</t>
  </si>
  <si>
    <t>kazu@umich.edu</t>
  </si>
  <si>
    <t xml:space="preserve"> Computational design. Manufacturability-driven structural topology optimization. Multi-material, multi-process, multi-component structural topology optimization (M^3 TO). Computational optimal synthesis of structural assemblies. Physics-informed AI for structural and assembly optimization.</t>
  </si>
  <si>
    <t xml:space="preserve"> Computational design, Manufacturability-driven structural topology optimization, Multi-material, multi-process, multi-component structural topology optimization (M^3 TO), Computational optimal synthesis of structural assemblies, Physics-informed AI for structural , assembly optimization,</t>
  </si>
  <si>
    <t>Jeff Sakamoto</t>
  </si>
  <si>
    <t>jeffsaka@umich.edu</t>
  </si>
  <si>
    <t xml:space="preserve"> As a materials scientist and engineer with an interest in synthesis, processing, and functionalization of ceramics and hydrogels, his research is highly interdisciplinary guided by the fields of energy storage/conversion and biomedicine.</t>
  </si>
  <si>
    <t xml:space="preserve"> As a materials scientist , engineer with an interest in synthesis, processing, functionalization of ceramics , hydrogels, his research is highly interdisciplinary guided by the fields of energy storage/conversion , biomedicine,</t>
  </si>
  <si>
    <t>Anchal Sareen</t>
  </si>
  <si>
    <t>asareen@umich.edu</t>
  </si>
  <si>
    <t xml:space="preserve"> Experimental Hydrodynamics with an emphasis on renewable energy harvesting and energy-efficient marine propulsion systems.</t>
  </si>
  <si>
    <t xml:space="preserve"> Experimental Hydrodynamics with an emphasis on renewable energy harvesting , energy-efficient marine propulsion systems,</t>
  </si>
  <si>
    <t>chshao@umich.edu</t>
  </si>
  <si>
    <t>czshi@umich.edu</t>
  </si>
  <si>
    <t xml:space="preserve"> Dr. Shi’s research focuses on physical acoustics, wave propagation, structural acoustics, underwater acoustics, metamaterials, biomedical ultrasound imaging, and therapeutic ultrasound. Particularly, he is interested in understanding the wave physics of vortex acoustic waves and their applications for underwater communications and therapies for different diseases, developing new ultrasound imaging techniques for cellular imaging and medical diagnostics, and creating novel experimental platforms for the studies of condense matter and quantum physics.Albert Shih</t>
  </si>
  <si>
    <t>physical acoustics, wave propagation, structural acoustics, underwater acoustics, metamaterials, biomedical ultrasound imaging, therapeutic ultrasound, Particularly, he is interested in underst,ing the wave physics of vortex acoustic waves , their applications for underwater communications , therapies for different diseases, developing new ultrasound imaging techniques for cellular imaging , medical diagnostics, creating novel experimental platforms for the studies of condense matter , quantum physics,Albert Shih</t>
  </si>
  <si>
    <t>Albert Shih</t>
  </si>
  <si>
    <t>shiha@umich.edu</t>
  </si>
  <si>
    <t xml:space="preserve"> Manufacturing, biomedical device design, biomedical manufacturing, computed tomography for inspection, neurovascular devices, precision machining of advanced engineering materials, additive manufacturing, cyber-physical manufacturing systems for assistive technology</t>
  </si>
  <si>
    <t>Alex Shorter</t>
  </si>
  <si>
    <t>kshorter@umich.edu</t>
  </si>
  <si>
    <t xml:space="preserve"> Design, Fabrication, Control and Evaluation of Human Assist Devices, Gait Analysis, Biomechanics, Instrument Design.</t>
  </si>
  <si>
    <t xml:space="preserve"> Design, Fabrication, Control , Evaluation of Human Assist Devices, Gait Analysis, Biomechanics, Instrument Design,</t>
  </si>
  <si>
    <t>Volker Sick</t>
  </si>
  <si>
    <t>vsick@umich.edu</t>
  </si>
  <si>
    <t xml:space="preserve"> Accelerating deployments of CO2-utilization technologies that will innovate existing infrastructure and manufacturing processes, thereby finding sustainable solutions to hel, Paddress the climate crisis. Developing and applying optical measurement techniques to diagnose diseases of the human eye.</t>
  </si>
  <si>
    <t xml:space="preserve"> Accelerating deployments of CO2-utilization technologies that will innovate existing infrastructure , manufacturing processes, thereby finding sustainable solutions to hel, Paddress the climate crisis, Developing , applying optical measurement techniques to diagnose diseases of the human eye,</t>
  </si>
  <si>
    <t>Kathleen Sienko</t>
  </si>
  <si>
    <t>sienko@umich.edu</t>
  </si>
  <si>
    <t xml:space="preserve"> Sensory augmentation, rehabilitation engineering, biomechanics, medical device design (emphasis on global health contexts and task-shifting devices), design science, engineering design education</t>
  </si>
  <si>
    <t xml:space="preserve"> Sensory augmentation, rehabilitation engineering, biomechanics, medical device design (emphasis on global health contexts , task-shifting devices), design science, engineering design education</t>
  </si>
  <si>
    <t>Steve Skerlos</t>
  </si>
  <si>
    <t>skerlos@umich.edu</t>
  </si>
  <si>
    <t xml:space="preserve"> Environmental and sustainable technology systems, life cycle product design optimization, pollution prevention technologies for manufacturing, metalworking fluid formulation and performance, membrane filtration, supercritical fluid delivery of lubricants, biological detection and control in aqueous systems, technology policy analysis.</t>
  </si>
  <si>
    <t xml:space="preserve"> Environmental , sustainable technology systems, life cycle product design optimization, pollution prevention technologies for manufacturing, metalworking fluid formulation , performance, membrane filtration, supercritical fluid delivery of lubricants, biological detection , control in aqueous systems, technology policy analysis,</t>
  </si>
  <si>
    <t>Anna Stefanopoulou</t>
  </si>
  <si>
    <t>annastef@umich.edu</t>
  </si>
  <si>
    <t xml:space="preserve"> Estimation and control of internal combustion engines and electrochemical processes such as fuel cells and batteries</t>
  </si>
  <si>
    <t xml:space="preserve"> Estimation , control of internal combustion engines , electrochemical processes such as fuel cells , batteries</t>
  </si>
  <si>
    <t>Jing Sun</t>
  </si>
  <si>
    <t>jingsun@umich.edu</t>
  </si>
  <si>
    <t xml:space="preserve"> Theory, methodologies and tools for control system integration and optimization, with applications to marine and automotive systems, Connected and automated transportation systems, Renewable energy systems.</t>
  </si>
  <si>
    <t xml:space="preserve"> Theory, methodologies , tools for control system integration , optimization, with applications to marine , automotive systems, Connected , automated transportation systems, Renewable energy systems,</t>
  </si>
  <si>
    <t>Sita Syal</t>
  </si>
  <si>
    <t>syalsm@umich.edu</t>
  </si>
  <si>
    <t xml:space="preserve"> Energy justice and equity, sustainable energy and mobility systems, human-centered design methods, design needfinding, socially-engaged design, community engagement, optimization, cost modeling, agent-based modeling, uncertainty quantification, multi-attribute decision making, energy policy.</t>
  </si>
  <si>
    <t xml:space="preserve"> Energy justice , equity, sustainable energy , mobility systems, human-centered design methods, design needfinding, socially-engaged design, community engagement, optimization, cost modeling, agent-based modeling, uncertainty quantification, multi-attribute decision making, energy policy,</t>
  </si>
  <si>
    <t>Wenda Tan</t>
  </si>
  <si>
    <t>wendatan@umich.edu</t>
  </si>
  <si>
    <t xml:space="preserve"> Our current research efforts have been focused on physics-based modeling for various advanced manufacturing processes. Specifically we are working on computational fluid dynamics and computational materials modeling for additive manufacturing, welding, casting, powder metallurgy, and electrohydrodynamic printing processes.</t>
  </si>
  <si>
    <t xml:space="preserve"> physics-based modeling for various advanced manufacturing processes, Specifically we are working on computational fluid dynamics , computational materials modeling for additive manufacturing, welding, casting, powder metallurgy, electrohydrodynamic printing processes,</t>
  </si>
  <si>
    <t>Jing Tang</t>
  </si>
  <si>
    <t>jingtang@umich.edu</t>
  </si>
  <si>
    <t xml:space="preserve"> Carbon Capture, Utilization, and Sequestration, Battery, Catalysis, Electrochemistry, Cryochemistry, Thermal Sciences, Natural Wood Cellulose, Atomic Engineering, Materials Synthesis, Manufacturing, and Characterization, Solid-State Chemistry, Biomaterials, Bioelectronics.</t>
  </si>
  <si>
    <t xml:space="preserve"> Carbon Capture, Utilization, Sequestration, Battery, Catalysis, Electrochemistry, Cryochemistry, Thermal Sciences, Natural Wood Cellulose, Atomic Engineering, Materials Synthesis, Manufacturing, Characterization, Solid-State Chemistry, Biomaterials, Bioelectronics,</t>
  </si>
  <si>
    <t>Alan Taub</t>
  </si>
  <si>
    <t>alantaub@umich.edu</t>
  </si>
  <si>
    <t xml:space="preserve"> My major  is in understanding the inter-relationships between processing, microstructure and properties in materials, with an emphasis on mechanical, electrical and magnetic applications. Present research focus is on lightweight structures for land, sea and air transportation applications. Projects include incremental forming of sheet metal and nano-particle additions to aluminum alloys. For polymer composites, we are studying the effect of carbon nanotube and graphene additions to polymer composites utilizing electrical and magnetic fields to produce oriented particles for improved mechanical properties.</t>
  </si>
  <si>
    <t>underst,ing the inter-relationships between processing, microstructure , properties in materials, with an emphasis on mechanical, electrical , magnetic applications, Present research focus is on lightweight structures for l,, sea, air transportation applications</t>
  </si>
  <si>
    <t>Karen A. Thole</t>
  </si>
  <si>
    <t>kthole@umich.edu</t>
  </si>
  <si>
    <t>Convective heat transfer, turbulent boundary layers, high freestream turbulence, gas turbine heat transfer</t>
  </si>
  <si>
    <t>Michael Thouless</t>
  </si>
  <si>
    <t>thouless@umich.edu</t>
  </si>
  <si>
    <t xml:space="preserve"> Micromechanics modeling of materials, interfacial fracture mechanics and adhesion, mechanical properties of thin films and coatings, toughening mechanisms in polymers, mechanical properties of structural adhesives.</t>
  </si>
  <si>
    <t xml:space="preserve"> Micromechanics modeling of materials, interfacial fracture mechanics , adhesion, mechanical properties of thin films , coatings, toughening mechanisms in polymers, mechanical properties of structural adhesives,</t>
  </si>
  <si>
    <t>Dawn Tilbury</t>
  </si>
  <si>
    <t>tilbury@umich.edu</t>
  </si>
  <si>
    <t xml:space="preserve"> Control theory and applications, logic control for manufacturing systems including diagnostics, fault handling, and recovery, modular control systems, networked control systems, performance management of computing systems, web-based tutorials for controls education.</t>
  </si>
  <si>
    <t xml:space="preserve"> Control theory , applications, logic control for manufacturing systems including diagnostics, fault h,ling, recovery, modular control systems, networked control systems, performance management of computing systems, web-based tutorials for controls education,</t>
  </si>
  <si>
    <t>Serife Tol</t>
  </si>
  <si>
    <t>stol@umich.edu</t>
  </si>
  <si>
    <t xml:space="preserve"> Dynamical systems, smart materials, metamaterials, phononic crystals, electromechanical systems, energy harvesting, mechanical vibrations, wave propagation</t>
  </si>
  <si>
    <t>Aaron Towne</t>
  </si>
  <si>
    <t>towne@umich.edu</t>
  </si>
  <si>
    <t xml:space="preserve"> Fluid mechanics, reduced-complexity modeling, data-driven modeling, flow control, aeroacoustics</t>
  </si>
  <si>
    <t>Michael Umbriac</t>
  </si>
  <si>
    <t>mumbriac@umich.edu</t>
  </si>
  <si>
    <t xml:space="preserve"> Lecturerfor ME250 and ME350 (Design and Manufacturing)</t>
  </si>
  <si>
    <t>Design,Manufacturing</t>
  </si>
  <si>
    <t>Jacinto Ulloa</t>
  </si>
  <si>
    <t>julloa@umich.edu</t>
  </si>
  <si>
    <t>Ramanarayan Vasudevan</t>
  </si>
  <si>
    <t>ramv@umich.edu</t>
  </si>
  <si>
    <t xml:space="preserve"> Optimization, modeling, design, and control of robotic systems that interact with humans and the environment. My grou, Pworks on a variety of applications including locomotion of legged robots, prosthetic control, autonomous vehicles, and soft robots.</t>
  </si>
  <si>
    <t xml:space="preserve"> Optimization, modeling, design, control of robotic systems that interact with humans , the environment, My grou, Pworks on a variety of applications including locomotion of legged robots, prosthetic control, autonomous vehicles, soft robots,</t>
  </si>
  <si>
    <t>Christopher Vermillion</t>
  </si>
  <si>
    <t>cvermill@umich.edu</t>
  </si>
  <si>
    <t xml:space="preserve"> Dr. Vermillion’s interests lie in the application of optimal control and design optimization tools to cutting-edge problems in renewable energy and energy efficiency. He is particularly interested in the development of tethered systems for harnessing wind and marine hydrokinetic energy, the development of persistent mission planning algorithms for renewably powered robotic networks, and the use of connected and autonomous vehicles to realize substantial fuel economy improvements over conventional vehicles.</t>
  </si>
  <si>
    <t>optimal control , design optimization tools to cutting-edge problems in renewable energy, energy efficiency</t>
  </si>
  <si>
    <t>Hugo Gonzalez Villasanti</t>
  </si>
  <si>
    <t>hugov@umich.edu</t>
  </si>
  <si>
    <t xml:space="preserve"> Control theory and engineering strategies in social systems to empower people and improve their well-being.</t>
  </si>
  <si>
    <t xml:space="preserve"> Control theory , engineering strategies in social systems to empower people , improve their well-being,</t>
  </si>
  <si>
    <t>Angela Violi</t>
  </si>
  <si>
    <t>avioli@umich.edu</t>
  </si>
  <si>
    <t xml:space="preserve"> Multiscale simulations of complex systems, nanoparticle growth and self-assembly, nanoparticle interactions with biomolecular systems, applied chemical kinetics, aerosols. Chemical and physical properties of fuels, alternative fuels, lubricants.</t>
  </si>
  <si>
    <t xml:space="preserve"> Multiscale simulations of complex systems, nanoparticle growth , self-assembly, nanoparticle interactions with biomolecular systems, applied chemical kinetics, aerosols, Chemical , physical properties of fuels, alternative fuels, lubricants,</t>
  </si>
  <si>
    <t>Venkat Viswanathan</t>
  </si>
  <si>
    <t>venkvis@umich.edu</t>
  </si>
  <si>
    <t>Electric aviation, Electric vehicles, Batteries, Scientific machine learning</t>
  </si>
  <si>
    <t>Anthony Waas</t>
  </si>
  <si>
    <t>awaas@umich.edu</t>
  </si>
  <si>
    <t>Kon-Well Wang</t>
  </si>
  <si>
    <t>kwwang@umich.edu</t>
  </si>
  <si>
    <t xml:space="preserve"> Structural dynamics and controls, including the emerging areas of intelligent structural &amp; material systems harnessing origami dynamics, reconfigurable metamaterials/metastructures, and mechano-intelligence, with applications in vibration &amp; noise controls, wave manipulation &amp; steering, vibration energy harvesting, structural health monitoring, and vehicle &amp; robotic system dynamics.</t>
  </si>
  <si>
    <t xml:space="preserve"> Structural dynamics , controls, including the emerging areas of intelligent structural &amp; material systems harnessing origami dynamics, reconfigurable metamaterials/metastructures, mechano-intelligence, with applications in vibration &amp; noise controls, wave manipulation &amp; steering, vibration energy harvesting, structural health monitoring, vehicle &amp; robotic system dynamics,</t>
  </si>
  <si>
    <t>Thomas Wang</t>
  </si>
  <si>
    <t>thomaswa@umich.edu</t>
  </si>
  <si>
    <t xml:space="preserve"> Biomedical instrument design, imaging systems, micro-optics, bio-microelectromechanical systems (bio-MEMS), miniature sensors, mirrors and actuators</t>
  </si>
  <si>
    <t xml:space="preserve"> Biomedical instrument design, imaging systems, micro-optics, bio-microelectromechanical systems (bio-MEMS), miniature sensors, mirrors , actuators</t>
  </si>
  <si>
    <t>Margaret Wooldridge</t>
  </si>
  <si>
    <t>mswool@umich.edu</t>
  </si>
  <si>
    <t xml:space="preserve"> Sustainable and renewable energy, power and propulsion systems, combustion, fluid mechanics and thermodynamics, pollution mitigation, high-efficiency, low-resource consumption energy systems, reaction kinetics, aerosol formation, transport and impact, optical diagnostics, gas dynamics</t>
  </si>
  <si>
    <t xml:space="preserve"> Sustainable , renewable energy, power , propulsion systems, combustion, fluid mechanics , thermodynamics, pollution mitigation, high-efficiency, low-resource consumption energy systems, reaction kinetics, aerosol formation, transport , impact, optical diagnostics, gas dynamics</t>
  </si>
  <si>
    <t>Hongyi Xiao</t>
  </si>
  <si>
    <t>hongyix@umich.edu</t>
  </si>
  <si>
    <t>echanics and physics of soft matter, flow and segregation of granular materials, machine learning for disordered solids,</t>
  </si>
  <si>
    <t>echanics , physics of soft matter, flow , segregation of granular materials, machine learning for disordered solids</t>
  </si>
  <si>
    <t>Euisik Yoon</t>
  </si>
  <si>
    <t>esyoon@umich.edu</t>
  </si>
  <si>
    <t>Lei Zuo</t>
  </si>
  <si>
    <t>leizuo@umich.edu</t>
  </si>
  <si>
    <t>arine renewable energy (ocean waves, tidal currents, offshore wind), blue economy, energy harvesting, vibration/dynamics and control, mechatronics design, vehicles and transportation, and advanced manufacturing.</t>
  </si>
  <si>
    <t>arine renewable energy ,ocean waves, tidal currents, offshore wind, blue economy, energy harvesting, vibration/dynamics , control, mechatronics design, vehicles , transportation, advanced manufacturing,</t>
  </si>
  <si>
    <t>Purdue University--West Lafayette</t>
  </si>
  <si>
    <t>Babak Anasori</t>
  </si>
  <si>
    <t>banasori@purdue.edu</t>
  </si>
  <si>
    <t>Layered Materials and Structures Lab</t>
  </si>
  <si>
    <t>Layered Materials ,Structures Lab</t>
  </si>
  <si>
    <t>Purdue University | Mechanical Engineering</t>
  </si>
  <si>
    <t>Arezoo Ardekani</t>
  </si>
  <si>
    <t>ardekani@purdue.edu</t>
  </si>
  <si>
    <t>Fluid dynamics, Biomaterial, Multiphase flows, Non-Newtonian fluid dynamics, Microfluidics, Complex fluids, Soft matter</t>
  </si>
  <si>
    <t>Andres Arrieta</t>
  </si>
  <si>
    <t>arrieta@purdue.edu</t>
  </si>
  <si>
    <t>Adaptive structures, Mechanical metamaterials, Robotic materials, Programmable structures, Multistable structures, Structural nonlinearity, Elastic instabilities, Structural dynamics, Nonlinear vibrations</t>
  </si>
  <si>
    <t>#8 - Mechanical Engineering</t>
  </si>
  <si>
    <t>Anil K. Bajaj</t>
  </si>
  <si>
    <t>bajaj@purdue.edu</t>
  </si>
  <si>
    <t>Modeling of nonlinear systems, Structural dynamics and localization, Flow-induced vibrations, Impacting systems, Bifurcations and chaos</t>
  </si>
  <si>
    <t>Modeling of nonlinear systems, Structural dynamics , localization, Flow-induced vibrations, Impacting systems, Bifurcations , chaos</t>
  </si>
  <si>
    <t>Eduardo Barocio Vaca</t>
  </si>
  <si>
    <t>ebarocio@purdue.edu</t>
  </si>
  <si>
    <t>Computational Engineering
Convergent Manufacturing
Advanced Materials</t>
  </si>
  <si>
    <t>#4 - Best Engineering Schools</t>
  </si>
  <si>
    <t>Shubhra Bansal</t>
  </si>
  <si>
    <t>bansal91@purdue.edu</t>
  </si>
  <si>
    <t>Renewable Energy Materials (physics-based energy yield predictions, sustainable PV and energy storage materials, recycling)Electro-Optical-Thermo-Mechanical Reliability (in-situ and in-operando accelerated stress tests)Heterogeneous Integration &amp; Advanced Packaging (sub-10 μm pitch interconnects, low-loss interposers)Harsh Environment Electronics Integration (high temperature Pb-free solders and nano-thermal interfaces)</t>
  </si>
  <si>
    <t>Renewable Energy Materials (physics-based energy yield predictions, sustainable PV , energy storage materials, recycling)Electro-Optical-Thermo-Mechanical Reliability (in-situ , in-oper,o accelerated stress tests)Heterogeneous Integration &amp; Advanced Packaging (sub-10 μm pitch interconnects, low-loss interposers)Harsh Environment Electronics Integration (high temperature Pb-free solders , nano-thermal interfaces)</t>
  </si>
  <si>
    <t>Riley Barta</t>
  </si>
  <si>
    <t>bartar@purdue.edu</t>
  </si>
  <si>
    <t>Modeling and Analysis of Thermal Systems, Heat Pumping, Air Conditioning and Refrigeration Technologies, High Performance Buildings, Refrigerant and Lubricant Properties</t>
  </si>
  <si>
    <t>Modeling , Analysis of Thermal Systems, Heat Pumping, Air Conditioning , Refrigeration Technologies, High Performance Buildings, Refrigerant , Lubricant Properties</t>
  </si>
  <si>
    <t>Thomas Beechem</t>
  </si>
  <si>
    <t>tbeechem@purdue.edu</t>
  </si>
  <si>
    <t>Thermal Physics ... Heat Moving Energy, Spectroscopy ... "Seeing" energy with light, Nanophotonics ... Pushing light to see more2D Materials ... Creating functionality by losing dimension</t>
  </si>
  <si>
    <t>Thermal Physics ,,, Heat Moving Energy, Spectroscopy ,,, "Seeing" energy with light, Nanophotonics ,,, Pushing light to see more2D Materials ,,, Creating functionality by losing dimension</t>
  </si>
  <si>
    <t>Edward Berger</t>
  </si>
  <si>
    <t>bergere@purdue.edu</t>
  </si>
  <si>
    <t>Teaching with technology, Assessment of technology interventions, Non-cognitive factors and their role in student success, Discipline-based engineering education research</t>
  </si>
  <si>
    <t>Teaching with technology, Assessment of technology interventions, Non-cognitive factors , their role in student success, Discipline-based engineering education research</t>
  </si>
  <si>
    <t>Ilias Bilionis</t>
  </si>
  <si>
    <t>ibilion@purdue.edu</t>
  </si>
  <si>
    <t>Uncertainty propagation, Inverse problems, Propagation of information across scales, Optimal learning, Materials by design</t>
  </si>
  <si>
    <t>Laura Blumenschein</t>
  </si>
  <si>
    <t>lhblumen@purdue.edu</t>
  </si>
  <si>
    <t>Growing robots, Soft robotics, Bioinspired systems, Wearable robots, Haptics, Soft matter</t>
  </si>
  <si>
    <t>J. Stuart Bolton</t>
  </si>
  <si>
    <t>bolton@purdue.edu</t>
  </si>
  <si>
    <t>Acoustics, Active and passive noise control, Sound field visualization, Structural acoustics and wave propagation in structures, Noise control material modeling, Applied signal processing</t>
  </si>
  <si>
    <t>Acoustics, Active , passive noise control, Sound field visualization, Structural acoustics , wave propagation in structures, Noise control material modeling, Applied signal processing</t>
  </si>
  <si>
    <t>James E. Braun</t>
  </si>
  <si>
    <t>jbraun@purdue.edu</t>
  </si>
  <si>
    <t>Modeling, analysis, and control of thermal systems</t>
  </si>
  <si>
    <t>Modeling, analysis, control of thermal systems</t>
  </si>
  <si>
    <t>$10,842 per year (in-state, full-time)</t>
  </si>
  <si>
    <t>Richard Buckius</t>
  </si>
  <si>
    <t>rbuckius@purdue.edu</t>
  </si>
  <si>
    <t>Adrian Buganza Tepole</t>
  </si>
  <si>
    <t>abuganza@purdue.edu</t>
  </si>
  <si>
    <t>Predictive computational tools for biological adaptation processes, Tissue expansion, Wound healing, Reconstructive surgery optimization, Numerical methods for biological membranes</t>
  </si>
  <si>
    <t>Jie Cai</t>
  </si>
  <si>
    <t>cai40@purdue.edu</t>
  </si>
  <si>
    <t>Grid-Interactive Building Controls
Modeling and Control of Thermal/Energy Systems
HVAC and Smart Buildings
Data-Driven Modeling
Intelligent Control Systems</t>
  </si>
  <si>
    <t>Mukerrem Cakmak</t>
  </si>
  <si>
    <t>cakmak@purdue.edu</t>
  </si>
  <si>
    <t>Modeling and experimental studies on processing, Structure property relationships in polymer films and moldings and polymer/metal/ceramic hybrid systems</t>
  </si>
  <si>
    <t>Modeling , experimental studies on processing, Structure property relationships in polymer films , moldings , polymer/metal/ceramic hybrid systems</t>
  </si>
  <si>
    <t>David Cappelleri</t>
  </si>
  <si>
    <t>dcappell@purdue.edu</t>
  </si>
  <si>
    <t>Multi-scale robotic manipulation and assembly, Mobile micro/nano robotics, Micro/nano aerial vehicles, Micro-Bio robotics, Mechatronics, MEMS/NEMSAutomation for the life sciences</t>
  </si>
  <si>
    <t>Multi-scale robotic manipulation , assembly, Mobile micro/nano robotics, Micro/nano aerial vehicles, Micro-Bio robotics, Mechatronics, MEMS/NEMSAutomation for the life sciences</t>
  </si>
  <si>
    <t>Luciano Castillo</t>
  </si>
  <si>
    <t>lcastillo@purdue.edu</t>
  </si>
  <si>
    <t>Modeling, Experiments and Simulations of turbulent boundary layers role of initial conditions and bio-inspired micro-surfaces on evolution of velocity/thermal fields.Importance of turbulence and complex topography on wind energy.Integration of renewable with water and thermal storage.Translational research focus on renewable energy &amp; society, Wall interaction (e.g., bio-inspired micro surfaces) in respiratory flows, Big data in turbulence, renewable energy and biomedical engineering.Energy and social equality</t>
  </si>
  <si>
    <t>Modeling, Experiments , Simulations of turbulent boundary layers role of initial conditions , bio-inspired micro-surfaces on evolution of velocity/thermal fields,Importance of turbulence , complex topography on wind energy,Integration of renewable with water , thermal storage,Translational research focus on renewable energy &amp; society, Wall interaction (e,g,, bio-inspired micro surfaces) in respiratory flows, Big data in turbulence, renewable energy , biomedical engineering,Energy , social equality</t>
  </si>
  <si>
    <t>Jun Chen</t>
  </si>
  <si>
    <t>junchen@purdue.edu</t>
  </si>
  <si>
    <t>Experimental fluid dynamics, Development of flow diagnostic techniques, Flow dynamics in stratified environment, Turbulent flow measurements and modeling</t>
  </si>
  <si>
    <t>Experimental fluid dynamics, Development of flow diagnostic techniques, Flow dynamics in stratified environment, Turbulent flow measurements , modeling</t>
  </si>
  <si>
    <t>George T. C. Chiu</t>
  </si>
  <si>
    <t>gchiu@purdue.edu</t>
  </si>
  <si>
    <t>Dynamic systems and control, Mechatronics, Digital and functional printing and fabrication, Motion and vibration control and perception, Embedded systems and real-time control</t>
  </si>
  <si>
    <t>Dynamic systems , control, Mechatronics, Digital , functional printing , fabrication, Motion , vibration control , perception, Embedded systems , real-time control</t>
  </si>
  <si>
    <t>Jong Hyun Choi</t>
  </si>
  <si>
    <t>jchoi@purdue.edu</t>
  </si>
  <si>
    <t>DNA nanotechnology, Advanced materials</t>
  </si>
  <si>
    <t>Alex Chortos</t>
  </si>
  <si>
    <t>achortos@purdue.edu</t>
  </si>
  <si>
    <t>Bio-inspired and mechanically adaptive electronics, Multimaterial additive fabrication, Soft actuators (artificial muscles)Wearable actuators (haptics)Polymer design and polymer physics, Deformation sensors and transistors</t>
  </si>
  <si>
    <t>Bio-inspired , mechanically adaptive electronics, Multimaterial additive fabrication, Soft actuators (artificial muscles)Wearable actuators (haptics)Polymer design , polymer physics, Deformation sensors , transistors</t>
  </si>
  <si>
    <t>Ivan C. Christov</t>
  </si>
  <si>
    <t>christov@purdue.edu</t>
  </si>
  <si>
    <t>Fluid Mechanics, Soft Matter, Granular Flow, Microfluidics, Nonlinear Waves, Computational Science</t>
  </si>
  <si>
    <t>Rebecca Ciez</t>
  </si>
  <si>
    <t>rciez@purdue.edu</t>
  </si>
  <si>
    <t>Identify interactions and design spaces at the intersection of energy technologies, economics, and decision-making process to minimize the cost of transitioning to new, decarbonized energy systems</t>
  </si>
  <si>
    <t>Identify interactions , design spaces at the intersection of energy technologies, economics, decision-making process to minimize the cost of transitioning to new, decarbonized energy systems</t>
  </si>
  <si>
    <t>Sadegh Dabiri</t>
  </si>
  <si>
    <t>dabiri@purdue.edu</t>
  </si>
  <si>
    <t>CFD of multiphase flows, Turbulent gas-liquid flows, Cavitation, Heat transfer</t>
  </si>
  <si>
    <t>Patricia Davies</t>
  </si>
  <si>
    <t>daviesp@purdue.edu</t>
  </si>
  <si>
    <t>Sound quality, Signal Processing, Data analysis, System modeling and identification, Condition monitoring of machinery, Perception-based engineering, Seat-occupant modeling</t>
  </si>
  <si>
    <t>Sound quality, Signal Processing, Data analysis, System modeling , identification, Condition monitoring of machinery, Perception-based engineering, Seat-occupant modeling</t>
  </si>
  <si>
    <t>Xinyan Deng</t>
  </si>
  <si>
    <t>xdeng@purdue.edu</t>
  </si>
  <si>
    <t>Principles of aerial and aquatic locomotion in animals, Experimental fluid mechanics, Dynamics, Control, Bio-inspired robotics, Biologically inspired micro aerial vehicles and underwater robots, Bio-sensing and sensor fusion algorithms</t>
  </si>
  <si>
    <t>Principles of aerial , aquatic locomotion in animals, Experimental fluid mechanics, Dynamics, Control, Bio-inspired robotics, Biologically inspired micro aerial vehicles , underwater robots, Bio-sensing , sensor fusion algorithms</t>
  </si>
  <si>
    <t>Xiaoping Du</t>
  </si>
  <si>
    <t>duxp@purdue.edu</t>
  </si>
  <si>
    <t>Design optimization
Probabilistic and statistical methods
Reliability-based and robust design
Uncertainty quantification for machine learning</t>
  </si>
  <si>
    <t>Shirley J Dyke</t>
  </si>
  <si>
    <t>sdyke@purdue.edu</t>
  </si>
  <si>
    <t>Structural Dynamics and Control, Cyber-physical Systems, Machine Vision, Real-time Hybrid Simulation, Damage Detection and Structural Condition Monitoring, Cyberinfrastructure Development</t>
  </si>
  <si>
    <t>Structural Dynamics , Control, Cyber-physical Systems, Machine Vision, Real-time Hybrid Simulation, Damage Detection , Structural Condition Monitoring, Cyberinfrastructure Development</t>
  </si>
  <si>
    <t>James Gibert</t>
  </si>
  <si>
    <t>jgibert@purdue.edu</t>
  </si>
  <si>
    <t>Vibrations and nonlinear dynamics, Smart material systems, Non-pneumatic tires, Optimization of mechanical systems, Additive manufacturing</t>
  </si>
  <si>
    <t>Vibrations , nonlinear dynamics, Smart material systems, Non-pneumatic tires, Optimization of mechanical systems, Additive manufacturing</t>
  </si>
  <si>
    <t>Christopher S. Goldenstein</t>
  </si>
  <si>
    <t>csgoldenstein@purdue.edu</t>
  </si>
  <si>
    <t>Laser-absorption spectroscopy, laser-induced fluorescence, &amp; IR imaging sensors for gas temperature, pressure, velocity, and chemical species, Molecular spectroscopy, photophysics, &amp; energy transfer in gases, Energetic materials (e.g., explosives &amp; propellants) detection &amp; combustion, Combustion and propulsion systems (small and large scale)Biomedical sensing</t>
  </si>
  <si>
    <t>Laser-absorption spectroscopy, laser-induced fluorescence, &amp; IR imaging sensors for gas temperature, pressure, velocity, chemical species, Molecular spectroscopy, photophysics, &amp; energy transfer in gases, Energetic materials (e,g,, explosives &amp; propellants) detection &amp; combustion, Combustion , propulsion systems (small , large scale)Biomedical sensing</t>
  </si>
  <si>
    <t>Hector Gomez</t>
  </si>
  <si>
    <t>hectorgomez@purdue.edu</t>
  </si>
  <si>
    <t>Modeling and simulation techniques for multiphase and multiphysics problems using the phase-field method.Isogeometric methods with applications in fluid and solid mechanics.Modeling and simulation tools for several biomechanics problems, including tumor growth, cellular migration and blood flow at small scales.Computational methods for fluid-structure interaction, especially when the problem involves complex fluids.</t>
  </si>
  <si>
    <t>Modeling , simulation techniques for multiphase , multiphysics problems using the phase-field method,Isogeometric methods with applications in fluid , solid mechanics,Modeling , simulation tools for several biomechanics problems, including tumor growth, cellular migration , blood flow at small scales,Computational methods for fluid-structure interaction, especially when the problem involves complex fluids,</t>
  </si>
  <si>
    <t>Marcial Gonzalez</t>
  </si>
  <si>
    <t>marcial-gonzalez@purdue.edu</t>
  </si>
  <si>
    <t>Predictive, multi-scale modeling and simulation of microstructure evolution in confined granular systems, with an emphasis in manufacturing processes and the relationshi, Pbetween product fabrication and performance.Application areas of interest include(i) particulate products and processes (e.g., flow, mixing, segregation, consolidation, and compaction of powders),(ii) continuous manufacturing (e.g., Quality by Design, model predictive control, and reduced order models), and(iii) performance of pharmaceutical solid products (e.g., tensile strength, stiffness, swelling and disintegration), biomaterials (e.g., transport and feeding of corn stover) and energetic materials (e.g., deformation and heat generation under quasi-static, near-resonant and impact conditions, and formation and growth of hot spots) materials.</t>
  </si>
  <si>
    <t>Predictive, multi-scale modeling , simulation of microstructure evolution in confined granular systems, with an emphasis in manufacturing processes , the relationshi, Pbetween product fabrication , performance,Application areas of interest include(i) particulate products , processes (e,g,, flow, mixing, segregation, consolidation, compaction of powders),(ii) continuous manufacturing (e,g,, Quality by Design, model predictive control, reduced order models),(iii) performance of pharmaceutical solid products (e,g,, tensile strength, stiffness, swelling , disintegration), biomaterials (e,g,, transport , feeding of corn stover) , energetic materials (e,g,, deformation , heat generation under quasi-static, near-resonant , impact conditions, formation , growth of hot spots) materials,</t>
  </si>
  <si>
    <t>Jay P. Gore</t>
  </si>
  <si>
    <t>gore@purdue.edu</t>
  </si>
  <si>
    <t>Sustainable energy and environment, Combustion and turbulent reacting flows, Combustion and heat transfer in materials, Biomedical flows and heat transfer, Global policy research</t>
  </si>
  <si>
    <t>Sustainable energy , environment, Combustion , turbulent reacting flows, Combustion , heat transfer in materials, Biomedical flows , heat transfer, Global policy research</t>
  </si>
  <si>
    <t>Head - Eckhard A. Groll</t>
  </si>
  <si>
    <t>groll@purdue.edu</t>
  </si>
  <si>
    <t>Thermal sciences as applied to HVAC&amp;R systems and equipment</t>
  </si>
  <si>
    <t>Thermal sciences as applied to HVAC&amp;R systems , equipment</t>
  </si>
  <si>
    <t>Yan Gu</t>
  </si>
  <si>
    <t>yangu@purdue.edu</t>
  </si>
  <si>
    <t>Legged locomotion, Humanoid and quadrupedal robots, Wearable robotics, Hybrid dynamical systems, Control, State estimation, Dynamics</t>
  </si>
  <si>
    <t>Legged locomotion, Humanoid , quadrupedal robots, Wearable robotics, Hybrid dynamical systems, Control, State estimation, Dynamics</t>
  </si>
  <si>
    <t>bumsoo@purdue.edu</t>
  </si>
  <si>
    <t>Biotransport phenomena, Cell-fluid-matrix interaction, Microfluidics3D printing of soft materials</t>
  </si>
  <si>
    <t>Daniel Guildenbecher</t>
  </si>
  <si>
    <t>dguilden@purdue.edu</t>
  </si>
  <si>
    <t>Multiphase flows
Laser and high-speed imaging diagnostics
Energetic materials (e.g., explosives &amp; propellants) hydrodynamics, combustion, and model validation
Sprays and atomization
High-speed fluid mechanics</t>
  </si>
  <si>
    <t>E. Daniel Hirleman</t>
  </si>
  <si>
    <t>hirleman@purdue.edu</t>
  </si>
  <si>
    <t>Laser/optical sensors for rapid, label-free detection of biohazards including chem/bio agents and foodborne pathogens; cybersecurity education and research, surface defect and microfeature characterization;semiconductor manufacturing; combustion, and reacting flows. Global engineering education, crosscultural communication, global teams, and assessment. P</t>
  </si>
  <si>
    <t>Laser/optical sensors for rapid, label-free detection of biohazards including chem/bio agents , foodborne pathogens; cybersecurity education , research, surface defect , microfeature characterization;semiconductor manufacturing; combustion, reacting flows, Global engineering education, crosscultural communication, global teams, assessment, P</t>
  </si>
  <si>
    <t>Neera Jain</t>
  </si>
  <si>
    <t>neerajain@purdue.edu</t>
  </si>
  <si>
    <t>Dynamic modeling and optimal control, model predictive control, decentralized control, Thermodynamics-based optimization, entropy generation minimization, exergy analysis, Integrated energy management and storage in distributed energy systems, building systems</t>
  </si>
  <si>
    <t>Dynamic modeling , optimal control, model predictive control, decentralized control, Thermodynamics-based optimization, entropy generation minimization, exergy analysis, Integrated energy management , storage in distributed energy systems, building systems</t>
  </si>
  <si>
    <t>James D. Jones</t>
  </si>
  <si>
    <t>jonesjd@purdue.edu</t>
  </si>
  <si>
    <t>Cooperative learning, Acoustics, Vibrations, Active noise and vibration control, Smart materials, Intelligent structures</t>
  </si>
  <si>
    <t>Cooperative learning, Acoustics, Vibrations, Active noise , vibration control, Smart materials, Intelligent structures</t>
  </si>
  <si>
    <t>Martin Byung-Guk Jun</t>
  </si>
  <si>
    <t>mbgjun@purdue.edu</t>
  </si>
  <si>
    <t>Advanced multi-scale manufacturing, Ultrafast laser machining and processing, Fiber optic sensors and environmental monitoring, Spray-based nanoparticle coating and additive manufacturing, Machining of carbon fiber reinforced polymer (CFRP) composites</t>
  </si>
  <si>
    <t>Advanced multi-scale manufacturing, Ultrafast laser machining , processing, Fiber optic sensors , environmental monitoring, Spray-based nanoparticle coating , additive manufacturing, Machining of carbon fiber reinforced polymer (CFRP) composites</t>
  </si>
  <si>
    <t>Nicole Key</t>
  </si>
  <si>
    <t>nkey@purdue.edu</t>
  </si>
  <si>
    <t>Aerothermal aspects of turbomachinery, Axial and radial compressor performance, Experimental methods in fluid mechanics</t>
  </si>
  <si>
    <t>Aerothermal aspects of turbomachinery, Axial , radial compressor performance, Experimental methods in fluid mechanics</t>
  </si>
  <si>
    <t>Kevin Kircher</t>
  </si>
  <si>
    <t>kircher@purdue.edu</t>
  </si>
  <si>
    <t>Building electrification, flexibility, and efficiency, Integrating flexible loads, energy storage, and distributed solar into power grids, Optimization and control under uncertainty, Energy policy</t>
  </si>
  <si>
    <t>Building electrification, flexibility, efficiency, Integrating flexible loads, energy storage, distributed solar into power grids, Optimization , control under uncertainty, Energy policy</t>
  </si>
  <si>
    <t>Klod Kokini</t>
  </si>
  <si>
    <t>kokini@purdue.edu</t>
  </si>
  <si>
    <t>Thermal stresses, thermal fracture and fatigue of advanced materials, in particular high temperature materials, ceramic coatings.Mechanical behavior, design and remodeling of biological tissues, effect of stresses on remodeling, microbiomechanics of cell-extracellular matrix (ECM) interactions, tissue engineering</t>
  </si>
  <si>
    <t>Thermal stresses, thermal fracture , fatigue of advanced materials, in particular high temperature materials, ceramic coatings,Mechanical behavior, design , remodeling of biological tissues, effect of stresses on remodeling, microbiomechanics of cell-extracellular matrix (ECM) interactions, tissue engineering</t>
  </si>
  <si>
    <t>Marisol Koslowski</t>
  </si>
  <si>
    <t>marisol@purdue.edu</t>
  </si>
  <si>
    <t>Computational solid mechanics, Multiscale modeling of materials, Finite Elements, Dislocation dynamics, Reliability of electronic interconnects, Shock compression in solids, Phase transformations, Energetic materials</t>
  </si>
  <si>
    <t>Charles M. Krousgrill</t>
  </si>
  <si>
    <t>krousgri@purdue.edu</t>
  </si>
  <si>
    <t>Dynamics, Nonlinear vibration of continuous systems, Stability analysis</t>
  </si>
  <si>
    <t>Carlos Larriba-Andaluz</t>
  </si>
  <si>
    <t>clarriba@purdue.edu</t>
  </si>
  <si>
    <t>Renewable Energy
Catalysts
Aerosol Pollution
Ion Mobility-Mass Spectrometry
Electrical Propulsion
Polymer Characterization
Protein and Biomolecule Characterization
Energy Transfer
Molecular Dynamic coupling at the molecular Scale
Multiscale Multichemistry Plasma Modeling</t>
  </si>
  <si>
    <t>Chi Hwan Lee</t>
  </si>
  <si>
    <t>lee2270@purdue.edu</t>
  </si>
  <si>
    <t>Wearable biomedical devices'Crack’-driven transfer printing technology, Scalable manufacturing technology, Mechanics and materials for flexible/stretchable electronics</t>
  </si>
  <si>
    <t>Wearable biomedical devices'Crack’-driven transfer printing technology, Scalable manufacturing technology, Mechanics , materials for flexible/stretchable electronics</t>
  </si>
  <si>
    <t>Junfei Li</t>
  </si>
  <si>
    <t>junfeili@purdue.edu</t>
  </si>
  <si>
    <t>Acoustic tweezers, Acoustofluidics, Acoustic metamaterials, Ultrasound control, Underwater communication, Ultrasound imaging, Multiphysics wave propagation theory, Noise control and energy harvesting</t>
  </si>
  <si>
    <t>Acoustic tweezers, Acoustofluidics, Acoustic metamaterials, Ultrasound control, Underwater communication, Ultrasound imaging, Multiphysics wave propagation theory, Noise control , energy harvesting</t>
  </si>
  <si>
    <t>Tian Li</t>
  </si>
  <si>
    <t>tianli@purdue.edu</t>
  </si>
  <si>
    <t>Naturally nanostructured materials, Energy, water, and wearable technology, Manufacturing</t>
  </si>
  <si>
    <t>Naturally nanostructured materials, Energy, water, wearable technology, Manufacturing</t>
  </si>
  <si>
    <t>Heather Liddell</t>
  </si>
  <si>
    <t>liddellh@purdue.edu</t>
  </si>
  <si>
    <t>Sustainable manufacturing, Environmental life cycle assessment, Mechanics of multilayered systems, Adhesion in paints and coatings, Lightweighting strategies for transportation</t>
  </si>
  <si>
    <t>Sustainable manufacturing, Environmental life cycle assessment, Mechanics of multilayered systems, Adhesion in paints , coatings, Lightweighting strategies for transportation</t>
  </si>
  <si>
    <t>Guang Lin</t>
  </si>
  <si>
    <t>guanglin@purdue.edu</t>
  </si>
  <si>
    <t>Big data analysis and statistical machine learning, Predictive modeling and uncertainty quantification, Scientific computing and computational fluid dynamics, Stochastic multiscale modeling</t>
  </si>
  <si>
    <t>Big data analysis , statistical machine learning, Predictive modeling , uncertainty quantification, Scientific computing , computational fluid dynamics, Stochastic multiscale modeling</t>
  </si>
  <si>
    <t>Yangfan Liu</t>
  </si>
  <si>
    <t>yangfan@purdue.edu</t>
  </si>
  <si>
    <t>Acoustic Source Modeling and sound field reconstruction, Active noise control, Room acoustics simulation and auralization, Noise control treatments, Human perception of noise</t>
  </si>
  <si>
    <t>Acoustic Source Modeling , sound field reconstruction, Active noise control, Room acoustics simulation , auralization, Noise control treatments, Human perception of noise</t>
  </si>
  <si>
    <t>Robert P. Lucht</t>
  </si>
  <si>
    <t>lucht@purdue.edu</t>
  </si>
  <si>
    <t>Laser diagnostics, Diode-laser-based sensors, Gas turbine and internal engine combustion, Materials processing and synthesis, Combustion science, Fluid mechanics and heat transfer</t>
  </si>
  <si>
    <t>Laser diagnostics, Diode-laser-based sensors, Gas turbine , internal engine combustion, Materials processing , synthesis, Combustion science, Fluid mechanics , heat transfer</t>
  </si>
  <si>
    <t>Nina Mahmoudian</t>
  </si>
  <si>
    <t>ninam@purdue.edu</t>
  </si>
  <si>
    <t>Robotics, Marine Robotics, Unmanned Systems, Energy Autonomy, Systems Design, Coordination and Controls</t>
  </si>
  <si>
    <t>Robotics, Marine Robotics, Unmanned Systems, Energy Autonomy, Systems Design, Coordination , Controls</t>
  </si>
  <si>
    <t>Ajay Malshe</t>
  </si>
  <si>
    <t>amalshe@purdue.edu</t>
  </si>
  <si>
    <t>Bio-inspired designs, Surface engineering and multifunctional materials, Convergent Manufacturing for Industry 5.0 hybrid manufacturing processes, heterogeneous materials, and bio-inspired designs, Systems integration, productization, and production, Heavy-duty machines machining, lubrication, and corrosion, Heterogeneous and hierarchical integration (mechanical-electrical-optical and nano-micro-meso-macro)Precision agricultural and food cellular agriculture, vertical farming, micro-production, and resilience, Frugal engineering, social innovations, and social equity, Manufacturing in space</t>
  </si>
  <si>
    <t>Bio-inspired designs, Surface engineering , multifunctional materials, Convergent Manufacturing for Industry 5,0 hybrid manufacturing processes, heterogeneous materials, bio-inspired designs, Systems integration, productization, production, Heavy-duty machines machining, lubrication, corrosion, Heterogeneous , hierarchical integration (mechanical-electrical-optical , nano-micro-meso-macro)Precision agricultural , food cellular agriculture, vertical farming, micro-production, resilience, Frugal engineering, social innovations, social equity, Manufacturing in space</t>
  </si>
  <si>
    <t>Amy Marconnet</t>
  </si>
  <si>
    <t>marconnet@purdue.edu</t>
  </si>
  <si>
    <t>Transport Phenomena in Multi-Scale, Heterogeneous Materials &amp; Systems, Fundamentals of Nanoscale Thermal Transport, Heat Transfer in Natural and Synthetic Fiber Systems, Thermofluids Interactions, Multi-Physics Metrology Design, Electronics Cooling and Thermal Management</t>
  </si>
  <si>
    <t>Transport Phenomena in Multi-Scale, Heterogeneous Materials &amp; Systems, Fundamentals of Nanoscale Thermal Transport, Heat Transfer in Natural , Synthetic Fiber Systems, Thermofluids Interactions, Multi-Physics Metrology Design, Electronics Cooling , Thermal Management</t>
  </si>
  <si>
    <t>Monique McClain</t>
  </si>
  <si>
    <t>mcclain5@purdue.edu</t>
  </si>
  <si>
    <t>Dissimilar material 3D printing, Additive manufacturing of energetic materials, Additive manufacturing of materials for high temperature applications, Quality control in additive manufacturing</t>
  </si>
  <si>
    <t>Peter H. Meckl</t>
  </si>
  <si>
    <t>meckl@purdue.edu</t>
  </si>
  <si>
    <t>Motion and vibration control, Adaptive control, Intelligent control using fuzzy logic and neural networks, Engine and emissions diagnostics, Robotics</t>
  </si>
  <si>
    <t>Motion , vibration control, Adaptive control, Intelligent control using fuzzy logic , neural networks, Engine , emissions diagnostics, Robotics</t>
  </si>
  <si>
    <t>Terrence R. Meyer</t>
  </si>
  <si>
    <t>trmeyer@purdue.edu</t>
  </si>
  <si>
    <t>Advancement of next-generation propulsion concepts including Rotating Detonation Engines (RDEs), Rotating Detonation Rocket Engines (RDREs) and Scramjet Engines, Laser diagnostics development for applied thermal environments including RDEs, RDREs, gas-turbines, rockets, IC engines, and scramjet engines, Laser Diagnostics and Spectroscopy for detonations, combustion, sprays, energetics, propellants, hypersonics, plasmas, and non-equilibrium flows, Estimation of performance, efficiency and emissions using state of the art optical diagnostics (PLIF, CARS, TP-LIF, PIV, 3D Imaging, X-Rays, PIV, Molecular Tagging, Thermographic Phosphors and Pressure Sensitive Paints)Thermal-fluid behavior at the extremes, including turbulent, acoustically coupled, high-temperature, high-pressure, multiphase, and non-equilibrium reacting flows</t>
  </si>
  <si>
    <t>Advancement of next-generation propulsion concepts including Rotating Detonation Engines (RDEs), Rotating Detonation Rocket Engines (RDREs) , Scramjet Engines, Laser diagnostics development for applied thermal environments including RDEs, RDREs, gas-turbines, rockets, IC engines, scramjet engines, Laser Diagnostics , Spectroscopy for detonations, combustion, sprays, energetics, propellants, hypersonics, plasmas, non-equilibrium flows, Estimation of performance, efficiency , emissions using state of the art optical diagnostics (PLIF, CARS, TP-LIF, PIV, 3D Imaging, X-Rays, PIV, Molecular Tagging, Thermographic Phosphors , Pressure Sensitive Paints)Thermal-fluid behavior at the extremes, including turbulent, acoustically coupled, high-temperature, high-pressure, multiphase, non-equilibrium reacting flows</t>
  </si>
  <si>
    <t>Aaron Morris</t>
  </si>
  <si>
    <t>abmorris@purdue.edu</t>
  </si>
  <si>
    <t>Fluid dynamics, Multiphase flows, Monte Carlo methods, Kinetic theory of granular flows, Heat transfer in granular media, Rarefied gas dynamics</t>
  </si>
  <si>
    <t>Issam Mudawar</t>
  </si>
  <si>
    <t>mudawar@purdue.edu</t>
  </si>
  <si>
    <t>Boiling, Condensation, Two-phase Flow, High heat flux, Thermal management systems, Cryogenic systems, Space vehicles, Lunar and Martian environments, Microgravity, Experiments on International Space Station, Electronic cooling</t>
  </si>
  <si>
    <t>Boiling, Condensation, Two-phase Flow, High heat flux, Thermal management systems, Cryogenic systems, Space vehicles, Lunar , Martian environments, Microgravity, Experiments on International Space Station, Electronic cooling</t>
  </si>
  <si>
    <t>Partha P. Mukherjee</t>
  </si>
  <si>
    <t>pmukherjee@purdue.edu</t>
  </si>
  <si>
    <t>Energy storage and conversion (batteries, fuel cells)Mesoscale physics and stochastics, Reactive transport, materials, processing, and microstructure interactions</t>
  </si>
  <si>
    <t>Energy storage , conversion (batteries, fuel cells)Mesoscale physics , stochastics, Reactive transport, materials, processing, microstructure interactions</t>
  </si>
  <si>
    <t>Liang Pan</t>
  </si>
  <si>
    <t>liangpan@purdue.edu</t>
  </si>
  <si>
    <t>Scalable nanomanufacturing lithography and imaging, Optical and magnetic data storage, Nanoscale energy conversion, transfer and storage for alternative energy</t>
  </si>
  <si>
    <t>Scalable nanomanufacturing lithography , imaging, Optical , magnetic data storage, Nanoscale energy conversion, transfer , storage for alternative energy</t>
  </si>
  <si>
    <t>Jitesh H. Panchal</t>
  </si>
  <si>
    <t>panchal@purdue.edu</t>
  </si>
  <si>
    <t>Computational Design of Socio-Technical Systems, Secure Design and Manufacturing, Engineering Design by Self-Organized Virtual Communities, Integrated Products and Materials Design</t>
  </si>
  <si>
    <t>Computational Design of Socio-Technical Systems, Secure Design , Manufacturing, Engineering Design by Self-Organized Virtual Communities, Integrated Products , Materials Design</t>
  </si>
  <si>
    <t>Guillermo Paniagua</t>
  </si>
  <si>
    <t>gpaniagua@purdue.edu</t>
  </si>
  <si>
    <t>Turbomachinery, turbines, Measurement techniques, experimental turbomachinery, Air-breathing propulsion</t>
  </si>
  <si>
    <t>Gordon R. Pennock</t>
  </si>
  <si>
    <t>pennock@purdue.edu</t>
  </si>
  <si>
    <t>Kinematic synthesis and analysis, Robotics, Multi-degree-of-freedom mechanisms</t>
  </si>
  <si>
    <t>Kinematic synthesis , analysis, Robotics, Multi-degree-of-freedom mechanisms</t>
  </si>
  <si>
    <t>Davin Piercey</t>
  </si>
  <si>
    <t>dpiercey@purdue.edu</t>
  </si>
  <si>
    <t>Synthesis of energetic materials, Chemistry of nitrogen-rich compounds, Characterization of explosives, propellants, and pyrotechnics, Electrochemical synthesis, Thermochemistry of energetic material synthesis, Reactive and agent defeat materials</t>
  </si>
  <si>
    <t>Synthesis of energetic materials, Chemistry of nitrogen-rich compounds, Characterization of explosives, propellants, pyrotechnics, Electrochemical synthesis, Thermochemistry of energetic material synthesis, Reactive , agent defeat materials</t>
  </si>
  <si>
    <t>Arvind Raman</t>
  </si>
  <si>
    <t>raman@purdue.edu</t>
  </si>
  <si>
    <t>Nonlinear dynamics, vibrations, fluid-structure interactions, and applications to, Atomic force microscopy, MEMS/NEMSHuman biomechanics, Roll-to-Roll flexible electronics and nanomanufacturing</t>
  </si>
  <si>
    <t>Nonlinear dynamics, vibrations, fluid-structure interactions, applications to, Atomic force microscopy, MEMS/NEMSHuman biomechanics, Roll-to-Roll flexible electronics , nanomanufacturing</t>
  </si>
  <si>
    <t>Karthik Ramani</t>
  </si>
  <si>
    <t>ramani@purdue.edu</t>
  </si>
  <si>
    <t>Human Skill and Augmentation, Collaborative and Hybridized Intelligence, Dee, PLearning of Shapes and Computer Vision, Human-Robot-Machine Interactions, Making to Manufacturing (M2M)Factory of the Future and Robotics, Manufacturing Productivity</t>
  </si>
  <si>
    <t>Human Skill , Augmentation, Collaborative , Hybridized Intelligence, Dee, PLearning of Shapes , Computer Vision, Human-Robot-Machine Interactions, Making to Manufacturing (M2M)Factory of the Future , Robotics, Manufacturing Productivity</t>
  </si>
  <si>
    <t>Jeffrey Rhoads</t>
  </si>
  <si>
    <t>jfrhoads@purdue.edu</t>
  </si>
  <si>
    <t>Nonlinear Dynamics and Vibration, Resonant Micro/Nanosystems, Microscale Sensors and Actuators</t>
  </si>
  <si>
    <t>Nonlinear Dynamics , Vibration, Resonant Micro/Nanosystems, Microscale Sensors , Actuators</t>
  </si>
  <si>
    <t>Xiulin Ruan</t>
  </si>
  <si>
    <t>ruan@purdue.edu</t>
  </si>
  <si>
    <t>Simulations of nanoscale thermal transport, Machine learning, optimization, and high throughput design, Thermal management in electronics, space, and battery applications, Transport phenomena in additive manufacturing, Nanomaterials and devices for sustainable energy</t>
  </si>
  <si>
    <t>Simulations of nanoscale thermal transport, Machine learning, optimization, high throughput design, Thermal management in electronics, space, battery applications, Transport phenomena in additive manufacturing, Nanomaterials , devices for sustainable energy</t>
  </si>
  <si>
    <t>Farshid Sadeghi</t>
  </si>
  <si>
    <t>sadeghi@purdue.edu</t>
  </si>
  <si>
    <t>Contact mechanics, Stresses, fatigue and friction of rolling/sliding, Micro-mechanics of boundary and mixed lubrication regimes, Spall initiation and propagation, Surface science and damage, Dynamics of ball and rolling element bearings and rotating systems, Friction induced vibration and squeal in dry contacts, Friction and wear of dry and lubricated contacts, Virtual tribology, Dry and lubricated fretting wear, MEMS for in-situ monitoring of tribological contacts, Discrete element modeling, Design</t>
  </si>
  <si>
    <t>Contact mechanics, Stresses, fatigue , friction of rolling/sliding, Micro-mechanics of boundary , mixed lubrication regimes, Spall initiation , propagation, Surface science , damage, Dynamics of ball , rolling element bearings , rotating systems, Friction induced vibration , squeal in dry contacts, Friction , wear of dry , lubricated contacts, Virtual tribology, Dry , lubricated fretting wear, MEMS for in-situ monitoring of tribological contacts, Discrete element modeling, Design</t>
  </si>
  <si>
    <t>Cagri A. Savran</t>
  </si>
  <si>
    <t>savran@purdue.edu</t>
  </si>
  <si>
    <t>MEMS, nanotechnology, Bio, MEMSBiosensors, Protein detection, Aptamers (Nucleic-acid-based receptor molecules)</t>
  </si>
  <si>
    <t>Carlo Scalo</t>
  </si>
  <si>
    <t>cscalo@purdue.edu</t>
  </si>
  <si>
    <t>Large eddy and direct simulations, Turbulent Combustion, Thermoacoustics, Non-linear acoustics, Heat-and-mass transfer, Physical oceanography and limnology, Numerical methods for complex geometries</t>
  </si>
  <si>
    <t>Large eddy , direct simulations, Turbulent Combustion, Thermoacoustics, Non-linear acoustics, Heat-,-mass transfer, Physical oceanography , limnology, Numerical methods for complex geometries</t>
  </si>
  <si>
    <t>Michael Sealy</t>
  </si>
  <si>
    <t>msealy@purdue.edu</t>
  </si>
  <si>
    <t>Fabio Semperlotti</t>
  </si>
  <si>
    <t>fsemperl@purdue.edu</t>
  </si>
  <si>
    <t>Structural Health Monitoring, Wave propagation, Structural dynamics and vibration control, Adaptive structures, Periodic structures and acoustic metamaterials, Energy harvesting, Thermoacoustics</t>
  </si>
  <si>
    <t>Structural Health Monitoring, Wave propagation, Structural dynamics , vibration control, Adaptive structures, Periodic structures , acoustic metamaterials, Energy harvesting, Thermoacoustics</t>
  </si>
  <si>
    <t>Lizhi Shang</t>
  </si>
  <si>
    <t>shangl@purdue.edu</t>
  </si>
  <si>
    <t>Designing and modeling hydrostatic pumps and motors, Hydrodynamic pumps and turbines, Fluid power systems, Advanced computational and experimental tribological analysis, Fundamental Research Area(s)Fluid Mechanics</t>
  </si>
  <si>
    <t>Designing , modeling hydrostatic pumps , motors, Hydrodynamic pumps , turbines, Fluid power systems, Advanced computational , experimental tribological analysis, Fundamental Research Area(s)Fluid Mechanics</t>
  </si>
  <si>
    <t>Gregory M. Shaver</t>
  </si>
  <si>
    <t>gshaver@purdue.edu</t>
  </si>
  <si>
    <t>Model-based system and control design of commercial vehicle power trains, Connected and automated commercial vehicles, Internal combustion engine &amp; after-treatment system design and controls, Flexible valve actuation in diesel and natural gas engines</t>
  </si>
  <si>
    <t>Model-based system , control design of commercial vehicle power trains, Connected , automated commercial vehicles, Internal combustion engine &amp; after-treatment system design , controls, Flexible valve actuation in diesel , natural gas engines</t>
  </si>
  <si>
    <t>Yung C. Shin</t>
  </si>
  <si>
    <t>shin@purdue.edu</t>
  </si>
  <si>
    <t>Laser additive manufacturing, Ultrafast laser matter interaction, Laser welding, Laser assisted machining, Laser shock peening, Multi-physics, multi-scale modeling, Micro-nano manufacturing</t>
  </si>
  <si>
    <t>Thomas Siegmund</t>
  </si>
  <si>
    <t>siegmund@purdue.edu</t>
  </si>
  <si>
    <t>Solid mechanics, multiscale and multiphysics modeling.Design of engineering material systems.Fracture and fatigue.Microarchitectured materials.Biomechanics of soft and hard tissues.</t>
  </si>
  <si>
    <t>Solid mechanics, multiscale , multiphysics modeling,Design of engineering material systems,Fracture , fatigue,Microarchitectured materials,Biomechanics of soft , hard tissues,</t>
  </si>
  <si>
    <t>Steven F. Son</t>
  </si>
  <si>
    <t>sson@purdue.edu</t>
  </si>
  <si>
    <t>Multiphase combustion, particularly related to propellants, explosives, and pyrotechnics, Nanoscale composite energetic materials, Advanced energetic materials, Microscale combustion</t>
  </si>
  <si>
    <t>Multiphase combustion, particularly related to propellants, explosives, pyrotechnics, Nanoscale composite energetic materials, Advanced energetic materials, Microscale combustion</t>
  </si>
  <si>
    <t>Luz Sotelo</t>
  </si>
  <si>
    <t>lsotelo@purdue.edu</t>
  </si>
  <si>
    <t>Multi-process/multi-material additive manufacturing, Nondestructive evaluation, Advanced acoustic materials and metamaterials, Ultrasonics</t>
  </si>
  <si>
    <t>Multi-process/multi-material additive manufacturing, Nondestructive evaluation, Advanced acoustic materials , metamaterials, Ultrasonics</t>
  </si>
  <si>
    <t>Ganesh Subbarayan</t>
  </si>
  <si>
    <t>ganeshs@purdue.edu</t>
  </si>
  <si>
    <t>Computational and experimental solid mechanics focused on fatigue, fracture, and multi-physics phase evolution problems, Computational techniques including Finite Element Analysis (FEA), Isogeometric Analysis (IGA), geometric modeling, CAD and optimal design, Heterogeneous Integration and Advanced Electronics Packaging with a focus on thermomechanical behavior, reliability, and electrical-thermal-mechanical co-design</t>
  </si>
  <si>
    <t>Computational , experimental solid mechanics focused on fatigue, fracture, multi-physics phase evolution problems, Computational techniques including Finite Element Analysis (FEA), Isogeometric Analysis (IGA), geometric modeling, CAD , optimal design, Heterogeneous Integration , Advanced Electronics Packaging with a focus on thermomechanical behavior, reliability, electrical-thermal-mechanical co-design</t>
  </si>
  <si>
    <t>John Sutherland</t>
  </si>
  <si>
    <t>jwsuther@purdue.edu</t>
  </si>
  <si>
    <t>Environmentally responsible design and manufacturing, Sustainable systems, Decision-making for sustainability, Manufacturing, Corporate social responsibility, Sustainability education</t>
  </si>
  <si>
    <t>Environmentally responsible design , manufacturing, Sustainable systems, Decision-making for sustainability, Manufacturing, Corporate social responsibility, Sustainability education</t>
  </si>
  <si>
    <t>Andrea Vacca</t>
  </si>
  <si>
    <t>avacca@purdue.edu</t>
  </si>
  <si>
    <t>Modeling and simulation of hydraulic systems, Modeling and testing of pumps and motors for fluid power applications, Hydraulic valves modeling and testing, Reduction of noise emissions in fluid power systems</t>
  </si>
  <si>
    <t>Modeling , simulation of hydraulic systems, Modeling , testing of pumps , motors for fluid power applications, Hydraulic valves modeling , testing, Reduction of noise emissions in fluid power systems</t>
  </si>
  <si>
    <t>Pavlos Vlachos</t>
  </si>
  <si>
    <t>pvlachos@purdue.edu</t>
  </si>
  <si>
    <t>Measurement science and instrumentation, Particle image velocimetry, Quantification of uncertainty, Multi-phase flows, Flow induced vibrations and hydro-kinetic energy, Biological flows, Biofluid mechanics, Biomedical cardiovascular devices, Heart failure and diastolic dysfunction</t>
  </si>
  <si>
    <t>Measurement science , instrumentation, Particle image velocimetry, Quantification of uncertainty, Multi-phase flows, Flow induced vibrations , hydro-kinetic energy, Biological flows, Biofluid mechanics, Biomedical cardiovascular devices, Heart failure , diastolic dysfunction</t>
  </si>
  <si>
    <t>David Warsinger</t>
  </si>
  <si>
    <t>dwarsing@purdue.edu</t>
  </si>
  <si>
    <t>Desalination &amp; Water Treatment, Water-Food-Energy Nexus, Thermofluids, Nanotechnology, Membrane Science</t>
  </si>
  <si>
    <t>Carl Wassgren</t>
  </si>
  <si>
    <t>wassgren@purdue.edu</t>
  </si>
  <si>
    <t>Discrete element method (DEM) modeling for particulate systems-- model development, e.g., fibrous particles, particle breakage, particle shapes-- application to manufacturing, e.g., storage and flow, blending, segregation, drying, coating, wet granulation, Finite element method (FEM) modeling of powder compaction-- e.g., roll compaction, tableting, picking and sticking, Multi-scale modeling (FEM combined with DEM) of powder dynamics-- model development and application to hopper flow, blending, and segregation</t>
  </si>
  <si>
    <t>Discrete element method (DEM) modeling for particulate systems-- model development, e,g,, fibrous particles, particle breakage, particle shapes-- application to manufacturing, e,g,, storage , flow, blending, segregation, drying, coating, wet granulation, Finite element method (FEM) modeling of powder compaction-- e,g,, roll compaction, tableting, picking , sticking, Multi-scale modeling (FEM combined with DEM) of powder dynamics-- model development , application to hopper flow, blending, segregation</t>
  </si>
  <si>
    <t>Tiwei Wei</t>
  </si>
  <si>
    <t>tiwei@purdue.edu</t>
  </si>
  <si>
    <t>Heat Transfer in Advanced Semiconductor Interconnects &amp; Packaging, Electronic Cooling &amp; Efficient Thermal Packaging Materials, Thermal/Mechanical Simulation &amp; Characterization, Materials, Processing &amp; Architecture Development for Semiconductor Packaging, MEMS Fabrication for Extreme Heat Flux Microfluidic Cooling, Advanced Semiconductor Nanoscale 3D Interconnections, Novel Photonics &amp; Quantum Packaging Technologies, Reliability Modeling &amp; Characterization</t>
  </si>
  <si>
    <t>Justin A. Weibel</t>
  </si>
  <si>
    <t>jaweibel@purdue.edu</t>
  </si>
  <si>
    <t>Electronics cooling and packaging, Phase-change transport phenomena, Microscale and nanoscale surface engineering for enhanced thermal transport, Energy efficiency in thermal systems, Transport in porous materials, Microscale diagnostics and sensing</t>
  </si>
  <si>
    <t>Electronics cooling , packaging, Phase-change transport phenomena, Microscale , nanoscale surface engineering for enhanced thermal transport, Energy efficiency in thermal systems, Transport in porous materials, Microscale diagnostics , sensing</t>
  </si>
  <si>
    <t>Steven T. Wereley</t>
  </si>
  <si>
    <t>wereley@purdue.edu</t>
  </si>
  <si>
    <t>Microfluidic MEMS devices, Development of new microfluidic diagnostic techniques, Biological flows at the cellular level, Micro-scale laminar mixing, Flow transitions and instabilities</t>
  </si>
  <si>
    <t>Microfluidic MEMS devices, Development of new microfluidic diagnostic techniques, Biological flows at the cellular level, Micro-scale laminar mixing, Flow transitions , instabilities</t>
  </si>
  <si>
    <t>Benxin Wu</t>
  </si>
  <si>
    <t>wu65@purdue.edu</t>
  </si>
  <si>
    <t>Laser-matter interactions, Laser-induced plasma and laser-plasma interaction, Laser applications in manufacturing, materials processing, and other areas</t>
  </si>
  <si>
    <t>Laser-matter interactions, Laser-induced plasma , laser-plasma interaction, Laser applications in manufacturing, materials processing, other areas</t>
  </si>
  <si>
    <t>Xianfan Xu</t>
  </si>
  <si>
    <t>xxu@purdue.edu</t>
  </si>
  <si>
    <t>Heat transfer, particularly nano-scale and ultrafast heat transfer, Ultrafast laser materials processing and diagnostics, Nano-optics and laser-based nano-lithography</t>
  </si>
  <si>
    <t>Heat transfer, particularly nano-scale , ultrafast heat transfer, Ultrafast laser materials processing , diagnostics, Nano-optics , laser-based nano-lithography</t>
  </si>
  <si>
    <t>Bin Yao</t>
  </si>
  <si>
    <t>byao@purdue.edu</t>
  </si>
  <si>
    <t>Adaptive and robust control, Nonlinear control, Precision control of mechanical systems, Vehicle control, Robotics</t>
  </si>
  <si>
    <t>Adaptive , robust control, Nonlinear control, Precision control of mechanical systems, Vehicle control, Robotics</t>
  </si>
  <si>
    <t>Song Zhang</t>
  </si>
  <si>
    <t>szhang15@purdue.edu</t>
  </si>
  <si>
    <t>Multiscale superfast 3D optical sensing, Biophotonic imaging, Optical metrology, Machine/computer vision3D video telepresence3D video processing, Virtual reality, Human computer interaction</t>
  </si>
  <si>
    <t>Fu Zhao</t>
  </si>
  <si>
    <t>fzhao@purdue.edu</t>
  </si>
  <si>
    <t>Environment friendly design and life cycle engineering, Applications of bio-based materials in manufacturing, Fast and low-cost detection of pathogenic microorganisms, Biomass thermo-chemical upgrading for liquid and gaseous fuel</t>
  </si>
  <si>
    <t>Environment friendly design , life cycle engineering, Applications of bio-based materials in manufacturing, Fast , low-cost detection of pathogenic microorganisms, Biomass thermo-chemical upgrading for liquid , gaseous fuel</t>
  </si>
  <si>
    <t>Kejie Zhao</t>
  </si>
  <si>
    <t>kjzhao@purdue.edu</t>
  </si>
  <si>
    <t>Deformation, stress, plasticity, fracture, Multiscale modeling, first-principles, molecular dynamics simulations, and finite element modeling, In-situ experiments, Mechanics of redox active materials - Li-ion batteries, Na-ion batteries, all-solid-state batteries, Mechanics of polymeric materials - organic electrochromics, superelastic organic semiconductors</t>
  </si>
  <si>
    <t>Deformation, stress, plasticity, fracture, Multiscale modeling, first-principles, molecular dynamics simulations, finite element modeling, In-situ experiments, Mechanics of redox active materials - Li-ion batteries, Na-ion batteries, all-solid-state batteries, Mechanics of polymeric materials - organic electrochromics, superelastic organic semiconductors</t>
  </si>
  <si>
    <t>Davide Ziviani</t>
  </si>
  <si>
    <t>dziviani@purdue.edu</t>
  </si>
  <si>
    <t>Advanced heat pumping/heat engine technologies and their equipment, Positive displacement compressors and expanders, High performance buildings, Thermal Management Systems</t>
  </si>
  <si>
    <t>Advanced heat pumping/heat engine technologies , their equipment, Positive displacement compressors , exp,ers, High performance buildings, Thermal Management Systems</t>
  </si>
  <si>
    <t>Kartik Ariyur</t>
  </si>
  <si>
    <t>kariyur@purdue.edu</t>
  </si>
  <si>
    <t>Control of scramjet engines for hypersonic vehicles, Integrated controls of propulsion, power, and thermal management, Gas turbine engines health monitoring, Combustion related modeling for controls development</t>
  </si>
  <si>
    <t>Control of scramjet engines for hypersonic vehicles, Integrated controls of propulsion, power, thermal management, Gas turbine engines health monitoring, Combustion related modeling for controls development</t>
  </si>
  <si>
    <t>Euiwon Bae</t>
  </si>
  <si>
    <t>ebae@purdue.edu</t>
  </si>
  <si>
    <t>Light scattering, Discrete dipole approximation (DDA)Biomedical optics, Instrument development for food safety, Optical characterization of soot</t>
  </si>
  <si>
    <t>Satish Boregowda</t>
  </si>
  <si>
    <t>sboregow@purdue.edu</t>
  </si>
  <si>
    <t>Todd Lillian</t>
  </si>
  <si>
    <t>tlillian@purdue.edu</t>
  </si>
  <si>
    <t>Min Liu</t>
  </si>
  <si>
    <t>liu66@purdue.edu</t>
  </si>
  <si>
    <t>Computational Geometries for Design and Manufacturing, Image/geometric processing and analysis, Computational Solid Mechanics, Fluid Dynamics, Human computer interaction in smart design/manufacturing, Machine learning</t>
  </si>
  <si>
    <t>Computational Geometries for Design , Manufacturing, Image/geometric processing , analysis, Computational Solid Mechanics, Fluid Dynamics, Human computer interaction in smart design/manufacturing, Machine learning</t>
  </si>
  <si>
    <t>Francisco Montalvo</t>
  </si>
  <si>
    <t>fmontalvo@purdue.edu</t>
  </si>
  <si>
    <t>Morgan Murphy</t>
  </si>
  <si>
    <t>r32mt5@purdue.edu</t>
  </si>
  <si>
    <t>Sameer Naik</t>
  </si>
  <si>
    <t>naiks@purdue.edu</t>
  </si>
  <si>
    <t>Gas turbine combustion, Internal combustion engines, Laser-based spectroscopy</t>
  </si>
  <si>
    <t>Todd Nelson</t>
  </si>
  <si>
    <t>nelso366@purdue.edu</t>
  </si>
  <si>
    <t>Cornell University</t>
  </si>
  <si>
    <t>C Thomas Avedisian</t>
  </si>
  <si>
    <t>cta2@cornell.edu</t>
  </si>
  <si>
    <t>Heat and Mass transfer, Multiphase and Granular Flows, Energy Systems, Energy and the Environment, Image Analysis, Microfluidics, Thermal Systems, Combustion, Micro Nano Systems</t>
  </si>
  <si>
    <t>Heat , Mass transfer, Multiphase , Granular Flows, Energy Systems, Energy , the Environment, Image Analysis, Microfluidics, Thermal Systems, Combustion, Micro Nano Systems</t>
  </si>
  <si>
    <t>Nelly Andarawis-Puri</t>
  </si>
  <si>
    <t>na424@cornell.edu</t>
  </si>
  <si>
    <t>Dr. Andarawis-Puri’s work in tendon research spans both basic science and translational applications</t>
  </si>
  <si>
    <t>Sibley School of Mechanical and Aerospace Engineering</t>
  </si>
  <si>
    <t>Rebecca J. Barthelmie</t>
  </si>
  <si>
    <t>rb737@cornell.edu</t>
  </si>
  <si>
    <t>Aerodynamics and Aeroacoustics, Earth and Atmospheric Science, Energy Systems, Remote Sensing, Sustainable Energy Systems, Energy and the Environment, Wind Energy</t>
  </si>
  <si>
    <t>Aerodynamics , Aeroacoustics, Earth , Atmospheric Science, Energy Systems, Remote Sensing, Sustainable Energy Systems, Energy , the Environment, Wind Energy</t>
  </si>
  <si>
    <t>Anastasia Bizyaeva</t>
  </si>
  <si>
    <t>asb379@cornell.edu</t>
  </si>
  <si>
    <t>Dr. Bizyaeva’s research program at Cornell explores mathematical connections between collectively intelligent behavior in biological and social systems, and the design of autonomous and artificially intelligent behaviors in engineered teams.</t>
  </si>
  <si>
    <t>Lawrence Bonassar</t>
  </si>
  <si>
    <t>lb244@cornell.edu</t>
  </si>
  <si>
    <t>Biomechanics and Mechanobiology, Biomedical Engineering, Polymers and Soft Matter, Rapid Prototyping, Mechanics of Biological Materials, Bioengineering, Molecular and Cellular Engineering, Tissue Engineering and Biomaterials, Molecular Biotechnology, Materials Design, Bioengineering and Healthcare, Advanced Manufacturing and Materials</t>
  </si>
  <si>
    <t>Biomechanics , Mechanobiology, Biomedical Engineering, Polymers , Soft Matter, Rapid Prototyping, Mechanics of Biological Materials, Bioengineering, Molecular , Cellular Engineering, Tissue Engineering , Biomaterials, Molecular Biotechnology, Materials Design, Bioengineering , Healthcare, Advanced Manufacturing , Materials</t>
  </si>
  <si>
    <t>#9 - Mechanical Engineering</t>
  </si>
  <si>
    <t>Olivier Desjardins</t>
  </si>
  <si>
    <t>olivier.desjardins@cornell.edu</t>
  </si>
  <si>
    <t>Fluid Dynamics and Rheology, Thermal Systems, Combustion, Energy and the Environment</t>
  </si>
  <si>
    <t>Fluid Dynamics , Rheology, Thermal Systems, Combustion, Energy , the Environment</t>
  </si>
  <si>
    <t>#13 - Best Engineering Schools</t>
  </si>
  <si>
    <r>
      <rPr>
        <sz val="10"/>
        <color rgb="FF000000"/>
        <rFont val="Arial"/>
        <family val="2"/>
      </rPr>
      <t xml:space="preserve">Director - </t>
    </r>
    <r>
      <rPr>
        <u/>
        <sz val="10"/>
        <color rgb="FF000000"/>
        <rFont val="Arial"/>
        <family val="2"/>
      </rPr>
      <t>David Erickson</t>
    </r>
  </si>
  <si>
    <t>de54@cornell.edu</t>
  </si>
  <si>
    <t>Computational Fluid Dynamics, Fluid Dynamics and Rheology, Energy Systems, Energy and the Environment, Microfluidics and Microsystems, Nanobio Applications, Nanotechnology, Biomedical Engineering, Bioengineering, Biomedical Imaging and Instrumentation, Microfluidics, Thermal Systems, Molecular and Cellular Engineering, Biophysics, Micro Nano Systems, Bioengineering and Healthcare</t>
  </si>
  <si>
    <t>Computational Fluid Dynamics, Fluid Dynamics , Rheology, Energy Systems, Energy , the Environment, Microfluidics , Microsystems, Nanobio Applications, Nanotechnology, Biomedical Engineering, Bioengineering, Biomedical Imaging , Instrumentation, Microfluidics, Thermal Systems, Molecular , Cellular Engineering, Biophysics, Micro Nano Systems, Bioengineering , Healthcare</t>
  </si>
  <si>
    <t>Keith Evan Green</t>
  </si>
  <si>
    <t>keg95@cornell.edu</t>
  </si>
  <si>
    <t>Robotics and Autonomy, Complex Systems, Network Science and Computation</t>
  </si>
  <si>
    <t>Robotics , Autonomy, Complex Systems, Network Science , Computation</t>
  </si>
  <si>
    <t>Christopher J. Hernandez</t>
  </si>
  <si>
    <t>cjh275@cornell.edu</t>
  </si>
  <si>
    <t>Dr. Hernandez's research in biomechanics examines the musculoskeletal system and microscopic organisms. Current projects include understanding how the microbiome influences bone, arthritis and infection of total joint replacements and how bacteria are influenced by mechanical stress and strain.</t>
  </si>
  <si>
    <t>biomechanics examines the musculoskeletal system , microscopic organisms, Current projects include underst,ing how the microbiome influences bone, arthritis , infection of total joint replacements , how bacteria are influenced by mechanical stress , strain,</t>
  </si>
  <si>
    <t>Herbert Hui</t>
  </si>
  <si>
    <t>ch45@cornell.edu</t>
  </si>
  <si>
    <t>Polymers and Soft Matter, Computational Solid Mechanics, Materials Design, Solid Mechanics, Advanced Manufacturing and Materials</t>
  </si>
  <si>
    <t>Polymers , Soft Matter, Computational Solid Mechanics, Materials Design, Solid Mechanics, Advanced Manufacturing , Materials</t>
  </si>
  <si>
    <t>Hadas Kress-Gazit</t>
  </si>
  <si>
    <t>hadaskg@cornell.edu</t>
  </si>
  <si>
    <t>James Lloyd</t>
  </si>
  <si>
    <t>james.lloyd@cornell.edu</t>
  </si>
  <si>
    <t>Extrasolar planets and the development astronomical instrumentation.</t>
  </si>
  <si>
    <t>Extrasolar planets , the development astronomical instrumentation,</t>
  </si>
  <si>
    <t>Matthew Peter Miller</t>
  </si>
  <si>
    <t>mpm4@cornell.edu</t>
  </si>
  <si>
    <t>Materials Synthesis and Processing, Computational Mechanics, Computational Solid Mechanics, Solid Mechanics, Materials Design, Advanced Manufacturing and Materials</t>
  </si>
  <si>
    <t>Materials Synthesis , Processing, Computational Mechanics, Computational Solid Mechanics, Solid Mechanics, Materials Design, Advanced Manufacturing , Materials</t>
  </si>
  <si>
    <t>Mason Peck</t>
  </si>
  <si>
    <t>mp336@cornell.edu</t>
  </si>
  <si>
    <t>Satellite Systems, Algorithms, Complex Systems, Network Science and Computation, Sensors and Actuators, Signal and Image Processing, Robotics and Autonomy, Space Science and Engineering, Remote Sensing</t>
  </si>
  <si>
    <t>Satellite Systems, Algorithms, Complex Systems, Network Science , Computation, Sensors , Actuators, Signal , Image Processing, Robotics , Autonomy, Space Science , Engineering, Remote Sensing</t>
  </si>
  <si>
    <t>$29,500 per year (full-time)</t>
  </si>
  <si>
    <t>Stuart Leigh Phoenix</t>
  </si>
  <si>
    <t>stuartlphoenix@cornell.edu</t>
  </si>
  <si>
    <t>Polymers and Soft Matter, Computational Solid Mechanics, Solid Mechanics, Wind Energy, Materials Design, Advanced Manufacturing and Materials</t>
  </si>
  <si>
    <t>Polymers , Soft Matter, Computational Solid Mechanics, Solid Mechanics, Wind Energy, Materials Design, Advanced Manufacturing , Materials</t>
  </si>
  <si>
    <t>Richard Herbert Rand</t>
  </si>
  <si>
    <t>rrand@cornell.edu</t>
  </si>
  <si>
    <t>Current research work involves using perturbation methods and bifurcation theory to obtain approximate solutions to differential equations arising from nonlinear dynamics problems in engineering and biology. Current projects include nonlinear vibrations of MEMS (micro-electrical-mechanical systems), evolutionary dynamics, the dynamics of particle accelerators, and differential-delay equations.</t>
  </si>
  <si>
    <t>Current research work involves using perturbation methods , bifurcation theory to obtain approximate solutions to differential equations arising from nonlinear dynamics problems in engineering , biology, Current projects include nonlinear vibrations of MEMS (micro-electrical-mechanical systems), evolutionary dynamics, the dynamics of particle accelerators, differential-delay equations,</t>
  </si>
  <si>
    <t>Marjolein van der Meulen</t>
  </si>
  <si>
    <t>mcv3@cornell.edu</t>
  </si>
  <si>
    <t>Biomechanics and Mechanobiology, Bioengineering, Biomedical Engineering, Computational Solid Mechanics, Tissue Engineering and Biomaterials, Mechanics of Biological Materials, Solid Mechanics, Materials Design, Bioengineering and Healthcare, Advanced Manufacturing and Materials</t>
  </si>
  <si>
    <t>Biomechanics , Mechanobiology, Bioengineering, Biomedical Engineering, Computational Solid Mechanics, Tissue Engineering , Biomaterials, Mechanics of Biological Materials, Solid Mechanics, Materials Design, Bioengineering , Healthcare, Advanced Manufacturing , Materials</t>
  </si>
  <si>
    <t>Jane Wang</t>
  </si>
  <si>
    <t>zw24@cornell.edu</t>
  </si>
  <si>
    <t>Computational Fluid Dynamics, Aerodynamics and Aeroacoustics, Complex Systems, Network Science and Computation, Fluid Dynamics and Rheology, Biophysics, Turbulence, Robotics and Autonomy, Biomechanics and Mechanobiology</t>
  </si>
  <si>
    <t>Computational Fluid Dynamics, Aerodynamics , Aeroacoustics, Complex Systems, Network Science , Computation, Fluid Dynamics , Rheology, Biophysics, Turbulence, Robotics , Autonomy, Biomechanics , Mechanobiology</t>
  </si>
  <si>
    <t>Alan Taylor Zehnder</t>
  </si>
  <si>
    <t>atz2@cornell.edu</t>
  </si>
  <si>
    <t>Computational Solid Mechanics, Energy Systems, Materials Design, Micro Nano Systems, Nanotechnology, Solid Mechanics, Wind Energy, Advanced Manufacturing and Materials</t>
  </si>
  <si>
    <t>Computational Solid Mechanics, Energy Systems, Materials Design, Micro Nano Systems, Nanotechnology, Solid Mechanics, Wind Energy, Advanced Manufacturing , Materials</t>
  </si>
  <si>
    <t>K. Max Zhang</t>
  </si>
  <si>
    <t>kz33@cornell.edu</t>
  </si>
  <si>
    <t>Aerosols, Air Quality and Climate Change, Renewable Energy Integration, Solar Farm Designs, Grid-interactive Building Systems, Heating and Transportation Electrification, Internet of Things (Io, T)</t>
  </si>
  <si>
    <t>Aerosols, Air Quality , Climate Change, Renewable Energy Integration, Solar Farm Designs, Grid-interactive Building Systems, Heating , Transportation Electrification, Internet of Things (Io, T)</t>
  </si>
  <si>
    <t>Guy Hoffman</t>
  </si>
  <si>
    <t>gpb1@cornell.edu</t>
  </si>
  <si>
    <t>Robotics and Autonomy</t>
  </si>
  <si>
    <t>Robotics , Autonomy</t>
  </si>
  <si>
    <t>Elizabeth M. Fisher</t>
  </si>
  <si>
    <t>emf4@cornell.edu</t>
  </si>
  <si>
    <t>bench-scale experiments and numerical simulations to investigate the combustion chemistry, flow, and heat transfer processes in biomass energy systems and other practical systems.</t>
  </si>
  <si>
    <t>bench-scale experiments , numerical simulations to investigate the combustion chemistry, flow, heat transfer processes in biomass energy systems , other practical systems,</t>
  </si>
  <si>
    <t>hoffman@cornell.edu</t>
  </si>
  <si>
    <t>computational, design, and social aspects of Human-Robot Interaction (HRI), focusing on human-robot collaboration and companionship.</t>
  </si>
  <si>
    <t>computational, design, social aspects of Human-Robot Interaction (HRI), focusing on human-robot collaboration , companionship,</t>
  </si>
  <si>
    <t>Douglas MacMartin</t>
  </si>
  <si>
    <t>dgm224@cornell.edu</t>
  </si>
  <si>
    <t>engineering feedback analysis and climate dynamics</t>
  </si>
  <si>
    <t>engineering feedback analysis , climate dynamics</t>
  </si>
  <si>
    <t>Perrine Pepiot</t>
  </si>
  <si>
    <t>pp427@cornell.edu</t>
  </si>
  <si>
    <t>Algorithms, Combustion, Computational Fluid Dynamics, Energy and the Environment, Energy Systems, Multiphase and Granular Flows, Scientific Computing, Thermal Systems, Turbulence</t>
  </si>
  <si>
    <t>Algorithms, Combustion, Computational Fluid Dynamics, Energy , the Environment, Energy Systems, Multiphase , Granular Flows, Scientific Computing, Thermal Systems, Turbulence</t>
  </si>
  <si>
    <t>Dmitry Savransky</t>
  </si>
  <si>
    <t>ds264@cornell.edu</t>
  </si>
  <si>
    <t>Image Analysis, Nonlinear Dynamics, Signal and Image Processing, Sensors and Actuators, Statistics and Machine Learning, Imaging and Instrumentation, Space Science and Engineering</t>
  </si>
  <si>
    <t>Image Analysis, Nonlinear Dynamics, Signal , Image Processing, Sensors , Actuators, Statistics , Machine Learning, Imaging , Instrumentation, Space Science , Engineering</t>
  </si>
  <si>
    <t>Robert F. Shepherd</t>
  </si>
  <si>
    <t>rfs247@cornell.edu</t>
  </si>
  <si>
    <t>Robotics and Autonomy, Materials Design, Advanced Manufacturing and Materials</t>
  </si>
  <si>
    <t>Robotics , Autonomy, Materials Design, Advanced Manufacturing , Materials</t>
  </si>
  <si>
    <t>Meredith Silberstein</t>
  </si>
  <si>
    <t>meredith.silberstein@cornell.edu</t>
  </si>
  <si>
    <t>Computational Solid Mechanics, Materials Design, Micro Nano Systems, Solid Mechanics, Advanced Manufacturing and Materials</t>
  </si>
  <si>
    <t>Computational Solid Mechanics, Materials Design, Micro Nano Systems, Solid Mechanics, Advanced Manufacturing , Materials</t>
  </si>
  <si>
    <t>Zhiting Tian</t>
  </si>
  <si>
    <t>zt223@cornell.edu</t>
  </si>
  <si>
    <t>Materials Design, Energy and the Environment, Micro Nano Systems, Advanced Manufacturing and Materials</t>
  </si>
  <si>
    <t>Materials Design, Energy , the Environment, Micro Nano Systems, Advanced Manufacturing , Materials</t>
  </si>
  <si>
    <t>Gregory Paul Bewley</t>
  </si>
  <si>
    <t>Fluid Dynamics and Rheology, Turbulence</t>
  </si>
  <si>
    <t>Fluid Dynamics , Rheology, Turbulence</t>
  </si>
  <si>
    <t>Nikolaos Bouklas</t>
  </si>
  <si>
    <t>nb589@cornell.edu</t>
  </si>
  <si>
    <t>Biomechanics and Mechanobiology, Computational Mechanics, Materials Design, Polymers and Soft Matter, Solid Mechanics, Advanced Manufacturing and Materials</t>
  </si>
  <si>
    <t>Biomechanics , Mechanobiology, Computational Mechanics, Materials Design, Polymers , Soft Matter, Solid Mechanics, Advanced Manufacturing , Materials</t>
  </si>
  <si>
    <t>Mahdi Esmaily Moghadam</t>
  </si>
  <si>
    <t>me399@cornell.edu</t>
  </si>
  <si>
    <t>Aerodynamics and Aeroacoustics, Bioengineering, Computational Fluid Dynamics, Multiphase and Granular Flows, Scientific Computing</t>
  </si>
  <si>
    <t>Aerodynamics , Aeroacoustics, Bioengineering, Computational Fluid Dynamics, Multiphase , Granular Flows, Scientific Computing</t>
  </si>
  <si>
    <t>Gregory Falco</t>
  </si>
  <si>
    <t>gfalco@cornell.edu</t>
  </si>
  <si>
    <t>Satellite Systems, Artificial Intelligence, Security, Statistics and Machine Learning, Robotics and Autonomy, Systems and Networking, Space Science and Engineering, Infrastructure Systems, Remote Sensing, Signal and Image Processing, Information Theory and Communications, Optical Physics and Quantum Information Science, Cloud and Distributed Computing</t>
  </si>
  <si>
    <t>Satellite Systems, Artificial Intelligence, Security, Statistics , Machine Learning, Robotics , Autonomy, Systems , Networking, Space Science , Engineering, Infrastructure Systems, Remote Sensing, Signal , Image Processing, Information Theory , Communications, Optical Physics , Quantum Information Science, Cloud , Distributed Computing</t>
  </si>
  <si>
    <t>Maha Haji</t>
  </si>
  <si>
    <t>mh2498@cornell.edu</t>
  </si>
  <si>
    <t>Energy Systems, Energy, Mineral and Water Resources, Wind Energy, Environmental and Water Resources Systems Engineering, Infrastructure Systems, Ocean Sciences, Optimization, Sustainable Energy Systems, Water Systems</t>
  </si>
  <si>
    <t>Energy Systems, Energy, Mineral , Water Resources, Wind Energy, Environmental , Water Resources Systems Engineering, Infrastructure Systems, Ocean Sciences, Optimization, Sustainable Energy Systems, Water Systems</t>
  </si>
  <si>
    <t>Mostafa Hassani</t>
  </si>
  <si>
    <t>hassani@cornell.edu</t>
  </si>
  <si>
    <t>Advanced Materials, Computational Solid Mechanics, Advanced Materials Processing, Computational Solid Mechanics, Materials Synthesis and Processing, Nanotechnology, Advanced Manufacturing and Materials</t>
  </si>
  <si>
    <t>Advanced Materials, Computational Solid Mechanics, Advanced Materials Processing, Computational Solid Mechanics, Materials Synthesis , Processing, Nanotechnology, Advanced Manufacturing , Materials</t>
  </si>
  <si>
    <t>Atieh Moridi</t>
  </si>
  <si>
    <t>moridi@cornell.edu</t>
  </si>
  <si>
    <t>Advanced Materials, Materials Design, Materials Synthesis and Processing, Nanotechnology, Solid Mechanics, Advanced Manufacturing and Materials</t>
  </si>
  <si>
    <t>Advanced Materials, Materials Design, Materials Synthesis , Processing, Nanotechnology, Solid Mechanics, Advanced Manufacturing , Materials</t>
  </si>
  <si>
    <t>Cara Nunez</t>
  </si>
  <si>
    <t>cmn97@cornell.edu</t>
  </si>
  <si>
    <t>Elaine Petro</t>
  </si>
  <si>
    <t>emp245@cornell.edu</t>
  </si>
  <si>
    <t>Space Science and Engineering</t>
  </si>
  <si>
    <t>Space Science , Engineering</t>
  </si>
  <si>
    <t>Fabien Royer</t>
  </si>
  <si>
    <t>fabienr@cornell.edu</t>
  </si>
  <si>
    <t>Space Science and Engineering, Advanced Manufacturing and Materials, Solid Mechanics</t>
  </si>
  <si>
    <t>Space Science , Engineering, Advanced Manufacturing , Materials, Solid Mechanics</t>
  </si>
  <si>
    <t>Sadaf Sobhani</t>
  </si>
  <si>
    <t>sobhani@cornell.edu</t>
  </si>
  <si>
    <t>Heat and Mass transfer, Energy Systems, Thermal Systems, Combustion, Sustainable Energy Systems, Space Science and Engineering, Computational Fluid Dynamics, Materials Design, Rapid Prototyping, Advanced Manufacturing and Materials</t>
  </si>
  <si>
    <t>Heat , Mass transfer, Energy Systems, Thermal Systems, Combustion, Sustainable Energy Systems, Space Science , Engineering, Computational Fluid Dynamics, Materials Design, Rapid Prototyping, Advanced Manufacturing , Materials</t>
  </si>
  <si>
    <t>Jingjie Yeo</t>
  </si>
  <si>
    <t>jingjieyeo@cornell.edu</t>
  </si>
  <si>
    <t>Mechanics of Biological Materials, Materials Design, Advanced Manufacturing and Materials, Biomechanics and Mechanobiology</t>
  </si>
  <si>
    <t>Mechanics of Biological Materials, Materials Design, Advanced Manufacturing , Materials, Biomechanics , Mechanobiology</t>
  </si>
  <si>
    <t>Benjamin M. Finio</t>
  </si>
  <si>
    <t>bfinio@cornell.edu</t>
  </si>
  <si>
    <t>Hadas Ritz</t>
  </si>
  <si>
    <t>hr32@cornell.edu</t>
  </si>
  <si>
    <t>Andrew van Paridon</t>
  </si>
  <si>
    <t>av568@cornell.edu</t>
  </si>
  <si>
    <t xml:space="preserve">Andrew van Paridon’s research includes spacecraft propulsion, thermal modeling, and system optimization. His most recent work has been developing a survey of water powered propulsion systems for satellites, with the aim to hel, Pbroaden the understanding that we have about the potential for water as an in-situ resource in space. Dr. van Paridon has also been developing new teaching strategies, via development of the Small, Sat Mission Design School, work with the Office of Engagement Initiatives and Sciencenter in developing  community outreach, and investigation of mastery-graded examination techniques. At the Oxford Thermofluids Institute he developed methods for thermal control that increase the efficiency and fatigue life of turbine discs. He designed the Transient Heat Transfer Facility (THTF) to study turbine casings under real engine conditions for temperature and pressure. Dr. van Paridon also developed the Linear Parameter Varying - Proper Orthogonal Decomposition model for simulating the thermal condition of engine parts in otherwise  severe, unmeasurable environments. </t>
  </si>
  <si>
    <t>spacecraft propulsion, thermal modeling, system optimization</t>
  </si>
  <si>
    <t>Princeton University</t>
  </si>
  <si>
    <t>Christine Allen-Blanchette</t>
  </si>
  <si>
    <t>ca15@princeton.edu</t>
  </si>
  <si>
    <t>Control, Robotics and Dynamical Systems</t>
  </si>
  <si>
    <t>Control, Robotics , Dynamical Systems</t>
  </si>
  <si>
    <t>Mechanical and Aerospace Engineering</t>
  </si>
  <si>
    <t>Craig Arnold</t>
  </si>
  <si>
    <t>cbarnold@princeton.edu</t>
  </si>
  <si>
    <t>TAG lens adaptive optics for imaging and materials processing, Bessel beam optical tra, Passisted near field laser direct-write nanopatterning, Fundamentals of laser forward transfer and "On-the-fly" materials modification, Photo-modifiable materials and processing for mid-infrared photonics, Relations between mechanical properties and electrochemical performance in energy storage applications, Laser surface texturing for biological surfaces</t>
  </si>
  <si>
    <t>TAG lens adaptive optics for imaging , materials processing, Bessel beam optical tra, Passisted near field laser direct-write nanopatterning, Fundamentals of laser forward transfer , "On-the-fly" materials modification, Photo-modifiable materials , processing for mid-infrared photonics, Relations between mechanical properties , electrochemical performance in energy storage applications, Laser surface texturing for biological surfaces</t>
  </si>
  <si>
    <t>Ryne Beeson</t>
  </si>
  <si>
    <t>ryne@princeton.edu</t>
  </si>
  <si>
    <t>Emily A. Carter</t>
  </si>
  <si>
    <t>eac@princeton.edu</t>
  </si>
  <si>
    <t>Applied Physics, Materials Science</t>
  </si>
  <si>
    <t>#23 - Best Engineering Schools</t>
  </si>
  <si>
    <t>Edgar Choueiri</t>
  </si>
  <si>
    <t>choueiri@princeton.edu</t>
  </si>
  <si>
    <t>Applied Physics, Propulsion and Energy Sciences</t>
  </si>
  <si>
    <t>Applied Physics, Propulsion , Energy Sciences</t>
  </si>
  <si>
    <t>Daniel Cohen</t>
  </si>
  <si>
    <t>djctwo@Princeton.edu</t>
  </si>
  <si>
    <t>Biomechanics and Biomaterials, Control, Robotics and Dynamical Systems, Materials Science</t>
  </si>
  <si>
    <t>Biomechanics , Biomaterials, Control, Robotics , Dynamical Systems, Materials Science</t>
  </si>
  <si>
    <t>Luc Deike</t>
  </si>
  <si>
    <t>ldeike@Princeton.EDU</t>
  </si>
  <si>
    <t>Alison M. Ferris</t>
  </si>
  <si>
    <t>amferris@princeton.edu</t>
  </si>
  <si>
    <t>Propulsion and Energy Sciences</t>
  </si>
  <si>
    <t>Alexander Glaser</t>
  </si>
  <si>
    <t>aglaser@princeton.edu</t>
  </si>
  <si>
    <t>Applied Physics</t>
  </si>
  <si>
    <t>Mikko Haataja</t>
  </si>
  <si>
    <t>mhaataja@Princeton.EDU</t>
  </si>
  <si>
    <t>Biomechanics and Biomaterials, Materials Science</t>
  </si>
  <si>
    <t>Biomechanics , Biomaterials, Materials Science</t>
  </si>
  <si>
    <t>Kelsey Hatzell</t>
  </si>
  <si>
    <t>kelsey.hatzell@princeton.edu</t>
  </si>
  <si>
    <t>Materials Science</t>
  </si>
  <si>
    <t>Marcus Hultmark</t>
  </si>
  <si>
    <t>hultmark@Princeton.EDU</t>
  </si>
  <si>
    <t>Biomechanics and Biomaterials, Fluid Mechanics</t>
  </si>
  <si>
    <t>Biomechanics , Biomaterials, Fluid Mechanics</t>
  </si>
  <si>
    <t>Jesse Jenkins</t>
  </si>
  <si>
    <t>jessejenkins@princeton.edu</t>
  </si>
  <si>
    <t>Propulsion , Energy Sciences</t>
  </si>
  <si>
    <t>Yiguang Ju</t>
  </si>
  <si>
    <t>yju@princeton.edu</t>
  </si>
  <si>
    <t>Egemen Kolemen</t>
  </si>
  <si>
    <t>ekolemen@princeton.edu</t>
  </si>
  <si>
    <t>Applied Physics, Control, Robotics and Dynamical Systems</t>
  </si>
  <si>
    <t>Applied Physics, Control, Robotics , Dynamical Systems</t>
  </si>
  <si>
    <t>Andrej Košmrlj</t>
  </si>
  <si>
    <t>andrej@princeton.edu</t>
  </si>
  <si>
    <t>Chung Law</t>
  </si>
  <si>
    <t>cklaw@princeton.edu</t>
  </si>
  <si>
    <t>Fluid Mechanics, Propulsion and Energy Sciences</t>
  </si>
  <si>
    <t>Fluid Mechanics, Propulsion , Energy Sciences</t>
  </si>
  <si>
    <r>
      <rPr>
        <sz val="10"/>
        <color rgb="FF000000"/>
        <rFont val="Arial"/>
        <family val="2"/>
      </rPr>
      <t xml:space="preserve">Chair - </t>
    </r>
    <r>
      <rPr>
        <u/>
        <sz val="10"/>
        <color rgb="FF000000"/>
        <rFont val="Arial"/>
        <family val="2"/>
      </rPr>
      <t>Naomi Ehrich Leonard</t>
    </r>
  </si>
  <si>
    <t>naomi@princeton.edu</t>
  </si>
  <si>
    <t>Biomechanics and Biomaterials, Control, Robotics and Dynamical Systems</t>
  </si>
  <si>
    <t>Biomechanics , Biomaterials, Control, Robotics , Dynamical Systems</t>
  </si>
  <si>
    <t>Michael Littman</t>
  </si>
  <si>
    <t>mlittman@princeton.edu</t>
  </si>
  <si>
    <t>Control, Robotics ,Dynamical Systems</t>
  </si>
  <si>
    <t>Anirudha Majumdar</t>
  </si>
  <si>
    <t>ani.majumdar@princeton.edu</t>
  </si>
  <si>
    <t>Luigi Martinelli</t>
  </si>
  <si>
    <t>gigi@phantom2.princeton.edu</t>
  </si>
  <si>
    <t>Julia M. Mikhailova</t>
  </si>
  <si>
    <t>jm41@princeton.edu</t>
  </si>
  <si>
    <t>Michael E. Mueller</t>
  </si>
  <si>
    <t>muellerm@princeton.edu</t>
  </si>
  <si>
    <t>Radhika Nagpal</t>
  </si>
  <si>
    <t>rn1627@princeton.edu</t>
  </si>
  <si>
    <t>Daniel M. Nosenchuck</t>
  </si>
  <si>
    <t>dan@princeton.edu</t>
  </si>
  <si>
    <t>Clarence Rowley</t>
  </si>
  <si>
    <t>cwrowley@princeton.edu</t>
  </si>
  <si>
    <t>Control, Robotics and Dynamical Systems, Fluid Mechanics</t>
  </si>
  <si>
    <t>Control, Robotics , Dynamical Systems, Fluid Mechanics</t>
  </si>
  <si>
    <t>Aditya Sood</t>
  </si>
  <si>
    <t>aditya.sood@princeton.edu</t>
  </si>
  <si>
    <t>Aimy Wissa</t>
  </si>
  <si>
    <t>awissa@princeton.edu</t>
  </si>
  <si>
    <t>Howard A. Stone</t>
  </si>
  <si>
    <t>hastone@princeton.edu</t>
  </si>
  <si>
    <t>Carnegie Mellon University</t>
  </si>
  <si>
    <t>Amir Barati Farimani</t>
  </si>
  <si>
    <t>barati@cmu.edu</t>
  </si>
  <si>
    <t>additive manufacturingadvanced manufacturingautonomous vehiclesbioengineeringcomputational engineeringcomputational fluid dynamicscomputational modelingdigital twinsenergygenerative manufacturinghuman healthinfrastructuremachine learningmanufacturing workforcematerials for energy efficiencymicro/nanoengineeringrenewable energyroboticssmart citiestransport phenomena</t>
  </si>
  <si>
    <t>Mechanical Engineering</t>
  </si>
  <si>
    <t>Sarah Bergbreiter</t>
  </si>
  <si>
    <t>sbergbre@andrew.cmu.edu</t>
  </si>
  <si>
    <t>bioinspired roboticslegged and aerial roboticsmicro/nano-roboticsroboticssoft roboticswearable robotics</t>
  </si>
  <si>
    <t>bioinspired roboticslegged , aerial roboticsmicro/nano-roboticsroboticssoft roboticswearable robotics</t>
  </si>
  <si>
    <t>Jack Beuth</t>
  </si>
  <si>
    <t>beuth@andrew.cmu.edu</t>
  </si>
  <si>
    <t>additive manufacturingadvanced manufacturingdesign and manufacturingmachine learning</t>
  </si>
  <si>
    <t>additive manufacturingadvanced manufacturingdesign , manufacturingmachine learning</t>
  </si>
  <si>
    <t>#11 - Mechanical Engineering</t>
  </si>
  <si>
    <t>Ophelia Bolmin</t>
  </si>
  <si>
    <t>obolmin@andrew.cmu.edu</t>
  </si>
  <si>
    <t>structural dynamics, biomechanics, physiology, multi-scale modeling, design, and manufacturing.</t>
  </si>
  <si>
    <t>structural dynamics, biomechanics, physiology, multi-scale modeling, design, manufacturing,</t>
  </si>
  <si>
    <r>
      <rPr>
        <sz val="10"/>
        <color rgb="FF000000"/>
        <rFont val="Arial"/>
        <family val="2"/>
      </rPr>
      <t xml:space="preserve">Head - </t>
    </r>
    <r>
      <rPr>
        <u/>
        <sz val="10"/>
        <color rgb="FF000000"/>
        <rFont val="Arial"/>
        <family val="2"/>
      </rPr>
      <t>Jonathan Cagan</t>
    </r>
  </si>
  <si>
    <t>cagan@cmu.edu</t>
  </si>
  <si>
    <t>computational geometrycomputer engineeringconsumer behaviordesign and manufacturingdesign theory, methods, and automationhuman healthmachine learningoptimizationproduct design</t>
  </si>
  <si>
    <t>computational geometrycomputer engineeringconsumer behaviordesign , manufacturingdesign theory, methods, automationhuman healthmachine learningoptimizationproduct design</t>
  </si>
  <si>
    <t>Maarten de Boer</t>
  </si>
  <si>
    <t>mpdebo@andrew.cmu.edu</t>
  </si>
  <si>
    <t>additive manufacturingdevices and material manipulationelectrochemistrymaterials science &amp; engineeringmechanicsmicro/nano manufacturingmicro/nano-roboticsmicro/nanoengineeringmicroelectromechanical systems (MEMS)micromanufacturing</t>
  </si>
  <si>
    <t>additive manufacturingdevices , material manipulationelectrochemistrymaterials science &amp; engineeringmechanicsmicro/nano manufacturingmicro/nano-roboticsmicro/nanoengineeringmicroelectromechanical systems (MEMS)micromanufacturing</t>
  </si>
  <si>
    <t>Nestor Gomez</t>
  </si>
  <si>
    <t>nestor@cmu.edu</t>
  </si>
  <si>
    <t>Noelia Grande Gutiérrez</t>
  </si>
  <si>
    <t>ngrandeg@andrew.cmu.edu</t>
  </si>
  <si>
    <t>bioengineeringbiomechanicscomputer-aided design (CAD)fluid mechanicsmedical laboratory technology</t>
  </si>
  <si>
    <t>Eni Halilaj</t>
  </si>
  <si>
    <t>ehalilaj@andrew.cmu.edu</t>
  </si>
  <si>
    <t>artificial intelligencebioengineeringbiomechanicscomputational modelinghuman healthmachine learningmedical imagingrehabilitation</t>
  </si>
  <si>
    <t>B. Reeja Jayan</t>
  </si>
  <si>
    <t>bjayan@andrew.cmu.edu</t>
  </si>
  <si>
    <t>additive manufacturingadvanced manufacturingadvanced vehicle systemsbioengineeringbiomedical manufacturingcoatings &amp; filmsdevices and material manipulationenergyfar-from-equilibrium materialsmanufacturing workforcematerials for energy efficiencymicro/nanoengineeringrenewable energyrobotics</t>
  </si>
  <si>
    <t>additive manufacturingadvanced manufacturingadvanced vehicle systemsbioengineeringbiomedical manufacturingcoatings &amp; filmsdevices , material manipulationenergyfar-from-equilibrium materialsmanufacturing workforcematerials for energy efficiencymicro/nanoengineeringrenewable energyrobotics</t>
  </si>
  <si>
    <t>Aaron Johnson</t>
  </si>
  <si>
    <t>amj1@andrew.cmu.edu</t>
  </si>
  <si>
    <t>artificial intelligencebioinspired roboticsbiomechanicscontrols and automationcyberphysical systems (CPS)legged and aerial roboticsrobotics</t>
  </si>
  <si>
    <t>artificial intelligencebioinspired roboticsbiomechanicscontrols , automationcyberphysical systems (CPS)legged , aerial roboticsrobotics</t>
  </si>
  <si>
    <t>Trevor Jones</t>
  </si>
  <si>
    <t>trevorj@andrew.cmu.edu</t>
  </si>
  <si>
    <t>soft matter mechanics</t>
  </si>
  <si>
    <t>$52,100 per year (full-time)</t>
  </si>
  <si>
    <t>Inseung Kang</t>
  </si>
  <si>
    <t xml:space="preserve">mechatronic systems, deePlearning-based controllers </t>
  </si>
  <si>
    <t>Levent Burak Kara</t>
  </si>
  <si>
    <t>lkara@cmu.edu</t>
  </si>
  <si>
    <t>additive manufacturingadvanced manufacturingbioengineeringcomputational designcomputational engineeringcomputational geometrycomputer-aided design (CAD)design and manufacturingdigital twinsgenerative manufacturingmachine learningmanufacturing workforcemechanical engineeringoptimizationproduct design</t>
  </si>
  <si>
    <t>additive manufacturingadvanced manufacturingbioengineeringcomputational designcomputational engineeringcomputational geometrycomputer-aided design (CAD)design , manufacturingdigital twinsgenerative manufacturingmachine learningmanufacturing workforcemechanical engineeringoptimizationproduct design</t>
  </si>
  <si>
    <t>PhiliPLeDuc</t>
  </si>
  <si>
    <t>prl@andrew.cmu.edu</t>
  </si>
  <si>
    <t>artificial intelligencebioengineeringbiomaterialsbiomechanicsbiomedical manufacturingbiomimetic tissue constructsbiotechnologycell engineeringenergyhuman healthmachine learningrenewable energytissue engineering</t>
  </si>
  <si>
    <t>Shawn Litster</t>
  </si>
  <si>
    <t>litster@andrew.cmu.edu</t>
  </si>
  <si>
    <t>advanced vehicle systemscomputational engineeringcomputational fluid dynamicsenergymaterials for energy efficiencymicro/nanoengineeringtransport phenomena</t>
  </si>
  <si>
    <t>Carmel Majidi</t>
  </si>
  <si>
    <t>cmajidi@andrew.cmu.edu</t>
  </si>
  <si>
    <t>advanced manufacturingdevices and material manipulationmedical device manufacturingmedical devicesmicro/nanoengineeringroboticssoft roboticswearable robotics</t>
  </si>
  <si>
    <t>advanced manufacturingdevices , material manipulationmedical device manufacturingmedical devicesmicro/nanoengineeringroboticssoft roboticswearable robotics</t>
  </si>
  <si>
    <t>Jonathan Malen</t>
  </si>
  <si>
    <t>jonmalen@andrew.cmu.edu</t>
  </si>
  <si>
    <t>energymaterials for energy efficiencymicro/nanoengineeringtransport phenomena</t>
  </si>
  <si>
    <t>Christopher McComb</t>
  </si>
  <si>
    <t>ccm@cmu.edu</t>
  </si>
  <si>
    <t>additive manufacturingadvanced manufacturingagent-based modelingcomputational engineeringdesign and manufacturingdesign cognitiondesign theorydesign theory, methods, and automationenergyengineering designgenerative designhuman computer interactionhuman-centered machine learninghuman-machine teamingmachine learningoptimizationproduct designrenewable energy systemssociotechnical systems, STEM educationteamwork</t>
  </si>
  <si>
    <t>additive manufacturingadvanced manufacturingagent-based modelingcomputational engineeringdesign , manufacturingdesign cognitiondesign theorydesign theory, methods, automationenergyengineering designgenerative designhuman computer interactionhuman-centered machine learninghuman-machine teamingmachine learningoptimizationproduct designrenewable energy systemssociotechnical systems, STEM educationteamwork</t>
  </si>
  <si>
    <t>Alan McGaughey</t>
  </si>
  <si>
    <t>mcgaughey@cmu.edu</t>
  </si>
  <si>
    <t>Their research is based in mechanical engineering and incorporates knowledge from physics, materials science, and chemistry. They develop and apply molecular- and meso-scale simulation techniques, and collaborate closely with experimental research groups.</t>
  </si>
  <si>
    <t>Jeremy Michalek</t>
  </si>
  <si>
    <t>jmichalek@cmu.edu</t>
  </si>
  <si>
    <t>advanced vehicle systemsair qualityautonomous drivingbatteriesclean power systemsconsumer behaviorelectric power systemsenergyenergy systemsengineered systemsengineering and public policyenvironmental engineeringenvironmental systemsgreen designmanagement sciencemechanical engineeringnatural gas engineeringoperations researchoptimizationproduct designproduct strategy and innovationrenewable energysustainable engineeringsystems modelingtechnical innovationtechnology policytransportation systems</t>
  </si>
  <si>
    <t>advanced vehicle systemsair qualityautonomous drivingbatteriesclean power systemsconsumer behaviorelectric power systemsenergyenergy systemsengineered systemsengineering , public policyenvironmental engineeringenvironmental systemsgreen designmanagement sciencemechanical engineeringnatural gas engineeringoperations researchoptimizationproduct designproduct strategy , innovationrenewable energysustainable engineeringsystems modelingtechnical innovationtechnology policytransportation systems</t>
  </si>
  <si>
    <t>Sneha Prabha Narra</t>
  </si>
  <si>
    <t>snarra@andrew.cmu.edu</t>
  </si>
  <si>
    <t>additive manufacturingadvanced manufacturingmachine learningmanufacturing workforcematerials characterizationrobotics</t>
  </si>
  <si>
    <t>Francis Ogoke</t>
  </si>
  <si>
    <t>Additive Manufacturing</t>
  </si>
  <si>
    <t>Burak Ozdoganlar</t>
  </si>
  <si>
    <t>ozdoganlar@cmu.edu</t>
  </si>
  <si>
    <t>additive manufacturingadvanced manufacturingbioengineeringbiomanufacturingbiomedical engineeringbiosensingceramic micro-manufacturingdevices and material manipulationdigital twinsdynamicsflexible systemsgenerative manufacturingimplantable medical microsystemsmechanical analysismedical device manufacturingmedical devicesmicro-additive manufacturingmicro/nano-roboticsmicro/nanoengineeringmicromanufacturingmicromoldingmicroneedlesnanofabricationnanomanufacturingnanotechnologyneural probespolymer engineeringprecision engineeringprecision metrologyproduct designsoft electronicssoft electronics manufacturingsoft roboticsstructural dynamicssystems modelingtissue engineeringtransdermal drug deliveryvibrationswearable robotics</t>
  </si>
  <si>
    <t>additive manufacturingadvanced manufacturingbioengineeringbiomanufacturingbiomedical engineeringbiosensingceramic micro-manufacturingdevices , material manipulationdigital twinsdynamicsflexible systemsgenerative manufacturingimplantable medical microsystemsmechanical analysismedical device manufacturingmedical devicesmicro-additive manufacturingmicro/nano-roboticsmicro/nanoengineeringmicromanufacturingmicromoldingmicroneedlesnanofabricationnanomanufacturingnanotechnologyneural probespolymer engineeringprecision engineeringprecision metrologyproduct designsoft electronicssoft electronics manufacturingsoft roboticsstructural dynamicssystems modelingtissue engineeringtransdermal drug deliveryvibrationswearable robotics</t>
  </si>
  <si>
    <t>Rahul Panat</t>
  </si>
  <si>
    <t>rpanat@andrew.cmu.edu</t>
  </si>
  <si>
    <t>high density interconnects, thinning of Si, 3-D packaging, and lead-free and halogen-free ICs</t>
  </si>
  <si>
    <t>high density interconnects, thinning of Si, 3-D packaging, lead-free , halogen-free ICs</t>
  </si>
  <si>
    <t>Albert Presto</t>
  </si>
  <si>
    <t>apresto@andrew.cmu.edu</t>
  </si>
  <si>
    <t>air qualityatmospheric particle studiesenergyenergy scienceenvironmental engineeringenvironmental systemsinfrastructuremachine learningsmart cities</t>
  </si>
  <si>
    <t>Yoed Rabin</t>
  </si>
  <si>
    <t>rabin@cmu.edu</t>
  </si>
  <si>
    <t>bioengineeringbiomedical manufacturingbiothermal technologycomputational modelingcryopreservationcryosurgeryheat transfer in biological systemsmedical devicesphotodynamics treatmentthermal ablationthermal surgery</t>
  </si>
  <si>
    <t>Sheng Shen</t>
  </si>
  <si>
    <t>shengshe@andrew.cmu.edu</t>
  </si>
  <si>
    <t>advanced manufacturingenergymachine learningmaterials for energy efficiencymicro/nanoengineeringrenewable energytransport phenomena</t>
  </si>
  <si>
    <t>Kenji Shimada</t>
  </si>
  <si>
    <t>shimada@cmu.edu</t>
  </si>
  <si>
    <t>additive manufacturingadvanced manufacturingbioengineeringbiomanufacturingbiomedical manufacturingcomputational engineeringcomputational geometrycomputational modelingdesign and manufacturingdigital twinsgenerative manufacturinglegged and aerial roboticsmachine learningmedical devicesmedical roboticsproduct designroboticssoft robotics</t>
  </si>
  <si>
    <t>additive manufacturingadvanced manufacturingbioengineeringbiomanufacturingbiomedical manufacturingcomputational engineeringcomputational geometrycomputational modelingdesign , manufacturingdigital twinsgenerative manufacturinglegged , aerial roboticsmachine learningmedical devicesmedical roboticsproduct designroboticssoft robotics</t>
  </si>
  <si>
    <t>Satbir Singh</t>
  </si>
  <si>
    <t>satbirs@andrew.cmu.edu</t>
  </si>
  <si>
    <t>air qualityclean power systemscomputational engineeringcomputational fluid dynamicsenergyenvironmental engineeringnatural gas engineering</t>
  </si>
  <si>
    <t>Paul Steif</t>
  </si>
  <si>
    <t>steif@andrew.cmu.edu</t>
  </si>
  <si>
    <t>Ryan Sullivan</t>
  </si>
  <si>
    <t>ryansull@andrew.cmu.edu</t>
  </si>
  <si>
    <t>aerosol-cloud interactionsair qualityatmospheric particle studieschemistryenergyenvironmental engineeringenvironmental systemsheterogeneous chemistryinstruments &amp; instrumentationmass spectrometrymechanical engineeringmicro/nanoengineeringmicrofluidic systemsoptical tweezersphase transitionswater treatment</t>
  </si>
  <si>
    <t>Rebecca Taylor</t>
  </si>
  <si>
    <t>bex@andrew.cmu.edu</t>
  </si>
  <si>
    <t>advanced manufacturingbioengineeringbiomanufacturingbiomechanicsbiomedical manufacturingdevices and material manipulationmanufacturing workforcemedical device manufacturingmedical roboticsmicro/nano manufacturingmicro/nano-roboticsmicro/nanoengineeringrobotics</t>
  </si>
  <si>
    <t>advanced manufacturingbioengineeringbiomanufacturingbiomechanicsbiomedical manufacturingdevices , material manipulationmanufacturing workforcemedical device manufacturingmedical roboticsmicro/nano manufacturingmicro/nano-roboticsmicro/nanoengineeringrobotics</t>
  </si>
  <si>
    <t>Conrad Tucker</t>
  </si>
  <si>
    <t>conradt@andrew.cmu.edu</t>
  </si>
  <si>
    <t>AI and ML for securityartificial intelligencebioengineeringcyber physical systems security and privacydata miningintrusion and anomaly detection and preventionmachine learningoptimizationsecurity of AI and MLsocial networks security and privacy</t>
  </si>
  <si>
    <t>AI , ML for securityartificial intelligencebioengineeringcyber physical systems security , privacydata miningintrusion , anomaly detection , preventionmachine learningoptimizationsecurity of AI , MLsocial networks security , privacy</t>
  </si>
  <si>
    <t>venkvis@cmu.edu</t>
  </si>
  <si>
    <t>advanced vehicle systemsbatteriesbiomaterialscatalysis and surface sciencecomputational designenergyenergy systemsenergy technologiesmaterials for energy efficiency</t>
  </si>
  <si>
    <t>advanced vehicle systemsbatteriesbiomaterialscatalysis , surface sciencecomputational designenergyenergy systemsenergy technologiesmaterials for energy efficiency</t>
  </si>
  <si>
    <t>Liwei Wang</t>
  </si>
  <si>
    <t>liweiw@andrew.cmu.edu</t>
  </si>
  <si>
    <t>His research group is exploring applications that can enhance human well-being and extend human capabilities, such as mechanical protective cloaks, minimally invasive surgery, flexible electronics, soft robotics, and mechanical computing.</t>
  </si>
  <si>
    <t>Douglas Weber</t>
  </si>
  <si>
    <t>dougweber@cmu.edu</t>
  </si>
  <si>
    <t>bioengineeringbiomechanicsneural engineeringneuromodulationneuroprostheses</t>
  </si>
  <si>
    <t>Victoria Webster-Wood</t>
  </si>
  <si>
    <t>vwebster@andrew.cmu.edu</t>
  </si>
  <si>
    <t>additive manufacturingadvanced manufacturingbioengineeringbioinspired roboticsbiomanufacturingbiomechanicscomputational modelingmedical device manufacturingmedical roboticsmicro/nano manufacturingmicro/nano-roboticsroboticssoft roboticswearable robotics</t>
  </si>
  <si>
    <t>Katie Whitefoot</t>
  </si>
  <si>
    <t>kwhitefoot@cmu.edu</t>
  </si>
  <si>
    <t>additive manufacturingadvanced vehicle systemsconsumer behaviorenergyenvironmental engineeringgenerative manufacturingoptimizationproduct designtechnical innovation</t>
  </si>
  <si>
    <t>Jessica Zhang</t>
  </si>
  <si>
    <t>jessicaz@andrew.cmu.edu</t>
  </si>
  <si>
    <t>additive manufacturingbioengineeringbiomedical engineeringcomputational engineeringcomputational geometrycomputational modelingcomputer-aided design (CAD)design and manufacturingdigital twinshuman healthimage processingmachine learningmechanical analysismechanicsmedical devicesmultiscale organ simulation</t>
  </si>
  <si>
    <t>additive manufacturingbioengineeringbiomedical engineeringcomputational engineeringcomputational geometrycomputational modelingcomputer-aided design (CAD)design , manufacturingdigital twinshuman healthimage processingmachine learningmechanical analysismechanicsmedical devicesmultiscale organ simulation</t>
  </si>
  <si>
    <t>Ding Zhao</t>
  </si>
  <si>
    <t>dingzhao@cmu.edu</t>
  </si>
  <si>
    <t>advanced vehicle systems, AI and ML for securityartificial intelligenceautonomous vehiclescomputational engineeringdigital twinsenergy, Internet of Things (Io, T)Io, T security and privacymachine learningroboticssecurity of AI and MLsmart cities</t>
  </si>
  <si>
    <t>advanced vehicle systems, AI , ML for securityartificial intelligenceautonomous vehiclescomputational engineeringdigital twinsenergy, Internet of Things (Io, T)Io, T security , privacymachine learningroboticssecurity of AI , MLsmart cities</t>
  </si>
  <si>
    <t>University of Texas at Austin</t>
  </si>
  <si>
    <t>Farshid Alambeigi</t>
  </si>
  <si>
    <t>farshid.alambeigi@austin.utexas.edu</t>
  </si>
  <si>
    <t>Advanced Design and Manufacturing, Biomechanical and Biomedicine Engineering, Robotics and Intelligent Mechanical Systems</t>
  </si>
  <si>
    <t>Advanced Design , Manufacturing, Biomechanical , Biomedicine Engineering, Robotics , Intelligent Mechanical Systems</t>
  </si>
  <si>
    <t>Walker Department of Mechanical Engineering</t>
  </si>
  <si>
    <t>Narayana Aluru</t>
  </si>
  <si>
    <t>aluru@utexas.edu</t>
  </si>
  <si>
    <t>Advanced Materials Science and Engineering, Clean Energy Technology, Computational Engineering, Nano and Micro-scale Engineering, Thermal Fluids Systems and Transport Phenomena</t>
  </si>
  <si>
    <t>Advanced Materials Science , Engineering, Clean Energy Technology, Computational Engineering, Nano , Micro-scale Engineering, Thermal Fluids Systems , Transport Phenomena</t>
  </si>
  <si>
    <t>Vaibhav Bahadur</t>
  </si>
  <si>
    <t>vb@austin.utexas.edu</t>
  </si>
  <si>
    <t>Clean Energy Technology, Nano and Micro-scale Engineering, Thermal Fluids Systems and Transport Phenomena</t>
  </si>
  <si>
    <t>Clean Energy Technology, Nano , Micro-scale Engineering, Thermal Fluids Systems , Transport Phenomena</t>
  </si>
  <si>
    <t>Jonathan Bard</t>
  </si>
  <si>
    <t>jbard@utexas.edu</t>
  </si>
  <si>
    <t>Analytics and Probabilistic Modeling</t>
  </si>
  <si>
    <t>Analytics , Probabilistic Modeling</t>
  </si>
  <si>
    <t>Joseph Beaman</t>
  </si>
  <si>
    <t>jbeaman@mail.utexas.edu</t>
  </si>
  <si>
    <t>Advanced Design and Manufacturing</t>
  </si>
  <si>
    <t>Advanced Design , Manufacturing</t>
  </si>
  <si>
    <t>Adela Ben-Yakar</t>
  </si>
  <si>
    <t>ben-yakar@mail.utexas.edu</t>
  </si>
  <si>
    <t>Biomechanical and Biomedicine Engineering</t>
  </si>
  <si>
    <t>Biomechanical , Biomedicine Engineering</t>
  </si>
  <si>
    <t>J. Eric Bickel</t>
  </si>
  <si>
    <t>ebickel@mail.utexas.edu</t>
  </si>
  <si>
    <t>George Biros</t>
  </si>
  <si>
    <t>gbiros@acm.org</t>
  </si>
  <si>
    <t>Computational Engineering</t>
  </si>
  <si>
    <t>David Bogard</t>
  </si>
  <si>
    <t>dbogard@mail.utexas.edu</t>
  </si>
  <si>
    <t>Thermal Fluids Systems and Transport Phenomena</t>
  </si>
  <si>
    <t>Thermal Fluids Systems , Transport Phenomena</t>
  </si>
  <si>
    <t>Raghavendra Bollapragada</t>
  </si>
  <si>
    <t>raghu.bollapragada@utexas.edu</t>
  </si>
  <si>
    <t>Maura Borrego</t>
  </si>
  <si>
    <t>maura.borrego@austin.utexas.edu</t>
  </si>
  <si>
    <t>Engineering Education</t>
  </si>
  <si>
    <t>Chih-Hao Chang</t>
  </si>
  <si>
    <t>chichang@utexas.edu</t>
  </si>
  <si>
    <t>Advanced Design and Manufacturing, Nano and Micro-scale Engineering</t>
  </si>
  <si>
    <t>Advanced Design , Manufacturing, Nano , Micro-scale Engineering</t>
  </si>
  <si>
    <t>William Charlton</t>
  </si>
  <si>
    <t>wcharlton@austin.utexas.edu</t>
  </si>
  <si>
    <t>Development of technological solutions to counter nuclear threats; nuclear nonproliferation and counter-proliferation; detector development and testing; interpretation of technical nuclear forensics data; reactor physics calculations for analysis of nuclear systems</t>
  </si>
  <si>
    <t>$10,554 per year (in-state, full-time)</t>
  </si>
  <si>
    <t>Dongmei "Maggie" Chen</t>
  </si>
  <si>
    <t>dmchen@me.utexas.edu</t>
  </si>
  <si>
    <t>Advanced Design and Manufacturing, Clean Energy Technology, Complex Systems, Robotics and Intelligent Mechanical Systems</t>
  </si>
  <si>
    <t>Advanced Design , Manufacturing, Clean Energy Technology, Complex Systems, Robotics , Intelligent Mechanical Systems</t>
  </si>
  <si>
    <t>Kevin Clarno</t>
  </si>
  <si>
    <t>kevin.clarno@austin.utexas.edu</t>
  </si>
  <si>
    <t>Complex Systems, Nuclear and Radiation Engineering</t>
  </si>
  <si>
    <t>Complex Systems, Nuclear , Radiation Engineering</t>
  </si>
  <si>
    <t>Richard Crawford</t>
  </si>
  <si>
    <t>rhc@mail.utexas.edu</t>
  </si>
  <si>
    <t>Computer-aided mechanical design and manufacturing; geometric modeling; solid freeform fabrication</t>
  </si>
  <si>
    <t>Computer-aided mechanical design , manufacturing; geometric modeling; solid freeform fabrication</t>
  </si>
  <si>
    <t>Michael Cullinan</t>
  </si>
  <si>
    <t>michael.cullinan@austin.utexas.edu</t>
  </si>
  <si>
    <t>Ashish D. Deshpande</t>
  </si>
  <si>
    <t>ashish@austin.utexas.edu</t>
  </si>
  <si>
    <t>Dragan Djurdjanovic</t>
  </si>
  <si>
    <t>dragan.djurdjanovic@mail.utexas.edu</t>
  </si>
  <si>
    <t>Janet Ellzey</t>
  </si>
  <si>
    <t>jellzey@mail.utexas.edu</t>
  </si>
  <si>
    <t>Ofodike Ezekoye</t>
  </si>
  <si>
    <t>dezekoye@mail.utexas.edu</t>
  </si>
  <si>
    <t>Eric Fahrenthold</t>
  </si>
  <si>
    <t>epfahren@mail.utexas.edu</t>
  </si>
  <si>
    <t>Donglei "Emma" Fan</t>
  </si>
  <si>
    <t>dfan@austin.utexas.edu</t>
  </si>
  <si>
    <t>Advanced Design and Manufacturing, Advanced Materials Science and Engineering, Biomechanical and Biomedicine Engineering, Clean Energy Technology, Complex Systems, Nano and Micro-scale Engineering, Robotics and Intelligent Mechanical Systems</t>
  </si>
  <si>
    <t>Advanced Design , Manufacturing, Advanced Materials Science , Engineering, Biomechanical , Biomedicine Engineering, Clean Energy Technology, Complex Systems, Nano , Micro-scale Engineering, Robotics , Intelligent Mechanical Systems</t>
  </si>
  <si>
    <t>Ann Majewicz Fey</t>
  </si>
  <si>
    <t>ann.majewiczfey@utexas.edu</t>
  </si>
  <si>
    <t>Robotics and Intelligent Mechanical Systems</t>
  </si>
  <si>
    <t>Robotics , Intelligent Mechanical Systems</t>
  </si>
  <si>
    <t>Nick Fey</t>
  </si>
  <si>
    <t>nfey@utexas.edu</t>
  </si>
  <si>
    <t>Omar Ghattas</t>
  </si>
  <si>
    <t>omar@ices.utexas.edu</t>
  </si>
  <si>
    <t>John Goodenough</t>
  </si>
  <si>
    <t>jgoodenough@mail.utexas.edu</t>
  </si>
  <si>
    <t>Advanced Materials Science and Engineering</t>
  </si>
  <si>
    <t>Advanced Materials Science , Engineering</t>
  </si>
  <si>
    <t>Derek Haas</t>
  </si>
  <si>
    <t>derekhaas@utexas.edu</t>
  </si>
  <si>
    <t>Nuclear and Radiation Engineering</t>
  </si>
  <si>
    <t>Nuclear , Radiation Engineering</t>
  </si>
  <si>
    <t>Michael Haberman</t>
  </si>
  <si>
    <t>haberman@utexas.edu</t>
  </si>
  <si>
    <t>Acoustics</t>
  </si>
  <si>
    <t>Matthew Hall</t>
  </si>
  <si>
    <t>mjhall@mail.utexas.edu</t>
  </si>
  <si>
    <t>Mark Hamilton</t>
  </si>
  <si>
    <t>hamilton@mail.utexas.edu</t>
  </si>
  <si>
    <t>John Hasenbein</t>
  </si>
  <si>
    <t>jhas@mail.utexas.edu</t>
  </si>
  <si>
    <t>Tanya Hutter</t>
  </si>
  <si>
    <t>tanya.hutter@utexas.edu</t>
  </si>
  <si>
    <t>Advanced Materials Science and Engineering, Biomechanical and Biomedicine Engineering, Nano and Micro-scale Engineering, Thermal Fluids Systems and Transport Phenomena</t>
  </si>
  <si>
    <t>Advanced Materials Science , Engineering, Biomechanical , Biomedicine Engineering, Nano , Micro-scale Engineering, Thermal Fluids Systems , Transport Phenomena</t>
  </si>
  <si>
    <t>Dale Klein</t>
  </si>
  <si>
    <t>dale.klein@mail.utexas.edu</t>
  </si>
  <si>
    <t>Desiderio Kovar</t>
  </si>
  <si>
    <t>dekovar@austin.utexas.edu</t>
  </si>
  <si>
    <t>Advanced Materials Science and Engineering, Nano and Micro-scale Engineering</t>
  </si>
  <si>
    <t>Advanced Materials Science , Engineering, Nano , Micro-scale Engineering</t>
  </si>
  <si>
    <t>Erhan Kutanoglu</t>
  </si>
  <si>
    <t>erhank@mail.utexas.edu</t>
  </si>
  <si>
    <t>Sheldon Landsberger</t>
  </si>
  <si>
    <t>s.landsberger@mail.utexas.edu</t>
  </si>
  <si>
    <t>Benjamin Leibowicz</t>
  </si>
  <si>
    <t>bleibowicz@utexas.edu</t>
  </si>
  <si>
    <t>Analytics and Probabilistic Modeling, Clean Energy Technology</t>
  </si>
  <si>
    <t>Analytics , Probabilistic Modeling, Clean Energy Technology</t>
  </si>
  <si>
    <t>Wei Li</t>
  </si>
  <si>
    <t>weiwli@austin.utexas.edu</t>
  </si>
  <si>
    <t>Advanced Design and Manufacturing, Biomechanical and Biomedicine Engineering, Nano and Micro-scale Engineering</t>
  </si>
  <si>
    <t>Advanced Design , Manufacturing, Biomechanical , Biomedicine Engineering, Nano , Micro-scale Engineering</t>
  </si>
  <si>
    <t>Yijin Liu</t>
  </si>
  <si>
    <t>yijin.liu@austin.utexas.edu</t>
  </si>
  <si>
    <t>Yuanyue Liu</t>
  </si>
  <si>
    <t>yuanyue.liu@austin.utexas.edu</t>
  </si>
  <si>
    <t>Raul Longoria</t>
  </si>
  <si>
    <t>r.longoria@mail.utexas.edu</t>
  </si>
  <si>
    <t>Filippo Mangolini</t>
  </si>
  <si>
    <t>filippo.mangolini@austin.utexas.edu</t>
  </si>
  <si>
    <t>Advanced Materials Science and Engineering, Clean Energy Technology, Complex Systems, Nano and Micro-scale Engineering</t>
  </si>
  <si>
    <t>Advanced Materials Science , Engineering, Clean Energy Technology, Complex Systems, Nano , Micro-scale Engineering</t>
  </si>
  <si>
    <t>Arumugam Manthiram</t>
  </si>
  <si>
    <t>rmanth@mail.utexas.edu</t>
  </si>
  <si>
    <t>Advanced Materials Science and Engineering, Clean Energy Technology</t>
  </si>
  <si>
    <t>Advanced Materials Science , Engineering, Clean Energy Technology</t>
  </si>
  <si>
    <t>Alexander Marras</t>
  </si>
  <si>
    <t>amarras@utexas.edu</t>
  </si>
  <si>
    <t>David Mitlin</t>
  </si>
  <si>
    <t>david.mitlin@austin.utexas.edu</t>
  </si>
  <si>
    <t>Advanced Materials Science and Engineering, Clean Energy Technology, Nano and Micro-scale Engineering</t>
  </si>
  <si>
    <t>Advanced Materials Science , Engineering, Clean Energy Technology, Nano , Micro-scale Engineering</t>
  </si>
  <si>
    <t>Robert Moser</t>
  </si>
  <si>
    <t>rmoser@mail.utexas.edu</t>
  </si>
  <si>
    <t>Richard Neptune</t>
  </si>
  <si>
    <t>rneptune@mail.utexas.edu</t>
  </si>
  <si>
    <t>Musculoskeletal modeling and simulation of human movement; biomechanics and neuromotor control; rehabilitation engineering; sports biomechanics and equipment design; prosthetic and orthotic design optimization</t>
  </si>
  <si>
    <t>Musculoskeletal modeling , simulation of human movement; biomechanics , neuromotor control; rehabilitation engineering; sports biomechanics , equipment design; prosthetic , orthotic design optimization</t>
  </si>
  <si>
    <t>M. Nichole Rylander</t>
  </si>
  <si>
    <t>mnr@austin.utexas.edu</t>
  </si>
  <si>
    <t>Chris Rylander</t>
  </si>
  <si>
    <t>cgr@austin.utexas.edu</t>
  </si>
  <si>
    <t>Multi-disciplinary elements of bioheat transfer; nanomedicine; biomedical optics; tissue regeneration; cancer engineering</t>
  </si>
  <si>
    <t>ccseepersad@mail.utexas.edu</t>
  </si>
  <si>
    <t>Anastasia Schauer</t>
  </si>
  <si>
    <t>anastasia.schauer@austin.utexas.edu</t>
  </si>
  <si>
    <t>Zhenghui Sha</t>
  </si>
  <si>
    <t>zsha@austin.utexas.edu</t>
  </si>
  <si>
    <t>Advanced Design and Manufacturing, Complex Systems</t>
  </si>
  <si>
    <t>Advanced Design , Manufacturing, Complex Systems</t>
  </si>
  <si>
    <t>Li Shi</t>
  </si>
  <si>
    <t>lishi@mail.utexas.edu</t>
  </si>
  <si>
    <t>Advanced Materials Science and Engineering, Clean Energy Technology, Nano and Micro-scale Engineering, Thermal Fluids Systems and Transport Phenomena</t>
  </si>
  <si>
    <t>Advanced Materials Science , Engineering, Clean Energy Technology, Nano , Micro-scale Engineering, Thermal Fluids Systems , Transport Phenomena</t>
  </si>
  <si>
    <r>
      <rPr>
        <sz val="10"/>
        <color rgb="FF000000"/>
        <rFont val="Arial"/>
        <family val="2"/>
      </rPr>
      <t xml:space="preserve">Chair - </t>
    </r>
    <r>
      <rPr>
        <u/>
        <sz val="10"/>
        <color rgb="FF000000"/>
        <rFont val="Arial"/>
        <family val="2"/>
      </rPr>
      <t>Donald Siegel</t>
    </r>
  </si>
  <si>
    <t>donald.siegel@austin.utexas.edu</t>
  </si>
  <si>
    <t>Advanced Materials Science and Engineering, Clean Energy Technology, Computational Engineering, Thermal Fluids Systems and Transport Phenomena</t>
  </si>
  <si>
    <t>Advanced Materials Science , Engineering, Clean Energy Technology, Computational Engineering, Thermal Fluids Systems , Transport Phenomena</t>
  </si>
  <si>
    <t>S.V. Sreenivasan</t>
  </si>
  <si>
    <t>sv.sreeni@mail.utexas.edu</t>
  </si>
  <si>
    <t>Venkat Subramanian</t>
  </si>
  <si>
    <t>venkat.subramanian@utexas.edu</t>
  </si>
  <si>
    <t>Advanced Materials Science and Engineering, Complex Systems</t>
  </si>
  <si>
    <t>Advanced Materials Science , Engineering, Complex Systems</t>
  </si>
  <si>
    <t>Eric Taleff</t>
  </si>
  <si>
    <t>taleff@mail.utexas.edu</t>
  </si>
  <si>
    <t>Maryam Tilton</t>
  </si>
  <si>
    <t>maryam.tilton@austin.utexas.edu</t>
  </si>
  <si>
    <t>Processing-microstructure-property relationships in light alloys; refractory metals; superalloys; hypereutectoid steels</t>
  </si>
  <si>
    <t>Yaguo Wang</t>
  </si>
  <si>
    <t>yaguo.wang@austin.utexas.edu</t>
  </si>
  <si>
    <t>Clean Energy Technology, Complex Systems, Thermal Fluids Systems and Transport Phenomena</t>
  </si>
  <si>
    <t>Clean Energy Technology, Complex Systems, Thermal Fluids Systems , Transport Phenomena</t>
  </si>
  <si>
    <t>Junmin Wang</t>
  </si>
  <si>
    <t>jwang@austin.utexas.edu</t>
  </si>
  <si>
    <t>Jamie Warner</t>
  </si>
  <si>
    <t>jamie.warner@austin.utexas.edu</t>
  </si>
  <si>
    <t>Michael Webber</t>
  </si>
  <si>
    <t>webber@mail.utexas.edu</t>
  </si>
  <si>
    <t>Clean Energy Technology</t>
  </si>
  <si>
    <t>Preston Wilson</t>
  </si>
  <si>
    <t>pswilson@mail.utexas.edu</t>
  </si>
  <si>
    <t>Fangzhou Xia</t>
  </si>
  <si>
    <t>fangzhou.xia@austin.utexas.edu</t>
  </si>
  <si>
    <t>Guihua Yu</t>
  </si>
  <si>
    <t>ghyu@austin.utexas.edu</t>
  </si>
  <si>
    <t>Elena Zannoni</t>
  </si>
  <si>
    <t>elena.zannoni@austin.utexas.edu</t>
  </si>
  <si>
    <t>Yuebing Zheng</t>
  </si>
  <si>
    <t>zheng@austin.utexas.edu</t>
  </si>
  <si>
    <t>Advanced Materials Science and Engineering, Biomechanical and Biomedicine Engineering, Clean Energy Technology, Nano and Micro-scale Engineering, Robotics and Intelligent Mechanical Systems, Thermal Fluids Systems and Transport Phenomena</t>
  </si>
  <si>
    <t>Advanced Materials Science , Engineering, Biomechanical , Biomedicine Engineering, Clean Energy Technology, Nano , Micro-scale Engineering, Robotics , Intelligent Mechanical Systems, Thermal Fluids Systems , Transport Phenomena</t>
  </si>
  <si>
    <t>Lei Zhou</t>
  </si>
  <si>
    <t>lzhou@utexas.edu</t>
  </si>
  <si>
    <t>Advanced Design and Manufacturing, Robotics and Intelligent Mechanical Systems</t>
  </si>
  <si>
    <t>Advanced Design , Manufacturing, Robotics , Intelligent Mechanical Systems</t>
  </si>
  <si>
    <t>Northwestern University (McCormick)</t>
  </si>
  <si>
    <t>Ange-Therese Akono</t>
  </si>
  <si>
    <t>ange-therese.akono@northwestern.edu</t>
  </si>
  <si>
    <t xml:space="preserve"> Micro/Nanoengineering, Biosystems and Health, Energy and Sustainability, AI and Design</t>
  </si>
  <si>
    <t xml:space="preserve"> Micro/Nanoengineering, Biosystems , Health, Energy , Sustainability, AI , Design</t>
  </si>
  <si>
    <t>McCormich School of Engineering | Mechanical Engineering</t>
  </si>
  <si>
    <t>Brenna Argall</t>
  </si>
  <si>
    <t>brenna.argall@northwestern.edu</t>
  </si>
  <si>
    <t xml:space="preserve"> Robotics and Autonomy, Biosystems and Health, AI and Design</t>
  </si>
  <si>
    <t xml:space="preserve"> Robotics , Autonomy, Biosystems , Health, AI , Design</t>
  </si>
  <si>
    <t>Oluwaseyi Balogun</t>
  </si>
  <si>
    <t>o-balogun@northwestern.edu</t>
  </si>
  <si>
    <t xml:space="preserve"> Micro/Nanoengineering, Biosystems and Health, Energy and Sustainability</t>
  </si>
  <si>
    <t xml:space="preserve"> Micro/Nanoengineering, Biosystems , Health, Energy , Sustainability</t>
  </si>
  <si>
    <t>#13 - Mechanical Engineering</t>
  </si>
  <si>
    <t>Zdeněk Bažant</t>
  </si>
  <si>
    <t>z-bazant@northwestern.edu</t>
  </si>
  <si>
    <t xml:space="preserve"> Micro/Nanoengineering, Fracture/Damage Mechanics, Probabilistic Models, Poromechanics, Sustainability</t>
  </si>
  <si>
    <t>#17 - Best Engineering Schools</t>
  </si>
  <si>
    <t>Jian Cao</t>
  </si>
  <si>
    <t>jcao@northwestern.edu</t>
  </si>
  <si>
    <t xml:space="preserve"> Advanced Manufacturing, Computational Engineering, AI and Design, Robotics and Autonomy</t>
  </si>
  <si>
    <t xml:space="preserve"> Advanced Manufacturing, Computational Engineering, AI , Design, Robotics , Autonomy</t>
  </si>
  <si>
    <r>
      <rPr>
        <sz val="10"/>
        <color rgb="FF000000"/>
        <rFont val="Arial"/>
        <family val="2"/>
      </rPr>
      <t xml:space="preserve">Chair - </t>
    </r>
    <r>
      <rPr>
        <u/>
        <sz val="10"/>
        <color rgb="FF000000"/>
        <rFont val="Arial"/>
        <family val="2"/>
      </rPr>
      <t>Wei Chen</t>
    </r>
  </si>
  <si>
    <t>weichen@northwestern.edu</t>
  </si>
  <si>
    <t xml:space="preserve"> AI and Design, Computational Engineering, Advanced Manufacturing, Micro/Nanoengineering</t>
  </si>
  <si>
    <t xml:space="preserve"> AI , Design, Computational Engineering, Advanced Manufacturing, Micro/Nanoengineering</t>
  </si>
  <si>
    <t>Yip-Wah Chung</t>
  </si>
  <si>
    <t>ywchung@northwestern.edu</t>
  </si>
  <si>
    <t xml:space="preserve"> Micro/Nanoengineering, Advanced Manufacturing</t>
  </si>
  <si>
    <t>J. Edward Colgate</t>
  </si>
  <si>
    <t>colgate@northwestern.edu</t>
  </si>
  <si>
    <t xml:space="preserve"> Robotics and Autonomy, AI and Design, Advanced Manufacturing</t>
  </si>
  <si>
    <t xml:space="preserve"> Robotics , Autonomy, AI , Design, Advanced Manufacturing</t>
  </si>
  <si>
    <t>Gianluca Cusatis</t>
  </si>
  <si>
    <t>g-cusatis@northwestern.edu</t>
  </si>
  <si>
    <t xml:space="preserve"> Computational Engineering, Advanced Manufacturing, Energy and Sustainability</t>
  </si>
  <si>
    <t xml:space="preserve"> Computational Engineering, Advanced Manufacturing, Energy , Sustainability</t>
  </si>
  <si>
    <t>Jennifer Dunn</t>
  </si>
  <si>
    <t>jennifer.dunn1@northwestern.edu</t>
  </si>
  <si>
    <t xml:space="preserve">  Energy and Sustainability</t>
  </si>
  <si>
    <t xml:space="preserve">  Energy , Sustainability</t>
  </si>
  <si>
    <t>Horacio Espinosa</t>
  </si>
  <si>
    <t>espinosa@northwestern.edu</t>
  </si>
  <si>
    <t xml:space="preserve"> Micro/Nanoengineering, Biosystems and Health, AI and Design, Computational Engineering</t>
  </si>
  <si>
    <t xml:space="preserve"> Micro/Nanoengineering, Biosystems , Health, AI , Design, Computational Engineering</t>
  </si>
  <si>
    <t>Steven Gard</t>
  </si>
  <si>
    <t>sgard@northwestern.edu</t>
  </si>
  <si>
    <t xml:space="preserve"> Biosystems and Health, Prosthesis/orthosis design and evaluation, Gait biomechanics</t>
  </si>
  <si>
    <t xml:space="preserve"> Biosystems , Health, Prosthesis/orthosis design , evaluation, Gait biomechanics</t>
  </si>
  <si>
    <t>$62,163 per year (full-time)</t>
  </si>
  <si>
    <t>Elizabeth Gerber</t>
  </si>
  <si>
    <t>egerber@northwestern.edu</t>
  </si>
  <si>
    <t xml:space="preserve"> AI and Design</t>
  </si>
  <si>
    <t xml:space="preserve"> AI , Design</t>
  </si>
  <si>
    <t>SandiPGhosal</t>
  </si>
  <si>
    <t>s-ghosal@northwestern.edu</t>
  </si>
  <si>
    <t xml:space="preserve"> Micro/Nanoengineering, Computational Engineering, Energy and Sustainability</t>
  </si>
  <si>
    <t xml:space="preserve"> Micro/Nanoengineering, Computational Engineering, Energy , Sustainability</t>
  </si>
  <si>
    <t>Ping Guo</t>
  </si>
  <si>
    <t>ping.guo@northwestern.edu</t>
  </si>
  <si>
    <t xml:space="preserve"> Advanced Manufacturing, Micro/Nanoengineering, Robotics and Autonomy</t>
  </si>
  <si>
    <t xml:space="preserve"> Advanced Manufacturing, Micro/Nanoengineering, Robotics , Autonomy</t>
  </si>
  <si>
    <t>Mitra Hartmann</t>
  </si>
  <si>
    <t>m-hartmann@northwestern.edu</t>
  </si>
  <si>
    <t>Yonggang Huang</t>
  </si>
  <si>
    <t>y-huang@northwestern.edu</t>
  </si>
  <si>
    <t xml:space="preserve"> Computational Engineering, Biosystems and Health, Micro/Nanoengineering</t>
  </si>
  <si>
    <t xml:space="preserve"> Computational Engineering, Biosystems , Health, Micro/Nanoengineering</t>
  </si>
  <si>
    <t>Mark Johnson</t>
  </si>
  <si>
    <t>m-johnson2@northwestern.edu</t>
  </si>
  <si>
    <t xml:space="preserve"> Biosystems and Health, Micro/Nanoengineering</t>
  </si>
  <si>
    <t xml:space="preserve"> Biosystems , Health, Micro/Nanoengineering</t>
  </si>
  <si>
    <t>Sinan Keten</t>
  </si>
  <si>
    <t>s-keten@northwestern.edu</t>
  </si>
  <si>
    <t xml:space="preserve"> Computational Engineering, Micro/Nanoengineering, AI and Design, Biosystems and Health</t>
  </si>
  <si>
    <t xml:space="preserve"> Computational Engineering, Micro/Nanoengineering, AI , Design, Biosystems , Health</t>
  </si>
  <si>
    <t>Junsoo Kim</t>
  </si>
  <si>
    <t>junsoo.kim@northwestern.edu</t>
  </si>
  <si>
    <t>Micro/Nanoengineering, Advanced Manufacturing</t>
  </si>
  <si>
    <t>Sam Kriegman</t>
  </si>
  <si>
    <t>sam.kriegman@northwestern.edu</t>
  </si>
  <si>
    <t xml:space="preserve">  AI and Design, Computational Engineering, Biosystems and Health, Robotics and Autonomy</t>
  </si>
  <si>
    <t xml:space="preserve">  AI , Design, Computational Engineering, Biosystems , Health, Robotics , Autonomy</t>
  </si>
  <si>
    <t>Sridhar Krishnaswamy</t>
  </si>
  <si>
    <t>s-krishnaswamy@northwestern.edu</t>
  </si>
  <si>
    <t xml:space="preserve"> Micro/Nanoengineering, Advanced Manufacturing, AI and Design, Computational Engineering</t>
  </si>
  <si>
    <t xml:space="preserve"> Micro/Nanoengineering, Advanced Manufacturing, AI , Design, Computational Engineering</t>
  </si>
  <si>
    <t>Seth Lichter</t>
  </si>
  <si>
    <t>s-lichter@northwestern.edu</t>
  </si>
  <si>
    <t xml:space="preserve"> Micro/Nanoengineering, Energy and Sustainability, Computational Engineering</t>
  </si>
  <si>
    <t xml:space="preserve"> Micro/Nanoengineering, Energy , Sustainability, Computational Engineering</t>
  </si>
  <si>
    <t>Wing Liu</t>
  </si>
  <si>
    <t>w-liu@northwestern.edu</t>
  </si>
  <si>
    <t xml:space="preserve"> Computational Engineering, AI and Design, Advanced Manufacturing</t>
  </si>
  <si>
    <t xml:space="preserve"> Computational Engineering, AI , Design, Advanced Manufacturing</t>
  </si>
  <si>
    <t>Richard Lueptow</t>
  </si>
  <si>
    <t>r-lueptow@northwestern.edu</t>
  </si>
  <si>
    <t xml:space="preserve"> Energy and Sustainability, Micro/Nanoengineering</t>
  </si>
  <si>
    <t xml:space="preserve"> Energy , Sustainability, Micro/Nanoengineering</t>
  </si>
  <si>
    <t>Kevin Lynch</t>
  </si>
  <si>
    <t>kmlynch@northwestern.edu</t>
  </si>
  <si>
    <t xml:space="preserve"> Robotics and Autonomy, Biosystems and Health, AI and Design, Advanced Manufacturing</t>
  </si>
  <si>
    <t xml:space="preserve"> Robotics , Autonomy, Biosystems , Health, AI , Design, Advanced Manufacturing</t>
  </si>
  <si>
    <t>Malcolm MacIver</t>
  </si>
  <si>
    <t>maciver@northwestern.edu</t>
  </si>
  <si>
    <t>Michael Miksis</t>
  </si>
  <si>
    <t>miksis@northwestern.edu</t>
  </si>
  <si>
    <t xml:space="preserve"> Micro/Nanoengineering, Computational Engineering, Biosystems and Health</t>
  </si>
  <si>
    <t xml:space="preserve"> Micro/Nanoengineering, Computational Engineering, Biosystems , Health</t>
  </si>
  <si>
    <t>Todd Murphey</t>
  </si>
  <si>
    <t>t-murphey@northwestern.edu</t>
  </si>
  <si>
    <t>Julio Ottino</t>
  </si>
  <si>
    <t>jm-ottino@northwestern.edu</t>
  </si>
  <si>
    <t xml:space="preserve"> Computational Engineering, Advanced Manufacturing, AI and Design, Energy and Sustainability</t>
  </si>
  <si>
    <t xml:space="preserve"> Computational Engineering, Advanced Manufacturing, AI , Design, Energy , Sustainability</t>
  </si>
  <si>
    <t>Aaron Packman</t>
  </si>
  <si>
    <t>a-packman@northwestern.edu</t>
  </si>
  <si>
    <t xml:space="preserve"> Energy and Sustainability, Biosystems and Health, Advanced Manufacturing</t>
  </si>
  <si>
    <t xml:space="preserve"> Energy , Sustainability, Biosystems , Health, Advanced Manufacturing</t>
  </si>
  <si>
    <t>K.-C Kenneth Park</t>
  </si>
  <si>
    <t>kpark@northwestern.edu</t>
  </si>
  <si>
    <t xml:space="preserve"> Energy and Sustainability, Micro/Nanoengineering, Biosystems and Health, Advanced Manufacturing</t>
  </si>
  <si>
    <t xml:space="preserve"> Energy , Sustainability, Micro/Nanoengineering, Biosystems , Health, Advanced Manufacturing</t>
  </si>
  <si>
    <t>Neelesh Patankar</t>
  </si>
  <si>
    <t>n-patankar@northwestern.edu</t>
  </si>
  <si>
    <t xml:space="preserve"> Computational Engineering, Biosystems and Health, Energy and Sustainability, Micro/Nanoengineering</t>
  </si>
  <si>
    <t xml:space="preserve"> Computational Engineering, Biosystems , Health, Energy , Sustainability, Micro/Nanoengineering</t>
  </si>
  <si>
    <t>Michael Peshkin</t>
  </si>
  <si>
    <t>peshkin@northwestern.edu</t>
  </si>
  <si>
    <t xml:space="preserve"> Robotics and Autonomy, AI and Design, Biosystems and Health</t>
  </si>
  <si>
    <t xml:space="preserve"> Robotics , Autonomy, AI , Design, Biosystems , Health</t>
  </si>
  <si>
    <t>Jose Pons</t>
  </si>
  <si>
    <t>jpons@ric.org</t>
  </si>
  <si>
    <t>John Rogers</t>
  </si>
  <si>
    <t>jrogers@northwestern.edu</t>
  </si>
  <si>
    <t xml:space="preserve"> Biosystems and Health, Micro/Nanoengineering, Advanced Manufacturing, Robotics and Autonomy</t>
  </si>
  <si>
    <t xml:space="preserve"> Biosystems , Health, Micro/Nanoengineering, Advanced Manufacturing, Robotics , Autonomy</t>
  </si>
  <si>
    <t>Michael Rubenstein</t>
  </si>
  <si>
    <t>rubenstein@northwestern.edu</t>
  </si>
  <si>
    <t xml:space="preserve"> Robotics and Autonomy, AI and Design, Advanced Manufacturing, Micro/Nanoengineering</t>
  </si>
  <si>
    <t xml:space="preserve"> Robotics , Autonomy, AI , Design, Advanced Manufacturing, Micro/Nanoengineering</t>
  </si>
  <si>
    <t>John Rudnicki</t>
  </si>
  <si>
    <t>jwrudn@northwestern.edu</t>
  </si>
  <si>
    <t xml:space="preserve"> Energy and Sustainability, Computational Engineering</t>
  </si>
  <si>
    <t xml:space="preserve"> Energy , Sustainability, Computational Engineering</t>
  </si>
  <si>
    <t>Cheng Sun</t>
  </si>
  <si>
    <t>c-sun@northwestern.edu</t>
  </si>
  <si>
    <t xml:space="preserve"> Advanced Manufacturing, Micro/Nanoengineering, Biosystems and Health, AI and Design</t>
  </si>
  <si>
    <t xml:space="preserve"> Advanced Manufacturing, Micro/Nanoengineering, Biosystems , Health, AI , Design</t>
  </si>
  <si>
    <t>Tao Sun</t>
  </si>
  <si>
    <t>taosun@northwestern.edu</t>
  </si>
  <si>
    <t xml:space="preserve"> Advanced Manufacturing, AI and Design, Micro/Nanoengineering,Computational Engineering</t>
  </si>
  <si>
    <t xml:space="preserve"> Advanced Manufacturing, AI , Design, Micro/Nanoengineering,Computational Engineering</t>
  </si>
  <si>
    <t>Ryan Truby</t>
  </si>
  <si>
    <t>rtruby@northwestern.edu</t>
  </si>
  <si>
    <t xml:space="preserve"> Robotics and Autonomy, Advanced Manufacturing, AI and Design, Biosystems and Health</t>
  </si>
  <si>
    <t xml:space="preserve"> Robotics , Autonomy, Advanced Manufacturing, AI , Design, Biosystems , Health</t>
  </si>
  <si>
    <t>Petia Vlahovska</t>
  </si>
  <si>
    <t>petia.vlahovska@northwestern.edu</t>
  </si>
  <si>
    <t xml:space="preserve"> Micro/Nanoengineering, Biosystems and Health, Robotics and Autonomy, Advanced Manufacturing</t>
  </si>
  <si>
    <t xml:space="preserve"> Micro/Nanoengineering, Biosystems , Health, Robotics , Autonomy, Advanced Manufacturing</t>
  </si>
  <si>
    <t>Gregory Wagner</t>
  </si>
  <si>
    <t>gregory.wagner@northwestern.edu</t>
  </si>
  <si>
    <t xml:space="preserve"> Computational Engineering, Advanced Manufacturing, Biosystems and Health</t>
  </si>
  <si>
    <t xml:space="preserve"> Computational Engineering, Advanced Manufacturing, Biosystems , Health</t>
  </si>
  <si>
    <t>Q. Jane Wang</t>
  </si>
  <si>
    <t>qwang@northwestern.edu</t>
  </si>
  <si>
    <t xml:space="preserve"> Energy and Sustainability, Computational Engineering, Micro/Nanoengineering, AI and Design</t>
  </si>
  <si>
    <t xml:space="preserve"> Energy , Sustainability, Computational Engineering, Micro/Nanoengineering, AI , Design</t>
  </si>
  <si>
    <t>Michael Beltran</t>
  </si>
  <si>
    <t>mbeltran@northwestern.edu</t>
  </si>
  <si>
    <t>Nicholas Marchuk</t>
  </si>
  <si>
    <t>nick.marchuk@u.northwestern.edu</t>
  </si>
  <si>
    <t>Johns Hopkins University (Whiting)</t>
  </si>
  <si>
    <t>Ishan Barman</t>
  </si>
  <si>
    <t>IBARMAN@JHU.EDU</t>
  </si>
  <si>
    <t>Spectroscopy, Biomedical Optic, Biosensors</t>
  </si>
  <si>
    <t>Whiting School of Engineering | Department of Mechanical Engineering</t>
  </si>
  <si>
    <t>James Bellingham</t>
  </si>
  <si>
    <t>JBELLINGHAM@JHU.EDU</t>
  </si>
  <si>
    <t>Jim Bellingham, a pioneer in the worldwide autonomous marine robotics field who has led research expeditions from the Arctic to the Antarctic</t>
  </si>
  <si>
    <t>expeditions from the Arctic to the Antarctic</t>
  </si>
  <si>
    <t>Jeremy Brown</t>
  </si>
  <si>
    <t>JDELAINEBROWN@JHU.EDU</t>
  </si>
  <si>
    <t>Haptic feedback, Upper-limb prosthetics, Surgical robotics, Rehabilitation robotics, Human-machine interaction</t>
  </si>
  <si>
    <t>#14 - Mechanical Engineering</t>
  </si>
  <si>
    <t>Yun Chen</t>
  </si>
  <si>
    <t>YUN.CHEN@JHU.EDU</t>
  </si>
  <si>
    <t>Cell Mechanics, Biophysical properties of cancer microenvironment, Mechanosignaling pathways, Drug delivery, Bioenergetics in mitochondria</t>
  </si>
  <si>
    <t>#14 - Best Engineering Schools</t>
  </si>
  <si>
    <t>Noah Cowan</t>
  </si>
  <si>
    <t>NCOWAN@JHU.EDU</t>
  </si>
  <si>
    <t>Neuromechanics, Robotics, Neuroscience, Locomotion, Motor control</t>
  </si>
  <si>
    <t>Jaafar El-Awady</t>
  </si>
  <si>
    <t>JELAWADY@JHU.EDU</t>
  </si>
  <si>
    <t>Dislocation Dynamics, Dislocations, Nanomechanics, Mechanical Behavior, Solid Mechanics</t>
  </si>
  <si>
    <t>Dennice Gayme</t>
  </si>
  <si>
    <t>DENNICE@JHU.EDU</t>
  </si>
  <si>
    <t>Wall Bounded Turbulent Flow, Wind Farm Modeling and Control, Stability and Performance Networks, Grid Integration of Renewable Energy Sources</t>
  </si>
  <si>
    <t>Wall Bounded Turbulent Flow, Wind Farm Modeling , Control, Stability , Performance Networks, Grid Integration of Renewable Energy Sources</t>
  </si>
  <si>
    <t>Kevin Hemker</t>
  </si>
  <si>
    <t>HEMKER@JHU.EDU</t>
  </si>
  <si>
    <t>Materials science and engineering, Materials characterization, Architected materials3D materials</t>
  </si>
  <si>
    <t>Materials science , engineering, Materials characterization, Architected materials3D materials</t>
  </si>
  <si>
    <t>Soojung Claire Hur</t>
  </si>
  <si>
    <t>SCHUR@JHU.EDU</t>
  </si>
  <si>
    <t>Nano, Bio, Technology</t>
  </si>
  <si>
    <t>Ryan Hurley</t>
  </si>
  <si>
    <t>RHURLEY6@JHU.EDU</t>
  </si>
  <si>
    <t>Mechanical behavior and failure mechanisms of granular materials, concrete, and ceramics, In-situ x-ray imaging and diffraction, Dynamic failure mechanism, Wave propagation</t>
  </si>
  <si>
    <t>Mechanical behavior , failure mechanisms of granular materials, concrete, ceramics, In-situ x-ray imaging , diffraction, Dynamic failure mechanism, Wave propagation</t>
  </si>
  <si>
    <t>Sung Hoon Kang</t>
  </si>
  <si>
    <t>SHKANG@JHU.EDU</t>
  </si>
  <si>
    <t>Bio-inspired engineering, Mechanics of materials and structure, Architected materials</t>
  </si>
  <si>
    <t>Bio-inspired engineering, Mechanics of materials , structure, Architected materials</t>
  </si>
  <si>
    <t>Joseph Katz</t>
  </si>
  <si>
    <t>KATZ@JHU.EDU</t>
  </si>
  <si>
    <t>Experimental fluid mechanics, Cavitation phenomena and multiphase flow, Turbulence, Optical flow diagnostics techniques</t>
  </si>
  <si>
    <t>Experimental fluid mechanics, Cavitation phenomena , multiphase flow, Turbulence, Optical flow diagnostics techniques</t>
  </si>
  <si>
    <t>$60,480 per year (full-time)</t>
  </si>
  <si>
    <t>Marin Kobilarov</t>
  </si>
  <si>
    <t>MARIN@JHU.EDU</t>
  </si>
  <si>
    <t>Intelligent robotic vehicles, Dynamics and control of mechanical systems</t>
  </si>
  <si>
    <t>Intelligent robotic vehicles, Dynamics , control of mechanical systems</t>
  </si>
  <si>
    <t>David Kraemer</t>
  </si>
  <si>
    <t>DKRAEME3@JHU.EDU</t>
  </si>
  <si>
    <t>Fluid-structure interaction, Dynamic systems, Ocean wave energy conversion, Engineering pedagogy</t>
  </si>
  <si>
    <t>Associate CP1</t>
  </si>
  <si>
    <t>Axel Krieger</t>
  </si>
  <si>
    <t>AXEL@JHU.EDU</t>
  </si>
  <si>
    <t>Novel tools, image guidance, and robot control techniques for medical robotics</t>
  </si>
  <si>
    <t>Novel tools, image guidance, robot control techniques for medical robotics</t>
  </si>
  <si>
    <t>Chen Li</t>
  </si>
  <si>
    <t>CHEN.LI@JHU.EDU</t>
  </si>
  <si>
    <t>Terradynamics, Locomotion, Biorobotics, Robophysics, Biomechanics</t>
  </si>
  <si>
    <t>Julie Lundquist (D)</t>
  </si>
  <si>
    <t>julie.lundquist@jhu.edu</t>
  </si>
  <si>
    <t>Atmospheric science and wind Energy  Wind energy  Large-eddy simulation  Numerical weather prediction  Turbulence  Atmosphere-ocean coupling</t>
  </si>
  <si>
    <t>Steven Marra</t>
  </si>
  <si>
    <t>MARRA@JHU.EDU</t>
  </si>
  <si>
    <t>Mechanical engineering undergraduate curriculum, Undergraduate laboratories, Mechanical design, Biomechanics</t>
  </si>
  <si>
    <t>Charles Meneveau</t>
  </si>
  <si>
    <t>MENEVEAU@JHU.EDU</t>
  </si>
  <si>
    <t>Large eddy simulation, Turbulence research and modeling, Fractals, Fluid flow processes, Wind energy, Environmental transport, Wall-bounded flows</t>
  </si>
  <si>
    <t>Large eddy simulation, Turbulence research , modeling, Fractals, Fluid flow processes, Wind energy, Environmental transport, Wall-bounded flows</t>
  </si>
  <si>
    <t>Jill Middendorf</t>
  </si>
  <si>
    <t>JMIDDEN1@JHU.EDU</t>
  </si>
  <si>
    <t>Biomechanics, Buckling, Failure Mechanics, Tissue Engineering</t>
  </si>
  <si>
    <t>Rajat Mittal</t>
  </si>
  <si>
    <t>MITTAL@JHU.EDU</t>
  </si>
  <si>
    <t>Computational fluid dynamics, Biomedical flows, Active flow control, Immersed Boundary Methods, Fluid dynamics of locomotion</t>
  </si>
  <si>
    <t>Alissa Murphy</t>
  </si>
  <si>
    <t>ALISSA@JHU.EDU</t>
  </si>
  <si>
    <t>Joseph Moore</t>
  </si>
  <si>
    <t>jlmoore@jhu.edu</t>
  </si>
  <si>
    <t>Dr. Moore’s research explores methods at the intersection of computational control, computational physics, and machine learning to enable robust, highly-agile robotic systems that can operate in complex, real-world environments.</t>
  </si>
  <si>
    <t>Thao (Vicky) Nguyen</t>
  </si>
  <si>
    <t>VICKY.NGUYEN@JHU.EDU</t>
  </si>
  <si>
    <t>Biomechanics, Polymers, Soft Active Material, Fracture Mechanics</t>
  </si>
  <si>
    <t>Rui Ni</t>
  </si>
  <si>
    <t>RUI.NI@JHU.EDU</t>
  </si>
  <si>
    <t>Experimental fluid mechanics, Turbulence and turbulent multiphase flow, Dusty flow and particle-laden flow, Environmental fluid dynamics, Physiological flow</t>
  </si>
  <si>
    <t>Experimental fluid mechanics, Turbulence , turbulent multiphase flow, Dusty flow , particle-laden flow, Environmental fluid dynamics, Physiological flow</t>
  </si>
  <si>
    <t>Kaliat (K.T.) Ramesh</t>
  </si>
  <si>
    <t>RAMESH@JHU.EDU</t>
  </si>
  <si>
    <t>Materials in extreme conditions, Impact mechanics, Planetary impact, Astrobiology and planetary protection, Injury biomechanics, Hypervelocity impact and hypersonics, AI in mechanics and materials</t>
  </si>
  <si>
    <t>Materials in extreme conditions, Impact mechanics, Planetary impact, Astrobiology , planetary protection, Injury biomechanics, Hypervelocity impact , hypersonics, AI in mechanics , materials</t>
  </si>
  <si>
    <t>Sean Sun</t>
  </si>
  <si>
    <t>SSUN@JHU.EDU</t>
  </si>
  <si>
    <t>Mechanobiology of the cell, Cell mechanics and Cell migration, Physiological Systems, Quantitative Cell Biology, Biomechanics and Biophysics</t>
  </si>
  <si>
    <t>Mechanobiology of the cell, Cell mechanics , Cell migration, Physiological Systems, Quantitative Cell Biology, Biomechanics , Biophysics</t>
  </si>
  <si>
    <r>
      <rPr>
        <sz val="10"/>
        <color rgb="FF000000"/>
        <rFont val="Arial"/>
        <family val="2"/>
      </rPr>
      <t xml:space="preserve">Head - </t>
    </r>
    <r>
      <rPr>
        <u/>
        <sz val="10"/>
        <color rgb="FF000000"/>
        <rFont val="Arial"/>
        <family val="2"/>
      </rPr>
      <t>Gretar Tryggvason</t>
    </r>
  </si>
  <si>
    <t>GTRYGGV1@JHU.EDU</t>
  </si>
  <si>
    <t>Computational fluid dynamics, Numerical methods</t>
  </si>
  <si>
    <t>Tza-Huei (Jeff) Wang</t>
  </si>
  <si>
    <t>THWANG@JHU.EDU</t>
  </si>
  <si>
    <t>Bio, MEMS and microfluidics, Single molecule manipulation and detection, Nano/micro scale fabrication, Conformational dynamics of biomolecules</t>
  </si>
  <si>
    <t>Bio, MEMS , microfluidics, Single molecule manipulation , detection, Nano/micro scale fabrication, Conformational dynamics of biomolecules</t>
  </si>
  <si>
    <t>Shinuo Weng</t>
  </si>
  <si>
    <t>s.weng@jhu.edu</t>
  </si>
  <si>
    <t>Multiscale mechanobiology  Tissue morphogenesis  Collective cell movement  Cell-cell and cell-ECM interactions</t>
  </si>
  <si>
    <t>Louis Whitcomb</t>
  </si>
  <si>
    <t>LLW@JHU.EDU</t>
  </si>
  <si>
    <t>Control Systems, Underwater Robotics, Industrial and Medical Robotics</t>
  </si>
  <si>
    <t>Control Systems, Underwater Robotics, Industrial , Medical Robotics</t>
  </si>
  <si>
    <t>Tamer Zaki</t>
  </si>
  <si>
    <t>T.ZAKI@JHU.EDU</t>
  </si>
  <si>
    <t>Transitional and turbulent shear flows, Two-fluid shear flows, Turbulence</t>
  </si>
  <si>
    <t>Transitional , turbulent shear flows, Two-fluid shear flows, Turbulence</t>
  </si>
  <si>
    <t>Texas A&amp;M University--College Station</t>
  </si>
  <si>
    <r>
      <rPr>
        <sz val="10"/>
        <color rgb="FF000000"/>
        <rFont val="Arial"/>
        <family val="2"/>
      </rPr>
      <t xml:space="preserve">Head - </t>
    </r>
    <r>
      <rPr>
        <u/>
        <sz val="10"/>
        <color rgb="FF000000"/>
        <rFont val="Arial"/>
        <family val="2"/>
      </rPr>
      <t>Guillermo Aguilar</t>
    </r>
  </si>
  <si>
    <t>tamu-me-Head@tamu.edu</t>
  </si>
  <si>
    <t>Cryogenic spray cooling
Laser-tissue interactions
Biomedical optics
Medical lasers</t>
  </si>
  <si>
    <t>Cryogenic spray cooling
,Laser-tissue interactions
,Biomedical optics
,Medical lasers</t>
  </si>
  <si>
    <t>Mechanical Engineering | Texas A&amp;M University Engineering</t>
  </si>
  <si>
    <t>Douglas Allaire</t>
  </si>
  <si>
    <t>dallaire@tamu.edu</t>
  </si>
  <si>
    <t>Multidisciplinary design optimization
Bayesian optimization
Multifidelity methods
Uncertainty quantification
Machine learning
Design of materials
Predictive and prescriptive analytics</t>
  </si>
  <si>
    <t>Multidisciplinary design optimization
,Bayesian optimization
,Multifidelity methods
,Uncertainty quantification
,Machine learning
,Design of materials
Predictive , prescriptive analytics</t>
  </si>
  <si>
    <t>Robert Ambrose</t>
  </si>
  <si>
    <t>rambrose@tamu.edu</t>
  </si>
  <si>
    <t>Robot Manipulation
Robot Mobility
Wearable Robotics
Electro Mechanical System Design</t>
  </si>
  <si>
    <t>Robot Manipulation
,Robot Mobility
,Wearable Robotics
,Electro Mechanical System Design</t>
  </si>
  <si>
    <t>Ahmad Amiri</t>
  </si>
  <si>
    <t>Ahmadamiri@tamu.edu</t>
  </si>
  <si>
    <t>Energy materials, nanomaterial synthesis, and characterization
Energy Storage
Tribology
Dispersion, rheology, &amp; dynamics of colloidal nanomaterials
Nanocomposite</t>
  </si>
  <si>
    <t>Energy materials, nanomaterial synthesis, characterization
,Energy Storage
,Tribology
,Dispersion, rheology, &amp; dynamics of colloidal nanomaterials
,Nanocomposite</t>
  </si>
  <si>
    <t>#10 - Best Engineering Schools</t>
  </si>
  <si>
    <t>N.K. Anand</t>
  </si>
  <si>
    <t>nkanand@tamu.edu</t>
  </si>
  <si>
    <t>Numerical heat transfer and fluid flow
Numerical techniques
Aerosols
Condensation heat transfer.</t>
  </si>
  <si>
    <t>Numerical heat transfer , fluid flow
,Numerical techniques
,Aerosols
,Condensation heat transfer,</t>
  </si>
  <si>
    <t>Mohsen Taheri Andani</t>
  </si>
  <si>
    <t>mtaheri@tamu.edu</t>
  </si>
  <si>
    <t>Processing-Structure-Properties Relationships of Advanced Materials
Additive Manufacturing
Physical &amp; Mechanical Metallurgy
Mechanical Behavior of Materials</t>
  </si>
  <si>
    <t>Processing-Structure-Properties Relationships of Advanced Materials
,Additive Manufacturing
,Physical &amp; Mechanical Metallurgy
,Mechanical Behavior of Materials</t>
  </si>
  <si>
    <t>Dion S. Antao</t>
  </si>
  <si>
    <t>dantao@tamu.edu</t>
  </si>
  <si>
    <t>Nano-to-macroscale heat transfer, fluid dynamics and interfacial phenomena
Two-phase flow and heat transfer in energy systems (thermo-electric power generation, thermal management for electronics, motors and energy conversion systems) and for water purification
Quality and durability of low surface energy materials/coatings for phase-change heat transfer enhancement in extreme environments
Plasma discharges in different phases for optical diagnostics (liquid-vapor phase-change heat transfer), modifying brittle materials, materials recovery, and fluid treatment</t>
  </si>
  <si>
    <t>Nano-to-macroscale heat transfer, fluid dynamics , interfacial phenomena
,Two-phase flow , heat transfer in energy systems (thermo-electric power generation, thermal management for electronics, motors , energy conversion systems) , for water purification
,Quality , durability of low surface energy materials/coatings for phase-change heat transfer enhancement in extreme environments
,Plasma discharges in different phases for optical diagnostics , modifying brittle materials, materials recovery, fluid treatment</t>
  </si>
  <si>
    <t>Mark Balas</t>
  </si>
  <si>
    <t>mbalas@tamu.edu</t>
  </si>
  <si>
    <t>Shadi Balawi</t>
  </si>
  <si>
    <t>sbalawi@tamu.edu</t>
  </si>
  <si>
    <t>Engineering Mechanics, Honeycomb Structures, Metallic Sandwich Panels Manufacturing, Theoretical Modeling, Experimental Static and Dynamic Testing of Discrete Materials and Structures, Engineering Design for Disciplinary STEM Educational Research</t>
  </si>
  <si>
    <t>Engineering Mechanics, Honeycomb Structures, Metallic S,wich Panels Manufacturing, Theoretical Modeling, Experimental Static , Dynamic Testing of Discrete Materials , Structures, Engineering Design for Disciplinary STEM Educational Research</t>
  </si>
  <si>
    <t>Arkasama Bandyopadhyay</t>
  </si>
  <si>
    <t>arkasama@tamu.edu</t>
  </si>
  <si>
    <t>Distributed energy systems
Building energy systems
Ground source heat pumPsystems
Residential demand response
Sustainability
Engineering education</t>
  </si>
  <si>
    <t>Distributed energy systems
,Building energy systems
,Ground source heat pumPsystems
,Residential dem, response
,Sustainability
,Engineering education</t>
  </si>
  <si>
    <t>Debjyoti Banerjee</t>
  </si>
  <si>
    <t>dbanerjee@tamu.edu</t>
  </si>
  <si>
    <t>Thermo-Fluidics (multi-phase flows, boiling-condensation, thermal management), micro/ nano-technology (nano/micro/bio-sensors, MEMS, nanolithography/ DPN, nanosynthesis), nanofluids (complex fluids), nano-calorimeter (explosives sensing), phase change materials (PCM)/ energy-water nexus, energy storage, solar power, numerical simulations (lumped/ network models, Finite Elements Analyses/ FEA, Computational Fluids/ Heat Transfer CFD/CHT, Molecular Dynamics/ MD, soft computing Artificial Intelligence/ AI and Machine Learning/ ML).</t>
  </si>
  <si>
    <t>Thermo-Fluidics (multi-phase flows, boiling-condensation, thermal management), micro/ nano-technology (nano/micro/bio-sensors, MEMS, nanolithography/ DPN, nanosynthesis), nanofluids (complex fluids), nano-calorimeter (explosives sensing), phase change materials (PCM)/ energy-water nexus, energy storage, solar power, numerical simulations (lumped/ network models, Finite Elements Analyses/ FEA, Computational Fluids/ Heat Transfer CFD/CHT, Molecular Dynamics/ MD, soft computing Artificial Intelligence/ AI , Machine Learning/ ML),</t>
  </si>
  <si>
    <t>Chandler Benjamin</t>
  </si>
  <si>
    <t>ccbenjamin@tamu.edu</t>
  </si>
  <si>
    <t>Dr. Benjamin studies continuum mechanics and it’s applications to soft materials. In particular, Dr. Benjamin is interested in the rheology of complex-fluids, polymeric fluids and the mechanical behavior of soft biological tissues. His lab's current project involve the study of the initiation and propagation of aortic dissection and the rheological characterization of stimuli-responsive hydrogels.</t>
  </si>
  <si>
    <t>mechanics,applications to soft materials</t>
  </si>
  <si>
    <t>$287 per credit (in-state, full-time)</t>
  </si>
  <si>
    <t>Iman Borazjani</t>
  </si>
  <si>
    <t>iman@tamu.edu</t>
  </si>
  <si>
    <t>Computational fluid dynamics (CFD)
Fluid-structure interaction (FSI)
High-performance computing
Biofluids and cardiovascular flows
bio-inspired propulsion
Image analysis and geometry reconstruction for CFD</t>
  </si>
  <si>
    <t>Computational fluid dynamics (CFD)
,Fluid-structure interaction (FSI)
,High-performance computing
,Biofluids , cardiovascular flows
,bio-inspired propulsion
,Image analysis , geometry reconstruction for CFD</t>
  </si>
  <si>
    <t>Ploy Charoenphol</t>
  </si>
  <si>
    <t>pcharoenphol@tamu.edu</t>
  </si>
  <si>
    <t>Engineering Education
Targeted drug delivery
Hemodynamics</t>
  </si>
  <si>
    <t>Wei (Wayne) Chen</t>
  </si>
  <si>
    <t>w.chen@tamu.edu</t>
  </si>
  <si>
    <t xml:space="preserve">In the Design Innovation &amp; Generative InTelligence (DIGIT) Lab, we study and create AI and machine learning methods for engineering design, with the goal of solving the most challenging design problems including high-dimensional problems, inverse design problems, design under uncertainty, and novel design discovery. We work together to build a future where AI augments humans in design tasks in terms of efficiency, creativity, complex reasoning, and trustworthiness.
</t>
  </si>
  <si>
    <t xml:space="preserve">AI augments humans in design tasks in terms of efficiency, creativity, complex reasoning, trustworthiness
</t>
  </si>
  <si>
    <t>David Claridge</t>
  </si>
  <si>
    <t>dclaridge@tamu.edu</t>
  </si>
  <si>
    <t>Energy efficiency in buildings
Membrane dehumidification
Existing building commissioning process and measures
Measurement and verification of energy savings</t>
  </si>
  <si>
    <t>Energy efficiency in buildings
,Membrane dehumidification
,Existing building commissioning process , measures
,Measurement , verification of energy savings</t>
  </si>
  <si>
    <t>Marcia Cooper</t>
  </si>
  <si>
    <t>macoope@tamu.edu</t>
  </si>
  <si>
    <t>Heterogeneous material behavior in thermal and mechanical environments
Energetic materials including pyrotechnics, propellants, explosives
Ignition, shock, detonation
High-velocity impact
Laser velocimetry and high-speed optical imaging</t>
  </si>
  <si>
    <t>Heterogeneous material behavior in thermal , mechanical environments
,Energetic materials including pyrotechnics, propellants, explosives
,Ignition, shock, detonation
,High-velocity impact
,Laser velocimetry , high-speed optical imaging</t>
  </si>
  <si>
    <t>Dale Cope</t>
  </si>
  <si>
    <t>drdcope@tamu.edu</t>
  </si>
  <si>
    <t>Engineering Education
Unmanned Aircraft Systems (UASs)</t>
  </si>
  <si>
    <t>Engineering Education
,Unmanned Aircraft Systems (UASs)</t>
  </si>
  <si>
    <t>SwarooPDarbha</t>
  </si>
  <si>
    <t>dswaroop@tamu.edu</t>
  </si>
  <si>
    <t>Decision and Control Algorithms for Enabling Autonomy
Vehicle Dynamics &amp; Control
Intelligent Transportation Systems
Task Allocation and Decision Making for UAVs
Applied Combinatorial Optimization &amp; Control
Robotics</t>
  </si>
  <si>
    <t>Decision , Control Algorithms for Enabling Autonomy
,Vehicle Dynamics &amp; Control
,Intelligent Transportation Systems
,Task Allocation , Decision Making for UAVs
,Applied Combinatorial Optimization &amp; Control
,Robotics</t>
  </si>
  <si>
    <t>Adolfo Delgado</t>
  </si>
  <si>
    <t>adelgado@tamu.edu</t>
  </si>
  <si>
    <t>Rotordynamic
Structural vibration
Energy dissipation mechanisms
Thin-film lubrication
Fluid-structure interaction applied to the design, modeling and improvement of rotating machinery systems and components</t>
  </si>
  <si>
    <t>Rotordynamic
,Structural vibration
,Energy dissipation mechanisms
,Thin-film lubrication
,Fluid-structure interaction applied to the design, modeling , improvement of rotating machinery systems , components</t>
  </si>
  <si>
    <t>MaTTElliott</t>
  </si>
  <si>
    <t>mselliott@tamu.edu</t>
  </si>
  <si>
    <t>Advanced control of energy systems
Model-based predictive control
Machine design
Undergraduate engineering education</t>
  </si>
  <si>
    <t>Advanced control of energy systems
,Model-based predictive control
,Machine design
,Undergraduate engineering education</t>
  </si>
  <si>
    <t>Ali Erdemir</t>
  </si>
  <si>
    <t>aerdemir@tamu.edu</t>
  </si>
  <si>
    <t>Erdemir is a renowned scholar whose leadershiPand scientific discoveries have had major impacts on tribology, surface engineering, materials science and mechanical engineering fields. Erdemir’s current research focuses on bridging scientific principles with engineering innovations towards the development of new materials, coatings, and lubricants for a broad range of cross-cutting applications in manufacturing, transportation (including E-mobility) and other energy conversion and utilization systems where further increases in efficiency, reliability, and environmental sustainability are of primary objectives. His grouPspecifically strives to unravel key/underlying mechanisms that control friction, wear and lubrication at the most fundamental levels and develoPmore advanced surface technologies and lubricant chemistries providing superlubricity and/or super high-hardness as well as extreme resistance to wear, corrosion, fatigue and other types of degradations under harsh operational and environmental conditions. In one of our latest activities with our team members, we upcycle plastic wastes into lubricating oils in a green and continuously recyclable manner and hence reduce their adverse environmental impacts, in another, we design and manufacture new materials, coatings, and lubricants for safety, efficiency, and reliability in electric vehicle applications.</t>
  </si>
  <si>
    <t>engineering innovations towards the development of new materials, coatings, lubricants for a broad range of cross-cutting applications in manufacturing, transportation, energy conversion , utilization systems where further increases in efficiency, reliability, environmental sustainability are of primary objectives</t>
  </si>
  <si>
    <t>Jonathan Felts</t>
  </si>
  <si>
    <t>jonathan.felts@tamu.edu</t>
  </si>
  <si>
    <t>Scalable Nanomanufacturing
Nanometer-Scale Thermal and Mass Transport
Near Field Optics
Organic Optoelectronics
MEMS/NEMS Design and Fabrication</t>
  </si>
  <si>
    <t>Scalable Nanomanufacturing
,Nanometer-Scale Thermal , Mass Transport
,Near Field Optics
,Organic Optoelectronics
,MEMS/NEMS Design, Fabrication</t>
  </si>
  <si>
    <t>Rebecca Friesen</t>
  </si>
  <si>
    <t>rfriesen@tamu.edu</t>
  </si>
  <si>
    <t>Surface haptic displays
Haptic wearables for extended reality
Human-machine interaction
Tactile perception
Biomechanics of skin</t>
  </si>
  <si>
    <t>Surface haptic displays
,Haptic wearables for extended reality
,Human-machine interaction
,Tactile perception
,Biomechanics of skin</t>
  </si>
  <si>
    <t>Wei Gao</t>
  </si>
  <si>
    <t>wei.gao@tamu.edu</t>
  </si>
  <si>
    <t>Mechanics of materials
Multiscale materials modeling
Surface and Interface
Mechanochemistry and mechanobiology
AI and Machine learning
2D materials, metallic materials, soft materials, biomaterials</t>
  </si>
  <si>
    <t>Mechanics of materials
,Multiscale materials modeling
,Surface , Interface
,Mechanochemistry , mechanobiology
,AI , Machine learning
,2D materials, metallic materials, soft materials, biomaterials</t>
  </si>
  <si>
    <t>Swaminathan Gopalswamy</t>
  </si>
  <si>
    <t>sgopalswamy@tamu.edu</t>
  </si>
  <si>
    <t>Application driven, multi-disciplinary research
Model Based Control, and Systems Engineering
Embedded Systems and Software Engineering
Distributed Simulation and Control
Cyber Physical Systems Safety and Reliability
Autonomous Systems, Automotive Systems, Energy Systems</t>
  </si>
  <si>
    <t>Application driven, multi-disciplinary research
,Model Based Control, Systems Engineering
,Distributed Simulation , Control
,Cyber Physical Systems Safety , Reliability
,Autonomous Systems, Automotive Systems, Energy Systems</t>
  </si>
  <si>
    <t>Jaime Grunlan</t>
  </si>
  <si>
    <t>jgrunlan@tamu.edu</t>
  </si>
  <si>
    <t>Polymer nanocomposites
Nanoparticle dispersion in solutions and composites
Polyelectrolyte complexes
Multilayer thin films
Environmentally-benign flame retardant treatments
Gas barrier thin films
High dielectric breakdown strength materials
High thermal and/or electrical conductivity materials</t>
  </si>
  <si>
    <t>Polymer nanocomposites
,Nanoparticle dispersion in solutions , composites
,Polyelectrolyte complexes
,Multilayer thin films
,Environmentally-benign flame retardant treatments
,Gas barrier thin films
,High dielectric breakdown strength materials
,High thermal ,/or electrical conductivity materials</t>
  </si>
  <si>
    <t>John Haglund</t>
  </si>
  <si>
    <t>john.haglund@tamu.edu</t>
  </si>
  <si>
    <t>Assessment Methodologies in Engineering Education
Aerosol Sampling-Inlets and Probes
Aerosol Measurement-PM10/PM2.5
Bioaerosol Collection and Concentration</t>
  </si>
  <si>
    <t>Assessment Methodologies in Engineering Education
,Aerosol Sampling-Inlets , Probes
,Aerosol Measurement-PM10/PM2,5
,Bioaerosol Collection, Concentration</t>
  </si>
  <si>
    <t>Je-Chin Han</t>
  </si>
  <si>
    <t>jc-han@tamu.edu</t>
  </si>
  <si>
    <t>Advanced experimental and computational methods in convection heat transfer
Heat transfer enhancement
Heat transfer in rotating cooling channel flows
Film cooling in unsteady high turbulent flows
Advanced cooling in gas turbine for aircraft propulsion
Advanced cooling in hydrogen turbine for clean power generation
Advanced clean energy technology</t>
  </si>
  <si>
    <t>Advanced experimental , computational methods in convection heat transfer
,Heat transfer enhancement
,Heat transfer in rotating cooling channel flows
,Film cooling in unsteady high turbulent flows
,Advanced cooling in gas turbine for aircraft propulsion
,Advanced cooling in hydrogen turbine for clean power generation
,Advanced clean energy technology</t>
  </si>
  <si>
    <t>Zohaib Hasnain</t>
  </si>
  <si>
    <t>zhasnain@tamu.edu</t>
  </si>
  <si>
    <t>Autonomous System Architectures
Learning Architectures for Fluidic Systems
Model Based Approaches for Process Automation</t>
  </si>
  <si>
    <t>Autonomous System Architectures
,Learning Architectures for Fluidic Systems
,Model Based Approaches for Process Automation</t>
  </si>
  <si>
    <t>Yassin A. Hassan</t>
  </si>
  <si>
    <t>y-hassan@tamu.edu</t>
  </si>
  <si>
    <t>Computational &amp; Experimental Thermal Hydraulics
Reactor Safety
Fluid Mechanics
Two-Phase Flow
Turbulence &amp; Laser Velocimetry
Imaging Techniques</t>
  </si>
  <si>
    <t>Computational &amp; Experimental Thermal Hydraulics
,Reactor Safety
,Fluid Mechanics
,Two-Phase Flow
,Turbulence &amp; Laser Velocimetry
,Imaging Techniques</t>
  </si>
  <si>
    <t>M. Cynthia Hipwell</t>
  </si>
  <si>
    <t>cynthia.hipwell@tamu.edu</t>
  </si>
  <si>
    <t>Nanoscale thermal energy transport
Nanoscale tribology
Surface and interface physics in the finger-device interface for human machine interfaces and haptics
Micro/nanoscale sensor and actuator integration and characterization for human-machine interfaces and haptics
Innovation and technology development processes</t>
  </si>
  <si>
    <t xml:space="preserve">Nanoscale thermal energy transport
,Nanoscale tribology
,Surface , interface physics </t>
  </si>
  <si>
    <t>Harry Hogan</t>
  </si>
  <si>
    <t>hhogan@tamu.edu</t>
  </si>
  <si>
    <t>Bone biomechanics and mechanical properties
Rodent animal models, simulated space flight, exercise and pharmacologic countermeasures, as well as other osteoporosis risk factors
Development of specialized techniques for characterizing mechanical properties of bone tissue from rodent (mouse and rat) animal models.</t>
  </si>
  <si>
    <t>Bone biomechanics , mechanical properties
,Rodent animal models, simulated space flight, exercise , pharmacologic countermeasures, as well as other osteoporosis risk factors
,Development of specialized techniques for characterizing mechanical properties of bone tissue from rodent (mouse , rat) animal models,</t>
  </si>
  <si>
    <t>Zubaer Hossain</t>
  </si>
  <si>
    <t>zubaer@tamu.edu</t>
  </si>
  <si>
    <t>Smart or adaptive structures
Real-time shape control of both structures and optical systems
Space/time filter design for control of distributed parameter systems
Morphing aircraft
Multi-rotor drone aircraft control
Autonomous vehicles and Associated systems
Quantum decision making and cognition for human-robot teaming
Human-machine interface and brain-computer interface</t>
  </si>
  <si>
    <t>Smart or adaptive structures
,Real-time shape control of both structures , optical systems
,Space/time filter design for control of distributed parameter systems
,Morphing aircraft
,Multi-rotor drone aircraft control
,Autonomous vehicles , Associated systems
,Quantum decision making , cognition for human-robot teaming
,Human-machine interface, brain-computer interface</t>
  </si>
  <si>
    <t>James Hubbard Jr.</t>
  </si>
  <si>
    <t>jhubbard@tamu.edu</t>
  </si>
  <si>
    <t>Smart or adaptive structures
Real-time shape control of both structures , optical systems
Space/time filter design for control of distributed parameter systems
Morphing aircraft
Multi-rotor drone aircraft control
Autonomous vehicles , Associated systems
Quantum decision making , cognition for human-robot teaming
Human-machine interface , brain-computer interface</t>
  </si>
  <si>
    <t>Timothy Jacobs</t>
  </si>
  <si>
    <t>tjjacobs@tamu.edu</t>
  </si>
  <si>
    <t>Internal combustion engines, in-cylinder combustion and emission formation processes, fundamental experimental diagnostics and investigations, advanced and novel combustion processes (low temperature combustion, homogenous charge compression ignition, premixed compression ignition), alternative fuels (natural gas, bio-based fuels, hydrogen), aftertreatment systems and their coupling to IC engines (LNT, SCR, DOC, DPF).</t>
  </si>
  <si>
    <t>Internal combustion engines, in-cylinder combustion , emission formation processes, fundamental experimental diagnostics , investigations, advanced , novel combustion processes (low temperature combustion, homogenous charge compression ignition, premixed compression ignition), alternative fuels (natural gas, bio-based fuels, hydrogen), aftertreatment systems , their coupling to IC engines (LNT, SCR, DOC, DPF)</t>
  </si>
  <si>
    <t>Dorrin Jarrahbashi</t>
  </si>
  <si>
    <t>djarrahbashi@tamu.edu</t>
  </si>
  <si>
    <t>Computational Fluid Dynamics
High-Speed Multiphase Flow Behavior
Atomization &amp; Spray
Supercritical Flows
Combustion 
Nanoparticle Spray Deposition</t>
  </si>
  <si>
    <t>Computational Fluid Dynamics
,High-Speed Multiphase Flow Behavior
,Atomization &amp; Spray
,Supercritical Flows
,Combustion 
,Nanoparticle Spray Deposition</t>
  </si>
  <si>
    <t>Haejune Kim</t>
  </si>
  <si>
    <t>haejune.kim@tamu.edu</t>
  </si>
  <si>
    <t>Nanostructured material synthesis
Lithium-ion batteries
Energy storage and conversion
Electrochemistry</t>
  </si>
  <si>
    <t>Nanostructured material synthesis
,Lithium-ion batteries
,Energy storage , conversion
,Electrochemistry</t>
  </si>
  <si>
    <t>Won-jong Kim</t>
  </si>
  <si>
    <t>wjkim@tamu.edu</t>
  </si>
  <si>
    <t>Precision mechatronics. Nanoscale engineering and technology. Network-based control and cyber-physical systems. Novel actuators and sensors. Real-time control systems design.</t>
  </si>
  <si>
    <t>Precision mechatronics, Nanoscale engineering , technology, Network-based control , cyber-physical systems, Novel actuators , sensors, Real-time control systems design,</t>
  </si>
  <si>
    <t>Yong-Joe Kim</t>
  </si>
  <si>
    <t>joekim@tamu.edu</t>
  </si>
  <si>
    <t>Acoustics and Applied Signal Processing, Nonlinear Acoustics, Biomedical Acoustics, Noise and Vibration Control, and Structural Dynamics</t>
  </si>
  <si>
    <t>Acoustics , Applied Signal Processing, Nonlinear Acoustics, Biomedical Acoustics, Noise , Vibration Control, ,Structural Dynamics</t>
  </si>
  <si>
    <t>Aravind Krishnamoorthy</t>
  </si>
  <si>
    <t>akrishnamoorthy@tamu.edu</t>
  </si>
  <si>
    <t>Atomistic Simulations and Multiscale Modeling
Computational Synthesis of Materials and Structures
Machine Learning for Mechanical Materials
Predictive Design and Manufacturing of Materials, Surfaces, and Interfaces
Ultrafast and Far-from-Equilibrium Phenomena</t>
  </si>
  <si>
    <t>Atomistic Simulations , Multiscale Modeling
,Computational Synthesis of Materials , Structures
,Machine Learning for Mechanical Materials
,Predictive Design , Manufacturing of Materials, Surfaces, Interfaces
Ultrafast , Far-from-Equilibrium Phenomena</t>
  </si>
  <si>
    <t>Vinayak Krishnamurthy</t>
  </si>
  <si>
    <t>vinayak@tamu.edu</t>
  </si>
  <si>
    <t>Geometric &amp; Topological Modeling
Computational Fabrication
Tangible Interactions and Haptics
Virtual, Augmented, and Mixed Reality
Intelligent User Interfaces for Design Ideation
Cognitive Assistance for Creativity Support</t>
  </si>
  <si>
    <t>Geometric &amp; Topological Modeling
,Computational Fabrication
,Tangible Interactions , Haptics
,Virtual, Augmented, Mixed Reality
,Intelligent User Interfaces for Design Ideation
,Cognitive Assistance for Creativity Support</t>
  </si>
  <si>
    <t>Waruna Kulatilaka</t>
  </si>
  <si>
    <t>waruna.kulatilaka@tamu.edu</t>
  </si>
  <si>
    <t>Optical Diagnostics and Imaging
Laser Spectroscopy and Ultrafast Lasers
Combustion and Energy Conversion
Hypersonics and High-Speed Propulsion
Propellants and Energetics
Extreme Materials
Remote Sensing
Fluid Flow and Plasma Diagnostics
Gas Turbine Combustion and IC Engines</t>
  </si>
  <si>
    <t>Optical Diagnostics , Imaging
,Laser Spectroscopy , Ultrafast Lasers
,Combustion , Energy Conversion
,Hypersonics , High-Speed Propulsion
,Propellants , Energetics
,Extreme Materials
,Remote Sensing
,Fluid Flow , Plasma Diagnostics
,Gas Turbine Combustion , IC Engines</t>
  </si>
  <si>
    <t>Thomas Lacy Jr.</t>
  </si>
  <si>
    <t>telacyjr@tamu.edu</t>
  </si>
  <si>
    <t>Multifunctional composite materials for extreme environments
Multiscale modeling
Hypervelocity impacts
Durability and damage tolerance</t>
  </si>
  <si>
    <t>Multifunctional composite materials for extreme environments
,Multiscale modeling
,Hypervelocity impacts
,Durability , damage tolerance</t>
  </si>
  <si>
    <t>Shoufeng Lan</t>
  </si>
  <si>
    <t>shoufeng@tamu.edu</t>
  </si>
  <si>
    <t>Mechanics Light-assisted control, sensing, and manufacturing
Materials Plasmonics, metamaterials, and 2D materials
Physics Nonlinear, quantum, and topological photonics
Chemistry Photon-induced chem/med/bio-synthesis</t>
  </si>
  <si>
    <t>Mechanics Light-assisted control, sensing, manufacturing
Materials Plasmonics, metamaterials, 2D materials
Physics Nonlinear, quantum, topological photonics
Chemistry Photon-induced chem/med/bio-synthesis</t>
  </si>
  <si>
    <t>Reza Langari</t>
  </si>
  <si>
    <t>rlangari@tamu.edu</t>
  </si>
  <si>
    <t>Computational Intelligence
Mechatronics
Dynamic Systems and Control
Robotics and Automation
Autonomous Vehicles
Fault Diagnosis and Identification (FDI)
Rehabilitation Robotics</t>
  </si>
  <si>
    <t>Computational Intelligence
,Mechatronics
,Dynamic Systems , Control
,Robotics , Automation
,Autonomous Vehicles
,Fault Diagnosis , Identification (FDI)
,Rehabilitation Robotics</t>
  </si>
  <si>
    <t>Enrique J. Lavernia</t>
  </si>
  <si>
    <r>
      <rPr>
        <u/>
        <sz val="10"/>
        <color rgb="FF1155CC"/>
        <rFont val="Arial"/>
        <family val="2"/>
      </rPr>
      <t>lavernia@tamu.edu</t>
    </r>
  </si>
  <si>
    <t xml:space="preserve">Synthesis and behavior of nanostructured and multi-scale materials with particular emphasis on processing fundamentals and physical behavior. </t>
  </si>
  <si>
    <t>Astrid Layton</t>
  </si>
  <si>
    <t>alayton@tamu.edu</t>
  </si>
  <si>
    <t>Sustainable and Resilient System Design
Bio-Inspired Design
Systems and Systems of Systems
Circular Economy
Industrial Ecology
Ecological Network Analysis
Human Networks including e.g. industrial resource and manufacturing networks, complex energy systems, supply chains, and water distribution networks</t>
  </si>
  <si>
    <t>Sustainable , Resilient System Design
,Bio-Inspired Design
,Systems , Systems of Systems
,Circular Economy
,Industrial Ecology
,Ecological Network Analysis
,Human Networks including e,g, industrial resource , manufacturing networks, complex energy systems, supply chains, water distribution networks</t>
  </si>
  <si>
    <t>ChaBum Lee</t>
  </si>
  <si>
    <t>cblee@tamu.edu</t>
  </si>
  <si>
    <t>Interferometry for length, surface and volume measurements.
Machine tool metrology
Semiconductor metrology and inspection
Dynamic system (mechatronics) metrology and inspection
Robotic machining processes
Magnetic/Optical spectroscopy
Precision manufacturing (includes machining, MEMS fabrication, R2R, 3D printing)
Sensors and instrumentation (for dimensional measurement)
Precision machine design (includes machine tools, spindles, flexures, etc)
Smart materials and structures (sensing, actuation and energy harvesting)
Water quality monitoring and its instrumentation(for water contaminants)</t>
  </si>
  <si>
    <t>Interferometry for length, surface , volume measurements,
,Machine tool metrology
,Semiconductor metrology , inspection
,Dynamic system (mechatronics) metrology , inspection
,Robotic machining processes
,Magnetic/Optical spectroscopy
,Precision manufacturing (includes machining, MEMS fabrication, R2R, 3D printing)
,Sensor , instrumentation (for dimensional measurement)
Precision machine design (includes machine tools, spindles, flexures, etc)
Smart materials , structures (sensing, actuation , energy harvesting)
Water quality monitoring , its instrumentation(for water contaminants)</t>
  </si>
  <si>
    <t>Kiju Lee</t>
  </si>
  <si>
    <t>kiju.lee@tamu.edu</t>
  </si>
  <si>
    <t xml:space="preserve">Robotics
Swarm Intelligence
Human-Robot Interaction
Novel Mechanism Design
Tangible Serious Games </t>
  </si>
  <si>
    <t xml:space="preserve">Robotics
,Swarm Intelligence
,Human-Robot Interaction
,Novel Mechanism Design
,Tangible Serious Games </t>
  </si>
  <si>
    <t>Ying Li</t>
  </si>
  <si>
    <t>yingli@tamu.edu</t>
  </si>
  <si>
    <t>Nanomaterials
Solar Energy Conversion
Catalysis and Photocatalysis
Carbon Dioxide Capture and Utilization
Energy Storage
Rechargeable Battery
Water Treatment and Purification
Air Pollution Control
Aerosol Science and Technology
Nanomedicine</t>
  </si>
  <si>
    <t>Nanomaterials
,Solar Energy Conversion
,Catalysis , Photocatalysis
,Carbon Dioxide Capture , Utilization
,Energy Storage
,Rechargeable Battery
,Water Treatment , Purification
,Air Pollution Control
Aerosol Science , Technology
,Nanomedicine</t>
  </si>
  <si>
    <t>Hong Liang</t>
  </si>
  <si>
    <t>hliang@tamu.edu</t>
  </si>
  <si>
    <t>Surface and interface science, tribology
Advanced manufacturing
Nanoparticles and nanostructured materials for energy, health, transportation, water &amp; environments, corrosion, and extreme conditions
Nanolubrication
Chemical-mechanical polishing</t>
  </si>
  <si>
    <t>Surface , interface science, tribology
,Advanced manufacturing
,Nanoparticles , nanostructured materials for energy, health, transportation, water &amp; environments, corrosion, extreme conditions
,Nanolubrication
,Chemical-mechanical polishing</t>
  </si>
  <si>
    <t>Richard Malak</t>
  </si>
  <si>
    <t>rmalak@tamu.edu</t>
  </si>
  <si>
    <t>Computational methods (including optimization, machine learning, AI) for supporting engineering systems design
Decision making in engineering systems design
Design and systems engineering theory
Applications to materials design, smart structures, and complex engineered systems</t>
  </si>
  <si>
    <t>Computational methods (including optimization, machine learning, AI) for supporting engineering systems design
,Decision making in engineering systems design
,Design , systems engineering theory
,Applications to materials design, smart structures, complex engineered systems</t>
  </si>
  <si>
    <t>Olivier Mathieu</t>
  </si>
  <si>
    <t>olivier.mathieu@tamu.edu</t>
  </si>
  <si>
    <t>Combustion chemistry
Chemical kinetics
Fire suppressants
Pollutant formation</t>
  </si>
  <si>
    <t>Combustion chemistry
,Chemical kinetics
,Fire suppressants
,Pollutant formation</t>
  </si>
  <si>
    <t>Daniel A. McAdams</t>
  </si>
  <si>
    <t>dmcadams@tamu.edu</t>
  </si>
  <si>
    <t>Design theory and methodology with specific focus on functional modeling, innovation in concept synthesis including computational methods, bio-inspired design methods, design for disability, and technology evolution as applied to product and system design.</t>
  </si>
  <si>
    <t>Design theory , methodology with specific focus on functional modeling, innovation in concept synthesis including computational methods, bio-inspired design methods, design for disability, technology evolution as applied to product , system design,</t>
  </si>
  <si>
    <t>Jacob McFarland</t>
  </si>
  <si>
    <t>mcfarlandja@tamu.edu</t>
  </si>
  <si>
    <t xml:space="preserve">Experimental and Computational Fluid Mechanics
Shock Driven Hydrodynamic Instabilities 
Multiphase flows and reactions 
Magnetohydrodynamics </t>
  </si>
  <si>
    <t xml:space="preserve">Experimental , Computational Fluid Mechanics
,Shock Driven Hydrodynamic Instabilities 
,Multiphase flows , reactions 
,Magnetohydrodynamics </t>
  </si>
  <si>
    <t>Tillie McVay</t>
  </si>
  <si>
    <t>t_mcvay@tamu.edu</t>
  </si>
  <si>
    <t>Waqar Mohiuddin</t>
  </si>
  <si>
    <t>waqar@tamu.edu</t>
  </si>
  <si>
    <t>Michael Moreno</t>
  </si>
  <si>
    <t>michael.moreno@tamu.edu</t>
  </si>
  <si>
    <t>Dr. Moreno is Director of the Biomechanical Environments Laboratories. His research is focused on experimental biomechanics and biomechanical engineering across multiple scales. s include biomechanical factors in medical device design, biomechanical factors in tissue engineering and 3D bioprinting, medical device innovation in resource limited settings, cardiovascular fluid and solid biomechanics, orthopedic biomechanics, veterinary biomechanics, biomechanics of human performance, and sports biomechanics.</t>
  </si>
  <si>
    <t>experimental biomechanics , biomechanical engineering across multiple scales, s include biomechanical factors in medical device design, biomechanical factors in tissue engineering , 3D bioprinting, medical device innovation in resource limited settings, cardiovascular fluid , solid biomechanics, orthopedic biomechanics, veterinary biomechanics, biomechanics of human performance, sports biomechanics</t>
  </si>
  <si>
    <t>Anastasia Muliana</t>
  </si>
  <si>
    <t>amuliana@tamu.edu</t>
  </si>
  <si>
    <t>Analytical, numerical, and experimental approaches in areas of structural and computational mechanics, i.e. nonlinear and time dependent constitutive material modeling, thermal stress analysis, contact and damage modeling, delamination crack growth in laminated composites, micromechanics of composite materials and structures, multi-scale material modeling, modeling nanoindentation tests, large-scale nonlinear structural analysis, numerical and finite element modeling, neural network simulations in engineering.</t>
  </si>
  <si>
    <t>Analytical, numerical, experimental approaches in areas of structural , computational mechanics, i,e, nonlinear , time dependent constitutive material modeling, thermal stress analysis, contact , damage modeling, delamination crack growth in laminated composites, micromechanics of composite materials , structures, multi-scale material modeling, modeling nanoindentation tests, large-scale nonlinear structural analysis, numerical , finite element modeling, neural network simulations in engineering,</t>
  </si>
  <si>
    <t>Alan Needleman</t>
  </si>
  <si>
    <t>needle@tamu.edu</t>
  </si>
  <si>
    <t>Zheng O'Neill</t>
  </si>
  <si>
    <t>zoneill@tamu.edu</t>
  </si>
  <si>
    <t>Building/HVAC&amp;R energy efficiency
Intelligent building controls and optimization
Grid-interactive efficient buildings
Heat pumPtechnologies
Uncertainty quantification in building energy systems
Well-being in the built environment</t>
  </si>
  <si>
    <t>Building/HVAC&amp;R energy efficiency
,Intelligent building controls , optimization
,Grid-interactive efficient buildings
,Heat pumPtechnologies
,Uncertainty quantification in building energy systems
Well-being in the built environment</t>
  </si>
  <si>
    <t>Prabhakar Pagilla</t>
  </si>
  <si>
    <t>ppagilla@tamu.edu</t>
  </si>
  <si>
    <t>Modeling and control of roll-to-roll manufacturing systems and autonomous vehicles, robotics/mechatronics, and control of large-scale nonlinear dynamic systems.</t>
  </si>
  <si>
    <t>Modeling , control of roll-to-roll manufacturing systems , autonomous vehicles, robotics/mechatronics, control of large-scale nonlinear dynamic systems,</t>
  </si>
  <si>
    <t>Raj Kumar Pal</t>
  </si>
  <si>
    <t>rkpal@tamu.edu</t>
  </si>
  <si>
    <t>Elastic metamaterials
Vibrations
Wave propagation
Computational mechanics: finite element, discrete element methods
Granular media</t>
  </si>
  <si>
    <t>Alan Palazzolo</t>
  </si>
  <si>
    <t>a-palazzolo@tamu.edu</t>
  </si>
  <si>
    <t>rotordynamics,
magnetic bearings, motors, flywheels, electromechanical systems
fluid film bearings, seals and impeller flow and forces
vibrations
hemodynamics, and ventricular and cavopulmonary assist devices
computational methods in mechanics.</t>
  </si>
  <si>
    <t>rotordynamics,
magnetic bearings, motors, flywheels, electromechanical systems
fluid film bearings, seals , impeller flow , forces
vibrations
hemodynamics, ventricular , cavopulmonary assist devices
computational methods in mechanics,</t>
  </si>
  <si>
    <t>Heng Pan</t>
  </si>
  <si>
    <t>hpan@tamu.edu</t>
  </si>
  <si>
    <t>Additive manufacturing, Laser based micro/nano-manufacturing, Scalable nano-manufacturing, Energy devices and battery manufacturing, Flexible and stretchable electronics manufacturing, Multi-material and multi-function integration, Laser-material interactions, Transport phenomena in manufacturing.</t>
  </si>
  <si>
    <t>Additive manufacturing, Laser based micro/nano-manufacturing, Scalable nano-manufacturing, Energy devices , battery manufacturing, Flexible , stretchable electronics manufacturing, Multi-material , multi-function integration, Laser-material interactions, Transport phenomena in manufacturing,</t>
  </si>
  <si>
    <t>Michael Pate</t>
  </si>
  <si>
    <t>mpate@tamu.edu</t>
  </si>
  <si>
    <t>Alternative energy photovoltaics, passive and active solar, wind systems, geothermal, biomass, nuclear energy
Energy conversion and efficiency
Green building technology and sustainability
Heat transfer and heat exchangers 
Thermal processes
Refrigeration properties</t>
  </si>
  <si>
    <t>Alternative energy photovoltaics, passive , active solar, wind systems, geothermal, biomass, nuclear energy
,Energy conversion , efficiency
,Green building technology , sustainability
,Heat transfer , heat exchangers 
Thermal processes
,Refrigeration properties</t>
  </si>
  <si>
    <t>Eric Petersen</t>
  </si>
  <si>
    <t>epetersen@tamu.edu</t>
  </si>
  <si>
    <t>Combustion
Propulsion
Gas Dynamics
Chemical Kinetics
Rocket Propellants
Laser Diagnostics and Spectroscopy
Laminar and Turbulent Flames
Shock Tubes
Gas Turbine Combustion
Detonations</t>
  </si>
  <si>
    <t>Combustion
,Propulsion
,Gas Dynamics
,Chemical Kinetics
Rocket Propellants
Laser Diagnostics , Spectroscopy
Laminar , Turbulent Flames
Shock Tubes
Gas Turbine Combustion
Detonations</t>
  </si>
  <si>
    <t>MaTTPharr</t>
  </si>
  <si>
    <t>mpharr85@tamu.edu</t>
  </si>
  <si>
    <t>Chemo-mechanics and electro-chemo-mechanics
Deformation and fracture of soft materials
Materials for energy storage and conversion
Biomechanics of plants, e.g., for bioenergy production
Mechanics of irradiated materials, e.g., for medical devices
Lithium-ion batteries
Mechanics of microelectronics, flexible/wearable electronics, and materials for neuromorphic computing</t>
  </si>
  <si>
    <t>Chemo-mechanics , electro-chemo-mechanics
,Deformation , fracture of soft materials
,Materials for energy storage , conversion
,Biomechanics of plants, e,g,, for bioenergy production
,Mechanics of irradiated materials, e,g,, for medical devices
,Lithium-ion batteries
,Mechanics of microelectronics, flexible/wearable electronics, materials for neuromorphic computing</t>
  </si>
  <si>
    <t>Matthew Powell-Palm</t>
  </si>
  <si>
    <t>powellpalm@tamu.edu</t>
  </si>
  <si>
    <t>Materials and biological thermodynamics
Organ and tissue cryopreservation
High-dimensional thermodynamics and phase diagrams
Metastability and non-equilibrium states
Supercooling, nucleation, and vitrification processes
Thermodynamic interventions in medicine, agriculture, and conservation biology
Planetary thermodynamics of icy worlds</t>
  </si>
  <si>
    <t>Materials , biological thermodynamics
,Organ , tissue cryopreservation
,High-dimensional thermodynamics , phase diagrams
,Metastability , non-equilibrium states
,Supercooling, nucleation, vitrification processes
,Thermodynamic interventions in medicine, agriculture, conservation biology
,Planetary thermodynamics of icy worlds</t>
  </si>
  <si>
    <t>Andreas A. Polycarpou</t>
  </si>
  <si>
    <t>apolycarpou@tamu.edu</t>
  </si>
  <si>
    <t>PPolycarpou s include tribology, nanotechnology, microtribology related to miniature systems, magnetic storage, surface characterization, friction/vibration interaction, system dynamics and modeling, and experimental design and instrumentation. Specifically he studies micro/nanotribology of magnetic Head disk interfaces and microelectromechanical systems. Recent emphasis has been on the tribology of devices for reduced energy and improved environmental-related impact, such as the use of carbon dioxide as a natural refrigerant and the use of surface treatments towards oil-less machine operation. Polycarpou is the author of over 200 archival journal papers, numerous book chapters, volume proceedings, a dozen patents and numerous conference papers.</t>
  </si>
  <si>
    <t xml:space="preserve">tribology, nanotechnology, microtribology related to miniature systems, magnetic storage, surface characterization, friction/vibration interaction, system dynamics , modeling, experimental design , instrumentation, </t>
  </si>
  <si>
    <t>Jingjing (Jenny) Qiu</t>
  </si>
  <si>
    <t>jennyqiu@tamu.edu</t>
  </si>
  <si>
    <t>Advanced Manufacturing
Nanomaterials Synthesis &amp; Characterization
Multifunctional Composites
Sustainable Materials &amp; Energy Harvesting
Healthcare and Regenerative Medicines</t>
  </si>
  <si>
    <t>Advanced Manufacturing
,Nanomaterials Synthesis &amp; Characterization
,Multifunctional Composites
,Sustainable Materials &amp; Energy Harvesting
,Healthcare , Regenerative Medicines</t>
  </si>
  <si>
    <t>Kumbakonam Rajagopal</t>
  </si>
  <si>
    <t>krajagopal@tamu.edu</t>
  </si>
  <si>
    <t xml:space="preserve">Continuum mechanics and its applications to Non-linear materials.
</t>
  </si>
  <si>
    <t xml:space="preserve">Continuum mechanics , its applications to Non-linear materials,
</t>
  </si>
  <si>
    <t>Bryan Rasmussen</t>
  </si>
  <si>
    <t>brasmussen@tamu.edu</t>
  </si>
  <si>
    <t>Dr. Rasmussen's research focuses on dynamic modeling and control of thermo-fluid energy systems, building HVAC control, and industrial energy efficiency.</t>
  </si>
  <si>
    <t>dynamic modeling , control of thermo-fluid energy systems, building HVAC control, industrial energy efficiency,</t>
  </si>
  <si>
    <t>Sivakumar Rathinam</t>
  </si>
  <si>
    <t>srathinam@tamu.edu</t>
  </si>
  <si>
    <t>Dr. Rathinam's research focuses on motion planning and control of autonomous vehicles, collaborative decision making, combinatorial optimization, vision based control and air traffic control.</t>
  </si>
  <si>
    <t>motion planning , control of autonomous vehicles, collaborative decision making, combinatorial optimization, vision based control , air traffic control,</t>
  </si>
  <si>
    <t>J.N. Reddy</t>
  </si>
  <si>
    <t>jnreddy@tamu.edu</t>
  </si>
  <si>
    <t>Reddy is known worldwide for his significant contributions to the field of applied mechanics through his pioneering works on the development of shear deformation theories (that bear his name in the literature as the Reddy third-order plate theory and the Reddy layerwise theory) and the authorshiPof widely used textbooks on the linear and nonlinear finite element analysis, variational methods, composite materials and structures, applied functional analysis, and continuum mechanics. His writings have had a major impact on engineering education and technological advances around the world.
Dr. Reddy’s research over the years has involved the development of dual-complementary variational principles in theoretical mechanics, mathematical theory of finite elements (especially mixed finite element formulations),  refined mathematical models of laminated composite plates and shells, penalty formulations of the flows of viscous incompressible fluids, least-squares formulations of solid and fluid continua, and extensions and applications of the finite element method to a broad range problems, including composite structures, numerical heat transfer, computational fluid dynamics, and biology and medicine.  His shear deformation plate and shell theories and their finite element models and the penalty finite element models of non-Newtonian fluids have been implemented into commercial finite element computer programs like ABAQUS, NISA, and HyperXtrude.
The current research of Dr. Reddy and his grouPdeals with 7- and 12-parameter shell theories and non-local and non-classical mechanics theories using the ideas of Eringen, Mindlin, Koiter, and others.  Dr. Reddy and Dr. Srinivasa have conceived a transformative non-parametric network based methodology (called GraFEA) to study damage and fracture in elastic and viscoelastic solids, including composite structures.</t>
  </si>
  <si>
    <t xml:space="preserve">dual-complementary variational principles in theoretical mechanics, mathematical theory of finite elements (especially mixed finite element formulations)refined mathematical models of laminated composite plates , shells, penalty formulations of the flows of viscous incompressible fluids, least-squares formulations of solid , fluid continua, extensions , applications of the finite element method to a broad range problems
</t>
  </si>
  <si>
    <t>Vanessa Restrepo</t>
  </si>
  <si>
    <t>vrestrepo@tamu.edu</t>
  </si>
  <si>
    <t>Bioinspired Materials
Computational Modelling
Interfaces
Material Characterization
Fracture Mechanics</t>
  </si>
  <si>
    <t>Bioinspired Materials
,Computational Modelling
,Interfaces
,Material Characterization
,Fracture Mechanics</t>
  </si>
  <si>
    <t>Andrew Robbins</t>
  </si>
  <si>
    <t>abr90@tamu.edu</t>
  </si>
  <si>
    <t>Medical device design  
Orthopedic biomechanics, devices, and human performance
Cardiovascular Devices
Mechanical assessment of tissue-engineered grafts and scaffolds</t>
  </si>
  <si>
    <t>Medical device design  
,Orthopedic biomechanics, devices, human performance
,Cardiovascular Devices
,Mechanical assessment of tissue-engineered grafts , scaffolds</t>
  </si>
  <si>
    <t>Luis San Andrés</t>
  </si>
  <si>
    <t>lsanandres@tamu.edu</t>
  </si>
  <si>
    <t xml:space="preserve">Dr. San Andres' research focuses on analysis, design and testing of fluid film bearings, and gas bearings and seals for oil-free turbomachinery as well as rotordynamics of turbomachinery, structural vibrations, and computational mechanics.
</t>
  </si>
  <si>
    <t xml:space="preserve">analysis, design , testing of fluid film bearings, gas bearings , seals for oil-free turbomachinery as well as rotordynamics of turbomachinery, structural vibrations, computational mechanics,
</t>
  </si>
  <si>
    <t>Srikanth Saripalli</t>
  </si>
  <si>
    <t>ssaripalli@tamu.edu</t>
  </si>
  <si>
    <t>Autonomous Vehicles, Unmanned Systems, Aerial Vehicles, Vision based Control, Guidance, Navigation and Control</t>
  </si>
  <si>
    <t>Autonomous Vehicles, Unmanned Systems, Aerial Vehicles, Vision based Control, Guidance, Navigation , Control</t>
  </si>
  <si>
    <t>Julie M.Schoenung</t>
  </si>
  <si>
    <t>schoenung@tamu.edu</t>
  </si>
  <si>
    <t>Synthesis and characterization of advanced materials, including high entropy ceramics
Additive manufacturing of functionally integrated materials
Advanced characterization using in-situ microscopy and high-speed imaging
Promoting a circular economy through the application of alternative feedstock materials
Materials selection and decision-making enabled by machine learning and systems analysis
Chemical hazard assessment, life cycle assessment, and alternatives analysis to inform the sustainable development of materials</t>
  </si>
  <si>
    <t>Arun Srinivasa</t>
  </si>
  <si>
    <t>asrinivasa@tamu.edu</t>
  </si>
  <si>
    <t>Fracture, Damage and Inelasticity of metals, polymers and biomaterials ,
Simulation of manufacturing processes including robotic sheet forming and magnetic polishing.
Structural response of architectured and smart materials,
Thermomechanics of dissipative processes
Nonlocal theories, Cosserat continua,
Design and dynamics of active compliant mechanisms, Mechanics of Custom Manufacturing, 3-D Printing and Polishing,</t>
  </si>
  <si>
    <t>Fracture, Damage , Inelasticity of metals, polymers , biomaterials ,
,Simulation of manufacturing processes including robotic sheet forming , magnetic polishing,
,Structural response of architectured , smart materials,
,Thermomechanics of dissipative processes
,Nonlocal theories, Cosserat continua,
,Design , dynamics of active compliant mechanisms, Mechanics of Custom Manufacturing, 3-D Printing , Polishing,</t>
  </si>
  <si>
    <t>David Staack</t>
  </si>
  <si>
    <t>dstaack@tamu.edu</t>
  </si>
  <si>
    <t>Micro- and Nano-Scale Plasmas
Nanosecond Pulsed Plasmas
Non-thermal Plasma Physics and Chemistry
Plasma Enhanced Materials Processing and Synthesis
Plasma Enhanced Fuel Conversion and Combustion
Plasma Enhanced Drilling
Plasma Sterilization
Gamma, X-Ray and Electron Beam Processing
Medical Device Development and Sterilization
Environmental Remediation
Electric Propulsion for Spacecraft
Laser, Optical, and X-ray Diagnostics
High-Speed Imaging
Mass Spectroscopy</t>
  </si>
  <si>
    <t>Micro- , Nano-Scale Plasmas
,Nanosecond Pulsed Plasmas
,Non-thermal Plasma Physics , Chemistry
,Plasma Enhanced Materials Processing , Synthesis
,Plasma Enhanced Fuel Conversion , Combustion
,Plasma Enhanced Drilling
,Plasma Sterilization
,Gamma, X-Ray , Electron Beam Processing
,Medical Device Development , Sterilization
,Environmental Remediation
,Electric Propulsion for Spacecraft
,Laser, Optical, X-ray Diagnostics
,High-Speed Imaging
,Mass Spectroscopy</t>
  </si>
  <si>
    <t>Velumani Subramanian</t>
  </si>
  <si>
    <t>velu@tamu.edu</t>
  </si>
  <si>
    <t>Energy harvesting materials.
Alternative materials for Silicon in Photovoltaic applications.
Fabrication/Synthesis, characterization and optimization of micro and nanostructures for PV, photocatalysis and sensors.
Embedding nanostructured composites in earth-abundant materials for removal of heavy metals from water.
Fabrication, installation of water treatment plant for heavy metal removal.
Simulation and computation using Materials studio (Software) and comparison of properties.</t>
  </si>
  <si>
    <t>Energy harvesting materials,
,Alternative materials for Silicon in Photovoltaic applications,
,Fabrication/Synthesis, characterization , optimization of micro , nanostructures for PV, photocatalysis , sensors,
,Embedding nanostructured composites in earth-abundant materials for removal of heavy metals from water,
,Fabrication, installation of water treatment plant for heavy metal removal,
,Simulation , computation using Materials studio (Software) , comparison of properties,</t>
  </si>
  <si>
    <t>Steve Suh</t>
  </si>
  <si>
    <t>ssuh@tamu.edu</t>
  </si>
  <si>
    <t>Characterization and control of dynamic manufacturing instability
Engineering design theory
MEMS and NMEMS fabrication
High-performance microelectronic packaging
Dynamic system diagnostics and prognostics
Linear and nonlinear stress wave propagation
Laser ultrasonic thermometry</t>
  </si>
  <si>
    <t>Characterization , control of dynamic manufacturing instability
,Engineering design theory
,MEMS , NMEMS fabrication
,High-performance microelectronic packaging
,Dynamic system diagnostics , prognostics
,Linear , nonlinear stress wave propagation
,Laser ultrasonic thermometry</t>
  </si>
  <si>
    <t>Bruce Tai</t>
  </si>
  <si>
    <t>btai@tamu.edu</t>
  </si>
  <si>
    <t>Non-traditional machining processes
Material removal mechanics and modeling
Surgical simulation and analysis
Advanced additive processes for polymers
3D printing of polymer composites</t>
  </si>
  <si>
    <t>Non-traditional machining processes
,Material removal mechanics , modeling
,Surgical simulation , analysis
,Advanced additive processes for polymers
,3D printing of polymer composites</t>
  </si>
  <si>
    <t>Pablo Tarazaga</t>
  </si>
  <si>
    <t>ptarazaga@tamu.edu</t>
  </si>
  <si>
    <t>Structural Dynamics
Adaptive Structures
Smart Infrastructure</t>
  </si>
  <si>
    <t>Structural Dynamics
,Adaptive Structures
,Smart Infrastructure</t>
  </si>
  <si>
    <t>Gray Thomas</t>
  </si>
  <si>
    <t>gthomas@tamu.edu</t>
  </si>
  <si>
    <t>Wearable Robotics
System Identification
Torque-Controlled Actuation
Robust Nonlinear Control
Human Modeling
Strength Amplification</t>
  </si>
  <si>
    <t>Wearable Robotics
,System Identification
,Torque-Controlled Actuation
,Robust Nonlinear Control
,Human Modeling
,Strength Amplification</t>
  </si>
  <si>
    <t>James Thomas</t>
  </si>
  <si>
    <t>James.Chris.Thomas@tamu.edu</t>
  </si>
  <si>
    <t>Combustion
Propellants and Energetics
Explosions, Detonations, and DDT
Battery Safety
Nano-Scale Particle Synthesis</t>
  </si>
  <si>
    <t>Combustion
,Propellants , Energetics
,Explosions, Detonations, DDT
,Battery Safety
,Nano-Scale Particle Synthesis</t>
  </si>
  <si>
    <t>Naveen Thomas</t>
  </si>
  <si>
    <t>naveenthomas@tamu.edu</t>
  </si>
  <si>
    <t>Hai Tran</t>
  </si>
  <si>
    <t>htran@tamu.edu</t>
  </si>
  <si>
    <t>Joanna Tsenn</t>
  </si>
  <si>
    <t>joanna.tsenn@tamu.edu</t>
  </si>
  <si>
    <t>Engineering design education design.</t>
  </si>
  <si>
    <t>Engineering design education design</t>
  </si>
  <si>
    <t>Ya Wang</t>
  </si>
  <si>
    <t>ya.wang@tamu.edu</t>
  </si>
  <si>
    <t>Magnetic nanorobots, nanomedicine
Occupancy sensing and human activity tracking
Machine learning, DeePLearning
Sensors, actuators, and controls
Dynamics, vibrations, and energy harvesting</t>
  </si>
  <si>
    <t>,Magnetic nanorobots, nanomedicine
,Occupancy sensing , human activity tracking
,Machine learning, DeePLearning
,Sensors, actuators, controls
,Dynamics, vibrations, energy harvesting</t>
  </si>
  <si>
    <t>Jonathan Weaver-Rosen</t>
  </si>
  <si>
    <t>jwrosen@tamu.edu</t>
  </si>
  <si>
    <t>Design theory and methodology
Computational methods for design optimization
Engineering education</t>
  </si>
  <si>
    <t>Design theory , methodology
,Computational methods for design optimization
,,Engineering education</t>
  </si>
  <si>
    <t>Sy-Bor Wen</t>
  </si>
  <si>
    <t>syborwen@tamu.edu</t>
  </si>
  <si>
    <t>Laser processing with ultrahigh speed pulsed laser
Chemical analysis with laser-induced plasma
Nanomaterial generation with laser ablation
Nanoscale energy and mass transport with near field effects</t>
  </si>
  <si>
    <t>Laser processing with ultrahigh speed pulsed laser
,Chemical analysis with laser-induced plasma
,Nanomaterial generation with laser ablation
,Nanoscale energy , mass transport with near field effects</t>
  </si>
  <si>
    <t>Justin Wilkerson</t>
  </si>
  <si>
    <t>wilkerson@tamu.edu</t>
  </si>
  <si>
    <t>Micromechanics and multiscale modeling
Nanomaterials and multifunctional materials
Plasticity, failure, fracture, and fragmentation
Impact mechanics, shock physics, and planetary science</t>
  </si>
  <si>
    <t>Micromechanics , multiscale modeling
,Nanomaterials , multifunctional materials
,Plasticity, failure, fracture, fragmentation
,Impact mechanics, shock physics, planetary science</t>
  </si>
  <si>
    <t>Lesley Wright</t>
  </si>
  <si>
    <t>lesley_wright@tamu.edu</t>
  </si>
  <si>
    <t>Gas turbine cooling and heat transfer
Convective cooling technology
Heat transfer enhancement
Heat transfer and fluid mechanics experimentation</t>
  </si>
  <si>
    <t>Gas turbine cooling , heat transfer
,Convective cooling technology
,Heat transfer enhancement
,Heat transfer , fluid mechanics experimentation</t>
  </si>
  <si>
    <t>Choongho Yu</t>
  </si>
  <si>
    <t>chyu@tamu.edu</t>
  </si>
  <si>
    <t>Energy Storage
Rechargeable Li batteries High capacity and low-cost carbon nanotube sponge based batteries for electric vehicles and mobile applications
Low-cost rechargeable metal batteries for stationary applications
Thermal energy storage composites with phase change materials
Energy Conversion and Harvesting
Thermal-to-electrical energy conversion based on thermo-diffusion of electrons and ions
Simultaneous energy conversion and storage with thermally chargeable supercapacitors
Hydrogen generation with electrochemical cells</t>
  </si>
  <si>
    <t>Energy Storage
,Rechargeable Li batteries, High capacity, low-cost carbon nanotube sponge based batteries for electric vehicles , mobile applications
,Low-cost rechargeable metal batteries for stationary applications
,Thermal energy storage composites with phase change materials
,Energy Conversion , Harvesting
,Thermal-to-electrical energy conversion based on thermo-diffusion of electrons , ions
,Simultaneous energy conversion , storage with thermally chargeable supercapacitors
,Hydrogen generation with electrochemical cells</t>
  </si>
  <si>
    <t>Minghui Zheng</t>
  </si>
  <si>
    <t>mhzheng@tamu.edu</t>
  </si>
  <si>
    <t>Human-robot collaboration
Robotic motion planning
Task allocation and sequence planning
Collaborative disassembly, recycling, and remanufacturing
Learning-based control for heterogenous robots
Cable-driven robotic hand design and manipulation
Collaborative estimation using connected vehicles</t>
  </si>
  <si>
    <t>Yuxiao Zhou</t>
  </si>
  <si>
    <t>yzhou@tamu.edu</t>
  </si>
  <si>
    <t>Orthopaedic device design
Computational and experimental biomechanics
Bone regeneration
In situ mechanical test and digital volume correlation (DVC)
Mechanobiology
Machine learning</t>
  </si>
  <si>
    <t>Orthopaedic device design
,Computational , experimental biomechanics
,Bone regeneration
,Mechanobiology
,Machine learning</t>
  </si>
  <si>
    <t>University of California--Los Angeles (Samueli)
Los Angeles , CA</t>
  </si>
  <si>
    <r>
      <rPr>
        <sz val="10"/>
        <color rgb="FF000000"/>
        <rFont val="Arial"/>
        <family val="2"/>
      </rPr>
      <t xml:space="preserve">Chair - </t>
    </r>
    <r>
      <rPr>
        <u/>
        <sz val="10"/>
        <color rgb="FF000000"/>
        <rFont val="Arial"/>
        <family val="2"/>
      </rPr>
      <t>Xiaolin Zhong</t>
    </r>
  </si>
  <si>
    <t>xiaolin@seas.ucla.edu</t>
  </si>
  <si>
    <t>Computational fluid dynamics, hypersonic flows, development of new very high-order numerical methods, numerical simulation of hypersonic boundary layer receptivity, stability, and transition, numerical simulation of real-gas hypersonic flow, development of high-order immersed interface method for flow simulations, DNS of strong shock interaction with turbulence, numerical simulation studies of wave energy harvesting devices.</t>
  </si>
  <si>
    <t>Computational fluid dynamics, hypersonic flows, development of new very high-order numerical methods, numerical simulation of hypersonic boundary layer receptivity, stability, transition, numerical simulation of real-gas hypersonic flow, development of high-order immersed interface method for flow simulations, DNS of strong shock interaction with turbulence, numerical simulation studies of wave energy harvesting devices,</t>
  </si>
  <si>
    <t>Samueli Mechanical and Aerospace Engineering</t>
  </si>
  <si>
    <t>Gregory Carman</t>
  </si>
  <si>
    <t>carman@seas.ucla.edu</t>
  </si>
  <si>
    <t xml:space="preserve">Nanoscale Multiferroic materials, piezoelectric materials, magnetostrictive materials, thin film shape memory alloys, fiber optic sensors.
</t>
  </si>
  <si>
    <t xml:space="preserve">Nanoscale Multiferroic materials, piezoelectric materials, magnetostrictive materials, thin film shape memory alloys, fiber optic sensors,
</t>
  </si>
  <si>
    <t>Yong Chen</t>
  </si>
  <si>
    <t>yongchen@seas.ucla.edu</t>
  </si>
  <si>
    <t xml:space="preserve">Nanofabrication. Nanoscale electronic materials and devices. Micro-Nano electronic/optical/bio/mechanical systems. Ultra-scale spatial and temporal characterization.
</t>
  </si>
  <si>
    <t xml:space="preserve">Nanofabrication, Nanoscale electronic materials , devices, Micro-Nano electronic/optical/bio/mechanical systems, Ultra-scale spatial , temporal characterization,
</t>
  </si>
  <si>
    <t>Pei-Yu “Eric” Chiou</t>
  </si>
  <si>
    <t>pychiou@seas.ucla.edu</t>
  </si>
  <si>
    <t xml:space="preserve">Biophotonics, nanophotonics, BioMEMS/NEMS, electrokinetics, microfluidics and biofluidics, guided self-assembly, high throughput single cell analysis.
</t>
  </si>
  <si>
    <t xml:space="preserve">Biophotonics, nanophotonics, BioMEMS/NEMS, electrokinetics, microfluidics , biofluidics, guided self-assembly, high throughput single cell analysis,
</t>
  </si>
  <si>
    <t>#16 - Best Engineering Schools</t>
  </si>
  <si>
    <t>Tyler Clites</t>
  </si>
  <si>
    <t>clites@ucla.edu</t>
  </si>
  <si>
    <t xml:space="preserve">Bionic systems to rehabilitate and augment human function, neural interfacing and control, advancements in orthopaedic and plastic surgery.
</t>
  </si>
  <si>
    <t xml:space="preserve">Bionic systems to rehabilitate , augment human function, neural interfacing , control, advancements in orthopaedic , plastic surgery,
</t>
  </si>
  <si>
    <t>Artur Davoyan</t>
  </si>
  <si>
    <t>davoyan@seas.ucla.edu</t>
  </si>
  <si>
    <t>Advanced materials and systems for applications in space, energy and communications. Advanced and breakthrough propulsion. High power and high energy lasers, laser materials interaction. Nanoscale and two-dimensional materials, metamaterials, plasmonics, metasurfaces. Optoelectronics and photonic devices.</t>
  </si>
  <si>
    <t>Advanced materials , systems for applications in space, energy , communications, Advanced , breakthrough propulsion, High power , high energy lasers, laser materials interaction, Nanoscale , two-dimensional materials, metamaterials, plasmonics, metasurfaces, Optoelectronics , photonic devices,</t>
  </si>
  <si>
    <t>Vijay Dhir</t>
  </si>
  <si>
    <t>vdhir@seas.ucla.edu</t>
  </si>
  <si>
    <t>Two-phase heat transfer, boiling and condensation, thermal and hydrodynamic stability, thermal hydraulics of nuclear reactors, microgravity heat transfer, soil remediation.</t>
  </si>
  <si>
    <t>Two-phase heat transfer, boiling , condensation, thermal , hydrodynamic stability, thermal hydraulics of nuclear reactors, microgravity heat transfer, soil remediation,</t>
  </si>
  <si>
    <t>Anushri Dixit</t>
  </si>
  <si>
    <t xml:space="preserve">Autonomy, robotics, safety-critical decision-making, stochastic control, model predictive control, and risk-aware planning.
</t>
  </si>
  <si>
    <t xml:space="preserve">Autonomy, robotics, safety-critical decision-making, stochastic control, model predictive control, risk-aware planning,
</t>
  </si>
  <si>
    <t>Jeff Eldredge</t>
  </si>
  <si>
    <t>eldredge@seas.ucla.edu</t>
  </si>
  <si>
    <t>Computational and theoretical investigations of fluid dynamics, including unsteady aerodynamics, bio-inspired locomotion, fluid-structure interactions, and biomedical flows.</t>
  </si>
  <si>
    <t>Computational , theoretical investigations of fluid dynamics, including unsteady aerodynamics, bio-inspired locomotion, fluid-structure interactions, biomedical flows,</t>
  </si>
  <si>
    <t>Tim Fisher</t>
  </si>
  <si>
    <t>tsfisher@ucla.edu</t>
  </si>
  <si>
    <t xml:space="preserve">Transport processes by electrons, phonons, photons, and fluids, applications in energy transport, conversion, and storage relevant to major industrial segments (aerospace, micro/nanoelectronics, sensors).
</t>
  </si>
  <si>
    <t xml:space="preserve">Transport processes by electrons, phonons, photons, fluids, applications in energy transport, conversion, storage relevant to major industrial segments (aerospace, micro/nanoelectronics, sensors),
</t>
  </si>
  <si>
    <t>Elisa Franco</t>
  </si>
  <si>
    <t>efranco@seas.ucla.edu</t>
  </si>
  <si>
    <t xml:space="preserve">Convergence of structural biology, dynamics and controls using specialized biomolecular frameworks.
</t>
  </si>
  <si>
    <t xml:space="preserve">Convergence of structural biology, dynamics , controls using specialized biomolecular frameworks,
</t>
  </si>
  <si>
    <t>Rajit Gadh</t>
  </si>
  <si>
    <t>rgadh@seas.ucla.edu</t>
  </si>
  <si>
    <t xml:space="preserve">Smart Grid, Electric Vehicle and Grid Integration, Microgrid, Distributed Energy Resource, Solar- and renewable- grid integration, Demand Response, Autonomous Electric Vehicle, Radio Frequency Identification (RFID), Wireless sensors and sensor fusion, Internet of Things, CAD/VR.
</t>
  </si>
  <si>
    <t xml:space="preserve">Smart Grid, Electric Vehicle , Grid Integration, Microgrid, Distributed Energy Resource, Solar- , renewable- grid integration, Dem, Response, Autonomous Electric Vehicle, Radio Frequency Identification (RFID), Wireless sensors , sensor fusion, Internet of Things, CAD/VR,
</t>
  </si>
  <si>
    <t>$13,318 per year (in-state, full-time)</t>
  </si>
  <si>
    <t>Vijay Gupta</t>
  </si>
  <si>
    <t>vgupta@seas.ucla.edu</t>
  </si>
  <si>
    <t>Experimental mechanics, fracture of engineering solids, mechanics of thin films and interfaces, failure mechanisms and characterization of composite materials, ice mechanics. PGupta’s interests in biomedical engineering include using high frequency laser-generated acoustic pulses for dissociation of intercellular and cell-to-Ti bonds for the treatment of arrhythmias and development of efficient titanium implants, respectively.</t>
  </si>
  <si>
    <t>Experimental mechanics, fracture of engineering solids, mechanics of thin films , interfaces, failure mechanisms , characterization of composite materials, ice mechanics, PGupta’s interests in biomedical engineering include using high frequency laser-generated acoustic pulses for dissociation of intercellular , cell-to-Ti bonds for the treatment of arrhythmias , development of efficient titanium implants, respectively,</t>
  </si>
  <si>
    <t>Dennis Hong</t>
  </si>
  <si>
    <t>dennishong@ucla.edu</t>
  </si>
  <si>
    <t>Humanoids &amp; Bipedal Robots, Robot Locomotion &amp; Manipulation, Soft Actuators, Robotic Platforms, Autonomous Vehicles, Machine Design, Kinematics &amp; Mechanisms.</t>
  </si>
  <si>
    <t>Humanoids &amp; Bipedal Robots, Robot Locomotion &amp; Manipulation, Soft Actuators, Robotic Platforms, Autonomous Vehicles, Machine Design, Kinematics &amp; Mechanisms,</t>
  </si>
  <si>
    <t>Jonathan Hopkins</t>
  </si>
  <si>
    <t>hopkins@seas.ucla.edu</t>
  </si>
  <si>
    <t xml:space="preserve">The aim of Hopkins’ research is to enable the design, analysis, and fabrication of sophisticated flexible structures that possess extraordinary capabilities (e.g., significant shape and size mutability, elastic energy storage and release utility, high motion path repeatability, actuation simplicity, kinematic and dynamic complexity). His approach for designing these structures is unique in that it utilizes geometric shapes, which represent the rigorous mathematics of physics, to visually guide designers through the creative process of concept generation. These shapes enable designers to rapidly conceptualize and compare every concept that satisfies any given set of desired kinematic, elastomechanic, and dynamic design requirements before selecting the optimal concept.
</t>
  </si>
  <si>
    <t xml:space="preserve">The aim of Hopkins’ research is to enable the design, analysis, fabrication of sophisticated flexible structures that possess extraordinary capabilities (e,g,, significant shape , size mutability, elastic energy storage , release utility, high motion path repeatability, actuation simplicity, kinematic , dynamic complexity), His approach for designing these structures is unique in that it utilizes geometric shapes, which represent the rigorous mathematics of physics, to visually guide designers through the creative process of concept generation, These shapes enable designers to rapidly conceptualize , compare every concept that satisfies any given set of desired kinematic, elastomechanic, dynamic design requirements before selecting the optimal concept,
</t>
  </si>
  <si>
    <t>Yongjie Hu</t>
  </si>
  <si>
    <t>yhu@seas.ucla.edu</t>
  </si>
  <si>
    <t>Heat transfer and electron transport in nanostructures, interfaces &amp; packaging. Thermal, electronic, optoelectronic, thermoelectric devices and systems. Energy conversion, storage and thermal management. Ultrafast optical spectroscopy and high-frequency electronics. Nanomaterials design, processing and manufacturing.</t>
  </si>
  <si>
    <t>Heat transfer , electron transport in nanostructures, interfaces &amp; packaging, Thermal, electronic, optoelectronic, thermoelectric devices , systems, Energy conversion, storage , thermal management, Ultrafast optical spectroscopy , high-frequency electronics, Nanomaterials design, processing , manufacturing,</t>
  </si>
  <si>
    <t>Tetsuya “teD” Iwasaki</t>
  </si>
  <si>
    <t>iwasaki@seas.ucla.edu</t>
  </si>
  <si>
    <t>Neuronal control mechanism of animal locomotion, nonlinear oscillators, and robust/nonlinear control theory and its applications to mechanical, aerospace, and electrical systems.</t>
  </si>
  <si>
    <t>Neuronal control mechanism of animal locomotion, nonlinear oscillators, robust/nonlinear control theory , its applications to mechanical, aerospace, electrical systems,</t>
  </si>
  <si>
    <t>Lihua Jin</t>
  </si>
  <si>
    <t>lihuajin@seas.ucla.edu</t>
  </si>
  <si>
    <t>Mechanics of soft materials instability, fracture, and stimuli-responsive materials. Continuum mechanics and applications in technologies additive manufacturing, soft robotics, and stretchable electronics. Nanomechanics and multiscale modeling. Biomechanics.</t>
  </si>
  <si>
    <t>Mechanics of soft materials instability, fracture, stimuli-responsive materials, Continuum mechanics , applications in technologies additive manufacturing, soft robotics, stretchable electronics, Nanomechanics , multiscale modeling, Biomechanics,</t>
  </si>
  <si>
    <t>Anya Jones</t>
  </si>
  <si>
    <t>arj@ucla.edu</t>
  </si>
  <si>
    <t>Experimental and theoretical fluid dynamics and aerodynamics with a focus on unsteady, separated, and three-dimensional flows.</t>
  </si>
  <si>
    <t>Y. Sungtaek Ju</t>
  </si>
  <si>
    <t>sungtaek.ju@ucla.edu</t>
  </si>
  <si>
    <t>Micro- and nanoscale thermosciencs, energy, bioMEMS/NEMS, nanofabrication</t>
  </si>
  <si>
    <t>Micro- , nanoscale thermosciencs, energy, bioMEMS/NEMS, nanofabrication</t>
  </si>
  <si>
    <t>Ann Karagozian</t>
  </si>
  <si>
    <t>ark@ucla.edu</t>
  </si>
  <si>
    <t xml:space="preserve">Fluid mechanics and combustion, with applications to improved engine efficiency, reduced emissions, alternative fuels, and advanced high speed air breathing and rocket propulsion systems.
</t>
  </si>
  <si>
    <t xml:space="preserve">Fluid mechanics , combustion, with applications to improved engine efficiency, reduced emissions, alternative fuels, advanced high speed air breathing , rocket propulsion systems,
</t>
  </si>
  <si>
    <t>Pirouz Kavehpour</t>
  </si>
  <si>
    <t>pirouz@seas.ucla.edu</t>
  </si>
  <si>
    <t>Microfluidics and biofluidics, biofuel cells, cardiovascular flow, complex fluids, interfacial physics, micro-tribology, non-isothermal flows, drug delivery systems, and artificial organs.</t>
  </si>
  <si>
    <t>Microfluidics , biofluidics, biofuel cells, cardiovascular flow, complex fluids, interfacial physics, micro-tribology, non-isothermal flows, drug delivery systems, artificial organs,</t>
  </si>
  <si>
    <t>M. Khalid Jawed</t>
  </si>
  <si>
    <t>khalidjm@seas.ucla.edu</t>
  </si>
  <si>
    <t>Structures-Computer Interaction Lab works at the intersection of mechanics, robotics, machine learning, and computer graphics. The lab uses mechanics to create robots and smart structures with unprecedented capabilities. In parallel, it employs robotics to uncover the fascinating mechanics behind advanced materials and biological locomotion. Machine learning-assisted physics-based modeling of flexible structures and robots is a core theme of the group's research. Applied RProjects include robotics and automation for precision agriculture.</t>
  </si>
  <si>
    <t>Structures-Computer Interaction Lab works at the intersection of mechanics, robotics, machine learning, computer graphics, The lab uses mechanics to create robots , smart structures with unprecedented capabilities, In parallel, it employs robotics to uncover the fascinating mechanics behind advanced materials , biological locomotion, Machine learning-assisted physics-based modeling of flexible structures , robots is a core theme of the group's research, Applied RProjects include robotics , automation for precision agriculture,</t>
  </si>
  <si>
    <t>Chang-Jin “CJ” Kim</t>
  </si>
  <si>
    <t>cjkim@ucla.edu</t>
  </si>
  <si>
    <t>Microelectromechanical systems (MEMS), surface-tension-based actuation, nanotechnology for surface control, microdevices including microfluidic applications, superhydrophobic drag reduction, full spectrum of micromachining technologies.</t>
  </si>
  <si>
    <t>Microelectromechanical systems (MEMS), surface-tension-based actuation, nanotechnology for surface control, microdevices including microfluidic applications, superhydrophobic drag reduction, full spectrum of micromachining technologies,</t>
  </si>
  <si>
    <t>Adrienne Lavine</t>
  </si>
  <si>
    <t>lavine@seas.ucla.edu</t>
  </si>
  <si>
    <t xml:space="preserve">Solar thermal energy storage, thermal energy harvesting, thermal control of nanoscale manufacturing, thermomechanical behavior of shape memory alloys, thermal aspects of manufacturing processes including machining and plasma thermal spray.
</t>
  </si>
  <si>
    <t xml:space="preserve">Solar thermal energy storage, thermal energy harvesting, thermal control of nanoscale manufacturing, thermomechanical behavior of shape memory alloys, thermal aspects of manufacturing processes including machining , plasma thermal spray,
</t>
  </si>
  <si>
    <t>Xiaochun Li</t>
  </si>
  <si>
    <t>xcli@seas.ucla.edu</t>
  </si>
  <si>
    <t xml:space="preserve">Scifacturing (science-driven manufacturing), Super Metals by Nanoparticles Self-Dispersion, Scalable Nanomanufacturing, Smart Manufacturing, Additive Manufacturing.
</t>
  </si>
  <si>
    <t xml:space="preserve">Scifacturing (science-driven manufacturing), Super Metals by Nanoparticles Self-Dispersion, Scalable Nanomanufacturing, Smart Manufacturing, Additive Manufacturing,
</t>
  </si>
  <si>
    <t>Neil Lin</t>
  </si>
  <si>
    <t>neillin@g.ucla.edu</t>
  </si>
  <si>
    <t>Engineering of soft and living materials
Structure, dynamics, and mechanics of biomaterials
Image-based force measurements in soft matter
Quantitative imaging for material characterizations</t>
  </si>
  <si>
    <t>Engineering of soft , living materials
Structure, dynamics, mechanics of biomaterials
Image-based force measurements in soft matter
Quantitative imaging for material characterizations</t>
  </si>
  <si>
    <t>BreTTLopez</t>
  </si>
  <si>
    <t>btlopez@ucla.edu</t>
  </si>
  <si>
    <t>Robert M’Closkey</t>
  </si>
  <si>
    <t>rtm@seas.ucla.edu</t>
  </si>
  <si>
    <t xml:space="preserve">Nonlinear control theory and design with application to mechanical and aerospace systems, real-time implementation.
</t>
  </si>
  <si>
    <t xml:space="preserve">Nonlinear control theory , design with application to mechanical , aerospace systems, real-time implementation,
</t>
  </si>
  <si>
    <t>Laurent Pilon</t>
  </si>
  <si>
    <t>pilon@seas.ucla.edu</t>
  </si>
  <si>
    <t>Transport phenomena, radiation transfer, thermal sciences, interfacial phenomena, sustainable energy technologies, electrochemical energy storage, photobiological processes, waste heat harvesting.</t>
  </si>
  <si>
    <t>Transport phenomena, radiation transfer, thermal sciences, interfacial phenomena, sustainable energy technologies, electrochemical energy storage, photobiological processes, waste heat harvesting,</t>
  </si>
  <si>
    <t>Jacob Rosen</t>
  </si>
  <si>
    <t>jacobrosen@ucla.edu</t>
  </si>
  <si>
    <t>Biorobotics, Human centered robotics, medical robotics (surgery and rehabilitation), wearable robotics (exoskeleton), teleoperation, haptics and virtual reality, biomechanics, neuromuscular control, and human-machine interfaces.</t>
  </si>
  <si>
    <t>Biorobotics, Human centered robotics, medical robotics (surgery , rehabilitation), wearable robotics (exoskeleton), teleoperation, haptics , virtual reality, biomechanics, neuromuscular control, human-machine interfaces,</t>
  </si>
  <si>
    <t>Veronica Santos</t>
  </si>
  <si>
    <t>vjsantos@ucla.edu</t>
  </si>
  <si>
    <t>GrasPand manipulation, hand biomechanics, haptics, human-machine systems, machine learning, machine perception, neural control of movement, prosthetics, robotics, stochastic modeling, tactile sensors.</t>
  </si>
  <si>
    <t>GrasP, manipulation, h, biomechanics, haptics, human-machine systems, machine learning, machine perception, neural control of movement, prosthetics, robotics, stochastic modeling, tactile sensors,</t>
  </si>
  <si>
    <t>Mitchell Spearrin</t>
  </si>
  <si>
    <t>spearrin@ucla.edu</t>
  </si>
  <si>
    <t>Spectroscopy and gas dynamics, advanced optical sensors, including laser absorption and fluorescence, with experimental application to propulsion, energy systems, and other reacting flow fields.</t>
  </si>
  <si>
    <t>Spectroscopy , gas dynamics, advanced optical sensors, including laser absorption , fluorescence, with experimental application to propulsion, energy systems, other reacting flow fields,</t>
  </si>
  <si>
    <t>Jason Speyer</t>
  </si>
  <si>
    <t>speyer@seas.ucla.edu</t>
  </si>
  <si>
    <t>Stochastic and deterministic optimal control and estimation with application to aerospace systems, guidance, flight control, and flight mechanics.</t>
  </si>
  <si>
    <t>Stochastic , deterministic optimal control , estimation with application to aerospace systems, guidance, flight control, flight mechanics,</t>
  </si>
  <si>
    <t>Kunihiko “Sam” Taira</t>
  </si>
  <si>
    <t>ktaira@seas.ucla.edu</t>
  </si>
  <si>
    <t>Analysis, modeling, and control of fluid flows using high-performance computing by combining concepts from fluid mechanics, dynamical systems theory, network science, and data science.</t>
  </si>
  <si>
    <t>Analysis, modeling, control of fluid flows using high-performance computing by combining concepts from fluid mechanics, dynamical systems theory, network science, data science,</t>
  </si>
  <si>
    <t>Tsu-Chin “T-C.” Tsao</t>
  </si>
  <si>
    <t>ttsao@seas.ucla.edu</t>
  </si>
  <si>
    <t>Modeling and control of dynamic systems with applications in mechanical systems, manufacturing processes, automotive systems, and energy systems, digital control, repetitive and learning control, adaptive and optimal control, mechatronics.</t>
  </si>
  <si>
    <t>Modeling , control of dynamic systems with applications in mechanical systems, manufacturing processes, automotive systems, energy systems, digital control, repetitive , learning control, adaptive , optimal control, mechatronics,</t>
  </si>
  <si>
    <t>Amiya Chatterjee</t>
  </si>
  <si>
    <t>amiya@ucla.edu</t>
  </si>
  <si>
    <t>Pennsylvania State University--University Park</t>
  </si>
  <si>
    <t>Amrita Basak</t>
  </si>
  <si>
    <t>aub1526@psu.edu</t>
  </si>
  <si>
    <t>Design &amp; Manufacturing, Manufacturing, Mechanical Sciences, Multiscale and Multiphysics Modeling, Computational Analysis, Sensors &amp; Controls, Thermal/Fluid Sciences</t>
  </si>
  <si>
    <t>Design &amp; Manufacturing, Manufacturing, Mechanical Sciences, Multiscale , Multiphysics Modeling, Computational Analysis, Sensors &amp; Controls, Thermal/Fluid Sciences</t>
  </si>
  <si>
    <t>Allison Beese</t>
  </si>
  <si>
    <t>amb961@psu.edu</t>
  </si>
  <si>
    <t>Mechanics of materials
Additive manufacturing
Analysis &amp; characterization
Microstructure
Finite element analysis
Metals</t>
  </si>
  <si>
    <t>Department of Mechanical Engineering</t>
  </si>
  <si>
    <t>Catherine Berdanier</t>
  </si>
  <si>
    <t>cgb9@psu.edu</t>
  </si>
  <si>
    <t xml:space="preserve">Engineering Education
</t>
  </si>
  <si>
    <t>Reid Berdanier</t>
  </si>
  <si>
    <t>rzb68@psu.edu</t>
  </si>
  <si>
    <t xml:space="preserve">Energy Systems; Thermal/Fluid Science
</t>
  </si>
  <si>
    <t>Sean Brennan</t>
  </si>
  <si>
    <t>snb10@psu.edu</t>
  </si>
  <si>
    <t xml:space="preserve">Mechanical Sciences, Sensors &amp; Controls, Transportation Systems
</t>
  </si>
  <si>
    <t>#17 - Mechanical Engineering</t>
  </si>
  <si>
    <t>Melissa Brindise</t>
  </si>
  <si>
    <t>mcb5351@psu.edu</t>
  </si>
  <si>
    <t>Biomedical/Bioengineering, Experimental Fluid Dynamics, Thermal/Fluid Sciences</t>
  </si>
  <si>
    <t>#32 - Best Engineering Schools</t>
  </si>
  <si>
    <t>Margaret Busse</t>
  </si>
  <si>
    <t>mmbusse@psu.edu</t>
  </si>
  <si>
    <t>fundamental photochemistry, optics, experimental fluid dynamics, system design, and system analysis</t>
  </si>
  <si>
    <t>fundamental photochemistry, optics, experimental fluid dynamics, system design, system analysis</t>
  </si>
  <si>
    <t>Jared Butler</t>
  </si>
  <si>
    <t>jpb6635@psu.edu</t>
  </si>
  <si>
    <t>Mechanical System Design, including Compliant Mechanisms, Origami-Inspired Mechanisms, Developable Mechanisms, Space Mechanisms, Medical Devices; Budding Interest: Design Pedagogy</t>
  </si>
  <si>
    <t>Margaret Byron</t>
  </si>
  <si>
    <t>mbyron@psu.edu</t>
  </si>
  <si>
    <t xml:space="preserve">Biomechanics and Mechanobiology, Experimental Fluid Dynamics
</t>
  </si>
  <si>
    <t xml:space="preserve">Biomechanics , Mechanobiology, Experimental Fluid Dynamics
</t>
  </si>
  <si>
    <t>Bo Cheng</t>
  </si>
  <si>
    <t>buc10@psu.edu</t>
  </si>
  <si>
    <t xml:space="preserve">Biomechanics and Mechanobiology, Mechanical Sciences, Sensors &amp; Controls
</t>
  </si>
  <si>
    <t xml:space="preserve">Biomechanics , Mechanobiology, Mechanical Sciences, Sensors &amp; Controls
</t>
  </si>
  <si>
    <t>Huanyu Cheng</t>
  </si>
  <si>
    <t>huc24@psu.edu</t>
  </si>
  <si>
    <t>Advanced Materials and Devices; Applied Mechanics and Biomechanics; Nanoscience, Bionanoscience and Engineering; Structural and Human Health Monitoring</t>
  </si>
  <si>
    <t>Fan-Bill Cheung</t>
  </si>
  <si>
    <t>fxc4@psu.edu</t>
  </si>
  <si>
    <t xml:space="preserve">Energy Systems, Nuclear Power, Thermal/Fluid Sciences
</t>
  </si>
  <si>
    <t>Sukwon Choi</t>
  </si>
  <si>
    <t>sfc5185@psu.edu</t>
  </si>
  <si>
    <t xml:space="preserve">Energy Systems, Thermal/Fluid Sciences
</t>
  </si>
  <si>
    <t>John M. Cimbala</t>
  </si>
  <si>
    <t>jmc6@psu.edu</t>
  </si>
  <si>
    <t xml:space="preserve">Energy Systems, Thermal/Fluid Sciences
</t>
  </si>
  <si>
    <t>Daniel Cortes</t>
  </si>
  <si>
    <t>dhc13@psu.edu</t>
  </si>
  <si>
    <t xml:space="preserve">Biomechanics and Mechanobiology
</t>
  </si>
  <si>
    <t xml:space="preserve">Biomechanics , Mechanobiology
</t>
  </si>
  <si>
    <t>Satadru Dey</t>
  </si>
  <si>
    <t>skd5685@psu.edu</t>
  </si>
  <si>
    <t xml:space="preserve">Energy Systems, Sensors &amp; Controls, Transportation Systems
</t>
  </si>
  <si>
    <t>$26,062 per year (in-state, full-time)</t>
  </si>
  <si>
    <t>Jing Du</t>
  </si>
  <si>
    <t>jzd15@psu.edu</t>
  </si>
  <si>
    <t>Katie Fitzsimons</t>
  </si>
  <si>
    <t>kzf5356@psu.edu</t>
  </si>
  <si>
    <t xml:space="preserve">Biomechanics and Mechanobiology, Mechanical Sciences, Sensors &amp; Controls
</t>
  </si>
  <si>
    <t xml:space="preserve">Biomechanics , Mechanobiology, Mechanical Sciences, Sensors &amp; Controls
</t>
  </si>
  <si>
    <r>
      <rPr>
        <sz val="10"/>
        <color rgb="FF000000"/>
        <rFont val="Arial"/>
        <family val="2"/>
      </rPr>
      <t xml:space="preserve">Head - </t>
    </r>
    <r>
      <rPr>
        <u/>
        <sz val="10"/>
        <color rgb="FF000000"/>
        <rFont val="Arial"/>
        <family val="2"/>
      </rPr>
      <t>Mary Frecker</t>
    </r>
  </si>
  <si>
    <t>mxf36@psu.edu</t>
  </si>
  <si>
    <t xml:space="preserve">Biomechanics and Mechanobiology, Design &amp; Manufacturing, Mechanical Sciences
</t>
  </si>
  <si>
    <t xml:space="preserve">Biomechanics , Mechanobiology, Design &amp; Manufacturing, Mechanical Sciences
</t>
  </si>
  <si>
    <t>Brian Fronk</t>
  </si>
  <si>
    <t>bmf141@psu.edu</t>
  </si>
  <si>
    <t>Samuel Grauer</t>
  </si>
  <si>
    <t>sgrauer@psu.edu</t>
  </si>
  <si>
    <t xml:space="preserve">Sensors &amp; Controls, Thermal/Fluid Sciences
</t>
  </si>
  <si>
    <t>Tamy Guimarães</t>
  </si>
  <si>
    <t>guimaraes@psu.edu</t>
  </si>
  <si>
    <t>Derek Hall</t>
  </si>
  <si>
    <t>dmh5373@psu.edu</t>
  </si>
  <si>
    <t>October 2022 - March 2024, "Membrane-Based Electrochemical Sensors for Corrosion and Environmental Monitoring in Natural Gas Pipelines," (Sponsor: U.S. Department of Energy).
March 2021 - July 2023, "Development of an All-Aqueous Thermally Regenerative Redox Flow Battery to Support Fossil Fuel Assets," (Sponsor: U.S. Department of Energy).
January 2020 - December 2023, "A Critical Assessment of Chemistry Action Level Limits for Chloride and Sulfate in Simulated Boiler Water Using Electrochemical Techniques," (Sponsor: Electric Power Research Institute).
  - December 2022, "Improving the Performance of Grid-Scale Batteries by Developing Advanced Carbon Electrocatalysts.," (Sponsor: College of Earth and Mineral Sciences Sustainability Fund).
 2015 -  2021, "In-Situ Corrosion Studies of Film-Forming Amine Protection for Online Hydrogen Damage and Offline Pitting," (Sponsor: Electric Power Research Institute).
  - December 2021, "New Low-Cost Flow Battery Chemistries via Ligand-Enhanced Redox Reactions," (Sponsor: Materials Research Institute).
 2014 -  2019, "Miniaturized and Cost-effective Membrane-Coated Electrochemical Sensors for Corrosion and Environmental Monitoring in Natural Gas Pipelines," (Sponsor: U.S. Department of Energy).</t>
  </si>
  <si>
    <t>Membrane-Based Electrochemical Sensors for Corrosion , Environmental Monitoring in Natural Gas Pipelines,Improving the Performance of Grid-Scale Batteries by Developing Advanced Carbon Electrocatalysts</t>
  </si>
  <si>
    <t>Aman Haque</t>
  </si>
  <si>
    <t>mah37@psu.edu</t>
  </si>
  <si>
    <t>Ryan Harne</t>
  </si>
  <si>
    <t>rqh5445@psu.edu</t>
  </si>
  <si>
    <t xml:space="preserve">Design &amp; Manufacturing, Mechanical Sciences, Sensors &amp; Controls
</t>
  </si>
  <si>
    <t>Sanjay Joshi</t>
  </si>
  <si>
    <t>sbj4@psu.edu</t>
  </si>
  <si>
    <t>Research Interests: Computer-Aided Process Planning, CAD/CAM, Control of Manufacturing Systems, Additive Manufacturing</t>
  </si>
  <si>
    <t>Ilya Kovalenko</t>
  </si>
  <si>
    <t>iqk5135@psu.edu</t>
  </si>
  <si>
    <t xml:space="preserve">Design &amp; Manufacturing, Manufacturing, Sensors &amp; Controls
</t>
  </si>
  <si>
    <t>Reuben Kraft</t>
  </si>
  <si>
    <t>rhk12@psu.edu</t>
  </si>
  <si>
    <t xml:space="preserve">Biomechanics and Mechanobiology, Mechanical Sciences
</t>
  </si>
  <si>
    <t xml:space="preserve">Biomechanics , Mechanobiology, Mechanical Sciences
</t>
  </si>
  <si>
    <t>Anil Kulkarni</t>
  </si>
  <si>
    <t>akk@psu.edu</t>
  </si>
  <si>
    <t>Robert Kunz</t>
  </si>
  <si>
    <t>rfk102@psu.edu</t>
  </si>
  <si>
    <t>Stephen Lynch</t>
  </si>
  <si>
    <t>spl11@psu.edu</t>
  </si>
  <si>
    <t>Energy Systems, Thermal/Fluid Sciences</t>
  </si>
  <si>
    <t>Guha Manogharan</t>
  </si>
  <si>
    <t>gum53@psu.edu</t>
  </si>
  <si>
    <t xml:space="preserve">Design &amp; Manufacturing, Manufacturing
</t>
  </si>
  <si>
    <t>Anne Martin</t>
  </si>
  <si>
    <t>aem34@psu.edu</t>
  </si>
  <si>
    <t>Jessica Menold</t>
  </si>
  <si>
    <t>jdm5407@psu.edu</t>
  </si>
  <si>
    <t xml:space="preserve">Engineering Design
</t>
  </si>
  <si>
    <t>Jean-Michel Mongeau</t>
  </si>
  <si>
    <t>jmm1175@psu.edu</t>
  </si>
  <si>
    <t xml:space="preserve">Biomechanics and Mechanobiology, Neuromechanics, Sensors &amp; Controls
</t>
  </si>
  <si>
    <t xml:space="preserve">Biomechanics , Mechanobiology, Neuromechanics, Sensors &amp; Controls
</t>
  </si>
  <si>
    <t>Jason Moore</t>
  </si>
  <si>
    <t>jzm14@psu.edu</t>
  </si>
  <si>
    <t>Joseph Najem</t>
  </si>
  <si>
    <t>jsn5211@psu.edu</t>
  </si>
  <si>
    <t xml:space="preserve">Biomedical/Bioengineering, Design &amp; Manufacturing, Energy Systems, Mechanical Sciences, Sensors &amp; Controls
</t>
  </si>
  <si>
    <t>Jacqueline O'Connor</t>
  </si>
  <si>
    <t>jxo22@psu.edu</t>
  </si>
  <si>
    <t xml:space="preserve">Energy Systems; Thermal/Fluid Sciences; Transportation Systems
</t>
  </si>
  <si>
    <t>Herschel Pangborn</t>
  </si>
  <si>
    <t>hxp5027@psu.edu</t>
  </si>
  <si>
    <t xml:space="preserve">Energy Systems, Sensors &amp; Controls, Thermal/Fluid Sciences, Transportation Systems
</t>
  </si>
  <si>
    <t>Matthew Parkinson</t>
  </si>
  <si>
    <t>mbp11@psu.edu</t>
  </si>
  <si>
    <t xml:space="preserve">Biomechanics and Mechanobiology, Design &amp; Manufacturing, Engineering Design, Human Factors/Ergonomics, Mechanical Sciences
</t>
  </si>
  <si>
    <t xml:space="preserve">Biomechanics , Mechanobiology, Design &amp; Manufacturing, Engineering Design, Human Factors/Ergonomics, Mechanical Sciences
</t>
  </si>
  <si>
    <t>Laura Pauley</t>
  </si>
  <si>
    <t>llp1@psu.edu</t>
  </si>
  <si>
    <t>Christopher Rahn</t>
  </si>
  <si>
    <t>cdr10@psu.edu</t>
  </si>
  <si>
    <t xml:space="preserve">Energy Systems, Mechanical Sciences, Sensors &amp; Controls, Transportation Systems
</t>
  </si>
  <si>
    <t>Bladimir Ramos-Alvarado</t>
  </si>
  <si>
    <t>bzr52@psu.edu</t>
  </si>
  <si>
    <t>Computational and Experimental Fluid Dynamics, Interfaces and Surfaces, Multiscale and Multiphysics Modeling, Computational Analysis, Thermal/Fluid Sciences</t>
  </si>
  <si>
    <t>Computational , Experimental Fluid Dynamics, Interfaces , Surfaces, Multiscale , Multiphysics Modeling, Computational Analysis, Thermal/Fluid Sciences</t>
  </si>
  <si>
    <t>Alexander Rattner</t>
  </si>
  <si>
    <t>asr20@psu.edu</t>
  </si>
  <si>
    <t>Asok Ray</t>
  </si>
  <si>
    <t>axr2@psu.edu</t>
  </si>
  <si>
    <t xml:space="preserve">Energy Systems, Mechanical Sciences, Nuclear Power, Sensors &amp; Controls
</t>
  </si>
  <si>
    <t>Tahira Reid Smith</t>
  </si>
  <si>
    <t>tpr5404@psu.edu</t>
  </si>
  <si>
    <t>Michael Roan</t>
  </si>
  <si>
    <t>mjr110@psu.edu</t>
  </si>
  <si>
    <t>Timothy Simpson</t>
  </si>
  <si>
    <t>tws8@psu.edu</t>
  </si>
  <si>
    <t xml:space="preserve">Design &amp; Manufacturing, Manufacturing, Mechanical Sciences
</t>
  </si>
  <si>
    <t>Alok Sinha</t>
  </si>
  <si>
    <t>axs22@psu.edu</t>
  </si>
  <si>
    <t xml:space="preserve">Energy Systems, Mechanical Sciences, Sensors &amp; Controls
</t>
  </si>
  <si>
    <t>Karen Thole</t>
  </si>
  <si>
    <t>kat18@psu.edu</t>
  </si>
  <si>
    <t>Adri van Duin</t>
  </si>
  <si>
    <t>acv13@psu.edu</t>
  </si>
  <si>
    <t>Paris Von Lockette</t>
  </si>
  <si>
    <t>prv2@psu.edu</t>
  </si>
  <si>
    <t xml:space="preserve">Mechanical Sciences, Sensors &amp; Controls
</t>
  </si>
  <si>
    <t>Chao-Yang Wang</t>
  </si>
  <si>
    <t>cxw31@psu.edu</t>
  </si>
  <si>
    <t xml:space="preserve">Energy and Environment, Energy Systems, Thermal/Fluid Sciences, Transportation Systems
</t>
  </si>
  <si>
    <t xml:space="preserve">Energy , Environment, Energy Systems, Thermal/Fluid Sciences, Transportation Systems
</t>
  </si>
  <si>
    <t>Donghai Wang</t>
  </si>
  <si>
    <t>duw13@psu.edu</t>
  </si>
  <si>
    <t>Qian Wang</t>
  </si>
  <si>
    <t>quw6@psu.edu</t>
  </si>
  <si>
    <t xml:space="preserve">Mechanical Sciences, Sensors &amp; Controls
</t>
  </si>
  <si>
    <t>David Williams</t>
  </si>
  <si>
    <t>dmw72@psu.edu</t>
  </si>
  <si>
    <t xml:space="preserve">Thermal/Fluid Sciences
</t>
  </si>
  <si>
    <t>Tak Sing Wong</t>
  </si>
  <si>
    <t>tuw17@psu.edu</t>
  </si>
  <si>
    <t xml:space="preserve">Biomechanics and Mechanobiology, Design &amp; Manufacturing, Thermal/Fluid Sciences
</t>
  </si>
  <si>
    <t xml:space="preserve">Biomechanics , Mechanobiology, Design &amp; Manufacturing, Thermal/Fluid Sciences
</t>
  </si>
  <si>
    <t>Yuan Xuan</t>
  </si>
  <si>
    <t>yux19@psu.edu</t>
  </si>
  <si>
    <t>Xiang Yang</t>
  </si>
  <si>
    <t>xzy48@psu.edu</t>
  </si>
  <si>
    <t xml:space="preserve">Computational and Experimental Fluid Dynamics, Thermal/Fluid Sciences
</t>
  </si>
  <si>
    <t xml:space="preserve">Computational , Experimental Fluid Dynamics, Thermal/Fluid Sciences
</t>
  </si>
  <si>
    <t>Richard Yetter</t>
  </si>
  <si>
    <t>ray8@psu.edu</t>
  </si>
  <si>
    <t>Linxiao Zhu</t>
  </si>
  <si>
    <t>lqz5242@psu.edu</t>
  </si>
  <si>
    <t>University of Maryland--College Park (Clark)</t>
  </si>
  <si>
    <t>Agonafer, Damena</t>
  </si>
  <si>
    <t>agonafer@umd.edu</t>
  </si>
  <si>
    <t xml:space="preserve">PAgonafer’s  is at the intersection of thermal-fluid sciences, interfacial transport phenomena, and renewable energy. He is focused on developing novel materials and systems for thermal management of power and microelectronic systems, as well as for thermochemical and electrochemical energy storage applications. His goal is to achieve transformational changes in technologies by tuning and controlling solid-liquid-vapor interactions at micro-/nano length scales. Specific areas of focus include the development of novel materials and micro-/nanostructures for phase change heat transfer, thermochemical energy storage, and interfacial transport phenomena. Applications of his work include cooling high-powered electronics, battery thermal management, and data center cooling, and improving the efficiency of HVAC systems.
</t>
  </si>
  <si>
    <t>thermal-fluid sciences, interfacial transport phenomena, renewable energy, He is focused on developing novel materials , systems for thermal management of power , microelectronic systems, as well as for thermochemical , electrochemical energy storage applications</t>
  </si>
  <si>
    <t>Department of Mechanical Engineering - University of Maryland</t>
  </si>
  <si>
    <t>Azarm, Shapour</t>
  </si>
  <si>
    <t>azarm@umd.edu</t>
  </si>
  <si>
    <t xml:space="preserve">Design Optimization  Single- and multi-objective optimization, optimization under uncertainty, multiple coupled subsystems (system of systems) optimization, approximation assisted optimization with computationally expensive simulations
Decision Support Systems Multi-attribute decision analysis strategies for selection, capturing decision maker’s preferences under risky conditions, integration of business and engineering decisions
Design for Market Systems Design of competitive single products, product lines, bundled (multi-category) products with upstream (part/subassembly/assembly) and/or downstream supply chain (manufacturers, retailers, service provider), and online customer reviews considerations under uncertainty
Applications Consumer electronics (e.g., smart phones, tablet computer), heat exchangers, power tools, power electronics, data centers, oil refineries, oil/gas pipelines, unmanned vehicles (walking robots, unmanned aerial vehicles, unmanned surface vessels, unmanned underwater vehicles), network infrastructure, and numerous other applications </t>
  </si>
  <si>
    <t xml:space="preserve">Design Optimization  Single- , multi-objective optimization, optimization under uncertainty, multiple coupled subsystems (system of systems) optimization, approximation assisted optimization with computationally expensive simulations
Decision Support Systems Multi-attribute decision analysis strategies for selection, capturing decision maker’s preferences under risky conditions, integration of business , engineering decisions
Design for Market Systems Design of competitive single products, product lines, bundled (multi-category) products with upstream (part/subassembly/assembly) ,/or downstream supply chain (manufacturers, retailers, service provider), online customer reviews considerations under uncertainty
Applications Consumer electronics (e,g,, smart phones, tablet computer), heat exchangers, power tools, power electronics, data centers, oil refineries, oil/gas pipelines, unmanned vehicles (walking robots, unmanned aerial vehicles, unmanned surface vessels, unmanned underwater vehicles), network infrastructure, numerous other applications </t>
  </si>
  <si>
    <r>
      <rPr>
        <sz val="10"/>
        <color rgb="FF000000"/>
        <rFont val="Arial"/>
        <family val="2"/>
      </rPr>
      <t xml:space="preserve">Chair - </t>
    </r>
    <r>
      <rPr>
        <u/>
        <sz val="10"/>
        <color rgb="FF000000"/>
        <rFont val="Arial"/>
        <family val="2"/>
      </rPr>
      <t>Balachandran, Balakumar</t>
    </r>
  </si>
  <si>
    <t>balab@umd.edu</t>
  </si>
  <si>
    <t>Applied mathematics, Applied mechanics,  and Applied physics
Nonlinear phenomena, dynamics and vibrations, control, and system identification
Evolution of disease dynamics
Space based solutions for addressing global warming</t>
  </si>
  <si>
    <t>Applied mathematics, Applied mechanics, Applied physics
Nonlinear phenomena, dynamics , vibrations, control, system identification
Evolution of disease dynamics
Space based solutions for addressing global warming</t>
  </si>
  <si>
    <t>Baz, Amr</t>
  </si>
  <si>
    <t>baz@umd.edu</t>
  </si>
  <si>
    <t xml:space="preserve">Active and passive control of vibration and noise Active constrained layer damping Magnetic composites Active acoustic metamaterials
</t>
  </si>
  <si>
    <t xml:space="preserve">Active , passive control of vibration , noise Active constrained layer damping Magnetic composites Active acoustic metamaterials
</t>
  </si>
  <si>
    <t>#19 - Best Engineering Schools</t>
  </si>
  <si>
    <t>Bigio, David</t>
  </si>
  <si>
    <t>dbigio@umd.edu</t>
  </si>
  <si>
    <t>Polymer processing with a focus on mixing dynamics and controls Quality improvement of corporate practices through Lean Six Sigma (BlackBelt)</t>
  </si>
  <si>
    <t>Polymer processing with a focus on mixing dynamics , controls Quality improvement of corporate practices through Lean Six Sigma (BlackBelt)</t>
  </si>
  <si>
    <t>Bruck, Hugh</t>
  </si>
  <si>
    <t>bruck@umd.edu</t>
  </si>
  <si>
    <t xml:space="preserve">New techniques for rapid manufacturing and characterization of functionally graded, multifunctional, biologically-inspired, and nanocomposite materials Controlled formation of functionally graded and transversely modulated heterophase structures in thin films through diffusion and epitaxial principles Fundamental mechanical characterization and modeling of static and dynamic failure mechanisms in composite materials Development of new nanomechanical and multiscale characterization methods for composite materials and thin films New techniques for manufacturing Point-of-Care microfluidic devices using laminated object manufacturing and laser micromachining New biosensing principles for Point-of-Care microfluidic devices using optical methods and nanocomposite materials Development of multifunctional skins and compliant structures for robotics
</t>
  </si>
  <si>
    <t xml:space="preserve">New techniques for rapid manufacturing , characterization of functionally graded, multifunctional, biologically-inspired, nanocomposite materials Controlled formation of functionally graded , transversely modulated heterophase structures in thin films through diffusion , epitaxial principles Fundamental mechanical characterization , modeling of static , dynamic failure mechanisms in composite materials Development of new nanomechanical , multiscale characterization methods for composite materials , thin films New techniques for manufacturing Point-of-Care microfluidic devices using laminated object manufacturing , laser micromachining New biosensing principles for Point-of-Care microfluidic devices using optical methods , nanocomposite materials Development of multifunctional skins , compliant structures for robotics
</t>
  </si>
  <si>
    <t>Chopra, Nikhil</t>
  </si>
  <si>
    <t>nchopra@umd.edu</t>
  </si>
  <si>
    <t xml:space="preserve">Dynamics and control, robotics, control of networked autonomous systems, control of mixed human-robot teams, machine learning
</t>
  </si>
  <si>
    <t xml:space="preserve">Dynamics , control, robotics, control of networked autonomous systems, control of mixed human-robot teams, machine learning
</t>
  </si>
  <si>
    <t>Christou, Aris</t>
  </si>
  <si>
    <t>christou@umd.edu</t>
  </si>
  <si>
    <t>Radiation effects in microelectronics, radiation hard design methodologies and physics of failure of compound semiconductors in space applications. Materials degradation, radiation induced defects in metals, corrosion and high pressure induced transformations in steels and iron alloys.</t>
  </si>
  <si>
    <t>Radiation effects in microelectronics, radiation hard design methodologies , physics of failure of compound semiconductors in space applications, Materials degradation, radiation induced defects in metals, corrosion , high pressure induced transformations in steels , iron alloys,</t>
  </si>
  <si>
    <t>Chung, Peter W.</t>
  </si>
  <si>
    <t>pchung15@umd.edu</t>
  </si>
  <si>
    <t>Computational focus in fields of mechanics, materials, physics, &amp; chemistry
Multiscale Modeling &amp; Simulation
Classical and quantum modeling of atomic scale solids
Computational methods
High performance computing
Mesoscale and microstructure effects on materials</t>
  </si>
  <si>
    <t>Computational focus in fields of mechanics, materials, physics, &amp; chemistry
Multiscale Modeling &amp; Simulation
Classical , quantum modeling of atomic scale solids
Computational methods
High performance computing
Mesoscale , microstructure effects on materials</t>
  </si>
  <si>
    <t>Cukier, Michel</t>
  </si>
  <si>
    <t>mcukier@umd.edu</t>
  </si>
  <si>
    <t>Fault tolerance
Intrusion tolerance
Dependability and security evaluation</t>
  </si>
  <si>
    <t>Fault tolerance
Intrusion tolerance
Dependability , security evaluation</t>
  </si>
  <si>
    <t>Das, Siddhartha</t>
  </si>
  <si>
    <t>sidd@umd.edu</t>
  </si>
  <si>
    <t>Nanofluidics and Interfacial Fluid Mechanics (Soft Capillarity and Wetting, Soft Electrokinetics, Micro-nanoscale transport, Drops and Bubbles)
Nanomaterials (Water-2-D Material Interactions, Nanocellulose)
Soft Materials (Polyelectrolyte Brushes, Lipid Bilayers, DNA)
Additive Manufacturing (Aerosol Jet Printing, Nanomaterial-based Inks for Printing, Modelling of 3-D Printing processes)</t>
  </si>
  <si>
    <t>Nanofluidics , Interfacial Fluid Mechanics (Soft Capillarity , Wetting, Soft Electrokinetics, Micro-nanoscale transport, Drops , Bubbles)
Nanomaterials (Water-2-D Material Interactions, Nanocellulose)
Soft Materials (Polyelectrolyte Brushes, Lipid Bilayers, DNA)
Additive Manufacturing (Aerosol Jet Printing, Nanomaterial-based Inks for Printing, Modelling of 3-D Printing processes)</t>
  </si>
  <si>
    <t>Dasgupta, Abhijit</t>
  </si>
  <si>
    <t>dasgupta@umd.edu</t>
  </si>
  <si>
    <t>Mechanics of electronic packaging materials and “smart” composite materials Research focused on nanomechanics, micromechanics, damage mechanics and computational mechanics</t>
  </si>
  <si>
    <t>Mechanics of electronic packaging materials , “smart” composite materials Research focused on nanomechanics, micromechanics, damage mechanics , computational mechanics</t>
  </si>
  <si>
    <t>$812 per credit (in-state, full-time)</t>
  </si>
  <si>
    <t>DeVoe, Don</t>
  </si>
  <si>
    <t>ddev@umd.edu</t>
  </si>
  <si>
    <t>MEMS and microsystems technology
Microfluidic systems
Additive manufacturing at the micro/nano scales
Disposable diagnostics
Scalable nanomedicine development</t>
  </si>
  <si>
    <t>MEMS , microsystems technology
Microfluidic systems
Additive manufacturing at the micro/nano scales
Disposable diagnostics
Scalable nanomedicine development</t>
  </si>
  <si>
    <t>Diaz-Mercado, Yancy</t>
  </si>
  <si>
    <t>yancy@umd.edu</t>
  </si>
  <si>
    <t xml:space="preserve">Dr. Diaz is interested in the control and coordination of multi-agent systems using control theory, optimization, and graph theory. In particular, he is interested in developing theoretically-sound, scalable control solutions that enable effective control of large-scale networked systems, and applying these to facilitate robot swarm manipulation.
</t>
  </si>
  <si>
    <t xml:space="preserve">control , coordination of multi-agent systems using control theory, optimization, graph theory, In particular, he is interested in developing theoretically-sound, scalable control solutions that enable effective control of large-scale networked systems, applying these to facilitate robot swarm manipulation,
</t>
  </si>
  <si>
    <t>Duncan, James</t>
  </si>
  <si>
    <t>duncan@umd.edu</t>
  </si>
  <si>
    <t xml:space="preserve">Experimental and theoretical/numerical investigations of fluid flows breaking water waves, cavitation and explosion bubbles interacting with compliant boundaries, turbulent boundary layers flows interacting with compliant walls and free surfaces, and fluid-structure interactions.  </t>
  </si>
  <si>
    <t>Experimental , theoretical/numerical investigations of fluid flows breaking water waves, cavitation , explosion bubbles interacting with compliant boundaries, turbulent boundary layers flows interacting with compliant walls , free surfaces, fluid-structure interactions</t>
  </si>
  <si>
    <t>Dutt, Avik</t>
  </si>
  <si>
    <t>avikdutt@umd.edu</t>
  </si>
  <si>
    <t>Quantum Engineering
Photonics
Quantum Science and Technology
Nonlinear Optics
Analog Quantum Simulation
Topological physics</t>
  </si>
  <si>
    <t>Quantum Engineering
Photonics
Quantum Science , Technology
Nonlinear Optics
Analog Quantum Simulation
Topological physics</t>
  </si>
  <si>
    <t>Fathy, Hosam</t>
  </si>
  <si>
    <t>hfathy@umd.edu</t>
  </si>
  <si>
    <t>Gabriel, Steven A.</t>
  </si>
  <si>
    <t>sgabriel@umd.edu</t>
  </si>
  <si>
    <t xml:space="preserve">Modeling of critical infrastructure using optimization, equilibriuim/game theory, and statistical methods, with applications in energy markets, energy policy, telecommunications networks, environment (climate change, wastewater management, land development), transportation, algorithm development for solving optimization and equilibrium/game theory models.
</t>
  </si>
  <si>
    <t xml:space="preserve">Modeling of critical infrastructure using optimization, equilibriuim/game theory, statistical methods, with applications in energy markets, energy policy, telecommunications networks, environment (climate change, wastewater management, l, development), transportation, algorithm development for solving optimization , equilibrium/game theory models,
</t>
  </si>
  <si>
    <t>Graham, Jr., Samuel</t>
  </si>
  <si>
    <t>samuelg@umd.edu</t>
  </si>
  <si>
    <t>Groth, Katrina</t>
  </si>
  <si>
    <t>kgroth@umd.edu</t>
  </si>
  <si>
    <t>Risk analysis, quantitative risk assessment, system safety, human reliability analysis, causality, human-machine teams, decision making under uncertainty, Bayesian Networks, Bayesian methods, complex systems.
Applications in hydrogen safety, hydrogen fueling stations, fuel cells, natural gas, pipelines, energy, transportation, infrastructure, and nuclear power plants.</t>
  </si>
  <si>
    <t>Risk analysis, quantitative risk assessment, system safety, human reliability analysis, causality, human-machine teams, decision making under uncertainty, Bayesian Networks, Bayesian methods, complex systems,
Applications in hydrogen safety, hydrogen fueling stations, fuel cells, natural gas, pipelines, energy, transportation, infrastructure, nuclear power plants,</t>
  </si>
  <si>
    <t>Gupta, Ashwani K.</t>
  </si>
  <si>
    <t>akgupta@umd.edu</t>
  </si>
  <si>
    <t>Swirl flows
Combustion
Sprays
High-temperature air combustion (HiTAC)
Biofuels / fuel reforming
Distributed combustion
Microcombustion
Alternative fuels/ Biofuels
Air pollution
Gas turbine combustion / Green combustion turbine
Nonintrusive diagnostics
Thermal destruction of solid and liquid wastes
Gasification and pyrolysis
Treatment of acid gases and sulfur chemistry
Supercritical and near critical CO2 liquifaction of biomnass to liquid fuels
Waste &amp; Biomass comnversion to value added products using CO2   
Sensors and diagnostics
Internal combustion engines
Fouling and deposition
Laser diagnostics
Hypersonics - non-intrusive flow diagnostics</t>
  </si>
  <si>
    <t>Swirl flows
Combustion
Sprays
High-temperature air combustion (HiTAC)
Biofuels / fuel reforming
Distributed combustion
Microcombustion
Alternative fuels/ Biofuels
Air pollution
Gas turbine combustion / Green combustion turbine
Nonintrusive diagnostics
Thermal destruction of solid , liquid wastes
Gasification , pyrolysis
Treatment of acid gases , sulfur chemistry
Supercritical , near critical CO2 liquifaction of biomnass to liquid fuels
Waste &amp; Biomass comnversion to value added products using CO2   
Sensors , diagnostics
Internal combustion engines
Fouling , deposition
Laser diagnostics
Hypersonics - non-intrusive flow diagnostics</t>
  </si>
  <si>
    <t>Hahn, Jin-Oh</t>
  </si>
  <si>
    <t>jhahn12@umd.edu</t>
  </si>
  <si>
    <t>The vision of the Laboratory for Control and Information Systems is to advance health monitoring and maintenance methodologies applicable to a wide range of dynamic systems by exploiting control and systems theory, with priority emphasis on bio-systems, health and medicine, as well as mechanical systems and structures.  To this aim, our research activity covers a number of aspects related to non-intrusive and ubiquitous sensing, 1st-principles modeling combined with system identification and signal processing, condition monitoring and fault diagnostics via on-line estimation and analytical redundancy techniques, and maintenance and intervention via decision making and closed-looPcontrol.  Our current focus areas are 1) physiological systems monitoring, 2) decision-assist, closed-looPcontrol, fault diagnostics and accommodation challenges in critical care resuscitation, and 3) resilient and context-aware medical cyber-physical systems.
Mathematical Modeling, System Identification, Closed-LooPControl, Health Monitoring, Fault Diagnostics and Accommodation in Dynamic Systems with Emphasis on Challenges in Health and Medicine, Physiological Monitoring and Closed-LooPControl, Medical Cyber-Physical Systems</t>
  </si>
  <si>
    <t>Mathematical Modeling, System Identification, Closed-LooPControl, Health Monitoring, Fault Diagnostics , Accommodation in Dynamic Systems with Emphasis on Challenges in Health , Medicine, Physiological Monitoring , Closed-LooPControl, Medical Cyber-Physical Systems</t>
  </si>
  <si>
    <t>Han, Bongtae</t>
  </si>
  <si>
    <t>bthan@umd.edu</t>
  </si>
  <si>
    <t>• Advanced characterizations of semiconductor packaging materials
• Reliability analysis of semiconductor packaging, including solder joints
• Adhesion analysis of critical interfaces in photonic and semiconductor devices
• Advanced uncertainty propagation analysis for small event probability Reliability analysis considering inherent manufacturing variabilities
• Condition monitoring of automotive smart systems
• Moisture and gas diffusion analysis of semiconductor packages and packaging materials
• Hermeticity testing and analysis of MEMS devices
• Experimental micro and nanomechanics (development of optical methods and methodologies)
• High power laser diode (LD) arrays for industrial and military applications Optical characterization, cryogenic cooling, reliability assessment, etc.
• High power light emitting diodes (LEDs) Design and reliability assessment of LEDs and LED-based luminaires</t>
  </si>
  <si>
    <t>Advanced characterizations of semiconductor packaging materials
,Reliability analysis of semiconductor packaging, including solder joints
,Adhesion analysis of critical interfaces in photonic , semiconductor devices
,Advanced uncertainty propagation analysis for small event probability Reliability analysis considering inherent manufacturing variabilities
,Condition monitoring of automotive smart systems
,Moisture , gas diffusion analysis of semiconductor packages , packaging materials
,Hermeticity testing , analysis of MEMS devices
,Experimental micro , nanomechanics (development of optical methods , methodologies)
,High power laser diode (LD) arrays for industrial , military applications Optical characterization, cryogenic cooling, reliability assessment, etc,
,High power light emitting diodes (LEDs) Design , reliability assessment of LEDs , LED-based luminaires</t>
  </si>
  <si>
    <t>Herrmann, Jeffrey</t>
  </si>
  <si>
    <t>jwh2@umd.edu</t>
  </si>
  <si>
    <t>Dr. Herrmann's research aims to understand, model and improve decision making. Projects include decision making in product development, safe and efficient UAS operations, emergency preparedness and health care systems, manufacturing process planning and design, production planning and scheduling, manufacturing system design, simulation of manufacturing systems, manufacturing operations and processes.</t>
  </si>
  <si>
    <t>decision making, Projects include decision making in product development, safe , efficient UAS operations, emergency preparedness , health care systems, manufacturing process planning , design, production planning , scheduling, manufacturing system design, simulation of manufacturing systems, manufacturing operations , processes,</t>
  </si>
  <si>
    <t>Huertas Cerdeira, Cecilia</t>
  </si>
  <si>
    <t>huertas@umd.edu</t>
  </si>
  <si>
    <t>Kiger, Kenneth</t>
  </si>
  <si>
    <t>kkiger@umd.edu</t>
  </si>
  <si>
    <t xml:space="preserve">Fluid mechanics and experimental techniques, specifically in the topics of multi-phase flows, particle/turbulence interaction, and turbulent mixing in complex geometries. Current project topics include applying Particle Image Velocimetry (PIV) to the suspension of sediment in turbulent channel flows, air entrainment by plunging liquid jets, fundamental dynamics of spray cooling for electronic applications, and the effects of turbulent mixing on safety issues within Pressurized Water Reactors of nuclear power plants.
</t>
  </si>
  <si>
    <t xml:space="preserve">Fluid mechanics , experimental techniques, specifically in the topics of multi-phase flows, particle/turbulence interaction, turbulent mixing in complex geometries, Current project topics include applying Particle Image Velocimetry (PIV) to the suspension of sediment in turbulent channel flows, air entrainment by plunging liquid jets, fundamental dynamics of spray cooling for electronic applications, the effects of turbulent mixing on safety issues within Pressurized Water Reactors of nuclear power plants,
</t>
  </si>
  <si>
    <t>Kim, Jungho</t>
  </si>
  <si>
    <t>kimjh@umd.edu</t>
  </si>
  <si>
    <t xml:space="preserve">Phase change heat transfer process, investigation of fundamental heat transfer mechanisms in pool and flow boiling and spray cooling in Earth and microgravity environments, heat exchange within complex heat exchangers, building thermal energy storage and their use in demand/response and energy trading, vacuum insulated windows.
</t>
  </si>
  <si>
    <t xml:space="preserve">Phase change heat transfer process, investigation of fundamental heat transfer mechanisms in pool , flow boiling , spray cooling in Earth , microgravity environments, heat exchange within complex heat exchangers, building thermal energy storage , their use in dem,/response , energy trading, vacuum insulated windows,
</t>
  </si>
  <si>
    <t>Krivtsov, Vasiliy</t>
  </si>
  <si>
    <t>krivtsov@umd.edu</t>
  </si>
  <si>
    <t>Probabilistic models for recurrent repairs in the framework of g-renewal and quazi-renewal processes.
Bivariate (e.g., in time &amp; mileage) survival regression models with fixed and time-dependent covariates.
Regularization techniques for ill-posed reliability estimation problems.
Reliability condition-based maintenance of vehicle fleets based on real-time (“big”) data from connected vehicle fleets.</t>
  </si>
  <si>
    <t>Probabilistic models for recurrent repairs in the framework of g-renewal , quazi-renewal processes,
Bivariate (e,g,, in time &amp; mileage) survival regression models with fixed , time-dependent covariates,
Regularization techniques for ill-posed reliability estimation problems,
Reliability condition-based maintenance of vehicle fleets based on real-time (“big”) data from connected vehicle fleets,</t>
  </si>
  <si>
    <t>Larsson, Johan</t>
  </si>
  <si>
    <t>jola@umd.edu</t>
  </si>
  <si>
    <t>Dr. Larsson has broad interests within the fields of fluid mechanics, turbulence, and predictive computational science. His interests range from the very fundamental to the rather applied his ideal research question is one which solves a highly applied problem through a rigorous and creative fundamental approach. Large-scale simulations on thousands of processors are an important tool in this research, enabling detailed turbulence simulations or quantification of simulation uncertainties. Current project topics include enabling large eddy simulation to be applied at realistic (high) Reynolds numbers through approximate wall-modeling, developing grid-adaptation techniques for turbulence simulations, developing physics-based uncertainty quantification approaches, and hypersonic turbulent flows.</t>
  </si>
  <si>
    <t>fluid mechanics, turbulence, predictive computational science, His interests range from the very fundamental to the rather applied his ideal research question is one which solves a highly applied problem through a rigorous , creative fundamental approach</t>
  </si>
  <si>
    <t>Lee, Jay</t>
  </si>
  <si>
    <t>leejay@umd.edu</t>
  </si>
  <si>
    <t xml:space="preserve">Industrial AI, Industrial Big Data, Prognostics and Health Management (PHM), Smart Manufacturing, Digital Twin, etc.
</t>
  </si>
  <si>
    <t xml:space="preserve">Industrial AI, Industrial Big Data, Prognostics , Health Management (PHM), Smart Manufacturing, Digital Twin, etc,
</t>
  </si>
  <si>
    <t>Li, Teng</t>
  </si>
  <si>
    <t>lit@umd.edu</t>
  </si>
  <si>
    <t>Mechanics of sustainable materials
Mechanics of energy storage materials
Mechanics of soft and active materials
Mechanics of nanoelectronics
Mechanics of low-dimensional nanomaterials
Mechanics of flexible electronics</t>
  </si>
  <si>
    <t>Mechanics of sustainable materials
Mechanics of energy storage materials
Mechanics of soft , active materials
Mechanics of nanoelectronics
Mechanics of low-dimensional nanomaterials
Mechanics of flexible electronics</t>
  </si>
  <si>
    <t>McCluskey, F. Patrick</t>
  </si>
  <si>
    <t>mcclupa@umd.edu</t>
  </si>
  <si>
    <t xml:space="preserve">High temperature and high power electronics packaging, materials, and reliability
</t>
  </si>
  <si>
    <t xml:space="preserve">High temperature , high power electronics packaging, materials, reliability
</t>
  </si>
  <si>
    <t>McGregor, Davis</t>
  </si>
  <si>
    <t>mcgregor@umd.edu</t>
  </si>
  <si>
    <t>Advanced Manufacturing / Smart Manufacturing
Additive Manufacturing / 3D Printing
Machine Learning
Metrology / Optical Metrology
Computer Vision / Machine Vision
Part Qualification
Biomedical Devices</t>
  </si>
  <si>
    <t>Modarres, Mohammad</t>
  </si>
  <si>
    <t>modarres@umd.edu</t>
  </si>
  <si>
    <t>Probabilistic risk assessment, Uncertainty analysis, Probabilistic Physics of Failure, Probabilistic Fracture Mechanics, Prognosis and Health Management, Materials Degradation Science</t>
  </si>
  <si>
    <t>Probabilistic risk assessment, Uncertainty analysis, Probabilistic Physics of Failure, Probabilistic Fracture Mechanics, Prognosis , Health Management, Materials Degradation Science</t>
  </si>
  <si>
    <t>Mote Jr., C.D. (Dan)</t>
  </si>
  <si>
    <t>dmote@umd.edu</t>
  </si>
  <si>
    <t>Dr. Mote's research lies in dynamic systems and biomechanics. Internationally recognized for his research on the dynamics of gyroscopic systems and the biomechanics of snow skiing.</t>
  </si>
  <si>
    <t>dynamic systems,biomechanics</t>
  </si>
  <si>
    <t>Ohadi, Michael</t>
  </si>
  <si>
    <t>ohadi@umd.edu</t>
  </si>
  <si>
    <t>Heat and mass transfer at the meso, micro and nano-scales with applications to thermal/fluid system miniaturization, Smart heat exchangers, Electronic cooling, and Innovative energy systems</t>
  </si>
  <si>
    <t>Heat , mass transfer at the meso, micro , nano-scales with applications to thermal/fluid system miniaturization, Smart heat exchangers, Electronic cooling, Innovative energy systems</t>
  </si>
  <si>
    <t>Pecht, Michael</t>
  </si>
  <si>
    <t>pecht@umd.edu</t>
  </si>
  <si>
    <t xml:space="preserve">Competitive product development Product characterization and qualification Supply chain creation and management Prognostics and health management Product reliability, risk assessment and mitigation
</t>
  </si>
  <si>
    <t xml:space="preserve">Competitive product development, Product characterization , qualification, Supply chain creation , management, Prognostics , health management ,Product reliability, risk assessment , mitigation
</t>
  </si>
  <si>
    <t>Radermacher, Reinhard</t>
  </si>
  <si>
    <t>raderm@umd.edu</t>
  </si>
  <si>
    <t>Vapor Compression Air-conditioning Software for the Design and Optimization of Thermal Systems Heat Pumping and Refrigeration Systems Single and Multi-Stage Absorption and Adsorption Systems Conventional and Natural Working Fluids and Working Fluid Mixtures Solar Cooling Ocean Thermal Energy Technology Cooling, Heating and Power (CHP) Systems</t>
  </si>
  <si>
    <t>Vapor Compression ,Air-conditioning Software for the Design , Optimization of Thermal Systems, Heat Pumping , Refrigeration Systems, Single , Multi-Stage Absorption , Adsorption Systems Conventional , Natural Working Fluids , Working Fluid Mixtures Solar Cooling Ocean Thermal Energy Technology Cooling, Heating , Power (CHP) Systems</t>
  </si>
  <si>
    <t>Riaz, Amir</t>
  </si>
  <si>
    <t>ariaz@umd.edu</t>
  </si>
  <si>
    <t>Numerical methods for multiphase flow Multiscale modeling and simulation of multiphase flow in porous media, microchannels and heat exchangers Multiphase transport of mixtures in porous media Perturbation analysis of interfacial instability Carbon dioxide sequestration Enhanced oil recovery</t>
  </si>
  <si>
    <t>Numerical methods for multiphase flow Multiscale modeling , simulation of multiphase flow in porous media, microchannels , heat exchangers Multiphase transport of mixtures in porous media Perturbation analysis of interfacial instability Carbon dioxide sequestration Enhanced oil recovery</t>
  </si>
  <si>
    <t>Sandborn, Peter</t>
  </si>
  <si>
    <t>sandborn@umd.edu</t>
  </si>
  <si>
    <t xml:space="preserve">Electronic packaging and reliability Life-cycle cost analysis of electronic systems System sustainment including technology obsolescence management (DMSMS) System availability Supply chain management Parts selection and management for electronic systems Prognostics and health management (PHM) for electronic systems Design for environment of electronic systems
</t>
  </si>
  <si>
    <t xml:space="preserve">Electronic packaging , reliability Life-cycle cost analysis of electronic systems System sustainment including technology obsolescence management (DMSMS) System availability Supply chain management Parts selection , management for electronic systems Prognostics , health management (PHM) for electronic systems Design for environment of electronic systems
</t>
  </si>
  <si>
    <t>Smela, Elisabeth</t>
  </si>
  <si>
    <t>smela@umd.edu</t>
  </si>
  <si>
    <t>Dr. Smela's research is primarily in the field of microelectromechanical systems (MEMS), particularly polymer MEMS and bioMEMS. She focuses on the use of organic materials (from polymers to cells) in microsystems to realize microactuators, cell-based sensors, and CMOS/MEMS integrated systems.</t>
  </si>
  <si>
    <t>microelectromechanical systems (MEMS), particularly polymer MEMS , bioMEMS, She focuses on the use of organic materials (from polymers to cells) in microsystems to realize microactuators, cell-based sensorsCMOS/MEMS integrated systems</t>
  </si>
  <si>
    <t>Sochol, Ryan D.</t>
  </si>
  <si>
    <t>rsochol@umd.edu</t>
  </si>
  <si>
    <t>Micro/Nanoscale Additive Manufacturing (“3D printing”)
Advanced Manufacturing &amp; Micro/nanomanufacturing
Soft Robotics / Microrobotics / Surgical Robotics
3D Printing-Enabled Biomedical Technologies
Cell Mechanobiology &amp; Physicobiology
Integrated Fluidic Circuitry
3D Microelectronics
Energetics</t>
  </si>
  <si>
    <t>Srebric, Jelena</t>
  </si>
  <si>
    <t>jsrebric@umd.edu</t>
  </si>
  <si>
    <t>Multi-scale Modeling of Urban Neighborhoods Computational Fluid Dynamics and Energy Simulations Simulations and Measurements of Indoor and Outdoor Environments Ventilation Indoor Air Quality (IAQ) and Building Energy Analysis Sustainable Buildings and Climate Change</t>
  </si>
  <si>
    <t>Multi-scale Modeling of Urban Neighborhoods Computational Fluid Dynamics , Energy Simulations Simulations , Measurements of Indoor , Outdoor Environments Ventilation Indoor Air Quality (IAQ) , Building Energy Analysis Sustainable Buildings , Climate Change</t>
  </si>
  <si>
    <t>Stoliarov, Stanislav I.</t>
  </si>
  <si>
    <t>stolia@umd.edu</t>
  </si>
  <si>
    <t>Material flammability
Pyrolysis and smoldering mechanisms
Thermophysical properties
Flame structure and spread
Lithium ion battery safety
Fire suppression
Research techniques that combine experiments and numerical modeling to gain insight into behavior of complex physical systems</t>
  </si>
  <si>
    <t>Material flammability
,Pyrolysis , smoldering mechanisms
,Thermophysical properties
,Flame structure , spread
,Lithium ion battery safety
,Fire suppression
,Research techniques that combine experiments , numerical modeling to gain insight into behavior of complex physical systems</t>
  </si>
  <si>
    <t>Thamire, Chandrasekhar</t>
  </si>
  <si>
    <t>cthamire@umd.edu</t>
  </si>
  <si>
    <t>Tubaldi, Eleonora</t>
  </si>
  <si>
    <t>etubaldi@umd.edu</t>
  </si>
  <si>
    <t>Fluid-Structure Interaction
Nonlinear Dynamics and Vibrations
Nonlinear Mechanical Metamaterials
Cardiovascular Mechanics and Design of Vascular Grafts
Soft Materials</t>
  </si>
  <si>
    <t>Fluid-Structure Interaction
,Nonlinear Dynamics , Vibrations
,Nonlinear Mechanical Metamaterials
,Cardiovascular Mechanics , Design of Vascular Grafts
,Soft Materials</t>
  </si>
  <si>
    <t>Yang, Bao</t>
  </si>
  <si>
    <t>baoyang@umd.edu</t>
  </si>
  <si>
    <t xml:space="preserve">Micro/nanoscale thermal transport and energy conversion Thermal science and its applications in electrical engineering, optical engineering, and material science Micro/nano devices MEMS Nanotechnology
</t>
  </si>
  <si>
    <t xml:space="preserve">Micro/nanoscale thermal transport , energy conversion Thermal science , its applications in electrical engineering, optical engineering, material science Micro/nano devices MEMS Nanotechnology
</t>
  </si>
  <si>
    <t>Yu, Miao</t>
  </si>
  <si>
    <t>mmyu@umd.edu</t>
  </si>
  <si>
    <t xml:space="preserve">Wave matter interactions, photonic sensors, metamaterials,  micro- and nano-scale sensor systems, bio-inspired sensors, robotic sensing, sensor networks, adaptive optics, wavefront sensing and control, imaging through turbulence, smart materials and structures
</t>
  </si>
  <si>
    <t xml:space="preserve">Wave matter interactions, photonic sensors, metamaterialsmicro- , nano-scale sensor systems, bio-inspired sensors, robotic sensing, sensor networks, adaptive optics, wavefront sensing , control, imaging through turbulence, smart materials , structures
</t>
  </si>
  <si>
    <t>Zhao, Yunfei</t>
  </si>
  <si>
    <t>yzhao111@umd.edu</t>
  </si>
  <si>
    <t xml:space="preserve">Reliability engineering, risk analysis, and decision analysis, including probabilistic risk assessment, human reliability analysis, cybersecurity risk assessment, cyberattack detection and response, maintenance policy optimization, nuclear emergency response, and fault diagnosis.
</t>
  </si>
  <si>
    <t xml:space="preserve">Reliability engineering, risk analysis, decision analysis, including probabilistic risk assessment, human reliability analysis, cybersecurity risk assessment, cyberattack detection , response, maintenance policy optimization, nuclear emergency response, fault diagnosis,
</t>
  </si>
  <si>
    <t>Ainane, Sami</t>
  </si>
  <si>
    <t>ainane@umd.edu</t>
  </si>
  <si>
    <t>Fazelpour, Mohammad</t>
  </si>
  <si>
    <t>mfazelp@umd.edu</t>
  </si>
  <si>
    <t>Mitchell, Steve</t>
  </si>
  <si>
    <t>mitchels@umd.edu</t>
  </si>
  <si>
    <t>Nguyen, Vincent</t>
  </si>
  <si>
    <t>vince1@umd.edu</t>
  </si>
  <si>
    <t>Sanders, Robert</t>
  </si>
  <si>
    <t>rsanders@umd.edu</t>
  </si>
  <si>
    <t>University of Minnesota--Twin Cities</t>
  </si>
  <si>
    <t>Julianna Abel</t>
  </si>
  <si>
    <t>jabel@umn.edu</t>
  </si>
  <si>
    <t>Smart materials and structures
Novel actuators
Aerospace structures
Medical devices
Consumer products</t>
  </si>
  <si>
    <t>Smart materials , structures
,Novel actuators
,Aerospace structures
,Medical devices
,Consumer products</t>
  </si>
  <si>
    <t>College of Science and Engineering | Mechanical Engineering</t>
  </si>
  <si>
    <t>Alptekin Aksan</t>
  </si>
  <si>
    <t>aaksan@umn.edu</t>
  </si>
  <si>
    <t>Biostabilization
Bioencapsulation
Biotransport
Biomechanics</t>
  </si>
  <si>
    <t>Biostabilization
,Bioencapsulation
,Biotransport
,Biomechanics</t>
  </si>
  <si>
    <t>Jennifer Alexander</t>
  </si>
  <si>
    <t>alexa056@umn.edu</t>
  </si>
  <si>
    <t>Technology &amp; modernity
Modern Europe
Technology &amp; religion
History of engineering
History of mechanisms and mechanics</t>
  </si>
  <si>
    <t>Technology &amp; modernity
,Modern Europe
,Technology &amp; religion
,History of engineering
,History of mechanisms , mechanics</t>
  </si>
  <si>
    <t>Andrew Alleyne</t>
  </si>
  <si>
    <t>csedean@umn.edu</t>
  </si>
  <si>
    <t>Autonomous systems and artificial intelligence
Control theory and applications
Data/information science and systems
Electric transportation
Robotics</t>
  </si>
  <si>
    <t>Autonomous systems , artificial intelligence
,Control theory , applications
,Data/information science , systems
,Electric transportation
,Robotics</t>
  </si>
  <si>
    <t>#37 - Best Engineering Schools</t>
  </si>
  <si>
    <t>John Bischof</t>
  </si>
  <si>
    <t>bischof@umn.edu</t>
  </si>
  <si>
    <t>Cryobiology
Hyperthermic biology
Nano-medicine
Thermal Therapies
Cryo and biopreservation
Thermal/medicinal properties</t>
  </si>
  <si>
    <t>Cryobiology
,Hyperthermic biology
,Nano-medicine
,Thermal Therapies
,Cryo , biopreservation
,Thermal/medicinal properties</t>
  </si>
  <si>
    <t>Sayan Biswas</t>
  </si>
  <si>
    <t>biswas@umn.edu</t>
  </si>
  <si>
    <t>Dr. Biswas’s  focuses on the fundamental understanding of complex reacting flows and low-temperature plasma processes to develoPadvanced technologies for clean energy generation. He combines experimental methods and advanced laser measurement techniques with detailed numerical simulations to develoPfundamental as well as applied knowledge of low- temperature plasma processes for future energy generation. His research applications are relevant in power generation, transportation, air-breathing high-speed propulsion, deePspace propulsion, fire safety, emission control from automotive and gas turbine engines, nanoenergetics plasma-materials interaction, fuel efficiency improvement, and development of alternative fuels. Dr. Biswas is currently interested in the following research topics
Fundamentals of low-temperature plasma behavior at high-pressure, engine relevant conditions
Plasma-based space propulsion
Plasma processing of materials and plasma synthesis of nanoparticles
Next-generation internal combustion and gas turbine engine research
Microscale power generation and nanoenergetics
Flow control and flame stabilization in ramjet and scramjet
High-speed laser diagnostics, X-ray diagnostics</t>
  </si>
  <si>
    <t>Fundamentals of low-temperature plasma behavior at high-pressure, engine relevant conditions,
,Plasma-based space propulsion
,Plasma processing of materials , plasma synthesis of nanoparticles
,Next-generation internal combustion , gas turbine engine research
,Microscale power generation , nanoenergetics
,Flow control , flame stabilization in ramjet , scramjet
,High-speed laser diagnostics, X-ray diagnostics</t>
  </si>
  <si>
    <t>Peter Bruggeman</t>
  </si>
  <si>
    <t>pbruggem@umn.edu</t>
  </si>
  <si>
    <t>Non-equilibrium plasma physics and chemistry
Plasma technologies for environmental, chemical, energy, biomedical and decontamination applications
Plasma-surface interactions
Plasma diagnostics
Multiphase plasmas in and in contact with liquids</t>
  </si>
  <si>
    <t>Non-equilibrium plasma physics , chemistry
,Plasma technologies for environmental, chemical, energy, biomedical , decontamination applications
,Plasma-surface interactions
,Plasma diagnostics
,Multiphase plasmas in , in contact with liquids</t>
  </si>
  <si>
    <t>Tianhong Cui</t>
  </si>
  <si>
    <t>cuixx006@umn.edu</t>
  </si>
  <si>
    <t>Micro/Nano Electro Mechanical Systems (MEMS/NEMS).
Fundamental mechanical &amp; electrical principles of new materials for MEMS/ NEMS and advanced manufacturing approaches.
MEMS/ NEMS including devices and systems using graphene, nanotubes, nanoparticles, nanocomposites, and polymers for new actuators, sensors, microfluidic devices, and photovoltaics for various applications to medical devices, environmental protection, precision agriculture, renewable energy, and electronics cooling.</t>
  </si>
  <si>
    <t>Micro/Nano Electro Mechanical Systems (MEMS/NEMS)
,Fundamental mechanical &amp; electrical principles of new materials for MEMS/ NEMS , advanced manufacturing approaches
,MEMS/ NEMS including devices , systems using graphene, nanotubes, nanoparticles, nanocomposites, polymers for new actuators, sensors, microfluidic devices, photovoltaics for various applications to medical devices, environmental protection, precision agriculture, renewable energy, electronics cooling</t>
  </si>
  <si>
    <t>Max Donath</t>
  </si>
  <si>
    <t>donath@umn.edu</t>
  </si>
  <si>
    <t>Novel human-machine interface design for providing improved situation awareness for the driver and pedestrian.
Driver assist systems for snowplows operating in white-out conditions.
Autonomous navigation and wayfinding under winter conditions, focused on snow-covered sidewalks.
Developing experiential approaches to educating engineers about the design, control, and programming of robots.
Systems for supporting wayfinding and navigation for people with vision impairment.</t>
  </si>
  <si>
    <t>Novel human-machine interface design for providing improved situation awareness for the driver , pedestrian
,Driver assist systems for snowplows operating in white-out conditions
,Autonomous navigation , wayfinding under winter conditions, focused on snow-covered sidewalks
,Developing experiential approaches to educating engineers about the design, control, programming of robots
,Systems for supporting wayfinding , navigation for people with vision impairment</t>
  </si>
  <si>
    <t>Traian Dumitricã</t>
  </si>
  <si>
    <t>dtraian@umn.edu</t>
  </si>
  <si>
    <t>To investigate the thermal properties of nano-system
To describe the fundamental mechanical deformations of nano-materials
To determine an optimal equilibrium nano-structure</t>
  </si>
  <si>
    <t>thermal properties of nano-system, fundamental mechanical deformations of nano-materials, optimal equilibrium nano-structure</t>
  </si>
  <si>
    <t>Cari Dutcher</t>
  </si>
  <si>
    <t>cdutcher@umn.edu</t>
  </si>
  <si>
    <t>Aerosols, suspensions, and emulsions
Droplet surfaces and interfaces
Thermodynamics and phase of aqueous solutions
Two-phase microfluidic flows
Two-phase Taylor-Couette flows
Extensional and interfacial rheology of dilute solutions and emulsions</t>
  </si>
  <si>
    <t>Aerosols, suspensionsemulsions
,Droplet surfaces , interfaces
,Thermodynamics , phase of aqueous solutions
,Two-phase microfluidic flows
,Two-phase Taylor-Couette flows
,Extensional , interfacial rheology of dilute solutions , emulsions</t>
  </si>
  <si>
    <t>Arthur Erdman</t>
  </si>
  <si>
    <t>agerdman@umn.edu</t>
  </si>
  <si>
    <t xml:space="preserve">Dr. Erdman currently has a number of ongoing projects of which many are related to biomedical engineering and medical device design.  He led the effort to create LINCAGES, a mechanism software design package that has been use worldwide. Dr. Erdman has had research collaborations with faculty in Ophthalmology, Neuroscience, Epidemiology, Orthopedics, Surgery, Dentistry, Otolaryngology and Sport Biomechanics. He has consulted at over 50 companies in mechanical and product design, including Honeywell, Medtronic, Xerox, 3M, Andersen Windows, Proctor and Gamble, Graco, HP, Rollerblade, Sulzer Medica, Gillette, Dell, AbboTT(formerly St Jude Medical) and Yamaha.
</t>
  </si>
  <si>
    <t xml:space="preserve"> Ophthalmology, Neuroscience, Epidemiology, Orthopedics, Surgery, Dentistry, Otolaryngology , Sport Biomechanics, He has consulted at over 50 companies in mechanical , product design, including Honeywell, Medtronic, Xerox, 3M,ersen Windows, Proctor , Gamble, Graco, HP, Rollerblade, Sulzer Medica, Gillette, Dell, AbboTT</t>
  </si>
  <si>
    <t>$1,539 per credit (in-state, full-time)</t>
  </si>
  <si>
    <t>Chris Hogan</t>
  </si>
  <si>
    <t>hogan108@umn.edu</t>
  </si>
  <si>
    <t>Supersonic Aerosol Deposition Based Coating and Additive Manufacturing Processes
Nanometrology and Particle Contamination Control Technology
Atomization and Sprays for CroPProtectants and Agriculture
Medical Aerosols and Bioaerosols
Energy Transfer, Mass Transfer, and Reactivity in Aerosols
Non-equilibrium particle laden systems, including plasmas and high concentration aerosols</t>
  </si>
  <si>
    <t>Supersonic Aerosol Deposition Based Coating , Additive Manufacturing Processes
,Nanometrology , Particle Contamination Control Technology
,Atomization , Sprays for CroPProtectants , Agriculture
,Medical Aerosols , Bioaerosols
,Energy Transfer, Mass Transfer, Reactivity in Aerosols
,Non-equilibrium particle laden systems, including plasmas , high concentration aerosols</t>
  </si>
  <si>
    <t>Jiarong Hong</t>
  </si>
  <si>
    <t>jhong@umn.edu</t>
  </si>
  <si>
    <t>Fundamental fluid mechanics related to turbulence, atmospheric and multiphase flows
Wind turbine aerodynamics
Cavitation and bubbly flows
Microfluidic systems
Optical imaging and instrumentation with applications in flow diagnostics, biophysics, geophysics, medical and material sciences</t>
  </si>
  <si>
    <t>Fundamental fluid mechanics related to turbulence, atmospheric , multiphase flows
,Wind turbine aerodynamics
,Cavitation , bubbly flows
,Microfluidic systems
,Optical imaging , instrumentation with applications in flow diagnostics, biophysics, geophysics, medical , material sciences</t>
  </si>
  <si>
    <t>Allison Hubel</t>
  </si>
  <si>
    <t>hubel001@umn.edu</t>
  </si>
  <si>
    <t xml:space="preserve">Molecular mechanisms of damage during freezing
Mechanisms of cryoprotection or cryoinjury
Low temperature imaging of biological systems
Preservation of cells and tissues
Microfluidics and transport in microfluidic channels
</t>
  </si>
  <si>
    <t xml:space="preserve">Molecular mechanisms of damage during freezing
,Mechanisms of cryoprotection or cryoinjury
,Low temperature imaging of biological systems
,Preservation of cells , tissues
,Microfluidics , transport in microfluidic channels
</t>
  </si>
  <si>
    <t>Ognjen Ilic</t>
  </si>
  <si>
    <t>ilic@umn.edu</t>
  </si>
  <si>
    <t>Heat transfer and radiative energy harvesting and storage
Light-matter interactions in nanoscale devices and materials
Photonic and acoustic materials
Metamaterial wave mechanics and robotics
Thermal-Infrared optics and photonics</t>
  </si>
  <si>
    <t>Heat transfer , radiative energy harvesting , storage
,Light-matter interactions in nanoscale devices , materials
,Photonic , acoustic materials
,Metamaterial wave mechanics , robotics
,Thermal-Infrared optics , photonics</t>
  </si>
  <si>
    <t>David Kittelson</t>
  </si>
  <si>
    <t>kitte001@umn.edu</t>
  </si>
  <si>
    <t>Sampling and characterization of particles from high-temperature, high-pressure streams.
Characterization of devices for removing particulate matter from combustion products.
Energy conversion and the production and use of alternative fuels.
Dynamics of diesel exhaust and other carbonaceous aerosols.
Electronic engine control.
Measurement and control of spark ignition engine knock, engine sensors, control, and on-board diagnostics.
Performance of alcohols and other alternate fuels in engines.
Continuous measurement of airborne particulate sulfur, carbon, and nitrogen.
Measurements of ultrafine particles in gases and liquids, and megasonic cleaning of silicon wafers.</t>
  </si>
  <si>
    <t>Sampling , characterization of particles from high-temperature, high-pressure streams,
,Characterization of devices for removing particulate matter from combustion products,
,Energy conversion , the production , use of alternative fuels,
,Dynamics of diesel exhaust , other carbonaceous aerosols,
,Electronic engine control,
,Measurement , control of spark ignition engine knock, engine sensors, control, on-board diagnostics,
,Performance of alcohols , other alternate fuels in engines,
,Continuous measurement of airborne particulate sulfur, carbon, nitrogen,
,Measurements of ultrafine particles in gases , liquids, megasonic cleaning of silicon wafers,</t>
  </si>
  <si>
    <t>Suhasa Kodandaramaiah</t>
  </si>
  <si>
    <t>suhasabk@umn.edu</t>
  </si>
  <si>
    <t>Neural Engineering
Neuromodulation
Optical Engineering
Neurotechnology and Instrumentation
Robotics and Automation
Precision Engineering</t>
  </si>
  <si>
    <t>Neural Engineering
,Neuromodulation
,Optical Engineering
,Neurotechnology , Instrumentation
,Robotics , Automation
,Precision Engineering</t>
  </si>
  <si>
    <t>Uwe Kortshagen</t>
  </si>
  <si>
    <t>korts001@umn.edu</t>
  </si>
  <si>
    <t>Low temperature plasmas
Plasma synthesis of materials
Materials for renewable energy
Quantum dots, nanocrystals, and 2D materials
Quantum dots for brain imaging
Sustainable nanomaterials</t>
  </si>
  <si>
    <t>Low temperature plasmas
,Plasma synthesis of materials
,Materials for renewable energy
,Quantum dots, nanocrystals, 2D materials
,Quantum dots for brain imaging
,Sustainable nanomaterials</t>
  </si>
  <si>
    <t>Tim Kowalewski</t>
  </si>
  <si>
    <t>timk@umn.edu</t>
  </si>
  <si>
    <t xml:space="preserve">Smart tools These are instrumented surgical tools which enable quantitative techniques in the operating room.  
Surgical Robotics This includes custom built robots that automate access to all patient surgical sites and the operating room environment, extracting meaningful information such as procedural markers or surgical skill from the sensor streams of the robot, and creating new algorithms and tools that enable novel surgical procedures.  
Surgical Simulation In collaboration with the center for research in education and surgical training (CREST), we investigate novel techniques for training surgical procedures in virtual reality or realistic mock tissues.   
Surgical Genome Project In collaboration with the University of Washington, this project aims to create a large, open database of surgical procedures including tool tracking, operative video, and a variety of sensors inputs. The aim is to provide a common resource for researchers to investigate surgical behavior, design requirements, and to develoPand compare analysis algorithms in a repeatable way.  </t>
  </si>
  <si>
    <t>Smart tools These are instrumented surgical tools which enable quantitative techniques in the operating room
,Surgical Robotics 
,Surgical Simulation In collaboration with the center for research in education , surgical training (CREST)</t>
  </si>
  <si>
    <t>Sungyon Lee</t>
  </si>
  <si>
    <t>sungyon@umn.edu</t>
  </si>
  <si>
    <t>Fluid mechanics – mathematical modeling and experiments
Particle-laden flows, particle assembly
Drops and bubbles
Viscous fingering, interfacial instabilities
Multiphase flows in soft porous media
Low Reynolds number hydrodynamics</t>
  </si>
  <si>
    <t>Fluid mechanics – mathematical modeling , experiments
,Particle-laden flows, particle assembly
,Drops , bubbles
,Viscous fingering, interfacial instabilities
,Multiphase flows in soft porous media
,Low Reynolds number hydrodynamics</t>
  </si>
  <si>
    <t>Jun Li</t>
  </si>
  <si>
    <t>junli1@umn.edu</t>
  </si>
  <si>
    <t>Heat transfer
Surfaces/interfaces
Polymers
Multiphase flow
Energy conversion systems</t>
  </si>
  <si>
    <t>Heat transfer
,Surfaces/interfaces
,Polymers
,Multiphase flow
,Energy conversion systems</t>
  </si>
  <si>
    <t>Perry Li</t>
  </si>
  <si>
    <t>lixxx099@umn.edu</t>
  </si>
  <si>
    <t>Control systems, mechatronics and fluid power with applications to energy systems, transportation, and robotics. For specific topics, please visit Dr. Li's website.</t>
  </si>
  <si>
    <t>Control systems, mechatronics , fluid power with applications to energy systems, transportation, robotics</t>
  </si>
  <si>
    <r>
      <rPr>
        <sz val="10"/>
        <color rgb="FF000000"/>
        <rFont val="Arial"/>
        <family val="2"/>
      </rPr>
      <t xml:space="preserve">Head - </t>
    </r>
    <r>
      <rPr>
        <u/>
        <sz val="10"/>
        <color rgb="FF000000"/>
        <rFont val="Arial"/>
        <family val="2"/>
      </rPr>
      <t>Susan Mantell</t>
    </r>
  </si>
  <si>
    <t>smantell@umn.edu</t>
  </si>
  <si>
    <t xml:space="preserve">Design and analysis of structures utilizing polymers and polymer composites.
Mechanics principles Associated with design using orthotropic and anisotropic materials.
Large and microscale structures.
Experimental and theoretical studies of polymer degradation.
Nondestructive evaluation of layered materials.
Development of manufacturing process models for composite materials and design of MEMs devices for biomedical applications.
</t>
  </si>
  <si>
    <t xml:space="preserve">Design , analysis of structures utilizing polymers , polymer composites
,Mechanics principles Associated with design using orthotropic , anisotropic materials
,Large , microscale structures
,Experimental , theoretical studies of polymer degradation
,Nondestructive evaluation of layered materials
,Development of manufacturing process models for composite materials , design of MEMs devices for biomedical applications
</t>
  </si>
  <si>
    <t>Michael McAlpine</t>
  </si>
  <si>
    <t>mcalpine@umn.edu</t>
  </si>
  <si>
    <t>3D printing functional materials &amp; devices
Nanoscale inks
Biomedical devices
Bioelectronics
3D printed electronics
Bioprinting</t>
  </si>
  <si>
    <t>3D printing functional materials &amp; devices
,Nanoscale inks
,Biomedical devices
,Bioelectronics
,3D printed electronics
,Bioprinting</t>
  </si>
  <si>
    <t>Nichole Morris</t>
  </si>
  <si>
    <t>nlmorris@umn.edu</t>
  </si>
  <si>
    <t>Driver behavior
Pedestrian safety
Gender disparities
Human-centered design
Combat medicine</t>
  </si>
  <si>
    <t>Driver behavior,
Pedestrian safety,
Gender disparities,
Human-centered design,
Combat medicine,</t>
  </si>
  <si>
    <t>Will Northrop</t>
  </si>
  <si>
    <t>wnorthro@umn.edu</t>
  </si>
  <si>
    <t>Engine emissions and after-treatment.
Alternative fuels.
Sustainable energy technology.
Thermodynamics and efficiency.
Combustion processes.
Energy and fuel use in developing countries.</t>
  </si>
  <si>
    <t>Engine emissions , after-treatment
,Alternative fuels
,Sustainable energy technology
,Thermodynamics , efficiency
,Combustion processes
,Energy , fuel use in developing countries</t>
  </si>
  <si>
    <t>David Pui</t>
  </si>
  <si>
    <t>dyhpui@umn.edu</t>
  </si>
  <si>
    <t xml:space="preserve">Aerosol and nanoparticle science and engineering.
Particle instrumentation development and filtration solutions to air pollution control.
Industrial applications of aerosol science &amp; technology and nanoparticle engineering.
Developing instrumentation for generating, sampling and measuring airborne particles. </t>
  </si>
  <si>
    <t>Aerosol , nanoparticle science , engineering,Particle instrumentation development , filtration solutions to air pollution control
,Industrial applications of aerosol science &amp; technology , nanoparticle engineering,Developing instrumentation for generating, sampling , measuring airborne particles</t>
  </si>
  <si>
    <t>Eric Severson</t>
  </si>
  <si>
    <t>sever@umn.edu</t>
  </si>
  <si>
    <t>Design and precision control of electric machines and power electronics
Magnetic levitation (bearingless motors and magnetic bearings)
High speed and oil-free rotors
Vehicle and hydraulic system electrification
Flywheel energy storage
Sustainable generation and efficient energy conversion</t>
  </si>
  <si>
    <t>Design , precision control of electric machines , power electronics
,Magnetic levitation (bearingless motors , magnetic bearings)
,High speed , oil-free rotors
,Vehicle , hydraulic system electrification
,Flywheel energy storage
,Sustainable generation , efficient energy conversion</t>
  </si>
  <si>
    <t>Lian Shen</t>
  </si>
  <si>
    <t>shen@umn.edu</t>
  </si>
  <si>
    <t>Computational fluid dynamics DNS and LES of turbulent flows, simulation of free-surface flows, computation of nonlinear waves
Turbulent boundary layers at smooth and rough undulatory surface Flow over wavy boundaries, wind-wave interaction, marine atmospheric boundary layer
Free-surface and multi-fluids flow Free-surface turbulence, interfacial transport, wave-turbulence interaction, wave breaking
Sustainable energy Ocean wave and wind as renewable energy resources, offshore wind farms, floating wind turbines, wave energy converters
Environmental fluid mechanics Transport at water surface and effect of surfactants, air-water transfer of heat and greenhouse gases
Radiative transfer Optics in water environment, hydrodynamic-optical effect on ecological-biogeochemical systems
Scientific computing and modeling High-performance large-scale parallel computing, data-intensive computing, multi-physics modeling</t>
  </si>
  <si>
    <t>Computational fluid dynamics DNS , LES of turbulent flows, simulation of free-surface flows, computation of nonlinear waves
,Turbulent boundary layers at smooth , rough undulatory surface Flow over wavy boundaries, wind-wave interaction, marine atmospheric boundary layer
,Free-surface , multi-fluids flow Free-surface turbulence, interfacial transport, wave-turbulence interaction, wave breaking
,Sustainable energy Ocean wave , wind as renewable energy resources, offshore wind farms, floating wind turbines, wave energy converters
,Environmental fluid mechanics Transport at water surface , effect of surfactants, air-water transfer of heat , greenhouse gases
,Radiative transfer Optics in water environment, hydrodynamic-optical effect on ecological-biogeochemical systems
,Scientific computing , modeling High-performance large-scale parallel computing, data-intensive computing, multi-physics modeling</t>
  </si>
  <si>
    <t>Marien Simeni</t>
  </si>
  <si>
    <t>msimenis@umn.edu</t>
  </si>
  <si>
    <t>PSimeni’s research focuses on the development of advanced (ultrafast) diagnostics for low to high pressure plasmas as well as the generation of efficient extreme ultraviolet and soft x-ray light sources for the manufacturing of nanometer-sized semiconductor chiPcomponents.
Non-Equilibrium Plasma Kinetics and Energy Transfers
Plasma Diagnostics
Plasma-Material Interactions
Soft X-ray Plasma Light Sources
Laser-Produced Plasmas
Reactive and High Speed Flows</t>
  </si>
  <si>
    <t>Non-Equilibrium Plasma Kinetics , Energy Transfers
,Plasma Diagnostics
,Plasma-Material Interactions
,Soft X-ray Plasma Light Sources
,Laser-Produced Plasmas
,Reactive , High Speed Flows</t>
  </si>
  <si>
    <t>Terrence Simon</t>
  </si>
  <si>
    <t>simon002@umn.edu</t>
  </si>
  <si>
    <t>Heat and momentum transfer.
Heat transfer with change of phase.
Flow visualization.
Energy balance techniques.
Thermocouples.
Resistance temperature direction.
Hot-wire anemometry.
Liquid crystal visualization.</t>
  </si>
  <si>
    <t>Heat , momentum transfer
,Heat transfer with change of phase
,Flow visualization
,Energy balance techniques
,Thermocouples
,Resistance temperature direction
,Hot-wire anemometry
,Liquid crystal visualization</t>
  </si>
  <si>
    <t>Vinod Srinivasan</t>
  </si>
  <si>
    <t>vinods@umn.edu</t>
  </si>
  <si>
    <t>Boiling and evaporation heat transfer
Flow instabilities and shear flow control
Liquid atomization
Heat transfer in particulate flows
Gas turbine heat transfer</t>
  </si>
  <si>
    <t>Boiling , evaporation heat transfer
,Flow instabilities , shear flow control
,Liquid atomization
,Heat transfer in particulate flows
,Gas turbine heat transfer</t>
  </si>
  <si>
    <t>Kim Stelson</t>
  </si>
  <si>
    <t>kstelson@umn.edu</t>
  </si>
  <si>
    <t>Fluid power.
Fluid powered devices
Energy efficient excavator.
Hydraulic hybrid passenger car.
Rescue bot.
Orthosis and fluid powered hand tools.</t>
  </si>
  <si>
    <t>Fluid power
,Fluid powered devices
,Energy efficient excavator
,Hydraulic hybrid passenger car
,Rescue bot
,Orthosis , fluid powered h, tools</t>
  </si>
  <si>
    <t>Paul Strykowski</t>
  </si>
  <si>
    <t>pstry@umn.edu</t>
  </si>
  <si>
    <t>Spatio-Temporal Stability Theory
Multi-Phase Turbulent Flows
The Influence of Compressibility, Density Effects, and Curvature on Flow Control
Heat Release in Propulsion Systems</t>
  </si>
  <si>
    <t>Spatio-Temporal Stability Theory
,Multi-Phase Turbulent Flows
,The Influence of Compressibility, Density Effects, Curvature on Flow Control
,Heat Release in Propulsion Systems</t>
  </si>
  <si>
    <t>Zongxuan Sun</t>
  </si>
  <si>
    <t>zsun@umn.edu</t>
  </si>
  <si>
    <t>Dynamic systems and control.
Tracking control and disturbance rejection.
Nonlinear and time-varying control.
Mechatronics.
Fluid power.
Applications to automotive propulsion systems.</t>
  </si>
  <si>
    <t>Dynamic systems , control,
,Tracking control , disturbance rejection,
,Nonlinear , time-varying control,
,Mechatronics,
,Fluid power,
,Applications to automotive propulsion systems,</t>
  </si>
  <si>
    <t>Kumar Tamma</t>
  </si>
  <si>
    <t>ktamma@umn.edu</t>
  </si>
  <si>
    <t>Development/applicability of interdisciplinary finite-element modeling/analysis methodologies and architectures for structure/thermal/fluid interactions in the general area of computational mechanics.
Computational methods, algorithms, and mixed time-integration techniques for applicability to computational mechanics on supercomputer architectures.
Adaptive/automated finite-element developments and modeling/analysis strategies.
Structural/multi-body dynamics and wave propagation.
Nonlinear/linear solid mechanics.
Solidification and thermal stresses.
Computational heat transfer in composite/isotropic structures and numerical methods in thermal problems.
CAD/FEM interface and geometric modeling of engineering components/configurations.</t>
  </si>
  <si>
    <t>Development/applicability of interdisciplinary finite-element modeling/analysis methodologies , architectures for structure/thermal/fluid interactions in the general area of computational mechanics
,Computational methods, algorithms, mixed time-integration techniques for applicability to computational mechanics on supercomputer architectures
,Adaptive/automated finite-element developments , modeling/analysis strategies
,Structural/multi-body dynamics , wave propagation
,Nonlinear/linear solid mechanics
,Solidification , thermal stresses
,Computational heat transfer in composite/isotropic structures , numerical methods in thermal problems
,CAD/FEM interface , geometric modeling of engineering components/configurations</t>
  </si>
  <si>
    <t>Jeff Tithof</t>
  </si>
  <si>
    <t>tithof@umn.edu</t>
  </si>
  <si>
    <t>PTithof's research utilizes a combination of complementary laboratory experiments and numerical simulations to probe important questions at the forefront of fluid mechanics. One area of focus concerns the glymphatic system, which is an important waste clearance pathway in the brain relevant to many neurological disorders, including Alzheimer's disease. His grouPalso explores new approaches to describing fluid flows with the goal of developing reduced-order models, obtaining new insights, and improving forecasting.
Glymphatic system (a waste clearance pathway in the brain involving cerebrospinal fluid flow)
Computational fluid mechanics
Microfluidics and in vitro models
Dynamical systems approaches to turbulence (exact coherent structures, Lagrangian coherent structures)
Machine learning and data-driven modeling
Topological data analysis</t>
  </si>
  <si>
    <t>Glymphatic system,
Computational fluid mechanics,
Microfluidics , in vitro models,
Dynamical systems approaches to turbulence,
Machine learning , data-driven modeling,
Topological data analysis</t>
  </si>
  <si>
    <t>James Van de Ven</t>
  </si>
  <si>
    <t>vandeven@umn.edu</t>
  </si>
  <si>
    <t>Applying Machine Design to Efficient Energy Conversion, Storage, and Generation
Fluid Power
Kinematics
Dynamics</t>
  </si>
  <si>
    <t>Applying Machine Design to Efficient Energy Conversion, Storage, Generation,
,Fluid Power
,Kinematics
,Dynamics</t>
  </si>
  <si>
    <t>Xiaojia "XJ" Wang</t>
  </si>
  <si>
    <t>wang4940@umn.edu</t>
  </si>
  <si>
    <t>Ultrafast laser spectroscopy
Thermal transport properties of materials (such as bulk, thin films, nanoparticles, and composites) and interfaces to (1) establish the structure-thermal property relationshiPand (2) design and synthesize functional materials via structural engineering
Thermal management of electronic devices and electrical systems
Solid-state energy conversion
Spin precession and magnetization dynamics in magnetic materials for data storage and spintronic devices
Radiative and optical properties of nanostructured materials</t>
  </si>
  <si>
    <t>Ultrafast laser spectroscopy
,Thermal transport properties of materials (such as bulk, thin films, nanoparticles, composites) , interfaces to (1) establish the structure-thermal property relationshiP, (2) design , synthesize functional materials via structural engineering
,Thermal management of electronic devices , electrical systems
,Solid-state energy conversion
,Spin precession , magnetization dynamics in magnetic materials for data storage , spintronic devices
,Radiative , optical properties of nanostructured materials</t>
  </si>
  <si>
    <t>Natasha Wright</t>
  </si>
  <si>
    <t>natasha@umn.edu</t>
  </si>
  <si>
    <t>Membrane-based separation processes
Desalination
Engineering Global Development
Water and Sanitation in Emerging Markets
Design Ethnography and Product Design</t>
  </si>
  <si>
    <t>Membrane-based separation processes
,Desalination
,Engineering Global Development
,Water , Sanitation in Emerging Markets
,Design Ethnography , Product Design</t>
  </si>
  <si>
    <t>Suo Yang</t>
  </si>
  <si>
    <t>suo-yang@umn.edu</t>
  </si>
  <si>
    <t>Dr. Yang's s broadly encompass the first-principles based modeling and simulation of reactive flows, including combustion, turbulence, plasma physics, particulate and multi-phase flows, and their multi-scale interactions. The goal is to develoPand utilize high-fidelity, computationally efficient predictive tools in order to (i) gain fundamental understanding of the physicochemical processes in reactive flows, (ii) design and control advanced propulsion and power-generation systems (primarily reciprocating engines and gas turbines) for energy sustainability.
Computational Fluid Dynamics (CFD) of Turbulent Reactive Flows Large Eddy Simulation (LES) and Direct Numerical Simulation (DNS)
Evolution of Soot, Aerosols, and Dusty Plasmas in Reactive Flows Engine Emissions and Advanced Manufacturing
Plasma/Ozone Assisted “Ultra-Fast” Ignition, “Ultra-Lean” Combustion, and Fuel Reforming
Chemical Kinetics, Mechanism Reduction, and Dynamic Adaptive Chemistry
Supercritical Mixing and Combustion High-Pressure Gas Turbine, Diesel, and Rocket Engines
Numerical Methods for Partial Differential Equations and High-Performance Parallel Computing (HPC)</t>
  </si>
  <si>
    <t>Computational Fluid Dynamics (CFD) of Turbulent Reactive Flows Large Eddy Simulation (LES , Direct Numerical Simulation (DNS)
,Evolution of Soot, Aerosols, Dusty Plasmas in Reactive Flows Engine Emissions , Advanced Manufacturing
,/Ozone Assisted “Ultra-Fast” Ignition, “Ultra-Lean” Combustion, Fuel Reforming
,Chemical Kinetics, Mechanism Reduction, Dynamic Adaptive Chemistry
,Supercritical Mixing , Combustion High-Pressure Gas Turbine, Diesel, Rocket Engines
,Numerical Methods for Partial Differential Equations, High-Performance Parallel Computing (HPC)</t>
  </si>
  <si>
    <t>University of Pennsylvania</t>
  </si>
  <si>
    <t>JD Albert</t>
  </si>
  <si>
    <t>albj@seas.upenn.edu</t>
  </si>
  <si>
    <t>Mechanical Engineering and Applied Mechanics</t>
  </si>
  <si>
    <t>Mark G. Allen</t>
  </si>
  <si>
    <t>mallen@upenn.edu</t>
  </si>
  <si>
    <t>MicroSensors and MicroActuators</t>
  </si>
  <si>
    <t>MicroSensors , MicroActuators</t>
  </si>
  <si>
    <t>Paulo E. Arratia</t>
  </si>
  <si>
    <t>parratia@seas.upenn.edu</t>
  </si>
  <si>
    <t xml:space="preserve">Structure and rheology of particulate systems
Swimming of microorganisms and active matter
Elastic instabilities
Biofluid dynamics in microfluidics
Applied fluid dynamics
</t>
  </si>
  <si>
    <t xml:space="preserve">Structure , rheology of particulate systems
,Swimming of microorganisms , active matter
,Elastic instabilities
,Biofluid dynamics in microfluidics
,Applied fluid dynamics
</t>
  </si>
  <si>
    <t>Igor Bargatin</t>
  </si>
  <si>
    <t>bargatin@seas.upenn.edu</t>
  </si>
  <si>
    <t>We push the limits of nanofabrication techniques to create materials and structures with unprecedented mechanical properties and to enable applications such as heat-to-electricity direct energy conversion, new levitation techniques for microflyers, and interstellar travel using a lightsail (also known as project Starshot).</t>
  </si>
  <si>
    <t>heat-to-electricity direct energy conversion, new levitation techniques for microflyersinterstellar travel using a lightsail</t>
  </si>
  <si>
    <t>John L. Bassani</t>
  </si>
  <si>
    <t>bassani@seas.upenn.edu</t>
  </si>
  <si>
    <t xml:space="preserve">E </t>
  </si>
  <si>
    <t>Haim H. Bau</t>
  </si>
  <si>
    <t>bau@seas.upenn.edu</t>
  </si>
  <si>
    <t>Active Control of Flow Patterns
Carbon Nanopipettes and Cellular Probes
Electrokinetics and Dielectrophoresis
Liquid Cell Electron Microscopy (the Nanoaquarium)
Magneto-Hydrodynamics (MHD)
Microfluidic Pumps, Stirrers
Microfluidics with Low Temperature Co-Fired Ceramic Tapes (LTCC)
Microswimmers (C. elegans)
Nanowalkers (Molecular Motors)
Point of Care Diagnostics (Lab on Chip)
Energy Storage and Desalination</t>
  </si>
  <si>
    <t>Active Control of Flow Patterns,
Carbon Nanopipettes , Cellular Probes,
Electrokinetics , Dielectrophoresis,
Liquid Cell Electron Microscopy (the Nanoaquarium),
Magneto-Hydrodynamics (MHD),
Microfluidic Pumps, Stirrers,
Microfluidics with Low Temperature Co-Fired Ceramic Tapes (LTCC),
Microswimmers (C, elegans),
Nanowalkers (Molecular Motors),
Point of Care Diagnostics (Lab on Chip),
Energy Storage , Desalination</t>
  </si>
  <si>
    <t>Matthew F. Campbell</t>
  </si>
  <si>
    <t>cammat@seas.upenn.edu</t>
  </si>
  <si>
    <t>Micromanufacturing: Applications in propulsion, energy conversion, and healthcare
Solid-state energy conversion: Electricity production from thermal, radiative, or chemical sources using no moving parts
Design: Innovation, engineering, testing, predictive analysis</t>
  </si>
  <si>
    <t>Micromanufacturing: Applications in propulsion, energy conversion, healthcare
Solid-state energy conversion: Electricity production from thermal, radiative, or chemical sources using no moving parts
Design: Innovation, engineering, testing, predictive analysis</t>
  </si>
  <si>
    <t>Taylor Caputo</t>
  </si>
  <si>
    <t>taycap@wharton.upenn.edu</t>
  </si>
  <si>
    <t>Michael A. Carchidi</t>
  </si>
  <si>
    <t>carchidi@seas.upenn.edu</t>
  </si>
  <si>
    <t>Robert W. Carpick</t>
  </si>
  <si>
    <t>carpick@seas.upenn.edu</t>
  </si>
  <si>
    <t xml:space="preserve">Mechanics of Graphene Pleats, Frictional Behavior of Monolayer Graphene, Nanocrystal Anti-Wear Additives in High-Performance Lubricants
, Electrical Contacts in NEMS Switches
</t>
  </si>
  <si>
    <t>Mechanics of Graphene Pleats, Frictional Behavior of Monolayer Graphene, Nanocrystal Anti-Wear Additives in High-Performance Lubricants
, Electrical Contacts in NEMS Switches</t>
  </si>
  <si>
    <t>Dennis E. Discher</t>
  </si>
  <si>
    <t>discher@seas.upenn.edu</t>
  </si>
  <si>
    <t>We focus on Differentiation, Stem Cells, &amp; Cancer Collagens-Cytoskeleton-Nucleus-Genome connections as well as 'Marker of Self', Phagocytosis and Cell Membrane dynamics.  Structures, interactions, and processes are studied in contexts ranging from short time scales (mechano-signaling, protein dynamics) to long time scales (expression, DNA repair, cell fates).</t>
  </si>
  <si>
    <t>Differentiation, Stem Cells, &amp; Cancer Collagens-Cytoskeleton-Nucleus-Genome connections</t>
  </si>
  <si>
    <t>Nadia Figueroa</t>
  </si>
  <si>
    <t>nadiafig@seas.upenn.edu</t>
  </si>
  <si>
    <t>My main  focuses on developing collaborative human-aware robotic systems robots that can safely and efficiently interact and physically collaborate with humans and other robots in the human-centric dynamic spaces we inhabit. This involves research at the intersection of machine learning, control theory, artificial intelligence, perception, and psychology - with a physical human-robot interaction perspective.</t>
  </si>
  <si>
    <t xml:space="preserve"> human-aware robotic systems robots,machine learning, control theory, artificial intelligence, perception, psychology - with a physical human-robot interaction perspective</t>
  </si>
  <si>
    <t>$45,252 per year (full-time)</t>
  </si>
  <si>
    <t>Yale Goldman</t>
  </si>
  <si>
    <t>goldmany@mail.med.upenn.edu</t>
  </si>
  <si>
    <t>Relating the structural changes to enzymatic reactions and mechanical steps of the energy transduction mechanism by mapping the real-time domain motions of the motor proteins and ribosomal elongation factors.</t>
  </si>
  <si>
    <t>Relating the structural changes to enzymatic reactions , mechanical steps of the energy transduction mechanism by mapping the real-time domain motions of the motor proteins , ribosomal elongation factors,</t>
  </si>
  <si>
    <t>M. Ani Hsieh</t>
  </si>
  <si>
    <t>mya@seas.upenn.edu</t>
  </si>
  <si>
    <t xml:space="preserve">Learning Complex Dynamics, Adaptive Sampling, Intermittently Connective Mobile Robot Communication Networks, Leveraging Environmental Dynamics for Planning and Control
</t>
  </si>
  <si>
    <t xml:space="preserve">Learning Complex Dynamics, Adaptive Sampling, Intermittently Connective Mobile Robot Communication Networks, Leveraging Environmental Dynamics for Planning , Control
</t>
  </si>
  <si>
    <t>Howard H. Hu</t>
  </si>
  <si>
    <t>hhu@seas.upenn.edu</t>
  </si>
  <si>
    <t>Douglas Jerolmack</t>
  </si>
  <si>
    <t>sediment@sas.upenn.edu</t>
  </si>
  <si>
    <t>The Penn Soft Earth Dynamics (PennSED) Lab Experimental geophysics, with a focus on geomorphology (the "science of scenery") and the mechanics of earth materials. Research seeks to understand the spatial and temporal evolution of patterns that emerge at the interface of fluid and sediment on Earth and other planetary surfaces. We use laboratory experiments, combined with field work and theory, to elucidate the minimum number of ingredients that are required to explain physical phenomena. Particular foci include sediment transport, rheology and failure of earth materials, landform dynamics including dunes, river channels, deltas and fans, stochastic and nonlinear transport processes, and landscape response to dynamic boundary conditions such as climate. We are also dedicated to nurturing the growth of a diverse community in the new field of Soft Earth Geophysics, through activities that seek to disrupt cultural practices that have historically excluded new people and new ideas from entering science.We are based in the Department of Earth and Environmental Science and Department of Mechanical Engineering and Applied Mechanics at University of Pennsylvania. Douglas Jerolmack is the lab director.</t>
  </si>
  <si>
    <t>geomorphology, the mechanics of earth materials</t>
  </si>
  <si>
    <t>Daniel E. Koditschek</t>
  </si>
  <si>
    <t>kod@seas.upenn.edu</t>
  </si>
  <si>
    <t xml:space="preserve">Research in Dan’s grouPis focused on the application of dynamical systems theory to the design, construction and empirical testing of machines that juggle, run, climb, and in general, interact physically with their environment to perform useful work. Dan and his grouPseek to probe the foundations of autonomous robotics by reasoning formally about mathematical models that represent the successes and limitations of their physical platforms. They maintain close collaborations with biologists, whose insights about animal mobility and dexterity inspire their thinking and designs.
</t>
  </si>
  <si>
    <t xml:space="preserve">dynamical systems theory to the design, construction ,empirical testing of machines
</t>
  </si>
  <si>
    <t>Bruce Kothmann</t>
  </si>
  <si>
    <t>kothmann@seas.upenn.edu</t>
  </si>
  <si>
    <t>Vijay Kumar</t>
  </si>
  <si>
    <t>kumar@seas.upenn.edu</t>
  </si>
  <si>
    <t xml:space="preserve">Agriculture Robotics, Multi Robot Systems, Agile Autonomous Flight
</t>
  </si>
  <si>
    <t>Agriculture Robotics, Multi Robot Systems, Agile Autonomous Flight</t>
  </si>
  <si>
    <t>Noam Lior</t>
  </si>
  <si>
    <t>lior@seas.upenn.edu</t>
  </si>
  <si>
    <t>Energy Conversion, Combustion, and Thermodynamics
Fundamental aspects of oil and pulverized coal combustion, reduction of pollutants, solar thermal energy conversion, advanced power cycles, use of liquefied natural gas coldness in power generation, thermodynamics second-law (exergy) analysis focusing on chemical and nuclear reactions. Power generation in space for terrestrial use. Quantitative sustainable energy development.
Water Desalination
Fundamental phenomena of evaporation, heat transfer, and fluid mechanics Associated with flash evaporation, multi-stage flash desalination processes, membrane distillation, advanced combined water desalination and power generation systems. Sustainable water desalination. Measurements, instrumentation and control in water desalination.
Sustainability Science
Sustainability metrics, aggregation and optimization, sustainable development.
Heat Transfer and Fluid Mechanics
Conjugate problems, natural convection in enclosures, thermo-solutal convection, forced convection in external turbulent flows, heat and mass transfer in desiccants, phase change phenomena, jet impingement.
Manufacturing
Heat treatment, electrolytic removal of corrosion (pickling) from metals, crystal growth, electro-discharge machining.</t>
  </si>
  <si>
    <t>Energy Conversion, Combustion, Thermodynamics
,Fundamental aspects of oil , pulverized coal combustion, reduction of pollutants, solar thermal energy conversion, advanced power cycles, use of liquefied natural gas coldness in power generation, thermodynamics second-law (exergy) analysis focusing on chemical , nuclear reactions, Power generation in space for terrestrial use, Quantitative sustainable energy development,
,Water Desalination
,Fundamental phenomena of evaporation, heat transfer, fluid mechanics Associated with flash evaporation, multi-stage flash desalination processes, membrane distillation, advanced combined water desalination , power generation systems, Sustainable water desalination, Measurements, instrumentation , control in water desalination,
,Sustainability Science
,Sustainability metrics, aggregation , optimization, sustainable development,
,Heat Transfer , Fluid Mechanics
,Conjugate problems, natural convection in enclosures, thermo-solutal convection, forced convection in external turbulent flows, heat , mass transfer in desiccants, phase change phenomena, jet impingement, Manufacturing, Heat treatment, electrolytic removal of corrosion (pickling) from metals, crystal growth, electro-discharge machining,</t>
  </si>
  <si>
    <t>Jennifer R. Lukes</t>
  </si>
  <si>
    <t>jrlukes@seas.upenn.edu</t>
  </si>
  <si>
    <r>
      <rPr>
        <sz val="10"/>
        <color rgb="FF000000"/>
        <rFont val="Arial"/>
        <family val="2"/>
      </rPr>
      <t xml:space="preserve">Chair - </t>
    </r>
    <r>
      <rPr>
        <u/>
        <sz val="10"/>
        <color rgb="FF000000"/>
        <rFont val="Arial"/>
        <family val="2"/>
      </rPr>
      <t>George J. Pappas</t>
    </r>
  </si>
  <si>
    <t>PAPPASG@SEAS.UPENN.EDU</t>
  </si>
  <si>
    <t xml:space="preserve">Distributed and Collaborative Intelligent Systems and Technology (ARL CRA DCIST),Safe AI-enabled Autonomy (DARPA Assured Autonomy),Machine Learning and Control (l4dc.org),Perception-based safe planning in unknown environments (AFOSR Assured Autonomy),Estimation and Control over 5G networks (NSF CPS), Intel Science and Technology Center,Resilience of Critical Networked Infrastructure (The Rockefeller Foundation),Security and Privacy-Aware Cyber-Physical Systems (NSF, Intel) - (Project page)
</t>
  </si>
  <si>
    <t xml:space="preserve">Distributed , Collaborative Intelligent Systems , Technology (ARL CRA DCIST),Safe AI-enabled Autonomy (DARPA Assured Autonomy),Machine Learning , Control (l4dc,org),Perception-based safe planning in unknown environments (AFOSR Assured Autonomy),Estimation , Control over 5G networks (NSF CPS), Intel Science , Technology Center,Resilience of Critical Networked Infrastructure (The Rockefeller Foundation),Security , Privacy-Aware Cyber-Physical Systems (NSF, Intel) - (Project page)
</t>
  </si>
  <si>
    <t>George Ilhwan Park</t>
  </si>
  <si>
    <t>gipark@seas.upenn.edu</t>
  </si>
  <si>
    <t xml:space="preserve">We are focused on developing a predictive yet affordable framework for computation of multi-physics flow phenomena characterized by turbulence at high Reynolds number, compressibility effect, heat transfer, complex wall geometry, and fluid-structure interaction. With such tools, we aim to tackle real-world engineering problems at a range of scales, and elucidate fundamental structures and mechanisms of momentum &amp; heat transfer from first principles.
</t>
  </si>
  <si>
    <t xml:space="preserve"> compressibility effect, heat transfer, complex wall geometry, fluid-structure interaction
</t>
  </si>
  <si>
    <t>Paris Perdikaris</t>
  </si>
  <si>
    <t>pgp@seas.upenn.edu</t>
  </si>
  <si>
    <t>Pedro Ponte Castañeda</t>
  </si>
  <si>
    <t>PONTE@SEAS.UPENN.EDU</t>
  </si>
  <si>
    <t xml:space="preserve">Applied Math     Variational Methods, Homogenization, Asymptotic Analysis.
Mechanics          Nonlinear Composite Materials, Multi-Scale Analysis, Smart Materials,
                          Microstructure Evolution and Localization in Manufacturing Processes,
                          Mechanics of Polycrystalline Deformation and Texture Evolution,
                          Phase Transformations, Fracture Mechanics, Thermoplastic Elastomers,
                          Elastomeric Foams, Reinforced Rubbers, Semi-Crystalline Polymers,
                          Magneto-rheological Elastomers.
 </t>
  </si>
  <si>
    <t xml:space="preserve">Variational Methods, Homogenization, Asymptotic Analysis,
Nonlinear Composite Materials, Multi-Scale Analysis, Smart Materials,
Microstructure Evolution , Localization in Manufacturing Processes,
Mechanics of Polycrystalline Deformation , Texture Evolution,
Phase Transformations, Fracture Mechanics, Thermoplastic Elastomers,
Elastomeric Foams, Reinforced Rubbers, Semi-Crystalline Polymers,
Magneto-rheological Elastomers
 </t>
  </si>
  <si>
    <t>Michael Posa</t>
  </si>
  <si>
    <t>posa@seas.upenn.edu</t>
  </si>
  <si>
    <t xml:space="preserve">Our research centers on planning, control, and formal analysis of robots as they interact with the world. Whether a robot is assisting within the home, or operating in a manufacturing plant, the fundamental promise of robotics requires touching and affecting a complex environment in a safe and controlled fashion. We are focused on developing computationally tractable algorithms which enable robots to operate both dynamically and safely as they quickly maneuver through and interact with their environments.
</t>
  </si>
  <si>
    <t xml:space="preserve">Our research centers on planning, control, formal analysis of robots as they interact with the world, Whether a robot is assisting within the home, or operating in a manufacturing plant, the fundamental promise of robotics requires touching , affecting a complex environment in a safe , controlled fashion, We are focused on developing computationally tractable algorithms which enable robots to operate both dynamically , safely as they quickly maneuver through , interact with their environments,
</t>
  </si>
  <si>
    <t>Prashant K. Purohit</t>
  </si>
  <si>
    <t>purohit@seas.upenn.edu</t>
  </si>
  <si>
    <t xml:space="preserve">Statistical mechanics of filamentous molecules, Kinetic models for unfolding proteins, Mechanical response of filamentous networks, Mechanics of constrained lipid membranes.
</t>
  </si>
  <si>
    <t>Statistical mechanics of filamentous molecules, Kinetic models for unfolding proteins, Mechanical response of filamentous networks, Mechanics of constrained lipid membranes,</t>
  </si>
  <si>
    <t>Jordan R. Raney</t>
  </si>
  <si>
    <t>raney@seas.upenn.edu</t>
  </si>
  <si>
    <t>At the Architected Materials Laboratory we explore this question, with our work organized into three major Thrusts (1) Geometric control of nonlinear behavior, (2) 3D-printable composites and responsive materials, and (3) Mechanical logic and autonomous materials (obtained by combining Thrusts 1 and 2).</t>
  </si>
  <si>
    <t xml:space="preserve">Geometric control of nonlinear behavior,  3D-printable composites , responsive materials, Mechanical logic , autonomous materials </t>
  </si>
  <si>
    <t>Celia Reina</t>
  </si>
  <si>
    <t>creina@seas.upenn.edu</t>
  </si>
  <si>
    <t>Continuum modeling of non-equilibrium phenomena
Extrapolating material response into the far-from-equilibrium realm
Kinematics of finite elastoplasticy
Design of elastic metamaterials
Computational homogenization for elastic wave propagation
Modeling amorphous to crystalline transformations
Damage via void nucleation and growth</t>
  </si>
  <si>
    <t>Continuum modeling of non-equilibrium phenomena
Extrapolating material response into the far-from-equilibrium realm
Kinematics of finite elastoplasticy
Design of elastic metamaterials
Computational homogenization for elastic wave propagation
Modeling amorphous to crystalline transformations
Damage via void nucleation , growth</t>
  </si>
  <si>
    <t>Jenna Shanis</t>
  </si>
  <si>
    <t>jshanis@seas.upenn.edu</t>
  </si>
  <si>
    <t>Vivek Shenoy</t>
  </si>
  <si>
    <t>vshenoy@seas.upenn.edu</t>
  </si>
  <si>
    <t>Computational Mechanobiology
Fibrous Materials
Nano and Energy Materials</t>
  </si>
  <si>
    <t>Computational Mechanobiology
Fibrous Materials
Nano , Energy Materials</t>
  </si>
  <si>
    <t>Talid R. Sinno</t>
  </si>
  <si>
    <t>talid@seas.upenn.edu</t>
  </si>
  <si>
    <t>Kathleen J. Stebe</t>
  </si>
  <si>
    <t>kstebe@seas.upenn.edu</t>
  </si>
  <si>
    <t xml:space="preserve">In the Stebe lab, we study directed assembly by energies stored in soft matter to make new, reconfigurable materials. One important vehicle for these studies is the manipulation of objects that assemble at fluid interfaces. Interfaces bring significant degrees of freedom, as they are highly deformable and dynamic, extending the types of manipulations that can be imposed. The interface can be an open system, allowing the addition of material from suspension or solution as the interface is deformed. Alternatively, it can be a closed system, which deforms in response to stresses under the constraint of mass conservation. Interfaces can be highly curved owing to confinement or applied fields, and can be triggered into new shapes e.g. by applied fields. Fluid interfaces can be dynamically reconfigured, for example, by droPbreak-uPor by film instabilities. They can change their topology e.g. by poration, they can spontaneously form highly branched, interconnected networks of fluid filaments, e.g. like those created by spinodal decomposition. To understand assembly at interfaces, we delve into capillary and wetting phenomena, dynamic surface tension, interfacial flows including Marangoni effects, and the mechanics of encapsulating films. Another important theme is directed assembly by elastic energies in liquid crystals. In these studies, we use confining volumes with well defined anchoring conditions to store elastic energy in liquid crystals. This stored energy field is used to direct particles within the liquid crystals or at their interfaces to assemble. Finally, we are exploring where these themes appear and can be exploited in biological and biotechnological systems.
</t>
  </si>
  <si>
    <t xml:space="preserve"> new and reconfigurable materials
</t>
  </si>
  <si>
    <t>Cynthia Sung</t>
  </si>
  <si>
    <t>crsung@seas.upenn.edu</t>
  </si>
  <si>
    <t xml:space="preserve">Computational Robot Design
Soft and Semi-Rigid Robotics
Origami-Inspired Design and Fabrication
Modeling and Control for Reconfiguration
</t>
  </si>
  <si>
    <t>Computational Robot Design,
Soft , Semi-Rigid Robotics,
Origami-Inspired Design , Fabrication,
Modeling , Control for Reconfiguration,</t>
  </si>
  <si>
    <t>Ottman A. Tertuliano</t>
  </si>
  <si>
    <t>oat@seas.upenn.edu</t>
  </si>
  <si>
    <t>Our grouPleverages novel nano and micro scale experimental mechanics to develoPa fundamental understanding of tissue mechanical response to physiological loads. We couple this with the emerging field of metal additive manufacturing to develoPmaterials that enable seamless and active interfacing with the human body for regenerative health care.</t>
  </si>
  <si>
    <t>micro scale experimental mechanics to develop a fundamental underst,ing of tissue mechanical response to physiological loads, We couple this with the emerging field of metal additive manufacturing to develoPmaterials that enable seamless , active interfacing with the human body for regenerative health care</t>
  </si>
  <si>
    <t>Kevin T. Turner</t>
  </si>
  <si>
    <t>ktturner@seas.upenn.edu</t>
  </si>
  <si>
    <t xml:space="preserve">The Turner Research GrouPinvestigates problems at the nexus of mechanics, manufacturing, and materials, with a particular emphasis on research questions involving small-scale systems and interfaces. We focus on understanding the underlying mechanics and materials science of the problems that we investigate and exploit this understanding to advance the capability of existing technologies and to develoPnovel processes, materials, and devices. This is achieved by leveraging our core expertise in micro- and nano-systems, adhesion and fracture, experimental and computational mechanics, and advanced manufacturing. Ongoing projects include structured surfaces and materials with unique adhesion and fracture behavior, additive manufacturing of cellulose nanomaterials, soft robotic grasping, nanocomposites, and manufacturing processes for flexible hybrid electronics and sensors.
</t>
  </si>
  <si>
    <t>mechanics, manufacturing, materials, with a particular emphasis on research questions involving small-scale systems , interfaces, We focus on underst,ing the underlying mechanics , materials science of the problems that we investigate , exploit this underst,ing to advance the capability of existing technologies , to develoPnovel processes, materials, devices, micro- , nano-systems, adhesion , fracture, experimental , computational mechanics, advanced manufacturing</t>
  </si>
  <si>
    <t>Graham Wabiszewski</t>
  </si>
  <si>
    <t>grahamw@seas.upenn.edu</t>
  </si>
  <si>
    <t>Mark Yim</t>
  </si>
  <si>
    <t>yim@seas.upenn.edu</t>
  </si>
  <si>
    <t xml:space="preserve">We introduce a new invariant for truss robot motion planning, called the link-augmented graph. This gives you a way to quickly tell if the start and goal configurations of a motion planning query might have a collision-free path between them.
</t>
  </si>
  <si>
    <t>truss robot motion planning</t>
  </si>
  <si>
    <t>University of Wisconsin--Madison</t>
  </si>
  <si>
    <r>
      <rPr>
        <sz val="10"/>
        <color rgb="FF000000"/>
        <rFont val="Arial"/>
        <family val="2"/>
      </rPr>
      <t xml:space="preserve">Chair - </t>
    </r>
    <r>
      <rPr>
        <u/>
        <sz val="10"/>
        <color rgb="FF000000"/>
        <rFont val="Arial"/>
        <family val="2"/>
      </rPr>
      <t>Darryl G. Thelen</t>
    </r>
  </si>
  <si>
    <t>dgthelen@wisc.edu</t>
  </si>
  <si>
    <t>s Dynamics and control of human movement, Wearable sensors in biomechanics, Neuromuscular adaptation with age, injury and disease, Imaging of soft tissue mechanics, Application of biomechanics in orthopedics, reh...</t>
  </si>
  <si>
    <t>Dynamics , control of human movement, Wearable sensors in biomechanics, Neuromuscular adaptation with age, injury , disease, Imaging of soft tissue mechanics, Application of biomechanics in orthopedics</t>
  </si>
  <si>
    <t>Peter Gabriel Adamczyk</t>
  </si>
  <si>
    <t>peter.adamczyk@wisc.edu</t>
  </si>
  <si>
    <t>s Dr. Adamczyk directs the UW Biomechatronics, Assistive Devices, Gait Engineering and Rehabilitation Laboratory (UW BADGER Lab). s...</t>
  </si>
  <si>
    <t xml:space="preserve"> Biomechatronics, Assistive Devices, Gait Engineering , Rehabilitation Laboratory </t>
  </si>
  <si>
    <t>Mark Anderson (he/him)</t>
  </si>
  <si>
    <t>manderson@engr.wisc.edu</t>
  </si>
  <si>
    <t>s My research covers a wide breadth of fundamental physics and applications all relating to advanced energy utilization, energy extraction and energy production with the main focus on experimental thermal h...</t>
  </si>
  <si>
    <t>s fundamental physics , applications all relating to advanced energy utilization, energy extraction , energy production with the main focus on experimental thermal</t>
  </si>
  <si>
    <t>Joseph B Andrews</t>
  </si>
  <si>
    <t>joseph.andrews@wisc.edu</t>
  </si>
  <si>
    <t>s Printed and flexible electronics, Electronically transduced biosensors, Print process control systems, Electronics from nanomaterials, Sensor design and validation, Distributed sensing arrays</t>
  </si>
  <si>
    <t>Printed , flexible electronics, Electronically transduced biosensors, Print process control systems, Electronics from nanomaterials, Sensor design , validation,</t>
  </si>
  <si>
    <t>#27 - Best Engineering Schools</t>
  </si>
  <si>
    <t>Riccardo Bonazza (he/him)</t>
  </si>
  <si>
    <t>riccardo.bonazza@wisc.edu</t>
  </si>
  <si>
    <t>s Experimental fluid mechanics , impulsive, unsteady phenomena, shock tube applications, laser and X-ray imaging &amp; measuring techniques</t>
  </si>
  <si>
    <t>Experimental fluid mechanics , impulsive, unsteady phenomena, shock tube applications, laser , X-ray imaging, measuring techniques</t>
  </si>
  <si>
    <t>Curt A. Bronkhorst</t>
  </si>
  <si>
    <t>cbronkhorst@wisc.edu</t>
  </si>
  <si>
    <t>s Theoretical/computational mechanics of materials, computational plasticity, multi-scale material modeling, damage mechanics, single crystal plasticity, dynamic material behavior, structural phase transformation...</t>
  </si>
  <si>
    <t>Theoretical/computational mechanics of materials, computational plasticity, multi-scale material modeling, damage mechanics, single crystal plasticity, dynamic material behavior, structural phase transformation</t>
  </si>
  <si>
    <t>Lianyi Chen</t>
  </si>
  <si>
    <t>lianyi.chen@wisc.edu</t>
  </si>
  <si>
    <t>s Additive manufacturing, metals design based on nanoelements, in-situ characterization, autonomous metals design and manufacturing, advanced materials and manufacturing techologies for fusion energy</t>
  </si>
  <si>
    <t>Additive manufacturing, metals design based on nanoelements, in-situ characterization, autonomous metals design , manufacturing, advanced materials , manufacturing techologies for fusion energy</t>
  </si>
  <si>
    <t>Wendy Crone</t>
  </si>
  <si>
    <t>crone@engr.wisc.edu</t>
  </si>
  <si>
    <t>s Experimental mechanics of materials, characterization hydrogels and biomaterials, therapeutic medical devices, stem cell mechanics</t>
  </si>
  <si>
    <t>Experimental mechanics of materials, characterization hydrogels , biomaterials, therapeutic medical devices, stem cell mechanics</t>
  </si>
  <si>
    <t>Melih Eriten</t>
  </si>
  <si>
    <t>eriten@engr.wisc.edu</t>
  </si>
  <si>
    <t>s Multiscale materials modeling (friction, energy dissipation, and failure in multiscale structures and systems, continuum and atomistic modeling of interfaces, dislocations, plasticity, delamination), Multiscale...</t>
  </si>
  <si>
    <t>Multiscale materials modeling,friction, energy dissipation, failure in multiscale structures , systems, continuum , atomistic modeling of interfaces, dislocations, plasticity, delamination</t>
  </si>
  <si>
    <t>Christian Franck (he/him)</t>
  </si>
  <si>
    <t>cfranck@wisc.edu</t>
  </si>
  <si>
    <t>s Experimental mechanics including digital image and volume correlation methods and 3D microscopy techniques. Soft matter and cell mechanics including cellular traumatic brain injury.</t>
  </si>
  <si>
    <t>Experimental mechanics including digital image , volume correlation methods , 3D microscopy techniques, Soft matter , cell mechanics including cellular traumatic brain injury</t>
  </si>
  <si>
    <t>Jennifer Franck</t>
  </si>
  <si>
    <t>jafranck@wisc.edu</t>
  </si>
  <si>
    <t>s Computational fluid dynamics, unsteady fluid mechanics, turbulent flows, wind and tidal energy, aerodynamics, flow control, propulsion, fluid-structure interaction</t>
  </si>
  <si>
    <t>Computational fluid dynamics, unsteady fluid mechanics, turbulent flows, wind , tidal energy, aerodynamics, flow control, propulsion, fluid-structure interaction</t>
  </si>
  <si>
    <t>Kate Fu (she/her)</t>
  </si>
  <si>
    <t>kate.fu@wisc.edu</t>
  </si>
  <si>
    <t>s CAE &amp; Design, Innovation, Creativity, Design Theory and Methodology, Computational Design Tools, Design Science, Design Co...</t>
  </si>
  <si>
    <t>CAE &amp; Design, Innovation, Creativity, Design Theory , Methodology, Computational Design Tools, Design Science</t>
  </si>
  <si>
    <t>$10,728 per year (in-state, full-time)</t>
  </si>
  <si>
    <t>Jaal Ghandhi (he/him)</t>
  </si>
  <si>
    <t>jaal.ghandhi@wisc.edu</t>
  </si>
  <si>
    <t>s Internal combustion engines, laser diagnostics, turbulent flow</t>
  </si>
  <si>
    <t>Internal combustion engines, laser diagnostics, turbulent flow</t>
  </si>
  <si>
    <t>Corinne Henak (she/her)</t>
  </si>
  <si>
    <t>chenak@wisc.edu</t>
  </si>
  <si>
    <t>s Mechanical and biological responses of cartilage to injury, Orthopedic soft tissue materials characterization, Finite element modeling</t>
  </si>
  <si>
    <t>Mechanical , biological responses of cartilage to injury, Orthopedic soft tissue materials characterization, Finite element modeling</t>
  </si>
  <si>
    <t>Eric Kazyak (he/him)</t>
  </si>
  <si>
    <t>kazyak@wisc.edu</t>
  </si>
  <si>
    <t>s Energy and Sustainability, Batteries/energy storage, Electrochemistry, Operando and In situ characterization, Interfacial engineering, Atomic layer deposition, Earth-abundant mate...</t>
  </si>
  <si>
    <t>Energy , Sustainability, Batteries/energy storage, Electrochemistry, Oper,o , In situ characterization, Interfacial engineering, Atomic layer deposition, Earth-abundant mate</t>
  </si>
  <si>
    <t>Sage Kokjohn (he/him)</t>
  </si>
  <si>
    <t>kokjohn@wisc.edu</t>
  </si>
  <si>
    <t>s High efficiency energy conversion, Thermodynamics and fluid mechanics, Turbulent combustion modelling</t>
  </si>
  <si>
    <t>High efficiency energy conversion, Thermodynamics , fluid mechanics, Turbulent combustion modelling</t>
  </si>
  <si>
    <t>Tom Krupenkin (he/him)</t>
  </si>
  <si>
    <t>tnk@engr.wisc.edu</t>
  </si>
  <si>
    <t>s Nanotechnology, Micro and nano-fluidics, Renewable energy</t>
  </si>
  <si>
    <t>Nanotechnology, Micro , nano-fluidics, Renewable energy</t>
  </si>
  <si>
    <t>yli2562@wisc.edu</t>
  </si>
  <si>
    <t>s Mechanics of Materials, Polymer Physics, Soft Matter, Computational Mechanics, Computational Materials Science, Multiscale Modeling, Molecular Dynamics, Biomedical Systems, Data Mining, Machine Learning, Artifi...</t>
  </si>
  <si>
    <t>Mechanics of Materials, Polymer Physics, Soft Matter, Computational Mechanics, Computational Materials Science, Multiscale Modeling, Molecular Dynamics, Biomedical Systems, Data Mining, Machine Learning</t>
  </si>
  <si>
    <t>Allison Mahvi (she/her)</t>
  </si>
  <si>
    <t>allison.mahvi@wisc.edu</t>
  </si>
  <si>
    <t>s Thermal energy storage materials and systems, high-efficiency thermal systems, HVAC systems, two-phase fluid dynamics and heat transfer</t>
  </si>
  <si>
    <t>Thermal energy storage materials , systems, high-efficiency thermal systems, HVAC systems, two-phase fluid dynamics , heat transfer</t>
  </si>
  <si>
    <t>Luca Mastropasqua (he/him)</t>
  </si>
  <si>
    <t>luca.mastropasqua@wisc.edu</t>
  </si>
  <si>
    <t>s Sustainable electrochemical energy conversion and storage systems, Electrochemistry, Fuel Cells, Hydrogen, Sustainable fuels and commodities electrochemical manufacturing, Industrial decarbonization, Carbon Cap...</t>
  </si>
  <si>
    <t xml:space="preserve">Sustainable electrochemical energy conversion , storage systems, Electrochemistry, Fuel Cells, Hydrogen, Sustainable fuels , commodities electrochemical manufacturing, Industrial decarbonization </t>
  </si>
  <si>
    <t>Franklin Miller</t>
  </si>
  <si>
    <t>fkmiller@wisc.edu</t>
  </si>
  <si>
    <t>s Cryogenics, Thermodynamics of Superfluid 3He-4He mixtures, Sub-Kelvin cooling for space science, Energy Systems</t>
  </si>
  <si>
    <t>Cryogenics, Thermodynamics of Superfluid 3He-4He mixtures, Sub-Kelvin cooling for space science, Energy Systems</t>
  </si>
  <si>
    <t>Sangkee Min</t>
  </si>
  <si>
    <t>sangkee.min@wisc.edu</t>
  </si>
  <si>
    <t>s New Manufacturing Paradigm Manufacturing for Design (MFD), Ultra-precision machining technology, Manufacturing energy efficiency and strategy, Appropriate technology, Burr minimization and prevention, Digital ...</t>
  </si>
  <si>
    <t>New Manufacturing Paradigm Manufacturing for Design (MFD), Ultra-precision machining technology, Manufacturing energy efficiency , strategy, Appropriate technology, Burr minimization , prevention</t>
  </si>
  <si>
    <t>Dan Negrut (he/him)</t>
  </si>
  <si>
    <t>negrut@wisc.edu</t>
  </si>
  <si>
    <t>s Computational Dynamics (multi-body dynamics, fluid-solid interaction, friction &amp; contact), high performance computing, robotics &amp; autonomous vehicle simulation https//sbel.wisc.edu. ...</t>
  </si>
  <si>
    <t>Computational Dynamics (multi-body dynamics, fluid-solid interaction, friction &amp; contact), high performance computing, robotics &amp; autonomous vehicle simulation https//sbel,wisc,edu, ,,,</t>
  </si>
  <si>
    <t>Gregory F. Nellis</t>
  </si>
  <si>
    <t>gfnellis@engr.wisc.edu</t>
  </si>
  <si>
    <t>Jacob Notbohm (he/him)</t>
  </si>
  <si>
    <t>jknotbohm@wisc.edu</t>
  </si>
  <si>
    <t>s Solid mechanics | biomechanics | cell mechanics | biomaterials | collective cell migration | optical microscopy | adhesion</t>
  </si>
  <si>
    <t>Solid mechanics , biomechanics , cell mechanics , biomaterials , collective cell migration,optical microscopy , adhesion</t>
  </si>
  <si>
    <t>Tim Osswald (he/him)</t>
  </si>
  <si>
    <t>tosswald@wisc.edu</t>
  </si>
  <si>
    <t>s Plastics Design, Extrusion, Injection Molding, Blow Molding, Film Blowing, Compression Molding, Composites, Modeling and Simulation in Polymer Processing and Composites, Biopolymers, Intellectual Property, Ethi...</t>
  </si>
  <si>
    <t>Plastics Design, Extrusion, Injection Molding, Blow Molding, Film Blowing, Compression Molding, Composites, Modeling , Simulation in Polymer Processing , Composites, Biopolymers, Intellectual Property, Ethi,,,</t>
  </si>
  <si>
    <t>Wenxiao Pan (she/her)</t>
  </si>
  <si>
    <t>wpan9@wisc.edu</t>
  </si>
  <si>
    <t>s Multi-scale Modeling, Machine Learning-enhanced Modeling and Simulation, Data-driven Approaches, Model Order Reduction, Soft Matter, Complex Fluids, Fluid-solid Interactions, En...</t>
  </si>
  <si>
    <t>Multi-scale Modeling, Machine Learning-enhanced Modeling , Simulation, Data-driven Approaches, Model Order Reduction, Soft Matter, Complex Fluids, Fluid-solid Interactions</t>
  </si>
  <si>
    <t>Frank Pfefferkorn (he/him)</t>
  </si>
  <si>
    <t>frank.pfefferkorn@wisc.edu</t>
  </si>
  <si>
    <t>s Laser remelting-based polishing and structuring of metal alloys, Friction stir welding and processing, Friction surfacing / additive friction stir, Temperature measurement and control in manufacturing, Instrume...</t>
  </si>
  <si>
    <t>Laser remelting-based polishing , structuring of metal alloys, Friction stir welding , processing, Friction surfacing / additive friction stir, Temperature measurement , control in manufacturing, Instrume</t>
  </si>
  <si>
    <t>John M. Pfotenhauer</t>
  </si>
  <si>
    <t>pfot@engr.wisc.edu</t>
  </si>
  <si>
    <t>s Low temperature refrigeration, cryogenics, applied superconductivity</t>
  </si>
  <si>
    <t>Low temperature refrigeration, cryogenics, applied superconductivity</t>
  </si>
  <si>
    <t>James Pikul</t>
  </si>
  <si>
    <t>pikul@seas.upenn.edu</t>
  </si>
  <si>
    <t>Pavana Prabhakar</t>
  </si>
  <si>
    <t>pavana.prabhakar@wisc.edu</t>
  </si>
  <si>
    <t>s Damage and failure mechanics of architected composite materials, Advanced manufacturing of composite materials - additive manufacturing and composite fabrication, Design of durable and damage tolerant comp...</t>
  </si>
  <si>
    <t>Damage , failure mechanics of architected composite materials, Advanced manufacturing of composite materials - additive manufacturing , composite fabrication, Design of durable , damage tolerance</t>
  </si>
  <si>
    <t>Xiaoping Qian (he/him)</t>
  </si>
  <si>
    <t>qian@engr.wisc.edu</t>
  </si>
  <si>
    <t>sTopology optimization and shape optimization for multi-physics systems,
Optimal design of thermofluid systems,
Design for additive manufacturing,
Computer...</t>
  </si>
  <si>
    <t>Topology optimization , shape optimization for multi-physics systems,
Optimal design of thermofluid systems,
Design for additive manufacturing,
Computer</t>
  </si>
  <si>
    <t>Douglas T. Reindl</t>
  </si>
  <si>
    <t>dreindl@wisc.edu</t>
  </si>
  <si>
    <t>s Industrial refrigeration systems and technologies, safety and process safety management, renewable energy, advanced thermal storage technologies, thermal systems, HVAC systems</t>
  </si>
  <si>
    <t>Industrial refrigeration systems , technologies, safety , process safety management, renewable energy, advanced thermal storage technologies, thermal systems, HVAC systems</t>
  </si>
  <si>
    <t>Alejandro Roldan-Alzate (he/him)</t>
  </si>
  <si>
    <t>roldan@wisc.edu</t>
  </si>
  <si>
    <t>s Cardiovascular fluid dynamics, Medical imaging based computational fluid dynamics, Patient specific in vitro experiments, Patient specific virtual surgery, In vivo and In vitro 4D flow MRI, Particle Image Veloc...</t>
  </si>
  <si>
    <t>Cardiovascular fluid dynamics, Medical imaging based computational fluid dynamics, Patient specific in vitro experiments, Patient specific virtual surgery, In vivo , In vitro 4D flow MRI</t>
  </si>
  <si>
    <t>Josh Roth (he/him)</t>
  </si>
  <si>
    <t>jdroth2@wisc.edu</t>
  </si>
  <si>
    <t>s Research in the lab utilizes a combination of experimental and computational methodologies and falls under three primary themes ​ 1. Transform the planning of personalized treatments for m...</t>
  </si>
  <si>
    <t>Research in the lab utilizes a combination of experimental , computational methodologies , falls under three primary themes ​ 1, Transform the planning of personalized treatments for m,,,</t>
  </si>
  <si>
    <t>David Rothamer (he/him)</t>
  </si>
  <si>
    <t>rothamer@wisc.edu</t>
  </si>
  <si>
    <t>s Laser based diagnostics, Internal combustion engines, Soot formation, Influence of fuel properties on combustion</t>
  </si>
  <si>
    <t>Laser based diagnostics, Internal combustion engines, Soot formation, Influence of fuel properties on combustion</t>
  </si>
  <si>
    <t>Shiva Rudraraju (he/him)</t>
  </si>
  <si>
    <t>shiva.rudraraju@wisc.edu</t>
  </si>
  <si>
    <t>s Computational Mechanics, Multiphysics (Mechanics and Transport), Biophysics, Finite Element Method, IGA, High performance computing.</t>
  </si>
  <si>
    <t>Computational Mechanics, Multiphysics (Mechanics , Transport), Biophysics, Finite Element Method, IGA, High performance computing,</t>
  </si>
  <si>
    <t>Stephan Rudykh</t>
  </si>
  <si>
    <t>rudykh@wisc.edu</t>
  </si>
  <si>
    <t>s Mechanics of soft materials, elastic instabilities, micromechanics, 3D-printing of soft materials, soft biological and bio-inspired materials, acoustic/elastic metamaterials, waves in soft matter, active materi...</t>
  </si>
  <si>
    <t>Mechanics of soft materials, elastic instabilities, micromechanics, 3D-printing of soft materials, soft biological , bio-inspired materials, acoustic/elastic metamaterials, waves in soft matter, active materi,,,</t>
  </si>
  <si>
    <t>ScoTTSanders (he/him)</t>
  </si>
  <si>
    <t>stsanders@wisc.edu</t>
  </si>
  <si>
    <t>s My grouPdevelops optical instrumentation and sensors that helPsolve critical problems in diverse areas including energy, manufacturing, and health. Ongoing projects includeHigh-speed laser gas thermome...</t>
  </si>
  <si>
    <t>optical instrumentation , sensors that helPsolve critical problems in diverse areas including energy, manufacturing, health, Ongoing projects includeHigh-speed laser gas thermome</t>
  </si>
  <si>
    <t>Krishnan Suresh (he/him)</t>
  </si>
  <si>
    <t>ksuresh@wisc.edu</t>
  </si>
  <si>
    <t>s Topology Optimization, Design for Additive Manufacturing, Computational Mechanics, High-Peformance Computing, Advanced Finite Element Analysis, Finite Element Mesh Generation</t>
  </si>
  <si>
    <t>Topology Optimization, Design for Additive Manufacturing, Computational Mechanics, High-Peformance Computing, Advanced Finite Element Analysis, Finite Element Mesh Generation</t>
  </si>
  <si>
    <t>Eric Tervo</t>
  </si>
  <si>
    <t>tervo@wisc.edu</t>
  </si>
  <si>
    <t>s Semiconductor materials and devices, Thermal and luminescent electromagnetic radiation, Solid-state thermal energy conversion devices, Solar energy conversion, Energy policy and economics</t>
  </si>
  <si>
    <t>Semiconductor materials , devices, Thermal , luminescent electromagnetic radiation, Solid-state thermal energy conversion devices, Solar energy conversion, Energy policy , economics</t>
  </si>
  <si>
    <t>Ramathasan Thevamaran</t>
  </si>
  <si>
    <t>thevamaran@wisc.edu</t>
  </si>
  <si>
    <t>s Mechanical behavior of structured materials | Dynamic properties | Hierarchical materials | Nanomaterials | Metamaterials | Wave propagation | Experimental techniques</t>
  </si>
  <si>
    <t>Mechanical behavior of structured materials , Dynamic properties , Hierarchical materials , Nanomaterials , Metamaterials , Wave propagation , Experimental techniques</t>
  </si>
  <si>
    <t>Dakotah Thompson</t>
  </si>
  <si>
    <t>drthompson@wisc.edu</t>
  </si>
  <si>
    <t>s Thermal energy transport and conversion, Calorimetry, Nanofabrication</t>
  </si>
  <si>
    <t>Thermal energy transport , conversion, Calorimetry, Nanofabrication</t>
  </si>
  <si>
    <t>Mario Trujillo (he/him)</t>
  </si>
  <si>
    <t>mtrujillo@wisc.edu</t>
  </si>
  <si>
    <t>s General fluid mechanics and, more specificallyi) Interfacial instability and liquid breakuPphysics, ii) Development of spray breakuPmodels , iii) Hybrid Volume-of-Fluid and Lagrangian-Eulerian methods f...</t>
  </si>
  <si>
    <t>General fluid mechanics</t>
  </si>
  <si>
    <t>Lih-Sheng Turng (he/him)</t>
  </si>
  <si>
    <t>turng@engr.wisc.edu</t>
  </si>
  <si>
    <t>s Injection molding and innovative plastics manufacturing processes, bio-based polymers and tissue engineering scaffolds, microcellular injection molding (MuCell process), nanocomposites and electro-active polyme...</t>
  </si>
  <si>
    <t>Injection molding , innovative plastics manufacturing processes, bio-based polymers , tissue engineering scaffolds, microcellular injection molding, nanocomposites</t>
  </si>
  <si>
    <t>Michael Wagner (he/him)</t>
  </si>
  <si>
    <t>mike.wagner@wisc.edu</t>
  </si>
  <si>
    <t>s Renewable technology systems modeling and simulation, Energy storage dispatch optimization , High-temperature power generation technology design, Concentrating optics, Hybrid generation systems, Batte...</t>
  </si>
  <si>
    <t>Renewable technology systems modeling , simulation, Energy storage dispatch optimization , High-temperature power generation technology design, Concentrating optics, Hybrid generation systems</t>
  </si>
  <si>
    <t>Fabian Waleffe</t>
  </si>
  <si>
    <t>fabian.waleffe@wisc.edu</t>
  </si>
  <si>
    <t>s Fluid dynamics, bifurcations and turbulence, scientific computing</t>
  </si>
  <si>
    <t>Fluid dynamics, bifurcations , turbulence, scientific computing</t>
  </si>
  <si>
    <t>Michael Wehner</t>
  </si>
  <si>
    <t>wehner2@wisc.edu</t>
  </si>
  <si>
    <t>s Robotics, embodied intellignece, machine interaction, soft systems, microfluidics, soft lithography, wearables, rehabilitation</t>
  </si>
  <si>
    <t>Robotics, embodied intellignece, machine interaction, soft systems, microfluidics, soft lithography, wearables, rehabilitation</t>
  </si>
  <si>
    <t>Jinlong Wu (he/him)</t>
  </si>
  <si>
    <t>jinlong.wu@wisc.edu</t>
  </si>
  <si>
    <t>s Scientific Machine Learning, Bayesian Inference, Data Assimilation, Dynamical Systems, Computational Fluid Dynamics, Stochastic Processes, Uncertainty Quantification</t>
  </si>
  <si>
    <t>Scientific Machine Learning, Bayesian Inference, Data Assimilation, Dynamical Systems, Computational Fluid Dynamics, Stochastic Processes, Uncertainty Quantification</t>
  </si>
  <si>
    <t>Xiaobin Xiong (he/him)</t>
  </si>
  <si>
    <t>xiaobin.xiong@wisc.edu</t>
  </si>
  <si>
    <t>s -Legged Locomotion -Bipedal and Humanoid Robots
-Dynamics and Control
-Robot Design
-Optimization and Data-Driven Control</t>
  </si>
  <si>
    <t>Legged Locomotion -Bipedal , Humanoid Robots
Dynamics , Control
Robot Design
Optimization , Data-Driven Control</t>
  </si>
  <si>
    <t>Xiangru Xu</t>
  </si>
  <si>
    <t>xiangru.xu@wisc.edu</t>
  </si>
  <si>
    <t>s Control theory, Autonomy, Cyber-physical systems, Machine Learning,</t>
  </si>
  <si>
    <t>Control theory, Autonomy, Cyber-physical systems, Machine Learning,</t>
  </si>
  <si>
    <t>lei.zhou@wisc.edu</t>
  </si>
  <si>
    <t>s Advanced Design and Manufacturing, Robotics and Intelligent Mechanical Systems</t>
  </si>
  <si>
    <t>Michael R. Zinn</t>
  </si>
  <si>
    <t>mzinn@wisc.edu</t>
  </si>
  <si>
    <t>s Haptic interfaces and control, Robotic actuation technoloty and controls, Physical human-robot interaction design and control, Continuum and soft robotics, Minimally-invasive medical robotics, Manufacturing and...</t>
  </si>
  <si>
    <t>Haptic interfaces , control, Robotic actuation technoloty , controls, Physical human-robot interaction design , control, Continuum , soft robotics, Minimally-invasive medical robotics, Manufacturing ,,,,</t>
  </si>
  <si>
    <t>Michael CHeadle (he/him)</t>
  </si>
  <si>
    <t>mcHeadle@wisc.edu</t>
  </si>
  <si>
    <t>s Cryogenics, Superconducting Power Transmission, Energy Systems, Hybrid Solar Lighting</t>
  </si>
  <si>
    <t>Cryogenics, Superconducting Power Transmission, Energy Systems, Hybrid Solar Lighting</t>
  </si>
  <si>
    <t>Jennifer Detlor (she/her)</t>
  </si>
  <si>
    <t>detlor@wisc.edu</t>
  </si>
  <si>
    <t>Lennon Rodgers</t>
  </si>
  <si>
    <t>lennon.rodgers@wisc.edu</t>
  </si>
  <si>
    <t>Arganthael Berson (he/him)</t>
  </si>
  <si>
    <t>berson2@wisc.edu</t>
  </si>
  <si>
    <t>s Multiphase flow and flow at interfaces, Evaporation driven self-assembly, Advanced flow diagnostic techniques (PIV, hot-wire anemometry, high-speed microscopy ...), Energy systems (fuel cells, thermoacoustics, ...</t>
  </si>
  <si>
    <t>Multiphase flow , flow at interfaces, Evaporation driven self-assembly, Advanced flow diagnostic techniques (PIV, hot-wire anemometry, high-speed microscopy ,,,), Energy systems (fuel cells, thermoacoustics, ,,,</t>
  </si>
  <si>
    <t>Michael De Cicco</t>
  </si>
  <si>
    <t>mdecicco@wisc.edu</t>
  </si>
  <si>
    <t>Randy Jackson</t>
  </si>
  <si>
    <t>rsjackson3@wisc.edu</t>
  </si>
  <si>
    <t>sProduct Design and Development, Fluid Power Systems, Wind Energy, Fluid Mechanics and Turbulent Flows, Process Control, Electrohydraulic Valves</t>
  </si>
  <si>
    <t>Product Design , Development, Fluid Power Systems, Wind Energy, Fluid Mechanics , Turbulent Flows, Process Control, Electrohydraulic Valves</t>
  </si>
  <si>
    <t>Jason Oakley (he/him)</t>
  </si>
  <si>
    <t>oakley@engr.wisc.edu</t>
  </si>
  <si>
    <t>Wei Wang</t>
  </si>
  <si>
    <t>wwang745@wisc.edu</t>
  </si>
  <si>
    <t>Marine Robots, Bioinspired Robots, Modular Robots, Dynamics and Control, Underwater Perception</t>
  </si>
  <si>
    <t>Marine Robots, Bioinspired Robots, Modular Robots, Dynamics , Control, Underwater Perception</t>
  </si>
  <si>
    <t>Virginia Tech</t>
  </si>
  <si>
    <t>Pinar Acar, bio</t>
  </si>
  <si>
    <t>pacar@vt.edu</t>
  </si>
  <si>
    <t>Computational Multi-Scale Modeling of Materials
Optimization
Uncertainty Quantification
Reduced Order Modeling
Machine Learning</t>
  </si>
  <si>
    <t>Computational Multi-Scale Modeling of Materials,
Optimization,
Uncertainty Quantification,
Reduced Order Modeling,
Machine Learning,</t>
  </si>
  <si>
    <r>
      <rPr>
        <sz val="10"/>
        <color rgb="FF000000"/>
        <rFont val="Arial"/>
        <family val="2"/>
      </rPr>
      <t xml:space="preserve">Chair - </t>
    </r>
    <r>
      <rPr>
        <u/>
        <sz val="10"/>
        <color rgb="FF000000"/>
        <rFont val="Arial"/>
        <family val="2"/>
      </rPr>
      <t>Mehdi Ahmadian, bio</t>
    </r>
  </si>
  <si>
    <t>ahmadian@vt.edu</t>
  </si>
  <si>
    <t>Smart Materials and Systems
Advanced Materials for Improving Ground Vehicle Dynamic Performance and Control
Energy Harvesting
Vehicle System Dynamics and Control
Intelligent Suspensions
Magneto-rheological Fluids
Biodynamics
Railroad Systems
Health Monitoring Systems for Railroad Application
Rail Vehicle Dynamics
Rolling Stock Dynamics and Mechanics Analysis</t>
  </si>
  <si>
    <t>Smart Materials , Systems
Advanced Materials for Improving Ground Vehicle Dynamic Performance , Control
Energy Harvesting
Vehicle System Dynamics , Control
Intelligent Suspensions
Magneto-rheological Fluids
Biodynamics
Railroad Systems
Health Monitoring Systems for Railroad Application
Rail Vehicle Dynamics
Rolling Stock Dynamics , Mechanics Analysis</t>
  </si>
  <si>
    <t>Kaveh Akbari Hamed, bio</t>
  </si>
  <si>
    <t>kavehakbarihamed@vt.edu</t>
  </si>
  <si>
    <t>My primary academic interests span control theory, robotics, cyber-physical systems, optimization, and hybrid dynamical systems. My long-term goal is to establish a firm foundation that will transform state-of-the-art methods for the design of resilient control algorithms for a wide range of hybrid dynamical systems. These systems include, but are not limited to, (1) autonomous robots for disaster response and industrial applications, (2) wearable robots like prostheses and orthoses to improve the quality of life for persons with disabilities, (3) multiagent systems with decentralized control policies, (4) walking and running robots with humaNAnimal morphology, and (5) complex systems.
My research has a clear path from theory to experiments to advance two specific objectives (1) Creating algorithms to systematically design robust and nonlinear controllers for high-dimensional hybrid dynamical systems, and (2) Transferring the control framework into practice with experimental and highly dynamic robotic systems in my research laboratory. These algorithms advance knowledge in the design of feedback controllers for dynamical models arising from robotic systems. The theoretical innovations also offer a unique opportunity to advance robot locomotion, robot-assisted walking, human-robot interaction, bio-inspired robotic technologies, high tech tools for disaster response, and rehabilitation robotics through a series of experiments with humanoid and legged robots, powered prosthetic legs, exoskeletons (bioengineering applications), and sophisticated robotic networks.</t>
  </si>
  <si>
    <t>control theory, robotics, cyber-physical systems, optimization, hybrid dynamical systems, My long-term goal is to establish a firm foundation that will transform state-of-the-art methods for the design of resilient control algorithms for a wide range of hybrid dynamical systems</t>
  </si>
  <si>
    <t>Alan Asbeck, bio</t>
  </si>
  <si>
    <t>aasbeck@vt.edu</t>
  </si>
  <si>
    <t>Wearable Robotics
Biomechanics of movement
Mechatronic Systems</t>
  </si>
  <si>
    <t>Wearable Robotics,
Biomechanics of movement,
Mechatronic Systems</t>
  </si>
  <si>
    <t>#30 - Best Engineering Schools</t>
  </si>
  <si>
    <t>Oumar Barry, bio</t>
  </si>
  <si>
    <t>obarry@vt.edu</t>
  </si>
  <si>
    <t>Structural Dynamics
Nonlinear Vibration
Noise and Vibration Control
Self-Powered MEMS and NEMS Sensors and Actuators
Energy Harvesting
Inspection and Damping Robots
Smart Composite Materials
Fluid Structure Interaction</t>
  </si>
  <si>
    <t>Structural Dynamics,
Nonlinear Vibration,
Noise , Vibration Control,
Self-Powered MEMS , NEMS Sensors , Actuators,
Energy Harvesting,
Inspection , Damping Robots,
Smart Composite Materials,
Fluid Structure Interaction</t>
  </si>
  <si>
    <t>Michael Bartlett, bio</t>
  </si>
  <si>
    <t>mbartlett@vt.edu</t>
  </si>
  <si>
    <t>Soft multifunctional materials &amp; adhesives
Soft robotics &amp; electronics
Adaptive materials</t>
  </si>
  <si>
    <t>Soft multifunctional materials &amp; adhesives,
Soft robotics &amp; electronics,
Adaptive materials</t>
  </si>
  <si>
    <t>Bahareh Behkam, bio</t>
  </si>
  <si>
    <t>behkam@vt.edu</t>
  </si>
  <si>
    <t>Bio-hybrid microrobotic systems for cancer therapy
Interfacial mechanics of pathogen-biomaterial interactions
Mechanobiology of microbial infection
Mammalian cell migration in multi-cue environments</t>
  </si>
  <si>
    <t>Pinhas Ben-Tzvi, bio</t>
  </si>
  <si>
    <t>bentzvi@vt.edu</t>
  </si>
  <si>
    <t>Autonomous mobile robots with symbiosis of mobility and manipulation and modular and reconﬁgurable mobile robotics for search and rescue and hazardous environment sensing and monitoring
Design of intelligent biomimetic robotic tails for robust dynamic stabilization and agile maneuvering of mobile robots on rough terrain
Autonomous unmanned aerial vehicle (UAV) launch and recovery from naval vessels, and wireless telemetry systems for remote sensing and monitoring in naval applications
Development and testing of co-operative scalable field robots for casualty extraction and evacuation in hazardous environments (e.g., disaster response, the aftermath of a chemical, biological, radiological or nuclear (CBRN) event)
Haptics devices and upper-extremity exoskeletons for robot control and rehabilitation therapy
Novel sensors and actuators for biomedical applications
Advanced medical devices and robotic systems for precision surgery</t>
  </si>
  <si>
    <t>Autonomous mobile robots with symbiosis of mobility , manipulation , modular , reconﬁgurable mobile robotics for search , rescue , hazardous environment sensing , monitoring
Design of intelligent biomimetic robotic tails for robust dynamic stabilization , agile maneuvering of mobile robots on rough terrain
Autonomous unmanned aerial vehicle (UAV) launch , recovery from naval vessels, wireless telemetry systems for remote sensing , monitoring in naval applications
Development , testing of co-operative scalable field robots for casualty extraction , evacuation in hazardous environments (e,g,, disaster response, the aftermath of a chemical, biological, radiological or nuclear (CBRN) event)
Haptics devices , upper-extremity exoskeletons for robot control , rehabilitation therapy
Novel sensors , actuators for biomedical applications
Advanced medical devices , robotic systems for precision surgery</t>
  </si>
  <si>
    <t>Jan Helge Bøhn, bio</t>
  </si>
  <si>
    <t>bohn@vt.edu</t>
  </si>
  <si>
    <t>Rapid prototyping, additive manufacturing, layered manufacturing, geometric modeling, and their applications
Global engineering design and product development process
International engineering education</t>
  </si>
  <si>
    <t>Rapid prototyping, additive manufacturing, layered manufacturing, geometric modeling, their applications
Global engineering design , product development process
International engineering education</t>
  </si>
  <si>
    <t>Jonathan Boreyko, bio</t>
  </si>
  <si>
    <t>boreyko@vt.edu</t>
  </si>
  <si>
    <t>Interfacial fluid mechanics
Surface wettability of micro/nano-structured materials
Phase-change heat transfer (condensation, frost, evaporation, and boiling)
Biomimetic engineering
Water and energy harvesting
Droplet dynamics
Synthetic trees</t>
  </si>
  <si>
    <t>Interfacial fluid mechanics
Surface wettability of micro/nano-structured materials
Phase-change heat transfer (condensation, frost, evaporation, boiling)
Biomimetic engineering
Water , energy harvesting
Droplet dynamics
Synthetic trees</t>
  </si>
  <si>
    <t>Jiangtao Cheng, bio</t>
  </si>
  <si>
    <t>chengjt@vt.edu</t>
  </si>
  <si>
    <t>Optofluidic Solar Concentrators based on electrowetting on dielectric (EWOD)-driven liquid prisms
Near-field characterization of micro\nano-scale fluid flow
Dropwise condensation on lotus-leaf-like superhydrophobic surfaces
Thin film evaporation in superhydrophobic-superhydrophilic hybrid micro\nano-textures
Liquid-based intelligent high-frequency components
Self assembly of nanoparticles and nanophotonics
Microfluidics and Nanofluidics, Optofluidics and Electrofluidics
Sustainable Energy and Renewable Energy
Thermal-Fluid Sciences
Heat Transfer, Thermal Management and Microelectronics Cooling
Surface Plasmon Resonance and Terahertz Technology</t>
  </si>
  <si>
    <t>Optofluidic Solar Concentrators based on electrowetting on dielectric (EWOD)-driven liquid prisms
Near-field characterization of micro\nano-scale fluid flow
Dropwise condensation on lotus-leaf-like superhydrophobic surfaces
Thin film evaporation in superhydrophobic-superhydrophilic hybrid micro\nano-textures
Liquid-based intelligent high-frequency components
Self assembly of nanoparticles , nanophotonics
Microfluidics , Nanofluidics, Optofluidics , Electrofluidics
Sustainable Energy , Renewable Energy
Thermal-Fluid Sciences
Heat Transfer, Thermal Management , Microelectronics Cooling
Surface Plasmon Resonance , Terahertz Technology</t>
  </si>
  <si>
    <t>Lance Collins, bio</t>
  </si>
  <si>
    <t>lrcollins@vt.edu</t>
  </si>
  <si>
    <t>Turbulence and Turbulent Flow Analysis
Direct Numerical Simulations
Turbulent Aerosol Processes
Microphysical Models for Atmospheric Clouds
Turbulent Mixing and Combustion
Polymer Drag Reduction
Numerical Methods and Algorithms</t>
  </si>
  <si>
    <t>Turbulence , Turbulent Flow Analysis
Direct Numerical Simulations
Turbulent Aerosol Processes
Microphysical Models for Atmospheric Clouds
Turbulent Mixing , Combustion
Polymer Drag Reduction
Numerical Methods , Algorithms</t>
  </si>
  <si>
    <t>$14,506 per year (in-state, full-time)</t>
  </si>
  <si>
    <t>Clinton Dancey, bio</t>
  </si>
  <si>
    <t>cld@vt.edu</t>
  </si>
  <si>
    <t>Thomas Diller, bio</t>
  </si>
  <si>
    <t>tdiller@vt.edu</t>
  </si>
  <si>
    <t>Heat flux sensor development and calibration
Fundamentals of turbulent heat transfer
Biomedical thermal instrumentation</t>
  </si>
  <si>
    <t>Heat flux sensor development , calibration
Fundamentals of turbulent heat transfer
Biomedical thermal instrumentation</t>
  </si>
  <si>
    <t>Michael Ellis, bio</t>
  </si>
  <si>
    <t>mwellis@vt.edu</t>
  </si>
  <si>
    <t>Applications of Fuel Cell Systems for Building Cogeneration
Solid Sorption Heat PumPModeling
Modeling and Analysis of Building Energy Consumption
Analysis of Energy Uses in Industrial Processes
Fuel Cell Performance Modeling
Optimal Design of Hybrid Gas/Electric Chilled Water System</t>
  </si>
  <si>
    <t>Applications of Fuel Cell Systems for Building Cogeneration
Solid Sorption Heat PumPModeling
Modeling , Analysis of Building Energy Consumption
Analysis of Energy Uses in Industrial Processes
Fuel Cell Performance Modeling
Optimal Design of Hybrid Gas/Electric Chilled Water System</t>
  </si>
  <si>
    <t>Azim Eskandarian, bio</t>
  </si>
  <si>
    <t>eskandarian@vt.edu</t>
  </si>
  <si>
    <t>Dynamic Systems and Controls
Intelligent Systems
Multi-body and Impact Dynamics
Applied Mechanics and Nano-mechanics
Non-linear Dynamic FEM and Meshless Methods
(Applications in)
Intelligent and Autonomous Vehicles
Collision Avoidance and Driver Assistance
Vehicle Dynamics, Control, and Active Safety
Intelligent Transportation Systems
Mechatronics and Robotics, Neurodynamics
Vehicle Crashworthiness and Occupant Injury Biomechanics</t>
  </si>
  <si>
    <t>Dynamic Systems , Controls
Intelligent Systems
Multi-body , Impact Dynamics
Applied Mechanics , Nano-mechanics
Non-linear Dynamic FEM , Meshless Methods
(Applications in)
Intelligent , Autonomous Vehicles
Collision Avoidance , Driver Assistance
Vehicle Dynamics, Control, Active Safety
Intelligent Transportation Systems
Mechatronics , Robotics, Neurodynamics
Vehicle Crashworthiness , Occupant Injury Biomechanics</t>
  </si>
  <si>
    <t>John Ferris, bio</t>
  </si>
  <si>
    <t>jbferris@vt.edu</t>
  </si>
  <si>
    <t>Improving ground vehicle performance by studying vehicle system interactions with terrain surfaces. Specifically, chassis design and development, vehicle dynamics, terrain topology (high-fidelity measurement, statistical analysis, and stochastic modeling), driver-vehicle interactions, virtual proving ground development, vehicle performance (ride, handling, reliability, mobility), and automated vehicle development.</t>
  </si>
  <si>
    <t>Improving ground vehicle performance by studying vehicle system interactions with terrain surfaces, Specifically, chassis design , development, vehicle dynamics, terrain topology (high-fidelity measurement, statistical analysis, stochastic modeling), driver-vehicle interactions, virtual proving ground development, vehicle performance (ride, h,ling, reliability, mobility), automated vehicle development,</t>
  </si>
  <si>
    <t>Chris Fuller, bio</t>
  </si>
  <si>
    <t>cfuller@vt.edu</t>
  </si>
  <si>
    <t>Advanced composite materials for noise reduction
Interior noise
Structural acoustics
Active control of sound and vibration
Adaptive structures
Application of acoustics to medical devices</t>
  </si>
  <si>
    <t>Advanced composite materials for noise reduction
Interior noise
Structural acoustics
Active control of sound , vibration
Adaptive structures
Application of acoustics to medical devices</t>
  </si>
  <si>
    <t>David Gonzales, bio</t>
  </si>
  <si>
    <t>d6gonzales@vt.edu</t>
  </si>
  <si>
    <t>Alireza Haghighat, bio</t>
  </si>
  <si>
    <t>haghighat@vt.edu</t>
  </si>
  <si>
    <t>Multi-stage, Response-function particle Transport (MRT) methodology and its application see a presentation on MRT &amp; RAPID code system
Hybrid parallel numerical (Sn, Method of Characteristic, Ray-Tracing &amp; Fictitious Quadrature) particle transport theory methods
Automated variance reduction techniques for fixed-source and eigenvalue Monte Carlo calculations, e.g., CADIS - Consistent Adjoint Driven Importance Sampling**</t>
  </si>
  <si>
    <t>Multi-stage, Response-function particle Transport (MRT) methodology , its application see a presentation on MRT &amp; RAPID code system
Hybrid parallel numerical (Sn, Method of Characteristic, Ray-Tracing &amp; Fictitious Quadrature) particle transport theory methods
Automated variance reduction techniques for fixed-source , eigenvalue Monte Carlo calculations, e,g,, CADIS - Consistent Adjoint Driven Importance Sampling**</t>
  </si>
  <si>
    <t>Warren Hardy, bio</t>
  </si>
  <si>
    <t>whardy@vt.edu</t>
  </si>
  <si>
    <t>Impact and injury response and tolerance Properties of biological materials
Macro and micro mechanisms of trauma Physical and numerical surrogate development
Automotive crash testing
Physical and numerical surrogate development</t>
  </si>
  <si>
    <t>Impact , injury response , tolerance Properties of biological materials
Macro , micro mechanisms of trauma Physical , numerical surrogate development
Automotive crash testing
Physical , numerical surrogate development</t>
  </si>
  <si>
    <t>Celine Hin, bio</t>
  </si>
  <si>
    <t>celhin@vt.edu</t>
  </si>
  <si>
    <t>Theoretical research in physisical metallurgy
Nuclear materials and radiation effects
Behavior of materials under extreme environments
Statistical physics
Atomic physics
Thermoelectric properties
Electrochemistry
Development of analytical and numerical methods</t>
  </si>
  <si>
    <t>Theoretical research in physisical metallurgy
Nuclear materials , radiation effects
Behavior of materials under extreme environments
Statistical physics
Atomic physics
Thermoelectric properties
Electrochemistry
Development of analytical , numerical methods</t>
  </si>
  <si>
    <t>ScoTTHuxtable, bio</t>
  </si>
  <si>
    <t>huxtable@vt.edu</t>
  </si>
  <si>
    <t>Micro-nano-scale thermal transport
Micro-nano-scale sensors and actuators
Nanoscale energy conversion (e.g. nanostructured thermoelectric devices)
Thermoelectric energy harvesting
Thermal management of electronic devices</t>
  </si>
  <si>
    <t>Micro-nano-scale thermal transport
Micro-nano-scale sensors , actuators
Nanoscale energy conversion (e,g, nanostructured thermoelectric devices)
Thermoelectric energy harvesting
Thermal management of electronic devices</t>
  </si>
  <si>
    <t>Sohan Kale, bio</t>
  </si>
  <si>
    <t>kale@vt.edu</t>
  </si>
  <si>
    <t>Mechanobiology of cells and tissues
Continuum thermomechanics
Computational mechanics
Multiscale modeling</t>
  </si>
  <si>
    <t>Mechanobiology of cells , tissues
Continuum thermomechanics
Computational mechanics
Multiscale modeling</t>
  </si>
  <si>
    <t>Mary Kasarda, bio</t>
  </si>
  <si>
    <t>maryk@vt.edu</t>
  </si>
  <si>
    <t>Machinery and Structural Health Monitoring
Engineering Education in K-12
Transition of US Military Veterans to Higher Education and Careers
Rotor Dynamics, Active Magnetic Bearings and Vibrations</t>
  </si>
  <si>
    <t>Machinery , Structural Health Monitoring
Engineering Education in K-12
Transition of US Military Veterans to Higher Education , Careers
Rotor Dynamics, Active Magnetic Bearings , Vibrations</t>
  </si>
  <si>
    <t>Kevin Kochersberger, bio</t>
  </si>
  <si>
    <t>kbk@vt.edu</t>
  </si>
  <si>
    <t xml:space="preserve">Dynamics and control
Autonomous aerial systems
Applied aerodynamics
</t>
  </si>
  <si>
    <t xml:space="preserve">Dynamics , control
Autonomous aerial systems
Applied aerodynamics
</t>
  </si>
  <si>
    <t>Erik Komendera, bio</t>
  </si>
  <si>
    <t>komendera@vt.edu</t>
  </si>
  <si>
    <t>Autonomous assembly and construction
Space robotics
Field robotics
Perception
Mapping and state estimation for precise and accurate robotic operations in large workspaces
Multi-agent motion planning and control
Collaborative manipulation
Machine learning for detection, classification, and correction of off-nominal events in field robotics applications</t>
  </si>
  <si>
    <t>Autonomous assembly , construction
Space robotics
Field robotics
Perception
Mapping , state estimation for precise , accurate robotic operations in large workspaces
Multi-agent motion planning , control
Collaborative manipulation
Machine learning for detection, classification, correction of off-nominal events in field robotics applications</t>
  </si>
  <si>
    <t>Andrew J. Kurdila, bio</t>
  </si>
  <si>
    <t>kurdila@vt.edu</t>
  </si>
  <si>
    <r>
      <rPr>
        <sz val="10"/>
        <color rgb="FF000000"/>
        <rFont val="Arial"/>
        <family val="2"/>
      </rPr>
      <t xml:space="preserve">Head - </t>
    </r>
    <r>
      <rPr>
        <u/>
        <sz val="10"/>
        <color rgb="FF000000"/>
        <rFont val="Arial"/>
        <family val="2"/>
      </rPr>
      <t>Brian Lattimer, bio</t>
    </r>
  </si>
  <si>
    <t>lattimer@vt.edu</t>
  </si>
  <si>
    <t xml:space="preserve">Thermal-fluid sciences
Reacting flows and fire dynamics
Material high temperature behavior
Fluid-structure interaction
Firefighting automation, technology, and suppression
</t>
  </si>
  <si>
    <t xml:space="preserve">Thermal-fluid sciences
Reacting flows , fire dynamics
Material high temperature behavior
Fluid-structure interaction
Firefighting automation, technology, suppression
</t>
  </si>
  <si>
    <t>Alexander Leonessa, bio</t>
  </si>
  <si>
    <t>leonessa@vt.edu</t>
  </si>
  <si>
    <t>Control theory and robotics
Autonomous ground, aerial, surface, and underwater vehicles
Rehabilitation robotics, brain-computer interfaces, and sensory-motor neuroprosthesis
Augmented and virtual reality interfaces, exoskeletons, and haptic feedback</t>
  </si>
  <si>
    <t>Control theory , robotics
Autonomous ground, aerial, surface, underwater vehicles
Rehabilitation robotics, brain-computer interfaces, sensory-motor neuroprosthesis
Augmented , virtual reality interfaces, exoskeletons, haptic feedback</t>
  </si>
  <si>
    <t>Amanda Leong, bio</t>
  </si>
  <si>
    <t>aleongsw@vt.edu</t>
  </si>
  <si>
    <t>Aqueous, Liquid Metal, and Molten Salt Corrosion
Materials Characterization
Stress Corrosion Cracking (SCC)
Redox Control
Sensors and Instrumentation</t>
  </si>
  <si>
    <t>Aqueous, Liquid Metal, Molten Salt Corrosion
Materials Characterization
Stress Corrosion Cracking (SCC)
Redox Control
Sensors , Instrumentation</t>
  </si>
  <si>
    <t>Ling Li, bio</t>
  </si>
  <si>
    <t>lingl@vt.edu</t>
  </si>
  <si>
    <t>Biological structural materials
Bio-inspired materials
Biomineralization
Self-assembly
Crystal growth and design
Mechanical behavior of materials
Multifunctional materials</t>
  </si>
  <si>
    <t>Biological structural materials
Bio-inspired materials
Biomineralization
Self-assembly
Crystal growth , design
Mechanical behavior of materials
Multifunctional materials</t>
  </si>
  <si>
    <t>Suyi Li, bio</t>
  </si>
  <si>
    <t xml:space="preserve">Dynamic Matter </t>
  </si>
  <si>
    <t>Zheng Li, bio</t>
  </si>
  <si>
    <t>zhengli@vt.edu</t>
  </si>
  <si>
    <t>Energy storage system design and manufacturing Flow batteries, lithium-ion and sodium-ion batteries, multivalent intercalation system, metal-sulfur and metal-air batteries
Battery recycling process design and automation
Energy storage materials structure-property-performance relationships
 Industrial Internet of Things Platform</t>
  </si>
  <si>
    <t>Energy storage system design , manufacturing Flow batteries, lithium-ion , sodium-ion batteries, multivalent intercalation system, metal-sulfur , metal-air batteries
Battery recycling process design , automation
Energy storage materials structure-property-performance relationships
 Industrial Internet of Things Platform</t>
  </si>
  <si>
    <t>Yang Liu, bio</t>
  </si>
  <si>
    <t>liu130@vt.edu</t>
  </si>
  <si>
    <t>Nuclear thermal hydraulics and reactor safety
Two-phase flow modeling, instrumentation and experiment
Two-phase flow computational fluid dynamics
Advanced passive safety system design</t>
  </si>
  <si>
    <t>Nuclear thermal hydraulics , reactor safety
Two-phase flow modeling, instrumentation , experiment
Two-phase flow computational fluid dynamics
Advanced passive safety system design</t>
  </si>
  <si>
    <t>Dylan Losey, bio</t>
  </si>
  <si>
    <t>losey@vt.edu</t>
  </si>
  <si>
    <t xml:space="preserve">Human-Robot Interaction
Machine Learning
Control Theory
</t>
  </si>
  <si>
    <t>Joseph Meadows, bio</t>
  </si>
  <si>
    <t>jwm84@vt.edu</t>
  </si>
  <si>
    <t>Combustion
Heat Transfer
Advanced Laser Diagnostics
Pressure Gain Combustion
Thermoacoustics
Computational Fluid Dynamics</t>
  </si>
  <si>
    <t>Rolf Müller, bio</t>
  </si>
  <si>
    <t>rolf.mueller@vt.edu</t>
  </si>
  <si>
    <t>Bioinspired Robots
Deep-learning for Sensing and Control
Autonomy in Natural Environments</t>
  </si>
  <si>
    <t>Bioinspired Robots
Deep-learning for Sensing , Control
Autonomy in Natural Environments</t>
  </si>
  <si>
    <t>Amrinder Nain, bio</t>
  </si>
  <si>
    <t>nain@vt.edu</t>
  </si>
  <si>
    <t>Nanotechnology
Micro/Nanofiber Manufacturing and Characterization
Advanced Materials and Biomaterials
Biological Scaffolds
Cellular Dynamics and Tissue Engineering</t>
  </si>
  <si>
    <t>Nanotechnology
Micro/Nanofiber Manufacturing , Characterization
Advanced Materials , Biomaterials
Biological Scaffolds
Cellular Dynamics , Tissue Engineering</t>
  </si>
  <si>
    <t>Noel Naughton</t>
  </si>
  <si>
    <t>nnaughton@vt.edu</t>
  </si>
  <si>
    <t>Bio-inspired soft robot design and control
Imaging and mechanics of musculoskeletal tissues
Numerical modeling of diffusion MRI</t>
  </si>
  <si>
    <t>Bio-inspired soft robot design , control
Imaging , mechanics of musculoskeletal tissues
Numerical modeling of diffusion MRI</t>
  </si>
  <si>
    <t>Wing Ng, bio</t>
  </si>
  <si>
    <t>wng@vt.edu</t>
  </si>
  <si>
    <t>Aeroacoustics of Drones and Unmanned Air Vehicles
Aeroacoustics of Jet Noise
Development of Advanced Diagnostics Techniques for Flow Measurements in Turbine Engines for Flight Tests
Transonic Turbine Blade Aerodynamics and Heat Transfer Studies
Evaluation of Gas Turbine Diffuses/Collector Performance
Aerothermal Particle Studies for gas Turbine Components</t>
  </si>
  <si>
    <t>Aeroacoustics of Drones , Unmanned Air Vehicles
Aeroacoustics of Jet Noise
Development of Advanced Diagnostics Techniques for Flow Measurements in Turbine Engines for Flight Tests
Transonic Turbine Blade Aerodynamics , Heat Transfer Studies
Evaluation of Gas Turbine Diffuses/Collector Performance
Aerothermal Particle Studies for gas Turbine Components</t>
  </si>
  <si>
    <t>MaTTNowinski, bio</t>
  </si>
  <si>
    <t>mcnowins@vt.edu</t>
  </si>
  <si>
    <t>Gas Turbine Engines
Aeroelasticity
Data Mining and Machine Learning
Asteroids
Engineering and Science Education</t>
  </si>
  <si>
    <t>Gas Turbine Engines
Aeroelasticity
Data Mining , Machine Learning
Asteroids
Engineering , Science Education</t>
  </si>
  <si>
    <t>John Palmore Jr., bio</t>
  </si>
  <si>
    <t>palmore@vt.edu</t>
  </si>
  <si>
    <t>Computational Fluid Dynamics
Direct Numerical Simulation
High Performance Computing
Multiphase Flows
Turbulence
Phase Change</t>
  </si>
  <si>
    <t>Mark Paul, bio</t>
  </si>
  <si>
    <t>mrp@vt.edu</t>
  </si>
  <si>
    <t>Computational Science and Engineering
Nonequilibrium Pattern Formation and Spatiotemporal Chaos in Fluid Convection
Nonlinear Dynamics
Nanoscale Physics for Biological Applications
Statistical Physics
Computational Systems Biology
Fluid Dynamics
Micro and Nanoscale Technologies</t>
  </si>
  <si>
    <t>Computational Science , Engineering
Nonequilibrium Pattern Formation , Spatiotemporal Chaos in Fluid Convection
Nonlinear Dynamics
Nanoscale Physics for Biological Applications
Statistical Physics
Computational Systems Biology
Fluid Dynamics
Micro , Nanoscale Technologies</t>
  </si>
  <si>
    <t>Ranga Pitchumani, bio</t>
  </si>
  <si>
    <t>pitchu@vt.edu</t>
  </si>
  <si>
    <t xml:space="preserve">Energy Systems
Energy/Water Nexus
Electric Grid Integration of Renewable Energy
Materials Processing and Manufacturing
Uncertainty Quantification and Large Scale Optimization
Micro- and Nanoscale Technologies
</t>
  </si>
  <si>
    <t xml:space="preserve">Energy Systems
Energy/Water Nexus
Electric Grid Integration of Renewable Energy
Materials Processing , Manufacturing
Uncertainty Quantification , Large Scale Optimization
Micro- , Nanoscale Technologies
</t>
  </si>
  <si>
    <t>Rui Qiao, bio</t>
  </si>
  <si>
    <t>ruiqiao@vt.edu</t>
  </si>
  <si>
    <t xml:space="preserve">Fluid dynamics and heat transfer, especially micro/nanoscale fluid, ionic, and thermal transport
Molecular, mesoscopic, continuum, and multiscale simulation of transport phenomena
Colloidal and interfacial physics and electrochemistry
Transport and interfacial phenomena in applications such as electrical energy storage, thermal management, micro- and nanofluidics, and advanced manufacturing
</t>
  </si>
  <si>
    <t xml:space="preserve">Fluid dynamics , heat transfer, especially micro/nanoscale fluid, ionic, thermal transport
Molecular, mesoscopic, continuum, multiscale simulation of transport phenomena
Colloidal , interfacial physics , electrochemistry
Transport , interfacial phenomena in applications such as electrical energy storage, thermal management, micro- , nanofluidics, advanced manufacturing
</t>
  </si>
  <si>
    <t>Bart Raeymaekers, bio</t>
  </si>
  <si>
    <t>bart.raeymaekers@vt.edu</t>
  </si>
  <si>
    <t>The Manufacturing and Tribology Laboratory is active in two areas advanced manufacturing of complex mechanical systems, materials, and devices and tribology with an emphasis on micro- and nanoscale lubrication. Our research finds application in manufacturing of novel engineered polymer composite materials, micro- and nanoscale surface engineering, manufacturing of prosthetic implants, and tribology of additive manufacturing.</t>
  </si>
  <si>
    <t>The Manufacturing , Tribology Laboratory is active in two areas advanced manufacturing of complex mechanical systems, materials, devices , tribology with an emphasis on micro- , nanoscale lubrication, Our research finds application in manufacturing of novel engineered polymer composite materials, micro- , nanoscale surface engineering, manufacturing of prosthetic implants, tribology of additive manufacturing,</t>
  </si>
  <si>
    <t>Corina Sandu, bio</t>
  </si>
  <si>
    <t>csandu@vt.edu</t>
  </si>
  <si>
    <t>Modeling and simulation of multibody dynamics systems
Treatment of uncertainties
Parameter estimation
Multibody dynamics systems optimizations
On-road and off-road, wheeled and tracked vehicle dynamics
Tire and track modeling
Terramechanics (vehicle-terrain interaction)
Modeling of stochastic terrain profile and soil characteristics
Rail dynamics, wheel-rail contact and friction modeling, and train suspension modeling
Vibrations and control of mechanical systems.</t>
  </si>
  <si>
    <t>Modeling , simulation of multibody dynamics systems,
Treatment of uncertainties,
Parameter estimation,
Multibody dynamics systems optimizations,
On-road , off-road, wheeled , tracked vehicle dynamics,
Tire , track modeling,
Terramechanics ,
Modeling of stochastic terrain profile , soil characteristics,
Rail dynamics, wheel-rail contact , friction modeling, train suspension modeling,
Vibrations , control of mechanical systems,</t>
  </si>
  <si>
    <t>Kelly Scarff, bio</t>
  </si>
  <si>
    <t>kls16@vt.edu</t>
  </si>
  <si>
    <t>Rhetoric and Writing Studies
Professional and Technical Communication
Environmental Communication
Public Discourse 
Writing in the Disciplines</t>
  </si>
  <si>
    <t>Rhetoric , Writing Studies,
Professional , Technical Communication,
Environmental Communication,
Public Discourse,
Writing in the Disciplines</t>
  </si>
  <si>
    <t>Shima Shahab, bio</t>
  </si>
  <si>
    <t>sshahab@vt.edu</t>
  </si>
  <si>
    <t>The theoretical and experimental RProgram at Multiphysics Intelligent and Dynamical Systems (MInDS) laboratory focuses on the structural dynamics and wave propagation in ultrasound-responsive intelligent material systems. The various interdisciplinary applications include wireless acoustic power transfer, acoustic holographic lenses, ultrasound atomization, microfluidics driven via ultrasonic, and ultrasound responsive polymer-based systems.</t>
  </si>
  <si>
    <t xml:space="preserve"> Multiphysics Intelligent , Dynamical Systems (MInDS) laboratory focuses on the structural dynamics , wave propagation in ultrasound-responsive intelligent material systems, interdisciplinary applications include wireless acoustic power transfer, acoustic holographic lenses, ultrasound atomization, microfluidics driven via ultrasonic, ultrasound responsive polymer-based systems</t>
  </si>
  <si>
    <t>Changmin Son, bio</t>
  </si>
  <si>
    <t>changminson@vt.edu</t>
  </si>
  <si>
    <t>Gas turbine heat transfer and aerodynamics – Turbine Internal Cooling, Secondary Flow, Turbine Aerodynamics
Radial and axial turbomachinery aerodynamics
Radical design optimization approach – Multi-physics design optimization
Power system modeling
System diagnostics and prognostics
System innovation</t>
  </si>
  <si>
    <t>Gas turbine heat transfer , aerodynamics,Turbine Internal Cooling, Secondary Flow, Turbine Aerodynamics,
Radial , axial turbomachinery aerodynamics,
Radical design optimization approach – Multi-physics design optimization,
Power system modeling,
System diagnostics , prognostics,
System innovation</t>
  </si>
  <si>
    <t>Steve Southward, bio</t>
  </si>
  <si>
    <t>scsouth@vt.edu</t>
  </si>
  <si>
    <t>Ground Vehicle Chassis and Suspension Performance
Modeling and Simulation of Dynamic Systems
Real-Time Adaptive Signal Processing and Control</t>
  </si>
  <si>
    <t>Ground Vehicle Chassis , Suspension Performance,
Modeling , Simulation of Dynamic Systems,
Real-Time Adaptive Signal Processing , Control</t>
  </si>
  <si>
    <t>Danesh Tafti, bio</t>
  </si>
  <si>
    <t>dtafti@vt.edu</t>
  </si>
  <si>
    <t xml:space="preserve">Computational Fluid Dynamics in dynamic geometries
High Performance Parallel Computing
Large Eddy Simulations and Turbulence Modeling for flow and heat transfer
Fluid-Structure Interaction
Dense Particulate Flows and Impact Modeling
Discrete Element Method
</t>
  </si>
  <si>
    <t xml:space="preserve">Computational Fluid Dynamics in dynamic geometries,
High Performance Parallel Computing,
Large Eddy Simulations , Turbulence Modeling for flow , heat transfer
Fluid-Structure Interaction,
Dense Particulate Flows , Impact Modeling,
Discrete Element Method
</t>
  </si>
  <si>
    <t>Saied Taheri, bio</t>
  </si>
  <si>
    <t>staheri@vt.edu</t>
  </si>
  <si>
    <t xml:space="preserve">I have developed the research tools necessary to develoPand implement tire and vehicle related sensory systems, control algorithms, and hardware-in-the-looPsimulation. My research and application experience in tires as well as vehicles has also been applied to railroad problems which is another area of interest.
</t>
  </si>
  <si>
    <t>implement tire , vehicle related sensory systems, control algorithms, hardware-in-the-loop simulation</t>
  </si>
  <si>
    <t>Zhenhua Tian, bio</t>
  </si>
  <si>
    <t>tianz@vt.edu</t>
  </si>
  <si>
    <t>Acoustics and Vibrations
Phased Array and Laser Ultrasound Imaging
Structural Health Monitoring and Nondestructive Evaluation
Smart Materials, Piezoelectric Materials, and Multifunctional Composites
Metamaterials and Phononic Crystals for Controlling Acoustic Waves and Vibrations
Acoustic Tweezers for Manipulating Cells and Particles, Assembling Nanomaterials, and Bioprinting
Acoustofluidics for Analyzing Bioparticle Properties, Enriching Bioparticles, and Delivering DNA into Cells (e.g., Stem and T Cells)</t>
  </si>
  <si>
    <t xml:space="preserve">Acoustics , Vibrations
,Phased Array , Laser Ultrasound Imaging
,Structural Health Monitoring , Nondestructive Evaluation
,Smart Materials, Piezoelectric Materials, Multifunctional Composites
,Metamaterials , Phononic Crystals for Controlling Acoustic Waves , Vibrations
,Acoustic Tweezers for Manipulating Cells , Particles, Assembling Nanomaterials, Bioprinting
,Acoustofluidics for Analyzing Bioparticle Properties, Enriching Bioparticles, Delivering DNA into Cells </t>
  </si>
  <si>
    <t>Alexandrina Untaroiu, bio</t>
  </si>
  <si>
    <t>alexu@vt.edu</t>
  </si>
  <si>
    <t>Fluid-Structure Interactions
Turbomachinery
Seals and Fluid Film Bearings
Rotordynamics
Cardiac-Assist Devices</t>
  </si>
  <si>
    <t>Fluid-Structure Interactions,
Turbomachinery,
Seals , Fluid Film Bearings,
Rotordynamics,
Cardiac-Assist Devices</t>
  </si>
  <si>
    <t>Michael von Spakovsky, bio</t>
  </si>
  <si>
    <t>vonspako@vt.edu</t>
  </si>
  <si>
    <t>Theoretical and applied non-equilibrium and equilibrium thermodynamics with two principal focuses i) intrinsic quantum thermodynamics (IQT) and its mathematical framework steepest-entropy-ascent quantum thermodynamics (SEA-QT) and ii) SEA non-equilibrium thermodynamics (SEA-NT)
Thermoeconomics / exergo-environomics / exergy analysis computational methods for modeling and optimizing complex energy systems, methodological approaches (with and without sustainability and uncertainty considerations) for the integrated synthesis, design, operation, control, reliability, and resiliency of energy systems, decomposition approaches for large-scale optimization
Heat, mass, and charge transport
Kinetic theory, the Boltzmann equation, and its master equations (e.g., the BGK equation)
Numerical Modeling macroscopic (i.e., finite element and finite difference approaches applied to the continuum conservation equations), mesoscopic (i.e., Lattice Boltzmann Method applied to the BGK equation and the SEA-NT equation of motion), atomistic (i.e., closed form and discretized solutions of the energy eigenvalue problem and discretized solutions of the IQT/SEA-QT equations of motion)
Renewable and non-renewable stationary power/cogeneration/district heating-cooling systems, infrastructure systems (e.g., grid/microgrid/producer/storage networks)
Fuel cell applications for both transportation and centralized, distributed, and portable power generation and cogeneration.
High performance (supersonic and hypersonic) and uninhabited air vehicles
Nanoscale and microscale reactive and non-reactive systems</t>
  </si>
  <si>
    <t>Theoretical , applied non-equilibrium , equilibrium thermodynamics
,Kinetic theory, the Boltzmann equation,Numerical Modeling macroscopic, mesoscopic 
,Renewable , non-renewable stationary power/cogeneration/district heating-cooling systems, infrastructure systems
,Fuel cell applications for both transportation , centralized, distributed, portable power generation , cogeneration,
,High performance , uninhabited air vehicles
,Nanoscale , microscale reactive , non-reactive systems</t>
  </si>
  <si>
    <t>Jeff Warfford, bio</t>
  </si>
  <si>
    <t>jwarfford@vt.edu</t>
  </si>
  <si>
    <t>Engineering Design Education
Application of Finite Element Analysis in Design
Tire Mechanics and TIre Models for Vehicle Simulations
Vehicle Dynamics</t>
  </si>
  <si>
    <t>Engineering Design Education
,Application of Finite Element Analysis in Design
,Tire Mechanics , TIre Models for Vehicle Simulations
,Vehicle Dynamics</t>
  </si>
  <si>
    <t>Robert West, bio</t>
  </si>
  <si>
    <t>westrl@vt.edu</t>
  </si>
  <si>
    <t>Alfred Wicks, bio</t>
  </si>
  <si>
    <t>awicks@vt.edu</t>
  </si>
  <si>
    <t>Mechanical technologies and electronics
Robotics Autonomy, linear and nonlinear control, and automation  
Microcontrollers, sensors, and actuators in mechanical systems</t>
  </si>
  <si>
    <t>Mechanical technologies , electronics
Robotics Autonomy, linear , nonlinear control, automation  
Microcontrollers, sensors, actuators in mechanical systems</t>
  </si>
  <si>
    <t>Christopher Williams, bio</t>
  </si>
  <si>
    <t>cbwilliams@vt.edu</t>
  </si>
  <si>
    <t xml:space="preserve">Additive Manufacturing (3D Printing)
Design for Manufacturing
Design Methodology
Engineering Design Education
Design for Additive Manufacturing
Process-Property-Structure Relationships for Additive Manufacturing Materials (polymers, ceramics, and metals)
Jetting-based Additive Manufacturing Processes
Informal Learning Environments
</t>
  </si>
  <si>
    <t xml:space="preserve">Additive Manufacturing,
Design for Manufacturing,
Design Methodology,
Engineering Design Education,
Design for Additive Manufacturing,
Process-Property-Structure Relationships for Additive Manufacturing Materials,
Jetting-based Additive Manufacturing Processes,
Informal Learning Environments,
</t>
  </si>
  <si>
    <t>Jinsuo Zhang, bio</t>
  </si>
  <si>
    <t>zjinsuo@vt.edu</t>
  </si>
  <si>
    <t>Nuclear materials compatibility (materials corrosion/degradation)
Nuclear fuel materials (metallic fuel, fuel-cladding chemical interactions, fuel-coolant interactions)
Nuclear fuel cycle technology (pyroprocessing)
Electrochemical separation
Nuclear safeguards and nonproliferation
Advanced coolant materials (molten salt, liquid metal)</t>
  </si>
  <si>
    <t>Nuclear materials compatibility
,Nuclear fuel materials 
,Nuclear fuel cycle technology 
,Electrochemical separation
,Nuclear safeguards , nonproliferation
,Advanced coolant materials</t>
  </si>
  <si>
    <t>Richard Clark, bio</t>
  </si>
  <si>
    <t>rlclark@vt.edu</t>
  </si>
  <si>
    <t>Jay Rule, bio</t>
  </si>
  <si>
    <t>jarule75me@vt.edu</t>
  </si>
  <si>
    <t>Harvard University (Paulson)</t>
  </si>
  <si>
    <t>Joanna Aizenberg</t>
  </si>
  <si>
    <t>jaiz@seas.harvard.edu</t>
  </si>
  <si>
    <t>Applied Physics
Biomaterials
Materials
Soft Matter
Bioengineering
Biomechanics and Motor Control
Environmental Science and Engineering
Global Contaminants
Water
Materials and Mechanical Engineering
Materials
Soft Matter
Surface and Interface Science
Science, Technology, Innovation, and Public Policy
Energy, Environment, and Sustainability</t>
  </si>
  <si>
    <t>Biomaterials,
Soft Matter,
Bioengineering,
Biomechanics , Motor Control,
Environmental Science , Engineering,
Global Contaminants,
Water,
Soft Matter,
Surface , Interface Science,
Science, Technology, Innovation, Public Policy,
Energy, Environment, Sustainability</t>
  </si>
  <si>
    <t>Materials and Mechanical Engineering</t>
  </si>
  <si>
    <r>
      <rPr>
        <sz val="10"/>
        <color rgb="FF000000"/>
        <rFont val="Arial"/>
        <family val="2"/>
      </rPr>
      <t xml:space="preserve">Chair - </t>
    </r>
    <r>
      <rPr>
        <u/>
        <sz val="10"/>
        <color rgb="FF000000"/>
        <rFont val="Arial"/>
        <family val="2"/>
      </rPr>
      <t>Michael J. Aziz</t>
    </r>
  </si>
  <si>
    <t>maziz@harvard.edu</t>
  </si>
  <si>
    <t>Applied Physics
Materials
Environmental Science and Engineering
Energy Resources and Energy Systems
Materials and Mechanical Engineering
Materials
Science, Technology, Innovation, and Public Policy
Energy, Environment, and Sustainability</t>
  </si>
  <si>
    <t>Martin Bechthold</t>
  </si>
  <si>
    <t>mbechthold@gsd.harvard.edu</t>
  </si>
  <si>
    <t>Applied Physics
Materials
Electrical Engineering
Robotics and Control
Materials and Mechanical Engineering
Materials
Robotics and Control
Science, Technology, Innovation, and Public Policy
Design and Innovation</t>
  </si>
  <si>
    <t>#23 - Mechanical Engineering</t>
  </si>
  <si>
    <t>Katia Bertoldi</t>
  </si>
  <si>
    <t>bertoldi@seas.harvard.edu</t>
  </si>
  <si>
    <t>Applied Mathematics
Modeling Physical/Biological Phenomena and Systems
Applied Physics
Materials
Materials and Mechanical Engineering
Materials
Solid Mechanics</t>
  </si>
  <si>
    <t>David Clarke</t>
  </si>
  <si>
    <t>clarke@seas.harvard.edu</t>
  </si>
  <si>
    <t>Applied Physics
Materials
Soft Matter
Electrical Engineering
Robotics and Control
Materials and Mechanical Engineering
Materials
Soft Matter
Robotics and Control</t>
  </si>
  <si>
    <t>Cynthia Friend</t>
  </si>
  <si>
    <t>friend@fas.harvard.edu</t>
  </si>
  <si>
    <t>Applied Physics
Materials
Materials and Mechanical Engineering
Materials
Surface and Interface Science</t>
  </si>
  <si>
    <t>Roy G. Gordon</t>
  </si>
  <si>
    <t>gordon@chemistry.harvard.edu</t>
  </si>
  <si>
    <t>Applied Physics
Materials
Materials and Mechanical Engineering
Materials
Science, Technology, Innovation, and Public Policy
Energy, Environment, and Sustainability</t>
  </si>
  <si>
    <t>Robert D. Howe</t>
  </si>
  <si>
    <t>Bioengineering
Bioinspired Robotics and Computing
Biomechanics and Motor Control
Electrical Engineering
Robotics and Control
Materials and Mechanical Engineering
Robotics and Control</t>
  </si>
  <si>
    <t>John W. Hutchinson</t>
  </si>
  <si>
    <t>jhutchin@fas.harvard.edu</t>
  </si>
  <si>
    <t>Applied Mathematics
Modeling Physical/Biological Phenomena and Systems</t>
  </si>
  <si>
    <t>Boris Kozinsky</t>
  </si>
  <si>
    <t>bkoz@seas.harvard.edu</t>
  </si>
  <si>
    <t>Applied Mathematics
Computational Science and Engineering
Data Science
Machine Learning
Modeling Physical/Biological Phenomena and Systems
Applied Physics
Materials
Quantum Engineering
Soft Matter
Computer Science
Machine Learning
Computational and Data Science
Environmental Science and Engineering
Energy Resources and Energy Systems
Materials and Mechanical Engineering
Materials
Soft Matter
Surface and Interface Science
Science, Technology, Innovation, and Public Policy
Energy, Environment, and Sustainability</t>
  </si>
  <si>
    <t>Jennifer Lewis</t>
  </si>
  <si>
    <t>jalewis@seas.harvard.edu</t>
  </si>
  <si>
    <t>Applied Physics
Materials
Soft Matter
Bioengineering
Cell and Tissue Engineering, Biomaterials, and Therapeutics
Materials and Mechanical Engineering
Materials
Soft Matter
Surface and Interface Science
Science, Technology, Innovation, and Public Policy
Science and Engineering Education</t>
  </si>
  <si>
    <t>Xin Li</t>
  </si>
  <si>
    <t>lixin@seas.harvard.edu</t>
  </si>
  <si>
    <t>Applied Physics
Materials
Computer Science
Artificial Intelligence
Computational and Data Science
Environmental Science and Engineering
Energy Resources and Energy Systems
Materials and Mechanical Engineering
Materials
Surface and Interface Science
Science, Technology, Innovation, and Public Policy
Energy, Environment, and Sustainability</t>
  </si>
  <si>
    <t>$59,968 per year (full-time)</t>
  </si>
  <si>
    <t>Frans A. Spaepen</t>
  </si>
  <si>
    <t>spaepen@seas.harvard.edu</t>
  </si>
  <si>
    <t>Applied Physics
Materials
Soft Matter
Materials and Mechanical Engineering
Materials
Soft Matter
Surface and Interface Science</t>
  </si>
  <si>
    <t>Zhigang Suo</t>
  </si>
  <si>
    <t>suo@seas.harvard.edu</t>
  </si>
  <si>
    <t>Applied Mathematics
Modeling Physical/Biological Phenomena and Systems
Applied Physics
Materials
Soft Matter
Materials and Mechanical Engineering
Materials
Soft Matter</t>
  </si>
  <si>
    <t>Joost J. Vlassak</t>
  </si>
  <si>
    <t>Applied Physics
Materials
Soft Matter
Materials and Mechanical Engineering
Materials
Soft Matter
Solid Mechanics
Surface and Interface Science</t>
  </si>
  <si>
    <t>Conor J Walsh</t>
  </si>
  <si>
    <t>Applied Physics
Materials
Bioengineering
Bioinspired Robotics and Computing
Biomechanics and Motor Control
Electrical Engineering
Robotics and Control
Materials and Mechanical Engineering
Materials
Robotics and Control
Solid Mechanics
Science, Technology, Innovation, and Public Policy
Science and Engineering Education</t>
  </si>
  <si>
    <t>Robert J. Wood'</t>
  </si>
  <si>
    <t>rjwood@eecs.harvard.edu</t>
  </si>
  <si>
    <t>Bioengineering
Bioinspired Robotics and Computing
Biomechanics and Motor Control
Computer Science
Artificial Intelligence
Electrical Engineering
Robotics and Control
Materials and Mechanical Engineering
Robotics and Control</t>
  </si>
  <si>
    <t>University of California--San Diego (Jacobs)</t>
  </si>
  <si>
    <t>Claire Acevedo</t>
  </si>
  <si>
    <t>csacevedo@ucsd.edu</t>
  </si>
  <si>
    <t xml:space="preserve"> Biomechanics, fracture mechanics, skeletal tissues, multiscale experiments, X-ray synchrotron</t>
  </si>
  <si>
    <t>Mark Anderson</t>
  </si>
  <si>
    <t xml:space="preserve">m3anderson@ucsd.edu
</t>
  </si>
  <si>
    <t xml:space="preserve">His expertise is in vehicle design, navigation, and control.
</t>
  </si>
  <si>
    <t xml:space="preserve">vehicle design, navigation, control,
</t>
  </si>
  <si>
    <t>Alexey Arefiev</t>
  </si>
  <si>
    <t xml:space="preserve">aarefiev@ucsd.edu
</t>
  </si>
  <si>
    <t xml:space="preserve">Arefiev's research focuses primarily on light-matter interactions at extreme light intensities, such that relativistic and even quantum effects become important. This is a quickly expanding area of research, as laboratory research on light-matter interactions can now be performed at an ever-growing number of facilities worldwide using intense laser pulses. </t>
  </si>
  <si>
    <t>light-matter interactions at extreme light intensities</t>
  </si>
  <si>
    <t>Prabhakar Bandaru</t>
  </si>
  <si>
    <t xml:space="preserve">pbandaru@ucsd.edu
</t>
  </si>
  <si>
    <t xml:space="preserve">Development and investigation of nano-materials for magnetic, semiconductor, optical, and MEMS/NEMS (micro-/nano- electro mechanical systems) devices.
</t>
  </si>
  <si>
    <t xml:space="preserve">Development , investigation of nano-materials for magnetic, semiconductor, optical, MEMS/NEMS (micro-/nano- electro mechanical systems) devices,
</t>
  </si>
  <si>
    <t>#12 - Best Engineering Schools</t>
  </si>
  <si>
    <t>Janet Becker</t>
  </si>
  <si>
    <t xml:space="preserve">jmbecker@ucsd.edu
</t>
  </si>
  <si>
    <t xml:space="preserve">Geophysical fluid dynamics, observational nearshore oceanography, nonlinear waves
</t>
  </si>
  <si>
    <t>Farhat Beg</t>
  </si>
  <si>
    <t xml:space="preserve">fbeg@ucsd.edu
</t>
  </si>
  <si>
    <t xml:space="preserve">Electron and proton beam generation in short pulse laser solid interactions, plasma based x-ray and neutron sources, and multi-wire z-pinch dynamics for Inertial Confinement Fusion.
</t>
  </si>
  <si>
    <t xml:space="preserve">Electron , proton beam generation in short pulse laser solid interactions, plasma based x-ray , neutron sources, multi-wire z-pinch dynamics for Inertial Confinement Fusion,
</t>
  </si>
  <si>
    <t>Thomas Bewley</t>
  </si>
  <si>
    <t xml:space="preserve">tbewley@ucsd.edu
</t>
  </si>
  <si>
    <t xml:space="preserve">s lie at the intersections of control and optimization theory, fluid mechanics, Navier-Stokes mathematics, high-performance computing, and robotics.
</t>
  </si>
  <si>
    <t xml:space="preserve">control , optimization theory, fluid mechanics, Navier-Stokes mathematics, high-performance computing, robotics,
</t>
  </si>
  <si>
    <t>Robert Bitmead</t>
  </si>
  <si>
    <t xml:space="preserve">rbitmead@ucsd.edu
</t>
  </si>
  <si>
    <t xml:space="preserve">Design of dynamic feedback control systems for a variety of engineering applications.
</t>
  </si>
  <si>
    <t xml:space="preserve">Design of dynamic feedback control systems for a variety of engineering applications,
</t>
  </si>
  <si>
    <t>Nicholas Boechler</t>
  </si>
  <si>
    <t xml:space="preserve">nboechler@ucsd.edu
</t>
  </si>
  <si>
    <t xml:space="preserve">Dynamically responsive and microstructured materials, wave propagation, nonlinear dynamics, self-assembly, granular media, metamaterials, shock and impact physics, laser ultrasonics, topology optimization, high strain rate mechanics, and soft material dynamics.
</t>
  </si>
  <si>
    <t xml:space="preserve">Dynamically responsive , microstructured materials, wave propagation, nonlinear dynamics, self-assembly, granular media, metamaterials, shock , impact physics, laser ultrasonics, topology optimization, high strain rate mechanics, soft material dynamics,
</t>
  </si>
  <si>
    <t>Shengqiang Cai</t>
  </si>
  <si>
    <t xml:space="preserve">s3cai@ucsd.edu
</t>
  </si>
  <si>
    <t xml:space="preserve">Mechanics of Soft Materials, Electro-chemo-mechanics of Solids, Mechanics of Energy Materials,Bio-inspired Design and Bio-mechanics,  3D Fabrications
</t>
  </si>
  <si>
    <t xml:space="preserve">Mechanics of Soft Materials, Electro-chemo-mechanics of Solids, Mechanics of Energy Materials,Bio-inspired Design , Bio-mechanics3D Fabrications
</t>
  </si>
  <si>
    <t>Jiun-Shyan Chen</t>
  </si>
  <si>
    <t xml:space="preserve">jsc137@ucsd.edu
</t>
  </si>
  <si>
    <t xml:space="preserve">Computational solid mechanics, multiscale materials modeling, modeling of extreme events.
</t>
  </si>
  <si>
    <t xml:space="preserve">Computational solid mechanics, multiscale materials modeling, modeling of extreme events,
</t>
  </si>
  <si>
    <t>Renkun Chen</t>
  </si>
  <si>
    <t xml:space="preserve">rec001@ucsd.edu
</t>
  </si>
  <si>
    <t xml:space="preserve">Renkun Chen's current research is focused on thermal transport, which plays a very significant role in both energy production and consumption. He is interested in exploiting the fundamental heat transfer science and engineering at the micro and nano scale, and developing materials and devices for thermal energy conversion, storage and management.
</t>
  </si>
  <si>
    <t xml:space="preserve">thermal transport,heat transfer science , engineering at the micro , nano scale, developing materials, devices for thermal energy conversion, storage , management,
</t>
  </si>
  <si>
    <t>Carlos Coimbra</t>
  </si>
  <si>
    <t xml:space="preserve">ccoimbra@ucsd.edu
</t>
  </si>
  <si>
    <t xml:space="preserve">Heat and mass transfer, stochastic modeling and forecasting, variable order methods, longwave and shortwave radiation, cloud physics, concentrated solar power.
</t>
  </si>
  <si>
    <t xml:space="preserve">Heat , mass transfer, stochastic modeling , forecasting, variable order methods, longwave , shortwave radiation, cloud physics, concentrated solar power,
</t>
  </si>
  <si>
    <t>Jorge Cortes</t>
  </si>
  <si>
    <t xml:space="preserve">jocortes@ucsd.edu
</t>
  </si>
  <si>
    <t xml:space="preserve">Systems and control, sensor networks, game theory, adversarial networks, cooperative robotics, and geometric mechanics
</t>
  </si>
  <si>
    <t xml:space="preserve">Systems , control, sensor networks, game theory, adversarial networks, cooperative robotics, geometric mechanics
</t>
  </si>
  <si>
    <t>Michael Davidson</t>
  </si>
  <si>
    <t xml:space="preserve">mrdavidson@ucsd.edu
</t>
  </si>
  <si>
    <t xml:space="preserve">Optimization, power systems planning and operation, renewable resources assessment, infrastructure policy
</t>
  </si>
  <si>
    <t xml:space="preserve">Optimization, power systems planning , operation, renewable resources assessment, infrastructure policy
</t>
  </si>
  <si>
    <t>Raymond de Callafon</t>
  </si>
  <si>
    <t xml:space="preserve">callafon@ucsd.edu
</t>
  </si>
  <si>
    <t xml:space="preserve">Simulation, prediction and control of dynamic systems, theory of modeling using system identification techniques, and the interaction between modeling and control.
</t>
  </si>
  <si>
    <t xml:space="preserve">Simulation, prediction , control of dynamic systems, theory of modeling using system identification techniques, the interaction between modeling , control,
</t>
  </si>
  <si>
    <t>Nathan Delson</t>
  </si>
  <si>
    <t xml:space="preserve">ndelson@ucsd.edu
</t>
  </si>
  <si>
    <t xml:space="preserve">Robotics, actuator design and control, mechatronics, medical devices, and project-based learning.
</t>
  </si>
  <si>
    <t xml:space="preserve">Robotics, actuator design , control, mechatronics, medical devices, project-based learning,
</t>
  </si>
  <si>
    <t>Mamadou Diagne</t>
  </si>
  <si>
    <t>mdiagne@ucsd.edu</t>
  </si>
  <si>
    <t xml:space="preserve">Controls, differential equations
</t>
  </si>
  <si>
    <t>Michael Frazier</t>
  </si>
  <si>
    <t xml:space="preserve">mjfrazier@ucsd.edu
</t>
  </si>
  <si>
    <t xml:space="preserve">Energy Dissipation, Elastic Wave Propagation, Phononic Materials, Mechanical Metamaterials, Multistable Materials &amp; Structures
</t>
  </si>
  <si>
    <t>James Friend</t>
  </si>
  <si>
    <t xml:space="preserve">jfriend@ucsd.edu
</t>
  </si>
  <si>
    <t xml:space="preserve">Micro- and nano-electromechanical systems (MEMS/NEMS) and devices. Ultrasonics and nonlinear and physical effects of sound at the micro and nano scale. Medical microdevices. Acoustoelectric effects and surface acoustic waves (SAW) in piezoelectric materials. Biomedical instrumentation and transducers.
</t>
  </si>
  <si>
    <t xml:space="preserve">Micro-electromechanical systems ,nano-electromechanical systems , devices, Ultrasonics , nonlinear , physical effects of sound at the micro , nano scale, Medical microdevices, Acoustoelectric effects , surface acoustic waves (SAW) in piezoelectric materials, Biomedical instrumentation , transducers,
</t>
  </si>
  <si>
    <t>Javier Garay</t>
  </si>
  <si>
    <t xml:space="preserve">jegaray@ucsd.edu
</t>
  </si>
  <si>
    <t xml:space="preserve">Materials processing, nanocomposites, optical materials, magnetic materials, current activated pressure assisted densification (CAPAD)
</t>
  </si>
  <si>
    <t>Carl Gibson</t>
  </si>
  <si>
    <t xml:space="preserve">cgibson@ucsd.edu
</t>
  </si>
  <si>
    <t xml:space="preserve">Theoretical and experimental studies of turbulence and turbulent mixing in the atmosphere and ocean.
</t>
  </si>
  <si>
    <t xml:space="preserve">Theoretical , experimental studies of turbulence , turbulent mixing in the atmosphere , ocean,
</t>
  </si>
  <si>
    <t>Olivia Graeve</t>
  </si>
  <si>
    <t xml:space="preserve">ograeve@ucsd.edu
</t>
  </si>
  <si>
    <t xml:space="preserve">Solution-based processing of nanopowders, spark plasma sintering of materials, powder particle size distribution control and characterization, behavior of colloidal systems, morphological control of non-oxide ceramic powders, composite manufacturing, special emphasis on materials in extreme environments, including extremes of temperature, pressure and radiation.
</t>
  </si>
  <si>
    <t xml:space="preserve">Solution-based processing of nanopowders, spark plasma sintering of materials, powder particle size distribution control , characterization, behavior of colloidal systems, morphological control of non-oxide ceramic powders, composite manufacturing, special emphasis on materials in extreme environments, including extremes of temperature, pressure , radiation,
</t>
  </si>
  <si>
    <t>Nicholas Gravish</t>
  </si>
  <si>
    <t xml:space="preserve">ngravish@ucsd.edu
</t>
  </si>
  <si>
    <t xml:space="preserve">Robotics, robotic and biological systems, biomechanics, locomotion, manufacturing
</t>
  </si>
  <si>
    <t xml:space="preserve">Robotics, robotic , biological systems, biomechanics, locomotion, manufacturing
</t>
  </si>
  <si>
    <t>Xuanting Hao</t>
  </si>
  <si>
    <t xml:space="preserve">x3hao@ucsd.edu
</t>
  </si>
  <si>
    <t xml:space="preserve">Fluid motions at the atmosphere-ocean interface 
</t>
  </si>
  <si>
    <t>Sylvia Herbert</t>
  </si>
  <si>
    <t xml:space="preserve">sherbert@ucsd.edu
</t>
  </si>
  <si>
    <t>Patricia Hidalgo-Gonzalez</t>
  </si>
  <si>
    <t xml:space="preserve">phidalgogonzalez@ucsd.edu
</t>
  </si>
  <si>
    <t xml:space="preserve">Renewable energy, optimization, climate change, control theory, machine learning
</t>
  </si>
  <si>
    <t>John Hwang</t>
  </si>
  <si>
    <t xml:space="preserve">jhwang@ucsd.edu
</t>
  </si>
  <si>
    <t xml:space="preserve">Multidisciplinary design optimization, aircraft design, satellite design, aerodynamic shape optimization, structural optimization, trajectory optimization
</t>
  </si>
  <si>
    <t>David Kamensky</t>
  </si>
  <si>
    <t xml:space="preserve">dmkamensky@ucsd.edu
</t>
  </si>
  <si>
    <t xml:space="preserve">Computational mechanics
</t>
  </si>
  <si>
    <t>Hyunsun Kim</t>
  </si>
  <si>
    <t xml:space="preserve">hak113@ucsd.edu
</t>
  </si>
  <si>
    <t xml:space="preserve">Structural and topology optimization, multidisciplinary design optimization, multiscale and multiphysics optimization of structures and materials, optimization with uncertainties, aerospace structures, computational mechanics.
</t>
  </si>
  <si>
    <t xml:space="preserve">Structural , topology optimization, multidisciplinary design optimization, multiscale , multiphysics optimization of structures , materials, optimization with uncertainties, aerospace structures, computational mechanics,
</t>
  </si>
  <si>
    <t>Jan Kleissl</t>
  </si>
  <si>
    <t xml:space="preserve">jkleissl@ucsd.edu
</t>
  </si>
  <si>
    <t xml:space="preserve">Solar energy meteorology, solar variability and forecasting, urban meteorology, turbulence, field measurements and numerical modeling.
</t>
  </si>
  <si>
    <t xml:space="preserve">Solar energy meteorology, solar variability , forecasting, urban meteorology, turbulence, field measurements , numerical modeling,
</t>
  </si>
  <si>
    <t>John Kosmatka</t>
  </si>
  <si>
    <t xml:space="preserve">jkosmatka@ucsd.edu
</t>
  </si>
  <si>
    <t xml:space="preserve">Design, analysis, and experimental testing of light-weight advancedcomposite structures.
</t>
  </si>
  <si>
    <t xml:space="preserve">Design, analysis, experimental testing of light-weight advancedcomposite structures,
</t>
  </si>
  <si>
    <t>Boris Kramer</t>
  </si>
  <si>
    <t xml:space="preserve">bmkramer@ucsd.edu
</t>
  </si>
  <si>
    <t xml:space="preserve">Multifidelity and data-driven modeling, optimization and control, uncertainty quantification, reliability-based design and design under uncertainty in fluid flows
</t>
  </si>
  <si>
    <t>Multifidelity , data-driven modeling, optimization , control, uncertainty quantification, reliability-based design,design under uncertainty in fluid flows</t>
  </si>
  <si>
    <t>Sergei Krasheninnikov</t>
  </si>
  <si>
    <t xml:space="preserve">skrasheninnikov@ucsd.edu
</t>
  </si>
  <si>
    <t xml:space="preserve">Fusion energy and plasma physics.
</t>
  </si>
  <si>
    <t xml:space="preserve">Fusion energy , plasma physics,
</t>
  </si>
  <si>
    <t>Miroslav Krstic</t>
  </si>
  <si>
    <t xml:space="preserve">mkrstic@ucsd.edu
</t>
  </si>
  <si>
    <t xml:space="preserve">Nonlinear and adaptive control, distributed parameter systems, delay systems, extremum seeking, stochastic control, and applications to automotive and aerospace systems, energy storage, and biotechnology.
</t>
  </si>
  <si>
    <t>Nonlinear , adaptive control, distributed parameter systems, delay systems, extremum seeking, stochastic control, applications to automotive , aerospace systems, energy storage, biotechnology</t>
  </si>
  <si>
    <t>Ratneshwar Lal</t>
  </si>
  <si>
    <t xml:space="preserve">rlal@ucsd.edu
</t>
  </si>
  <si>
    <t xml:space="preserve">Nanobiotechnology, multidimensional biological atomic force microscopy, ion channel biophysics and nanomedicine.
</t>
  </si>
  <si>
    <t>Nanobiotechnology, multidimensional biological atomic force microscopy, ion channel biophysics , nanomedicine</t>
  </si>
  <si>
    <t>Stephanie Lindsey</t>
  </si>
  <si>
    <t>Fluid mechanics, numerical analysis, cradiovascular development biology</t>
  </si>
  <si>
    <r>
      <rPr>
        <u/>
        <sz val="10"/>
        <color rgb="FF000000"/>
        <rFont val="Arial"/>
        <family val="2"/>
      </rPr>
      <t xml:space="preserve">Chair - </t>
    </r>
    <r>
      <rPr>
        <u/>
        <sz val="10"/>
        <color rgb="FF000000"/>
        <rFont val="Arial"/>
        <family val="2"/>
      </rPr>
      <t>Stefan Llewellyn Smith</t>
    </r>
  </si>
  <si>
    <t xml:space="preserve">sllewellynsmith@ucsd.edu
</t>
  </si>
  <si>
    <t xml:space="preserve">Fluid dynamics and environmental engineering.
</t>
  </si>
  <si>
    <t xml:space="preserve">Fluid dynamics , environmental engineering,
</t>
  </si>
  <si>
    <t>Andrew Lucas</t>
  </si>
  <si>
    <t xml:space="preserve">ajlucas@ucsd.edu
</t>
  </si>
  <si>
    <t xml:space="preserve">Biogeochemical/Physical control of phytoplankton productivity and community structure, internal waves, submesoscale physical dynamics, air/sea interactions, physical/biological interactions, autonomous vehicle development,low power wave and ocean current energy generation
</t>
  </si>
  <si>
    <t xml:space="preserve">Biogeochemical/Physical control of phytoplankton productivity , community structure, internal waves, submesoscale physical dynamics, air/sea interactions, physical/biological interactions, autonomous vehicle development,low power wave , ocean current energy generation
</t>
  </si>
  <si>
    <t>Xanthippi Markenscoff</t>
  </si>
  <si>
    <t xml:space="preserve">xmarkens@ucsd.edu
</t>
  </si>
  <si>
    <t xml:space="preserve">Solid Mechanics and Materials Science, Elasticity Theory, Micromechanics, Elastodynamics of Defects, Conservation Laws.
</t>
  </si>
  <si>
    <t>Solid Mechanics , Materials Science, Elasticity Theory, Micromechanics, Elastodynamics of Defects, Conservation Laws</t>
  </si>
  <si>
    <t>Alessandro Marinoni</t>
  </si>
  <si>
    <t>amarinoni@ucsd.edu</t>
  </si>
  <si>
    <t>Sonia Martinez Diaz</t>
  </si>
  <si>
    <t xml:space="preserve">somartinezdiaz@ucsd.edu
</t>
  </si>
  <si>
    <t xml:space="preserve">Distributed motion coordination algorithms, distributed estimation and data gathering, optimal control policies for robotic locomotion, motion planning for underactuated systems, and low-complexity representations of mechanical systems.
</t>
  </si>
  <si>
    <t xml:space="preserve">Distributed motion coordination algorithms, distributed estimation , data gathering, optimal control policies for robotic locomotion, motion planning for underactuated systems, low-complexity representations of mechanical systems,
</t>
  </si>
  <si>
    <t>William McEneaney</t>
  </si>
  <si>
    <t xml:space="preserve">wmceneaney@ucsd.edu
</t>
  </si>
  <si>
    <t xml:space="preserve">Nonlinear, stochastic, and robust control theory, dynamic games, estimation, max-plus algebraic methods, and partial differential equations.
</t>
  </si>
  <si>
    <t xml:space="preserve">Nonlinear, stochastic, robust control theory, dynamic games, estimation, max-plus algebraic methods, partial differential equations,
</t>
  </si>
  <si>
    <t>Marc Meyers</t>
  </si>
  <si>
    <t xml:space="preserve">mameyers@ucsd.edu
</t>
  </si>
  <si>
    <t xml:space="preserve">Biological and bioinspired materials, nanocrystalline and ultra fine grained metals, mechanical and dynamic behavior of materials with emphasis on laser compression and high speed reactions.
</t>
  </si>
  <si>
    <t xml:space="preserve">Biological , bioinspired materials, nanocrystalline , ultra fine grained metals, mechanical , dynamic behavior of materials with emphasis on laser compression , high speed reactions,
</t>
  </si>
  <si>
    <t>Tania Morimoto</t>
  </si>
  <si>
    <t xml:space="preserve">tamorimoto@ucsd.edu
</t>
  </si>
  <si>
    <t xml:space="preserve">Robotics and controls, medical robotics, soft robotics, haptics, virtual and augmented reality, and teleoperation
</t>
  </si>
  <si>
    <t xml:space="preserve">Robotics , controls, medical robotics, soft robotics, haptics, virtual , augmented reality, teleoperation
</t>
  </si>
  <si>
    <t>Vitali Nesterenko</t>
  </si>
  <si>
    <t xml:space="preserve">vnesterenko@ucsd.edu
</t>
  </si>
  <si>
    <t xml:space="preserve">Strongly nonlinear wave dynamics of strongly nonlinear low dimensional metamaterials. Development of new experimental capabilities for dynamic testing. Physics and mechanics of shock and high strain, strain rate deformation, instability and fragmentation of heterogeneous solid materials. High energy processing of advanced materials and devices.
</t>
  </si>
  <si>
    <t xml:space="preserve">Strongly nonlinear wave dynamics of strongly nonlinear low dimensional metamaterials, Development of new experimental capabilities for dynamic testing, Physics , mechanics of shock , high strain, strain rate deformation, instability , fragmentation of heterogeneous solid materials, High energy processing of advanced materials , devices,
</t>
  </si>
  <si>
    <t>Keiko Nomura</t>
  </si>
  <si>
    <t xml:space="preserve">knomura@ucsd.edu
</t>
  </si>
  <si>
    <t xml:space="preserve">Theoretical and computational fluid mechanics, turbulence, transport phenomena, reacting flows and combustion, environmental flows.
</t>
  </si>
  <si>
    <t xml:space="preserve">Theoretical , computational fluid mechanics, turbulence, transport phenomena, reacting flows , combustion, environmental flows,
</t>
  </si>
  <si>
    <t>Eugene Pawlak</t>
  </si>
  <si>
    <t xml:space="preserve">epawlak@ucsd.edu
</t>
  </si>
  <si>
    <t xml:space="preserve">Coastal and estuarine turbulent mixing processes and their interactions with topographic features.
</t>
  </si>
  <si>
    <t xml:space="preserve">Coastal , estuarine turbulent mixing processes , their interactions with topographic features,
</t>
  </si>
  <si>
    <t>Lonnie Petersen</t>
  </si>
  <si>
    <t xml:space="preserve">l8petersen@ucsd.edu
</t>
  </si>
  <si>
    <t>Lisa Poulikakos</t>
  </si>
  <si>
    <t xml:space="preserve">lpoulika@ucsd.edu
</t>
  </si>
  <si>
    <t xml:space="preserve">Nanophotonics, optical materials, nanomaterials, electromagnetism, biophotonics, biomaterials, diagnostics
</t>
  </si>
  <si>
    <t>Padmini Rangamani</t>
  </si>
  <si>
    <t xml:space="preserve">prangamani@ucsd.edu
</t>
  </si>
  <si>
    <t xml:space="preserve">Biological systems design, transport phenomena in biological membranes, influence of cell shape on biological activation of signaling networks, morphological and topological changes to lipid membranes mediated by proteins and cytoskeletal forces, computational biology and biophysics.
</t>
  </si>
  <si>
    <t xml:space="preserve">Biological systems design, transport phenomena in biological membranes, influence of cell shape on biological activation of signaling networks, morphological , topological changes to lipid membranes mediated by proteins , cytoskeletal forces, computational biology , biophysics,
</t>
  </si>
  <si>
    <t>Aaron Rosengren</t>
  </si>
  <si>
    <t xml:space="preserve">arosengren@ucsd.edu
</t>
  </si>
  <si>
    <t xml:space="preserve">Astrodynamics, Celestial Mechanics, and Dynamical Astronomy, Orbital Debris and Space Situational Awareness, Applied and Computational Mathematics, Nonlinear Dynamics, Chaotic and Complex Systems.
</t>
  </si>
  <si>
    <t xml:space="preserve">Astrodynamics, Celestial Mechanics, Dynamical Astronomy, Orbital Debris , Space Situational Awareness, Applied , Computational Mathematics, Nonlinear Dynamics, Chaotic , Complex Systems,
</t>
  </si>
  <si>
    <t>Abhishek Saha</t>
  </si>
  <si>
    <t xml:space="preserve">asaha@ucsd.edu
</t>
  </si>
  <si>
    <t xml:space="preserve">Combustion, fluid mechanics, propulsion, flame dynamics, droplet dynamics
</t>
  </si>
  <si>
    <t>David Saintillan</t>
  </si>
  <si>
    <t xml:space="preserve">dsaintillan@ucsd.edu
</t>
  </si>
  <si>
    <t xml:space="preserve">Microscale flow modeling, biophysical fluid mechanics, complex fluids, electrokinetics, microfluidics. 
</t>
  </si>
  <si>
    <t xml:space="preserve">Microscale flow modeling, biophysical fluid mechanics, complex fluids, electrokinetics, microfluidics, 
</t>
  </si>
  <si>
    <t>Antonio Sanchez</t>
  </si>
  <si>
    <t xml:space="preserve">alsp@ucsd.edu
</t>
  </si>
  <si>
    <t xml:space="preserve">Reacting and nonreacting flows
</t>
  </si>
  <si>
    <t xml:space="preserve">Reacting , nonreacting flows
</t>
  </si>
  <si>
    <t>Sutanu Sarkar</t>
  </si>
  <si>
    <t xml:space="preserve">ssarkar@ucsd.edu
</t>
  </si>
  <si>
    <t xml:space="preserve">Computational fluid dynamics, turbulence, environmental flows
</t>
  </si>
  <si>
    <t>Oliver Schmidt</t>
  </si>
  <si>
    <t xml:space="preserve">oschmidt@ucsd.edu
</t>
  </si>
  <si>
    <t xml:space="preserve">Hydrodynamic stability, computational fluid mechanics, intermittency and rare events, modal decomposition, model order reduction
</t>
  </si>
  <si>
    <t xml:space="preserve">Hydrodynamic stability, computational fluid mechanics, intermittency , rare events, modal decomposition, model order reduction
</t>
  </si>
  <si>
    <t>Kalyanasundaram Seshadri</t>
  </si>
  <si>
    <t xml:space="preserve">kseshadri@ucsd.edu
</t>
  </si>
  <si>
    <t xml:space="preserve">Experimental and analytical studies on combustion
</t>
  </si>
  <si>
    <t xml:space="preserve">Experimental , analytical studies on combustion
</t>
  </si>
  <si>
    <t>Frank Talke</t>
  </si>
  <si>
    <t xml:space="preserve">ftalke@ucsd.edu
</t>
  </si>
  <si>
    <t xml:space="preserve">Medical device technology, mechanics and tribology of magnetic storage systems (disk and tape drives)
</t>
  </si>
  <si>
    <t xml:space="preserve">Medical device technology, mechanics , tribology of magnetic storage systems (disk , tape drives)
</t>
  </si>
  <si>
    <t>Michael Tolley</t>
  </si>
  <si>
    <t xml:space="preserve">mttolley@ucsd.edu
</t>
  </si>
  <si>
    <t xml:space="preserve">Bioinspired and soft robotic systems, printable and origami-inspired robotics, self-assembly and self-folding, microfabrication, microassembly, microfluidics, simulation and assembly planning.
</t>
  </si>
  <si>
    <t xml:space="preserve">Bioinspired , soft robotic systems, printable , origami-inspired robotics, self-assembly , self-folding, microfabrication, microassembly, microfluidics, simulation , assembly planning,
</t>
  </si>
  <si>
    <t>George Tynan</t>
  </si>
  <si>
    <t xml:space="preserve">gtynan@ucsd.edu
</t>
  </si>
  <si>
    <t xml:space="preserve">Basic and applied plasma physics.
</t>
  </si>
  <si>
    <t xml:space="preserve">Basic , applied plasma physics,
</t>
  </si>
  <si>
    <t>Daniela Valdez-Jasso</t>
  </si>
  <si>
    <t xml:space="preserve">dvaldezjasso@ucsd.edu
</t>
  </si>
  <si>
    <t xml:space="preserve">Soft-tissue biomechanics, cardiovascular physiology, pulmonary hypertension, vascular biology, mathematical modeling, parameter estimation &amp; optimization.
</t>
  </si>
  <si>
    <t xml:space="preserve">Soft-tissue biomechanics, cardiovascular physiology, pulmonary hypertension, vascular biology, mathematical modeling, parameter estimation &amp; optimization,
</t>
  </si>
  <si>
    <t>David Victor</t>
  </si>
  <si>
    <t xml:space="preserve">dgvictor@ucsd.edu
</t>
  </si>
  <si>
    <t>Duke University (Pratt)</t>
  </si>
  <si>
    <t>L. Catherine Brinson</t>
  </si>
  <si>
    <t>cate.brinson@duke.edu</t>
  </si>
  <si>
    <t>s Mechanics of materials, with emphasis on complex hierarchical materials and polymer based systems, and merging concepts of data science into materials. Nanoscale and bulk scale experimental characterization, modeling and simulation of the behavior of materials, including physics…</t>
  </si>
  <si>
    <t>Mechanics of materials, with emphasis on complex hierarchical materials , polymer based systems, merging concepts of data science into materials, Nanoscale , bulk scale experimental characterization, modeling , simulation of the behavior of materials, including physics</t>
  </si>
  <si>
    <t>Mechanical Engineering and Materials Science</t>
  </si>
  <si>
    <t>Stefan Zauscher</t>
  </si>
  <si>
    <t xml:space="preserve">zauscher@duke.edu
</t>
  </si>
  <si>
    <t>s Nano-mechanical and nano-tribological characterization (elasticity, friction, adhesion) of materials including organic thin films, self-assembled monolayers, polymeric gels, and cellulosics, Fabrication of polymeric nanostructures by scanning probe lithography, Colloidal probe…</t>
  </si>
  <si>
    <t>Nano-mechanical , nano-tribological characterization (elasticity, friction, adhesion) of materials including organic thin films, self-assembled monolayers, polymeric gels, cellulosics, Fabrication of polymeric nanostructures by scanning probe lithography, Colloidal probe</t>
  </si>
  <si>
    <t>Wilkins Aquino</t>
  </si>
  <si>
    <t xml:space="preserve">wilkins.aquino@duke.edu
</t>
  </si>
  <si>
    <t>s Computational mechanics, finite element methods, computational inverse problems and their applications in engineering and biomedicine, scientific computing, computational acoustics and acoustics-structure interaction, coupled chemo-mechanics (e.g., electrochemistry-mechanics).</t>
  </si>
  <si>
    <t>Computational mechanics, finite element methods, computational inverse problems , their applications in engineering , biomedicine, scientific computing, computational acoustics , acoustics-structure interaction, coupled chemo-mechanics (e,g,, electrochemistry-mechanics)</t>
  </si>
  <si>
    <t>#25 - Mechanical Engineering</t>
  </si>
  <si>
    <t>Gaurav Arya</t>
  </si>
  <si>
    <t xml:space="preserve">gaurav.arya@duke.edu
</t>
  </si>
  <si>
    <t>s Molecular modeling, molecular simulations, statistical mechanics, coarse-graining, machine learning, polymer and colloidal physics, polymer-nanoparticle composites, chromatin biophysics, DNA nanotechnology, viral DNA packaging, single-molecule force spectroscopy, nanoscale…</t>
  </si>
  <si>
    <t>Molecular modeling, molecular simulations, statistical mechanics, coarse-graining, machine learning, polymer , colloidal physics, polymer-nanoparticle composites, chromatin biophysics, DNA nanotechnology, viral DNA packaging, single-molecule force spectroscopy, nanoscale</t>
  </si>
  <si>
    <t>#22 - Best Engineering Schools</t>
  </si>
  <si>
    <t>Matthew L Becker</t>
  </si>
  <si>
    <t xml:space="preserve">matthew.l.becker@duke.edu
</t>
  </si>
  <si>
    <t>s Polymer chemistry, bioconjugate chemistry, molecular imaging and additive manufacturing, materials for bone, soft tissue, neural and vascular tissue engineering, drug and protein delivery, degradable materials for flexible electronics</t>
  </si>
  <si>
    <t>Polymer chemistry, bioconjugate chemistry, molecular imaging , additive manufacturing, materials for bone, soft tissue, neural , vascular tissue engineering, drug , protein delivery, degradable materials for flexible electronics</t>
  </si>
  <si>
    <t>Adrian Bejan</t>
  </si>
  <si>
    <t xml:space="preserve">abejan@duke.edu
</t>
  </si>
  <si>
    <t>Donald B. Bliss</t>
  </si>
  <si>
    <t xml:space="preserve">donald.bliss@duke.edu
</t>
  </si>
  <si>
    <t>s Fluid mechanics, aerodynamics, acoustics, and structural dynamics</t>
  </si>
  <si>
    <t>Fluid mechanics, aerodynamics, acoustics, structural dynamics</t>
  </si>
  <si>
    <t>Volker Blum</t>
  </si>
  <si>
    <t>volker.blum@duke.edu</t>
  </si>
  <si>
    <t>s Computational predictions and understanding of new materials related to energy and electronics, as well as molecular structure and spectroscopies, based on the "first principles" of quantum mechanics. Much of this work is directly connected to ongoing developments of new…</t>
  </si>
  <si>
    <t>Computational predictions , understing of new materials related to energy , electronics, molecular structure , spectroscopies</t>
  </si>
  <si>
    <t>Leila Bridgeman</t>
  </si>
  <si>
    <t xml:space="preserve">leila.bridgeman@duke.edu
</t>
  </si>
  <si>
    <t>s Robust and optimal control, linear matrix inequalities (LMIs), model predictive control (MPC), delayed systems, input-output stability, passivity.</t>
  </si>
  <si>
    <t>Robust, optimal control, linear matrix inequalities (LMIs), model predictive control (MPC), delayed systems, input-output stability, passivity,</t>
  </si>
  <si>
    <t>Boyuan Chen</t>
  </si>
  <si>
    <t xml:space="preserve">boyuan.chen@duke.edu
</t>
  </si>
  <si>
    <t>s Robotics, computer vision, machine learning, AI for science</t>
  </si>
  <si>
    <t>Robotics, computer vision, machine learning, AI for science</t>
  </si>
  <si>
    <t>Chuan-Hua Chen</t>
  </si>
  <si>
    <t>chuanhua.chen@duke.edu</t>
  </si>
  <si>
    <t>s Experimental and theoretical research coupling physicochemical hydrodynamics with interfacial engineering</t>
  </si>
  <si>
    <t>Experimental , theoretical research coupling physicochemical hydrodynamics with interfacial engineering</t>
  </si>
  <si>
    <t>Miaofang Chi</t>
  </si>
  <si>
    <t xml:space="preserve">miaofang.chi@duke.edu
</t>
  </si>
  <si>
    <t>$60,220 per year (full-time)</t>
  </si>
  <si>
    <t>Stefano Curtarolo</t>
  </si>
  <si>
    <t>s Artificial Intelligence Materials Science, Autonomous Materials Design, Computational materials science, High-Entropy Disordered Systems, Materials for Energy Applications, Materials for Aerospace Applications. Prof. Curtarolo multidisciplinary research makes use of state-of-the…</t>
  </si>
  <si>
    <t>Artificial Intelligence Materials Science, Autonomous Materials Design, Computational materials science, High-Entropy Disordered Systems, Materials for Energy Applications, Materials for Aerospace Applications</t>
  </si>
  <si>
    <t>Olivier Delaire</t>
  </si>
  <si>
    <t xml:space="preserve">olivier.delaire@duke.edu
</t>
  </si>
  <si>
    <t>s Olivier Delaire investigates atomic dynamics in materials, focusing on problems at the interface of Materials Science, Physics and Chemistry. His research grouPutilizes a range of experimental and computational approaches, including neutron and x-ray scattering techniques,…</t>
  </si>
  <si>
    <t>dynamics in materials, focusing on problems at the interface of Materials Science, Physics , Chemistry, His research grouPutilizes a range of experimental , computational approaches, neutron , x-ray scattering techniques</t>
  </si>
  <si>
    <t>John EvereTTDolbow</t>
  </si>
  <si>
    <t xml:space="preserve">john.dolbow@duke.edu
</t>
  </si>
  <si>
    <t>s Modeling quasi-static and dynamic fracture of structural components, the evolution of interfaces with nonlinear constitutive laws, and developing models for stimulus-responsive hydrogels</t>
  </si>
  <si>
    <t>Modeling quasi-static , dynamic fracture of structural components, the evolution of interfaces with nonlinear constitutive laws,  developing models for stimulus-responsive hydrogels</t>
  </si>
  <si>
    <t>Earl H. Dowell</t>
  </si>
  <si>
    <t xml:space="preserve">earl.dowell@duke.edu
</t>
  </si>
  <si>
    <t>s Aeroelasticity, acoustics, nonlinear dynamics, structural dynamics, and unsteady aerodynamics.</t>
  </si>
  <si>
    <t>Aeroelasticity, acoustics, nonlinear dynamics, structural dynamics, unsteady aerodynamics,</t>
  </si>
  <si>
    <t>Liang Feng</t>
  </si>
  <si>
    <t>liang.feng@duke.edu</t>
  </si>
  <si>
    <t>Climate | Energy | Biomedicine &amp; Health | Non-Equilibrium Thermodynamics | Carbon Capture | Adsorption &amp; Separation | Molecular Machines | Supramolecular &amp; Porous Materials | Polymer Science &amp; Engineering</t>
  </si>
  <si>
    <t>Climate , Energy , Biomedicine &amp; Health , Non-Equilibrium Thermodynamics , Carbon Capture , Adsorption &amp; Separation , Molecular Machines , Supramolecular &amp; Porous Materials , Polymer Science &amp; Engineering</t>
  </si>
  <si>
    <t>Ken Gall</t>
  </si>
  <si>
    <t>kag70@duke.edu</t>
  </si>
  <si>
    <t>s Materials science, mechanical properties, metals and polymers. Specialties Shape memory materials, biomaterials, 3D printing.</t>
  </si>
  <si>
    <t>Materials science, mechanical properties, metals , polymers, Specialties Shape memory materials, biomaterials, 3D printing</t>
  </si>
  <si>
    <t>Kenneth C. Hall</t>
  </si>
  <si>
    <t xml:space="preserve">kenneth.c.hall@duke.edu
</t>
  </si>
  <si>
    <t>s Unsteady aerodynamics, structural dynamics, and aeroelasticity of turbomachinery and aerospace vehicles. Novel approaches to modeling complex physical phenomena using computational fluid dynamics. Optimization and sensitivity analysis. Fluid dynamics of animal propulsion.</t>
  </si>
  <si>
    <t>Unsteady aerodynamics, structural dynamics, aeroelasticity of turbomachinery , aerospace vehicles, Novel approaches to modeling complex physical phenomena using computational fluid dynamics, Optimization , sensitivity analysis, Fluid dynamics of animal propulsion</t>
  </si>
  <si>
    <t>Laurens E. Howle</t>
  </si>
  <si>
    <t>laurens.howle@duke.edu</t>
  </si>
  <si>
    <t>Tony Jun Huang</t>
  </si>
  <si>
    <t>tony.huang@duke.edu</t>
  </si>
  <si>
    <t>s Acoustofluidics, microfluidics, lab-on-a-chip, biomedical micro-electro-mechanical systems (BioMEMS), optofluidics, plasmofluidics.</t>
  </si>
  <si>
    <t>Acoustofluidics, microfluidics, lab-on-a-chip, biomedical micro-electro-mechanical systems (BioMEMS), optofluidics, plasmofluidics</t>
  </si>
  <si>
    <t>Josiah D. Knight</t>
  </si>
  <si>
    <t>jknight@duke.edu</t>
  </si>
  <si>
    <t>s Fluid mechanics, thermodynamics, heat transfer, and dynamics</t>
  </si>
  <si>
    <t>Fluid mechanics, thermodynamics, heat transfer, dynamics</t>
  </si>
  <si>
    <t>Brian Mann</t>
  </si>
  <si>
    <t xml:space="preserve">brian.mann@duke.edu
</t>
  </si>
  <si>
    <t>s Nonlinear dynamics and vibration utilizing analytical, numerical, and experimental techniques. Fundamental investigations of phenomenon and application areas where dynamical systems theory plays an important role.</t>
  </si>
  <si>
    <t>Nonlinear dynamics , vibration utilizing analytical, numerical, experimental techniques</t>
  </si>
  <si>
    <t>Piotr E. Marszalek</t>
  </si>
  <si>
    <t xml:space="preserve">pemar@duke.edu
</t>
  </si>
  <si>
    <t>s Investigating relationships between structural and mechanical properties of biopolymers (polysaccharides, DNA, proteins), at a single molecule level.</t>
  </si>
  <si>
    <t xml:space="preserve">relationships between structural , mechanical properties of biopolymers </t>
  </si>
  <si>
    <t>David Mitzi</t>
  </si>
  <si>
    <t>david.mitzi@duke.edu</t>
  </si>
  <si>
    <t>s Making emerging photovoltaic materials more effective, cost-efficient and competitive for the energy market.</t>
  </si>
  <si>
    <t>Making emerging photovoltaic materials more effective, cost-efficient , competitive for the energy market</t>
  </si>
  <si>
    <t>David Needham</t>
  </si>
  <si>
    <t>d.needham@duke.edu</t>
  </si>
  <si>
    <t>s Needham’s research and development is nothing if it is not collaborative. Highlights Anti-cancer drug delivery inspired by how cancer's survive and spread due to their consumption of Lipoprotein particles from the blood-stream (LDLs and VLDLs) hence his approach Make the drug…</t>
  </si>
  <si>
    <t xml:space="preserve"> Anti-cancer drug delivery</t>
  </si>
  <si>
    <t>Xiaoyue Ni</t>
  </si>
  <si>
    <t>xiaoyue.ni@duke.edu</t>
  </si>
  <si>
    <t>s Flexible electronics, precision measurement, non-destructive testing, deformation physics of random media, mechanical metamaterials, robotic materials and smart structures, machine learning</t>
  </si>
  <si>
    <t>Flexible electronics, precision measurement, non-destructive testing, deformation physics of r,om media, mechanical metamaterials, robotic materials , smart structures, machine learning</t>
  </si>
  <si>
    <t>Christine K. Payne</t>
  </si>
  <si>
    <t xml:space="preserve">christine.payne@duke.edu
</t>
  </si>
  <si>
    <t>s Molecular mechanisms by which cells interact with nanomaterials with applications in nanomedicine and environmental exposure</t>
  </si>
  <si>
    <t>Molecular mechanisms by which cells interact with nanomaterials with applications in nanomedicine, environmental exposure</t>
  </si>
  <si>
    <t>Michael Rubinstein</t>
  </si>
  <si>
    <t xml:space="preserve">michael.rubinstein@duke.edu
</t>
  </si>
  <si>
    <t>s Polymer theory and computer simulations</t>
  </si>
  <si>
    <t>Polymer theory, computer simulations</t>
  </si>
  <si>
    <t>Shyni Varghese</t>
  </si>
  <si>
    <t>shyni.varghese@duke.edu</t>
  </si>
  <si>
    <t>s Musculoskeletal tissue repair, disease biophysics and organ-on-a-chiPtechnology</t>
  </si>
  <si>
    <t>Musculoskeletal tissue repair, disease biophysics,organ-on-a-chiPtechnology</t>
  </si>
  <si>
    <t>Lawrence N. Virgin</t>
  </si>
  <si>
    <t>l.virgin@duke.edu</t>
  </si>
  <si>
    <t>s Study of the behavior of nonlinear dynamical systems, including the investigation of the fundamental nature of nonlinear systems based on a mathematical description of their underlying equations of motion and the application of recent results from nonlinear dynamical systems…</t>
  </si>
  <si>
    <t>nonlinear dynamical systems</t>
  </si>
  <si>
    <t>Michael Zavlanos</t>
  </si>
  <si>
    <t xml:space="preserve">michael.zavlanos@duke.edu
</t>
  </si>
  <si>
    <t>s Control theory, optimization, and learning, in particular, robotics and autonomous systems, networked and distributed control systems, and cyber-physical systems.</t>
  </si>
  <si>
    <t>Control theory, optimization, learning, in particular, robotics , autonomous systems, networked, distributed control systems, cyber-physical systems,</t>
  </si>
  <si>
    <t>Pei Zhong</t>
  </si>
  <si>
    <t xml:space="preserve">pzhong@duke.edu
</t>
  </si>
  <si>
    <t>s Mechanistic investigation and technology development in shock wave and laser lithotripsy, Ultrasound-elicited mechanotransduction, neuromodulation and sonogenetics, HIFU and immunotherapy for cancer treatment, Acoustic and optical cavitation.</t>
  </si>
  <si>
    <t>Mechanistic investigation , technology development in shock wave , laser lithotripsy, Ultrasound-elicited mechanotransduction, neuromodulation , sonogenetics, HIFU , immunotherapy for cancer treatment, Acoustic , optical cavitation</t>
  </si>
  <si>
    <t>Cameron R. Bass</t>
  </si>
  <si>
    <t xml:space="preserve">dale.bass@duke.edu
</t>
  </si>
  <si>
    <t>s Biomechanics of blast, blunt and ballistic trauma and pediatric trauma. His research focuses on injury risk from microscale to macroscale for the Head, neck, thorax and extremities.</t>
  </si>
  <si>
    <t xml:space="preserve"> Biomechanics of blast, blunt , ballistic trauma , pediatric trauma, His research focuses on injury risk from microscale to macroscale for the Head, neck, thorax, extremities</t>
  </si>
  <si>
    <t>Louis Edwin DeFrate</t>
  </si>
  <si>
    <t xml:space="preserve">lou.defrate@duke.edu
</t>
  </si>
  <si>
    <t>Henri P. Gavin</t>
  </si>
  <si>
    <t>s Structural dynamics, earthquake engineering, seismic hazard mitigation for building contents, nonlinear dynamics, system identification, optimal control with application to systems with controllable damping.</t>
  </si>
  <si>
    <t>Structural dynamics, earthquake engineering, seismic hazard mitigation for building contents, nonlinear dynamics, system identification, optimal control with application to systems with controllable damping,</t>
  </si>
  <si>
    <t>Jeffrey Glass</t>
  </si>
  <si>
    <t>jeff.glass@duke.edu</t>
  </si>
  <si>
    <t>s Electronic materials and the Associated devices/instruments improved by these materials, especially electrode applications in miniature mass spectrometry, energy conversion and storage and liquid waste disinfection for developing regions. Electrochemical measurements and…</t>
  </si>
  <si>
    <t>Electronic materials , the Associated devices/instruments improved by these materials, especially electrode applications in miniature mass spectrometry, energy conversion , storage , liquid waste disinfection for developing regions, Electrochemical measurements ,…</t>
  </si>
  <si>
    <t>Johann Guilleminot</t>
  </si>
  <si>
    <t>johann.guilleminot@duke.edu</t>
  </si>
  <si>
    <t>s Computational mechanics, mechanics of heterogeneous materials, molecular dynamics simulations and atomistic-to-continuum coupling, stochastic solvers, statistical inverse problem and model validation, stochastic analysis, uncertainty quantification in science and engineering</t>
  </si>
  <si>
    <t>Computational mechanics, mechanics of heterogeneous materials, molecular dynamics simulations , atomistic-to-continuum coupling, stochastic solvers, statistical inverse problem , model validation, stochastic analysis, uncertainty quantification in science , engineering</t>
  </si>
  <si>
    <t>Sara Haravifard</t>
  </si>
  <si>
    <t>sara.haravifard@duke.edu</t>
  </si>
  <si>
    <t>s Exploring novel collective phenomena in quantum materials by means of neutron and x-ray scattering techniques, Investigating quantum critical phenomena at extreme environmental conditions of ultra-low temperature, high magnetic field, and high pressure, Materials by Design…</t>
  </si>
  <si>
    <t>Exploring novel collective phenomena in quantum materials by means of neutron , x-ray scattering techniques, Investigating quantum critical phenomena at extreme environmental conditions of ultra-low temperature, high magnetic field, high pressure, Materials by Design…</t>
  </si>
  <si>
    <t>Tomasz Hueckel</t>
  </si>
  <si>
    <t xml:space="preserve">hueckel@duke.edu
</t>
  </si>
  <si>
    <t>s Mechanics of materials, theoretical soil mechanics, rock mechanics, theory of plasticity, multi-physics processes in geomechanics, nuclear waste disposal, energy and environmental geomechanics.</t>
  </si>
  <si>
    <t>Mechanics of materials, theoretical soil mechanics, rock mechanics, theory of plasticity, multi-physics processes in geomechanics, nuclear waste disposal, energy , environmental geomechanics,</t>
  </si>
  <si>
    <t>Akhenaton-Andrew Dhafir Jones</t>
  </si>
  <si>
    <t xml:space="preserve">andrew.jones3@duke.edu
</t>
  </si>
  <si>
    <t>s Biofilms, cardiovascular infections, infectious diseases, biomaterials, antibiotics, porous media flows, fate and transport of nanomaterials in biofilms, water quality sensors, environmental systems analysis, environmental equity, environmental justice</t>
  </si>
  <si>
    <t>Biofilms, cardiovascular infections, infectious diseases, biomaterials, antibiotics, porous media flows, fate , transport of nanomaterials in biofilms, water quality sensors, environmental systems analysis, environmental equity, environmental justice</t>
  </si>
  <si>
    <t>Shivanand Lad</t>
  </si>
  <si>
    <t xml:space="preserve">nandan.lad@duke.edu
</t>
  </si>
  <si>
    <t>Miroslav Pajic</t>
  </si>
  <si>
    <t>miroslav.pajic@duke.edu</t>
  </si>
  <si>
    <t>s Design and analysis of autonomous cyber-physical systems (CPS), and in particular, embedded systems, AI, learning and controls, CPS security and high-assurance autonomy, with various application domains including robotics, automotive, and medical systems</t>
  </si>
  <si>
    <t>Design , analysis of autonomous cyber-physical systems (CPS), in particular, embedded systems, AI, learning , controls, CPS security , high-assurance autonomy, with various application domains including robotics, automotive, medical systems</t>
  </si>
  <si>
    <t>Amanda Randles</t>
  </si>
  <si>
    <t xml:space="preserve">amanda.randles@duke.edu
</t>
  </si>
  <si>
    <t>s Biomedical simulation and high-performance computing</t>
  </si>
  <si>
    <t>Biomedical simulation , high-performance computing</t>
  </si>
  <si>
    <t>Guglielmo Scovazzi</t>
  </si>
  <si>
    <t xml:space="preserve">guglielmo.scovazzi@duke.edu
</t>
  </si>
  <si>
    <t>s Finite element methods, computational fluid and solid mechanics, multiphase porous media flows, computational methods for fluid and solid materials under extreme load conditions, turbulent flow computations, instability phenomena.</t>
  </si>
  <si>
    <t>Finite element methods, computational fluid , solid mechanics, multiphase porous media flows, computational methods for fluid , solid materials under extreme load conditions, turbulent flow computations, instability phenomena,</t>
  </si>
  <si>
    <t>Adrienne Stiff-Roberts</t>
  </si>
  <si>
    <t>adrienne.stiffroberts@duke.edu</t>
  </si>
  <si>
    <t>s Thin-film deposition, MAPLE, hybrid perovskites, hybrid nanocomposites, organic thin films</t>
  </si>
  <si>
    <t>Thin-film deposition, MAPLE, hybrid perovskites, hybrid nanocomposites, organic thin films</t>
  </si>
  <si>
    <t>Manolis Veveakis</t>
  </si>
  <si>
    <t xml:space="preserve">manolis.veveakis@duke.edu
</t>
  </si>
  <si>
    <t>s Theoretical and applied mechanics, Geomechanics, Irreversible Thermodynamics. Emphasis on the multiphysical modelling of plasticity of solids, solid-fluid interactions, friction laws and rheology of geomaterials</t>
  </si>
  <si>
    <t>Theoretical applied mechanics, Geomechanics, Irreversible Thermodynamics, Emphasis on the multiphysical modelling of plasticity of solids, solid-fluid interactions, friction laws , rheology of geomaterials</t>
  </si>
  <si>
    <t>Benjamin J. Wiley</t>
  </si>
  <si>
    <t>benjamin.wiley@duke.edu</t>
  </si>
  <si>
    <t>Thomas P. Witelski</t>
  </si>
  <si>
    <t>witelski@math.duke.edu</t>
  </si>
  <si>
    <t>Sabino Zani Jr.</t>
  </si>
  <si>
    <t xml:space="preserve">sabino.zani@duke.edu
</t>
  </si>
  <si>
    <t>Ohio State University</t>
  </si>
  <si>
    <t>Abell, Annie</t>
  </si>
  <si>
    <t>abell.9@osu.edu</t>
  </si>
  <si>
    <t>Engineering Design
Product Design
Human-Centered Design
Design Research Methods</t>
  </si>
  <si>
    <t>Engineering Design,
Product Design,
Human-Centered Design,
Design Research Methods</t>
  </si>
  <si>
    <t>Igor Adamovich</t>
  </si>
  <si>
    <t>adamovich.1@osu.edu</t>
  </si>
  <si>
    <t>kinetics of nonequilibrium plasmas and high-speed nonequilibrium reacting flows, molecular energy transfer, plasma-assisted combustion, plasma flow control, molecular lasers, laser diagnostics, and kinetic modeling.</t>
  </si>
  <si>
    <t>kinetics of nonequilibrium plasmas , high-speed nonequilibrium reacting flows, molecular energy transfer, plasma-assisted combustion, plasma flow control, molecular lasers, laser diagnostics, kinetic modeling,</t>
  </si>
  <si>
    <t>Agarwal, Gunjan</t>
  </si>
  <si>
    <t>agarwal.60@osu.edu</t>
  </si>
  <si>
    <t xml:space="preserve">PAgarwal’s research focusses on extracellular matrix (ECM) remodeling via the collagen receptors discoidin domain receptors (DDRs). We seek to answer fundamental questions pertaining to collagen fibrillogenesis and receptor function at the cell-matrix interface. Our approach encompasses a variety of microscopy techniques to understand the structure and function of the ECM in vascular diseases and bone remodeling.
</t>
  </si>
  <si>
    <t>extracellular matrix (ECM) remodeling via the collagen receptors discoidin domain receptors (DDRs)</t>
  </si>
  <si>
    <t>Ahmed, Qadeer</t>
  </si>
  <si>
    <t>ahmed.358@osu.edu</t>
  </si>
  <si>
    <t>Optimal and Learning based Control 
Machine Learning and Data Analytics
Health monitoring, Fault Diagnosis, CyberSecurity 
Connected, Automated, and Energy Efficient Powertrain
Highly Automated Vehicles
Energy Efficient Fleets</t>
  </si>
  <si>
    <t>Optimal , Learning based Control, 
Machine Learning , Data Analytics,
Health monitoring, Fault Diagnosis, CyberSecurity, 
Connected, Automated, Energy Efficient Powertrain,
Highly Automated Vehicles,
Energy Efficient Fleets</t>
  </si>
  <si>
    <t>Aksun Guvenc, Bilin</t>
  </si>
  <si>
    <t>aksunguvenc.1@osu.edu</t>
  </si>
  <si>
    <t>The Automated Driving Lab (ADL) is the main research lab for connected and autonomous driving technologies at the Ohio State University. ADL research application areas are
•Connected Vehicle Application Development and Deployment
•Automated Driving under Adverse Weather Conditions
•Low Speed Autonomous Driving for a Smart City
•Platooning, CACC
Cooperative Collision Avoidance
•Pedestrian Collision Avoidance
•Energy Efficient Connected &amp; Autonomous Vehicles
•UAV and CAV Communication and Cooperation</t>
  </si>
  <si>
    <t>Connected Vehicle Application Development , Deployment,
Automated Driving under Adverse Weather Conditions,
Low Speed Autonomous Driving for a Smart City,
Platooning, CACC,
Cooperative Collision Avoidance,
Pedestrian Collision Avoidance,
Energy Efficient Connected &amp; Autonomous Vehicles,
UAV , CAV Communication , Cooperation</t>
  </si>
  <si>
    <t>Aldemir, Tunc</t>
  </si>
  <si>
    <t>aldemir.1@osu.edu</t>
  </si>
  <si>
    <t xml:space="preserve">Tunc Aldemir's broad area of specialization is nuclear reactor safety, with emphasis on reliability and probabilistic risk assessment (PRA).  His research in PRA focuses on systems which may be difficult to model using conventional techniques, such as those with significant hardware/software/human/process interactions, passive components and/or relying on natural phenomena for safety. He has published more than 250 refereed articles on various deterministic and probabilistic aspects of nuclear reactor safety.  His research efforts have been funded by the U.S. National Science Foundation, U.S. Department of Energy, U.S. Nuclear Regulatory Commission, Idaho National Laboratory, Sandia National Laboratories, and National Aeronautics and Space Administration. 
</t>
  </si>
  <si>
    <t xml:space="preserve"> nuclear reactor safety, reliability , probabilistic risk assessment (PRA)
</t>
  </si>
  <si>
    <t>Atkinson, Chris</t>
  </si>
  <si>
    <t>atkinson.284@osu.edu</t>
  </si>
  <si>
    <t>Smart mobility.
Advanced mobility, transportation and vehicle technologies.
Vehicle automation, vehicle connectivity.
Engine control, calibration and optimization.
Model-based systems.
Machine learning, AI, and artificial neural networks.
Data-driven modeling for control.
Diesel exhaust emissions reduction.
Fuel efficiency improvement and GHG reduction in vehicles.
Alternative fuel and NG utilization.
Hybrid electric vehicle development.
High-efficiency HVAC technologies.
Technology assessment, technical due diligence, innovation, research and development, entrepreneurship, and commercialization in advanced clean and sustainable energy technologies.
Development and deployment of low GHG energy technologies.</t>
  </si>
  <si>
    <t>Smart mobility,
Advanced mobility, transportation , vehicle technologies,
Vehicle automation, vehicle connectivity,
Engine control, calibration , optimization,
Model-based systems,
Machine learning, AI, artificial neural networks,
Data-driven modeling for control,
Diesel exhaust emissions reduction,
Fuel efficiency improvement , GHG reduction in vehicles,
Alternative fuel , NG utilization,
Hybrid electric vehicle development,
High-efficiency HVAC technologies,
Technology assessment, technical due diligence, innovation, research , development, entrepreneurship, commercialization in advanced clean , sustainable energy technologies,
Development , deployment of low GHG energy technologies</t>
  </si>
  <si>
    <t>Bons, Jeffrey</t>
  </si>
  <si>
    <t>bons.2@osu.edu</t>
  </si>
  <si>
    <t>s include
Heat transfer in gas turbines including internal cooling, film cooling, and impingement cooling.
Fouling of gas turbines and implications for aero/thermodynamics of jet engines and power turbines
Flow control applications in low pressure turbines including blowing, suction, and passive control
Flow control applications to static and dynamic airfoils
Dynamic stall of rotorcraft blades with applications of flow control
Effects of surface roughness on aerodynamics and heat transfer</t>
  </si>
  <si>
    <t>Heat transfer in gas turbines including internal cooling, film cooling, impingement cooling,
Fouling of gas turbines , implications for aero/thermodynamics of jet engines , power turbines,
Flow control applications in low pressure turbines including blowing, suction, passive control,
Flow control applications to static , dynamic airfoils,
Dynamic stall of rotorcraft blades with applications of flow control,
Effects of surface roughness on aerodynamics , heat transfer</t>
  </si>
  <si>
    <t>Canova, Marcello</t>
  </si>
  <si>
    <t>canova.1@osu.edu</t>
  </si>
  <si>
    <t>Dr. Canova’s expertise lies in the energy optimization and management of ground vehicle propulsion systems, including internal combustion engines, hybrid-electric drivetrains, energy storage systems, waste heat recovery and thermal management. In these areas, he leads a number of projects funded by, among others, Ford Motor Company, General Motors, Stellantis, the National Science Foundation, ARPA-E and the US Department of Energy.</t>
  </si>
  <si>
    <t>energy optimization , management of ground vehicle propulsion systems,internal combustion engines, hybrid-electric drivetrains, energy storage systems, waste heat recovery , thermal management</t>
  </si>
  <si>
    <t>Cao, Raymond</t>
  </si>
  <si>
    <t>cao.152@osu.edu</t>
  </si>
  <si>
    <t>WBG Semiconductor Radiation Sensor
Nuclear Instrumentation
Radiation Effects and Survivability
Nuclear Voltaic Battery
Reactor and In-pile Instrumentation
Neutron Analytical Techniques (Neutron Depth Profiling for Li-ion Battery, PGNAA)
Neutron Radiography and Tomography</t>
  </si>
  <si>
    <t>WBG Semiconductor Radiation Sensor,
Nuclear Instrumentation,
Radiation Effects , Survivability,
Nuclear Voltaic Battery,
Reactor , In-pile Instrumentation,
Neutron Analytical Techniques,
Neutron Radiography , Tomography,</t>
  </si>
  <si>
    <t>Chen, Jen-Ping</t>
  </si>
  <si>
    <t>chen.1210@osu.edu</t>
  </si>
  <si>
    <t>Cho, Hanna</t>
  </si>
  <si>
    <t>cho.867@osu.edu</t>
  </si>
  <si>
    <t xml:space="preserve">Dr. Cho has strong experimental and theoretical expertise in both fields of micro/nanotechnology and advanced nonlinear dynamics. Her research group, Micro/Nano Multiphysical Dynamics Laboratory (MNMDL), investigates various multiphysical dynamics problems at micro/nanoscales, broadly divided into three main areas (i) exploiting nonlinear characteristics in micro/nano-electro-mechanical systems (MEMS/NEMS), (ii) advancing the state-of-art AFM (Atomic Force Microscopy) techniques to achieve better material characterizations beyond topography, and (iii) applying the capabilities of advanced AFM and microsystems for various material science researches.
</t>
  </si>
  <si>
    <t xml:space="preserve">strong experimental , theoretical expertise in both fields of micro/nanotechnology , advanced nonlinear dynamics, Her research group, Micro/Nano Multiphysical Dynamics Laboratory (MNMDL)
</t>
  </si>
  <si>
    <t>$12,092 per year (in-state, full-time)</t>
  </si>
  <si>
    <t>D'Arpino, Matilde</t>
  </si>
  <si>
    <t>darpino.2@osu.edu</t>
  </si>
  <si>
    <t xml:space="preserve">Her s include design of high-performance electric vehicle, power converters and energy management for multisource power systems (e.g. microgrids, hybrid vehicles, hybrid aircrafts), testing, modeling, design, and control of energy storage for automotive, aerospace and grid-connected systems. She has expertise in grid-connected systems based on automotive second life batteries, including aging characterization and lifetime estimation, electric powertrain for air mobility application, trade off analysis of different lithium-ion battery technologies considering aging.
</t>
  </si>
  <si>
    <t xml:space="preserve"> high-performance electric vehicle, power converters , energy management for multisource power systems (e,g, microgrids, hybrid vehicles, hybrid aircrafts), testing, modeling, design, control of energy storage for automotive, aerospace , grid-connected systems, She has expertise in grid-connected systems based on automotive second life batteries, including aging characterization , lifetime estimation, electric powertrain for air mobility application, trade off analysis of different lithium-ion battery technologies considering aging,
</t>
  </si>
  <si>
    <t>D'Souza, Kiran</t>
  </si>
  <si>
    <t>dsouza.60@osu.edu</t>
  </si>
  <si>
    <t xml:space="preserve">His research focus is in the general field of structural dynamics with an emphasis on turbomachinery modeling and analysis, modeling of complex nonlinear systems, system identification and structural health monitoring, nonlinear feedback control for enhanced sensitivity in detection and sensing, bifurcation forecasting, and, more recently, large-scale rotating turbomachinery experiments at design conditions. The two key research thrusts are (1) the analysis of complex high dimensional cyclic structures found in turbomachinery, and (2) the creation of techniques to efficiently model, analyze, and exploit nonlinearity.
</t>
  </si>
  <si>
    <t>structural dynamics with an emphasis on turbomachinery modeling , analysis, modeling of complex nonlinear systems, system identification , structural health monitoring, nonlinear feedback control for enhanced sensitivity in detection , sensing, bifurcation forecasting, large-scale rotating turbomachinery experiments at design conditions,the analysis of complex high dimensional cyclic structures found in turbomachinery</t>
  </si>
  <si>
    <t>Dapino, Marcelo</t>
  </si>
  <si>
    <t>dapino.1@osu.edu</t>
  </si>
  <si>
    <t>Smart materials and structures
Ultrasonic additive manufacturing</t>
  </si>
  <si>
    <t>Smart materials , structures, Ultrasonic additive manufacturing</t>
  </si>
  <si>
    <t>Dupaix, Rebecca</t>
  </si>
  <si>
    <t>dupaix.1@osu.edu</t>
  </si>
  <si>
    <t>research focuses on the mechanical behavior of polymers and soft biological tissues.</t>
  </si>
  <si>
    <t>research focuses on the mechanical behavior of polymers , soft biological tissues,</t>
  </si>
  <si>
    <t>Gilat, Amos</t>
  </si>
  <si>
    <t>gilat.1@osu.edu</t>
  </si>
  <si>
    <t xml:space="preserve">PGilat specializes in characterization of material properties (deformation and failure) over a wide range of strain rates and temperatures under various loading conditions, and the development of constitutive equations for plastic deformation and fracture. PGilat is the director of the Dynamics Mechanics of Materials Laboratory at OSU. The Lab has unique testing capabilities utilized by many industries for the development and calibration of material models in numerical codes that are used in simulations and design.
</t>
  </si>
  <si>
    <t>characterization of material properties (deformation , failure) over a wide range of strain rates , temperatures under various loading conditions, the development of constitutive equations for plastic deformation , fracture</t>
  </si>
  <si>
    <t>Goswami, Debdipta</t>
  </si>
  <si>
    <t>goswami.78@osu.edu</t>
  </si>
  <si>
    <t>Control Systems Modeling and control of dynamical systems, nonlinear control techniques, optimal and robust control design
Machine Learning Bayesian learning and deePneural network for dynamical systems identification, simultaneous learning and controller design
Aerial Robotics Joint task-based motion planning for unmanned aerial vehicles</t>
  </si>
  <si>
    <t>Control Systems Modeling , control of dynamical systems, nonlinear control techniques, optimal , robust control design,
Machine Learning Bayesian learning , deePneural network for dynamical systems identification, simultaneous learning , controller design</t>
  </si>
  <si>
    <t>Gouma, Pelagia-Iren</t>
  </si>
  <si>
    <t>gouma.2@osu.edu</t>
  </si>
  <si>
    <t xml:space="preserve">Dr. Gouma’s research activities involve the synthesis and characterization of nanomaterials for bio-/chemical sensors and biotechnology as well as the development of artificial olfaction systems (breath analyzers, electronic noses and tongues). Dr. Gouma has established novel and highly successful programs on nanomedicine, with emphasis on the development of non-invasive breath and skin-based diagnostic tools. Another area of her research involves the nanomanufacturing of single crystal ceramic fibers and of self-supported 3D architectures of non-woven preforms for composites. Dr. Gouma has also developed photocatalytic blankets that float on water and produce energy from photochemical water splitting.
</t>
  </si>
  <si>
    <t>nanomaterials for bio-/chemical sensors , biotechnology, artificial olfaction systems (breath analyzers, electronic noses , tongues)</t>
  </si>
  <si>
    <t>Guvenc, Levent</t>
  </si>
  <si>
    <t>guvenc.1@osu.edu</t>
  </si>
  <si>
    <t>Handschuh, Michael</t>
  </si>
  <si>
    <t>handschuh.1@osu.edu</t>
  </si>
  <si>
    <t>Research Specializations Include
Gear scuffing modeling (EHL) and experiments
Gear transmission error measurement and analysis
Gear design
Experimental test setuPdesigner and engineer</t>
  </si>
  <si>
    <t>Gear scuffing modeling (EHL) , experiments,
Gear transmission error measurement , analysis,
Gear design,
Experimental test setuPdesigner , engineer,</t>
  </si>
  <si>
    <t>Hereid, Ayonga</t>
  </si>
  <si>
    <t>hereid.1@osu.edu</t>
  </si>
  <si>
    <t>Robotics exoskeleton and human-assistive devices, bipedal robots and humanoids
Control and dynamics modeling and optimal control design of hybrid dynamical systems
Optimization advanced trajectory optimization of complex systems
Machine learning applications of machine learning algorithms to robust feedback controls</t>
  </si>
  <si>
    <t>Robotics exoskeleton , human-assistive devices, bipedal robots , humanoids,
Control , dynamics modeling , optimal control design of hybrid dynamical systems,
Optimization advanced trajectory optimization of complex systems,
Machine learning applications of machine learning algorithms to robust feedback controls</t>
  </si>
  <si>
    <t>Heremans, Joseph</t>
  </si>
  <si>
    <t>heremans.1@osu.edu</t>
  </si>
  <si>
    <t>Experimental investigation of electron, phonon and spin transport properties, semiconductor, semimetals, topological and magnetic materials and nanostructures. Contributions
The thermal chiral anomaly is a new way for electrons to carry heat. This process applies only to electrons in Weyl semimetals, in which electrons are massless but have a "chirality". In the presence of a temperature gradient, energy (heat) is created by electrons of one chirality, annihilated by electrons of opposite chirality, and this creates a heat transfer mechanism, grounded in quantum mechanics, that dominates all other mechanisms (2021).  It offers the possibility of realizing all-solid-state heat switches.
Goniopolar materials exhibit simultaneous n- and p-type behavior by the same charge carriers (2019).  They enable the construction of transverse thermoelectric generators that don't need electrical contacts at their hot side, and mostly eliminate efficiency losses in contact resistances (2021). 
Phonons in diamagnets respond to magnetic fields (2015)
The giant spin-Seebeck effect in InSb is as large as the largest thermopower values measured (2012).  
Resonant levels increase the thermoelectric figure of merit (2008).
Large thermopowers in quantum wires due to size-quantization (2002-4)
Geometrical magnetoseebeck and magnetoresistance effects – the latter resulted in commercial position sensors used on crank and camshafts by GM (1990s).</t>
  </si>
  <si>
    <t xml:space="preserve">Experimental investigation of electron, phonon , spin transport properties, semiconductor, semimetals, topological , magnetic materials , nanostructures, Contributions, The thermal chiral anomaly is a new way for electrons to carry heat,
Phonons in diamagnets respond to magnetic fields,
Resonant levels increase the thermoelectric figure of merit,
Large thermopowers in quantum wires due to size-quantization ,
Geometrical magnetoseebeck , magnetoresistance effects </t>
  </si>
  <si>
    <t>Hoelzle, David</t>
  </si>
  <si>
    <t>hoelzle.1@osu.edu</t>
  </si>
  <si>
    <t xml:space="preserve">Control systems, dynamics, additive manufacturing, microfluidic devices.
</t>
  </si>
  <si>
    <t xml:space="preserve">Control systems, dynamics, additive manufacturing, microfluidic devices,
</t>
  </si>
  <si>
    <t>Hong, Isaac</t>
  </si>
  <si>
    <t>hong.250@osu.edu</t>
  </si>
  <si>
    <t>Gear and Power Transmission</t>
  </si>
  <si>
    <t>Gear , Power Transmission</t>
  </si>
  <si>
    <t>Horack, John</t>
  </si>
  <si>
    <t>horack.1@osu.edu</t>
  </si>
  <si>
    <t>Spaceflight Engineering
Astronomy and Astrophysics
Leadership
Program and Project Management
Aviation
Economic Development</t>
  </si>
  <si>
    <t>Spaceflight Engineering,Astronomy , Astrophysics,Leadership, Program , Project Management, Aviation,Economic Development</t>
  </si>
  <si>
    <t>Kahraman, Ahmet</t>
  </si>
  <si>
    <t>kahraman.1@osu.edu</t>
  </si>
  <si>
    <t>His research focuses on several areas of power transmission and gearing including gear system design and analysis, gear and transmission dynamics, gear tribology and efficiency, wear and fatigue life prediction, and test methodologies.</t>
  </si>
  <si>
    <t>power transmission , gearing including gear system design , analysis, gear , transmission dynamics, gear tribology , efficiency, wear , fatigue life prediction, test methodologies,</t>
  </si>
  <si>
    <t>Kandlakunta, Praneeth</t>
  </si>
  <si>
    <t>kandlakunta.1@osu.edu</t>
  </si>
  <si>
    <t xml:space="preserve">Applied nuclear and radiation physics - nuclear Instrumentation, radiation detection methods and novel radiation sensor development
Evaluation of novel scintillator and semiconductor materials
Monte Carlo simulations and modeling of radiation interaction with materials, finite element modeling of charge transport in semiconductors
Pulsed X-ray sources </t>
  </si>
  <si>
    <t xml:space="preserve">Applied nuclear , radiation physics - nuclear Instrumentation, radiation detection methods , novel radiation sensor development,
Evaluation of novel scintillator , semiconductor materials,
Monte Carlo simulations , modeling of radiation interaction with materials, finite element modeling of charge transport in semiconductors,
Pulsed X-ray sources </t>
  </si>
  <si>
    <t>Katsube, Noriko</t>
  </si>
  <si>
    <t>katsube.1@osu.edu</t>
  </si>
  <si>
    <t xml:space="preserve">Multiphysics modeling of fluid-filled porous materials, advanced composite materials, statistical fracture mechanics
</t>
  </si>
  <si>
    <t>Multiphysics modeling of fluid-filled porous materials, advanced composite materials, statistical fracture mechanics</t>
  </si>
  <si>
    <t>Khafizov, Marat</t>
  </si>
  <si>
    <t>khafizov.1@osu.edu</t>
  </si>
  <si>
    <t xml:space="preserve">Thermal transport, radiation effects, nuclear fuels, sensors for extreme environments.
</t>
  </si>
  <si>
    <t>Thermal transport, radiation effects, nuclear fuels, sensors for extreme environments</t>
  </si>
  <si>
    <t>Kim, Jung Hyun</t>
  </si>
  <si>
    <t>kim.6776@osu.edu</t>
  </si>
  <si>
    <t xml:space="preserve">His s encompass a wide range of energy-storage materials and devices. His current RProjects, funded by government agencies and industries, focus on innovation of Li-ion materials and systems for improving battery energy density, safety, and lowering the cost. He established Energy Innovation Laboratory located at NanoTech West to perform materials synthesis and battery cell fabrication, testing, and characterization.  
</t>
  </si>
  <si>
    <t xml:space="preserve">energy-storage materials , devices, His current RProjects, funded by government agencies , industries, focus on innovation of Li-ion materials , systems for improving battery energy density, safety, lowering the cost, </t>
  </si>
  <si>
    <t>Kim, Seung Hyun</t>
  </si>
  <si>
    <t>kim.5061@osu.edu</t>
  </si>
  <si>
    <t>Combustion
- Turbulent combustion modeling
- Large eddy simulation and direct numerical simulation of turbulent reacting flows
Electrochemical energy conversion
- Pore-scale simulation of porous electrod</t>
  </si>
  <si>
    <t>Turbulent combustion modeling, Large eddy simulation , direct numerical simulation of turbulent reacting flows, Pore-scale simulation of porous electrod</t>
  </si>
  <si>
    <t>Kumar, Mrinal</t>
  </si>
  <si>
    <t>kumar.672@osu.edu</t>
  </si>
  <si>
    <t>Randomized algorithms for uncertainty quantification
Chance-constrained optimization and control
Applications space situational awareness, autonomous flight</t>
  </si>
  <si>
    <t>Romized algorithms for uncertainty quantification,
Chance-constrained optimization , control,
Applications space situational awareness, autonomous flight,</t>
  </si>
  <si>
    <t>Luscher, Anthony</t>
  </si>
  <si>
    <t>luscher.3@osu.edu</t>
  </si>
  <si>
    <t xml:space="preserve">- fastening, joining, and assembly
- optimization of structures
- computer aided design
</t>
  </si>
  <si>
    <t xml:space="preserve">fastening, joining, assembly, optimization of structures, computer aided design
</t>
  </si>
  <si>
    <t>Mathison, Randall</t>
  </si>
  <si>
    <t>mathison.4@osu.edu</t>
  </si>
  <si>
    <t>Gas Turbines</t>
  </si>
  <si>
    <t>Mazumder, Sandip</t>
  </si>
  <si>
    <t>mazumder.2@osu.edu</t>
  </si>
  <si>
    <t>Computational Fluid Dynamics (CFD)
Thermal Radiation and its applications
Nanoscale (non-equilibrium) Transport Phenomena</t>
  </si>
  <si>
    <t>Computational Fluid Dynamics (CFD), Thermal Radiation, Nanoscale (non-equilibrium) Transport Phenomena</t>
  </si>
  <si>
    <t>McCrink, Matthew</t>
  </si>
  <si>
    <t>mccrink.2@osu.edu</t>
  </si>
  <si>
    <t>Non-Linear System Identification and Control
Novel non-linear real-time system identification and control concepts for fault-tolerant UAS
Embedded systems development focusing on inertial guidance system performance and real-time vehicle plant model estimation
Development and integration of novel sensing schemes to improve plant model estimation
Design, Development, and Flight Testing of Unmanned Aerial Vehicles
Advanced multi-rotor aerodynamic analysis
Low-Reynolds analysis for small-scale propulsion systems
PIV and other advanced diagnostics for rotor-airframe interactions
Wind tunnel testing of integrated propulsion systems
Flight testing of fully-instrumented quadrotor vehicle for force/moment estimations in flight
Atmospheric sensing and micro wind-field modeling for operations in congested urban areas
Long-endurance electric powered fixed wing vehicle design
Long-duration dynamic soaring platform demonstrator 
Application vehicle for system identification and control concepts
Integrated power measurement capabilities and total energy control system for enhanced endurance
High-speed, highly maneuverable aircraft design
Turbojet powered UAS capable of extreme g-loads at high airspeeds
Ultimate demonstration vehicle for real-time system identification and control
Used to set Fédération Aéronautique Internationale (FAI) international speed and distance world record for autonomous flight
Test bed for command and control link design and demonstration
Unmanned Traffic Management (UTM) Systems
Designed, developed, and deployed UTM system along 35 mile smart corridor using ground-based radar systems, spectrum sensors, and sensor fusion systems to present a complete integrated air picture below 1,000 ft AGL. 
Demonstrated machine learning techniques for unknown vehicle identification and classification for non-cooperative target tracking
Lead flight-test pilot and engineer for demonstrating detect and avoid flights
General Aviation Pilot
Private pilot with instrument rating and ~300 hours in numerous general aviation aircraft</t>
  </si>
  <si>
    <t>Non-Linear System Identification , Control,
Novel non-linear real-time system identification , control concepts for fault-tolerant UAS,
Embedded systems development focusing on inertial guidance system performance , real-time vehicle plant model estimation,
Development , integration of novel sensing schemes to improve plant model estimation,
Design, Development, Flight Testing of Unmanned Aerial Vehicles,
Advanced multi-rotor aerodynamic analysis,
Low-Reynolds analysis for small-scale propulsion systems,
PIV , other advanced diagnostics for rotor-airframe interactions,
Wind tunnel testing of integrated propulsion systems,
Flight testing of fully-instrumented quadrotor vehicle for force/moment estimations in flight,
Atmospheric sensing , micro wind-field modeling for operations in congested urban areas,
Long-endurance electric powered fixed wing vehicle design,
Long-duration dynamic soaring platform demonstrator,
Application vehicle for system identification , control concepts,
Integrated power measurement capabilities , total energy control system for enhanced endurance,
High-speed, highly maneuverable aircraft design,
Turbojet powered UAS capable of extreme g-loads at high airspeeds,
Ultimate demonstration vehicle for real-time system identification , control,
Used to set Fédération Aéronautique Internationale (FAI) international speed , distance world record for autonomous flight,
Test bed for comm, , control link design , demonstration,
Unmanned Traffic Management (UTM) Systems,
Designed, developed, deployed UTM system along 35 mile smart corridor using ground-based radar systems, spectrum sensors, sensor fusion systems to present a complete integrated air picture below 1,000 ft AGL, 
Demonstrated machine learning techniques for unknown vehicle identification , classification for non-cooperative target tracking,
Lead flight-test pilot , engineer for demonstrating detect , avoid flights,
General Aviation Pilot,
Private pilot with instrument rating , ~300 hours in numerous general aviation aircraft</t>
  </si>
  <si>
    <t>McNamara, Jack</t>
  </si>
  <si>
    <t>mcnamara.190@osu.edu</t>
  </si>
  <si>
    <t>His s are broadly in the areas of fluid-structural interactions and model reduction of high-dimensional dynamical systems, with an interconnected goal of improving basic understanding and computational methods.</t>
  </si>
  <si>
    <t>fluid-structural interactions , model reduction of high-dimensional dynamical systems, with an interconnected goal of improving basic underst,ing , computational methods,</t>
  </si>
  <si>
    <t>Metzler, Sandra</t>
  </si>
  <si>
    <t>metzler.136@osu.edu</t>
  </si>
  <si>
    <t>patient outcomes, community-based data logging, and AT service delivery models. As a result of our work, we have commercialized several devices with outside partners and investors.</t>
  </si>
  <si>
    <t>patient outcomes, community-based data logging, AT service delivery models</t>
  </si>
  <si>
    <t>Niezgoda, Steve</t>
  </si>
  <si>
    <t>niezgoda.6@osu.edu</t>
  </si>
  <si>
    <t>Prof. Niezgoda s include micromechanical modeling and simulation, constitutive model development, crystal plasticity, experiment and simulation co-design, computational materials design tools and data sciences.</t>
  </si>
  <si>
    <t>micromechanical modeling , simulation, constitutive model development, crystal plasticity, experiment , simulation co-design, computational materials design tools , data sciences,</t>
  </si>
  <si>
    <t>Noll, Scott</t>
  </si>
  <si>
    <t>noll.34@osu.edu</t>
  </si>
  <si>
    <t>Pourboghrat, Farhang</t>
  </si>
  <si>
    <t>pourboghrat.2@osu.edu</t>
  </si>
  <si>
    <t>MATERIALS, MECHANICS, AND MANUFACTURING</t>
  </si>
  <si>
    <t>MATERIALS, MECHANICS, MANUFACTURING</t>
  </si>
  <si>
    <t>Prakash, Shaurya</t>
  </si>
  <si>
    <t>prakash.31@osu.edu</t>
  </si>
  <si>
    <t>Seidt, Jeremy</t>
  </si>
  <si>
    <t>seidt.2@osu.edu</t>
  </si>
  <si>
    <t>Experimental mechanics
High strain rate material testing using the split Hopkinson (Kolsky) Bar apparatus
Intermediate strain rate testing
Impact dynamics
Response of structures to explosive blast loading
Three dimensional digital image correlation for shape and deformation measurements
High speed photography and dynamic optical deformation measurement techniques
The effect of stress state on ductile fracture of metals
Biomechanics of dental implants
Mechanical behavior of dental materials
Constitutive modeling of anisotropic materials
Numerical simulations of impact and blast events using LS-DYNA, a transient dynamic finite element code
Mine safety systems</t>
  </si>
  <si>
    <t>Experimental mechanics,
High strain rate material testing using the split Hopkinson (Kolsky) Bar apparatus,
Intermediate strain rate testing,
Impact dynamics,
Response of structures to explosive blast loading,
Three dimensional digital image correlation for shape , deformation measurements,
High speed photography , dynamic optical deformation measurement techniques,
The effect of stress state on ductile fracture of metals,
Biomechanics of dental implants,
Mechanical behavior of dental materials,
Constitutive modeling of anisotropic materials,
Numerical simulations of impact , blast events using LS-DYNA, a transient dynamic finite element code,
Mine safety systems,</t>
  </si>
  <si>
    <t>Selamet, Ahmet</t>
  </si>
  <si>
    <t>selamet.1@osu.edu</t>
  </si>
  <si>
    <t xml:space="preserve">Prof. Selamet’s research focuses on internal combustion engines, fundamentals of linear/nonlinear wave dynamics, noise and pollutant emission control, internal fluid flows, combustion, fluid mechanics, and heat transfer. For more than three decades, he has performed extensive analytical, computational, and experimental work to understand the unsteady flow and wave dynamics in engine breathing systems (induction/combustion chamber/exhaust.) Throughout this time, his efforts have primarily concentrated on developing and validating models for the breathing system physics to improve the performance and acoustics predictions in engine simulation codes. Prof. Selamet has excelled in combining the analytical and computational approaches in engine modeling with the experiments in the state-of-the-art facilities (Flow, Engine, Acoustics, and Turbocharger Research Laboratories) he has built at the Center for Automotive Research.
</t>
  </si>
  <si>
    <t xml:space="preserve">internal combustion engines, fundamentals of linear/nonlinear wave dynamics, noise , pollutant emission control, internal fluid flows, combustion, fluid mechanics, heat transfer
</t>
  </si>
  <si>
    <t>Shah, Jami</t>
  </si>
  <si>
    <t>shah.493@osu.edu</t>
  </si>
  <si>
    <t xml:space="preserve">Data Science, Applied Machine Learning, Computer aided design and analysis, Design computing &amp; software development, Artificial Intelligence &amp; Knowledge based Systems (AI/KBS) applied to design/manufacturing problems, DfM, geometric tolerance modeling, engineering informatics, Simulation software/FEA, Design theory &amp; methodology, Cognitive studies of creativity &amp; ideation.
</t>
  </si>
  <si>
    <t xml:space="preserve">Data Science, Applied Machine Learning, Computer aided design , analysis, Design computing &amp; software development, Artificial Intelligence &amp; Knowledge based Systems (AI/KBS) applied to design/manufacturing problems, DfM, geometric tolerance modeling, engineering informatics, Simulation software/FEA, Design theory &amp; methodology, Cognitive studies of creativity &amp; ideation,
</t>
  </si>
  <si>
    <t>Siston, Robert</t>
  </si>
  <si>
    <t>siston.1@osu.edu</t>
  </si>
  <si>
    <t xml:space="preserve">orthopaedics (especially of the lower extremity)
neuromuscular biomechanics
computer simulations of human movement
surgical navigation
rehabilitation
hybrid and project-based learning
</t>
  </si>
  <si>
    <t xml:space="preserve">orthopaedics,
neuromuscular biomechanics,
computer simulations of human movement,
surgical navigation,
rehabilitation,
hybrid , project-based learning
</t>
  </si>
  <si>
    <t>Smidts, Carol</t>
  </si>
  <si>
    <t>smidts.1@osu.edu</t>
  </si>
  <si>
    <t>Realibity and risk</t>
  </si>
  <si>
    <t>Realibity, risk</t>
  </si>
  <si>
    <t>Soghrati, Soheil</t>
  </si>
  <si>
    <t>soghrati.1@osu.edu</t>
  </si>
  <si>
    <t>DeePlearning algorithms for predicting material behavior, creating digital twins, and virtual reality applications
Microstructure reconstruction and mesh generation algorithms for the automated modeling of materials with complex geometries
Cancer engineering predicting the risk of bone fracture in cancer patients, bone remodeling, and effect of radiation on bone structure
Modeling multiscale and multiphysics behavior of materials, including damage analyses
Phase field and meshfree methods for simulating localized corrosion processes in alloys
Digital manufacturing of flexible components for automotive applications</t>
  </si>
  <si>
    <t>Deep learning algorithms for predicting material behavior, creating digital twins, virtual reality applications,
Microstructure reconstruction , mesh generation algorithms for the automated modeling of materials with complex geometries,
Cancer engineering predicting the risk of bone fracture in cancer patients, bone remodeling, effect of radiation on bone structure,
Modeling multiscale , multiphysics behavior of materials, including damage analyses,
Phase field , meshfree methods for simulating localized corrosion processes in alloys,
Digital manufacturing of flexible components for automotive applications</t>
  </si>
  <si>
    <t>Song, Jonathan</t>
  </si>
  <si>
    <t>song.1069@osu.edu</t>
  </si>
  <si>
    <t>Microfluidics and microfabrication
Engineering-inspired cancer research
Angiogenesis and vascular biology
Bioengineering</t>
  </si>
  <si>
    <t>Microfluidics , microfabrication,
Engineering-inspired cancer research,
Angiogenesis , vascular biology,
Bioengineering</t>
  </si>
  <si>
    <t>Srinivasan, Manoj</t>
  </si>
  <si>
    <t>srinivasan.88@osu.edu</t>
  </si>
  <si>
    <t>Movement</t>
  </si>
  <si>
    <t>Stockar, Stephanie</t>
  </si>
  <si>
    <t>stockar.1@osu.edu</t>
  </si>
  <si>
    <t xml:space="preserve">Dr. Stockar conducts research is in the areas of modeling and optimization of nonlinear dynamical systems, with focus on automotive applications and energy systems. Her research approach hinges upon the multidisciplinary integration of thermo-fluid sciences with dynamic systems, modeling, optimization and control. Dr. Stockar’s work has been funded by Ford Motor Company, Fiat Chrysler Automobiles, the National Science Foundation, the US Department of Energy and ARPA-E.
</t>
  </si>
  <si>
    <t>modeling , optimization of nonlinear dynamical systems, with focus on automotive applications , energy systems</t>
  </si>
  <si>
    <t>Su, Haijun</t>
  </si>
  <si>
    <t>su.298@osu.edu</t>
  </si>
  <si>
    <t>Compliant mechanisms
Soft/compliant robotics
Design of DNA origami mechanisms and robots
Kinematics
Machine and mechanism design
Virtual/augmented reality
Simulation based and computer-aided design
Numerical methods for solving high order polynomial equations</t>
  </si>
  <si>
    <t>Compliant mechanisms,
Soft/compliant robotics,
Design of DNA origami mechanisms , robots,
Kinematics,
Machine , mechanism design,
Virtual/augmented reality,
Simulation based , computer-aided design,
Numerical methods for solving high order polynomial equations</t>
  </si>
  <si>
    <t>Sutradhar, Alok</t>
  </si>
  <si>
    <t>sutradhar.1@osu.edu</t>
  </si>
  <si>
    <t>Multi-physics Topology Optimization, Electromagnetics Materials
Architected Materials, Meta-materials, Additive Manufacturing, Hypersonic Structure
Laser Damage Mechanics 
Mechanical Design (Functional Graded Material systems, Implant, Medical Devices),
Biomechanics, Biomedical Modeling, Prosthesis Design
Boundary Element Method</t>
  </si>
  <si>
    <t>Multi-physics Topology Optimization, Electromagnetics Materials,
Architected Materials, Meta-materials, Additive Manufacturing, Hypersonic Structure,
Laser Damage Mechanics,
Mechanical Design (Functional Graded Material systems, Implant, Medical Devices),
Biomechanics, Biomedical Modeling, Prosthesis Design,
Boundary Element Method</t>
  </si>
  <si>
    <t>Sutton, Jeffrey</t>
  </si>
  <si>
    <t>sutton.235@osu.edu</t>
  </si>
  <si>
    <t>Turbulent flows and combustion processes
Laser and optical diagnostics
High-speed measurements
Advanced high-resolution optical flow methods
PIV, Rayleigh/Raman scattering, Filtered Rayleigh scattering, PLIF
Multi-phase flows
Vaporization and sprays
particle-laden flows
soot transport
Supersonic flows and propulsion</t>
  </si>
  <si>
    <t>Turbulent flows, combustion processes,
Laser , optical diagnostics,
High-speed measurements,
Advanced high-resolution optical flow methods,
PIV, Rayleigh/Raman scattering, Filtered Rayleigh scattering, PLIF,
Multi-phase flows,
Vaporization , sprays,
particle-laden flows,
soot transport,
Supersonic flows , propulsion</t>
  </si>
  <si>
    <t>Talbot, David</t>
  </si>
  <si>
    <t>talbot.11@osu.edu</t>
  </si>
  <si>
    <t xml:space="preserve">His specific research investigations include load distribution modeling of power transmission components, gear, bearing and power transmission system efficiency modeling and measurement, gear dynamics and vibrations, gear manufacturing process simulation, and failure modes of power transmission components. </t>
  </si>
  <si>
    <t>load distribution modeling of power transmission components, gear, bearing , power transmission system efficiency modeling , measurement, gear dynamics , vibrations, gear manufacturing process simulation, failure modes of power transmission components</t>
  </si>
  <si>
    <t>Tulpule, Punit</t>
  </si>
  <si>
    <t>tulpule.3@osu.edu</t>
  </si>
  <si>
    <t>Model Based Desgin
Control of Dynamical Systems
Autonomous Driving
Safety of autonomous driving
Fuel efficient connected and autonomous vehicles</t>
  </si>
  <si>
    <t>Model Based Desgin,
Control of Dynamical Systems,
Autonomous Driving,
Safety of autonomous driving,
Fuel efficient connected , autonomous vehicles</t>
  </si>
  <si>
    <t>Vasques, Richard</t>
  </si>
  <si>
    <t>vasques.4@osu.edu</t>
  </si>
  <si>
    <t>Neutron transport and diffusion
Fission reactor physics
Transport in stochastic mixtures
Nonclassical transport theory
Advanced modeling and simulations
Radiative transfer in atmospheric clouds
Volume rendering for Computer Graphics
Homogenization techniques</t>
  </si>
  <si>
    <t>Neutron transport , diffusion,
Fission reactor physics,
Transport in stochastic mixtures,
Nonclassical transport theory,
Advanced modeling , simulations,
Radiative transfer in atmospheric clouds,
Volume rendering for Computer Graphics,
Homogenization techniques</t>
  </si>
  <si>
    <t>Wang, Dean</t>
  </si>
  <si>
    <t>wang.12239@osu.edu</t>
  </si>
  <si>
    <t>Transport Theory and Computation
Reactor Physics and Analysis
Computational Thermal Hydraulics
Multiphysics and Multiscale Coupling
Advanced Reactor Design, Modeling and Simulation</t>
  </si>
  <si>
    <t>Transport Theory , Computation
Reactor Physics , Analysis,
Computational Thermal Hydraulics,
Multiphysics , Multiscale Coupling,
Advanced Reactor Design, Modeling , Simulation</t>
  </si>
  <si>
    <t>Wang, Zhenyu</t>
  </si>
  <si>
    <t>wang.8516@osu.edu</t>
  </si>
  <si>
    <t>Computational and Experimental Fluid Dynamics
Aeroacoustics
Thermal Science
Renewable Energy Application
Fluid-Structure-Interaction
Cardiovascular Fluid Dynamics</t>
  </si>
  <si>
    <t>Computational , Experimental Fluid Dynamics,
Aeroacoustics,
Thermal Science,
Renewable Energy Application,
Fluid-Structure-Interaction,
Cardiovascular Fluid Dynamics</t>
  </si>
  <si>
    <t>Webb, Nathan</t>
  </si>
  <si>
    <t>webb.356@osu.edu</t>
  </si>
  <si>
    <t>Plasma-based flow control
UAS fluid dynamics and acoustics
Hypersonic flows and flow control
High-speed air-breathing propulsion
Optical flow diagnostics
Unsteady flows</t>
  </si>
  <si>
    <t>Plasma-based flow control,
UAS fluid dynamics , acoustics,
Hypersonic flows , flow control,
High-speed air-breathing propulsion,
Optical flow diagnostics,
Unsteady flows</t>
  </si>
  <si>
    <t>Whitfield, Clifford</t>
  </si>
  <si>
    <t>whitfield.22@osu.edu</t>
  </si>
  <si>
    <t>Flight vehicle conceptual and preliminary design
Aircraft configuration layout design and drafting
Subsonic through hypersonic wind tunnel testing
Scaled vehicle model construction
Experiential-learning</t>
  </si>
  <si>
    <t>Flight vehicle conceptual , preliminary design,
Aircraft configuration layout design , drafting,
Subsonic through hypersonic wind tunnel testing,
Scaled vehicle model construction,
Experiential-learning</t>
  </si>
  <si>
    <t>Wisniewski, Dan</t>
  </si>
  <si>
    <t>wisniewski.28@osu.edu</t>
  </si>
  <si>
    <t>Wolff, Sarah</t>
  </si>
  <si>
    <t>wolff.357@osu.edu</t>
  </si>
  <si>
    <t xml:space="preserve">Dr. Wolff's expertise is in metal additive manufacturing and laser processing, particularly in the areas of situ monitoring, high-speed X-ray imaging, image processing, and microstructural characterization. Some of her ongoing projects include understanding powder impact during the directed energy deposition process, thermal behavior and changes in metal additive manufacturing, magnetically-assisted additive manufacturing, in situ alloying, and using convolutional neural networks to predict for defects. 
</t>
  </si>
  <si>
    <t xml:space="preserve">metal additive manufacturing , laser processing, particularly in the areas of situ monitoring, high-speed X-ray imaging, image processing, microstructural characterization, Some of her ongoing projects include underst,ing powder impact during the directed energy deposition process, thermal behavior , changes in metal additive manufacturing, magnetically-assisted additive manufacturing
</t>
  </si>
  <si>
    <t>Zhai, Shang</t>
  </si>
  <si>
    <t>zhai.218@osu.edu</t>
  </si>
  <si>
    <t xml:space="preserve">One of the biggest challenges for the 21st century is to meet people’s growing need for affordable energy, while mitigating extreme weather and natural disasters by decreasing greenhouse gas (GHG) emissions at Gigaton (Gt) scale. Thermochemical processes are the only type of Gt-scale technology well-controlled by human beings today. Our mission is to create and develoPgame-changing materials and systems for scalable and sustainable thermochemical energy cycles to helPachieve net zero emissions economy.
</t>
  </si>
  <si>
    <t xml:space="preserve">affordable energy, while mitigating extreme weather , natural disasters by decreasing greenhouse gas (GHG) emissions at Gigaton (Gt) scale, Thermochemical processes are the only type of Gt-scale technology well-controlled by human beings today, Our mission is to create , develoPgame-changing materials , systems for scalable , sustainable thermochemical energy cycles
</t>
  </si>
  <si>
    <t>Zhuang, Mei</t>
  </si>
  <si>
    <t>zhuang.15@osu.edu</t>
  </si>
  <si>
    <t>PZhuang’s research experience and expertise are in applications of computational aeroacoustics (CAA) and computational fluid dynamics (CFD) in automotive and aerospace industries. Her current s include
Aerodynamics and aeroacoustics of wind turbines and drones
Flow control for performance improvements of wind turbines and drones
Flow instability and transition to turbulence</t>
  </si>
  <si>
    <t>expertise are in applications of computational aeroacoustics (CAA) , computational fluid dynamics (CFD) in automotive , aerospace industries,
Aerodynamics , aeroacoustics of wind turbines , drones,
Flow control for performance improvements of wind turbines , drones,
Flow instability , transition to turbulence</t>
  </si>
  <si>
    <t>Detrick, Matthew</t>
  </si>
  <si>
    <t>detrick.6@osu.edu</t>
  </si>
  <si>
    <t>Rice University (Brown)</t>
  </si>
  <si>
    <t>John E. Akin</t>
  </si>
  <si>
    <t>akin@rice.edu</t>
  </si>
  <si>
    <t xml:space="preserve">Adaptive finite element analysis, Computer Aided Design, Computational Mechanics
</t>
  </si>
  <si>
    <t>Raudel Avila</t>
  </si>
  <si>
    <t>roavila@rice.edu</t>
  </si>
  <si>
    <t xml:space="preserve">Dr. Avila’s research centers on modeling and simulation of bioelectronics for health care and biomedical applications. His research laboratory aims to develoPa theoretical and computational framework to study the scalability, packaging, power limitations, tissue interactions and energy absorption in bioelectronic devices. He is interested in developing bioelectronic design concepts to yield ingenious mechanical capabilities with sufficient electromagnetic efficiency at the material-level and device-level for wireless signal sensing, mechanics manipulation, CPmaging, and energy harvesting applications. Inspired by the potential to advance patient care by levering engineering concepts, Dr. Avila’s research aims to expand bioelectronics capabilities by combining mechanics, materials, and electromagnetics design in emerging applications including dissolvable pacemakers, sweat collection microfluidic devices, ultra-soft biosensors for NICU and PICU patients, implantable optogenetic devices, bioresorbable temperature sensors and pacemakers, miniaturized pressure sensors for prosthetics, and drug delivery technologies.
</t>
  </si>
  <si>
    <t>modeling , simulation of bioelectronics for health care , biomedical applications, His research laboratory aims to develoPa theoretical , computational framework to study the scalability, packaging, power limitations, tissue interactions , energy absorption in bioelectronic devices, He is interested in developing bioelectronic design concepts to yield ingenious mechanical capabilities with sufficient electromagnetic efficiency at the material-level , device-level for wireless signal sensing, mechanics manipulation</t>
  </si>
  <si>
    <t>Yildiz Bayazitoglu</t>
  </si>
  <si>
    <t>bayaz@rice.edu</t>
  </si>
  <si>
    <t xml:space="preserve">Convective heat transfer with phase change, heat transfer in radiatively participating medium, micro and nano scale heat transfer, development of bioheat equation, advanced thermal manufacturing with emphasis on containerless processing and fuel cell microreformer design and thermal oil well heat transfer analysis.
</t>
  </si>
  <si>
    <t>Convective heat transfer with phase change, heat transfer in radiatively participating medium, micro , nano scale heat transfer, development of bioheat equation, advanced thermal manufacturing with emphasis on containerless processing , fuel cell microreformer design , thermal oil well heat transfer analysis,</t>
  </si>
  <si>
    <t>Matthew Brake</t>
  </si>
  <si>
    <t>brake@rice.edu</t>
  </si>
  <si>
    <t xml:space="preserve">Structural dynamics, contact mechanics, impact mechanics, fatigue, failure, tribology, numerical methods, uncertainty quantification.
</t>
  </si>
  <si>
    <t xml:space="preserve">Structural dynamics, contact mechanics, impact mechanics, fatigue, failure, tribology, numerical methods, uncertainty quantification,
</t>
  </si>
  <si>
    <t>Roberto Dugnani</t>
  </si>
  <si>
    <t>rd55@rice.edu</t>
  </si>
  <si>
    <t>B.J. Fregly</t>
  </si>
  <si>
    <t>fregly@rice.edu</t>
  </si>
  <si>
    <t xml:space="preserve">Development and optimization of patient-specific computational neuromusculoskeletal models to 1) Design personalized orthopedic cancer surgeries that maximize post-surgery walking function. 2) Design personalized robotic neurorehabilition treatments that maximize recovery of arm function for individuals post-stroke. 3) Predict achievable improvements in walking function, and how to elicit them, for individuals post-stroke. 4) Design personalized exoskeleton passive and active control systems that maximize walking function for individuals with spinal cord injury.
</t>
  </si>
  <si>
    <t xml:space="preserve">Development , optimization of patient-specific computational neuromusculoskeletal models </t>
  </si>
  <si>
    <t>Fathi H. Ghorbel</t>
  </si>
  <si>
    <t>ghorbel@rice.edu</t>
  </si>
  <si>
    <t xml:space="preserve">Dr. Ghorbel's scholarly interests are in the field of dynamic systems and control. He devises analytical tools from systems and control theory, and dynamical systems and differential equation theory to analyze, model, and control a variety of complex dynamic systems. His main research activities are in the areas of robotics, mechanical systems, and biomedical systems. His research is characterized by an emphasis on developing analytical methods while giving equal importance to simulation and experimental verification in the laboratory. Dr. Ghorbel's RProgram covers projects in robotics, nanomanipulation, robotic rehabilitation, in-pipe robotics, swimming robots, and modeling and control of complex mechanical systems. RiSYS lab is currently focusing on robotic applications in the energy sector. The in-pipe robotic program focuses on the fundamentals of robotic locomotion, sensing and inspection inside pipes. The lab designed the first robot to inspect coiled tubing and boiler tubing from the inside. In contrast to Hall Effect (point) sensing, the lab is developing a novel general (area) MFL magneto-optical sensing technique that promises to make pipe robotic defect identification (inverse problem) mathematically tractable and industrially practical. The swimming robotic program focuses on developing AUVs for subsea inspection, intervention, and oil &amp; gas exploration. This entails fundamental research in thrusting, sensing, communication, localization and mapping for the objective of developing AUVs suitable for subsea tight space maneuvering and forceful interaction applications. Mantaray is RiSYS’ first AUV prototype that is initially being tailored to oil tank inspection while in-service.
</t>
  </si>
  <si>
    <t>dynamic systems , control, He devises analytical tools from systems , control theory, dynamical systems , differential equation theory to analyze, model, control a variety of complex dynamic systems</t>
  </si>
  <si>
    <t>Pedram Hassanzadeh</t>
  </si>
  <si>
    <t>Adjunct Associate P</t>
  </si>
  <si>
    <t>pedram@rice.edu</t>
  </si>
  <si>
    <t xml:space="preserve">Dr. Hassanzadeh studies turbulent flows and chaotic dynamical systems in complex natural phenomena and engineering systems using numerical, mathematical, and deePlearning methods, guided by observational and experimental data. His work is often motivated by theoretical and applied problems related to environment and energy. Examples of problems of interest are environmental and geophysical flows, extreme weather events (e.g., heat waves, hurricanes), reduced-order modeling, atmospheric turbulence, and climate modeling. His research has been supported by NASA, NSF, ONR, National Academy of Sciences, Schmidt Futures, Mitsubishi Electric Research Lab, Microsoft AI, Rice University Creative Ventures, and Rice Houston Engagement and Recovery Effort.
</t>
  </si>
  <si>
    <t xml:space="preserve"> turbulent flows , chaotic dynamical systems in complex natural phenomena , engineering systems using numerical, mathematical, deePlearning methods, guided by observational , experimental data
</t>
  </si>
  <si>
    <t>C. Fred Higgs III</t>
  </si>
  <si>
    <t>higgs@rice.edu</t>
  </si>
  <si>
    <t xml:space="preserve">Dr. Higgs conducts particulate flow modeling and experimental research that utilizes the basic principles of tribology, fluid and rheological mechanics. His Particulate Flow &amp; Tribology Laboratory studies three different flows found in sliding contact interfaces Slurry flows Powder flows Granular flows These three dynamic flows involve nanometer, micrometer, and millimeter size particles flowing in a fluid medium. In the field known as Tribology- the study of friction, lubrication, and wear- these flows have each been studied for their ability to act as lubricants between mating surfaces, or as “reverse-lubricants”, as is the case with slurries in integrated circuit (IC) manufacturing. One of the projects PHiggs is working on uses slurry flows with nanometer size particles to manufacture magnetic hard disk surfaces to near atomically-smooth levels for the purpose of developing extremely high capacity information storage systems. To achieve this, his team employs chemical mechanical polishing (CMP), a semiconductor manufacturing process used to engineer the surface to nanoscale roughness. Pursuant to the international semiconductor roadmap, his grouPis also working to achieve uniform material removal of copper, barrier, and dielectric layers on semiconductor wafers during CMP. In studying powder flows, the grouPis researching and developing high-speed, oil-free, rotating mechanical systems that will use powder as lubricants. In granular flows, nearly-elastic particles are set in colliding motion to accommodate the relative velocity between two sliding surfaces. Developing and modeling granular lubrication flow experiments would significantly advance particle flow research being conducted in the biomedical, agricultural, and geological science communities. Overall, the Particulate Flow &amp; Tribology Laboratory will research and develoPinnovative mechanical and electrical technologies that are processed or protected by particulate flows.
</t>
  </si>
  <si>
    <t>flow modeling , experimental research that utilizes the basic principles of tribology, fluid , rheological mechanics</t>
  </si>
  <si>
    <t>Peter B. Lillehoj</t>
  </si>
  <si>
    <t>lillehoj@rice.edu</t>
  </si>
  <si>
    <t xml:space="preserve">Dr. Lillehoj’s research focuses on the development and translation of microfluidic and BioMEMS technologies for broad applications in medical diagnostics, environmental monitoring and global health. To achieve this goal, his laboratory explores new strategies to design, fabricate and integrate microfluidic and biosensing components to create innovative diagnostic platforms that are less expensive, easier to use and offer enhanced functionality compared with current laboratory-based technologies. He also has interests in the development of wearable biosensors for disease diagnosis and health monitoring, and point-of-care diagnostics for malaria detection and screening.
</t>
  </si>
  <si>
    <t xml:space="preserve"> translation of microfluidic , BioMEMS technologies for broad applications in medical diagnostics, environmental monitoring , global health,
</t>
  </si>
  <si>
    <t>Andrew J. Meade</t>
  </si>
  <si>
    <t>meade@rice.edu</t>
  </si>
  <si>
    <t xml:space="preserve">Dr. Meade's research is in the field of experimental and numerical aerodynamics. At extreme angles of incidence, aircraft are subjected to pressure forces caused by the separation of the boundary layer. This phenomenon still defies accurate prediction by computer. Using topological theory, Dr. Meade is developing a method to describe and predict flow separation patterns and surface pressure distribution. This will helPengineers construct devices that will allow pilots to control their aircraft better by alleviating or even eliminating pressure forces. In related work, Dr. Meade is applying the relatively new fields of neuromcomputing to experimental fluid dynamics. Neurocomputing, a subdiscipline of artificial intelligence, attempts to mimic information processing of biological neural systems by digital computer. Dr. Meade has demonstrated that it is possible to solve, with computational efficiency, some of the ordinary and partial differential equations used in fluid dynamic modeling. His goal is to apply this methodology to problems of flow simulation, data analysis, sensor fusion, pattern recognition, and machine vision for experimental aerodynamics. Benefits of this research are expected to go beyond experimental aerodynamics into such areas as autonomous robots, high-speed adaptive aircraft control, and artificial limbs. It may also lead to the construction of special purpose computers that operate on a single silicon chip. Dr. Meade's work is supported by NASA/Langley Research Center.
</t>
  </si>
  <si>
    <t xml:space="preserve"> experimental and numerical aerodynamics</t>
  </si>
  <si>
    <r>
      <rPr>
        <u/>
        <sz val="10"/>
        <color rgb="FF000000"/>
        <rFont val="Arial"/>
        <family val="2"/>
      </rPr>
      <t xml:space="preserve">Chair - </t>
    </r>
    <r>
      <rPr>
        <u/>
        <sz val="10"/>
        <color rgb="FF000000"/>
        <rFont val="Arial"/>
        <family val="2"/>
      </rPr>
      <t>Marcia O'Malley</t>
    </r>
  </si>
  <si>
    <t>omalleym@rice.edu</t>
  </si>
  <si>
    <t xml:space="preserve">Marcia O’Malley’s research addresses issues that arise when humans physically interact with robotic systems, with a focus on training and rehabilitation in virtual environments. The main goal of this research is to develoPand demonstrate an adaptive training algorithm based on the display of artificial force cues within a simulated environment. These cues, displayed via an arm exoskeleton haptic feedback device, will convey additional information to the trainee beyond the physical laws that govern the simulated environment, such as desired trajectories within the environment, desired exploration speeds, and suitable interaction forces during task completion. The adaptive training algorithm will tune itself based on the individual's performance.
</t>
  </si>
  <si>
    <t xml:space="preserve"> robotic systems, with a focus on training , rehabilitation in virtual environments
</t>
  </si>
  <si>
    <t>$54,100 per year (full-time)</t>
  </si>
  <si>
    <t>Daniel J. Preston</t>
  </si>
  <si>
    <t>djp@rice.edu</t>
  </si>
  <si>
    <t>The Preston Innovation Laboratory (PI Lab) conducts interdisciplinary research at the intersection of energy, materials, and fluids.
Energy In the face of growing concerns over depletion of nonrenewable resources and climate change, energy research is crucial. We approach this topic from several directions, including enhanced efficiency for power generation and recovery of waste heat and work. We also develoPthermal management technologies to enable high-powered electronics, both for military and civilian applications.
Materials The set of available materials limits the design and capability of engineered systems, by introducing new, functional materials, we aim to expand the realm of possibilities. We use existing materials in previously-untested application spaces – for example, the use of soft materials for grippers and actuators has dramatically expanded the capabilities of robots over the past decade. We also develoPand test completely new materials that induce unique, unprecedented fluid-solid interactions.　
Fluids Fluid mechanics governs a vast array of natural phenomena, many of which we have adopted for man-made applications. Several examples of these biomimetic designs include superhydrophobic materials, based on the lotus leaf, and lubricant infused surfaces, inspired by the pitcher plant, both of these surfaces shed liquid droplets readily, enabling applications in fluid repellency. Other applications benefit from a high fluid affinity for a solid surface, which, on a structured or porous surface, is termed “wicking” (like the wick of an oil lamp). We study both of these regimes of fluid-solid interaction, as well as active control of fluids by methods like electrowetting.</t>
  </si>
  <si>
    <t>The Preston Innovation Laboratory (PI Lab) conducts interdisciplinary research at the intersection of energy, materials, fluids,
Energy In the face of growing concerns over depletion of nonrenewable resources , climate change, energy research is crucial, We approach this topic from several directions, including enhanced efficiency for power generation , recovery of waste heat , work, We also develoPthermal management technologies to enable high-powered electronics, both for military , civilian applications,
Materials The set of available materials limits the design , capability of engineered systems, by introducing new, functional materials, we aim to exp, the realm of possibilities, We use existing materials in previously-untested application spaces – for example, the use of soft materials for grippers , actuators has dramatically exp,ed the capabilities of robots over the past decade, We also develoP, test completely new materials that induce unique, unprecedented fluid-solid interactions,　
Fluids Fluid mechanics governs a vast array of natural phenomena, many of which we have adopted for man-made applications, Several examples of these biomimetic designs include superhydrophobic materials, based on the lotus leaf, lubricant infused surfaces, inspired by the pitcher plant, both of these surfaces shed liquid droplets readily, enabling applications in fluid repellency, Other applications benefit from a high fluid affinity for a solid surface, which, on a structured or porous surface, is termed “wicking” (like the wick of an oil lamp), We study both of these regimes of fluid-solid interaction, as well as active control of fluids by methods like electrowetting,</t>
  </si>
  <si>
    <t>Vanessa Sanchez</t>
  </si>
  <si>
    <t>v.s@rice.edu</t>
  </si>
  <si>
    <t xml:space="preserve">Materials, Manufacturing, Robotics, Textiles, Polymers, Wearables
</t>
  </si>
  <si>
    <t>Laura Schaefer</t>
  </si>
  <si>
    <t>Laura.Schaefer@rice.edu</t>
  </si>
  <si>
    <t xml:space="preserve">Dr. Laura Schaefer’s research centers on the analysis, design and optimization of energy systems, with an emphasis on improving energy efficiency and diversification for increased sustainability. This area of research is rapidly becoming even more important, since our energy requirements are growing while our natural resources are being depleted. To that end, Dr. Schaefer’s research approach has been to examine energy systems both from a fundamentals viewpoint and in a societal/environmental context. These systems include absorption cycles, fuel cells, two-phase microchannel flow, multijunction solar cells, hydrokinetics, and thermoacoustics. Although these topics may initially seem disparate, they are unified through the application of rigorous thermofluid modeling techniques (including the lattice Boltzmann method) both on the small scale and at the continuum level. Dr. Schaefer’s research has received over $11 million in funding by organizations such as NSF, AFOSR, ASHRAE, PITA, and NCIIA.
</t>
  </si>
  <si>
    <t xml:space="preserve">optimization of energy systems, with an emphasis on improving energy efficiency , diversification for increased sustainability
</t>
  </si>
  <si>
    <t>Pol D. Spanos</t>
  </si>
  <si>
    <t>spanos@rice.edu</t>
  </si>
  <si>
    <t xml:space="preserve">Digital Signal Processing and Simulation Theory and Diverse Applications, Dynamical Systems Parameters Identification and Response Determination, and Performance/Safety Assessment for Statics and Dynamics Problems in Aerospace, Biomedical, Forensic(standard of care/intellectual property), Marine, Petroleum, and Structural Engineering.
</t>
  </si>
  <si>
    <t xml:space="preserve">Digital Signal Processing , Simulation Theory , Diverse Applications, Dynamical Systems Parameters Identification , Response Determination, Performance/Safety Assessment for Statics , Dynamics Problems in Aerospace, Biomedical, Forensic(st,ard of care/intellectual property), Marine, Petroleum, Structural Engineering,
</t>
  </si>
  <si>
    <t>Tayfun E. Tezduyar</t>
  </si>
  <si>
    <t>tezduyar@rice.edu</t>
  </si>
  <si>
    <t xml:space="preserve">Dr. Tezduyar's areas of research expertise include computational fluid-structure interaction (FSI), cardiovascular FSI, heart valve computational flow analysis, spacecraft parachute FSI, bioinspired flapping-wing aerodynamics, aerodynamics of wind turbines, thermo-fluid analysis of ground vehicles, tires and disk brakes, flow analysis of turbochargers and other turbomachinery, and aerodynamics and structural mechanics of ram-air parachutes. His expertise also includes air circulation and contaminant dispersion, fluid-particle interaction, free-surface and two-fluid flows, moving boundaries and interfaces, computational fluid mechanics, finite element methods, stabilized formulations, multiscale methods, and parallel computing. Dr. Tezduyar pioneered stabilized finite element methods for compressible flows, space-time finite element methods for FSI and fluid-particle interaction, and parachute FSI analysis methods for the nation's new-generation spacecraft program. Dr. Tezduyar and his team brought parachute analysis to a new era in sophistication of the methods developed, reliability of the analysis, and helping with the performance evaluation, test guidance and design of the parachutes. The space-time and FSI methods he pioneered have been powerful and reliable in extensive computational analysis performed by his team and collaborators for challenging biomechanics problems, with emphasis on cardiovascular fluid mechanics, including cerebral aneurysms, aortas and heart valves. With the space-time and FSI methods, his team and collaborators have brought powerful and reliable computational analysis also to many other classes of challenging problems. The classes of problems include bioinspired flapping-wing aerodynamics, wind-turbine aerodynamics, thermo-fluid analysis of ground vehicles, tires and disk brakes, flow analysis of turbochargers and other turbomachinery, and aerodynamics and structural mechanics of ram-air parachutes.
</t>
  </si>
  <si>
    <t xml:space="preserve"> computational fluid-structure interaction (FSI), cardiovascular FSI, heart valve computational flow analysis, spacecraft parachute FSI, bioinspired flapping-wing aerodynamics, aerodynamics of wind turbines, thermo-fluid analysis of ground vehicles, tires , disk brakes, flow analysis of turbochargers , other turbomachinery, aerodynamics , structural mechanics of ram-air parachutes, air circulation , contaminant dispersion, fluid-particle interaction, free-surface , two-fluid flows, moving boundaries , interfaces, computational fluid mechanics, finite element methods, stabilized formulations, multiscale methods, parallel computing</t>
  </si>
  <si>
    <t>David Trevas</t>
  </si>
  <si>
    <t>dat7@rice.edu</t>
  </si>
  <si>
    <t>Geoff Wehmeyer</t>
  </si>
  <si>
    <t>geoff.wehmeyer@rice.edu</t>
  </si>
  <si>
    <t xml:space="preserve">Dr. Wehmeyer uses experimental and theoretical techniques to study heat transfer, with an emphasis on nanoscale heat conduction. This research is motivated by applications such as microelectronic thermal management, solid-state energy conversion, and heat-assisted magnetic recording, all of which require a detailed understanding of how heat is conducted through nanostructures and across interfaces. Dr. Wehmeyer seeks to first understand the mechanisms of heat transfer at small lengthscales, and then to use this fundamental knowledge in the design of macroscopic thermal management and energy conversion technologies. RProjects of current interest include developing ultra-high spatial resolution temperature mapping tools, measuring thermal properties of anisotropic thin films, modeling heat transport in superlattices, and building active and nonlinear thermal systems for improved thermal control.
</t>
  </si>
  <si>
    <t xml:space="preserve"> theoretical techniques to study heat transfer, with an emphasis on nanoscale heat conduction</t>
  </si>
  <si>
    <t>Columbia University (Fu Foundation)</t>
  </si>
  <si>
    <t>SUNIL K. AGRAWAL</t>
  </si>
  <si>
    <t>sunil.agrawal@columbia.edu</t>
  </si>
  <si>
    <t>REHABILITATION ROBOTICS, DYNAMIC, CONTROL, OPTIMIZATION, DIFFERENTIAL FLATNESS</t>
  </si>
  <si>
    <t>GERARD A. ATESHIAN</t>
  </si>
  <si>
    <t>ateshian@columbia.edu</t>
  </si>
  <si>
    <t xml:space="preserve">THEORETICAL AND EXPERIMENTAL ANALYSIS OF ARTICULAR CARTILAGE MECHANICS AND LUBRICATION, CARTILAGE TISSUE ENGINEERING AND BIOREACTOR DESIGN, GROWTH AND REMODELING OF BIOLOGICAL TISSUES, CELL MECHANICS, MIXTURE THEORY FOR BIOLOGICAL TISSUES THEORY, , EXPERIMENTS, AND COMPUTATIONAL ANALYSIS
</t>
  </si>
  <si>
    <t xml:space="preserve">THEORETICAL , EXPERIMENTAL ANALYSIS OF ARTICULAR CARTILAGE MECHANICS , LUBRICATION, CARTILAGE TISSUE ENGINEERING , BIOREACTOR DESIGN, GROWTH , REMODELING OF BIOLOGICAL TISSUES, CELL MECHANICS, MIXTURE THEORY FOR BIOLOGICAL TISSUES THEORY, , EXPERIMENTS, COMPUTATIONAL ANALYSIS
</t>
  </si>
  <si>
    <t>MARY BOYCE</t>
  </si>
  <si>
    <t>provost@columbia.edu</t>
  </si>
  <si>
    <t xml:space="preserve">MECHANICS OF MATERIALS, MOLECULAR AND NANOMECHANICS OF HUMAN-MADE AND NATURAL POLYMERS, SOFT COMPOSITES, NATURAL MATERIALS, BIO-INSPIRED MATERIALS
</t>
  </si>
  <si>
    <t xml:space="preserve">MECHANICS OF MATERIALS, MOLECULAR , NANOMECHANICS OF HUMAN-MADE , NATURAL POLYMERS, SOFT COMPOSITES, NATURAL MATERIALS, BIO-INSPIRED MATERIALS
</t>
  </si>
  <si>
    <t>#28 - Mechanical Engineering</t>
  </si>
  <si>
    <t>MICHAEL BURKE</t>
  </si>
  <si>
    <t>mpburke@columbia.edu</t>
  </si>
  <si>
    <t xml:space="preserve">COMBUSTION, ENERGY CONVERSION, GAS-PHASE PHYSICAL CHEMISTRY, MULTISCALE MODELING, AUTONOMOUS SCIENCE, UNCERTAINTY QUANTIFICATION
</t>
  </si>
  <si>
    <t>MATEI CIOCARLIE</t>
  </si>
  <si>
    <t>matei.ciocarlie@columbia.edu</t>
  </si>
  <si>
    <t xml:space="preserve">ROBOTIC HAND DESIGNS AND CONTROL, AUTONOMOUS AND HUMAN-IN-THE-LOOPMOBILE MANIPULATION, SHARED AUTONOMY, TELEOPERATION, AND ASSISTIVE ROBOTICS
</t>
  </si>
  <si>
    <t xml:space="preserve">ROBOTIC H, DESIGNS , CONTROL, AUTONOMOUS , HUMAN-IN-THE-LOOPMOBILE MANIPULATION, SHARED AUTONOMY, TELEOPERATION, ASSISTIVE ROBOTICS
</t>
  </si>
  <si>
    <t>JAMES HONE</t>
  </si>
  <si>
    <t>jh2228@columbia.edu</t>
  </si>
  <si>
    <t xml:space="preserve">NANOSCALE MATERIALS, TWO-DIMENSIONAL MATERIALS, MECHANICAL PROPERTIES, NANO-ELECTRONICS, NANO-ELECTROMECHANICAL SYSTEMS, MECHANO-BIOLOGY
</t>
  </si>
  <si>
    <t>BIANCA HOWARD</t>
  </si>
  <si>
    <t>b.howard@columbia.edu</t>
  </si>
  <si>
    <t xml:space="preserve">BUILDING ENERGY MODELING AND SIMULATION, OPTIMIZATION FOR DESIGN AND CONTROL, BUILDING ENERGY FLEXIBILITY, URBAN BUILDING ENERGY MODELING, NET-ZERO EMISSIONS BUILDING DESIGN AND OPERATION
</t>
  </si>
  <si>
    <t xml:space="preserve">BUILDING ENERGY MODELING , SIMULATION, OPTIMIZATION FOR DESIGN , CONTROL, BUILDING ENERGY FLEXIBILITY, URBAN BUILDING ENERGY MODELING, NET-ZERO EMISSIONS BUILDING DESIGN , OPERATION
</t>
  </si>
  <si>
    <t>KAREN E. KASZA</t>
  </si>
  <si>
    <t>karen.kasza@columbia.edu</t>
  </si>
  <si>
    <t xml:space="preserve">CELL AND TISSUE BIOMECHANICS, MORPHOGENESIS, SELF-ORGANIZATION, MECHANOBIOLOGY, BIOPHYSICS, SOFT MATERIALS, DEVELOPMENTAL BIOLOGY.
</t>
  </si>
  <si>
    <t xml:space="preserve">CELL , TISSUE BIOMECHANICS, MORPHOGENESIS, SELF-ORGANIZATION, MECHANOBIOLOGY, BIOPHYSICS, SOFT MATERIALS, DEVELOPMENTAL BIOLOGY,
</t>
  </si>
  <si>
    <t>JEFFREY W. KYSAR</t>
  </si>
  <si>
    <t>jk2079@columbia.edu</t>
  </si>
  <si>
    <t xml:space="preserve">MECHANICAL PROPERTIES AND MECHANICS OF TWO-DIMENSIONAL MATERIALS, DEFECT EVOLUTION DURING METAL PLASTICITY, NANOSCALE AND MICROSCALE FABRICATION AND 3D PRINTING, MECHANICAL ENGINEERING.
</t>
  </si>
  <si>
    <t xml:space="preserve">MECHANICAL PROPERTIES , MECHANICS OF TWO-DIMENSIONAL MATERIALS, DEFECT EVOLUTION DURING METAL PLASTICITY, NANOSCALE , MICROSCALE FABRICATION , 3D PRINTING, MECHANICAL ENGINEERING,
</t>
  </si>
  <si>
    <t>QIAO LIN</t>
  </si>
  <si>
    <t>qlin@columbia.edu</t>
  </si>
  <si>
    <t xml:space="preserve">MICROELECTROMECHANICAL SYSTEMS (MEMS), MICROFLUIDICS AND NANOFLUIDICS, MICRO- AND NANOBIOSENSING, AND BIOMOLECULAR NANOTECHNOLOGY
</t>
  </si>
  <si>
    <t xml:space="preserve">MICROELECTROMECHANICAL SYSTEMS (MEMS), MICROFLUIDICS , NANOFLUIDICS, MICRO- , NANOBIOSENSING, BIOMOLECULAR NANOTECHNOLOGY
</t>
  </si>
  <si>
    <t>HOD LIPSON</t>
  </si>
  <si>
    <t>hod.lipson@columbia.edu</t>
  </si>
  <si>
    <t xml:space="preserve">ROBOTICS, ARTIFICIAL INTELLIGENCE, DIGITAL MANUFACTURING, 3D PRINTING
</t>
  </si>
  <si>
    <t>RICHARD LONGMAN</t>
  </si>
  <si>
    <t>rwl4@columbia.edu</t>
  </si>
  <si>
    <t xml:space="preserve">DYNAMICS AND CONTROL INCLUDING LEARNING, REPETITIVE, AND OPTIMAL CONTROL THEORY AND APPLICATIONS, SYSTEM IDENTIFICATION, ROBOTICS IN SPACE, SATELLITE ALTITUDE AND SHAPE CONTROL
</t>
  </si>
  <si>
    <t xml:space="preserve">DYNAMICS , CONTROL INCLUDING LEARNING, REPETITIVE, OPTIMAL CONTROL THEORY , APPLICATIONS, SYSTEM IDENTIFICATION, ROBOTICS IN SPACE, SATELLITE ALTITUDE , SHAPE CONTROL
</t>
  </si>
  <si>
    <t>$2,362 per credit (full-time)</t>
  </si>
  <si>
    <t>VIJAY MODI</t>
  </si>
  <si>
    <t>modi@columbia.edu</t>
  </si>
  <si>
    <t xml:space="preserve">ENERGY RESOURCES AND ENERGY CONVERSION TECHNOLOGIES, ENERGY INFRASTRUCTURE DESIGN AND PLANNING, SOLAR ENERGY, ENERGY EFFICIENCY IN AGRICULTURE, AND DATA ANALYTICS SPANNING URBAN SETTINGS TO REMOTE RURAL SETTINGS.
</t>
  </si>
  <si>
    <t xml:space="preserve">ENERGY RESOURCES , ENERGY CONVERSION TECHNOLOGIES, ENERGY INFRASTRUCTURE DESIGN , PLANNING, SOLAR ENERGY, ENERGY EFFICIENCY IN AGRICULTURE, DATA ANALYTICS SPANNING URBAN SETTINGS TO REMOTE RURAL SETTINGS,
</t>
  </si>
  <si>
    <t>KRISTIN M. MYERS</t>
  </si>
  <si>
    <t>kmm2233@columbia.edu</t>
  </si>
  <si>
    <t xml:space="preserve">EXPERIMENTAL AND THEORETICAL MECHANICS OF SOFT BIOLOGICAL TISSUE, FINITE ELEMENT MODELING OF PREGNANCY, MECHANICS OF TISSUE GROWTH AND REMODELING, DEVELOPMENT OF CP RISK-STRATIFICATION BASED ON MECHANICAL THRESHOLD BIOMARKERS FOR PRETERM BIRTH,, PRECISE CPNTERVENTION DEVELOPMENT FOR PRETERM BIRTH.
</t>
  </si>
  <si>
    <t xml:space="preserve">EXPERIMENTAL , THEORETICAL MECHANICS OF SOFT BIOLOGICAL TISSUE, FINITE ELEMENT MODELING OF PREGNANCY, MECHANICS OF TISSUE GROWTH , REMODELING, DEVELOPMENT OF CP RISK-STRATIFICATION BASED ON MECHANICAL THRESHOLD BIOMARKERS FOR PRETERM BIRTH,, PRECISE CPNTERVENTION DEVELOPMENT FOR PRETERM BIRTH,
</t>
  </si>
  <si>
    <t>ARVIND NARAYANASWAMY</t>
  </si>
  <si>
    <t>an2288@columbia.edu</t>
  </si>
  <si>
    <t xml:space="preserve">THEORETICAL INVESTIGATION OF ELECTROMAGNETIC NEAR-FIELD INTERACTION BETWEEN TWO SPHERES AND BETWEEN A SPHERE AND A FLAT SUBSTRATE. USAGE OF DYADIC GREEN’S FUNCTIONS IN ELECTROMAGNETIC SCATTERING PROBLEMS, NANO-OPTICS, AND NEAR-FIELD THERMAL RADIATION.
</t>
  </si>
  <si>
    <t xml:space="preserve">THEORETICAL INVESTIGATION OF ELECTROMAGNETIC NEAR-FIELD INTERACTION BETWEEN TWO SPHERES , BETWEEN A SPHERE , A FLAT SUBSTRATE, USAGE OF DYADIC GREEN’S FUNCTIONS IN ELECTROMAGNETIC SCATTERING PROBLEMS, NANO-OPTICS, NEAR-FIELD THERMAL RADIATION,
</t>
  </si>
  <si>
    <t>P. JAMES SCHUCK</t>
  </si>
  <si>
    <t>p.j.schuck@columbia.edu</t>
  </si>
  <si>
    <t>DATA SCIENCE, DEVICES, IMAGING, MATERIALS, MODELING &amp; SIMULATION, NANOSCIENCE, SENSING, VISUALIZATION, SUSTAINABLE HUMANITY, HEALTHY HUMANITY, CONNECTED HUMANITY</t>
  </si>
  <si>
    <t>VIJAY VEDULA</t>
  </si>
  <si>
    <t>vv2316@columbia.edu</t>
  </si>
  <si>
    <t>BIOMECHANICS, COMPUTATIONAL ENGINEERING SCIENCE, FLUIDS, MEDICINE, MODELING &amp; SIMULATION, HEALTHY HUMANITY MEDICINE</t>
  </si>
  <si>
    <t>SINISA VUKELIC</t>
  </si>
  <si>
    <t>sv2147@columbia.edu</t>
  </si>
  <si>
    <t>MECHANICAL PROPERTIES AND MECHANICS OF COLLAGEN RICH TISSUES, BIOMATERIALS AND BIOLOGICAL MEDIA, LASER MATERIAL PROCESSING, MOLECULAR DIAGNOSTICS AND CHARACTERIZATION, MECHANICAL ENGINEERING</t>
  </si>
  <si>
    <t>MECHANICAL PROPERTIES , MECHANICS OF COLLAGEN RICH TISSUES, BIOMATERIALS , BIOLOGICAL MEDIA, LASER MATERIAL PROCESSING, MOLECULAR DIAGNOSTICS , CHARACTERIZATION, MECHANICAL ENGINEERING</t>
  </si>
  <si>
    <t>Y. LAWRENCE YAO</t>
  </si>
  <si>
    <t>yly1@columbia.edu</t>
  </si>
  <si>
    <t>DESIGN, MATERIALS, MODELING &amp; SIMULATION, SYSTEMS, SUSTAINABLE HUMANITY, HEALTHY HUMANITY</t>
  </si>
  <si>
    <t>YEVGENIY YESILEVSKIY</t>
  </si>
  <si>
    <t>yy3040@columbia.edu</t>
  </si>
  <si>
    <t>University of Colorado--Boulder</t>
  </si>
  <si>
    <t>Andrew Affrunti</t>
  </si>
  <si>
    <t>aaffrunt@coloradomesa.edu</t>
  </si>
  <si>
    <t xml:space="preserve">Electronics, controls and instrumentation laboratory technician
</t>
  </si>
  <si>
    <t xml:space="preserve">Electronics, controls , instrumentation laboratory technician
</t>
  </si>
  <si>
    <t>Alaa A. Ahmed</t>
  </si>
  <si>
    <t>alaa.ahmed@colorado.edu</t>
  </si>
  <si>
    <t xml:space="preserve">​Biomechanics, Neural Control of Movement, Motor Learning and Decision Making, Neuroeconomics
</t>
  </si>
  <si>
    <t xml:space="preserve">​Biomechanics, Neural Control of Movement, Motor Learning , Decision Making, Neuroeconomics
</t>
  </si>
  <si>
    <t>Chunmei Ban</t>
  </si>
  <si>
    <t>chunmei.ban@colorado.edu</t>
  </si>
  <si>
    <t xml:space="preserve">Control of the hierarchical structure of multilength-scale materials, chemical and physical properties of materials, manipulating the interface for energy technologies
</t>
  </si>
  <si>
    <t xml:space="preserve">Control of the hierarchical structure of multilength-scale materials, chemical , physical properties of materials, manipulating the interface for energy technologies
</t>
  </si>
  <si>
    <t>Francois Barthelat</t>
  </si>
  <si>
    <t>francois.barthelat@colorado.edu</t>
  </si>
  <si>
    <t xml:space="preserve">Materials, bioinspiration, micro-architecture​
</t>
  </si>
  <si>
    <t>Jenifer Blacklock</t>
  </si>
  <si>
    <t>Jenifer.Blacklock@colorado.edu</t>
  </si>
  <si>
    <t xml:space="preserve">​Innovation in Engineering Education, Project-Based Learning, Teaching Across the Curriculum, Investigating Open-Ended Problem Solving in Engineering Education
</t>
  </si>
  <si>
    <t>Mark A. Borden</t>
  </si>
  <si>
    <t>mark.borden@colorado.edu</t>
  </si>
  <si>
    <t xml:space="preserve">Colloid science, ultrasound, theranostics, oxygen delivery
</t>
  </si>
  <si>
    <t>Nick Bottenus</t>
  </si>
  <si>
    <t>nick.bottenus@colorado.edu</t>
  </si>
  <si>
    <t xml:space="preserve">Biomedical ultrasound, diagnostic imaging, medical image quality, ultrasound system design, signal and image processing​
</t>
  </si>
  <si>
    <t xml:space="preserve">Biomedical ultrasound, diagnostic imaging, medical image quality, ultrasound system design, signal , image processing​
</t>
  </si>
  <si>
    <t>Victor M. Bright</t>
  </si>
  <si>
    <t>victor.bright@colorado.edu</t>
  </si>
  <si>
    <t xml:space="preserve">Micro and Nanoelectromechanical Systems​
</t>
  </si>
  <si>
    <t xml:space="preserve">Micro , Nanoelectromechanical Systems​
</t>
  </si>
  <si>
    <t>Carson Bruns</t>
  </si>
  <si>
    <t>carson.bruns@colorado.edu</t>
  </si>
  <si>
    <t xml:space="preserve">Biomedical engineering, soft materials, self-assembly, molecular nanotechnology, microfluidics
</t>
  </si>
  <si>
    <t>Sarah Calve</t>
  </si>
  <si>
    <t>sarah.calve@colorado.edu</t>
  </si>
  <si>
    <t xml:space="preserve">Mechanics of soft biological materials, musculoskeletal development and regeneration, extracellular matrix
</t>
  </si>
  <si>
    <t xml:space="preserve">Mechanics of soft biological materials, musculoskeletal development , regeneration, extracellular matrix
</t>
  </si>
  <si>
    <t>Francisco Castro</t>
  </si>
  <si>
    <t>frcastro@coloradomesa.edu</t>
  </si>
  <si>
    <t xml:space="preserve">Mechanical Behavior of Polymers
</t>
  </si>
  <si>
    <t>Longji Cui</t>
  </si>
  <si>
    <t>longji.cui@colorado.edu</t>
  </si>
  <si>
    <t xml:space="preserve">Atomic, Molecular and Quantum Energy Transport and Conversion, Ultrahigh Precision Sensing, Scanning Probe Microscopy, Thermal Radiation and Nano-optics
</t>
  </si>
  <si>
    <t xml:space="preserve">Atomic, Molecular , Quantum Energy Transport , Conversion, Ultrahigh Precision Sensing, Scanning Probe Microscopy, Thermal Radiation , Nano-optics
</t>
  </si>
  <si>
    <t>$17,844 per year (in-state, full-time)</t>
  </si>
  <si>
    <t>John W. Daily</t>
  </si>
  <si>
    <t>john.daily@colorado.edu</t>
  </si>
  <si>
    <t xml:space="preserve">Combustion, space propulsion, wildland fire, biomass utilization, medical instrumentation
</t>
  </si>
  <si>
    <t xml:space="preserve">Combustion, space propulsion, wildl, fire, biomass utilization, medical instrumentation
</t>
  </si>
  <si>
    <t>Xiaoyun "Sean" Ding</t>
  </si>
  <si>
    <t>Xiaoyun.Ding@colorado.edu</t>
  </si>
  <si>
    <t xml:space="preserve">Biomedical microfluidics, intracellular delivery, drug delivery, lab on chip, cellular engineering
</t>
  </si>
  <si>
    <t>Yifu Ding</t>
  </si>
  <si>
    <t>yifu.ding@colorado.edu</t>
  </si>
  <si>
    <t xml:space="preserve">Polymer science, separation membranes
</t>
  </si>
  <si>
    <t>Virginia L. Ferguson</t>
  </si>
  <si>
    <t>virginia.ferguson@colorado.edu</t>
  </si>
  <si>
    <t xml:space="preserve">Nano-scale characterization of materials, biological tissue​
</t>
  </si>
  <si>
    <r>
      <rPr>
        <u/>
        <sz val="10"/>
        <color rgb="FF000000"/>
        <rFont val="Arial"/>
        <family val="2"/>
      </rPr>
      <t xml:space="preserve">Chair - </t>
    </r>
    <r>
      <rPr>
        <u/>
        <sz val="10"/>
        <color rgb="FF000000"/>
        <rFont val="Arial"/>
        <family val="2"/>
      </rPr>
      <t>Peter Hamlington</t>
    </r>
  </si>
  <si>
    <t>peter.hamlington@colorado.edu</t>
  </si>
  <si>
    <t xml:space="preserve">Computational fluid dynamics​
</t>
  </si>
  <si>
    <t>Michael Hannigan</t>
  </si>
  <si>
    <t>michael.hannigan@colorado.edu</t>
  </si>
  <si>
    <t xml:space="preserve">​Air pollution, air quality
</t>
  </si>
  <si>
    <t>Daven Henze</t>
  </si>
  <si>
    <t>daven.henze@colorado.edu</t>
  </si>
  <si>
    <t xml:space="preserve">Aerosols, air quality, climatology, atmospheric chemistry
</t>
  </si>
  <si>
    <t>Jean R. Hertzberg</t>
  </si>
  <si>
    <t>jean.hertzberg@colorado.edu</t>
  </si>
  <si>
    <t xml:space="preserve">Flow visualization, fluids education
</t>
  </si>
  <si>
    <t>J. Sean Humbert</t>
  </si>
  <si>
    <t>sean.humbert@colorado.edu</t>
  </si>
  <si>
    <t xml:space="preserve">Flight dynamics and control, Bio-inspired perception and estimation, autonomous robotics, micro and surgical robotics
</t>
  </si>
  <si>
    <t xml:space="preserve">Flight dynamics , control, Bio-inspired perception , estimation, autonomous robotics, micro , surgical robotics
</t>
  </si>
  <si>
    <t>Kaushik Jayaram</t>
  </si>
  <si>
    <t>kaushik.jayaram@colorado.edu</t>
  </si>
  <si>
    <t xml:space="preserve">Bioinspired robotics, biomechanics, locomotion robustness, origami-based design and fabrication, distributed sensing
</t>
  </si>
  <si>
    <t xml:space="preserve">Bioinspired robotics, biomechanics, locomotion robustness, origami-based design , fabrication, distributed sensing
</t>
  </si>
  <si>
    <t>Svenja Knappe</t>
  </si>
  <si>
    <t>svenja.knappe@colorado.edu</t>
  </si>
  <si>
    <t xml:space="preserve">Quantum technologies, microfabrication of atomic sensors
</t>
  </si>
  <si>
    <t>Daniel Knight</t>
  </si>
  <si>
    <t>daniel.knight@colorado.edu</t>
  </si>
  <si>
    <t xml:space="preserve">Engineering education, K-12 outreach
</t>
  </si>
  <si>
    <t>Jeffrey Knutsen</t>
  </si>
  <si>
    <t>jeffrey.knutsen@colorado.edu</t>
  </si>
  <si>
    <t xml:space="preserve">Innovative CP methods, fluid mechanics​
</t>
  </si>
  <si>
    <t>Jeremy Koch</t>
  </si>
  <si>
    <t>Jeremy.Koch@colorado.edu</t>
  </si>
  <si>
    <t>Daria Kotys-Schwartz</t>
  </si>
  <si>
    <t>daria.kotys@colorado.edu</t>
  </si>
  <si>
    <t xml:space="preserve">Prototyping, engineering education, project-based learning
</t>
  </si>
  <si>
    <t>Nicole Labbe</t>
  </si>
  <si>
    <t>nicole.labbe@colorado.edu</t>
  </si>
  <si>
    <t xml:space="preserve">Chemical kinetics, renewable fuels, combustion modeling, reactive flows
</t>
  </si>
  <si>
    <t>Se-Hee Lee</t>
  </si>
  <si>
    <t>sehee.lee@colorado.edu</t>
  </si>
  <si>
    <t xml:space="preserve">Nanostructured materials for electrochemical energy systems
</t>
  </si>
  <si>
    <t>Rong Long</t>
  </si>
  <si>
    <t>rong.long@colorado.edu</t>
  </si>
  <si>
    <t xml:space="preserve">Nonlinear mechanics of materials and structures, mechanics of adhesion and fracture
</t>
  </si>
  <si>
    <t xml:space="preserve">Nonlinear mechanics of materials , structures, mechanics of adhesion , fracture
</t>
  </si>
  <si>
    <t>Maureen Lynch</t>
  </si>
  <si>
    <t>maureen.lynch@colorado.edu</t>
  </si>
  <si>
    <t xml:space="preserve">​Biomechanics, 3D tissue engineering, cancer
</t>
  </si>
  <si>
    <t>Robert MacCurdy</t>
  </si>
  <si>
    <t>maccurdy@colorado.edu</t>
  </si>
  <si>
    <t xml:space="preserve">Automated design and fabrication of robots, automated biological and ecological sensing
</t>
  </si>
  <si>
    <t xml:space="preserve">Automated design , fabrication of robots, automated biological , ecological sensing
</t>
  </si>
  <si>
    <t>Nathan McNeill</t>
  </si>
  <si>
    <t>nmcneill@coloradomesa.edu</t>
  </si>
  <si>
    <t xml:space="preserve">International educational experiences for engineers, acoustics of educational environments, thermal energy systems
</t>
  </si>
  <si>
    <t>Hope Michelsen</t>
  </si>
  <si>
    <t>hope.michelsen@colorado.edu</t>
  </si>
  <si>
    <t xml:space="preserve">Soot, combustion, black carbon, climate change, carbon black
</t>
  </si>
  <si>
    <t>Shelly L. Miller</t>
  </si>
  <si>
    <t>shelly.miller@colorado.edu</t>
  </si>
  <si>
    <t xml:space="preserve">Urban and indoor air quality, control technology, health effects, sources and exposure to particulate air pollution, development and evaluation of indoor air quality control measures
</t>
  </si>
  <si>
    <t xml:space="preserve">Urban , indoor air quality, control technology, health effects, sources , exposure to particulate air pollution, development , evaluation of indoor air quality control measures
</t>
  </si>
  <si>
    <t>Peter Mitrano</t>
  </si>
  <si>
    <t>Peter.Mitrano@Colorado.edu</t>
  </si>
  <si>
    <t xml:space="preserve">Computational fluid dynamics, fluid dynamics, fluid mechanics
</t>
  </si>
  <si>
    <t>Arthur Mizzi</t>
  </si>
  <si>
    <t>arthur.mizzi@colorado.edu</t>
  </si>
  <si>
    <t xml:space="preserve">Regional ensemble chemical weather forecasting, data assimilation and emissions adjustment, assimilation of Compact Phase Space Retrievals’ (CPSRs) from satellite observing platforms, regional multi-constituent data assimilation with emissions adjustment
</t>
  </si>
  <si>
    <t xml:space="preserve">Regional ensemble chemical weather forecasting, data assimilation , emissions adjustment, assimilation of Compact Phase Space Retrievals’ (CPSRs) from satellite observing platforms, regional multi-constituent data assimilation with emissions adjustment
</t>
  </si>
  <si>
    <t>Debanjan Mukherjee</t>
  </si>
  <si>
    <t>debanjan@colorado.edu</t>
  </si>
  <si>
    <t xml:space="preserve">Flow physics, physiological and biomedical flows, cardiovascular and cerebrovascular phenomena, computational fluid and solid mechanics, quantitative image processing
</t>
  </si>
  <si>
    <t xml:space="preserve">Flow physics, physiological , biomedical flows, cardiovascular , cerebrovascular phenomena, computational fluid , solid mechanics, quantitative image processing
</t>
  </si>
  <si>
    <t>Todd Murray</t>
  </si>
  <si>
    <t>todd.murray@colorado.edu</t>
  </si>
  <si>
    <t xml:space="preserve">Material characterization, laser ultrasonics​
</t>
  </si>
  <si>
    <t>Corey Neu</t>
  </si>
  <si>
    <t>cpneu@colorado.edu</t>
  </si>
  <si>
    <t xml:space="preserve">Multiscale biomechanics and imaging, cell and nuclear mechanobiology
</t>
  </si>
  <si>
    <t xml:space="preserve">Multiscale biomechanics , imaging, cell , nuclear mechanobiology
</t>
  </si>
  <si>
    <t>John Pellegrino</t>
  </si>
  <si>
    <t>john.pellegrino@colorado.edu</t>
  </si>
  <si>
    <t xml:space="preserve">Membranes, water treatment, biomass fuels process development
</t>
  </si>
  <si>
    <t>Rishi Raj</t>
  </si>
  <si>
    <t>rishi.raj@colorado.edu</t>
  </si>
  <si>
    <t xml:space="preserve">Polymer-derived ceramics, materials science, flash sintering
</t>
  </si>
  <si>
    <t>Derek Reamon</t>
  </si>
  <si>
    <t>derek.reamon@colorado.edu</t>
  </si>
  <si>
    <t xml:space="preserve">Team-based hands-on design engineering education, mechatronics
</t>
  </si>
  <si>
    <t xml:space="preserve">Team-based h,s-on design engineering education, mechatronics
</t>
  </si>
  <si>
    <t>Keith Regner</t>
  </si>
  <si>
    <t>keith.regner@colorado.edu</t>
  </si>
  <si>
    <t xml:space="preserve">Nano/microscale thermal transport
</t>
  </si>
  <si>
    <t>Mark Rentschler</t>
  </si>
  <si>
    <t>mark.rentschler@colorado.edu</t>
  </si>
  <si>
    <t xml:space="preserve">Medical mechatronics, medical device design, surgical robotics
</t>
  </si>
  <si>
    <t>Greg Rieker</t>
  </si>
  <si>
    <t xml:space="preserve">Medical mechatronics, medical device design, surgical robotics
</t>
  </si>
  <si>
    <t xml:space="preserve">Laser-based sensing and control in energy, atmospheric and industrial systems
</t>
  </si>
  <si>
    <t xml:space="preserve">Laser-based sensing , control in energy, atmospheric , industrial systems
</t>
  </si>
  <si>
    <t>Shalom Ruben</t>
  </si>
  <si>
    <t xml:space="preserve">Laser-based sensing and control in energy, atmospheric and industrial systems
</t>
  </si>
  <si>
    <t xml:space="preserve">Control and system theory, mechatronic systems, engineering education​​
</t>
  </si>
  <si>
    <t xml:space="preserve">Control , system theory, mechatronic systems, engineering education​​
</t>
  </si>
  <si>
    <t>Massimo Ruzzene</t>
  </si>
  <si>
    <t>massimo.ruzzene@colorado.edu</t>
  </si>
  <si>
    <t xml:space="preserve">Structural dynamics, wave propagation, materials, structural health monitoring
</t>
  </si>
  <si>
    <t>Jacob Segil</t>
  </si>
  <si>
    <t>jacob.segil@colorado.edu</t>
  </si>
  <si>
    <t xml:space="preserve">Human-Machine Interface, Neural Engineering, Prosthetic Limb Design, Embodiment, Entrepreneurship
</t>
  </si>
  <si>
    <t>Julie Steinbrenner</t>
  </si>
  <si>
    <t>julie.steinbrenner@colorado.edu</t>
  </si>
  <si>
    <t xml:space="preserve">Engineering education, thermal and fluid sciences, student professional development
</t>
  </si>
  <si>
    <t xml:space="preserve">Engineering education, thermal , fluid sciences, student professional development
</t>
  </si>
  <si>
    <t>Wei Tan</t>
  </si>
  <si>
    <t>wei.tan-1@colorado.edu</t>
  </si>
  <si>
    <t xml:space="preserve">Cardiovascular Bioengineering, BioMEMS
</t>
  </si>
  <si>
    <t>Janet Tsai</t>
  </si>
  <si>
    <t>janet.tsai@colorado.edu</t>
  </si>
  <si>
    <t xml:space="preserve">Engineering education, qualitative research, scholarshiCP and learning, project-based learning
</t>
  </si>
  <si>
    <t xml:space="preserve">Engineering education, qualitative research, scholarshiCP , learning, project-based learning
</t>
  </si>
  <si>
    <t>Marina Vance</t>
  </si>
  <si>
    <t>marina.vance@colorado.edu</t>
  </si>
  <si>
    <t xml:space="preserve">Indoor and outdoor air pollution, dynamics of ultrafine aerosols, consumer exposure to incidental or engineered nanomaterials
</t>
  </si>
  <si>
    <t xml:space="preserve">Indoor , outdoor air pollution, dynamics of ultrafine aerosols, consumer exposure to incidental or engineered nanomaterials
</t>
  </si>
  <si>
    <t>Greg Vanderbeek</t>
  </si>
  <si>
    <t>Greg.Vanderbeek@colorado.edu</t>
  </si>
  <si>
    <t xml:space="preserve">Development of hands-on projects and active learning to reinforce design concepts taught to students
</t>
  </si>
  <si>
    <t xml:space="preserve">Development of h,s-on projects , active learning to reinforce design concepts taught to students
</t>
  </si>
  <si>
    <t>Franck Vernerey</t>
  </si>
  <si>
    <t>franck.vernerey@colorado.edu</t>
  </si>
  <si>
    <t xml:space="preserve">Mechanics of soft matter, computational multiscale modeling, cell/colloid mechanics, tissue growth and morphogenesis
</t>
  </si>
  <si>
    <t xml:space="preserve">Mechanics of soft matter, computational multiscale modeling, cell/colloid mechanics, tissue growth , morphogenesis
</t>
  </si>
  <si>
    <t>Nathalie M. Vriend</t>
  </si>
  <si>
    <t>nathalie.vriend@colorado.edu</t>
  </si>
  <si>
    <t xml:space="preserve">Imaging, Measuring and Modelling Granular flows in the Environment.
</t>
  </si>
  <si>
    <t xml:space="preserve">Imaging, Measuring , Modelling Granular flows in the Environment,
</t>
  </si>
  <si>
    <t>Michael Walker</t>
  </si>
  <si>
    <t>mike.walker@colorado.edu</t>
  </si>
  <si>
    <t xml:space="preserve">Energy-water nexus, thermoelectric power plants, gasification, carbon capture and sequestration, industrial steam systems, engineering education
</t>
  </si>
  <si>
    <t xml:space="preserve">Energy-water nexus, thermoelectric power plants, gasification, carbon capture , sequestration, industrial steam systems, engineering education
</t>
  </si>
  <si>
    <t>Cara Gonzalez Welker</t>
  </si>
  <si>
    <t>cara.welker@colorado.edu</t>
  </si>
  <si>
    <t xml:space="preserve">​Biomechanics, Haptics, Robotics, Assistive Devices
</t>
  </si>
  <si>
    <t>Gregory L. Whiting</t>
  </si>
  <si>
    <t>gregory.whiting@colorado.edu</t>
  </si>
  <si>
    <t xml:space="preserve">​Functional additive and manufacturing, printed and flexible electronics, transient electronics, distributed sensing
</t>
  </si>
  <si>
    <t xml:space="preserve">​Functional additive , manufacturing, printed , flexible electronics, transient electronics, distributed sensing
</t>
  </si>
  <si>
    <t>Christine Wiedinmyer</t>
  </si>
  <si>
    <t>christine.wiedinmyer@colorado.edu</t>
  </si>
  <si>
    <t xml:space="preserve">Emissions, air pollutants, air quality, biomass burning, public health​
</t>
  </si>
  <si>
    <t>Jianliang Xiao</t>
  </si>
  <si>
    <t>jianliang.xiao@colorado.edu</t>
  </si>
  <si>
    <t xml:space="preserve">Mechanics of nanomaterials, soft materials, stretchable/flexible electronics
</t>
  </si>
  <si>
    <t>Nicole W. Xu</t>
  </si>
  <si>
    <t>nicole.xu@colorado.edu</t>
  </si>
  <si>
    <t xml:space="preserve">Bioinspired and Biohybrid Robotics, Underwater Vehicles, Fluid Dynamics, Biology, Oceanography, Bioethics
</t>
  </si>
  <si>
    <t xml:space="preserve">Bioinspired , Biohybrid Robotics, Underwater Vehicles, Fluid Dynamics, Biology, Oceanography, Bioethics
</t>
  </si>
  <si>
    <t>University of Florida (Werthiem)</t>
  </si>
  <si>
    <t>DR. NAGARAJ K. ARAKERE</t>
  </si>
  <si>
    <t>nagaraj@ufl.edu</t>
  </si>
  <si>
    <t xml:space="preserve">Fatigue, fracture, microstructure-sensitive design, monotonic and cyclic deformation response, Ultra-high strength bearing steels, Single crystal nickel-base superalloys, contact mechanics, fatigue spall propagation, and related constitutive and finite element model development.
</t>
  </si>
  <si>
    <t xml:space="preserve">Fatigue, fracture, microstructure-sensitive design, monotonic , cyclic deformation response, Ultra-high strength bearing steels, Single crystal nickel-base superalloys, contact mechanics, fatigue spall propagation, related constitutive , finite element model development,
</t>
  </si>
  <si>
    <t>DR. S. “BALA” BALACHANDAR</t>
  </si>
  <si>
    <t>bala1s@ufl.edu</t>
  </si>
  <si>
    <t>DR. SCOTTBANKS</t>
  </si>
  <si>
    <t>banks@ufl.edu</t>
  </si>
  <si>
    <t xml:space="preserve">Biomechanics of human and animal joints in healthy, injured and replaced states. Techniques and technologies for quantifying musculoskeletal biomechanics. Musculoskeletal modeling for surgical planning and treatment design. Medical robotics for surgery and research.
</t>
  </si>
  <si>
    <t xml:space="preserve">Biomechanics of human , animal joints in healthy, injured , replaced states, Techniques , technologies for quantifying musculoskeletal biomechanics, Musculoskeletal modeling for surgical planning , treatment design, Medical robotics for surgery , research,
</t>
  </si>
  <si>
    <t>DR. PRABIR BAROOAH</t>
  </si>
  <si>
    <t>pbarooah@ufl.edu</t>
  </si>
  <si>
    <t>Control systems for a smart and sustainable energy infrastructure (in particular, on enabling buildings to reduce their energy use and provide “virtual storage” to the electric grid for integrating renewable energy sources such as solar and wind), distributed estimation and control algorithms (for applications such as localization/synchronization of sensor networks and robotic swarms), distributed optimization.</t>
  </si>
  <si>
    <t>Control systems for a smart , sustainable energy infrastructure (in particular, on enabling buildings to reduce their energy use , provide “virtual storage” to the electric grid for integrating renewable energy sources such as solar , wind), distributed estimation , control algorithms (for applications such as localization/synchronization of sensor networks , robotic swarms), distributed optimization,</t>
  </si>
  <si>
    <t>#47 - Best Engineering Schools</t>
  </si>
  <si>
    <t>DR. OANA CAZACU</t>
  </si>
  <si>
    <t>cazacu@reef.ufl.edu</t>
  </si>
  <si>
    <t>Damage, Metal Plasticity and Viscoplasticity, Rock and Soil Mechanics, Mechanics of Particulate Materials, Penetration Mechanics</t>
  </si>
  <si>
    <t>Damage, Metal Plasticity , Viscoplasticity, Rock , Soil Mechanics, Mechanics of Particulate Materials, Penetration Mechanics</t>
  </si>
  <si>
    <t>DR. YOUPING CHEN</t>
  </si>
  <si>
    <t>ypchen2@ufl.edu</t>
  </si>
  <si>
    <t xml:space="preserve">Linking and Unifying Atomistic and Continuum Descriptions, Concurrent Multiscale Computational Methods, Atomistic and Multiscale Mechanics, Coupled Defect Dynamics and Phonon transport
</t>
  </si>
  <si>
    <t xml:space="preserve">Linking , Unifying Atomistic , Continuum Descriptions, Concurrent Multiscale Computational Methods, Atomistic , Multiscale Mechanics, Coupled Defect Dynamics , Phonon transport
</t>
  </si>
  <si>
    <t>DR. JACOB N. CHUNG</t>
  </si>
  <si>
    <t>jnchung@ufl.edu</t>
  </si>
  <si>
    <t>Dr. Chung’s research activities have been in the general areas of fluid mechanics and heat transfer with a special focus on bubble dynamics, phase change heat transfer, multiphase flows, microgravity boiling, turbulence in heated flows, micro-scale thermal transport, fuel cell thermal transport, space cryogenic line chilldown, storage and Transport, energy conversion, hydrogen Energy, biomass and solid waste conversion to clean energy by steam gasification.</t>
  </si>
  <si>
    <t>fluid mechanics , heat transfer with a special focus on bubble dynamics, phase change heat transfer, multiphase flows, microgravity boiling, turbulence in heated flows, micro-scale thermal transport, fuel cell thermal transport, space cryogenic line chilldown, storage , Transport, energy conversion, hydrogen Energy, biomass , solid waste conversion to clean energy by steam gasification</t>
  </si>
  <si>
    <t>DR. CARL D. CRANE, III</t>
  </si>
  <si>
    <t>ccrane@ufl.edu</t>
  </si>
  <si>
    <t xml:space="preserve">Spatial mechanisms, robotics, autonomous ground vehicles.
</t>
  </si>
  <si>
    <t xml:space="preserve">Spatial mechanisms, robotics, autonomous ground vehicles,
</t>
  </si>
  <si>
    <r>
      <rPr>
        <u/>
        <sz val="10"/>
        <color rgb="FF000000"/>
        <rFont val="Arial"/>
        <family val="2"/>
      </rPr>
      <t xml:space="preserve">Chair - </t>
    </r>
    <r>
      <rPr>
        <u/>
        <sz val="10"/>
        <color rgb="FF000000"/>
        <rFont val="Arial"/>
        <family val="2"/>
      </rPr>
      <t>DR. WARREN DIXON</t>
    </r>
  </si>
  <si>
    <t>Chair@mae.ufl.edu</t>
  </si>
  <si>
    <t xml:space="preserve">Adaptive nonlinear control, robotics, human-machine interactions, biomedical, visual servo control
</t>
  </si>
  <si>
    <t>DR. Z. HUGH FAN</t>
  </si>
  <si>
    <t>hfan@ufl.edu</t>
  </si>
  <si>
    <t xml:space="preserve">Microfluidics, bioMEMS (biomedical microelectromechanical systems), sensors, medical diagnostics, and bioengineering
</t>
  </si>
  <si>
    <t xml:space="preserve">Microfluidics, bioMEMS (biomedical microelectromechanical systems), sensors, medical diagnostics, bioengineering
</t>
  </si>
  <si>
    <t>DR. HITOMI YAMAGUCHI GREENSLET</t>
  </si>
  <si>
    <t>hitomiy@ufl.edu</t>
  </si>
  <si>
    <t>Magnetic field-assisted finishing, Sheet metal forming, Surface functionalization and characterization, Ultra-precision surface finishing of optics, Medical device development</t>
  </si>
  <si>
    <t>Magnetic field-assisted finishing, Sheet metal forming, Surface functionalization , characterization, Ultra-precision surface finishing of optics, Medical device development</t>
  </si>
  <si>
    <t>DR. YONG HUANG</t>
  </si>
  <si>
    <t>yongh@ufl.edu</t>
  </si>
  <si>
    <t>Three-dimensional (3D) printing of biological and engineering materials from difficult-to-print ink materials using inkjetting, extrusion, and laser-induced forward transfer,
Design and fabrication of microphysiological and engineered living systems, and
Study of dynamic material behavior using jetting and machining.</t>
  </si>
  <si>
    <t>Three-dimensional (3D) printing of biological , engineering materials from difficult-to-print ink materials using inkjetting, extrusion, laser-induced forward transfer,
Design , fabrication of microphysiological , engineered living systems,
Study of dynamic material behavior using jetting , machining,</t>
  </si>
  <si>
    <t>$10,770 per year (in-state, full-time)</t>
  </si>
  <si>
    <t>DR. PETER G. IFJU</t>
  </si>
  <si>
    <t>ifju@ufl.edu</t>
  </si>
  <si>
    <t>Experimental mechanics, moire interferometry, compositie materials, micro air vehicles.</t>
  </si>
  <si>
    <t>Experimental mechanics, moire interferometry, compositie materials, micro air vehicles,</t>
  </si>
  <si>
    <t>DR. NAM-HO KIM</t>
  </si>
  <si>
    <t>nkim@ufl.edu</t>
  </si>
  <si>
    <t>Design under uncertainty, Prognostics and health management, Verification validation and uncertainty quantification, Nonlinear structural mechanics.</t>
  </si>
  <si>
    <t>Design under uncertainty, Prognostics , health management, Verification validation , uncertainty quantification, Nonlinear structural mechanics,</t>
  </si>
  <si>
    <t>DR. RENWEI MEI</t>
  </si>
  <si>
    <t>rwmei@ufl.edu</t>
  </si>
  <si>
    <t>Two-phase flow, turbulence, computational fluid mechanics.</t>
  </si>
  <si>
    <t>Two-phase flow, turbulence, computational fluid mechanics,</t>
  </si>
  <si>
    <t>DR. SAEED MOGHADDAM</t>
  </si>
  <si>
    <t>saeedmog@ufl.edu</t>
  </si>
  <si>
    <t>Micro/nanoscale transport and nanotechnology for energy science and health applications, nanoengineering of functionalized membranes for energy conversion and storage and filtration/separation applications, heat and mass transfer in micro/nanostructures, microfluidic reactor platforms for fundamental energy research and reaction engineering, portable power</t>
  </si>
  <si>
    <t>Micro/nanoscale transport , nanotechnology for energy science , health applications, nanoengineering of functionalized membranes for energy conversion , storage , filtration/separation applications, heat , mass transfer in micro/nanostructures, microfluidic reactor platforms for fundamental energy research , reaction engineering, portable power</t>
  </si>
  <si>
    <t>DR. KAMRAN MOHSENI</t>
  </si>
  <si>
    <t>mohseni@ufl.edu</t>
  </si>
  <si>
    <t xml:space="preserve">(1) Fluid dynamics including bio-propulsion, shocks, turbulence, vortex dynamics (2) Robotics &amp; Control including bioinspired unmanned systems, sensor networking in harsh environments (3) Digitized heat transfer
</t>
  </si>
  <si>
    <t xml:space="preserve">Fluid dynamics including bio-propulsion, shocks, turbulence, vortex dynamics,Robotics &amp; Control including bioinspired unmanned systems, sensor networking in harsh environments ,Digitized heat transfer
</t>
  </si>
  <si>
    <t>DR. ANIL V. RAO</t>
  </si>
  <si>
    <t>anilvrao@ufl.edu</t>
  </si>
  <si>
    <t>Optimal space mission design and control, atmospheric flight performance optimization and control, computational methods for optimal control, guidance and control of aerospace vehicles, performance optimization of ground and underwater vehicles.</t>
  </si>
  <si>
    <t>Optimal space mission design , control, atmospheric flight performance optimization , control, computational methods for optimal control, guidance , control of aerospace vehicles, performance optimization of ground , underwater vehicles,</t>
  </si>
  <si>
    <t>DR. SUBRATA ROY</t>
  </si>
  <si>
    <t>roy@ufl.edu</t>
  </si>
  <si>
    <t>Computational Fluid Dynamics and Heat Transfer, Magnetogasdynamics, Plasma Based Flow Control, Electric Propulsion, and Micro/Nanoscale Flows.</t>
  </si>
  <si>
    <t>Computational Fluid Dynamics , Heat Transfer, Magnetogasdynamics, Plasma Based Flow Control, Electric Propulsion, Micro/Nanoscale Flows,</t>
  </si>
  <si>
    <t>DR. BHAVANI V. SANKAR</t>
  </si>
  <si>
    <t>sankar@ufl.edu</t>
  </si>
  <si>
    <t xml:space="preserve">Composite materials and structures including impact- fracture- and micro-mechanics, textile composites, cellular materials and foams, sandwich construction, functionally graded materials, and integrated thermal protection systems.
</t>
  </si>
  <si>
    <t xml:space="preserve">Composite materials , structures including impact- fracture- , micro-mechanics, textile composites, cellular materials , foams, s,wich construction, functionally graded materials, integrated thermal protection systems,
</t>
  </si>
  <si>
    <t>DR. MALISA SARNTINORANONT</t>
  </si>
  <si>
    <t>msarnt@ufl.edu</t>
  </si>
  <si>
    <t>Soft tissue biomechanics, physiologic fluid flow, and macromolecular drug delivery.</t>
  </si>
  <si>
    <t>Soft tissue biomechanics, physiologic fluid flow, macromolecular drug delivery,</t>
  </si>
  <si>
    <t>DR. JOHN K. SCHUELLER</t>
  </si>
  <si>
    <t>schuejk@ufl.edu</t>
  </si>
  <si>
    <t>manufacturing, off-highway vehicles, precision agriculture</t>
  </si>
  <si>
    <t>DR. CORIN SEGAL</t>
  </si>
  <si>
    <t>cor@ufl.edu</t>
  </si>
  <si>
    <t>Combustion, fluid diagnostics, Fluid mechanics, aircraft design.</t>
  </si>
  <si>
    <t>Combustion, fluid diagnostics, Fluid mechanics, aircraft design,</t>
  </si>
  <si>
    <t>DR. MARK SHEPLAK</t>
  </si>
  <si>
    <t>sheplak@ufl.edu</t>
  </si>
  <si>
    <t xml:space="preserve">His current research focuses on the design, fabrication, and characterization of high-performance, instrumentation-grade, microelectromechanical systems (MEMS)-based sensors and actuators that enable the measurement, modeling, and control of various physical properties. Specific applications include technology development to enable large-channel count micromachined directional microphone arrays for aeroacoustic noise source localization and miniature skin-friction sensors for aerodynamic drag characterization and flow control.
</t>
  </si>
  <si>
    <t xml:space="preserve">characterization of high-performance, instrumentation-grade, microelectromechanical systems (MEMS)-based sensors , actuators that enable the measurement, modeling, control of various physical properties, Specific applications include technology development to enable large-channel count micromachined directional microphone arrays for aeroacoustic noise source localization , miniature skin-friction sensors for aerodynamic drag characterization , flow control
</t>
  </si>
  <si>
    <t>DR. S.A. SHERIF</t>
  </si>
  <si>
    <t>sasherif@ufl.edu</t>
  </si>
  <si>
    <t xml:space="preserve">Heat and Mass Transfer, Thermodynamics, Thermal System Design and Optimization, Refrigeration and Cryogenics, HVAC, Solar and Hydrogen Energy
</t>
  </si>
  <si>
    <t xml:space="preserve">Heat , Mass Transfer, Thermodynamics, Thermal System Design , Optimization, Refrigeration , Cryogenics, HVAC, Solar , Hydrogen Energy
</t>
  </si>
  <si>
    <t>DR. DOUGLAS E. SPEAROT</t>
  </si>
  <si>
    <t>dspearot@ufl.edu</t>
  </si>
  <si>
    <t>Computational mechanics and materials science (including atomistic simulations, discrete dislocation dynamics simulations, and phase-field modeling), behavior of defects in materials, nanostructured materials, linking between atomistic and continuum length scales, and method development for atomistic and mesoscale computational modeling.</t>
  </si>
  <si>
    <t>Computational mechanics , materials science (including atomistic simulations, discrete dislocation dynamics simulations, phase-field modeling), behavior of defects in materials, nanostructured materials, linking between atomistic , continuum length scales, method development for atomistic , mesoscale computational modeling,</t>
  </si>
  <si>
    <t>DR. GHATU SUBHASH</t>
  </si>
  <si>
    <t>subhash@ufl.edu</t>
  </si>
  <si>
    <t>– Cutting-edge research in the areas of solid mechanics, material science and biomedical engineering
– High strain rate and shock response of biomaterials and gels
– Dynamic multiaxial response, characterization of deformation modes, and fracture behavior of structural ceramics, ultrahigh temperature materials, metallic glasses, 3D woven composites, structural foams, nanostructured materials, gels and biological materials, and refractory metals
– Processing-structure-property relationships in ultra-high temperature ceramics and ceramics
– Development of novel test methods for low density materials and Experimental mechanics
– Dynamic wear, Dynamic hardness,</t>
  </si>
  <si>
    <t>Cutting-edge research in the areas of solid mechanics, material science , biomedical engineering,
High strain rate , shock response of biomaterials , gels,
Dynamic multiaxial response, characterization of deformation modes, fracture behavior of structural ceramics, ultrahigh temperature materials, metallic glasses, 3D woven composites, structural foams, nanostructured materials, gels , biological materials, refractory metals,
Processing-structure-property relationships in ultra-high temperature ceramics , ceramics,
Development of novel test methods for low density materials , Experimental mechanics,
Dynamic wear, Dynamic hardness</t>
  </si>
  <si>
    <t>DR. JAMES A. TRAINHAM</t>
  </si>
  <si>
    <t>jtrainham@ufl.edu</t>
  </si>
  <si>
    <t>Renewable energy, synthetic fuels including hydrogen production, energy storage, electrochemical engineering, and techno-economics of energy alternatives</t>
  </si>
  <si>
    <t>Renewable energy, synthetic fuels including hydrogen production, energy storage, electrochemical engineering, techno-economics of energy alternatives</t>
  </si>
  <si>
    <t>DR. LAWRENCE S. UKEILEY</t>
  </si>
  <si>
    <t>ukeiley@ufl.edu</t>
  </si>
  <si>
    <t>Fluid Mechanics, Experimental Methods, Turbulence, Aeroacoustics, Flow Control, Reduced Order Modeling, Bio-Inspired Low Reynolds Number Fluid Dynamics, Fluid Structure Interactions</t>
  </si>
  <si>
    <t>DR. KATERINA E. AIFANTIS</t>
  </si>
  <si>
    <t>kaifantis@ufl.edu</t>
  </si>
  <si>
    <t xml:space="preserve">Katerina E. Aifantis focuses on using solid mechanics for understanding materials behavior at the nanoscale, such as dislocation-grain boundary and dislocation-graphene interactions. In addition to basic science questions, she uses her theoretical and experimental insight to predict the most promising materials systems that can be used in various applications, ranging from next generation electrodes for Li-ion batteries, to bone regeneration scaffolds and bioacompatible electrodes for deePbrain stimulation.
</t>
  </si>
  <si>
    <t xml:space="preserve">solid mechanics for understing materials behavior at the nanoscale, such as dislocation-grain boundary , dislocation-graphene interactions
</t>
  </si>
  <si>
    <t>DR. THOMAS E. ANGELINI</t>
  </si>
  <si>
    <t>t.e.angelini@ufl.edu</t>
  </si>
  <si>
    <t>Collective cell motion, mechanical instabilities in tissue cell assemblies, bacterial biofilm physics, soft matter physics, biomolecular self-assembly, and tribology of soft matter interfaces.</t>
  </si>
  <si>
    <t>Collective cell motion, mechanical instabilities in tissue cell assemblies, bacterial biofilm physics, soft matter physics, biomolecular self-assembly, tribology of soft matter interfaces,</t>
  </si>
  <si>
    <t>DR. BRUCE F. CARROLL</t>
  </si>
  <si>
    <t>bfc@ufl.edu</t>
  </si>
  <si>
    <t xml:space="preserve">My current s center on engineering education with emphasis on peer mentoring and advising processes, incorporation of AI augmented recommender systems in academic and career mentoring, and factors affecting matriculation of students from undergraduate to graduate study.
</t>
  </si>
  <si>
    <t xml:space="preserve">ngineering education with emphasis on peer mentoring , advising processes, incorporation of AI augmented recommender systems in academic , career mentoring, factors affecting matriculation of students from undergraduate to graduate study
</t>
  </si>
  <si>
    <t>DR. JOHN W. CONKLIN</t>
  </si>
  <si>
    <t>jwconklin@ufl.edu</t>
  </si>
  <si>
    <t xml:space="preserve">John’s research is in the development of precision instruments for spacecraft Position, Navigation, Timing and Gravity (PNTG), and the design and analysis of space missions that depend heavily on these technologies.
</t>
  </si>
  <si>
    <t xml:space="preserve">development of precision instruments for spacecraft Position, Navigation, Timing , Gravity (PNTG), the design , analysis of space missions that depend heavily on these technologies
</t>
  </si>
  <si>
    <t>DR. NORMAN G. FITZ-COY</t>
  </si>
  <si>
    <t>nfc@ufl.edu</t>
  </si>
  <si>
    <t>Dynamics and control of multibody systems, game theory, orbital dynamics, flight mechanics.</t>
  </si>
  <si>
    <t>Dynamics , control of multibody systems, game theory, orbital dynamics, flight mechanics,</t>
  </si>
  <si>
    <t>DR. ASHOK V. KUMAR</t>
  </si>
  <si>
    <t>akumar@ufl.edu</t>
  </si>
  <si>
    <t xml:space="preserve">Multifunctional structures, Finite Element Method, Geometric Modeling, Design Optimization and Rapid Prototyping.
</t>
  </si>
  <si>
    <t xml:space="preserve">Multifunctional structures, Finite Element Method, Geometric Modeling, Design Optimization , Rapid Prototyping,
</t>
  </si>
  <si>
    <t>DR. RICHARD C. LIND</t>
  </si>
  <si>
    <t>ricklind@ufl.edu</t>
  </si>
  <si>
    <t>aeroservoelasticity, morphing, controls, flight testing</t>
  </si>
  <si>
    <t>DR. STEVEN A. E. MILLER</t>
  </si>
  <si>
    <t>saem@ufl.edu</t>
  </si>
  <si>
    <t>Theoretical fluid dynamics, turbulence, theoretical aeroacoustis, and Associated disciplines.</t>
  </si>
  <si>
    <t>Theoretical fluid dynamics, turbulence, theoretical aeroacoustis, Associated disciplines,</t>
  </si>
  <si>
    <t>DR. JONATHAN R. SCHEFFE</t>
  </si>
  <si>
    <t>jscheffe@ufl.edu</t>
  </si>
  <si>
    <t>Solar thermochemical and electrochemical energy conversion, defect chemistry and thermodynamics of nonstoichiometric oxides</t>
  </si>
  <si>
    <t>Solar thermochemical , electrochemical energy conversion, defect chemistry , thermodynamics of nonstoichiometric oxides</t>
  </si>
  <si>
    <t>DR. GLORIA J. WIENS</t>
  </si>
  <si>
    <t>gwiens@ufl.edu</t>
  </si>
  <si>
    <t xml:space="preserve">Robotics, Spatial Mechanisms, System Dynamics, Controls, and Automation.
</t>
  </si>
  <si>
    <t xml:space="preserve">Robotics, Spatial Mechanisms, System Dynamics, Controls, Automation,
</t>
  </si>
  <si>
    <t>DR. JESSICA ALLEN</t>
  </si>
  <si>
    <t>jessal@ufl.edu</t>
  </si>
  <si>
    <t>Dr. Allen’s research focuses on identifying biomechanical targets that can guide interventional decisions in rehabilitation and device design for individuals with ambulatory impairments.</t>
  </si>
  <si>
    <t>biomechanical targets that can guide interventional decisions in rehabilitation , device design for individuals with ambulatory impairments,</t>
  </si>
  <si>
    <t>DR. KERRY COSTELLO</t>
  </si>
  <si>
    <t>k.costello@ufl.edu</t>
  </si>
  <si>
    <t>Dr. Costello’s research focuses on understanding the role of movement biomechanics and physical activity in musculoskeletal health, with an emphasis on knee osteoarthritis.</t>
  </si>
  <si>
    <t>understing the role of movement biomechanics , physical activity in musculoskeletal health, with an emphasis on knee osteoarthritis</t>
  </si>
  <si>
    <t>DR. MATTHEW T. HALE</t>
  </si>
  <si>
    <t>matthewhale@ufl.edu</t>
  </si>
  <si>
    <t xml:space="preserve">Multi-agent learning and control, Privacy, Optimization, Robotics
</t>
  </si>
  <si>
    <t xml:space="preserve">Multi-agent learning , control, Privacy, Optimization, Robotics
</t>
  </si>
  <si>
    <t>DR. RYAN W. HOUIM</t>
  </si>
  <si>
    <t>rhouim@ufl.edu</t>
  </si>
  <si>
    <t>Combustion and multiphase flows including detonation initiation and propagation, dust explosions, propulsion, spray combustion, solid propellant and metal particle combustion.</t>
  </si>
  <si>
    <t>Combustion , multiphase flows including detonation initiation , propagation, dust explosions, propulsion, spray combustion, solid propellant , metal particle combustion,</t>
  </si>
  <si>
    <t>DR. AMOR A. MENEZES</t>
  </si>
  <si>
    <t>amormenezes@ufl.edu</t>
  </si>
  <si>
    <t>Biological Control Systems, Biosecurity, Cellular Engineering, Nonlinear Control, Synthetic Biology, and Systems Biology.</t>
  </si>
  <si>
    <t>Biological Control Systems, Biosecurity, Cellular Engineering, Nonlinear Control, Synthetic Biology, Systems Biology,</t>
  </si>
  <si>
    <t>DR. PATRICK MUSGRAVE</t>
  </si>
  <si>
    <t>pmusgrave@ufl.edu</t>
  </si>
  <si>
    <t>Bio-inspired propulsion, adaptive systems, embedded sensing, fluid-structure interactions, structural dynamics</t>
  </si>
  <si>
    <t>DR. JING PAN</t>
  </si>
  <si>
    <t>jingpan@ufl.edu</t>
  </si>
  <si>
    <t xml:space="preserve">Macromolecular Machines, Directed Evolution, Self-assembly and self-organization, Bio-nanotechnology, Synthetic Biology, Medical Technology.
</t>
  </si>
  <si>
    <t xml:space="preserve">Macromolecular Machines, Directed Evolution, Self-assembly , self-organization, Bio-nanotechnology, Synthetic Biology, Medical Technology,
</t>
  </si>
  <si>
    <t>DR. ALICIA PETERSEN</t>
  </si>
  <si>
    <t>petersen.alicia@ufl.edu</t>
  </si>
  <si>
    <t xml:space="preserve">Space weather events have damaging effects on spacecraft, communications, GPS, air transportation, and power systems. Space weather is caused by phenomena which originate at the Sun and propagate through the inner solar system before reaching Earth. This region is dominated by the Sun’s heliospheric magnetic field, which is both shaped by and shapes the propagation of ionized plasma and particles throughout the solar system. This includes explosive eruptions of plasma known as coronal mass ejections (CMEs) and energetic particles known as solar energetic particles (SEPs). Dr. Petersen’s lab, SWIFT (Space Weather Impacts, Forecasting and Transit) at MAE does computational modeling of the Sun’s magnetic field and solar electrons in the inner solar system, designing/building instrumentation for monitoring space weather and using in situ space-based observations of solar particles to investigate the propagation and interactions of space weather events.
</t>
  </si>
  <si>
    <t xml:space="preserve">Space weather events have damaging effects on spacecraft, communications, GPS, air transportation, power systems, Space weather is caused by phenomena which originate at the Sun , propagate through the inner solar system before reaching Earth, This region is dominated by the Sun’s heliospheric magnetic field, which is both shaped by , shapes the propagation of ionized plasma , particles throughout the solar system
</t>
  </si>
  <si>
    <t>DR. CHRISTOPHER “CHRISPY” PETERSEN</t>
  </si>
  <si>
    <t>c.petersen1@ufl.edu</t>
  </si>
  <si>
    <t xml:space="preserve">Dr. Chrispy Petersen looks at four RPillars that cross theory and application
Exploring and exploiting spacecraft dynamics
Advanced guidance, navigation, control and autonomy (GNCA)
Real-time computationally aware optimization for spacecraft
Immersive human-satellite interfaces
He is interested in all four pillars for space applications, but primarily focuses on two domains i) Rendezvous, Proximity Operations, and Docking (RPO), where two or more satellites fly within 500 km of one another, and ii.) eXtra Geostationary Orbit (XGEO) operations, where satellites fly past the Earth, the Moon, and beyond.  He enjoys a healthy balance between theory and application in order to improve state-of-the-art space technology.  At UF Dr. Petersen’s lab, the Spacecraft Technology And Research (STAR) Lab, is developing, designing, and deploying methods for satellites.
</t>
  </si>
  <si>
    <t>Exploring , exploiting spacecraft dynamics,
Advanced guidance, navigation, control , autonomy (GNCA),
Real-time computationally aware optimization for spacecraft,
Immersive human-satellite interfaces</t>
  </si>
  <si>
    <t>DR. JINGJING SHI</t>
  </si>
  <si>
    <t>shi.j@ufl.edu</t>
  </si>
  <si>
    <t>DR. JANE JAEJEONG SHIN</t>
  </si>
  <si>
    <t>jane.shin@ufl.edu</t>
  </si>
  <si>
    <t>Robotics Sensor Perception and Planning, Robot Motion and Path Planning, Information-driven Approaches, Underwater Robotics</t>
  </si>
  <si>
    <t>Robotics Sensor Perception , Planning, Robot Motion , Path Planning, Information-driven Approaches, Underwater Robotics</t>
  </si>
  <si>
    <t>DR. XIN TANG</t>
  </si>
  <si>
    <t>xin.tang@ufl.edu</t>
  </si>
  <si>
    <t xml:space="preserve">Biomechanics, Mechanobiology and Soft Matter Cell and molecular mechanics in cancer development and metastasis, cardiovascular system, and neurons, unconventional mechano-electrophysiology, quantitative in vivo/vitro functional bio-imaging, bio-nanotechnology, and development of new biophysical tools to probe biological function/structure.
</t>
  </si>
  <si>
    <t xml:space="preserve">Biomechanics, Mechanobiology , Soft Matter Cell , molecular mechanics in cancer development , metastasis, cardiovascular system, neurons, unconventional mechano-electrophysiology, quantitative in vivo/vitro functional bio-imaging, bio-nanotechnology, development of new biophysical tools to probe biological function/structure,
</t>
  </si>
  <si>
    <t>DR. YU WANG</t>
  </si>
  <si>
    <t>yuwang1@ufl.edu</t>
  </si>
  <si>
    <t>DR. JOHN D. ABBITT</t>
  </si>
  <si>
    <t>jda@ufl.edu</t>
  </si>
  <si>
    <t>DR. JONATHAN T. BROOKS</t>
  </si>
  <si>
    <t>brooks666@ufl.edu</t>
  </si>
  <si>
    <t>DR. DAN DICKRELL</t>
  </si>
  <si>
    <t>djd3@ufl.edu</t>
  </si>
  <si>
    <t>Computational image analysis
Electrical contact mechanics
Tribology
Engineering education methods for very-large enrollment courses</t>
  </si>
  <si>
    <t>Computational image analysis,
Electrical contact mechanics,
Tribology,
Engineering education methods for very-large enrollment courses</t>
  </si>
  <si>
    <t>DR. TING DONG</t>
  </si>
  <si>
    <t>dting0603@ufl.edu</t>
  </si>
  <si>
    <t xml:space="preserve">Prognostics and health management, maintenance of aircraft structure
</t>
  </si>
  <si>
    <t xml:space="preserve">Prognostics , health management, maintenance of aircraft structure
</t>
  </si>
  <si>
    <t>DR. MIKE GRIFFIS</t>
  </si>
  <si>
    <t>mwg@ufl.edu</t>
  </si>
  <si>
    <t>Kinematics, Statics, Screw Theory</t>
  </si>
  <si>
    <t>DR. SEAN R. NIEMI</t>
  </si>
  <si>
    <t>srn@mae.ufl.edu</t>
  </si>
  <si>
    <t>DR. UMESH PERSAD</t>
  </si>
  <si>
    <t>upersad@ufl.edu</t>
  </si>
  <si>
    <t>Artificial Intelligence in Design
Computational Design Synthesis for Biomedical Applications
Inclusive/Universal Design
Design Management and Process Improvement
Engineering Design Education – Artificial Intelligence Applications</t>
  </si>
  <si>
    <t>Artificial Intelligence in Design,
Computational Design Synthesis for Biomedical Applications,
Inclusive/Universal Design,
Design Management , Process Improvement,
Engineering Design Education – Artificial Intelligence Applications</t>
  </si>
  <si>
    <t>PROF. SHANNON RIDGEWAY</t>
  </si>
  <si>
    <t>scer@ufl.edu</t>
  </si>
  <si>
    <t>DR. ANDRES RUBIANO</t>
  </si>
  <si>
    <t>ssjandres@ufl.edu</t>
  </si>
  <si>
    <t>Microphysiological systems, tissue engineering, biomechanics, organs-on-a-chip, mechanobiology, renewable energy systems, gasification, and regenerative medicine.</t>
  </si>
  <si>
    <t>Microphysiological systems, tissue engineering, biomechanics, organs-on-a-chip, mechanobiology, renewable energy systems, gasification, regenerative medicine,</t>
  </si>
  <si>
    <t>DR. MATTHEW J. TRAUM</t>
  </si>
  <si>
    <t>mtraum@ufl.edu</t>
  </si>
  <si>
    <t xml:space="preserve">Teaching and assessment of large-enrollment engineering design courses, pedagogy for Web-based STEM courses with labs, design and metrology for novel alternative energy systems Tesla turbines, direct-air cryogenic carbon sequestration, and vapor transport through micro- and nano-porous media
</t>
  </si>
  <si>
    <t xml:space="preserve">Teaching , assessment of large-enrollment engineering design courses, pedagogy for Web-based STEM courses with labs, design , metrology for novel alternative energy systems Tesla turbines, direct-air cryogenic carbon sequestration, vapor transport through micro- , nano-porous media
</t>
  </si>
  <si>
    <t>University of Southern California (Viterbi)</t>
  </si>
  <si>
    <t>Ivan Bermejo-Moreno</t>
  </si>
  <si>
    <t xml:space="preserve">bermejom@usc.edu
</t>
  </si>
  <si>
    <t xml:space="preserve">Computational fluid mechanics, turbulent flows, fluid structure interaction, combustion, hypersonic propulsion, high performance computing
</t>
  </si>
  <si>
    <t xml:space="preserve">Mechanical and Aerospace </t>
  </si>
  <si>
    <t xml:space="preserve">yongchen@usc.edu
</t>
  </si>
  <si>
    <t>- Novel additive manufacturing process and machine development for direct digital manufacturing and 3D printing,
- New methodologies and techniques for reliable and fast manufacturing process based on process modeling and control,
- Design methods and computational tools for direct digital manufacturing enabled products and applications</t>
  </si>
  <si>
    <t>- Novel additive manufacturing process , machine development for direct digital manufacturing , 3D printing,
- New methodologies , techniques for reliable , fast manufacturing process based on process modeling , control,
- Design methods , computational tools for direct digital manufacturing enabled products , applications</t>
  </si>
  <si>
    <t>Julian A. Domaradzki</t>
  </si>
  <si>
    <t xml:space="preserve">jad@usc.edu
</t>
  </si>
  <si>
    <t>Computational fluid mechanics, environmental and geophysical fluid mechanics, turbulence.</t>
  </si>
  <si>
    <t>Computational fluid mechanics, environmental , geophysical fluid mechanics, turbulence,</t>
  </si>
  <si>
    <t>Fokion Egolfopoulos</t>
  </si>
  <si>
    <t>egolfopo@usc.edu</t>
  </si>
  <si>
    <t>Combustion Fundamentals at Engine-Relevant Conditions
Physical and Chemical Processes in Flames
Fuel and Pressure Effects on Turbulent Combustion
High-Speed Air-Breathing Propulsion
Plasma-Assisted Combustion
Conventional and Alternative Fuels
Mechanisms of Combustion-Generated Oxides of Nitrogen
Heterogeneous Reacting Flows
Detailed Modeling of Reacting Flows
Laser-Based Experimental Techniques</t>
  </si>
  <si>
    <t>Combustion Fundamentals at Engine-Relevant Conditions,
Physical , Chemical Processes in Flames,
Fuel , Pressure Effects on Turbulent Combustion,
High-Speed Air-Breathing Propulsion,
Plasma-Assisted Combustion,
Conventional , Alternative Fuels,
Mechanisms of Combustion-Generated Oxides of Nitrogen,
Heterogeneous Reacting Flows,
Detailed Modeling of Reacting Flows,
Laser-Based Experimental Techniques</t>
  </si>
  <si>
    <t>#15 - Best Engineering Schools</t>
  </si>
  <si>
    <t>Henryk Flashner</t>
  </si>
  <si>
    <t xml:space="preserve">hflashne@usc.edu
</t>
  </si>
  <si>
    <t>PFlashner's s include dynamics and control of systems, control of structurally flexible systems, and analysis of nonlinear systems.</t>
  </si>
  <si>
    <t>PFlashner's s include dynamics , control of systems, control of structurally flexible systems, analysis of nonlinear systems,</t>
  </si>
  <si>
    <t>Satyandra K. Gupta</t>
  </si>
  <si>
    <t xml:space="preserve">guptask@usc.edu
</t>
  </si>
  <si>
    <t>I am interested in developing human-centered automation solutions to increase human productivity, reduce human health risks, and enable innovation. Realizing human-centered automation requires robotics and automation technologies to reduce the physical human effort and enable humans to focus their effort on high-value tasks. It also requires augmenting human decision-making capabilities to reduce the probability of making mistakes, enabling creativity, and increasing decision-making speed.</t>
  </si>
  <si>
    <t>I am interested in developing human-centered automation solutions to increase human productivity, reduce human health risks, enable innovation, Realizing human-centered automation requires robotics , automation technologies to reduce the physical human effort , enable humans to focus their effort on high-value tasks, It also requires augmenting human decision-making capabilities to reduce the probability of making mistakes, enabling creativity, increasing decision-making speed,</t>
  </si>
  <si>
    <t>Yan Jin</t>
  </si>
  <si>
    <t xml:space="preserve">yjin@usc.edu
</t>
  </si>
  <si>
    <t>Collaborative engineering, design theory and methods, knowledge-based design and manufacturing systems, organization &amp; enterprise modeling, self-organizing and complex systems</t>
  </si>
  <si>
    <t>Collaborative engineering, design theory , methods, knowledge-based design , manufacturing systems, organization &amp; enterprise modeling, self-organizing , complex systems</t>
  </si>
  <si>
    <t>Eva Adnan Kanso</t>
  </si>
  <si>
    <t xml:space="preserve">kanso@usc.edu
</t>
  </si>
  <si>
    <t>At USC, Kanso founded the Bioinspired Motion Lab, where she works with a highly-qualified team of students and post-docs on fundamental problems in the biophysics of cellular and subcellular processes and the physics of animal behavior, both at the individual and collection levels. A central theme in Kanso's work is the role of the mechanical environment, specifically the fluid medium and fluid-structure interactions, in shaping and driving biological functions.</t>
  </si>
  <si>
    <t>biophysics of cellular , subcellular processes , the physics of animal behavior, both at the individual , collection levels</t>
  </si>
  <si>
    <t>Mitul Luhar</t>
  </si>
  <si>
    <t xml:space="preserve">luhar@usc.edu
</t>
  </si>
  <si>
    <t>Dr. Luhar's research can be classified into two major themes
(i) turbulent flows interacting with complex (e.g. rough, porous, compliant) surfaces, and
(ii) interaction between flow and flexible structures.
This work addresses open problems in aero- and hydrodynamic design, flow control, environmental science, as well as physical biology, and involves a combination of laboratory experiments and theory.</t>
  </si>
  <si>
    <t>turbulent flows interacting with complex (e.g. rough, porous, compliant) surfaces, interaction between flow and flexible structures</t>
  </si>
  <si>
    <t>Neda Maghsoodi</t>
  </si>
  <si>
    <t xml:space="preserve">maghsoodi@usc.edu
</t>
  </si>
  <si>
    <t xml:space="preserve"> Solid mechanics, Multiscale bio-dynamics, Soft materials, Bio-solid mechanics in medicine and biology, Bio-inspiration.</t>
  </si>
  <si>
    <t xml:space="preserve"> Solid mechanics, Multiscale bio-dynamics, Soft materials, Bio-solid mechanics in medicine, biology, Bio-inspiration,</t>
  </si>
  <si>
    <t>Paul K. Newton</t>
  </si>
  <si>
    <t xml:space="preserve">newton@usc.edu
</t>
  </si>
  <si>
    <t>Newton's current research in applied mathematics follows two main themes (i) Nonlinear low-dimensional dynamical systems models of the Euler and Navier-Stokes equations of incompressible fluid flows, with applications to atmospheric and oceanographic dynamics. He is the author of ‘The N-Vortex Problem Analytical Techniques’ Springer-Verlag Applied Math. Sci. Series Vol. 145, 2001, (ii) Computational oncology with a focus on dynamical systems models of cancer progression and metastasis, use of information theory concepts Associated with predictability of different cancer types, Markov chain models of progression, Moran cell based stochastic evolutionary game theory models of tumor growth and metastasis, the development of statistical forecasting tools for cancer progression, circulating tumor cell simulations in vascular flows, shape/morphology/constitutive models of cancer cells. He has written over 100 refereed journal articles on these and related topics over the course of his career and has held visiting appointments at Brown University, Caltech, The Scripps Research Institute, Hokkaido University, and the KITPat UC Santa Barbara.</t>
  </si>
  <si>
    <t>Nonlinear low-dimensional dynamical systems models of the Euler ,Computational oncology with a focus on dynamical systems models of cancer progression , metastasis, use of information theory concepts</t>
  </si>
  <si>
    <t>Quan Nguyen</t>
  </si>
  <si>
    <t xml:space="preserve">quann@usc.edu
</t>
  </si>
  <si>
    <t>Highly dynamic robotics, control of legged robots, nonlinear control, real-time optimal control, trajectory optimization, reinforcement learning for robotic locomotion</t>
  </si>
  <si>
    <t>$2,309 per credit (full-time)</t>
  </si>
  <si>
    <t>Assad Oberai</t>
  </si>
  <si>
    <t xml:space="preserve">aoberai@usc.edu
</t>
  </si>
  <si>
    <t>Assad Heads the Computation and Data Driven Discovery (CD3) grouPin AME. The CD3 grouPdesigns, implements and applies data- and physics-based models and algorithms to solve interesting problems in engineering and science. Problems such as better detection, diagnosis and care of diseases like cancer, understanding the role of mechanics and physics in medicine and biology, modeling the evolution of multi-physics and multiscale systems, and reduced-order models for aerospace and mechanical systems.</t>
  </si>
  <si>
    <t>Assad Heads the Computation , Data Driven Discovery (CD3) grouPin AME, The CD3 grouPdesigns, implements , applies data- , physics-based models , algorithms to solve interesting problems in engineering , science</t>
  </si>
  <si>
    <t>Niema Pahlevan</t>
  </si>
  <si>
    <t xml:space="preserve">pahlevan@usc.edu
</t>
  </si>
  <si>
    <t>Dr. Pahlevan's projects are interconnected through the underlying physics of fluid/structure interaction and have potential applications in diagnostics and treatment.
s
• Biofluid Dynamics
• Fluid-Structure Interaction
• Cardiovascular MRI
• 3D Quantitative Flow Visualization
• Hemodynamics
• Cardiovascular Devices
• Bio-inspired Design
• Time-Frequency Analysis
• Mathematical Physiology
• Physics of Fluids in Cardiovascular and Cerebrovascular Diseases
CP applications
• Heart Failure
• Heart Valve Diseases
• Aortic Diseases
• Dementia and Alzheimer’s disease
• Hemorrhagic Shock
• Coronary Artery Diseases
• Preeclampsia
• Septic Shock
• Insulin Resistance and Diabetes
• Sport Medicine sudden cardiac death, traumatic brain injury, cardiac overtraining</t>
  </si>
  <si>
    <t>Biofluid Dynamics,
Fluid-Structure Interaction,
Cardiovascular MRI,
3D Quantitative Flow Visualization,
Hemodynamics,
Cardiovascular Devices, Bio-inspired Design,
Time-Frequency Analysis,
Mathematical Physiology,
Physics of Fluids in Cardiovascular , Cerebrovascular Diseases,
Heart Failure,
Heart Valve Diseases,
Aortic Diseases, Dementia , Alzheimer’s disease,  Hemorrhagic Shock,
Coronary Artery Diseases,
Preeclampsia,
Septic Shock,
Insulin Resistance , Diabetes,
Sport Medicine sudden cardiac death, traumatic brain injury, cardiac overtraining</t>
  </si>
  <si>
    <t>Carlos Pantano-Rubino</t>
  </si>
  <si>
    <t xml:space="preserve">pantanor@usc.edu
</t>
  </si>
  <si>
    <t>PPantano research on turbulent flows with special focus to combustion, fluid-structure interaction and numerical methods for accurate simulation of the Navier-Stokes equations in simple and complex domains. Reactions of even the simplest hydrocarbon, such as methane, can involve hundreds of species. More practical liquid hydrocarbons involve multiple phases and thousands of reactions. It is important, therefore, to have an accurate way to compute the turbulence and chemistry interaction without having to compute all the intricate details of the chemistry. He is currently working on developing a model that "collapses" the details of the flame structure, where the energy conversion takes place, as it interacts with turbulence. In the area of fluid-structure interaction he is involved in the large-scale simulation of inflatable structures and their interactions with high-speed flows. These are flexible, fabric-like structures, that can experience very large deformations and couple to the flow stability (or instability) at high Reynolds numbers. Finally, he is actively developing numerical methods for embedded representation of complex geometrical objects. He is interested in high-order and stable numerical methods as well as adaptive mesh refinement.</t>
  </si>
  <si>
    <t>combustion, fluid-structure interaction , numerical methods for accurate simulation of the Navier-Stokes equations in simple , complex domains, Reactions of even the simplest hydrocarbon</t>
  </si>
  <si>
    <t>Paul Plucinsky</t>
  </si>
  <si>
    <t xml:space="preserve">plucinsk@usc.edu
</t>
  </si>
  <si>
    <t>Paul Plucinsky's s lie at the interface of solid mechanics, materials science and mathematics. Broadly, Paul aims to develoPtheories that capture the interplay between geometry and complex (active and architectured) material behavior, and to use these theories to make predictions relevant to the design of new materials, structures and devices. He has applied this theory-guided approach to a range of topics, including nematic elastomer sheets, origami design, shape-memory alloys, and phase transitions in nano-structures.</t>
  </si>
  <si>
    <t>solid mechanics, materials science , mathematics</t>
  </si>
  <si>
    <t>Ishwar K. Puri</t>
  </si>
  <si>
    <t xml:space="preserve">vpres@usc.edu
</t>
  </si>
  <si>
    <t>Dr. Puri's scholarshiPis known for contributions to
• Strained partially premixed counterflow flames leading to energy efficient furnaces and gas turbines,
• Thermal management of data centers,
• Thermagnetic convection,
• Nanoparticle synthesis and preparations for sensors and supercapacitors,
• Magnetic 3D printing and biologically printing cells.
His current research focuses on using magnetic fields to organize materials, including cells and tissues.</t>
  </si>
  <si>
    <t>Strained partially premixed counterflow flames leading to energy efficient furnaces , gas turbines,
Thermal management of data centers,
Thermagnetic convection,
Nanoparticle synthesis , preparations for sensors , supercapacitors,
Magnetic 3D printing , biologically printing cells</t>
  </si>
  <si>
    <t>Paul David Ronney</t>
  </si>
  <si>
    <t xml:space="preserve">ronney@usc.edu
</t>
  </si>
  <si>
    <t>Combustion, micro-scale power generation and propulsion, biophysics and biofilms, turbulence, internal combustion engines and control systems, low-gravity phenomena, radiative transfer</t>
  </si>
  <si>
    <t>Combustion, micro-scale power generation , propulsion, biophysics , biofilms, turbulence, internal combustion engines , control systems, low-gravity phenomena, radiative transfer</t>
  </si>
  <si>
    <t>Satwindar Singh Sadhal</t>
  </si>
  <si>
    <t xml:space="preserve">sadhal@usc.edu
</t>
  </si>
  <si>
    <t>Current activity includes ocular fluid dynamics and transport Associated with drug delivery, transport and permeability properties of the vitreous humor and the retina. Numerical and analytical modeling of fluid dynamics and transport phenomena in the eye. Drops and bubbles in acoustic fields</t>
  </si>
  <si>
    <t>ocular fluid dynamics , transport Associated with drug delivery, transport , permeability properties of the vitreous humor , the retina, analytical modeling of fluid dynamics , transport phenomena in the eye</t>
  </si>
  <si>
    <t>Geoffrey R Shiflett</t>
  </si>
  <si>
    <t xml:space="preserve">shiflett@usc.edu
</t>
  </si>
  <si>
    <t>Kinematics and dynamics of mechanical systems, computer-aided design, optimal design techniques, micro-electromechanical systems</t>
  </si>
  <si>
    <t>Kinematics , dynamics of mechanical systems, computer-aided design, optimal design techniques, micro-electromechanical systems</t>
  </si>
  <si>
    <t>Geoffrey Spedding</t>
  </si>
  <si>
    <t xml:space="preserve">geoff@usc.edu
</t>
  </si>
  <si>
    <t>Spedding's current research has three themes (i) Geophysical Fluids particularly the evolution of turbulence in oceans and atmospheres, and its relation to the persistence of wakes of islands and submarines, (ii) Advanced imagining and data analysis including accurate particle imagining velocimetry (PIV) techniques and novel 2D wavelet transforms and interpolation routines for scattered data, (iii) Aerodynamics of small flying devices, especially those where birds and bats coexist in engineering design space. Experiments in wind tunnels include those on simple fixed wings at USC and on flying birds and bats (at Lund University, Sweden). He has published &gt;60 full journal articles and has given &gt;80 invited talks over the last 10 years. His work has been covered in the New York Times, the LA Times, CNN and BBC News. In 2010 he was elected Fellow of the American Physical Society. In 2013 he was awarded the Chaire Joliot at ESPCI, Paris.</t>
  </si>
  <si>
    <t>Geophysical Fluids particularly the evolution of turbulence in oceans ,Advanced imagining , data analysis including accurate particle imagining velocimetry (PIV) techniques , novel 2D wavelet transforms , interpolation routines for scattered data</t>
  </si>
  <si>
    <t>Firdaus Erach Udwadia</t>
  </si>
  <si>
    <t xml:space="preserve">fudwadia@usc.edu
</t>
  </si>
  <si>
    <t>Dynamics and control, nonlinear dynamical systems, applied mathematics, mechanics and mathematics, structural and analytical dynamics, system identification, optimization, collaborative engineering, engineering management</t>
  </si>
  <si>
    <t>Dynamics , control, nonlinear dynamical systems, applied mathematics, mechanics , mathematics, structural , analytical dynamics, system identification, optimization, collaborative engineering, engineering management</t>
  </si>
  <si>
    <t>Alejandra Uranga</t>
  </si>
  <si>
    <t>auranga@usc.edu</t>
  </si>
  <si>
    <t>Dr Uranga's s are in aerodynamics, novel aircraft design, and integrated propulsion systems, for which she favors a combined computational and experimental approach. Her work aims to helPachieve environmentally sustainable aviation. She leads the Aerodynamic Research and Design Laboratory at USC.</t>
  </si>
  <si>
    <t>aerodynamics, novel aircraft design, integrated propulsion systems, for which she favors a combined computational , experimental approach</t>
  </si>
  <si>
    <t>Bingen Yang</t>
  </si>
  <si>
    <t xml:space="preserve">bingen@usc.edu
</t>
  </si>
  <si>
    <t>Dr. Yang's  lies in the fields of dynamics, vibrations, structures, controls, applied mechanics, and applied mathematics. He has undertaken various RProjects on modelling, dynamic analysis, control, and failure analysis of complex mechanical systems including aircraft and vehicle structures, flexible robot arms, automobile brakes, weapon systems, cable-stayed long span bridges, distributed vibration dampers, intelligent vehicle/highway systems, information storage systems, and machines for material processing and manufacture. Those projects have been sponsored by various government and industrial funding agencies including the National Science Foundation, the Powell Foundation, the U.S. Army Research Office, Tektronix, Motorola, Caltrans, Structural Research &amp; Analysis Corporation, Ford Motor Company, Hughes, and General Motor Company, Dr. Yang's research has resulted in over 60 journal publications.</t>
  </si>
  <si>
    <t>dynamics, vibrations, structures, controls, applied mechanics, applied mathematics</t>
  </si>
  <si>
    <t>Hangbo Zhao</t>
  </si>
  <si>
    <t xml:space="preserve">hangbozh@usc.edu
</t>
  </si>
  <si>
    <t>Hangbo's grouPworks at the intersection of advanced manufacturing, materials, and applied mechanics. The grouPaims to advance the science and technology of manufacturing through a combination of fundamental understanding of materials, mechanics, interfacial science, and multidisciplinary experimental approaches. Hangbo's focus areas include micro/nano manufacturing, bio-integrated electronics, mechanically guided assembly, and engineered surfaces/interfaces.</t>
  </si>
  <si>
    <t>advanced manufacturing, materials, applied mechanics, The grouPaims to advance the science , technology of manufacturing through a combination of fundamental underst,ing of materials, mechanics, interfacial science, multidisciplinary experimental approaches</t>
  </si>
  <si>
    <t>Inna Abramova</t>
  </si>
  <si>
    <t>abramova@usc.edu</t>
  </si>
  <si>
    <t>Saakar Byahut</t>
  </si>
  <si>
    <t>byahut@usc.edu</t>
  </si>
  <si>
    <t>Matthew Gilpin</t>
  </si>
  <si>
    <t xml:space="preserve">gilpin@usc.edu
</t>
  </si>
  <si>
    <t xml:space="preserve">Advanced Spacecraft Propulsion, Thrust Stand Diagnostics, Solar Thermal Propulsion, Heat Transfer, Thermal Energy Storage
</t>
  </si>
  <si>
    <t xml:space="preserve">Advanced Spacecraft Propulsion, Thrust St, Diagnostics, Solar Thermal Propulsion, Heat Transfer, Thermal Energy Storage
</t>
  </si>
  <si>
    <t>BoCheng Jin</t>
  </si>
  <si>
    <t>bochengj@usc.edu</t>
  </si>
  <si>
    <t>Akshay Potnuru</t>
  </si>
  <si>
    <t xml:space="preserve">potnuru@usc.edu
</t>
  </si>
  <si>
    <t xml:space="preserve">Robotics, Humanoids, 3D printing, Smart Materials, Shape memory alloys, Stents
</t>
  </si>
  <si>
    <t>Takahiro Sakai</t>
  </si>
  <si>
    <t xml:space="preserve">tsakai@usc.edu
</t>
  </si>
  <si>
    <t>Ramtin Sheikhhassani</t>
  </si>
  <si>
    <t>sheikhha@usc.edu</t>
  </si>
  <si>
    <t>Emma Katharine Singer</t>
  </si>
  <si>
    <t xml:space="preserve">eksinger@usc.edu
</t>
  </si>
  <si>
    <t>Petros A Ioannou</t>
  </si>
  <si>
    <t>ioannou@usc.edu</t>
  </si>
  <si>
    <t>1.Control Systems and Applications
This research includes
-Design and analysis of robust adaptive and nonlinear control systems for systems with unknown parameters and nonlinearities.
-Control of large flexible structures
-Control and modeling of large segmented telescopes
-Control of disk drives -Control of hypersonic aircraft
-Failure detection and accommodation and reconfigurable control designs
2. Intelligent Transportation Systems
This research includes
-Design and analysis of Intelligent Cruise Control Systems for Vehicle Vehicle following
-Automated Highway Systems
-Control of Automated Vehicles
-Lateral and longitudinal control of vehicles and trucks
-Design and analysis of vehicle control systems based on environmental considerations
-Design, modeling and optimization of container terminals
-Scheduling,dispatching and routing of trucks in metropolitan areas
3. Congestion Control of Computer Networks Bandwidth allocation and control of queues using nonlinear control techniques</t>
  </si>
  <si>
    <t>Control Systems , Applications, Design , analysis of robust adaptive , nonlinear control systems for systems with unknown parameters , nonlinearities,Control of large flexible structures,Control , modeling of large segmented telescopes,Control of disk drives -Control of hypersonic aircraft,Failure detection , accommodation , reconfigurable control designs,Design , analysis of Intelligent Cruise Control Systems for Vehicle, Vehicle following
,Automated Highway Systems
,Control of Automated Vehicles
,Lateral, longitudinal control of vehicles ,  analysis of vehicle control systems based on environmental considerations</t>
  </si>
  <si>
    <t>University of Washington</t>
  </si>
  <si>
    <r>
      <rPr>
        <sz val="10"/>
        <color rgb="FF000000"/>
        <rFont val="Arial"/>
        <family val="2"/>
      </rPr>
      <t>del Alamo, Juan Carlo</t>
    </r>
    <r>
      <rPr>
        <sz val="10"/>
        <color rgb="FF000000"/>
        <rFont val="Arial"/>
        <family val="2"/>
      </rPr>
      <t xml:space="preserve">s
</t>
    </r>
  </si>
  <si>
    <t>juancar@uw.edu</t>
  </si>
  <si>
    <t>Fluids</t>
  </si>
  <si>
    <r>
      <rPr>
        <u/>
        <sz val="10"/>
        <color rgb="FF000000"/>
        <rFont val="Arial"/>
        <family val="2"/>
      </rPr>
      <t xml:space="preserve">Chair - </t>
    </r>
    <r>
      <rPr>
        <u/>
        <sz val="10"/>
        <color rgb="FF000000"/>
        <rFont val="Arial"/>
        <family val="2"/>
      </rPr>
      <t>Aliseda, Alberto</t>
    </r>
    <r>
      <rPr>
        <u/>
        <sz val="10"/>
        <color rgb="FF000000"/>
        <rFont val="Arial"/>
        <family val="2"/>
      </rPr>
      <t xml:space="preserve">
</t>
    </r>
  </si>
  <si>
    <t>aaliseda@uw.edu</t>
  </si>
  <si>
    <t>Fluids
Health
Energy &amp; Environment
Data Science &amp; Machine Learning
Fluid Mechanics</t>
  </si>
  <si>
    <t>Bailey, Michael</t>
  </si>
  <si>
    <t>bailey@apl.washington.edu</t>
  </si>
  <si>
    <t xml:space="preserve">Dr. Bailey's current research focuses on translating ultrasound technology to manage kidney stones. He also works on histotripsy to liquefy tissue and metrology methods to characterize high intensity focused ultrasound sources.
</t>
  </si>
  <si>
    <t xml:space="preserve"> translating ultrasound technology to manage kidney stones</t>
  </si>
  <si>
    <t>Banerjee, Ashis</t>
  </si>
  <si>
    <t>ashisb@uw.edu</t>
  </si>
  <si>
    <t>Engineering and health
Engineering and manufacturing
Advanced Materials &amp; Manufacturing
Health
Mechatronics &amp; Robotics</t>
  </si>
  <si>
    <t>Engineering , health,
Engineering , manufacturing,
Advanced Materials &amp; Manufacturing,
Health,
Mechatronics &amp; Robotics</t>
  </si>
  <si>
    <t>#25 - Best Engineering Schools</t>
  </si>
  <si>
    <r>
      <rPr>
        <u/>
        <sz val="10"/>
        <color rgb="FF000000"/>
        <rFont val="Arial"/>
        <family val="2"/>
      </rPr>
      <t>Brunton, Steve</t>
    </r>
    <r>
      <rPr>
        <u/>
        <sz val="10"/>
        <color rgb="FF000000"/>
        <rFont val="Arial"/>
        <family val="2"/>
      </rPr>
      <t xml:space="preserve">
</t>
    </r>
  </si>
  <si>
    <t>sbrunton@uw.edu</t>
  </si>
  <si>
    <t>Engineering and energy
Engineering and manufacturing
Fluids
Advanced Materials &amp; Manufacturing
Mechatronics &amp; Robotics</t>
  </si>
  <si>
    <t>Engineering , energy,
Engineering , manufacturing,
Fluids,
Advanced Materials &amp; Manufacturing,
Mechatronics &amp; Robotics</t>
  </si>
  <si>
    <r>
      <rPr>
        <u/>
        <sz val="10"/>
        <color rgb="FF000000"/>
        <rFont val="Arial"/>
        <family val="2"/>
      </rPr>
      <t>Chen, Xu</t>
    </r>
    <r>
      <rPr>
        <u/>
        <sz val="10"/>
        <color rgb="FF000000"/>
        <rFont val="Arial"/>
        <family val="2"/>
      </rPr>
      <t xml:space="preserve">
</t>
    </r>
  </si>
  <si>
    <t>chx@uw.edu</t>
  </si>
  <si>
    <t>Infrastructure and smart cities
Engineering and manufacturing
Advanced Materials &amp; Manufacturing
Health
Mechatronics &amp; Robotics</t>
  </si>
  <si>
    <t>Infrastructure , smart cities,
Engineering , manufacturing,
Advanced Materials &amp; Manufacturing,
Health,
Mechatronics &amp; Robotics</t>
  </si>
  <si>
    <r>
      <rPr>
        <u/>
        <sz val="10"/>
        <color rgb="FF000000"/>
        <rFont val="Arial"/>
        <family val="2"/>
      </rPr>
      <t>Chung, Jae-Hyun</t>
    </r>
    <r>
      <rPr>
        <u/>
        <sz val="10"/>
        <color rgb="FF000000"/>
        <rFont val="Arial"/>
        <family val="2"/>
      </rPr>
      <t xml:space="preserve">
</t>
    </r>
  </si>
  <si>
    <t>jae71@uw.edu</t>
  </si>
  <si>
    <t>Engineering and health
Engineering and manufacturing
Advanced Materials &amp; Manufacturing
Health
MEMS/Nanotechnology</t>
  </si>
  <si>
    <t>Engineering , health,
Engineering , manufacturing,
Advanced Materials &amp; Manufacturing,
Health,
MEMS/Nanotechnology</t>
  </si>
  <si>
    <r>
      <rPr>
        <u/>
        <sz val="10"/>
        <color rgb="FF000000"/>
        <rFont val="Arial"/>
        <family val="2"/>
      </rPr>
      <t>Cobb, Corie</t>
    </r>
    <r>
      <rPr>
        <u/>
        <sz val="10"/>
        <color rgb="FF000000"/>
        <rFont val="Arial"/>
        <family val="2"/>
      </rPr>
      <t xml:space="preserve">
</t>
    </r>
  </si>
  <si>
    <t>clcobb@uw.edu</t>
  </si>
  <si>
    <t>Engineering and manufacturing
Engineering and energy
Energy &amp; Environment
Advanced Materials &amp; Manufacturing
Additive manufacturing</t>
  </si>
  <si>
    <t>Engineering , manufacturing,
Engineering , energy,
Energy &amp; Environment,
Advanced Materials &amp; Manufacturing,
Additive manufacturing</t>
  </si>
  <si>
    <r>
      <rPr>
        <u/>
        <sz val="10"/>
        <color rgb="FF000000"/>
        <rFont val="Arial"/>
        <family val="2"/>
      </rPr>
      <t>Dahl, Peter</t>
    </r>
    <r>
      <rPr>
        <u/>
        <sz val="10"/>
        <color rgb="FF000000"/>
        <rFont val="Arial"/>
        <family val="2"/>
      </rPr>
      <t xml:space="preserve">
</t>
    </r>
  </si>
  <si>
    <t>dahl@apl.washington.edu</t>
  </si>
  <si>
    <t>Energy &amp; Environment
Acoustic Propagation in Shallow Water
Acoustic Vector Intensity
Underwater Industrial Noise
Arctic Underwater Acoustics</t>
  </si>
  <si>
    <t>Energy &amp; Environment,
Acoustic Propagation in Shallow Water,
Acoustic Vector Intensity,
Underwater Industrial Noise,
Arctic Underwater Acoustics</t>
  </si>
  <si>
    <r>
      <rPr>
        <u/>
        <sz val="10"/>
        <color rgb="FF000000"/>
        <rFont val="Arial"/>
        <family val="2"/>
      </rPr>
      <t>Devasia, Santosh</t>
    </r>
    <r>
      <rPr>
        <u/>
        <sz val="10"/>
        <color rgb="FF000000"/>
        <rFont val="Arial"/>
        <family val="2"/>
      </rPr>
      <t xml:space="preserve">
</t>
    </r>
  </si>
  <si>
    <t>devasia@uw.edu</t>
  </si>
  <si>
    <t>Engineering and manufacturing
Advanced Materials &amp; Manufacturing
Health
Mechatronics &amp; Robotics
Data Science &amp; Machine Learning</t>
  </si>
  <si>
    <t>Engineering , manufacturing,
Advanced Materials &amp; Manufacturing,
Health,
Mechatronics &amp; Robotics,
Data Science &amp; Machine Learning</t>
  </si>
  <si>
    <r>
      <rPr>
        <u/>
        <sz val="10"/>
        <color rgb="FF000000"/>
        <rFont val="Arial"/>
        <family val="2"/>
      </rPr>
      <t>DiBenedetto, Michelle</t>
    </r>
    <r>
      <rPr>
        <u/>
        <sz val="10"/>
        <color rgb="FF000000"/>
        <rFont val="Arial"/>
        <family val="2"/>
      </rPr>
      <t xml:space="preserve">
</t>
    </r>
  </si>
  <si>
    <t>mdiben@uw.edu</t>
  </si>
  <si>
    <t>Engineering and environment
Fluids
Energy &amp; Environment
Environmental Fluid Mechanics
Microplastics</t>
  </si>
  <si>
    <t>Engineering , environment,
Fluids,
Energy &amp; Environment,
Environmental Fluid Mechanics,
Microplastics</t>
  </si>
  <si>
    <r>
      <rPr>
        <u/>
        <sz val="10"/>
        <color rgb="FF000000"/>
        <rFont val="Arial"/>
        <family val="2"/>
      </rPr>
      <t>Emery, Ashley</t>
    </r>
    <r>
      <rPr>
        <u/>
        <sz val="10"/>
        <color rgb="FF000000"/>
        <rFont val="Arial"/>
        <family val="2"/>
      </rPr>
      <t xml:space="preserve">
</t>
    </r>
  </si>
  <si>
    <t>emery@uw.edu</t>
  </si>
  <si>
    <t>Engineering and energy
Engineering and health
Energy &amp; Environment
Fluids
Advanced Materials &amp; Manufacturing</t>
  </si>
  <si>
    <t>Engineering , energy,
Engineering , health,
Energy &amp; Environment,
Fluids,
Advanced Materials &amp; Manufacturing</t>
  </si>
  <si>
    <t>$19,482 per year (in-state, full-time)</t>
  </si>
  <si>
    <t>Fuller, Sawyer</t>
  </si>
  <si>
    <t>minster@uw.edu</t>
  </si>
  <si>
    <t>Engineering and manufacturing
Advanced Materials &amp; Manufacturing
Mechatronics &amp; Robotics
Biology-inspired Robotics and Control
Insect Flight Control</t>
  </si>
  <si>
    <t>Engineering , manufacturing,
Advanced Materials &amp; Manufacturing,
Mechatronics &amp; Robotics,
Biology-inspired Robotics , Control,
Insect Flight Control</t>
  </si>
  <si>
    <r>
      <rPr>
        <u/>
        <sz val="10"/>
        <color rgb="FF000000"/>
        <rFont val="Arial"/>
        <family val="2"/>
      </rPr>
      <t>Ganter, Mark</t>
    </r>
    <r>
      <rPr>
        <u/>
        <sz val="10"/>
        <color rgb="FF000000"/>
        <rFont val="Arial"/>
        <family val="2"/>
      </rPr>
      <t xml:space="preserve">
</t>
    </r>
  </si>
  <si>
    <t>ganter@uw.edu</t>
  </si>
  <si>
    <t>Engineering and manufacturing
Advanced Materials &amp; Manufacturing
Implicit Solid Modeling
Layered Manufacturing
Extension of Techniques For Skeleton Generation</t>
  </si>
  <si>
    <t>Engineering , manufacturing,
Advanced Materials &amp; Manufacturing,
Implicit Solid Modeling,
Layered Manufacturing,
Extension of Techniques For Skeleton Generation</t>
  </si>
  <si>
    <r>
      <rPr>
        <u/>
        <sz val="10"/>
        <color rgb="FF000000"/>
        <rFont val="Arial"/>
        <family val="2"/>
      </rPr>
      <t>Garbini, Joseph</t>
    </r>
    <r>
      <rPr>
        <u/>
        <sz val="10"/>
        <color rgb="FF000000"/>
        <rFont val="Arial"/>
        <family val="2"/>
      </rPr>
      <t xml:space="preserve">
</t>
    </r>
  </si>
  <si>
    <t>garbini@uw.edu</t>
  </si>
  <si>
    <t>Advanced Materials &amp; Manufacturing
Mechatronics &amp; Robotics
Analysis Design
Control of Dynamic Systems
Mechatronics</t>
  </si>
  <si>
    <t>Advanced Materials &amp; Manufacturing,
Mechatronics &amp; Robotics,
Analysis Design,
Control of Dynamic Systems,
Mechatronics</t>
  </si>
  <si>
    <r>
      <rPr>
        <u/>
        <sz val="10"/>
        <color rgb="FF000000"/>
        <rFont val="Arial"/>
        <family val="2"/>
      </rPr>
      <t>Jones, Julia</t>
    </r>
    <r>
      <rPr>
        <u/>
        <sz val="10"/>
        <color rgb="FF000000"/>
        <rFont val="Arial"/>
        <family val="2"/>
      </rPr>
      <t xml:space="preserve">
</t>
    </r>
  </si>
  <si>
    <t>jhjones@uw.edu</t>
  </si>
  <si>
    <r>
      <rPr>
        <u/>
        <sz val="10"/>
        <color rgb="FF000000"/>
        <rFont val="Arial"/>
        <family val="2"/>
      </rPr>
      <t>Kang, Soyoung</t>
    </r>
    <r>
      <rPr>
        <u/>
        <sz val="10"/>
        <color rgb="FF000000"/>
        <rFont val="Arial"/>
        <family val="2"/>
      </rPr>
      <t xml:space="preserve">
</t>
    </r>
  </si>
  <si>
    <t>soyoungk@uw.edu</t>
  </si>
  <si>
    <t>Engineering and health
Health
Health Innovation, Biophotonics, Medical Devices, Translational Health Sciences</t>
  </si>
  <si>
    <t>Engineering , health,Health Innovation, Biophotonics, Medical Devices, Translational Health Sciences</t>
  </si>
  <si>
    <r>
      <rPr>
        <u/>
        <sz val="10"/>
        <color rgb="FF000000"/>
        <rFont val="Arial"/>
        <family val="2"/>
      </rPr>
      <t>Kramlich, John</t>
    </r>
    <r>
      <rPr>
        <u/>
        <sz val="10"/>
        <color rgb="FF000000"/>
        <rFont val="Arial"/>
        <family val="2"/>
      </rPr>
      <t xml:space="preserve">
</t>
    </r>
  </si>
  <si>
    <t>kramlich@uw.edu</t>
  </si>
  <si>
    <t>Engineering and energy
Energy &amp; Environment
Fluids
Energy Conversion Systems
Combustion and Pollutants/environmental Control</t>
  </si>
  <si>
    <t>Engineering , energy,
Energy &amp; Environment,
Fluids,
Energy Conversion Systems,
Combustion , Pollutants/environmental Control</t>
  </si>
  <si>
    <r>
      <rPr>
        <u/>
        <sz val="10"/>
        <color rgb="FF000000"/>
        <rFont val="Arial"/>
        <family val="2"/>
      </rPr>
      <t>Kumar, Vipin</t>
    </r>
    <r>
      <rPr>
        <u/>
        <sz val="10"/>
        <color rgb="FF000000"/>
        <rFont val="Arial"/>
        <family val="2"/>
      </rPr>
      <t xml:space="preserve">
</t>
    </r>
  </si>
  <si>
    <t>vkumar@uw.edu</t>
  </si>
  <si>
    <t>Engineering and manufacturing
Advanced Materials &amp; Manufacturing
Polymeric Composites
Microcellular Composites
Design and Manufacturing</t>
  </si>
  <si>
    <t>Engineering , manufacturing,
Advanced Materials &amp; Manufacturing,
Polymeric Composites,
Microcellular Composites,
Design , Manufacturing</t>
  </si>
  <si>
    <t>Kurt, Mehmet</t>
  </si>
  <si>
    <t>mkurt@uw.edu</t>
  </si>
  <si>
    <t>Engineering and health
Health
Data Science &amp; Machine Learning</t>
  </si>
  <si>
    <t>Engineering , health,
Data Science &amp; Machine Learning</t>
  </si>
  <si>
    <r>
      <rPr>
        <u/>
        <sz val="10"/>
        <color rgb="FF000000"/>
        <rFont val="Arial"/>
        <family val="2"/>
      </rPr>
      <t>Liu, Jonathan</t>
    </r>
    <r>
      <rPr>
        <u/>
        <sz val="10"/>
        <color rgb="FF000000"/>
        <rFont val="Arial"/>
        <family val="2"/>
      </rPr>
      <t xml:space="preserve">
</t>
    </r>
  </si>
  <si>
    <t>jonliu@uw.edu</t>
  </si>
  <si>
    <t>Engineering and health
Health
Mechatronics &amp; Robotics
Data Science &amp; Machine Learning
Biomedical Optics</t>
  </si>
  <si>
    <t>Engineering , health,
Mechatronics &amp; Robotics,
Data Science &amp; Machine Learning,
Biomedical Optics</t>
  </si>
  <si>
    <t>MacKenzie, J. Devin</t>
  </si>
  <si>
    <t>jdmacken@uw.edu</t>
  </si>
  <si>
    <t>Engineering and energy
Engineering and manufacturing
Engineering and environment
Energy &amp; Environment
Advanced Materials &amp; Manufacturing</t>
  </si>
  <si>
    <t>Engineering , energy,
manufacturing, environment,
Advanced Materials &amp; Manufacturing</t>
  </si>
  <si>
    <r>
      <rPr>
        <u/>
        <sz val="10"/>
        <color rgb="FF000000"/>
        <rFont val="Arial"/>
        <family val="2"/>
      </rPr>
      <t>Malakooti, Mohammad</t>
    </r>
    <r>
      <rPr>
        <u/>
        <sz val="10"/>
        <color rgb="FF000000"/>
        <rFont val="Arial"/>
        <family val="2"/>
      </rPr>
      <t xml:space="preserve">
</t>
    </r>
  </si>
  <si>
    <t>malakoot@uw.edu</t>
  </si>
  <si>
    <t>Engineering and energy
Engineering and health
Engineering and manufacturing
Advanced Materials &amp; Manufacturing
Health</t>
  </si>
  <si>
    <r>
      <rPr>
        <u/>
        <sz val="10"/>
        <color rgb="FF000000"/>
        <rFont val="Arial"/>
        <family val="2"/>
      </rPr>
      <t>Mamidala, Ramulu</t>
    </r>
    <r>
      <rPr>
        <u/>
        <sz val="10"/>
        <color rgb="FF000000"/>
        <rFont val="Arial"/>
        <family val="2"/>
      </rPr>
      <t xml:space="preserve">
</t>
    </r>
  </si>
  <si>
    <t>ramulum@uw.edu</t>
  </si>
  <si>
    <t>Engineering and manufacturing
Advanced Materials &amp; Manufacturing
Mechanics of Materials
Modeling Manufacturing Processes &amp; Surface Integrity
Machining &amp; Drilling Science of Composite Materials</t>
  </si>
  <si>
    <t>Engineering , manufacturing,
Advanced Materials &amp; Manufacturing,
Mechanics of Materials,
Modeling Manufacturing Processes &amp; Surface Integrity,
Machining &amp; Drilling Science of Composite Materials,</t>
  </si>
  <si>
    <r>
      <rPr>
        <u/>
        <sz val="10"/>
        <color rgb="FF000000"/>
        <rFont val="Arial"/>
        <family val="2"/>
      </rPr>
      <t>Manohar, Krithika</t>
    </r>
    <r>
      <rPr>
        <u/>
        <sz val="10"/>
        <color rgb="FF000000"/>
        <rFont val="Arial"/>
        <family val="2"/>
      </rPr>
      <t xml:space="preserve">
</t>
    </r>
  </si>
  <si>
    <t>kmanohar@uw.edu</t>
  </si>
  <si>
    <t>Engineering and manufacturing
Fluids
Advanced Materials &amp; Manufacturing
Mechatronics &amp; Robotics
Data Science &amp; Machine Learning</t>
  </si>
  <si>
    <t>Engineering , manufacturing,
Fluids,
Advanced Materials &amp; Manufacturing,
Mechatronics &amp; Robotics,
Data Science &amp; Machine Learning,</t>
  </si>
  <si>
    <r>
      <rPr>
        <u/>
        <sz val="10"/>
        <color rgb="FF000000"/>
        <rFont val="Arial"/>
        <family val="2"/>
      </rPr>
      <t>Mescher, Ann</t>
    </r>
    <r>
      <rPr>
        <u/>
        <sz val="10"/>
        <color rgb="FF000000"/>
        <rFont val="Arial"/>
        <family val="2"/>
      </rPr>
      <t xml:space="preserve">
</t>
    </r>
  </si>
  <si>
    <t>mescher@uw.edu</t>
  </si>
  <si>
    <t>Engineering and energy
Engineering and manufacturing
Energy &amp; Environment
Advanced Materials &amp; Manufacturing
Fluids</t>
  </si>
  <si>
    <t>Engineering , energy
Engineering , manufacturing
Energy &amp; Environment
Advanced Materials &amp; Manufacturing
Fluids</t>
  </si>
  <si>
    <r>
      <rPr>
        <u/>
        <sz val="10"/>
        <color rgb="FF000000"/>
        <rFont val="Arial"/>
        <family val="2"/>
      </rPr>
      <t>Meza, Lucas</t>
    </r>
    <r>
      <rPr>
        <u/>
        <sz val="10"/>
        <color rgb="FF000000"/>
        <rFont val="Arial"/>
        <family val="2"/>
      </rPr>
      <t xml:space="preserve">
</t>
    </r>
  </si>
  <si>
    <t>lmeza@uw.edu</t>
  </si>
  <si>
    <t>Advanced Materials &amp; Manufacturing
Nanoarchitected Materials
Experimental Nanomechanics
Bioinspired Materials
Mechanical Instabilities</t>
  </si>
  <si>
    <r>
      <rPr>
        <u/>
        <sz val="10"/>
        <color rgb="FF000000"/>
        <rFont val="Arial"/>
        <family val="2"/>
      </rPr>
      <t>Novosselov, Igor</t>
    </r>
    <r>
      <rPr>
        <u/>
        <sz val="10"/>
        <color rgb="FF000000"/>
        <rFont val="Arial"/>
        <family val="2"/>
      </rPr>
      <t xml:space="preserve">
</t>
    </r>
  </si>
  <si>
    <t>ivn@uw.edu</t>
  </si>
  <si>
    <t>Engineering and energy
Energy &amp; Environment
Fluids
Advanced Materials &amp; Manufacturing
Health</t>
  </si>
  <si>
    <t>Engineering , energy
Energy &amp; Environment
Fluids
Advanced Materials &amp; Manufacturing
Health</t>
  </si>
  <si>
    <t>Olanrewaju, Ayokunle</t>
  </si>
  <si>
    <t>ayokunle@uw.edu</t>
  </si>
  <si>
    <t>Engineering and environment
Engineering and health
Engineering and manufacturing
Fluids
Advanced Materials &amp; Manufacturing</t>
  </si>
  <si>
    <t>Engineering , environment
Engineering , health
Engineering , manufacturing
Fluids
Advanced Materials &amp; Manufacturing</t>
  </si>
  <si>
    <r>
      <rPr>
        <u/>
        <sz val="10"/>
        <color rgb="FF000000"/>
        <rFont val="Arial"/>
        <family val="2"/>
      </rPr>
      <t>Patten, Eli</t>
    </r>
    <r>
      <rPr>
        <u/>
        <sz val="10"/>
        <color rgb="FF000000"/>
        <rFont val="Arial"/>
        <family val="2"/>
      </rPr>
      <t xml:space="preserve">
</t>
    </r>
  </si>
  <si>
    <t>epatten@uw.edu</t>
  </si>
  <si>
    <r>
      <rPr>
        <u/>
        <sz val="10"/>
        <color rgb="FF000000"/>
        <rFont val="Arial"/>
        <family val="2"/>
      </rPr>
      <t>Polagye, Brian</t>
    </r>
    <r>
      <rPr>
        <u/>
        <sz val="10"/>
        <color rgb="FF000000"/>
        <rFont val="Arial"/>
        <family val="2"/>
      </rPr>
      <t xml:space="preserve">
</t>
    </r>
  </si>
  <si>
    <t>bpolagye@uw.edu</t>
  </si>
  <si>
    <t>Engineering and environment
Engineering and energy
Energy &amp; Environment
Fluids
Data Science &amp; Machine Learning</t>
  </si>
  <si>
    <t>Engineering , environment
Engineering , energy
Energy &amp; Environment
Fluids
Data Science &amp; Machine Learning</t>
  </si>
  <si>
    <t>Posner, Jonathan</t>
  </si>
  <si>
    <t>jposner@uw.edu</t>
  </si>
  <si>
    <t>Engineering and health
Engineering and environment
Engineering and energy
Energy &amp; Environment
Fluids</t>
  </si>
  <si>
    <t>Engineering , health, environment, energy, Fluids</t>
  </si>
  <si>
    <t>Powers, Joe</t>
  </si>
  <si>
    <t>powersjd@uw.edu</t>
  </si>
  <si>
    <t>Engineering and health
Health
BIomechanics
Mechanobiology
Cardiac Pathology</t>
  </si>
  <si>
    <r>
      <rPr>
        <u/>
        <sz val="10"/>
        <color rgb="FF000000"/>
        <rFont val="Arial"/>
        <family val="2"/>
      </rPr>
      <t>Reinhall, Per</t>
    </r>
    <r>
      <rPr>
        <u/>
        <sz val="10"/>
        <color rgb="FF000000"/>
        <rFont val="Arial"/>
        <family val="2"/>
      </rPr>
      <t xml:space="preserve">
</t>
    </r>
  </si>
  <si>
    <t>reinhall@uw.edu</t>
  </si>
  <si>
    <t>Engineering and health
Engineering and manufacturing
Energy &amp; Environment
Advanced Materials &amp; Manufacturing
Health</t>
  </si>
  <si>
    <r>
      <rPr>
        <u/>
        <sz val="10"/>
        <color rgb="FF000000"/>
        <rFont val="Arial"/>
        <family val="2"/>
      </rPr>
      <t>Robinson, Jenny</t>
    </r>
    <r>
      <rPr>
        <u/>
        <sz val="10"/>
        <color rgb="FF000000"/>
        <rFont val="Arial"/>
        <family val="2"/>
      </rPr>
      <t xml:space="preserve">
</t>
    </r>
  </si>
  <si>
    <t>jrobins1@uw.edu</t>
  </si>
  <si>
    <t>Engineering and health
Engineering and manufacturing
Advanced Materials &amp; Manufacturing
Health
Mechanobiology</t>
  </si>
  <si>
    <r>
      <rPr>
        <u/>
        <sz val="10"/>
        <color rgb="FF000000"/>
        <rFont val="Arial"/>
        <family val="2"/>
      </rPr>
      <t>Seibel, Eric</t>
    </r>
    <r>
      <rPr>
        <u/>
        <sz val="10"/>
        <color rgb="FF000000"/>
        <rFont val="Arial"/>
        <family val="2"/>
      </rPr>
      <t xml:space="preserve">
</t>
    </r>
  </si>
  <si>
    <t>eseibel@uw.edu</t>
  </si>
  <si>
    <t>Engineering and health
Health
Mechatronics &amp; Robotics
Data Science &amp; Machine Learning
Optical Scanning For Image Acquisition and Display</t>
  </si>
  <si>
    <r>
      <rPr>
        <u/>
        <sz val="10"/>
        <color rgb="FF000000"/>
        <rFont val="Arial"/>
        <family val="2"/>
      </rPr>
      <t>Shen, Steve</t>
    </r>
    <r>
      <rPr>
        <u/>
        <sz val="10"/>
        <color rgb="FF000000"/>
        <rFont val="Arial"/>
        <family val="2"/>
      </rPr>
      <t xml:space="preserve">
</t>
    </r>
  </si>
  <si>
    <t>ishen@uw.edu</t>
  </si>
  <si>
    <r>
      <rPr>
        <u/>
        <sz val="10"/>
        <color rgb="FF000000"/>
        <rFont val="Arial"/>
        <family val="2"/>
      </rPr>
      <t>Sniadecki, Nate</t>
    </r>
    <r>
      <rPr>
        <u/>
        <sz val="10"/>
        <color rgb="FF000000"/>
        <rFont val="Arial"/>
        <family val="2"/>
      </rPr>
      <t xml:space="preserve">
</t>
    </r>
  </si>
  <si>
    <t>nsniadec@uw.edu</t>
  </si>
  <si>
    <t>Engineering and health
Advanced Materials &amp; Manufacturing
Health
Mechanobiology
BioMEMS</t>
  </si>
  <si>
    <r>
      <rPr>
        <u/>
        <sz val="10"/>
        <color rgb="FF000000"/>
        <rFont val="Arial"/>
        <family val="2"/>
      </rPr>
      <t>Steele, Kat</t>
    </r>
    <r>
      <rPr>
        <u/>
        <sz val="10"/>
        <color rgb="FF000000"/>
        <rFont val="Arial"/>
        <family val="2"/>
      </rPr>
      <t xml:space="preserve">
</t>
    </r>
  </si>
  <si>
    <t>kmsteele@uw.edu</t>
  </si>
  <si>
    <t>Engineering and health
Health
Mechatronics &amp; Robotics
Data Science &amp; Machine Learning
BIomechanics</t>
  </si>
  <si>
    <r>
      <rPr>
        <u/>
        <sz val="10"/>
        <color rgb="FF000000"/>
        <rFont val="Arial"/>
        <family val="2"/>
      </rPr>
      <t>Storti, Duane</t>
    </r>
    <r>
      <rPr>
        <u/>
        <sz val="10"/>
        <color rgb="FF000000"/>
        <rFont val="Arial"/>
        <family val="2"/>
      </rPr>
      <t xml:space="preserve">
</t>
    </r>
  </si>
  <si>
    <t>storti@uw.edu</t>
  </si>
  <si>
    <t>Engineering and manufacturing
Advanced Materials &amp; Manufacturing
Computational Manufacturing and Design
Innovative Mathematical Foundations For Geometric Design
Implicit Solid Modeling</t>
  </si>
  <si>
    <t>Engineering , manufacturing,
Advanced Materials &amp; Manufacturing,
Computational Manufacturing , Design,
Innovative Mathematical Foundations For Geometric Design,
Implicit Solid Modeling</t>
  </si>
  <si>
    <t>Sun, Shijing</t>
  </si>
  <si>
    <t>shijing@uw.edu</t>
  </si>
  <si>
    <t>Engineering and environment
Engineering and energy
Engineering and manufacturing
Energy &amp; Environment
Advanced Materials &amp; Manufacturing</t>
  </si>
  <si>
    <t>Engineering , environment, manufacturing, Energy &amp; Environment, Advanced Materials &amp; Manufacturing</t>
  </si>
  <si>
    <r>
      <rPr>
        <u/>
        <sz val="10"/>
        <color rgb="FF000000"/>
        <rFont val="Arial"/>
        <family val="2"/>
      </rPr>
      <t>Vashisth, Aniruddh</t>
    </r>
    <r>
      <rPr>
        <u/>
        <sz val="10"/>
        <color rgb="FF000000"/>
        <rFont val="Arial"/>
        <family val="2"/>
      </rPr>
      <t xml:space="preserve">
</t>
    </r>
  </si>
  <si>
    <t>vashisth@uw.edu</t>
  </si>
  <si>
    <t>Engineering and manufacturing
Advanced Materials &amp; Manufacturing
Energy &amp; Environment
Mechatronics &amp; Robotics
Data Science &amp; Machine Learning</t>
  </si>
  <si>
    <t>Engineering , manufacturing,
Advanced Materials &amp; Manufacturing,
Energy &amp; Environment,
Mechatronics &amp; Robotics,
Data Science &amp; Machine Learning</t>
  </si>
  <si>
    <r>
      <rPr>
        <u/>
        <sz val="10"/>
        <color rgb="FF000000"/>
        <rFont val="Arial"/>
        <family val="2"/>
      </rPr>
      <t>Wang, Junlan</t>
    </r>
    <r>
      <rPr>
        <u/>
        <sz val="10"/>
        <color rgb="FF000000"/>
        <rFont val="Arial"/>
        <family val="2"/>
      </rPr>
      <t xml:space="preserve">
</t>
    </r>
  </si>
  <si>
    <t>junlan@uw.edu</t>
  </si>
  <si>
    <t>Engineering and energy
Engineering and health
Engineering and manufacturing
Advanced Materials &amp; Manufacturing
Energy &amp; Environment</t>
  </si>
  <si>
    <t>Brown University</t>
  </si>
  <si>
    <t>Linda M. Abriola</t>
  </si>
  <si>
    <t>Linda_Abriola@brown.edu</t>
  </si>
  <si>
    <t>s  Groundwater hydrology, soil and groundwater remediation, mathematical modeling of multiphase flow and transport in porous media, engineered nanoparticle transport and reactivity</t>
  </si>
  <si>
    <t>Groundwater hydrology, soil , groundwater remediation, mathematical modeling of multiphase flow , transport in porous media, engineered nanoparticle transport , reactivity</t>
  </si>
  <si>
    <t>Jesse Ault</t>
  </si>
  <si>
    <t>Adjunct Assistant P</t>
  </si>
  <si>
    <t>Jesse_Ault@brown.edu</t>
  </si>
  <si>
    <t>s  theoretical and computational fluid dynamics, non-equilibrium coupled particle systems, biomedical applications of particle/fluid transport</t>
  </si>
  <si>
    <t>Adjunct Assistant P2</t>
  </si>
  <si>
    <t>theoretical , computational fluid dynamics, non-equilibrium coupled particle systems, biomedical applications of particle/fluid transport</t>
  </si>
  <si>
    <t>Nora Ayanian</t>
  </si>
  <si>
    <t>Nora_Ayanian@brown.edu</t>
  </si>
  <si>
    <t>s  robotics, multi-robot and multi-agent systems, aerial robotics, multi-robot mapping, heterogeneous robots, social computation for robotics, mixed reality for robotics</t>
  </si>
  <si>
    <t>robotics, multi-robot , multi-agent systems, aerial robotics, multi-robot mapping, heterogeneous robots, social computation for robotics, mixed reality for robotics</t>
  </si>
  <si>
    <t>#33 - Mechanical Engineering</t>
  </si>
  <si>
    <t>Yuri Bazilevs</t>
  </si>
  <si>
    <t>Yuri_Bazilevs@brown.edu</t>
  </si>
  <si>
    <t>s  computational mechanics, isogeometric analysis, computational solids, structures, fluids, fluid-structure interaction, high-performance computing</t>
  </si>
  <si>
    <t>computational mechanics, isogeometric analysis, computational solids, structures, fluids, fluid-structure interaction, high-performance computing</t>
  </si>
  <si>
    <t>#63 - Best Engineering Schools</t>
  </si>
  <si>
    <t>Rod Beresford</t>
  </si>
  <si>
    <t>Rod_Beresford@brown.edu</t>
  </si>
  <si>
    <t>s  molecular beam epitaxy, electronic materials and devices, quantum well and superlattice device physics</t>
  </si>
  <si>
    <t>molecular beam epitaxy, electronic materials , devices, quantum well , superlattice device physics</t>
  </si>
  <si>
    <t>Miguel Bessa</t>
  </si>
  <si>
    <t>miguel_bessa@brown.edu</t>
  </si>
  <si>
    <t>s  computational mechanics and materials science, development of numerical methods, machine learning and optimization, multi-scale modeling of materials and structures</t>
  </si>
  <si>
    <t>computational mechanics , materials science, development of numerical methods, machine learning , optimization, multi-scale modeling of materials , structures</t>
  </si>
  <si>
    <t>Janet Blume</t>
  </si>
  <si>
    <t>Janet_Blume@brown.edu</t>
  </si>
  <si>
    <t>s  finite deformation solid mechanics, constitutive equations</t>
  </si>
  <si>
    <t>finite deformation solid mechanics, constitutive equations</t>
  </si>
  <si>
    <t>David Borton</t>
  </si>
  <si>
    <t>David_Borton@brown.edu</t>
  </si>
  <si>
    <t xml:space="preserve">s  neuroengineering, neuromotor disease, neuroprosthetics, responsive neuromodulation, spinal cord injury
</t>
  </si>
  <si>
    <t xml:space="preserve">neuroengineering, neuromotor disease, neuroprosthetics, responsive neuromodulation, spinal cord injury
</t>
  </si>
  <si>
    <t>Kenneth Breuer</t>
  </si>
  <si>
    <t>kbreuer@brown.edu</t>
  </si>
  <si>
    <t xml:space="preserve">s  fluid mechanics, including micron and nanometer scale fluid mechanics, animal locomotion, turbulent flows
</t>
  </si>
  <si>
    <t xml:space="preserve">fluid mechanics, including micron , nanometer scale fluid mechanics, animal locomotion, turbulent flows
</t>
  </si>
  <si>
    <t>Lucas Caretta</t>
  </si>
  <si>
    <t>Lucas_Caretta@brown.edu</t>
  </si>
  <si>
    <t xml:space="preserve">s  quantum materials, spintronics and magnetism, ferroelectricity, multiferroics, spin-orbit coupling, interface engineering, oxide thin films, epitaxial thin films, emergent phenomena, atomically-precise growth, device design and lithography, magneto-optics, magnetotransport
</t>
  </si>
  <si>
    <t xml:space="preserve">quantum materials, spintronics , magnetism, ferroelectricity, multiferroics, spin-orbit coupling, interface engineering, oxide thin films, epitaxial thin films, emergent phenomena, atomically-precise growth, device design , lithography, magneto-optics, magnetotransport
</t>
  </si>
  <si>
    <t>Eric Chason</t>
  </si>
  <si>
    <t>Eric_Chason@brown.edu</t>
  </si>
  <si>
    <t xml:space="preserve">s  thin film evolution, in situ diagnostics, computer simulation
</t>
  </si>
  <si>
    <t xml:space="preserve">thin film evolution, in situ diagnostics, computer simulation
</t>
  </si>
  <si>
    <t>Vicki Colvin</t>
  </si>
  <si>
    <t>Vicki_Colvin@brown.edu</t>
  </si>
  <si>
    <t xml:space="preserve">s  template chemistry, meso- and macroporous solids, nanocrystalline oxides, photonic band gaPmaterials, confined glasses
</t>
  </si>
  <si>
    <t xml:space="preserve">template chemistry, meso- , macroporous solids, nanocrystalline oxides, photonic b, gaPmaterials, confined glasses
</t>
  </si>
  <si>
    <t>$9,132 per credit (full-time)</t>
  </si>
  <si>
    <t>Kareen Coulombe</t>
  </si>
  <si>
    <t>Kareen_Coulombe@brown.edu</t>
  </si>
  <si>
    <t>s  biomaterials, cardiac tissue engineering, regenerative medicine, stem cell biology, mechanobiology, revascularization</t>
  </si>
  <si>
    <t>biomaterials, cardiac tissue engineering, regenerative medicine, stem cell biology, mechanobiology, revascularization</t>
  </si>
  <si>
    <t>William Curtin</t>
  </si>
  <si>
    <t>William_Curtin@brown.edu</t>
  </si>
  <si>
    <t>s  Multiscale modeling of mechanical behavior of materials , Fracture from continuum down to atomistic and quantum scales, Strengthening and plasticity in metals and alloys, Micro- and Nano-scale fiber-reinforced composites</t>
  </si>
  <si>
    <t>Multiscale modeling of mechanical behavior of materials , Fracture from continuum down to atomistic , quantum scales, Strengthening , plasticity in metals , alloys, Micro- , Nano-scale fiber-reinforced composites</t>
  </si>
  <si>
    <t>Tejal Desai</t>
  </si>
  <si>
    <t>Tejal_Desai@brown.edu</t>
  </si>
  <si>
    <t xml:space="preserve">s  Cellular integration and tissue engineering, Biomimetic architectures for functional biomaterials, Therapeutic drug targeting and delivery
</t>
  </si>
  <si>
    <t xml:space="preserve">Cellular integration , tissue engineering, Biomimetic architectures for functional biomaterials, Therapeutic drug targeting , delivery
</t>
  </si>
  <si>
    <t>Pedro Felzenszwalb</t>
  </si>
  <si>
    <t>pff@brown.edu</t>
  </si>
  <si>
    <t xml:space="preserve">s  computer vision, artificial intelligence, machine learning, algorithms
</t>
  </si>
  <si>
    <t xml:space="preserve"> computer vision, artificial intelligence, machine learning, algorithms
</t>
  </si>
  <si>
    <t>C. Franklin Goldsmith</t>
  </si>
  <si>
    <t>Franklin_Goldsmith@brown.edu</t>
  </si>
  <si>
    <t xml:space="preserve">s  combustion chemistry, catalysis, electronic structure methods, computational kinetics
</t>
  </si>
  <si>
    <t xml:space="preserve">combustion chemistry, catalysis, electronic structure methods, computational kinetics
</t>
  </si>
  <si>
    <t>PradeePGuduru</t>
  </si>
  <si>
    <t>Pradeep_Guduru@brown.edu</t>
  </si>
  <si>
    <t xml:space="preserve">s  experimental mechanics at micron and nanometer scales, micro-sensors, dynamic deformation and fracture
</t>
  </si>
  <si>
    <t xml:space="preserve">experimental mechanics at micron , nanometer scales, micro-sensors, dynamic deformation , fracture
</t>
  </si>
  <si>
    <t>Daniel Harris</t>
  </si>
  <si>
    <t>Daniel_Harris3@brown.edu</t>
  </si>
  <si>
    <t xml:space="preserve">s  fluid mechanics, interfacial phenomena, microfluidics, granular matter
</t>
  </si>
  <si>
    <t xml:space="preserve">fluid mechanics, interfacial phenomena, microfluidics, granular matter
</t>
  </si>
  <si>
    <t>David Henann</t>
  </si>
  <si>
    <t>David_Henann@brown.edu</t>
  </si>
  <si>
    <t xml:space="preserve">s  theoretical and computational mechanics, granular materials, soft materials
</t>
  </si>
  <si>
    <t xml:space="preserve">theoretical , computational mechanics, granular materials, soft materials
</t>
  </si>
  <si>
    <t>Leigh Hochberg</t>
  </si>
  <si>
    <t>Leigh_Hochberg@brown.edu</t>
  </si>
  <si>
    <t>s  translational neuroscience interests brain-computer interfaces, neurotechnology</t>
  </si>
  <si>
    <t>translational neuroscience interests brain-computer interfaces, neurotechnology</t>
  </si>
  <si>
    <t>Robert Hurt</t>
  </si>
  <si>
    <t>Robert_Hurt@brown.edu</t>
  </si>
  <si>
    <t xml:space="preserve">s  carbon materials, mesogenic materials, nanotoxicology, nanomaterials in the environment, graphene-based materials
</t>
  </si>
  <si>
    <t xml:space="preserve">carbon materials, mesogenic materials, nanotoxicology, nanomaterials in the environment, graphene-based materials
</t>
  </si>
  <si>
    <t>George Karniadakis</t>
  </si>
  <si>
    <t>george_karniadakis@brown.edu</t>
  </si>
  <si>
    <t xml:space="preserve">s  machine learning, physics-informed neural networks, stochastic multiscale modeling, biomedicine
</t>
  </si>
  <si>
    <t xml:space="preserve">machine learning, physics-informed neural networks, stochastic multiscale modeling, biomedicine
</t>
  </si>
  <si>
    <t>Haneesh Kesari</t>
  </si>
  <si>
    <t>Haneesh_Kesari@brown.edu</t>
  </si>
  <si>
    <t xml:space="preserve">s  analytical and experimental mechanics, structural biomaterials
</t>
  </si>
  <si>
    <t xml:space="preserve">analytical , experimental mechanics, structural biomaterials
</t>
  </si>
  <si>
    <t>Kyung-Suk Kim</t>
  </si>
  <si>
    <t>Kyung-Suk_Kim@brown.edu</t>
  </si>
  <si>
    <t>s  nano- and micro-mechanics of solids, adhesion, experimental mechanics</t>
  </si>
  <si>
    <t xml:space="preserve"> micro-mechanics of solids, adhesion, experimental mechanics</t>
  </si>
  <si>
    <t>Benjamin Kimia</t>
  </si>
  <si>
    <t>Benjamin_Kimia@brown.edu</t>
  </si>
  <si>
    <t xml:space="preserve">s  computer vision and image processing, artificial intelligence
</t>
  </si>
  <si>
    <t xml:space="preserve">computer vision , image processing, artificial intelligence
</t>
  </si>
  <si>
    <t>Angus Kingon</t>
  </si>
  <si>
    <t>angus@brown.edu</t>
  </si>
  <si>
    <t>s  electronic thin films, functional oxide and halide films, materials processing science, piezoelectric, ferroelectric and dielectric thin materials, X-ray detectors, hybrid electronic devices, sensors and actuators, technology entrepreneurshiPand technology commercialization, entrepreneurshiPteaching methodologies</t>
  </si>
  <si>
    <t>electronic thin films, functional oxide , halide films, materials processing science, piezoelectric, ferroelectric , dielectric thin materials, X-ray detectors, hybrid electronic devices, sensors , actuators, technology entrepreneurshiP, technology commercialization, entrepreneurshiPteaching methodologies</t>
  </si>
  <si>
    <t>Sharvan Kumar</t>
  </si>
  <si>
    <t>Sharvan_Kumar@brown.edu</t>
  </si>
  <si>
    <t xml:space="preserve">s  composites, intermetallics, physical metallurgy, materials processing, high temperature mechanical behavior
</t>
  </si>
  <si>
    <t xml:space="preserve">composites, intermetallics, physical metallurgy, materials processing, high temperature mechanical behavior
</t>
  </si>
  <si>
    <t>Larry Larson</t>
  </si>
  <si>
    <t>Lawrence_Larson@brown.edu</t>
  </si>
  <si>
    <t xml:space="preserve">s  wireless communications , semiconductor devices, high-frequency circuits, communications systems
</t>
  </si>
  <si>
    <t xml:space="preserve">wireless communications , semiconductor devices, high-frequency circuits, communications systems
</t>
  </si>
  <si>
    <t>Jonghwan Lee</t>
  </si>
  <si>
    <t>Jonghwan_Lee@brown.edu</t>
  </si>
  <si>
    <t xml:space="preserve">s  biomedical imaging, neuroengineering, optics, photonics
</t>
  </si>
  <si>
    <t xml:space="preserve">biomedical imaging, neuroengineering, optics, photonics
</t>
  </si>
  <si>
    <t>Daniel Mittleman</t>
  </si>
  <si>
    <t>Daniel_Mittleman@brown.edu</t>
  </si>
  <si>
    <t xml:space="preserve">s  terahertz science and technology, ultrafast optical phenomena
</t>
  </si>
  <si>
    <t xml:space="preserve">terahertz science , technology, ultrafast optical phenomena
</t>
  </si>
  <si>
    <t>Arto Nurmikko</t>
  </si>
  <si>
    <t>Arto_Nurmikko@brown.edu</t>
  </si>
  <si>
    <t xml:space="preserve">s  nanophotonics, nanomaterials, neuroengineering/neurotechnology
</t>
  </si>
  <si>
    <t xml:space="preserve">nanophotonics, nanomaterials, neuroengineering/neurotechnology
</t>
  </si>
  <si>
    <t>Domenico Pacifici</t>
  </si>
  <si>
    <t>Domenico_Pacifici@brown.edu</t>
  </si>
  <si>
    <t xml:space="preserve">s  silicon-based microphotonics, nanophotonics, plasmonics, nanoengineered materials and devices for information, sensing and energy-harvesting applications
</t>
  </si>
  <si>
    <t xml:space="preserve">silicon-based microphotonics, nanophotonics, plasmonics, nanoengineered materials , devices for information, sensing , energy-harvesting applications
</t>
  </si>
  <si>
    <t>Nitin Padture</t>
  </si>
  <si>
    <t>Nitin_Padture@brown.edu</t>
  </si>
  <si>
    <t xml:space="preserve">s  advanced ceramics, composites, and coatings, nanomaterials, synthesis/processing, characterization, mechanical behavior, thermal, optical, and electronic properties
</t>
  </si>
  <si>
    <t xml:space="preserve">advanced ceramics, composites, coatings, nanomaterials, synthesis/processing, characterization, mechanical behavior, thermal, optical, electronic properties
</t>
  </si>
  <si>
    <t>David Paine</t>
  </si>
  <si>
    <t>David_Paine@brown.edu</t>
  </si>
  <si>
    <t xml:space="preserve">s  synthesis and characterization of electronic materials, ultra-high pressure methods, rapid thermal CVD, electron microscopy, x-ray diffractometry, optical and electrical characterization
</t>
  </si>
  <si>
    <t xml:space="preserve">synthesis , characterization of electronic materials, ultra-high pressure methods, rapid thermal CVD, electron microscopy, x-ray diffractometry, optical , electrical characterization
</t>
  </si>
  <si>
    <t>G. Tayhas Palmore</t>
  </si>
  <si>
    <t>Tayhas_Palmore@brown.edu</t>
  </si>
  <si>
    <t>s  electrochemical energy conversion, biochemical sensing</t>
  </si>
  <si>
    <t>electrochemical energy conversion, biochemical sensing</t>
  </si>
  <si>
    <t>Kurt Pennell</t>
  </si>
  <si>
    <t>Kurt_Pennell@brown.edu</t>
  </si>
  <si>
    <t xml:space="preserve">s  electrochemical energy conversion, biochemical sensing
</t>
  </si>
  <si>
    <t xml:space="preserve">electrochemical energy conversion, biochemical sensing
</t>
  </si>
  <si>
    <t>Andrew Peterson</t>
  </si>
  <si>
    <t>Andrew_Peterson@brown.edu</t>
  </si>
  <si>
    <t xml:space="preserve">s  heterogeneous catalysis, electronic structure theory, sustainable fuels
</t>
  </si>
  <si>
    <t xml:space="preserve">heterogeneous catalysis, electronic structure theory, sustainable fuels
</t>
  </si>
  <si>
    <t>Tom Powers</t>
  </si>
  <si>
    <t>Thomas_Powers@brown.edu</t>
  </si>
  <si>
    <t xml:space="preserve">s  molecular and cellular biomechanics
</t>
  </si>
  <si>
    <t xml:space="preserve">molecular , cellular biomechanics
</t>
  </si>
  <si>
    <t>Yue Qi</t>
  </si>
  <si>
    <t>YueQi@brown.edu</t>
  </si>
  <si>
    <t>s  computational materials science, multi-scale modeling, defects and transport, complex interfaces, electrochemical-mechanical coupling in battery and fuel cell materials</t>
  </si>
  <si>
    <t>computational materials science, multi-scale modeling, defects , transport, complex interfaces, electrochemical-mechanical coupling in battery , fuel cell materials</t>
  </si>
  <si>
    <t>Sherief Reda</t>
  </si>
  <si>
    <t>Sherief_Reda@brown.edu</t>
  </si>
  <si>
    <t xml:space="preserve">s  energy-efficient computing systems, design automation and test of integrated circuits, computer architecture, reconfigurable computing
</t>
  </si>
  <si>
    <t xml:space="preserve">energy-efficient computing systems, design automation , test of integrated circuits, computer architecture, reconfigurable computing
</t>
  </si>
  <si>
    <t>Mauro Rodriguez</t>
  </si>
  <si>
    <t>mauro_rodriguez@brown.edu</t>
  </si>
  <si>
    <t xml:space="preserve">s  computational fluid dynamics, multi-phase and -component flows, diffused interfaces, viscoelasticity, fluid-structure interaction, cavitation bubble dynamics, high-performance computing
</t>
  </si>
  <si>
    <t xml:space="preserve">computational fluid dynamics, multi-phase , -component flows, diffused interfaces, viscoelasticity, fluid-structure interaction, cavitation bubble dynamics, high-performance computing
</t>
  </si>
  <si>
    <t>Christopher Rose</t>
  </si>
  <si>
    <t>Christopher_Rose@brown.edu</t>
  </si>
  <si>
    <t>s  communication theory as an organizing principle, wireless communication, molecular communication, mobile networks, communication theory and physics, genetic algorithms, interference avoidance, MIMO</t>
  </si>
  <si>
    <t>communication theory as an organizing principle, wireless communication, molecular communication, mobile networks, communication theory , physics, genetic algorithms, interference avoidance, MIMO</t>
  </si>
  <si>
    <t>Jacob Rosenstein</t>
  </si>
  <si>
    <t>Jacob_Rosenstein@brown.edu</t>
  </si>
  <si>
    <t>s  mixed-signal electronics, instrumentation, electrophysiology, nanopore sensors, embedded systems, VLSI, sensor interfaces, microfluidics</t>
  </si>
  <si>
    <t>mixed-signal electronics, instrumentation, electrophysiology, nanopore sensors, embedded systems, VLSI, sensor interfaces, microfluidics</t>
  </si>
  <si>
    <t>Brian Sheldon</t>
  </si>
  <si>
    <t>Brian_Sheldon@brown.edu</t>
  </si>
  <si>
    <t xml:space="preserve">s  advanced ceramics and carbon based materials, energy storage materials, composites, high temperature materials, mechanical behavior
</t>
  </si>
  <si>
    <t xml:space="preserve">advanced ceramics , carbon based materials, energy storage materials, composites, high temperature materials, mechanical behavior
</t>
  </si>
  <si>
    <t>Anita Shukla</t>
  </si>
  <si>
    <t>Anita_Shukla@brown.edu</t>
  </si>
  <si>
    <t xml:space="preserve">s  biomaterials, self-assembly, drug delivery, regenerative medicine
</t>
  </si>
  <si>
    <t xml:space="preserve">biomaterials, self-assembly, drug delivery, regenerative medicine
</t>
  </si>
  <si>
    <t>Harvey Silverman</t>
  </si>
  <si>
    <t>Harvey_Silverman@brown.edu</t>
  </si>
  <si>
    <t xml:space="preserve">s  digital signal processing, speech recognition and analysis, computer architecture, microphone-array systems, nonlinear optimization
</t>
  </si>
  <si>
    <t xml:space="preserve">digital signal processing, speech recognition , analysis, computer architecture, microphone-array systems, nonlinear optimization
</t>
  </si>
  <si>
    <t>Vikas Srivastava</t>
  </si>
  <si>
    <t>Vikas_Srivastava@brown.edu</t>
  </si>
  <si>
    <t>s  solid mechanics, continuum biomechanics, cell mechanics</t>
  </si>
  <si>
    <t>solid mechanics, continuum biomechanics, cell mechanics</t>
  </si>
  <si>
    <t>Eric Suuberg</t>
  </si>
  <si>
    <t>Eric_Suuberg@brown.edu</t>
  </si>
  <si>
    <t xml:space="preserve">s  kinetics, combustion, carbons, energy/environmental issues
</t>
  </si>
  <si>
    <t xml:space="preserve">kinetics, combustion, carbons, energy/environmental issues
</t>
  </si>
  <si>
    <t>Gabriel Taubin</t>
  </si>
  <si>
    <t>Taubin@brown.edu</t>
  </si>
  <si>
    <t xml:space="preserve">s  computer vision, computer graphics, geometric modeling, mesh signal processing, geometry compression, smart cameras, smart sensor networks, embedded systems
</t>
  </si>
  <si>
    <t xml:space="preserve">computer vision, computer graphics, geometric modeling, mesh signal processing, geometry compression, smart cameras, smart sensor networks, embedded systems
</t>
  </si>
  <si>
    <t>Kimani Toussaint</t>
  </si>
  <si>
    <t>Kimani_Toussaint@brown.edu</t>
  </si>
  <si>
    <t xml:space="preserve">s  multiphoton microscopy, biophotonics, plasmonic nanoantennas, nanophotonics, polarimetry, singular optics, multiphoton lithography, nano- and microfabrication
</t>
  </si>
  <si>
    <t xml:space="preserve">multiphoton microscopy, biophotonics, plasmonic nanoantennas, nanophotonics, polarimetry, singular optics, multiphoton lithography, nano- , microfabrication
</t>
  </si>
  <si>
    <r>
      <rPr>
        <u/>
        <sz val="10"/>
        <color rgb="FF000000"/>
        <rFont val="Arial"/>
        <family val="2"/>
      </rPr>
      <t xml:space="preserve">Chair - </t>
    </r>
    <r>
      <rPr>
        <u/>
        <sz val="10"/>
        <color rgb="FF000000"/>
        <rFont val="Arial"/>
        <family val="2"/>
      </rPr>
      <t>Anubhav Tripathi</t>
    </r>
  </si>
  <si>
    <t>Anubhav_Tripathi@brown.edu</t>
  </si>
  <si>
    <t xml:space="preserve">s  understanding complex biomaterials using microfluidics, proteomics, high throughput screening, rheology of complex fluids and lab on a chiPapplications
</t>
  </si>
  <si>
    <t xml:space="preserve">underst,ing complex biomaterials using microfluidics, proteomics, high throughput screening, rheology of complex fluids , lab on a chiPapplications
</t>
  </si>
  <si>
    <t>Axel van de Walle</t>
  </si>
  <si>
    <t>Axel_van_de_Walle@brown.edu</t>
  </si>
  <si>
    <t xml:space="preserve">s  computational materials science, first principles calculations, thermodynamics, energy materials
</t>
  </si>
  <si>
    <t xml:space="preserve">computational materials science, first principles calculations, thermodynamics, energy materials
</t>
  </si>
  <si>
    <t>Monica Martinez Wilhelmus</t>
  </si>
  <si>
    <t>mmwilhelmus@brown.edu</t>
  </si>
  <si>
    <t>s  sea ice dynamics, acquisition of sea ice remote sensing observations, fluid transport and mixing by collective motion of self-propelled organisms, hydrodynamics of plankton aggregations in the wild, effect of turbulence in naturally occurring biological phenomena</t>
  </si>
  <si>
    <t>sea ice dynamics, acquisition of sea ice remote sensing observations, fluid transport , mixing by collective motion of self-propelled organisms, hydrodynamics of plankton aggregations in the wild, effect of turbulence in naturally occurring biological phenomena</t>
  </si>
  <si>
    <t>Ian Wong</t>
  </si>
  <si>
    <t>Ian_Wong@brown.edu</t>
  </si>
  <si>
    <t>s  biomaterials, nanofabrication, 3D printing, directed self-assembly, polymer physics</t>
  </si>
  <si>
    <t>biomaterials, nanofabrication, 3D printing, directed self-assembly, polymer physics</t>
  </si>
  <si>
    <t>Jimmy Xu</t>
  </si>
  <si>
    <t>Jimmy_Xu@brown.edu</t>
  </si>
  <si>
    <t xml:space="preserve">s  fabrication and physics of novel nanostructures, DNA-based molecular engineering, opto-electronics
</t>
  </si>
  <si>
    <t xml:space="preserve">fabrication , physics of novel nanostructures, DNA-based molecular engineering, opto-electronics
</t>
  </si>
  <si>
    <t>Alexander Zaslavsky</t>
  </si>
  <si>
    <t>Alexander_Zaslavsky@brown.edu</t>
  </si>
  <si>
    <t>s  electronic materials and devices, quantum-effect devices, CMOS and beyond-CMOS technology</t>
  </si>
  <si>
    <t>electronic materials , devices, quantum-effect devices, CMOS , beyond-CMOS technology</t>
  </si>
  <si>
    <t>Roberto Zenit</t>
  </si>
  <si>
    <t>Roberto_Zenit@brown.edu</t>
  </si>
  <si>
    <t xml:space="preserve">s  two-phase flows, biological flows, non Newtonian fluid mechanics, the mechanics of artistic painting
</t>
  </si>
  <si>
    <t xml:space="preserve">two-phase flows, biological flows, non Newtonian fluid mechanics, the mechanics of artistic painting
</t>
  </si>
  <si>
    <t>Rashid Zia</t>
  </si>
  <si>
    <t>Rashid_Zia@brown.edu</t>
  </si>
  <si>
    <t>s  nanophotonics, near-field optics, plasmonics, single emitter spectroscopy, single photon sources, cavity-free QED</t>
  </si>
  <si>
    <t>nanophotonics, near-field optics, plasmonics, single emitter spectroscopy, single photon sources, cavity-free QED</t>
  </si>
  <si>
    <t>Rod Clifton</t>
  </si>
  <si>
    <t>Rodney_Clifton@brown.edu</t>
  </si>
  <si>
    <t>engineering  |  mechanical behavior  |  methodology</t>
  </si>
  <si>
    <t>engineering  ,  mechanical behavior  ,  methodology</t>
  </si>
  <si>
    <t>J.J. Trey Crisco</t>
  </si>
  <si>
    <t>Marissa Gray</t>
  </si>
  <si>
    <t>Marissa_Gray@brown.edu</t>
  </si>
  <si>
    <t>Seunghyun Kim</t>
  </si>
  <si>
    <t>seunghyun_kim@brown.edu</t>
  </si>
  <si>
    <t>chemical solution processing (sol-gel)  |  dielectric  |  energy  |  ferroelectric  |  flexible electronics  |  MEMS  |  NEMS  |  piezoelectric  |  thin films</t>
  </si>
  <si>
    <t>chemical solution processing (sol-gel)  ,  dielectric  ,  energy  ,  ferroelectric  ,  flexible electronics  ,  MEMS  ,  NEMS  ,  piezoelectric  ,  thin films</t>
  </si>
  <si>
    <t>Nabil Lawandy</t>
  </si>
  <si>
    <t>nabil_lawandy@brown.edu, Nlawandy@spsy.com</t>
  </si>
  <si>
    <t>Katherine Manz</t>
  </si>
  <si>
    <t>Katherine_Manz@brown.edu</t>
  </si>
  <si>
    <t>John Simeral</t>
  </si>
  <si>
    <t>John_Simeral@Brown.edu</t>
  </si>
  <si>
    <t>embedded processing  |  neural coding  |  neuroengineering  |  Real-time data processing</t>
  </si>
  <si>
    <t>embedded processing  ,  neural coding  ,  neuroengineering  ,  Real-time data processing</t>
  </si>
  <si>
    <t>Hamzah Ansari</t>
  </si>
  <si>
    <t>Hamzah_Ansari@brown.edu</t>
  </si>
  <si>
    <t>Christopher Bull</t>
  </si>
  <si>
    <t>cbull@brown.edu</t>
  </si>
  <si>
    <t>My s include alternative transportation, sustainable design, neural recording and stimulation systems, and experimental mechanics. I am especially interested in building intelligent systems that incorporate environmental and occupant information to achieve greater building and vehicle efficiency. I also direct the Brown Design Workshop.</t>
  </si>
  <si>
    <t>alternative transportation, sustainable design, neural recording , stimulation systems, experimental mechanics</t>
  </si>
  <si>
    <t>Celinda Kofron</t>
  </si>
  <si>
    <t>Celinda_Kofron@brown.edu</t>
  </si>
  <si>
    <t>Indrek Külaots</t>
  </si>
  <si>
    <t>Indrek_Kulaots@brown.edu</t>
  </si>
  <si>
    <t>s  no cost carbonized bio-wastes for environmental clean up, porous structures in graphene family materials, sustainable use of conventional energy resources, reuse of byproducts in energy conversion processes</t>
  </si>
  <si>
    <t>cost carbonized bio-wastes for environmental clean up, porous structures in graphene family materials, sustainable use of conventional energy resources, reuse of byproducts in energy conversion processes</t>
  </si>
  <si>
    <t>William Patterson</t>
  </si>
  <si>
    <t>William_Patterson@brown.edu</t>
  </si>
  <si>
    <t>s  computer architecture, analog/digital design</t>
  </si>
  <si>
    <t>computer architecture, analog/digital design</t>
  </si>
  <si>
    <t>Rensselaer Polytechnic Institute</t>
  </si>
  <si>
    <t>Thierry Blanchet</t>
  </si>
  <si>
    <t>blanct@rpi.edu</t>
  </si>
  <si>
    <t>Materials Tribology (friction, wear, lubrication)</t>
  </si>
  <si>
    <t xml:space="preserve">Materials Tribology </t>
  </si>
  <si>
    <t xml:space="preserve">Mechanical Engineering </t>
  </si>
  <si>
    <t>Diana Borca Tasciuc</t>
  </si>
  <si>
    <t>borcad@rpi.edu</t>
  </si>
  <si>
    <t xml:space="preserve">Power Harvesting MEMS, Heat Transfer in Nanosystems, Luminescent Solar Concentrators (LSC), New PV Materials
</t>
  </si>
  <si>
    <t>Theo Borca-Tasciuc</t>
  </si>
  <si>
    <t>borcat@rpi.edu</t>
  </si>
  <si>
    <t>Heat conduction in nanomaterials, Prototyping and testing advanced refrigeration/heat pumPand heat transfer systems, Metrology for fast, accurate, and high spatial resolution of thermal and thermoelectric properties, Thermal transport across interfaces</t>
  </si>
  <si>
    <t>Heat conduction in nanomaterials, Prototyping , testing advanced refrigeration/heat pumP, heat transfer systems, Metrology for fast, accurate, high spatial resolution of thermal , thermoelectric properties, Thermal transport across interfaces</t>
  </si>
  <si>
    <t>Fudong Han</t>
  </si>
  <si>
    <t>hanf2@rpi.edu</t>
  </si>
  <si>
    <t xml:space="preserve">Advanced Materials for Electrochemical Energy Storage
</t>
  </si>
  <si>
    <t>#51 - Best Engineering Schools</t>
  </si>
  <si>
    <t>Joshua Hurst</t>
  </si>
  <si>
    <t>hurstj2@rpi.edu</t>
  </si>
  <si>
    <t xml:space="preserve">Control, Dynamics, Optimization, Mechatronics, Design.
</t>
  </si>
  <si>
    <t xml:space="preserve">Control, Dynamics, Optimization, Mechatronics, Design,
</t>
  </si>
  <si>
    <t>Kartik Josyula</t>
  </si>
  <si>
    <t>josyuk2@rpi.edu</t>
  </si>
  <si>
    <t>Computational Mechanics, Biological Systems, Machine Learning, Molecular Dynamics</t>
  </si>
  <si>
    <r>
      <rPr>
        <u/>
        <sz val="10"/>
        <color rgb="FF000000"/>
        <rFont val="Arial"/>
        <family val="2"/>
      </rPr>
      <t xml:space="preserve">Head - </t>
    </r>
    <r>
      <rPr>
        <u/>
        <sz val="10"/>
        <color rgb="FF000000"/>
        <rFont val="Arial"/>
        <family val="2"/>
      </rPr>
      <t>Antoinette Maniatty</t>
    </r>
  </si>
  <si>
    <t>maniaa@rpi.edu</t>
  </si>
  <si>
    <t xml:space="preserve">Solid Mechanics, Computational Mechanics
</t>
  </si>
  <si>
    <t>Kristen Mills</t>
  </si>
  <si>
    <t>millsk2@rpi.edu</t>
  </si>
  <si>
    <t xml:space="preserve">Cell and tissue biomechanics, Experimental mechanics of materials
</t>
  </si>
  <si>
    <t xml:space="preserve">Cell , tissue biomechanics, Experimental mechanics of materials
</t>
  </si>
  <si>
    <t>Sandipan Mishra</t>
  </si>
  <si>
    <t>mishrs2@rpi.edu</t>
  </si>
  <si>
    <t xml:space="preserve">Dynamic Systems and Control, Precision Mechatronics, Unmanned Aerial Vehicles, Advanced Manufacturing, Energy Efficient Buildings
</t>
  </si>
  <si>
    <t xml:space="preserve">Dynamic Systems , Control, Precision Mechatronics, Unmanned Aerial Vehicles, Advanced Manufacturing, Energy Efficient Buildings
</t>
  </si>
  <si>
    <t>Shankar Narayan</t>
  </si>
  <si>
    <t>narays5@rpi.edu</t>
  </si>
  <si>
    <t>Thermal and Fluids Engineering, Sustainable Energy Systems, Micro and Nano-engineered Structures, Multiscale Transport Analysis, Energy Conversion and Storage</t>
  </si>
  <si>
    <t>Thermal , Fluids Engineering, Sustainable Energy Systems, Micro , Nano-engineered Structures, Multiscale Transport Analysis, Energy Conversion , Storage</t>
  </si>
  <si>
    <t>Karthik Panneerselvam</t>
  </si>
  <si>
    <t>pannek2@rpi.edu</t>
  </si>
  <si>
    <t>Computational Mechanics, Manufacturing Design and Simulation</t>
  </si>
  <si>
    <t>Computational Mechanics, Manufacturing Design , Simulation</t>
  </si>
  <si>
    <t>Catalin Picu</t>
  </si>
  <si>
    <t>picuc@rpi.edu</t>
  </si>
  <si>
    <t xml:space="preserve">Mechanics of Solids, Micro- and Nano-Mechanics of Crystalline Defects, Atomistic Simulations
</t>
  </si>
  <si>
    <t xml:space="preserve">Mechanics of Solids, Micro- , Nano-Mechanics of Crystalline Defects, Atomistic Simulations
</t>
  </si>
  <si>
    <t>$58,600 per year (full-time)</t>
  </si>
  <si>
    <t>Johnson Samuel</t>
  </si>
  <si>
    <t>samuej2@rpi.edu</t>
  </si>
  <si>
    <t>Micro-manufacturing Processes Micro-milling/drilling, Micro-EDM and Micro-ECM, Biomedical manufacturing Patient-specific bone surgery, Carie removal, surgeon training , Additive Manufacturing (3D Printing) Fiber-reinforced soft composites, Surgeon training phantoms, Electrospinning Multi-material fibers, yarns, coatings and textiles, Engineering education</t>
  </si>
  <si>
    <t>Micro-manufacturing Processes Micro-milling/drilling, Micro-EDM , Micro-ECM, Biomedical manufacturing Patient-specific bone surgery, Carie removal, surgeon training , Additive Manufacturing (3D Printing) Fiber-reinforced soft composites, Surgeon training phantoms, Electrospinning Multi-material fibers, yarns, coatings , textiles, Engineering education</t>
  </si>
  <si>
    <t>Ali Shahsavari</t>
  </si>
  <si>
    <t>shahsa3@rpi.edu</t>
  </si>
  <si>
    <t>John Tichy</t>
  </si>
  <si>
    <t>tichyj@rpi.edu</t>
  </si>
  <si>
    <t xml:space="preserve">Tribology and Non-Newtonian Flow
</t>
  </si>
  <si>
    <t xml:space="preserve">Tribology , Non-Newtonian Flow
</t>
  </si>
  <si>
    <t>Daniel Walczyk</t>
  </si>
  <si>
    <t>walczd@rpi.edu</t>
  </si>
  <si>
    <t xml:space="preserve">Rapid Tooling, Environmentally Conscious Design, Machine Design
</t>
  </si>
  <si>
    <t>Lucy Zhang</t>
  </si>
  <si>
    <t>zhanglucy@rpi.edu</t>
  </si>
  <si>
    <t>Computational Mechanics</t>
  </si>
  <si>
    <t>Mark Shephard</t>
  </si>
  <si>
    <t>shephm@rpi.edu</t>
  </si>
  <si>
    <t>Scientific Computing</t>
  </si>
  <si>
    <t>University of California--Santa Barbara</t>
  </si>
  <si>
    <t>Bassam Bamieh</t>
  </si>
  <si>
    <t>bamieh@engineering.ucsb.edu</t>
  </si>
  <si>
    <t>Dynamic Systems, Control &amp; Robotics</t>
  </si>
  <si>
    <t>Matthew Begley</t>
  </si>
  <si>
    <t>begley@engr.ucsb.edu</t>
  </si>
  <si>
    <t>Bioengineering &amp; Systems Biology
Computational Science &amp; Engineering
Micro &amp; Nano Technology
Solid Mechanics, Materials &amp; Structures</t>
  </si>
  <si>
    <t>Bioengineering &amp; Systems Biology,
Computational Science &amp; Engineering,
Micro &amp; Nano Technology,
Solid Mechanics, Materials &amp; Structures</t>
  </si>
  <si>
    <t>Glenn Beltz</t>
  </si>
  <si>
    <t>beltz@engineering.ucsb.edu</t>
  </si>
  <si>
    <t>Micro &amp; Nano Technology
Solid Mechanics, Materials &amp; Structures</t>
  </si>
  <si>
    <t>Micro &amp; Nano Technology,
Solid Mechanics, Materials &amp; Structures</t>
  </si>
  <si>
    <t>Ted Bennett</t>
  </si>
  <si>
    <t>bennett@engineering.ucsb.edu</t>
  </si>
  <si>
    <t>Thermal Science &amp; Fluid Mechanics</t>
  </si>
  <si>
    <t>Irene J. Beyerlein</t>
  </si>
  <si>
    <t>beyerlein@engineering.ucsb.edu</t>
  </si>
  <si>
    <t>Computational Science &amp; Engineering
Micro &amp; Nano Technology
Solid Mechanics, Materials &amp; Structures</t>
  </si>
  <si>
    <t>Computational Science &amp; Engineering,
Micro &amp; Nano Technology,
Solid Mechanics, Materials &amp; Structures</t>
  </si>
  <si>
    <t>Francesco Bullo</t>
  </si>
  <si>
    <t>bullo@engineering.ucsb.edu</t>
  </si>
  <si>
    <t>Samantha Daly</t>
  </si>
  <si>
    <t>samdaly@engineering.ucsb.edu</t>
  </si>
  <si>
    <t>Solid Mechanics, Materials &amp; Structures</t>
  </si>
  <si>
    <t>Emilie Dressaire</t>
  </si>
  <si>
    <t>dressaire@engineering.ucsb.edu</t>
  </si>
  <si>
    <t>Bioengineering &amp; Systems Biology
Micro &amp; Nano Technology
Thermal Science &amp; Fluid Mechanics</t>
  </si>
  <si>
    <t>Bioengineering &amp; Systems Biology,
Micro &amp; Nano Technology,
Thermal Science &amp; Fluid Mechanics</t>
  </si>
  <si>
    <t>Frédéric Gibou</t>
  </si>
  <si>
    <t>fgibou@engineering.ucsb.edu</t>
  </si>
  <si>
    <t>Computational Science &amp; Engineering
Solid Mechanics, Materials &amp; Structures
Thermal Science &amp; Fluid Mechanics</t>
  </si>
  <si>
    <t>Computational Science &amp; Engineering,
Solid Mechanics, Materials &amp; Structures,
Thermal Science &amp; Fluid Mechanics</t>
  </si>
  <si>
    <t>Elliot Hawkes</t>
  </si>
  <si>
    <t>ewhawkes@engineering.ucsb.edu</t>
  </si>
  <si>
    <t>Dynamic Systems, Control &amp; Robotics
Micro &amp; Nano Technology
Solid Mechanics, Materials &amp; Structures</t>
  </si>
  <si>
    <t>Dynamic Systems, Control &amp; Robotics,
Micro &amp; Nano Technology,
Solid Mechanics, Materials &amp; Structures</t>
  </si>
  <si>
    <t>Ousmane Kodio</t>
  </si>
  <si>
    <t>kodio@mit.edu</t>
  </si>
  <si>
    <t xml:space="preserve">Bioengineering &amp; Systems Biology
Dynamic Systems, Control &amp; Robotics
Solid Mechanics, Materials &amp; Structures
Thermal Science &amp; Fluid Mechanics
</t>
  </si>
  <si>
    <t xml:space="preserve">Bioengineering &amp; Systems Biology,
Dynamic Systems, Control &amp; Robotics,
Solid Mechanics, Materials &amp; Structures,
Thermal Science &amp; Fluid Mechanics
</t>
  </si>
  <si>
    <t>Carlos G. Levi</t>
  </si>
  <si>
    <t>levic@engineering.ucsb.edu</t>
  </si>
  <si>
    <t>$12,852 per year (in-state, full-time)</t>
  </si>
  <si>
    <t>Bolin Liao</t>
  </si>
  <si>
    <t>bliao@engineering.ucsb.edu</t>
  </si>
  <si>
    <t>Paolo Luzzatto-Fegiz</t>
  </si>
  <si>
    <t>fegiz@engineering.ucsb.edu</t>
  </si>
  <si>
    <t>Eric Matthys</t>
  </si>
  <si>
    <t>matthys@engineering.ucsb.edu</t>
  </si>
  <si>
    <t>Robert McMeeking</t>
  </si>
  <si>
    <t>rmcm@engineering.ucsb.edu</t>
  </si>
  <si>
    <t>Eckart Meiburg</t>
  </si>
  <si>
    <t>meiburg@engineering.ucsb.edu</t>
  </si>
  <si>
    <t>Computational Science &amp; Engineering
Thermal Science &amp; Fluid Mechanics</t>
  </si>
  <si>
    <t>Computational Science &amp; Engineering,
Thermal Science &amp; Fluid Mechanics</t>
  </si>
  <si>
    <t>Carl Meinhart</t>
  </si>
  <si>
    <t>meinhart@engineering.ucsb.edu</t>
  </si>
  <si>
    <t>Igor Mezic</t>
  </si>
  <si>
    <t>mezic@engineering.ucsb.edu</t>
  </si>
  <si>
    <t>Bioengineering &amp; Systems Biology
Computational Science &amp; Engineering
Dynamic Systems, Control &amp; Robotics
Micro &amp; Nano Technology</t>
  </si>
  <si>
    <t>Bioengineering &amp; Systems Biology,
Computational Science &amp; Engineering,
Dynamic Systems, Control &amp; Robotics,
Micro &amp; Nano Technology</t>
  </si>
  <si>
    <r>
      <rPr>
        <u/>
        <sz val="10"/>
        <color rgb="FF000000"/>
        <rFont val="Arial"/>
        <family val="2"/>
      </rPr>
      <t xml:space="preserve">Chair - </t>
    </r>
    <r>
      <rPr>
        <u/>
        <sz val="10"/>
        <color rgb="FF000000"/>
        <rFont val="Arial"/>
        <family val="2"/>
      </rPr>
      <t>Jeff Moehlis</t>
    </r>
  </si>
  <si>
    <t>moehlis@engineering.ucsb.edu</t>
  </si>
  <si>
    <t>Bioengineering &amp; Systems Biology
Computational Science &amp; Engineering
Dynamic Systems, Control &amp; Robotics
Micro &amp; Nano Technology
Thermal Science &amp; Fluid Mechanics</t>
  </si>
  <si>
    <t>Bioengineering &amp; Systems Biology,
Computational Science &amp; Engineering,
Dynamic Systems, Control &amp; Robotics,
Micro &amp; Nano Technology,
Thermal Science &amp; Fluid Mechanics</t>
  </si>
  <si>
    <t>Sumita Pennathur</t>
  </si>
  <si>
    <t>sumita@engineering.ucsb.edu</t>
  </si>
  <si>
    <t>Linda Petzold</t>
  </si>
  <si>
    <t>petzold@engineering.ucsb.edu</t>
  </si>
  <si>
    <t xml:space="preserve">Bioengineering &amp; Systems Biology
Computational Science &amp; Engineering
Micro &amp; Nano Technology
</t>
  </si>
  <si>
    <t xml:space="preserve">Bioengineering &amp; Systems Biology,
Computational Science &amp; Engineering,
Micro &amp; Nano Technology
</t>
  </si>
  <si>
    <t>Beth Pruitt</t>
  </si>
  <si>
    <t>blp@engineering.ucsb.edu</t>
  </si>
  <si>
    <t>Bioengineering &amp; Systems Biology</t>
  </si>
  <si>
    <t>Alban Sauret</t>
  </si>
  <si>
    <t>asauret@engineering.ucsb.edu</t>
  </si>
  <si>
    <t>Micro &amp; Nano Technology
Thermal Science &amp; Fluid Mechanics</t>
  </si>
  <si>
    <t>Micro &amp; Nano Technology,
Thermal Science &amp; Fluid Mechanics</t>
  </si>
  <si>
    <t>Ryan Stowers</t>
  </si>
  <si>
    <t>rstowers@ucsb.edu</t>
  </si>
  <si>
    <t>Tyler Susko</t>
  </si>
  <si>
    <t>susko@ucsb.edu</t>
  </si>
  <si>
    <t>Geoff Tsai</t>
  </si>
  <si>
    <t>gtt@ucsb.edu</t>
  </si>
  <si>
    <t>Megan Valentine</t>
  </si>
  <si>
    <t>valentine@engineering.ucsb.edu</t>
  </si>
  <si>
    <t>Bioengineering &amp; Systems Biology
Micro &amp; Nano Technology
Solid Mechanics, Materials &amp; Structures
Thermal Science &amp; Fluid Mechanics</t>
  </si>
  <si>
    <t>Bioengineering &amp; Systems Biology,
Micro &amp; Nano Technology,
Solid Mechanics, Materials &amp; Structures,
Thermal Science &amp; Fluid Mechanics</t>
  </si>
  <si>
    <t>Yon Visell</t>
  </si>
  <si>
    <t>yonvisell@ece.ucsb.edu</t>
  </si>
  <si>
    <t>Computational Science &amp; Engineering
Dynamic Systems, Control &amp; Robotics</t>
  </si>
  <si>
    <t>Computational Science &amp; Engineering,
Dynamic Systems, Control &amp; Robotics</t>
  </si>
  <si>
    <t>Henry T. Yang</t>
  </si>
  <si>
    <t>henry.yang@ucsb.edu</t>
  </si>
  <si>
    <t>Enoch Yeung</t>
  </si>
  <si>
    <t>eyeung@engineering.ucsb.edu</t>
  </si>
  <si>
    <t>Bioengineering &amp; Systems Biology
Computational Science &amp; Engineering
Dynamic Systems, Control &amp; Robotics</t>
  </si>
  <si>
    <t>Bioengineering &amp; Systems Biology,
Computational Science &amp; Engineering,
Dynamic Systems, Control &amp; Robotics</t>
  </si>
  <si>
    <t>Yangying Zhu</t>
  </si>
  <si>
    <t>yangying@ucsb.edu</t>
  </si>
  <si>
    <t>Kirk Fields</t>
  </si>
  <si>
    <t>fields@engineering.ucsb.edu</t>
  </si>
  <si>
    <t>Steve Laguette</t>
  </si>
  <si>
    <t>laguette@engineering.ucsb.edu</t>
  </si>
  <si>
    <t>Trevor Marks</t>
  </si>
  <si>
    <t>tmarks@engineering.ucsb.edu</t>
  </si>
  <si>
    <t>University of Notre Dame</t>
  </si>
  <si>
    <t>Gokhan Bahcecioglu</t>
  </si>
  <si>
    <t>gbahceci@nd.edu</t>
  </si>
  <si>
    <t>scaffold processing techniques, electrospinning, 3D printing, tissue engineering, biotechnology, stem cells, biomaterials, cell culture</t>
  </si>
  <si>
    <t>Aerospace and Mechanical Engineering</t>
  </si>
  <si>
    <t>Robert Bernhard</t>
  </si>
  <si>
    <t>rbernhar@nd.edu</t>
  </si>
  <si>
    <t>Gianluca Blois</t>
  </si>
  <si>
    <t>gblois@nd.edu</t>
  </si>
  <si>
    <t>Experimental modeling of porous media, fluid-structure interaction</t>
  </si>
  <si>
    <t>Edgar Bolívar-Nieto</t>
  </si>
  <si>
    <t>ebolivar@nd.edu</t>
  </si>
  <si>
    <t>Wearable robots, exoskeletons, lower-limb robotic prostheses, controls, and optimization</t>
  </si>
  <si>
    <t>Wearable robots, exoskeletons, lower-limb robotic prostheses, controls, optimization</t>
  </si>
  <si>
    <t>Margaret Coad</t>
  </si>
  <si>
    <t>mcoad@nd.edu</t>
  </si>
  <si>
    <t>Robot design and modeling, soft robotics, bioinspired robotics, field robotics, human-in-the-looPcontrol, and physical human-robot interaction</t>
  </si>
  <si>
    <t>Robot design , modeling, soft robotics, bioinspired robotics, field robotics, human-in-the-looPcontrol, physical human-robot interaction</t>
  </si>
  <si>
    <t>Thomas Corke</t>
  </si>
  <si>
    <t>tcorke@nd.edu</t>
  </si>
  <si>
    <t>Fluid mechanics, turbulent flows, boundary layers, wakes and jets</t>
  </si>
  <si>
    <t>Fluid mechanics, turbulent flows, boundary layers, wakes , jets</t>
  </si>
  <si>
    <t>Meenal Datta</t>
  </si>
  <si>
    <t>mdatta@nd.edu</t>
  </si>
  <si>
    <t>Tumor microenvironment, cancer immunotherapy, mechano-immunology, drug delivery</t>
  </si>
  <si>
    <t>David Go</t>
  </si>
  <si>
    <t>dgo@nd.edu</t>
  </si>
  <si>
    <t>Plasma science and engineering, heat transfer and energy conversion, microfluidics and sprays</t>
  </si>
  <si>
    <t>Plasma science , engineering, heat transfer , energy conversion, microfluidics , sprays</t>
  </si>
  <si>
    <t>Craig Goehler</t>
  </si>
  <si>
    <t>cgoehler@nd.edu</t>
  </si>
  <si>
    <t>Biomechanics, musculoskeletal modeling and simulation, human-robot interaction, robotic manipulator kinematics, mechanism analysis and synthesis, computer aided design (CAD)</t>
  </si>
  <si>
    <t>Biomechanics, musculoskeletal modeling , simulation, human-robot interaction, robotic manipulator kinematics, mechanism analysis , synthesis, computer aided design (CAD)</t>
  </si>
  <si>
    <t>J. William Goodwine</t>
  </si>
  <si>
    <t>billgoodwine@nd.edu</t>
  </si>
  <si>
    <t>Geometric non-linear control theory with robotic applications, engineering mechanics and dynamics</t>
  </si>
  <si>
    <t>Geometric non-linear control theory with robotic applications, engineering mechanics , dynamics</t>
  </si>
  <si>
    <t>Stanislav Gordeyev</t>
  </si>
  <si>
    <t>sgordeye@nd.edu</t>
  </si>
  <si>
    <t>Aero-optical properties of transonic boundary layers and shear layers</t>
  </si>
  <si>
    <t>Aero-optical properties of transonic boundary layers , shear layers</t>
  </si>
  <si>
    <t>Donny Hanjaya-Putra</t>
  </si>
  <si>
    <t>dputra1@nd.edu</t>
  </si>
  <si>
    <t>Stem cell and tissue engineering, biomaterials, mechanobiology, drug delivery, bioengineering</t>
  </si>
  <si>
    <t>Stem cell , tissue engineering, biomaterials, mechanobiology, drug delivery, bioengineering</t>
  </si>
  <si>
    <t>$59,644 per year (full-time)</t>
  </si>
  <si>
    <t>Maria Holland</t>
  </si>
  <si>
    <t>maria-holland@nd.edu</t>
  </si>
  <si>
    <t>Mechanics of growth in soft tissues, computational modeling of brain growth and development</t>
  </si>
  <si>
    <t>Mechanics of growth in soft tissues, computational modeling of brain growth , development</t>
  </si>
  <si>
    <t>Robert Hughes</t>
  </si>
  <si>
    <t>rhughes6@nd.edu</t>
  </si>
  <si>
    <t>On-chiPnanofabrication, nanostructure synthesis, plasmonics</t>
  </si>
  <si>
    <t>Aleksandar Jemcov</t>
  </si>
  <si>
    <t>ajemcov@nd.edu</t>
  </si>
  <si>
    <t>Computational fluid dynamics, numerical methods, hypersonic flow simulation, machine learning algorithms, quantum algorithms</t>
  </si>
  <si>
    <t>Emily Johnson</t>
  </si>
  <si>
    <t>Computational mechanics, parametric design, isogeometric modeling, structural analysis, high-fidelity computation</t>
  </si>
  <si>
    <t>Thomas Juliano</t>
  </si>
  <si>
    <t>tjuliano@nd.edu</t>
  </si>
  <si>
    <t>Aerodynamics, aerothermodynamics, fluid mechanics</t>
  </si>
  <si>
    <t>Eric Jumper</t>
  </si>
  <si>
    <t>jumper.1@nd.edu</t>
  </si>
  <si>
    <t>Unstead forcing and responses in turbomachines, aero-optics, aircraft wake dynamics</t>
  </si>
  <si>
    <t>Unstead forcing , responses in turbomachines, aero-optics, aircraft wake dynamics</t>
  </si>
  <si>
    <t>Edward Kinzel</t>
  </si>
  <si>
    <t>ekinzel@nd.edu</t>
  </si>
  <si>
    <t>Laser material interaction, additive manufacturing, optics, infared/optical antenna/metasurfaces, micro/nanofabrication</t>
  </si>
  <si>
    <t>Robert Landers</t>
  </si>
  <si>
    <t>rlanders@nd.edu</t>
  </si>
  <si>
    <t>Manufacturing process control and control applications</t>
  </si>
  <si>
    <t>Manufacturing process control , control applications</t>
  </si>
  <si>
    <t>Sergey Leonov</t>
  </si>
  <si>
    <t>sleonov@nd.edu</t>
  </si>
  <si>
    <t>Supersonic Flows / hypersonics, aerothermodynamics, high-speed combustion and plasma-assisted combustion, experimental plasma aerodynamics, weakly ionized plasma generation, flow actuation by electrical discharges, diagnostics of low-temperature plasma</t>
  </si>
  <si>
    <t>Supersonic Flows / hypersonics, aerothermodynamics, high-speed combustion , plasma-assisted combustion, experimental plasma aerodynamics, weakly ionized plasma generation, flow actuation by electrical discharges, diagnostics of low-temperature plasma</t>
  </si>
  <si>
    <t>Tengfei Luo</t>
  </si>
  <si>
    <t>tluo@nd.edu</t>
  </si>
  <si>
    <t>Molecular simulations, machine learning, materials informatics, smart manufacturing, nanoscale heat and mass transfer, water desalination</t>
  </si>
  <si>
    <t>Molecular simulations, machine learning, materials informatics, smart manufacturing, nanoscale heat , mass transfer, water desalination</t>
  </si>
  <si>
    <t>Jonathan MacArt</t>
  </si>
  <si>
    <t>jmacart@nd.edu</t>
  </si>
  <si>
    <t>Turbulence, combustion, high-performance computing</t>
  </si>
  <si>
    <t>Eric Matlis</t>
  </si>
  <si>
    <t>ematlis@nd.edu</t>
  </si>
  <si>
    <t>Stability of compressible boundary layers, plasma sensors, plasma flow control, hypersonics, wind-turbine engineering</t>
  </si>
  <si>
    <t>Karel Matouš</t>
  </si>
  <si>
    <t>kmatous@nd.edu</t>
  </si>
  <si>
    <t>Computational science and engineering, data-driven modeling of complex systems, multiscale and multi-physics modeling, numerical methods, high-performance computing</t>
  </si>
  <si>
    <t>Computational science , engineering, data-driven modeling of complex systems, multiscale , multi-physics modeling, numerical methods, high-performance computing</t>
  </si>
  <si>
    <t>Ryan McClarren</t>
  </si>
  <si>
    <t>rmcclarr@nd.edu</t>
  </si>
  <si>
    <t>Application of machine learning and compressed sensing to numerical simulation, uncertainty quantification</t>
  </si>
  <si>
    <t>Application of machine learning , compressed sensing to numerical simulation, uncertainty quantification</t>
  </si>
  <si>
    <t>ScoTTMorris</t>
  </si>
  <si>
    <t>s.morris@nd.edu</t>
  </si>
  <si>
    <t>Aero/structural acoustics, turbulence, turbomachinery</t>
  </si>
  <si>
    <t>Prakash D. Nallathamby</t>
  </si>
  <si>
    <t>pnallath@nd.edu</t>
  </si>
  <si>
    <t>Modular nanotechnology, nanotoxicology, targeted theranostics, biomedical imaging, nanoparticles probes</t>
  </si>
  <si>
    <t>Svetlana Neretina</t>
  </si>
  <si>
    <t>sneretina@nd.edu</t>
  </si>
  <si>
    <t>Nanomaterials for energy applications, Nanofabrication, Plasmonic Nanomaterials, Catalysis</t>
  </si>
  <si>
    <r>
      <rPr>
        <u/>
        <sz val="10"/>
        <color rgb="FF000000"/>
        <rFont val="Arial"/>
        <family val="2"/>
      </rPr>
      <t xml:space="preserve">Chair - </t>
    </r>
    <r>
      <rPr>
        <u/>
        <sz val="10"/>
        <color rgb="FF000000"/>
        <rFont val="Arial"/>
        <family val="2"/>
      </rPr>
      <t>Glen Niebur</t>
    </r>
  </si>
  <si>
    <t>gniebur@nd.edu</t>
  </si>
  <si>
    <t>Biomechanics, solid mechanics, computational mechanics</t>
  </si>
  <si>
    <t>John Ott</t>
  </si>
  <si>
    <t>jott@nd.edu</t>
  </si>
  <si>
    <t>Timothy Ovaert</t>
  </si>
  <si>
    <t>tovaert@nd.edu</t>
  </si>
  <si>
    <t>Tribology, high-temperature tribomaterials, nanomechanical characterization, biomaterials, biomechanics, manufacturing, mechanical component design</t>
  </si>
  <si>
    <t>Mark Plecnik</t>
  </si>
  <si>
    <t>plecnikmark@nd.edu</t>
  </si>
  <si>
    <t>Computational mechanism design, robot kinematics, homotropy-based root finding</t>
  </si>
  <si>
    <t>Joseph Powers</t>
  </si>
  <si>
    <t>powers@nd.edu</t>
  </si>
  <si>
    <t>Combustion, high speed fluid mechanics, thermochemistry, computational science, applied mathematics, verification and validation of computational predictions</t>
  </si>
  <si>
    <t>Combustion, high speed fluid mechanics, thermochemistry, computational science, applied mathematics, verification , validation of computational predictions</t>
  </si>
  <si>
    <t>R. Mark Rennie</t>
  </si>
  <si>
    <t>rrennie@nd.edu</t>
  </si>
  <si>
    <t>Aero-optics, fluid dynamics, flow control, wind-tunnel modeling, design and testing</t>
  </si>
  <si>
    <t>Aero-optics, fluid dynamics, flow control, wind-tunnel modeling, design , testing</t>
  </si>
  <si>
    <t>Jeffrey F. Rhoads</t>
  </si>
  <si>
    <t>jrhoads@nd.edu</t>
  </si>
  <si>
    <t>Advancing Human Understanding</t>
  </si>
  <si>
    <t>Advancing Human Understing</t>
  </si>
  <si>
    <t>Ryan K. Roeder</t>
  </si>
  <si>
    <t>rroeder@nd.edu</t>
  </si>
  <si>
    <t>Biomaterials, biomechanics, material science, mechanical behavior, photon-counting spectral computed tomography, nanoparticles, scaffolds</t>
  </si>
  <si>
    <t>Matthew Rosenberger</t>
  </si>
  <si>
    <t>mrosenb2@nd.edu</t>
  </si>
  <si>
    <t>Nanoscience, atomic force microscopy, two-dimensional materials, nanomaterials for sensing, electronics, and energy applications</t>
  </si>
  <si>
    <t>Nanoscience, atomic force microscopy, two-dimensional materials, nanomaterials for sensing, electronics, energy applications</t>
  </si>
  <si>
    <t>Paul Rumbach</t>
  </si>
  <si>
    <t>prumbach@nd.edu</t>
  </si>
  <si>
    <t>Hirotaka Sakaue</t>
  </si>
  <si>
    <t>hsakaue@nd.edu</t>
  </si>
  <si>
    <t>Pressure and temperature-sensitive paint techniques, luminescent imaging methods, chemical coatings for anti- and de-icing applications, chemical flow control, experimental fluid dynamics, unsteady aerodynamics</t>
  </si>
  <si>
    <t>Pressure , temperature-sensitive paint techniques, luminescent imaging methods, chemical coatings for anti- , de-icing applications, chemical flow control, experimental fluid dynamics, unsteady aerodynamics</t>
  </si>
  <si>
    <t>James Schmiedeler</t>
  </si>
  <si>
    <t>schmiedeler.4@nd.edu</t>
  </si>
  <si>
    <t>Robotics, human biomechanics, legged locomotion</t>
  </si>
  <si>
    <t>Michael J. Seelinger</t>
  </si>
  <si>
    <t>mseelin1@nd.edu</t>
  </si>
  <si>
    <t>Engineering education, robotics, mechanics, mechanical engineering design, mechanical systems, vision guided robotics</t>
  </si>
  <si>
    <t>Michael Stanisic</t>
  </si>
  <si>
    <t>stanisic@nd.edu</t>
  </si>
  <si>
    <t>Mechanism and machine theory and design, design of humanoids and intelligent prostheses</t>
  </si>
  <si>
    <t>Mechanism , machine theory , design, design of humanoids , intelligent prostheses</t>
  </si>
  <si>
    <t>Flint Thomas</t>
  </si>
  <si>
    <t>fthomas@nd.edu</t>
  </si>
  <si>
    <t>Experimental fluid dynamics/aerodynamics, turbulence, flow stability, advanced signal processing techniques, flow control</t>
  </si>
  <si>
    <t>Meng Wang</t>
  </si>
  <si>
    <t>m.wang@nd.edu</t>
  </si>
  <si>
    <t>Aeroacoustics/hydroacoustics, aero-optics, flow control, turbulence, computational fluid dynamics</t>
  </si>
  <si>
    <t>Jian-xun Wang</t>
  </si>
  <si>
    <t>jwang33@nd.edu</t>
  </si>
  <si>
    <t>Scientific Machine Learning, Data Assimilation, Bayesian Inference, Uncertainty Quantification, CFD, Hemodynamics.</t>
  </si>
  <si>
    <t>Scientific Machine Learning, Data Assimilation, Bayesian Inference, Uncertainty Quantification, CFD, Hemodynamics,</t>
  </si>
  <si>
    <t>Jing Wang</t>
  </si>
  <si>
    <t>jwang35@nd.edu</t>
  </si>
  <si>
    <t>CAD/CAM, solid mechanics, statics, dynamics, mechanics of materials</t>
  </si>
  <si>
    <t>Maria Warren</t>
  </si>
  <si>
    <t>CAD/CAM, experiential learning, experimental mechanics, solid mechanics</t>
  </si>
  <si>
    <t>Patrick Wensing</t>
  </si>
  <si>
    <t>pwensing@nd.edu</t>
  </si>
  <si>
    <t>Dynamic systems and control with focus on applications in robotics</t>
  </si>
  <si>
    <t>Dynamic systems , control with focus on applications in robotics</t>
  </si>
  <si>
    <t>Nicholas Zabaras</t>
  </si>
  <si>
    <t>nzabaras@nd.edu</t>
  </si>
  <si>
    <t>Uncertainty quantification and predictive modeling, bayesian statistics, scientific computing, multiscale modeling, inverse problems, computational materials science, materials genome, computational mathematics, computational physics</t>
  </si>
  <si>
    <t>Uncertainty quantification , predictive modeling, bayesian statistics, scientific computing, multiscale modeling, inverse problems, computational materials science, materials genome, computational mathematics, computational physics</t>
  </si>
  <si>
    <t>Matthew Zahr</t>
  </si>
  <si>
    <t>mzahr@nd.edu</t>
  </si>
  <si>
    <t>Model reduction, finite element and discontinuous galerkin methods, high-order discretizations, numerical methods for handling shocks and other discontinuities, topology optimization, PDE-constrained optimization, multiphysics and multiscale problems, and uncertainty quantification</t>
  </si>
  <si>
    <t>Model reduction, finite element , discontinuous galerkin methods, high-order discretizations, numerical methods for h,ling shocks , other discontinuities, topology optimization, PDE-constrained optimization, multiphysics , multiscale problems, uncertainty quantification</t>
  </si>
  <si>
    <t>Yanliang Zhang</t>
  </si>
  <si>
    <t>yzhang45@nd.edu</t>
  </si>
  <si>
    <t>Additive manufacturing and scalable nanomanufacturing, thermal and thermoelectric energy conversion, harvesting and storage, advanced sensors, and autonomous materials discovery</t>
  </si>
  <si>
    <t>Additive manufacturing , scalable nanomanufacturing, thermal , thermoelectric energy conversion, harvesting , storage, advanced sensors, autonomous materials discovery</t>
  </si>
  <si>
    <t>Yale University</t>
  </si>
  <si>
    <t>Ian Abraham</t>
  </si>
  <si>
    <t>ian.abraham@yale.edu</t>
  </si>
  <si>
    <t xml:space="preserve">My  lies at the intersection of robotics, optimal control, machine learning, and artificial intelligence with a focus on active sensing and learning.
</t>
  </si>
  <si>
    <t xml:space="preserve">robotics, optimal control, machine learning, artificial intelligence with a focus on active sensing , learning
</t>
  </si>
  <si>
    <t>Mechanical Engineering and materials sciences</t>
  </si>
  <si>
    <t>Charles Ahn</t>
  </si>
  <si>
    <t>charles.ahn@yale.edu</t>
  </si>
  <si>
    <t xml:space="preserve">The Ahn research grouPfocuses on the fabrication and the study of the physical properties of novel complex oxide materials using advanced growth and characterization techniques, including molecular beam epitaxy and synchrotron x-ray scattering techniques. Current interests include the physics and technology of multifunctional oxides, nanofabrication and electronic writing using scanning probe microscopies, electronic control of complex order parameters in correlated oxides, and development of nonvolatile logic switches for post-CMOS computing paradigms.
</t>
  </si>
  <si>
    <t xml:space="preserve">physics , technology of multifunctional oxides, nanofabrication , electronic writing using scanning probe microscopies, electronic control of complex order parameters in correlated oxides, development of nonvolatile logic switches for post-CMOS computing paradigms
</t>
  </si>
  <si>
    <t>Beth Anne Bennett</t>
  </si>
  <si>
    <t>beth.bennett@yale.edu</t>
  </si>
  <si>
    <t xml:space="preserve">Development of time- and memory-efficient adaptive grid refinement techniques for solving systems of nonlinear elliptic PDEs in two and three dimensions, including multiple-scale finite-difference/finite-volume discretizations, treatment of nonstandard sparsity structures arising in related matrices, and algorithm parallelization. Application of these techniques to steady and unsteady multidimensional laminar combustion phenomena, fluid dynamics, heat transfer, and solidification. More Information
</t>
  </si>
  <si>
    <t xml:space="preserve">Development of time- , memory-efficient adaptive grid refinement techniques for solving systems of nonlinear elliptic PDEs in two , three dimensions, including multiple-scale finite-difference/finite-volume discretizations, treatment of nonst,ard sparsity structures arising in related matrices, algorithm parallelization, Application of these techniques to steady , unsteady multidimensional laminar combustion phenomena, fluid dynamics, heat transfer, solidification, More Information
</t>
  </si>
  <si>
    <t>Joran Booth</t>
  </si>
  <si>
    <t>joran.booth@yale.edu</t>
  </si>
  <si>
    <t xml:space="preserve">System-level design and implementation of soft robotics, tensegrity robotics, design theory and methodology.
</t>
  </si>
  <si>
    <t xml:space="preserve">System-level design , implementation of soft robotics, tensegrity robotics, design theory , methodology,
</t>
  </si>
  <si>
    <t>#42 - Best Engineering Schools</t>
  </si>
  <si>
    <t>Juan Fernandez de la Mora</t>
  </si>
  <si>
    <t>juan.delamora@yale.edu</t>
  </si>
  <si>
    <t xml:space="preserve">Fluid mechanics, ion-induced nucleation, electrified interfaces (Taylor cones, electrosprays), experimental techniques for analysis of nanoaerosols, ion mobility instrumentation, mass spectrometery, electrical propulsion, real time vapor analysis.
</t>
  </si>
  <si>
    <t xml:space="preserve">Fluid mechanics, ion-induced nucleation, electrified interfaces (Taylor cones, electrosprays), experimental techniques for analysis of nanoaerosols, ion mobility instrumentation, mass spectrometery, electrical propulsion, real time vapor analysis,
</t>
  </si>
  <si>
    <t>Aaron M. Dollar</t>
  </si>
  <si>
    <t>aaron.dollar@yale.edu</t>
  </si>
  <si>
    <t xml:space="preserve">Robotics, mechatronics, robotic grasping and manipulation, machine and mechanism design, rehabilitation and assistive devices, prosthetics, underactuated mechanisms, biomechanics of human movement.
</t>
  </si>
  <si>
    <t xml:space="preserve">Robotics, mechatronics, robotic grasping , manipulation, machine , mechanism design, rehabilitation , assistive devices, prosthetics, underactuated mechanisms, biomechanics of human movement,
</t>
  </si>
  <si>
    <t>Alessandro Gomez</t>
  </si>
  <si>
    <t>alessandro.gomez@yale.edu</t>
  </si>
  <si>
    <t xml:space="preserve">A common thread through all of our research is striving to have a measure of control in the technical problems we tackle. To the extent possible we devise well-defined experiments to sort out cause-and-effect relationships and draw unambiguous conclusions. Our grouPapplies this approach to two primary  combustion, and electrospray fundamentals and applications. Our activity is currently funded by the National Science Foundation, the Army Research Laboratory, and the Air Force Office of Scientific Research. We also have some internal seed funds for exploratory projects.
</t>
  </si>
  <si>
    <t xml:space="preserve">A common thread through all of our research is striving to have a measure of control in the technical problems we tackle, To the extent possible we devise well-defined experiments to sort out cause-,-effect relationships , draw unambiguous conclusions, Our grouPapplies this approach to two primary  combustion, electrospray fundamentals , applications, Our activity is currently funded by the National Science Foundation, the Army Research Laboratory, the Air Force Office of Scientific Research, We also have some internal seed funds for exploratory projects,
</t>
  </si>
  <si>
    <t>Sohrab Ismail-Beigi</t>
  </si>
  <si>
    <t>sohrab.ismail-beigi@yale.edu</t>
  </si>
  <si>
    <t xml:space="preserve">Our grouPuses first principles computational methods to attack topical and fundamental questions in condensed materials theory and materials physics. Present topics of interest include
</t>
  </si>
  <si>
    <t xml:space="preserve">computational methods to attack topical , fundamental questions in condensed materials theory , materials physics
</t>
  </si>
  <si>
    <t>Shun-Ichiro Karato</t>
  </si>
  <si>
    <t>shun-ichiro.karato@yale.edu</t>
  </si>
  <si>
    <t xml:space="preserve">Mineral physics and chemistry. High-pressure, temperature experimental studies, and their applications to geophysical and geological problems.
</t>
  </si>
  <si>
    <t xml:space="preserve">Mineral physics , chemistry, High-pressure, temperature experimental studies, their applications to geophysical , geological problems,
</t>
  </si>
  <si>
    <t>Rebecca Kramer-Bottiglio</t>
  </si>
  <si>
    <t>rebecca.kramer@yale.edu</t>
  </si>
  <si>
    <t>Soft robotics
Stretchable electronics
Responsive material actuators
Soft material manufacturing
Soft-bodied control</t>
  </si>
  <si>
    <t>Soft robotics,
Stretchable electronics,
Responsive material actuators,
Soft material manufacturing,
Soft-bodied control</t>
  </si>
  <si>
    <t>Yimin Luo</t>
  </si>
  <si>
    <t>yimin.luo@yale.edu</t>
  </si>
  <si>
    <t xml:space="preserve">Image analysis and reconstruction, high-throughput experiment design, cell-material interaction, biophysics, liquid crystals and liquid crystal elastomers, rheology of suspensions, phase behaviors, active colloids and active nematics, scattering
</t>
  </si>
  <si>
    <t xml:space="preserve">Image analysis , reconstruction, high-throughput experiment design, cell-material interaction, biophysics, liquid crystals , liquid crystal elastomers, rheology of suspensions, phase behaviors, active colloids , active nematics, scattering
</t>
  </si>
  <si>
    <t>Corey S. O'Hern</t>
  </si>
  <si>
    <t>corey.ohern@yale.edu</t>
  </si>
  <si>
    <t xml:space="preserve">Statistical mechanics of nonequilibrium systems, glass and jamming transitions in soft matter, computational biology, protein structure, interactions, and design.
</t>
  </si>
  <si>
    <t>Statistical mechanics of nonequilibrium systems, glass , jamming transitions in soft matter, computational biology, protein structure, interactions, design</t>
  </si>
  <si>
    <t>$46,900 per year (full-time)</t>
  </si>
  <si>
    <t>Vidvuds Ozolins</t>
  </si>
  <si>
    <t>vidvuds.ozolins@yale.edu</t>
  </si>
  <si>
    <t xml:space="preserve">Our s are in the field of first-principles computational modeling of high-performance materials. We use and develoPtheoretical methods for quantum mechanical calculations based on the density functional theory (DFT) and beyond, as well as modern statistical simulation methods, such as Monte Carlo, molecular dynamics, and path integral molecular dynamics. One of the main themes of our research is to incorporate recent developments in applied mathematics and machine learning to create rigorous, efficient and highly automated high-throughput methods and to apply them to design and discover materials with exceptional technological properties.
</t>
  </si>
  <si>
    <t>high-performance materials, develoPtheoretical methods for quantum mechanical calculations based on the density functional theory (DFT) ,  Monte Carlo, molecular dynamics, path integral molecular dynamics</t>
  </si>
  <si>
    <t>Amir A. Pahlavan</t>
  </si>
  <si>
    <t>amir.pahlavan@yale.edu</t>
  </si>
  <si>
    <t xml:space="preserve">Fluid mechanics, Soft matter, Biophysics, Transport phenomena
</t>
  </si>
  <si>
    <t>Diana Qiu</t>
  </si>
  <si>
    <t>diana.qiu@yale.edu</t>
  </si>
  <si>
    <t xml:space="preserve">One of the grand challenges of materials research is the ability to engineer and tune quantum degrees of freedom in order to discover new properties and phenomena, as well as to harness the flow of energy, charge, and information. A frontier of this understanding and optimization, which is the central goal of my group, lies in the control of a material's excitations and macroscopic properties at the quantum level through the tuning of light-matter interactions and many-electron correlations. My grouPuses and develops first principles quantum physics methods, which exploit high-performance computing to calculate many-electron interaction effects and make quantitatively accurate predictions about real materials. We are interested in the discovery and design of novel, highly-tunable, and transient materials, as well as the exploration of fundamental processes, such as exciton transport and coherence, and nonlinear and ultrafast optical response in materials relevant to fields such as optoelectronics, quantum information, and energy research. Materials of interest include two-dimensional materials and heterostructures, material defects, hybrid perovskite, and topological materials, among many others.
</t>
  </si>
  <si>
    <t>quantum physics methods, which exploit high-performance computing to calculate many-electron interaction effects , make quantitatively accurate predictions about real materials</t>
  </si>
  <si>
    <t>Brian Scassellati</t>
  </si>
  <si>
    <t>scaz@cs.yale.edu</t>
  </si>
  <si>
    <t xml:space="preserve">My research focuses on building embodied computational models of human social behavior, especially the developmental progression of early social skills. Using computational modeling and socially interactive robots, we evaluate models of how infants acquire social skills and assist in the diagnosis and quantification of disorders of social development (such as autism). My other interests include humanoid robots, humanrobot interaction, artificial intelligence, machine perception, and social learning.
</t>
  </si>
  <si>
    <t xml:space="preserve">computational models of human social behavior, especially the developmental progression of early social skills, Using computational modeling , socially interactive robots, we evaluate models of how infants acquire social skills , assist in the diagnosis , quantification of disorders of social development (such as autism)
</t>
  </si>
  <si>
    <t>Jan Schroers</t>
  </si>
  <si>
    <t>jan.schroers@yale.edu</t>
  </si>
  <si>
    <t xml:space="preserve">Micro &amp; Nano Replication, MEMS Materials &amp; Processes, Amorphous Metallic Foams, Bulk Metallic Glasses, Bio-Medical Applications, Net-shaping processing Methods incorporating a wide range of length scales, Thermo Plastic Forming
</t>
  </si>
  <si>
    <t>Udo D. Schwarz</t>
  </si>
  <si>
    <t>udo.schwarz@yale.edu</t>
  </si>
  <si>
    <t xml:space="preserve">Local measurement of atomic-scale interactions and properties, including mechanical, electrical, and chemical interactions, to study materials science problems in surface physics and chemistry such as issues related to heterogeneous catalysis, nanotribology (atomic mechanisms of friction), and adhesion. To facilitate these studies, our grouPalso specializes in the further development of high-resolution scanning probe microscopy methods.
</t>
  </si>
  <si>
    <t xml:space="preserve">Local measurement of atomic-scale interactions , properties, including mechanical, electrical, chemical interactions, to study materials science problems in surface physics , chemistry such as issues related to heterogeneous catalysis, nanotribology (atomic mechanisms of friction), adhesion, To facilitate these studies, our grouPalso specializes in the further development of high-resolution scanning probe microscopy methods,
</t>
  </si>
  <si>
    <t>Mitchell Smooke</t>
  </si>
  <si>
    <t>mitchell.smooke@yale.edu</t>
  </si>
  <si>
    <t xml:space="preserve">Smooke's primary s lie in the areas of computational combustion, chemical vapor deposition, and the numerical solution of ordinary and partial differential equations.
</t>
  </si>
  <si>
    <t xml:space="preserve">computational combustion, chemical vapor deposition, the numerical solution of ordinary , partial differential equations,
</t>
  </si>
  <si>
    <t>Cong Su</t>
  </si>
  <si>
    <t>cong.su@yale.edu</t>
  </si>
  <si>
    <t xml:space="preserve">The Atomic Engineering GrouPaims to develoPa method to modify atomic structures using electron beams. Our research covers the following areas (1) Using electron beams inside transmission electron microscope (TEM) to modify atomic structures on 2D materials, and investigating the interaction between charged particles and atoms, (2) Developing in-situ methods inside TEM and investigating the crystal structures under different conditions, (3) Synthesizing pristine and doped 1D/2D materials using chemical vapor deposition and chemical vapor transport methods, (4) Simulating electronic structure, spectroscopies, and atomic dynamics using first-principles and empirical calculation methods.
</t>
  </si>
  <si>
    <t xml:space="preserve">Using electron beams inside transmission electron microscope (TEM) to modify atomic structures on 2D materials, investigating the interaction between charged particles , atoms, Developing in-situ methods inside TEM , investigating the crystal structures under different conditions, Synthesizing pristine , doped 1D/2D materials using chemical vapor deposition , chemical vapor transport methods,Simulating electronic structure, spectroscopies, atomic dynamics using first-principles , empirical calculation methods
</t>
  </si>
  <si>
    <t>Madhusudhan Venkadesan</t>
  </si>
  <si>
    <t>m.venkadesan@yale.edu</t>
  </si>
  <si>
    <t xml:space="preserve">Venkadesan studies the biomechanics and control of animal movement, and develops mechanisms inspired by those studies.
</t>
  </si>
  <si>
    <t>biomechanics , control of animal movement, develops mechanisms inspired by those studies</t>
  </si>
  <si>
    <t>Daniel Wiznia</t>
  </si>
  <si>
    <t>daniel.wiznia@yale.edu</t>
  </si>
  <si>
    <t xml:space="preserve">Dr. Daniel Wiznia is anAssistant Pof Orthopaedic Surgery and anAssistant Pof Mechanical Engineering &amp; Materials Science who specializes in reconstructive surgery of the hiPand knee. Dr. Wiznia is the Department of Orthopaedic's Director of Technology and Innovation. In this role, he leads and coordinates efforts in the use and development of technology and innovation in education, research and CP care. Examples include robotics and navigation, the use of 3D modeling, virtual reality and artificial intelligence, as well as patient care platforms to coordinate efforts across the department in the use of surgical advances in innovation.
</t>
  </si>
  <si>
    <t xml:space="preserve">robotics , navigation, the use of 3D modeling, virtual reality , artificial intelligence, as well as patient care platforms to coordinate efforts across the department in the use of surgical advances in innovation
</t>
  </si>
  <si>
    <t>Arizona State University (Fulton)</t>
  </si>
  <si>
    <t>Lin Li</t>
  </si>
  <si>
    <t>lin.li.10@asu.edu</t>
  </si>
  <si>
    <t>Multiscale material mechanics models and simulations to explore structure-property-processing relationships in advanced materials</t>
  </si>
  <si>
    <t>Multiscale material mechanics models , simulations to explore structure-property-processing relationships in advanced materials</t>
  </si>
  <si>
    <t>Aerospace and mechanical engineering</t>
  </si>
  <si>
    <t>Ronald Adrian</t>
  </si>
  <si>
    <t>rjadrian@asu.edu</t>
  </si>
  <si>
    <t>Turbulence, experimental fluid mechanics, laser diagnostics laser instrumentation micro detonation.</t>
  </si>
  <si>
    <t>Turbulence, experimental fluid mechanics, laser diagnostics laser instrumentation micro detonation,</t>
  </si>
  <si>
    <t>Erik Andersen</t>
  </si>
  <si>
    <t>erik.j.andersen@asu.edu</t>
  </si>
  <si>
    <t>Resonant inductive and magnetoelectric wireless power transfer</t>
  </si>
  <si>
    <t>Resonant inductive , magnetoelectric wireless power transfer</t>
  </si>
  <si>
    <t>#38 - Mechanical Engineering</t>
  </si>
  <si>
    <t>Spring Berman</t>
  </si>
  <si>
    <t>Spring.Berman@asu.edu</t>
  </si>
  <si>
    <t>Modeling, analysis, control, and optimization of multi-robot systems including robotic swarms, analysis of collective behaviors in biology and biologically-inspired control of distributed systems</t>
  </si>
  <si>
    <t>Modeling, analysis, control, optimization of multi-robot systems including robotic swarms, analysis of collective behaviors in biology , biologically-inspired control of distributed systems</t>
  </si>
  <si>
    <t>#41 - Best Engineering Schools</t>
  </si>
  <si>
    <t>Ronald Calhoun</t>
  </si>
  <si>
    <t>ron.calhoun@asu.edu</t>
  </si>
  <si>
    <t>Remote sensing of environmental flows, atmospheric boundary layers and wind energy systems for climate studies</t>
  </si>
  <si>
    <t>Remote sensing of environmental flows, atmospheric boundary layers , wind energy systems for climate studies</t>
  </si>
  <si>
    <t>Aditi Chattopadhyay</t>
  </si>
  <si>
    <t>aditi@asu.edu</t>
  </si>
  <si>
    <t>Adaptive structures, structural health monitoring, composites, multiscale analysis, multidisciplinary design optimization and reduced order modeling</t>
  </si>
  <si>
    <t>Adaptive structures, structural health monitoring, composites, multiscale analysis, multidisciplinary design optimization , reduced order modeling</t>
  </si>
  <si>
    <t>Kangping Chen</t>
  </si>
  <si>
    <t>k.p.chen@asu.edu</t>
  </si>
  <si>
    <t>Fluid mechanics and interfacial phenomena applied to flows in porous media, hydraulic fracture, multiphase flow and heat transfer.</t>
  </si>
  <si>
    <t>Fluid mechanics , interfacial phenomena applied to flows in porous media, hydraulic fracture, multiphase flow , heat transfer,</t>
  </si>
  <si>
    <t>Ricardo Cruz-Lozano</t>
  </si>
  <si>
    <t>ricardo.cruz.lozano@asu.edu</t>
  </si>
  <si>
    <t>Design methodologies, creativity, innovation</t>
  </si>
  <si>
    <t>Werner Dahm</t>
  </si>
  <si>
    <t>Werner.Dahm@asu.edu</t>
  </si>
  <si>
    <t>Defense science and technology assessments/planning, fluid dynamics, aerodynamics, turbulent flow, combustion science, advanced propulsion systems.</t>
  </si>
  <si>
    <t>Defense science , technology assessments/planning, fluid dynamics, aerodynamics, turbulent flow, combustion science, advanced propulsion systems,</t>
  </si>
  <si>
    <t>Marcus Herrmann</t>
  </si>
  <si>
    <t>marcus.herrmann@asu.edu</t>
  </si>
  <si>
    <t>Fluid mechanics, modeling and numerical simulation of atomization processes in turbulent multiphase flows, numerical methods for discontinuous interfaces, Richtmyer-Meshkov instability, numerical methods for massively parallel computer systems, premixed and partially premixed combustion.</t>
  </si>
  <si>
    <t>Fluid mechanics, modeling , numerical simulation of atomization processes in turbulent multiphase flows, numerical methods for discontinuous interfaces, Richtmyer-Meshkov instability, numerical methods for massively parallel computer systems, premixed , partially premixed combustion,</t>
  </si>
  <si>
    <t>Huei-Ping Huang</t>
  </si>
  <si>
    <t>hp.huang@asu.edu</t>
  </si>
  <si>
    <t>Climate modeling and predication, remote sensing and environmental predication, geophysical and environmental fluid dynamics.</t>
  </si>
  <si>
    <t>Climate modeling , predication, remote sensing , environmental predication, geophysical , environmental fluid dynamics,</t>
  </si>
  <si>
    <t>Wanxin Jin</t>
  </si>
  <si>
    <t>wanxin.jin@asu.edu</t>
  </si>
  <si>
    <t>Robotics, control and machine learning</t>
  </si>
  <si>
    <t>Robotics, control , machine learning</t>
  </si>
  <si>
    <t>$12,014 per year (in-state, full-time)</t>
  </si>
  <si>
    <t>Mohamed Houssem Kasbaoui</t>
  </si>
  <si>
    <t>houssem.kasbaoui@asu.edu</t>
  </si>
  <si>
    <t>Massively parallel simulations of multiphase and aerosol-laden flows for environmental and aerospace applications.</t>
  </si>
  <si>
    <t>Massively parallel simulations of multiphase , aerosol-laden flows for environmental , aerospace applications,</t>
  </si>
  <si>
    <t>Jeonglae Kim</t>
  </si>
  <si>
    <t>jeokim@asu.edu</t>
  </si>
  <si>
    <t>Large-eddy simulation of high-speed turbulent flows with multi-physics, aeroacoustics, flow control and optimization</t>
  </si>
  <si>
    <t>Large-eddy simulation of high-speed turbulent flows with multi-physics, aeroacoustics, flow control , optimization</t>
  </si>
  <si>
    <t>Srinivas Kosaraju</t>
  </si>
  <si>
    <t>Srinivas.Kosaraju@asu.edu</t>
  </si>
  <si>
    <t>Engineering Design, Optimization, Microchannels, Thermal Management, Renewable Energy</t>
  </si>
  <si>
    <t>Beomjin Kwon</t>
  </si>
  <si>
    <t>kwon@asu.edu</t>
  </si>
  <si>
    <t>Energy transport and conversion physics, machine learning, optimization, and additive manufacturing, with applications in heat exchangers, thermoelectric generators, and materials.</t>
  </si>
  <si>
    <t>Energy transport , conversion physics, machine learning, optimization, additive manufacturing, with applications in heat exchangers, thermoelectric generators, materials,</t>
  </si>
  <si>
    <t>Hyunglae Lee</t>
  </si>
  <si>
    <t>Hyunglae.Lee@asu.edu</t>
  </si>
  <si>
    <t>Physical human-robot interaction, neuromuscular control of human movement, robot-aided neurorehabilitation, bio-inspired robotics, system identification for physiological systems</t>
  </si>
  <si>
    <t>Taewoo Lee</t>
  </si>
  <si>
    <t>attwl@asu.edu</t>
  </si>
  <si>
    <t>Energy system analysis, thermal and fluid process characterization, and fuel property measurements for energy systems.</t>
  </si>
  <si>
    <t>Energy system analysis, thermal , fluid process characterization, fuel property measurements for energy systems,</t>
  </si>
  <si>
    <t>Yongming Liu</t>
  </si>
  <si>
    <t>Yongming.Liu@asu.edu</t>
  </si>
  <si>
    <t>Fatigue and fracture of engineering materials and structures, probabilistic computational mechanics, risk assessment and management, multi-physics damage modeling and structural durability, multi-scale uncertainty quantification and propagation, imaging-based experimental testing, diagnostics and prognostics.</t>
  </si>
  <si>
    <t>Fatigue , fracture of engineering materials , structures, probabilistic computational mechanics, risk assessment , management, multi-physics damage modeling , structural durability, multi-scale uncertainty quantification , propagation, imaging-based experimental testing, diagnostics , prognostics,</t>
  </si>
  <si>
    <t>Leixin Ma</t>
  </si>
  <si>
    <t>leixin.ma@asu.edu</t>
  </si>
  <si>
    <t>Fluid-structure interaction, machine-learning-aided simulation and design</t>
  </si>
  <si>
    <t>Fluid-structure interaction, machine-learning-aided simulation , design</t>
  </si>
  <si>
    <t>Hamid Marvi</t>
  </si>
  <si>
    <t>hmarvi@asu.edu</t>
  </si>
  <si>
    <t>Bio-inspired robotics, bio-inspired design, mechanics of animal locomotion, active control of friction, adhesion, and drag forces, smart materials and structures, soft robotics, magnetic micro-robotics</t>
  </si>
  <si>
    <t>Bio-inspired robotics, bio-inspired design, mechanics of animal locomotion, active control of friction, adhesion, drag forces, smart materials , structures, soft robotics, magnetic micro-robotics</t>
  </si>
  <si>
    <t>James Middleton</t>
  </si>
  <si>
    <t>james.middleton@asu.edu</t>
  </si>
  <si>
    <t>Student learning of mathematical concepts, motivation and mathematics learning, application of technology to mathematics teaching and learning.</t>
  </si>
  <si>
    <t>Student learning of mathematical concepts, motivation , mathematics learning, application of technology to mathematics teaching , learning,</t>
  </si>
  <si>
    <t>Marc MignoletP</t>
  </si>
  <si>
    <t>marc.mignolet@asu.edu</t>
  </si>
  <si>
    <t>Structural dynamics, vibrations, modeling of uncertainty in structures, stochastic multiscale analyses.</t>
  </si>
  <si>
    <t>Structural dynamics, vibrations, modeling of uncertainty in structures, stochastic multiscale analyses,</t>
  </si>
  <si>
    <t>Ryan Milcarek</t>
  </si>
  <si>
    <t>Ryan.Milcarek@asu.edu</t>
  </si>
  <si>
    <t>Advanced energy conversion, micro-tubular flame assisted fuel cells (mT-FFCs), solid oxide fuel cells (SOFCs), microcombustion, two-stage combustors, micro cogeneration, building energy modeling, energy systems modeling and simulation</t>
  </si>
  <si>
    <t>Advanced energy conversion, micro-tubular flame assisted fuel cells (mT-FFCs), solid oxide fuel cells (SOFCs), microcombustion, two-stage combustors, micro cogeneration, building energy modeling, energy systems modeling , simulation</t>
  </si>
  <si>
    <t>Qiong Nian</t>
  </si>
  <si>
    <t>Qiong.Nian@asu.edu</t>
  </si>
  <si>
    <t>Nanomanufacturing, additive manufacturing, laser-based material processing, laser matter interaction and physics simulation, inkjet printing of functional materials, and 2D materials fabrication for energy storage and bio-sensors.</t>
  </si>
  <si>
    <t>Nanomanufacturing, additive manufacturing, laser-based material processing, laser matter interaction , physics simulation, inkjet printing of functional materials, 2D materials fabrication for energy storage , bio-sensors,</t>
  </si>
  <si>
    <t>Jay Oswald</t>
  </si>
  <si>
    <t>joswald1@asu.edu</t>
  </si>
  <si>
    <t>Computational mechanics finite element methods, molecular dynamics, and multiscale methods for applications in MEMS, material failure analysis, and material design.</t>
  </si>
  <si>
    <t>Computational mechanics finite element methods, molecular dynamics, multiscale methods for applications in MEMS, material failure analysis, material design,</t>
  </si>
  <si>
    <t>Gokul Pathikonda</t>
  </si>
  <si>
    <t>Gokul.Pathikonda@asu.edu</t>
  </si>
  <si>
    <t>Gokul Pathikonda is anAssistant Pin School for Engineering of Matter, Transport and Energy. He works on fluid mechanical problems related to aerospace, atmospheric and chemical industrial applications. His expertise is in application of laser-based non-intrusive diagnostics to optimally investigate fundamental turbulent phenomena. He was previously a researcher at Georgia Tech, University of Notre Dame and University of Illinois, Urbana-Champaign.</t>
  </si>
  <si>
    <t xml:space="preserve"> fluid mechanical problems related to aerospace, atmospheric , chemical industrial applications</t>
  </si>
  <si>
    <t>Matthew Peet</t>
  </si>
  <si>
    <t>mpeet@asu.edu</t>
  </si>
  <si>
    <t>Analysis and control of dynamic systems including development of optimization-based tools for nonlinear diﬀerential equations, systems with hybrid, nonlinear and decentralized dynamics, sparse interconnection and delayed feedback, and models of tumor growth with emphasis on therapy.</t>
  </si>
  <si>
    <t>Analysis , control of dynamic systems including development of optimization-based tools for nonlinear diﬀerential equations, systems with hybrid, nonlinear , decentralized dynamics, sparse interconnection , delayed feedback, models of tumor growth with emphasis on therapy,</t>
  </si>
  <si>
    <t>Yulia Peet</t>
  </si>
  <si>
    <t>ypeet@asu.edu</t>
  </si>
  <si>
    <t>Research goals of our grouPare to investigate behavior of complex engineering and physical systems by developing and applying advanced high-performance computational tools combining different physical models through multicode/multiphysics coupling and integrative simulations on massively parallel computers.</t>
  </si>
  <si>
    <t>Research goals of our grouPare to investigate behavior of complex engineering , physical systems by developing , applying advanced high-performance computational tools combining different physical models through multicode/multiphysics coupling , integrative simulations on massively parallel computers,</t>
  </si>
  <si>
    <t>Pedro Peralta</t>
  </si>
  <si>
    <t>pperalta@asu.edu</t>
  </si>
  <si>
    <t>Mechanics of materials, fatigue and fracture of metallic alloys, dynamic and shock loading of metallic and intermetallic materials with emphasis on effects of anisotropy and grain boundaries on mechanical behavior and failure.</t>
  </si>
  <si>
    <t>Mechanics of materials, fatigue , fracture of metallic alloys, dynamic , shock loading of metallic , intermetallic materials with emphasis on effects of anisotropy , grain boundaries on mechanical behavior , failure,</t>
  </si>
  <si>
    <t>Patrick Phelan</t>
  </si>
  <si>
    <t>phelan@asu.edu</t>
  </si>
  <si>
    <t>Sustainable cooling systems, thermal energy utilization &amp; management, buildings of the future, smart manufacturing, and energy policy.</t>
  </si>
  <si>
    <t>Sustainable cooling systems, thermal energy utilization &amp; management, buildings of the future, smart manufacturing, energy policy,</t>
  </si>
  <si>
    <t>Jagannathan Rajagopalan</t>
  </si>
  <si>
    <t>Jagannathan.Rajagopalan@asu.edu</t>
  </si>
  <si>
    <t>Mechanics of nanoscale materials and biological systems. Understanding the synthesis-structure-property relationships of nanocrystalline metals and alloys for optimization of the microstructure of nanocrystalline materials to enhance their mechanical properties and functionality, mechanics of cells and biological systems.</t>
  </si>
  <si>
    <t>Mechanics of nanoscale materials , biological systems, Underst,ing the synthesis-structure-property relationships of nanocrystalline metals , alloys for optimization of the microstructure of nanocrystalline materials to enhance their mechanical properties , functionality, mechanics of cells , biological systems,</t>
  </si>
  <si>
    <t>Yi Ren</t>
  </si>
  <si>
    <t>yiren@asu.edu</t>
  </si>
  <si>
    <t>Dr. Ren’s current  include optimization, product/configuration design, human-computer interaction and machine learning.</t>
  </si>
  <si>
    <t>optimization, product/configuration design, human-computer interaction , machine learning,</t>
  </si>
  <si>
    <t>Konrad Rykaczewski</t>
  </si>
  <si>
    <t>konradr@asu.edu</t>
  </si>
  <si>
    <t>Measurement of nano/microscale mechanisms underlying thermofluidic and interfacial phenomena for design of nanoengineered solutions that enhance macroscale performance of a variety of industrial applications including energy systems, thermal desalination, and transportation systems.</t>
  </si>
  <si>
    <t>Measurement of nano/microscale mechanisms underlying thermofluidic , interfacial phenomena for design of nanoengineered solutions that enhance macroscale performance of a variety of industrial applications including energy systems, thermal desalination, transportation systems,</t>
  </si>
  <si>
    <t>Alberto Scotti</t>
  </si>
  <si>
    <t>alberto.scotti@asu.edu</t>
  </si>
  <si>
    <t>Environmental fluid mechanics, mixing in stratified flows, waves, experimental techniques</t>
  </si>
  <si>
    <t>Liping Wang</t>
  </si>
  <si>
    <t>Liping.Wang@asu.edu</t>
  </si>
  <si>
    <t>Selective control of thermal emissioNAbsorption using meta-materials for energy harvesting. Near-field radiation heat transfer enhancement between meta-materials for thermophotovoltaic. Plasmonic-enhanced light trapping in Si thin film or Si nanowire arrays for photovoltaic. Nanophotonics, thermal system modeling, electronic cooling and optical characterization.</t>
  </si>
  <si>
    <t>Selective control of thermal emissioNAbsorption using meta-materials for energy harvesting, Near-field radiation heat transfer enhancement between meta-materials for thermophotovoltaic, Plasmonic-enhanced light trapping in Si thin film or Si nanowire arrays for photovoltaic, Nanophotonics, thermal system modeling, electronic cooling , optical characterization,</t>
  </si>
  <si>
    <t>Robert Wang</t>
  </si>
  <si>
    <t>rywang@asu.edu</t>
  </si>
  <si>
    <t>Thermal energy conversion, storage, and transport in nanostructured materials, thermoelectric power generation, thermal storage media, heat transfer, and phonon optics. Custom-design of colloidal nanoparticles, chemical precursors</t>
  </si>
  <si>
    <t>Thermal energy conversion, storage, transport in nanostructured materials, thermoelectric power generation, thermal storage media, heat transfer, phonon optics, Custom-design of colloidal nanoparticles, chemical precursors</t>
  </si>
  <si>
    <t>Valana Wells</t>
  </si>
  <si>
    <t>Valana@asu.edu</t>
  </si>
  <si>
    <t>Computational acoustics, rotary-wing aeroacoustics, noise control, rotorcraft design, aeronautical engineering education</t>
  </si>
  <si>
    <t>Zhe Xu</t>
  </si>
  <si>
    <t>xzhe1@asu.edu</t>
  </si>
  <si>
    <t>Dr. Xu’s  include control theory, formal methods (temporal logics), and reinforcement learning, with applications to learning and control of autonomous systems such as robotic systems, biological systems, and power systems.</t>
  </si>
  <si>
    <t>control theory, formal methods (temporal logics), reinforcement learning, with applications to learning , control of autonomous systems such as robotic systems, biological systems, power systems</t>
  </si>
  <si>
    <t>Houlong Zhuang</t>
  </si>
  <si>
    <t>zhuanghl@asu.edu</t>
  </si>
  <si>
    <t>Quantum mechanical simulations, machine learning, and quantum computing.</t>
  </si>
  <si>
    <t>Quantum mechanical simulations, machine learning, quantum computing,</t>
  </si>
  <si>
    <t>University of California--Davis</t>
  </si>
  <si>
    <r>
      <rPr>
        <sz val="10"/>
        <color rgb="FF000000"/>
        <rFont val="Arial"/>
        <family val="2"/>
      </rPr>
      <t xml:space="preserve">Chair - </t>
    </r>
    <r>
      <rPr>
        <u/>
        <sz val="10"/>
        <color rgb="FF000000"/>
        <rFont val="Arial"/>
        <family val="2"/>
      </rPr>
      <t>Ben D. Shaw</t>
    </r>
  </si>
  <si>
    <t>bdshaw@ucdavis.edu</t>
  </si>
  <si>
    <t>Energy, Propulsion and Environment, Fluid Mechanics and Aerodynamics</t>
  </si>
  <si>
    <t>Energy, Propulsion , Environment, Fluid Mechanics , Aerodynamics</t>
  </si>
  <si>
    <t>Mechanical and Aerospace</t>
  </si>
  <si>
    <t>Ralph C. Aldredge</t>
  </si>
  <si>
    <t>rcaldredge@ucdavis.edu</t>
  </si>
  <si>
    <t xml:space="preserve">Combustion, heat transfer, fluid dynamics, biotransport, biofluid dynamics, forensic science
</t>
  </si>
  <si>
    <t>Francis F. Assadian</t>
  </si>
  <si>
    <t>fassadian@ucdavis.edu</t>
  </si>
  <si>
    <t>Dynamics, Controls, Vehicles and Robotics, Energy, Propulsion and Environment</t>
  </si>
  <si>
    <t>Dynamics, Controls, Vehicles , Robotics, Energy, Propulsion , Environment</t>
  </si>
  <si>
    <t>Camli Badrya</t>
  </si>
  <si>
    <t>cbadrya@ucdavis.edu</t>
  </si>
  <si>
    <t>Computational and experimental aerodynamics, rotary wing, fixed wing, aircraft design, unsteady flow, turbulent modeling, flow control and modeling</t>
  </si>
  <si>
    <t>Computational , experimental aerodynamics, rotary wing, fixed wing, aircraft design, unsteady flow, turbulent modeling, flow control , modeling</t>
  </si>
  <si>
    <t>#34 - Best Engineering Schools</t>
  </si>
  <si>
    <t>Harry H. Cheng</t>
  </si>
  <si>
    <t>hhcheng@ucdavis.edu</t>
  </si>
  <si>
    <t>Dynamics, Controls, Vehicles and Robotics, Design, Manufacturing, MEMS and Nano</t>
  </si>
  <si>
    <t>Dynamics, Controls, Vehicles , Robotics, Design, Manufacturing, MEMS , Nano</t>
  </si>
  <si>
    <t>Raissa M. D'Souza</t>
  </si>
  <si>
    <t>rmdsouza@ucdavis.edu</t>
  </si>
  <si>
    <t xml:space="preserve">Network science, complex systems, statistical physics, applied mathematics
</t>
  </si>
  <si>
    <t>Cristina Davis</t>
  </si>
  <si>
    <t>cedavis@ucdavis.edu</t>
  </si>
  <si>
    <t>Instrumentation, wearable sensors, mechanical design, MEMS/micro/nano, machine learning, chemistry</t>
  </si>
  <si>
    <t>Jean-Pierre Delplanque</t>
  </si>
  <si>
    <t>delplanque@ucdavis.edu</t>
  </si>
  <si>
    <t>Multiphase flow and heat transfer, materials processes, respiratory flows, spray combustion, numerical simulation</t>
  </si>
  <si>
    <t>Multiphase flow , heat transfer, materials processes, respiratory flows, spray combustion, numerical simulation</t>
  </si>
  <si>
    <t>Paul Erickson</t>
  </si>
  <si>
    <t>paerickson@ucdavis.edu</t>
  </si>
  <si>
    <t xml:space="preserve">Energy, fuels, heat and mass transfer enhancement of reacting flows, advanced vehicle powertrains and propulsion, pollution prevention, instrumentation, international development.
</t>
  </si>
  <si>
    <t xml:space="preserve">Energy, fuels, heat , mass transfer enhancement of reacting flows, advanced vehicle powertrains , propulsion, pollution prevention, instrumentation, international development,
</t>
  </si>
  <si>
    <t>Rida T. Farouki</t>
  </si>
  <si>
    <t>farouki@ucdavis.edu</t>
  </si>
  <si>
    <t>Mathematical methods for computer-aided design and manufacturing, real-time motion control, CNC machining, geometrical algorithms, numerical analysis</t>
  </si>
  <si>
    <t>Mathematical methods for computer-aided design , manufacturing, real-time motion control, CNC machining, geometrical algorithms, numerical analysis</t>
  </si>
  <si>
    <t>Niels Grønbech-Jensen</t>
  </si>
  <si>
    <t>ngjensen@ucdavis.edu</t>
  </si>
  <si>
    <t>Dynamics, Controls, Vehicles and Robotics</t>
  </si>
  <si>
    <t>Dynamics, Controls, Vehicles , Robotics</t>
  </si>
  <si>
    <t>Mohsen Habibi</t>
  </si>
  <si>
    <t>mohabibi@ucdavis.edu</t>
  </si>
  <si>
    <t xml:space="preserve">Direct Sound Printing, Digital Manufacturing, CAD/CAM
</t>
  </si>
  <si>
    <t>$13,915 per year (in-state, full-time)</t>
  </si>
  <si>
    <t>Mohamed M. Hafez</t>
  </si>
  <si>
    <t>mhafez@ucdavis.edu</t>
  </si>
  <si>
    <t>Transonic aerodynamics, computational fluid dynamics (CFD), STEM college education</t>
  </si>
  <si>
    <t>Christina Harvey</t>
  </si>
  <si>
    <t>harvey@ucdavis.edu</t>
  </si>
  <si>
    <t>Aerodynamic performance, control, stability of flying animals and bio-inspired aircraft</t>
  </si>
  <si>
    <t>Aerodynamic performance, control, stability of flying animals , bio-inspired aircraft</t>
  </si>
  <si>
    <t>Michael R. Hill</t>
  </si>
  <si>
    <t>mrhill@ucdavis.edu</t>
  </si>
  <si>
    <t>Mechanical design, solid mechanics, experimental methods, fatigue and fracture, manufacturing</t>
  </si>
  <si>
    <t>Mechanical design, solid mechanics, experimental methods, fatigue , fracture, manufacturing</t>
  </si>
  <si>
    <t>David A. Horsley</t>
  </si>
  <si>
    <t>dahorsley@ucdavis.edu</t>
  </si>
  <si>
    <t>Design, Manufacturing, MEMS and Nano</t>
  </si>
  <si>
    <t>Design, Manufacturing, MEMS , Nano</t>
  </si>
  <si>
    <t>Sanjay S. Joshi</t>
  </si>
  <si>
    <t>maejoshi@ucdavis.edu</t>
  </si>
  <si>
    <t xml:space="preserve">Control systems, neuroengineering, robotics, spacecraft, medical devices
</t>
  </si>
  <si>
    <t>Kelly Kissock</t>
  </si>
  <si>
    <t>jkissock@ucdavis.edu</t>
  </si>
  <si>
    <t>Energy, Propulsion and Environment</t>
  </si>
  <si>
    <t>Energy, Propulsion , Environment</t>
  </si>
  <si>
    <t>Zhaodan Kong</t>
  </si>
  <si>
    <t>zdkong@ucdavis.edu</t>
  </si>
  <si>
    <t>Dynamics, Controls, Vehicles and Robotics, Human-Systems Engineering</t>
  </si>
  <si>
    <t>Dynamics, Controls, Vehicles , Robotics, Human-Systems Engineering</t>
  </si>
  <si>
    <t>Valeria La Saponara</t>
  </si>
  <si>
    <t>vlasaponara@ucdavis.edu</t>
  </si>
  <si>
    <t xml:space="preserve">Applied mechanics of composite structures, aerospace structures
</t>
  </si>
  <si>
    <t>Seongkyu Lee</t>
  </si>
  <si>
    <t>skulee@ucdavis.edu</t>
  </si>
  <si>
    <t>Aerodynamics, aeroacoustics, computational fluid dynamics, rotorcraft, wind energy, aircraft propulsion</t>
  </si>
  <si>
    <t>Xinfan Lin</t>
  </si>
  <si>
    <t>lxflin@ucdavis.edu</t>
  </si>
  <si>
    <t>Dynamic system modeling, diagnostics, and control, machine learning and data analytics, control-integrated design and optimization, automotive, energy and aerospace applications</t>
  </si>
  <si>
    <t>Dynamic system modeling, diagnostics, control, machine learning , data analytics, control-integrated design , optimization, automotive, energy , aerospace applications</t>
  </si>
  <si>
    <t>Barbara Linke</t>
  </si>
  <si>
    <t>bslinke@ucdavis.edu</t>
  </si>
  <si>
    <t xml:space="preserve">Manufacturing technologies, sustainability, abrasive machining, home-scale 3D printing, smart manufacturing
</t>
  </si>
  <si>
    <t>Vinod Narayanan</t>
  </si>
  <si>
    <t>vnarayanan@ucdavis.edu</t>
  </si>
  <si>
    <t xml:space="preserve">Microscale heat and mass transfer, phase-change heat transfer, solar thermal energy, energy efficiency in buildings, manufacturing processes.
</t>
  </si>
  <si>
    <t xml:space="preserve">Microscale heat , mass transfer, phase-change heat transfer, solar thermal energy, energy efficiency in buildings, manufacturing processes,
</t>
  </si>
  <si>
    <t>Shima Nazari</t>
  </si>
  <si>
    <t>snazari@ucdavis.edu</t>
  </si>
  <si>
    <t xml:space="preserve">Dynamics and control with application to electrified and automated vehicles
</t>
  </si>
  <si>
    <t xml:space="preserve">Dynamics , control with application to electrified , automated vehicles
</t>
  </si>
  <si>
    <t>Jae Wan Park</t>
  </si>
  <si>
    <t>jwpark@ucdavis.edu</t>
  </si>
  <si>
    <t xml:space="preserve">Lithium-ion batteries, PEM fuel cell, energy storage, hybrid electric vehicles
</t>
  </si>
  <si>
    <t>Bahram Ravani</t>
  </si>
  <si>
    <t>bravani@ucdavis.edu</t>
  </si>
  <si>
    <t xml:space="preserve">Kinematics and dynamics, impact biomechanics, highway safety and intelligent transportation systems, design and manufacturing, robotics and computational geometry of motion
</t>
  </si>
  <si>
    <t xml:space="preserve">Kinematics , dynamics, impact biomechanics, highway safety , intelligent transportation systems, design , manufacturing, robotics , computational geometry of motion
</t>
  </si>
  <si>
    <t>Stephen K. Robinson</t>
  </si>
  <si>
    <t>stephen.k.robinson@ucdavis.edu</t>
  </si>
  <si>
    <t>Fluid Mechanics and Aerodynamics, Human-Systems Engineering, Dynamics, Controls, Vehicles and Robotics</t>
  </si>
  <si>
    <t>Fluid Mechanics , Aerodynamics, Human-Systems Engineering, Dynamics, Controls, Vehicles , Robotics</t>
  </si>
  <si>
    <t>Nesrin Sarigul-Klijn</t>
  </si>
  <si>
    <t>nsarigulklijn@ucdavis.edu</t>
  </si>
  <si>
    <t>Human-Systems Engineering, Dynamics, Controls, Vehicles and Robotics, Design, Manufacturing, MEMS and Nano, Energy, Propulsion and Environment, Fluid Mechanics and Aerodynamics, Mechanics of Solids, Structures and Materials</t>
  </si>
  <si>
    <t>Human-Systems Engineering, Dynamics, Controls, Vehicles , Robotics, Design, Manufacturing, MEMS , Nano, Energy, Propulsion , Environment, Fluid Mechanics , Aerodynamics, Mechanics of Solids, Structures , Materials</t>
  </si>
  <si>
    <t>Jonathon Schofield</t>
  </si>
  <si>
    <t>jschofield@ucdavis.edu</t>
  </si>
  <si>
    <t xml:space="preserve">Assistive robotics, rehabilitation engineering, neural-integrated prosthetic limbs, cognition and perception, CP translation
</t>
  </si>
  <si>
    <t xml:space="preserve">Assistive robotics, rehabilitation engineering, neural-integrated prosthetic limbs, cognition , perception, CP translation
</t>
  </si>
  <si>
    <t>Iman Soltani</t>
  </si>
  <si>
    <t>isoltani@ucdavis.edu</t>
  </si>
  <si>
    <t xml:space="preserve"> Dynamics, Controls, Vehicles and Robotics</t>
  </si>
  <si>
    <t xml:space="preserve"> Dynamics, Controls, Vehicles , Robotics</t>
  </si>
  <si>
    <t>Masakazu Soshi</t>
  </si>
  <si>
    <t>msoshi@ucdavis.edu</t>
  </si>
  <si>
    <t xml:space="preserve">Manufacturing, CNC machine tools, machining, cutting, additive manufacturing, laser-based manufacturing processes, machine and mechatronics system design
</t>
  </si>
  <si>
    <t xml:space="preserve">Manufacturing, CNC machine tools, machining, cutting, additive manufacturing, laser-based manufacturing processes, machine , mechatronics system design
</t>
  </si>
  <si>
    <t>Anthony Wexler</t>
  </si>
  <si>
    <t>aswexler@ucdavis.edu</t>
  </si>
  <si>
    <t>Human-Systems Engineering Energy, Propulsion and Environment</t>
  </si>
  <si>
    <t>Human-Systems Engineering Energy, Propulsion , Environment</t>
  </si>
  <si>
    <t>Rich Whittle</t>
  </si>
  <si>
    <t>rswhittle@ucdavis.edu</t>
  </si>
  <si>
    <t>Human-Systems Engineering Dynamics, Controls, Vehicles and Robotics</t>
  </si>
  <si>
    <t>Human-Systems Engineering Dynamics, Controls, Vehicles , Robotics</t>
  </si>
  <si>
    <t>Eric Anderson</t>
  </si>
  <si>
    <t>anderse@crc.losrios.edu</t>
  </si>
  <si>
    <t>Nader Bagheri</t>
  </si>
  <si>
    <t>nbagheri@csum.edu</t>
  </si>
  <si>
    <t>Narugopal Ghata</t>
  </si>
  <si>
    <t>nghata@ucdavis.edu</t>
  </si>
  <si>
    <t>Tony Rizk</t>
  </si>
  <si>
    <t>tarizk@ucdavis.edu</t>
  </si>
  <si>
    <t>Marti Sarigul-Klijn</t>
  </si>
  <si>
    <t>mmsarigulk@ucdavis.edu</t>
  </si>
  <si>
    <t>Tony Snell</t>
  </si>
  <si>
    <t>tsnell@csum.edu</t>
  </si>
  <si>
    <t>Mason Earles</t>
  </si>
  <si>
    <t>jmearles@ucdavis.edu</t>
  </si>
  <si>
    <t>The Plant AI and Biophysics Lab aims to develoPlow-cost AI systems that generate novel insight into plant biology, ultimately leading to more precise and sustainable agricultural practice.</t>
  </si>
  <si>
    <t>The Plant AI , Biophysics Lab aims to develoPlow-cost AI systems that generate novel insight into plant biology, ultimately leading to more precise , sustainable agricultural practice,</t>
  </si>
  <si>
    <t>David Fyhrie</t>
  </si>
  <si>
    <t>dpfyhrie@ucdavis.edu</t>
  </si>
  <si>
    <t xml:space="preserve">Bone biomechanics, bone remodeling, cartilage mechanical properties, bone cell mechanobiology, fracture mechanics, finite element modeling 
</t>
  </si>
  <si>
    <t>Farzaneh Khorsandi</t>
  </si>
  <si>
    <t>fkhorsandi@ucdavis.edu</t>
  </si>
  <si>
    <t>Erkin Şeker</t>
  </si>
  <si>
    <t>eseker@ucdavis.edu</t>
  </si>
  <si>
    <t>Nanoporous metals, neuroengineering, biosensors, drug delivery, microfabrication</t>
  </si>
  <si>
    <t>Stavros G. Vougioukas</t>
  </si>
  <si>
    <t>svougioukas@ucdavis.edu</t>
  </si>
  <si>
    <t>University of California--Irvine (Samueli)</t>
  </si>
  <si>
    <t>Roger Rangel, Ph.D.</t>
  </si>
  <si>
    <t xml:space="preserve"> rhrangel@uci.edu</t>
  </si>
  <si>
    <t>s Heat transfer, fluid mechanics, spray combustion, two-phase flows, fluid instability and atomization</t>
  </si>
  <si>
    <t>Heat transfer, fluid mechanics, spray combustion, two-phase flows, fluid instability , atomization</t>
  </si>
  <si>
    <t>Department of Mechanical and Aerospace Engineering</t>
  </si>
  <si>
    <t>Ramin Bostanabad, Ph.D.</t>
  </si>
  <si>
    <t xml:space="preserve"> raminb@uci.edu</t>
  </si>
  <si>
    <t>s Design under uncertainty, probabilistic machine learning, materials informatics, computational microstructure characterization, topology optimization</t>
  </si>
  <si>
    <t>Design under uncertainty, probabilistic machine learning, materials informatics, computational microstructure characterization, topology optimization</t>
  </si>
  <si>
    <t>Jacob Brouwer, Ph.D.</t>
  </si>
  <si>
    <t xml:space="preserve"> jbrouwer@uci.edu</t>
  </si>
  <si>
    <t>s Fuel cells, energy systems dynamics, electrochemical systems design and analysis, chemical kinetics, reacting flows</t>
  </si>
  <si>
    <t>Fuel cells, energy systems dynamics, electrochemical systems design , analysis, chemical kinetics, reacting flows</t>
  </si>
  <si>
    <t>Natascha Buswell, Ph.D.</t>
  </si>
  <si>
    <t xml:space="preserve"> nbuswell@uci.edu</t>
  </si>
  <si>
    <t>s Graduate engineering education, faculty development, engineering teaching, engineering education research methods</t>
  </si>
  <si>
    <t>Graduate engineering education, faculty development, engineering teaching, engineering education research methods</t>
  </si>
  <si>
    <t>Penghui Cao, Ph.D.</t>
  </si>
  <si>
    <t xml:space="preserve"> caoph@uci.edu</t>
  </si>
  <si>
    <t>s Fundamental understanding of the mechanisms by which materials plasticly deform and fail, particularly in extreme environments</t>
  </si>
  <si>
    <t>Fundamental underst,ing of the mechanisms by which materials plasticly deform , fail, particularly in extreme environments</t>
  </si>
  <si>
    <t>David Copp, Ph.D.</t>
  </si>
  <si>
    <t xml:space="preserve"> dcopp@uci.edu</t>
  </si>
  <si>
    <t>s Optimal control and estimation, hybrid dynamical systems, energy storage, pedagogy</t>
  </si>
  <si>
    <t>Optimal control , estimation, hybrid dynamical systems, energy storage, pedagogy</t>
  </si>
  <si>
    <t>Manuel Gamero-Castaño, Ph.D.</t>
  </si>
  <si>
    <t xml:space="preserve"> mgameroc@uci.edu</t>
  </si>
  <si>
    <t>s Electric propulsion with emphasis on colloid thruster technology for precision formation flying missions and hall thrusters, electrohydrodynamic atomization of liquids and related problems like electrospray ionization and technological applications of electrosprays, aerosol diagnostics</t>
  </si>
  <si>
    <t>Electric propulsion with emphasis on colloid thruster technology for precision formation flying missions , hall thrusters, electrohydrodynamic atomization of liquids , related problems like electrospray ionization , technological applications of electrosprays, aerosol diagnostics</t>
  </si>
  <si>
    <t>Tryphon Georgiou, Ph.D.</t>
  </si>
  <si>
    <t xml:space="preserve"> tryphon@uci.edu</t>
  </si>
  <si>
    <t>s Dynamical systems and control, mathematical physics, applied mathematics, stochastic control, geometry of optimal mass transport, inverse problems in physics and signal analysis, control of fluids, networks and thermodynamic systems</t>
  </si>
  <si>
    <t>Dynamical systems , control, mathematical physics, applied mathematics, stochastic control, geometry of optimal mass transport, inverse problems in physics , signal analysis, control of fluids, networks , thermodynamic systems</t>
  </si>
  <si>
    <t>Jacqueline Huynh, Ph.D.</t>
  </si>
  <si>
    <t xml:space="preserve"> huynhlj@uci.edu</t>
  </si>
  <si>
    <t>s Design of aircraft systems and operations, aviation environmental impacts, aeroacoustics</t>
  </si>
  <si>
    <t>Design of aircraft systems , operations, aviation environmental impacts, aeroacoustics</t>
  </si>
  <si>
    <t>Faryar Jabbari, Ph.D.</t>
  </si>
  <si>
    <t xml:space="preserve"> fjabbari@uci.edu</t>
  </si>
  <si>
    <t>s Optimal control theory, distributed parameter systems, parameter identification</t>
  </si>
  <si>
    <t>Optimal control theory, distributed parameter systems, parameter identification</t>
  </si>
  <si>
    <t>Perry Johnson, Ph.D.</t>
  </si>
  <si>
    <t xml:space="preserve"> perry.johnson@uci.edu</t>
  </si>
  <si>
    <t>s Turbulent flows, particle-laden and multiphase flows, turbulent boundary layers, large-eddy simulations, scientific computing</t>
  </si>
  <si>
    <t>Turbulent flows, particle-laden , multiphase flows, turbulent boundary layers, large-eddy simulations, scientific computing</t>
  </si>
  <si>
    <t>Solmaz Kia, Ph.D.</t>
  </si>
  <si>
    <t xml:space="preserve"> solmaz@uci.edu</t>
  </si>
  <si>
    <t>s Systems and control, decentralized/distributed algorithm design for multi-agent systems, cooperative robotics</t>
  </si>
  <si>
    <t>Systems , control, decentralized/distributed algorithm design for multi-agent systems, cooperative robotics</t>
  </si>
  <si>
    <t>Jaeho Lee, Ph.D.</t>
  </si>
  <si>
    <t xml:space="preserve"> jaeholee@uci.edu</t>
  </si>
  <si>
    <t>s Heat transfer, thermal management, thermoelectrics, phononics, nanomaterials</t>
  </si>
  <si>
    <t>Heat transfer, thermal management, thermoelectrics, phononics, nanomaterials</t>
  </si>
  <si>
    <t>Feng Liu, Ph.D.</t>
  </si>
  <si>
    <t xml:space="preserve"> fliu@uci.edu</t>
  </si>
  <si>
    <t>s Computational fluid dynamics, turbomachinery, propulsion</t>
  </si>
  <si>
    <t>Computational fluid dynamics, turbomachinery, propulsion</t>
  </si>
  <si>
    <t>J. Michael McCarthy, Ph.D.</t>
  </si>
  <si>
    <t xml:space="preserve"> jmmccart@uci.edu</t>
  </si>
  <si>
    <t>s Design of mechanical systems, computer aided design, kinematic theory of spatial motion</t>
  </si>
  <si>
    <t>Design of mechanical systems, computer aided design, kinematic theory of spatial motion</t>
  </si>
  <si>
    <t>SungWoo Nam, Ph.D.</t>
  </si>
  <si>
    <t xml:space="preserve"> sungwoo.nam@uci.edu</t>
  </si>
  <si>
    <t>s Materials, mechanics and multifunctionality, understanding mechanically coupled properties in low-dimensional materials, building devices based on advanced materials</t>
  </si>
  <si>
    <t>Materials, mechanics , multifunctionality, underst,ing mechanically coupled properties in low-dimensional materials, building devices based on advanced materials</t>
  </si>
  <si>
    <t>Bihter Padak, Ph.D.</t>
  </si>
  <si>
    <t xml:space="preserve"> bpadak@uci.edu</t>
  </si>
  <si>
    <t>s Combustion, reaction kinetics, emission control technologies, catalysis</t>
  </si>
  <si>
    <t>Combustion, reaction kinetics, emission control technologies, catalysis</t>
  </si>
  <si>
    <t>Dimitri Papamoschou, Ph.D.</t>
  </si>
  <si>
    <t xml:space="preserve"> dpapamos@uci.edu</t>
  </si>
  <si>
    <t>s Compressible turbulence, jet and fan aeroacoustics, jet noise reduction, mixing enhancement, microphone phased array methods</t>
  </si>
  <si>
    <t>Compressible turbulence, jet , fan aeroacoustics, jet noise reduction, mixing enhancement, microphone phased array methods</t>
  </si>
  <si>
    <t>David Reinkensmeyer, Ph.D.</t>
  </si>
  <si>
    <t xml:space="preserve"> dreinken@uci.edu</t>
  </si>
  <si>
    <t>s Robotics, mechatronics, biomedical engineering, rehabilitation, biomechanics, neural control of movement</t>
  </si>
  <si>
    <t>Robotics, mechatronics, biomedical engineering, rehabilitation, biomechanics, neural control of movement</t>
  </si>
  <si>
    <r>
      <rPr>
        <sz val="10"/>
        <color rgb="FF000000"/>
        <rFont val="Arial"/>
        <family val="2"/>
      </rPr>
      <t xml:space="preserve">Chair - </t>
    </r>
    <r>
      <rPr>
        <u/>
        <sz val="10"/>
        <color rgb="FF000000"/>
        <rFont val="Arial"/>
        <family val="2"/>
      </rPr>
      <t>Julián Rimoli, Ph.D.</t>
    </r>
  </si>
  <si>
    <t xml:space="preserve"> jrimoli@uci.edu</t>
  </si>
  <si>
    <t>s Computational solid mechanics, aerospace structures, multiscale modeling</t>
  </si>
  <si>
    <t>Computational solid mechanics, aerospace structures, multiscale modeling</t>
  </si>
  <si>
    <t>Andrei Shkel, Ph.D.</t>
  </si>
  <si>
    <t xml:space="preserve"> ashkel@uci.edu</t>
  </si>
  <si>
    <t>s Design and advanced control of micro-electromechanical systems (MEMS), high-precision micro-machined gyroscopes, MEMS-enhanced optical systems, tools, and prosthetic appliances, electro-mechanical and machine-information systems integration</t>
  </si>
  <si>
    <t>Design , advanced control of micro-electromechanical systems (MEMS), high-precision micro-machined gyroscopes, MEMS-enhanced optical systems, tools, prosthetic appliances, electro-mechanical , machine-information systems integration</t>
  </si>
  <si>
    <t>Xian Shi, Ph.D.</t>
  </si>
  <si>
    <t xml:space="preserve"> xianshi@uci.edu</t>
  </si>
  <si>
    <t>s Energy conversion and propulsion, high-speed reacting flows, detonation and shock, chemical kinetics, renewable fuels, carbon materials, nanoparticle synthesis and dynamics</t>
  </si>
  <si>
    <t>Energy conversion , propulsion, high-speed reacting flows, detonation , shock, chemical kinetics, renewable fuels, carbon materials, nanoparticle synthesis , dynamics</t>
  </si>
  <si>
    <t>Athanasios Sideris, Ph.D.</t>
  </si>
  <si>
    <t xml:space="preserve"> asideris@uci.edu</t>
  </si>
  <si>
    <t>s Control systems, neural networks</t>
  </si>
  <si>
    <t>Control systems, neural networks</t>
  </si>
  <si>
    <t>William Sirignano, Ph.D.</t>
  </si>
  <si>
    <t xml:space="preserve"> sirignan@uci.edu</t>
  </si>
  <si>
    <t>s Combustion theory, multiphase flows, turbulent reacting flows, computational methods, rocket and jet propulsion, gas turbine and internal combustion engines</t>
  </si>
  <si>
    <t>Combustion theory, multiphase flows, turbulent reacting flows, computational methods, rocket , jet propulsion, gas turbine , internal combustion engines</t>
  </si>
  <si>
    <t>Haithem Taha, Ph.D.</t>
  </si>
  <si>
    <t xml:space="preserve"> hetaha@uci.edu</t>
  </si>
  <si>
    <t>s Geometric nonlinear nontrol theory, unsteady aerodynamics and aeroelasticity, optimization, calculus of variations and optimal control, flight dynamics and autopilot design, airplane performance and configuration aerodynamics</t>
  </si>
  <si>
    <t>Geometric nonlinear nontrol theory, unsteady aerodynamics , aeroelasticity, optimization, calculus of variations , optimal control, flight dynamics , autopilot design, airplane performance , configuration aerodynamics</t>
  </si>
  <si>
    <t>Camilo Velez Cuervo, Ph.D.</t>
  </si>
  <si>
    <t xml:space="preserve"> cvelezcu@uci.edu</t>
  </si>
  <si>
    <t>s Micro/nano robotics, micro/nano device fabrication, microfabrication of magnetic microsystems, magnetic micro/nanostructures, selective magnetization of micro patterns, microsystems (MEMS), biomedical microsystems, semiconductor devices and microfluidics</t>
  </si>
  <si>
    <t>Micro/nano robotics, micro/nano device fabrication, microfabrication of magnetic microsystems, magnetic micro/nanostructures, selective magnetization of micro patterns, microsystems (MEMS), biomedical microsystems, semiconductor devices , microfluidics</t>
  </si>
  <si>
    <t>Alexandra Voloshina, Ph.D.</t>
  </si>
  <si>
    <t xml:space="preserve"> avoloshi@uci.edu</t>
  </si>
  <si>
    <t>s Wearable robotics, gait rehabilitation, human biomechanics, motor impairment, neural control of movement</t>
  </si>
  <si>
    <t>Wearable robotics, gait rehabilitation, human biomechanics, motor impairment, neural control of movement</t>
  </si>
  <si>
    <t>Mark Walter, Ph.D.</t>
  </si>
  <si>
    <t xml:space="preserve"> m.walter@uci.edu</t>
  </si>
  <si>
    <t>s Mechanics of multifunctional materials, building energy efficiency</t>
  </si>
  <si>
    <t>Mechanics of multifunctional materials, building energy efficiency</t>
  </si>
  <si>
    <t>Xizheng Wang, Ph.D.</t>
  </si>
  <si>
    <t>xizhengw@uci.edu</t>
  </si>
  <si>
    <t xml:space="preserve">Research Interests: Sustainable electrified synthesis and manufacturing of functional nano/bulk materials, electrified additive manufacturing, in-situ characterizations under extreme thermal conditions </t>
  </si>
  <si>
    <t xml:space="preserve">Sustainable electrified synthesis , manufacturing of functional nano/bulk materials, electrified additive manufacturing, in-situ characterizations under extreme thermal conditions </t>
  </si>
  <si>
    <t>Yun Wang, Ph.D.</t>
  </si>
  <si>
    <t xml:space="preserve"> yunw@uci.edu</t>
  </si>
  <si>
    <t>s Fuel cells, computational modeling, thermo-fluidics, two-phase flows, electrochemistry, CFD, turbulent combustion</t>
  </si>
  <si>
    <t>Fuel cells, computational modeling, thermo-fluidics, two-phase flows, electrochemistry, CFD, turbulent combustion</t>
  </si>
  <si>
    <t>Yoonjin Won, Ph.D.</t>
  </si>
  <si>
    <t xml:space="preserve"> won@uci.edu</t>
  </si>
  <si>
    <t>s Multi-scale structures for thermal and energy applications, in particular fabrication, characterization, and integration of structured materials</t>
  </si>
  <si>
    <t>Multi-scale structures for thermal , energy applications, in particular fabrication, characterization, integration of structured materials</t>
  </si>
  <si>
    <t>Iowa State University</t>
  </si>
  <si>
    <t>Agba, Emmanuel</t>
  </si>
  <si>
    <t>eagba@iastate.edu</t>
  </si>
  <si>
    <t>Product realization
Product lifecycle management
Virtual manufacturing engineering
Computer-aided engineering
High-speed machining
Robotics
Composite materials
Plastics production
Reverse engineering</t>
  </si>
  <si>
    <t>Product realization,
Product lifecycle management,
Virtual manufacturing engineering,
Computer-aided engineering,
High-speed machining,
Robotics,
Composite materials,
Plastics production,
Reverse engineering,</t>
  </si>
  <si>
    <t>Bai, Xianglan</t>
  </si>
  <si>
    <t>bxl9801@iastate.edu</t>
  </si>
  <si>
    <t xml:space="preserve">Energy and environmental sustainability, biomass valorization, waste plastic upcycling, CO2 conversion, thermochemical conversion, non-thermal plasma physical chemistry and applications, sustainable chemicals, biofuels, green carbon fiber, biobased materials, green manufacturing, integrated conversion system design
</t>
  </si>
  <si>
    <t xml:space="preserve">Energy , environmental sustainability, biomass valorization, waste plastic upcycling, CO2 conversion, thermochemical conversion, non-thermal plasma physical chemistry , applications, sustainable chemicals, biofuels, green carbon fiber, biobased materials, green manufacturing, integrated conversion system design
</t>
  </si>
  <si>
    <t>Bangalore Ramachandra, Abhay</t>
  </si>
  <si>
    <t>abhaybr@iastate.edu</t>
  </si>
  <si>
    <t>Biomechanics, Computational Mechanics, Vascular Biology, Tissue Engineering, Cardiovascular, Translational</t>
  </si>
  <si>
    <t>#41 - Mechanical Engineering</t>
  </si>
  <si>
    <t>Baughman, Jacqulyn</t>
  </si>
  <si>
    <t>jacqulyn@iastate.edu</t>
  </si>
  <si>
    <t>Dr. Baughman’s  of interest include
Student Professional Development
Flipped classroom
Dynamics of Teamwork
Multidisciplinary teams</t>
  </si>
  <si>
    <t>Student Professional Development,
Flipped classroom,
Dynamics of Teamwork,
Multidisciplinary teams</t>
  </si>
  <si>
    <t>#46 - Best Engineering Schools</t>
  </si>
  <si>
    <t>Bentil, Sarah</t>
  </si>
  <si>
    <t>sbentil@iastate.edu</t>
  </si>
  <si>
    <t>Soft tissue biomechanics
Biomaterials
Traumatic brain injuries
Blast impact injury mechanisms
High-speed imaging
Brain-machine interfaces
Blunt impact injury mechanisms</t>
  </si>
  <si>
    <t>Soft tissue biomechanics,
Biomaterials,
Traumatic brain injuries,
Blast impact injury mechanisms,
High-speed imaging,
Brain-machine interfaces,
Blunt impact injury mechanisms</t>
  </si>
  <si>
    <t>Bhattacharya, Sourabh</t>
  </si>
  <si>
    <t>sbhattac@iastate.edu</t>
  </si>
  <si>
    <t>Optimization
Control theory
Game theory
Robotics
Compressed sensing
Networked control systems</t>
  </si>
  <si>
    <t>Optimization,
Control theory,
Game theory,
Robotics,
Compressed sensing,
Networked control systems</t>
  </si>
  <si>
    <t>Brown, Robert (Robert)</t>
  </si>
  <si>
    <t>rcbrown3@iastate.edu</t>
  </si>
  <si>
    <t>Thermal deconstruction of lignocellulosic biomass
Gasification, fast pyrolysis and solvent liquefaction of biomass
Biorenewable resources
Biofuels and biopower
Fluidized beds
Process intensification</t>
  </si>
  <si>
    <t>Thermal deconstruction of lignocellulosic biomass,
Gasification, fast pyrolysis , solvent liquefaction of biomass,
Biorenewable resources,
Biofuels , biopower,
Fluidized beds,
Process intensification</t>
  </si>
  <si>
    <t>Bryden, Kenneth (Mark)</t>
  </si>
  <si>
    <t>kmbryden@iastate.edu</t>
  </si>
  <si>
    <t xml:space="preserve">Dr. Bryden’s research  interests are broad but fit well under the umbrella of integrated computational environments and engineering decision making. Today one of the most critical issues in modeling and engineering is how to use the models and computing capabilities we have to improve our engineered products and processes. We have many powerful engineering modeling tools, but in many cases we cannot bring the full power of these tools to bear on engineering problems. Computational time, differing vocabularies between various disciplines, and the disparate nature of model creation all create barriers to the use of detailed model sets in engineering decision making. The challenge is that nearly all engineered products and processes are holistic systems composed of interdependent parts. Each of these parts is commonly analyzed with a separate model or set of models, and in many cases the interaction between the models is as important as the models themselves to the behavior and performance of the engineered product. Because of this, we need to be able to readily integrate the models and information required to create robust computational systems that accurately represent the fidelity and diversity of built, social, and natural systems. Within this area Dr. Bryden has worked on model integration, linking physical and virtual systems, visualization, and optimization.
</t>
  </si>
  <si>
    <t xml:space="preserve">integrated computational environments , engineering decision making
</t>
  </si>
  <si>
    <t>Claussen, Jonathan</t>
  </si>
  <si>
    <t>jcclauss@iastate.edu</t>
  </si>
  <si>
    <t>Biosensors (Electrochemical &amp; Optical)
Bio-Integrated Electronics
BioMEMS and BioNEMS
Micro/Nanoscale Propulsion
Carbon Nanomaterial Growth (Graphene and Carbon Nanotubes)
Nanomanufacturing / Materials Printing
Quantum Dots / Carbon Dots
Mass Transport / Fluid Dynamics</t>
  </si>
  <si>
    <t>Biosensors (Electrochemical &amp; Optical),
Bio-Integrated Electronics,
BioMEMS , BioNEMS,
Micro/Nanoscale Propulsion,
Carbon Nanomaterial Growth (Graphene , Carbon Nanotubes),
Nanomanufacturing / Materials Printing,
Quantum Dots / Carbon Dots,
Mass Transport / Fluid Dynamics</t>
  </si>
  <si>
    <t>Deza, Mirka</t>
  </si>
  <si>
    <t>mdeza@iastate.edu</t>
  </si>
  <si>
    <t>• Computational Fluid Dynamics and Heat Transfer, Multiphase Flow Modeling, Natural Ventilation Simulation and Modeling, Energy Usage and Energy Efficiency.
• Engineering Education</t>
  </si>
  <si>
    <t>Computational Fluid Dynamics , Heat Transfer, Multiphase Flow Modeling, Natural Ventilation Simulation , Modeling, Energy Usage , Energy Efficiency,Engineering Education</t>
  </si>
  <si>
    <t>Feve, Sebastien</t>
  </si>
  <si>
    <t>sfeve@iastate.edu</t>
  </si>
  <si>
    <t>Fleming, Cody</t>
  </si>
  <si>
    <t>flemingc@iastate.edu</t>
  </si>
  <si>
    <t>Dynamics and controls
System safety
Autonomy and planning
System integration
Safety by design</t>
  </si>
  <si>
    <t>Dynamics , controls,
System safety,
Autonomy , planning,
System integration,
Safety by design,</t>
  </si>
  <si>
    <t>$13,534 per year (in-state, full-time)</t>
  </si>
  <si>
    <t>Ganapathysubramanian, Baskar</t>
  </si>
  <si>
    <t>baskarg@iastate.edu</t>
  </si>
  <si>
    <t>Computational physics
Computational mechanics (fluid mechanics and heat transfer)
Stochastic analysis
Uncertainty quantification and propagation
Multiscale modeling, control and optimization of complex systems
Materials-by-design
Parallel computing and inverse problems</t>
  </si>
  <si>
    <t>Computational physics,
Computational mechanics (fluid mechanics , heat transfer),
Stochastic analysis,
Uncertainty quantification , propagation,
Multiscale modeling, control , optimization of complex systems,
Materials-by-design,
Parallel computing , inverse problems</t>
  </si>
  <si>
    <t>Gomes, Carmen</t>
  </si>
  <si>
    <t>carmen@iastate.edu</t>
  </si>
  <si>
    <t>Biosensors,
Nanotechnology,
Diagnostics and drug-delivery,
Design of novel nanoscale materials using biopolymers,
Design of biosensors using nanotechnology approaches,
Stimuli-responsive nanostructures,
Food safety and shelf-life extension of food products,
Delivery systems and sensing platforms.</t>
  </si>
  <si>
    <t>Biosensors,
Nanotechnology,
Diagnostics , drug-delivery,
Design of novel nanoscale materials using biopolymers,
Design of biosensors using nanotechnology approaches,
Stimuli-responsive nanostructures,
Food safety , shelf-life extension of food products,
Delivery systems , sensing platforms,</t>
  </si>
  <si>
    <t>Hagge, Mathew</t>
  </si>
  <si>
    <t>fforty@iastate.edu</t>
  </si>
  <si>
    <t>Computational modeling
Wood
Combustion
Pyrolysis
Thermodynamics
Visualization of bloodstain pattern analysis</t>
  </si>
  <si>
    <t>Computational modeling,
Wood,
Combustion,
Pyrolysis,
Thermodynamics,
Visualization of bloodstain pattern analysis</t>
  </si>
  <si>
    <t>Hashemi, Nicole</t>
  </si>
  <si>
    <t>nastaran@iastate.edu</t>
  </si>
  <si>
    <t>Microfluidics
Biosensors
Materials
Diagnostics and Therapeutics
Nanotechnology</t>
  </si>
  <si>
    <t>Microfluidics
Biosensors
Materials
Diagnostics , Therapeutics
Nanotechnology</t>
  </si>
  <si>
    <r>
      <rPr>
        <sz val="10"/>
        <color rgb="FF000000"/>
        <rFont val="Arial"/>
        <family val="2"/>
      </rPr>
      <t xml:space="preserve">Chair - </t>
    </r>
    <r>
      <rPr>
        <u/>
        <sz val="10"/>
        <color rgb="FF000000"/>
        <rFont val="Arial"/>
        <family val="2"/>
      </rPr>
      <t>Hayes, Caroline</t>
    </r>
  </si>
  <si>
    <t>cchayes@iastate.edu</t>
  </si>
  <si>
    <t>Tools for virtual collaboration,
Decision support in complex tasks ranging from product design, to driving and military intelligence analysis,
Decision making in natural work settings,
Globally distributed design teams and barriers to their effectiveness,
Telemedicine.</t>
  </si>
  <si>
    <t>Tools for virtual collaboration,
Decision support in complex tasks ranging from product design, to driving , military intelligence analysis,
Decision making in natural work settings,
Globally distributed design teams , barriers to their effectiveness,
Telemedicine,</t>
  </si>
  <si>
    <t>Heindel, Theodore (Ted)</t>
  </si>
  <si>
    <t>theindel@iastate.edu</t>
  </si>
  <si>
    <t>X-ray flow visualization
Fluid mechanics
Multiphase flow hydrodynamics
Gas-liquid, gas-solid, and gas-liquid-solid multiphase flows
Gas-liquid mass transfer
Particle-particle mixing and granular flows</t>
  </si>
  <si>
    <t>X-ray flow visualization,
Fluid mechanics,
Multiphase flow hydrodynamics,
Gas-liquid, gas-solid, gas-liquid-solid multiphase flows,
Gas-liquid mass transfer,
Particle-particle mixing , granular flows</t>
  </si>
  <si>
    <t>Hsu, Ming-Chen</t>
  </si>
  <si>
    <t>jmchsu@iastate.edu</t>
  </si>
  <si>
    <t>Computational Mechanics, Engineering, and Sciences
Fluid–Structure Interaction (FSI)
Aerospace, Biomedical, and Wind Energy Applications
Isogeometric Analysis (IGA)
Immersogeometric Analysis (IMGA)
Finite Element Methods (FEM)
Mechanics of Thin-Shell Structures
Aeroelasticity
Biomechanics
Turbulent Industrial Flows
Parametric Modeling, Design and Optimization
High-Performance Computing</t>
  </si>
  <si>
    <t>Computational Mechanics, Engineering, Sciences,
Fluid–Structure Interaction (FSI),
Aerospace, Biomedical, Wind Energy Applications,
Isogeometric Analysis (IGA),
Immersogeometric Analysis (IMGA),
Finite Element Methods (FEM),
Mechanics of Thin-Shell Structures,
Aeroelasticity,
Biomechanics,
Turbulent Industrial Flows,
Parametric Modeling, Design , Optimization,
High-Performance Computing</t>
  </si>
  <si>
    <t>Hu, Shan</t>
  </si>
  <si>
    <t>shanhu@iastate.edu</t>
  </si>
  <si>
    <t>Nanomaterials for energy storage and energy conversion
Acoustophoresis for nanomanufacturing
Additive Manufacturing
Functional materials for sensors and actuators</t>
  </si>
  <si>
    <t>Nanomaterials for energy storage , energy conversion
Acoustophoresis for nanomanufacturing
Additive Manufacturing
Functional materials for sensors , actuators</t>
  </si>
  <si>
    <t>Juarez, Jaime</t>
  </si>
  <si>
    <t>jjuarez@iastate.edu</t>
  </si>
  <si>
    <t>Microfabrication
Microscopy
Microfluidics
Flow Cytometry
Soft Matter Physics
Self Assembly of Materials
Physics of Micro- and Nanoscale Forces
Simulation of Colloidal Materials
Additive Manufacturing/3D Printing of Polymers and Composites</t>
  </si>
  <si>
    <t>Microfabrication,
Microscopy,
Microfluidics,
Flow Cytometry,
Soft Matter Physics,
Self Assembly of Materials,
Physics of Micro- , Nanoscale Forces,
Simulation of Colloidal Materials,
Additive Manufacturing/3D Printing of Polymers , Composites</t>
  </si>
  <si>
    <t>Kingston, Todd</t>
  </si>
  <si>
    <t>kingston@iastate.edu</t>
  </si>
  <si>
    <t>Multiphase thermal-fluid transport
Thermal management
Energy transfer and conversion
Microfluidics
Boiling heat transfer
Thermo-electrochemical phenomena</t>
  </si>
  <si>
    <t>Multiphase thermal-fluid transport,
Thermal management,
Energy transfer , conversion,
Microfluidics,
Boiling heat transfer,
Thermo-electrochemical phenomena</t>
  </si>
  <si>
    <t>Krishnamurthy, Adarsh</t>
  </si>
  <si>
    <t>adarsh@iastate.edu</t>
  </si>
  <si>
    <t>Computer-Aided Design (CAD)
Cardiovascular Biomechanics
Geometric Modeling
Geometric Machine Learning
Computational Mechanics
Finite Element Analysis
Isogeometric Analysis
GPU and Parallel Computing
Ultrasonic Non-Destructive Evaluation</t>
  </si>
  <si>
    <t>Computer-Aided Design (CAD),
Cardiovascular Biomechanics,
Geometric Modeling,
Geometric Machine Learning,
Computational Mechanics,
Finite Element Analysis,
Isogeometric Analysis,
GPU , Parallel Computing,
Ultrasonic Non-Destructive Evaluation</t>
  </si>
  <si>
    <t>Lee, Jonghyun</t>
  </si>
  <si>
    <t>jolee@iastate.edu</t>
  </si>
  <si>
    <t>Containerless Processing (Electrostatic/Electromagnetic Levitation)
Nucleation and Crystallization in Salt Solutions, Colloidal Suspensions, Biominerals, and Proteins
Thermophysical and Thermomechanical Properties of Metals and Ceramics
Transport Phenomena in Molten Metals and Ceramics
High-Temperature Materials
Metal Additive Manufacturing
Finite Element Analysis
Computational Fluid Dynamics</t>
  </si>
  <si>
    <t>Containerless Processing (Electrostatic/Electromagnetic Levitation),
Nucleation , Crystallization in Salt Solutions, Colloidal Suspensions, Biominerals, Proteins,
Thermophysical , Thermomechanical Properties of Metals , Ceramics,
Transport Phenomena in Molten Metals , Ceramics,
High-Temperature Materials,
Metal Additive Manufacturing,
Finite Element Analysis,
Computational Fluid Dynamics,</t>
  </si>
  <si>
    <t>Levitas, Valery</t>
  </si>
  <si>
    <t>vlevitas@iastate.edu</t>
  </si>
  <si>
    <t>Materials under high pressure and large plastic deformations/in situ synchrotron radiation experiments with rotational diamond anvils/phase transformations and microstructure evolution/four-scale theory and simulations (atomistic, nano- and microscale phase field, and macroscale).
Phase transformation-based mechanisms of the deep-focus earthquakes.
Phase field approach/phase transformations in solids, melting-solidification, twinning, dislocations, fracture, shear bands, surface- and interface-induced phenomena.
Interaction between phase transformation and plasticity.
Material instabilities under stress tensor/atomistic simulations/phase field approach/nonlinear elasticity.
Energetic and superhard materials.
Shape memory alloys.</t>
  </si>
  <si>
    <t>Materials under high pressure , large plastic deformations/in situ synchrotron radiation experiments with rotational diamond anvils/phase transformations , microstructure evolution/four-scale theory , simulations (atomistic, nano- , microscale phase field, macroscale),
Phase transformation-based mechanisms of the deep-focus earthquakes,
Phase field approach/phase transformations in solids, melting-solidification, twinning, dislocations, fracture, shear b,s, surface- , interface-induced phenomena,
Interaction between phase transformation , plasticity,
Material instabilities under stress tensor/atomistic simulations/phase field approach/nonlinear elasticity,
Energetic , superhard materials,
Shape memory alloys,</t>
  </si>
  <si>
    <t>Li, Beiwen</t>
  </si>
  <si>
    <t>beiwen@iastate.edu</t>
  </si>
  <si>
    <t>Superfast 3D optical sensing
Multi-scale 3D optical metrology
3D shape analysis
Machine/computer vision
In-situ monitoring and inspection</t>
  </si>
  <si>
    <t>Superfast 3D optical sensing,
Multi-scale 3D optical metrology,
3D shape analysis,
Machine/computer vision,
In-situ monitoring , inspection</t>
  </si>
  <si>
    <t>Lu, Meng</t>
  </si>
  <si>
    <t>menglu@iastate.edu</t>
  </si>
  <si>
    <t xml:space="preserve">Core Area(s) Electromagnetics, microwave, and nondestructive evaluation, microelectronics and photonics
</t>
  </si>
  <si>
    <t xml:space="preserve">Electromagnetics, microwave, nondestructive evaluation, microelectronics , photonics
</t>
  </si>
  <si>
    <t>Mathison, Margaret</t>
  </si>
  <si>
    <t>mm1@iastate.edu</t>
  </si>
  <si>
    <t>Positive displacement compressors
HVAC&amp;R equipment
Modeling and analysis of thermal systems</t>
  </si>
  <si>
    <t>Positive displacement compressors,
HVAC&amp;R equipment,
Modeling , analysis of thermal systems</t>
  </si>
  <si>
    <t>Mba-Wright, Mark</t>
  </si>
  <si>
    <t>markmw@iastate.edu</t>
  </si>
  <si>
    <t>Energy Systems Analysis
We investigate the cost and performance of energy systems. Our s include techno-economics, process modeling, and energy conversion. Recent projects investigated the costs and emissions of biomass conversion to gasoline and diesel.
Biomass Conversion Technologies
We research novel ways of converting biomass into fuels. Our current research is on low-temperature thermochemical conversion (torrefaction and pyrolysis) of lignocellulosic biomass for the production of platform chemicals and fuels.</t>
  </si>
  <si>
    <t>Energy Systems Analysis,
We investigate the cost , performance of energy systems, Our s include techno-economics, process modeling, energy conversion, Recent projects investigated the costs , emissions of biomass conversion to gasoline , diesel,
Biomass Conversion Technologies,
We research novel ways of converting biomass into fuels, Our current research is on low-temperature thermochemical conversion (torrefaction , pyrolysis) of lignocellulosic biomass for the production of platform chemicals , fuels</t>
  </si>
  <si>
    <t>Michael, James</t>
  </si>
  <si>
    <t>jmichael@iastate.edu</t>
  </si>
  <si>
    <t>Optical and spectroscopic diagnostics of reacting, multiphase, and non-equilibrium flows
Sustainable fuels and combustion for propulsion systems
Low temperature plasmas
Droplet and spray physics</t>
  </si>
  <si>
    <t>Optical , spectroscopic diagnostics of reacting, multiphase, non-equilibrium flows,
Sustainable fuels , combustion for propulsion systems,
Low temperature plasmas,
Droplet , spray physics</t>
  </si>
  <si>
    <t>Montazami, Reza</t>
  </si>
  <si>
    <t>reza@iastate.edu</t>
  </si>
  <si>
    <t>Mechanics of Soft Materials
Soft Electronics (Advanced Manufacturing and Mechanics)
Functional Polymers and Polymeric Systems
Biopolymers and Biocomposites</t>
  </si>
  <si>
    <t>Mechanics of Soft Materials,
Soft Electronics (Advanced Manufacturing , Mechanics),
Functional Polymers , Polymeric Systems,
Biopolymers , Biocomposites</t>
  </si>
  <si>
    <t xml:space="preserve">Mukherjee, Saikat
</t>
  </si>
  <si>
    <t>saikatm@iastate.edu</t>
  </si>
  <si>
    <t xml:space="preserve">I am interested in the numerical modeling of fluid dynamics and transport processes in physical and biological systems. I use my expertise in the theory of pattern formation and high-performance computing to answer pioneering questions on neurological disorders, microbial dynamics, and more. Current research interests include cerebrospinal fluid flow, transport, and reaction-advection-diffusion processes in the brain, the dynamics of bacteria in the presence of fluid flow, fluid dynamics of autocatalytic reaction fronts, and spiral defect chaos.
</t>
  </si>
  <si>
    <t xml:space="preserve">numerical modeling of fluid dynamics , transport processes in physical , biological systems
</t>
  </si>
  <si>
    <t>Oliver, James (Jim)</t>
  </si>
  <si>
    <t>oliver@iastate.edu</t>
  </si>
  <si>
    <t>Design and manufacturing process automation using
Geometric modeling
Computer graphics
Visualization
Simulation
Optimization
Virtual and augmented reality
Human computer interaction</t>
  </si>
  <si>
    <t>Geometric modeling,
Computer graphics,
Visualization,
Simulation,
Optimization,
Virtual , augmented reality,
Human computer interaction,</t>
  </si>
  <si>
    <t>Olsen, Michael</t>
  </si>
  <si>
    <t>mgolsen@iastate.edu</t>
  </si>
  <si>
    <t>Experimental Fluid Mechanics
Microelectromechanical Systems</t>
  </si>
  <si>
    <t>Experimental Fluid Mechanics,
Microelectromechanical Systems</t>
  </si>
  <si>
    <t>Padalkar, Sonal</t>
  </si>
  <si>
    <t>padalkar@iastate.edu</t>
  </si>
  <si>
    <t>Synthesis, characterization and simulation of hybrid nanostructures for energy related application
Synthesis and characterization of nanomaterials for biosensing
Utilizing advanced characterization techniques like TEM, HRTEM, EELS, Atom Probe to obtain solutions for complex RProblems
Bottom uPsynthesis techniques in the fabrication of nanostructures for nanoelectronic applications
Design, Synthesis and Characterization of photoelectrodes for water splitting</t>
  </si>
  <si>
    <t>Synthesis, characterization , simulation of hybrid nanostructures for energy related application
Synthesis , characterization of nanomaterials for biosensing
Utilizing advanced characterization techniques like TEM, HRTEM, EELS, Atom Probe to obtain solutions for complex RProblems
Bottom uPsynthesis techniques in the fabrication of nanostructures for nanoelectronic applications
Design, Synthesis , Characterization of photoelectrodes for water splitting</t>
  </si>
  <si>
    <t>Passalacqua, Alberto</t>
  </si>
  <si>
    <t>albertop@iastate.edu</t>
  </si>
  <si>
    <t>Multiphase fluid dynamics
Fluid particle flows
Electrostatics in fluid-particle flows
Quadrature-based moment methods
Computational fluid dynamics
Numerical methods for computational fluid dynamics
Development of open-source tools for computational fluid dynamics
Uncertainty quantification
Applications of computational fluid dynamics investigated in the group
Bubble columns
Two- and three-phase stirred tank reactors
Fluidized bed reactors (bubbling beds, risers)
Multi-inlet vortex reactors to produce nanoparticles
Fermenters
Electrolyzers
Lagoon biodigesters
Ventilation in barns</t>
  </si>
  <si>
    <t>Multiphase fluid dynamics,
Fluid particle flows,
Electrostatics in fluid-particle flows,
Quadrature-based moment methods,
Computational fluid dynamics,
Numerical methods for computational fluid dynamics
Development of open-source tools for computational fluid dynamics,
Uncertainty quantification,
Bubble columns,
Two- , three-phase stirred tank reactors,
Fluidized bed reactors (bubbling beds, risers),
Multi-inlet vortex reactors to produce nanoparticles,
Fermenters,
Electrolyzers,
Lagoon biodigesters,
Ventilation in barns</t>
  </si>
  <si>
    <t>Pawar, Aishwarya</t>
  </si>
  <si>
    <t>arpawar@iastate.edu</t>
  </si>
  <si>
    <t>Computational Modeling
Image Analysis
Computational Mechanics
Parallel and High-Performance Computing</t>
  </si>
  <si>
    <t>Computational Modeling,
Image Analysis,
Computational Mechanics,
Parallel , High-Performance Computing</t>
  </si>
  <si>
    <t>Pint, Cary</t>
  </si>
  <si>
    <t>carypint@iastate.edu</t>
  </si>
  <si>
    <t>Energy storage
Battery Design
Energy Harvesting
Multifunctional and Integrated Energy Materials
Nanomaterials and Nanomanufacturing
Mechanical Energy Conversion
Carbon Capture and Conversion</t>
  </si>
  <si>
    <t>Energy storage,
Battery Design,
Energy Harvesting,
Multifunctional , Integrated Energy Materials,
Nanomaterials , Nanomanufacturing,
Mechanical Energy Conversion,
Carbon Capture , Conversion</t>
  </si>
  <si>
    <t>Pittoni, Paola</t>
  </si>
  <si>
    <t>ppittoni@iastate.edu</t>
  </si>
  <si>
    <t>As an experimentalist, I regard unveiling accordances and discrepancies between ideal models and reality as one of my goals. Therefore, during the last decade, the focus of my studies has been discerning the limits of the practical applicability of equations and theories commonly used to describe the wetting behavior of materials, at high/low temperatures and long/short time scales. My main research topics are summarized as
Wettability
DroPTriple Line Dynamics at low and high temperatures
DroPImpact
DroPEvaporation
Multi-Phase Thermal-Fluid Dynamics (Heat Transfer, Pressure Drop, Flow Patterns)</t>
  </si>
  <si>
    <t>Wettability,
DroPTriple Line Dynamics at low , high temperatures,
DroPImpact,
DroPEvaporation,
Multi-Phase Thermal-Fluid Dynamics</t>
  </si>
  <si>
    <t>Ren, Juan</t>
  </si>
  <si>
    <t>juanren@iastate.edu</t>
  </si>
  <si>
    <t>Nanoscale probe-based broadband biomechanics characterization
High-speed imaging and broad-band viscoelasticity spectroscopy of soft and biological materials
System-inversion based feedforward-feedback control, optimal control, and iterative control theory and implementation to nanotechnology</t>
  </si>
  <si>
    <t>Nanoscale probe-based broadb, biomechanics characterization,
High-speed imaging , broad-b, viscoelasticity spectroscopy of soft , biological materials,
System-inversion based feedforward-feedback control, optimal control, iterative control theory , implementation to nanotechnology</t>
  </si>
  <si>
    <t>Roy, Sougata</t>
  </si>
  <si>
    <t>sroy@iastate.edu</t>
  </si>
  <si>
    <t xml:space="preserve">Multiscale additive manufacturing
Hybrid manufacturing
Tribology (study of friction, wear and lubrication)
Materials Science
Surface engineering
Drivetrain (gears and bearings) failure analyses
 </t>
  </si>
  <si>
    <t xml:space="preserve">Multiscale additive manufacturing,
Hybrid manufacturing,
Tribology (study of friction, wear , lubrication),
Materials Science,
Surface engineering,
Drivetrain (gears , bearings) failure analyses
 </t>
  </si>
  <si>
    <t>Sarkar, Soumik</t>
  </si>
  <si>
    <t>soumiks@iastate.edu</t>
  </si>
  <si>
    <t>Diagnostics, prognostics &amp; supervisory control of complex cyber-physical systems
Human-machine interaction
Data mining and visualization, machine learning, probabilistic graphical models
Stochastic time series analysis</t>
  </si>
  <si>
    <t>Diagnostics, prognostics &amp; supervisory control of complex cyber-physical systems,
Human-machine interaction,
Data mining , visualization, machine learning, probabilistic graphical models,
Stochastic time series analysis</t>
  </si>
  <si>
    <t>Schwartz, Christian (Cris)</t>
  </si>
  <si>
    <t>cris1@iastate.edu</t>
  </si>
  <si>
    <t>Tribology (friction and wear) of biological materials
Polymer tribology
Haptics and Tactility
Tactual assistive technology for the blind and visually impaired
Biomedical implant design and testing</t>
  </si>
  <si>
    <t>Tribology (friction , wear) of biological materials,
Polymer tribology,
Haptics , Tactility,
Tactual assistive technology for the blind , visually impaired,
Biomedical implant design , testing</t>
  </si>
  <si>
    <t>Secor, Ethan</t>
  </si>
  <si>
    <t>esecor@iastate.edu</t>
  </si>
  <si>
    <t>Research Topics
Advanced manufacturing
Printed electronics
Materials processing
Nanomaterials</t>
  </si>
  <si>
    <t>Advanced manufacturing,
Printed electronics,
Materials processing,
Nanomaterials</t>
  </si>
  <si>
    <t>Shapiro, Howard</t>
  </si>
  <si>
    <t>hshapiro@iastate.edu</t>
  </si>
  <si>
    <t>Energy efficiency, waste reductions, and productivity in industrial processes
Thermodynamics and energy conversion
Refrigeration
Heating, ventilating, and air conditioning</t>
  </si>
  <si>
    <t>Energy efficiency, waste reductions, productivity in industrial processes,
Thermodynamics , energy conversion,
Refrigeration,
Heating, ventilating, air conditioning</t>
  </si>
  <si>
    <t>Shrotriya, Pranav</t>
  </si>
  <si>
    <t>shrotriy@iastate.edu</t>
  </si>
  <si>
    <t>Mechanical response of micro/nano scale structures
Experimental and computational mechanics at small length scales
Mechanics of surface stress sensors and molecular adsorption
Stress-assisted dissolution and damage of biomedical implants
Mechanics of Manufacturing Processes</t>
  </si>
  <si>
    <t>Mechanical response of micro/nano scale structures,
Experimental , computational mechanics at small length scales,
Mechanics of surface stress sensors , molecular adsorption,
Stress-assisted dissolution , damage of biomedical implants,
Mechanics of Manufacturing Processes</t>
  </si>
  <si>
    <t>Sippel, Travis</t>
  </si>
  <si>
    <t>tsippel@iastate.edu</t>
  </si>
  <si>
    <t>Detonation
Solid rocket propulsion
Pyrotechnics
Nanoscale materials, nanoscale energetic materials
Electromagnetic field interaction with flames
Metal combustion
Spectroscopy, high-speed imaging techniques</t>
  </si>
  <si>
    <t>Detonation,
Solid rocket propulsion,
Pyrotechnics,
Nanoscale materials, nanoscale energetic materials,
Electromagnetic field interaction with flames,
Metal combustion,
Spectroscopy, high-speed imaging techniques</t>
  </si>
  <si>
    <t>Subramaniam, Shankar</t>
  </si>
  <si>
    <t>shankar@iastate.edu</t>
  </si>
  <si>
    <t>Spray modeling
Modeling and simulation of gas-particle flows, granular flows
Combustion
Turbulent reactive flows
Mixing
Stochastic models, particle methods
Computational fluid dynamics</t>
  </si>
  <si>
    <t>Spray modeling,
Modeling , simulation of gas-particle flows, granular flows,
Combustion,
Turbulent reactive flows,
Mixing,
Stochastic models, particle methods,
Computational fluid dynamics</t>
  </si>
  <si>
    <t>Sundararajan, Sriram</t>
  </si>
  <si>
    <t>srirams@iastate.edu</t>
  </si>
  <si>
    <t>Multiscale tribology (friction, lubrication and wear)
Surface Engineering
Engineering Education</t>
  </si>
  <si>
    <t>Multiscale tribology (friction, lubrication , wear),
Surface Engineering,
Engineering Education</t>
  </si>
  <si>
    <t>Wang, Xinwei</t>
  </si>
  <si>
    <t>xwang3@iastate.edu</t>
  </si>
  <si>
    <t>Thermal transport in micro/nanoscale materials (thin films, coatings, nanowires, and nanotubes) novel technique development for thermal conductivity measurement, the effect of material structure on its thermophysical properties
Raman-based energy transport, hot carrier diffusion, and interface energy coupling investigation
Material structure exploration based on thermal reffusivity theory</t>
  </si>
  <si>
    <t>Thermal transport in micro/nanoscale materials (thin films, coatings, nanowires, nanotubes) novel technique development for thermal conductivity measurement, the effect of material structure on its thermophysical properties,
Raman-based energy transport, hot carrier diffusion, interface energy coupling investigation,
Material structure exploration based on thermal reffusivity theory,</t>
  </si>
  <si>
    <t>Wickert, Jonathan</t>
  </si>
  <si>
    <t>wickert@iastate.edu</t>
  </si>
  <si>
    <t>Mechanical vibration and noise control
Continuous and multibody systems dynamics
Applied mechanics
Applications in computer data storage, flexible web material manufacturing, and friction-vibration interaction</t>
  </si>
  <si>
    <t>Mechanical vibration , noise control,
Continuous , multibody systems dynamics,
Applied mechanics,
Applications in computer data storage, flexible web material manufacturing, friction-vibration interaction</t>
  </si>
  <si>
    <t>Winer, Eliot</t>
  </si>
  <si>
    <t>ewiner@iastate.edu</t>
  </si>
  <si>
    <t>Internet Technology for Large-Scale Collaborative Design
Medical Imaging, Analysis, and Visualization
Multidisciplinary Design Synthesis
Computer Aided Design and Graphics
Applications in Optimal Design
Scientific Visualization
Virtual Reality Modeling for Large-Scale Design.</t>
  </si>
  <si>
    <t>Internet Technology for Large-Scale Collaborative Design,
Medical Imaging, Analysis, Visualization,
Multidisciplinary Design Synthesis,
Computer Aided Design , Graphics,
Applications in Optimal Design,
Scientific Visualization,
Virtual Reality Modeling for Large-Scale Design</t>
  </si>
  <si>
    <t>Zhong, Qiang</t>
  </si>
  <si>
    <t>qzhong1@iastate.edu</t>
  </si>
  <si>
    <t>Experimental Fluid Mechanics
Robotics
Biolocomotions
Flow sensing and modeling</t>
  </si>
  <si>
    <t>Experimental Fluid Mechanics,
Robotics,
Biolocomotions,
Flow sensing , modeling,</t>
  </si>
  <si>
    <t>Zoz, Steve</t>
  </si>
  <si>
    <t>sczoz@iastate.edu</t>
  </si>
  <si>
    <t>North Carolina State University</t>
  </si>
  <si>
    <t>Sajjad Bigham</t>
  </si>
  <si>
    <t>sbigham@ncsu.edu</t>
  </si>
  <si>
    <t>Heat Transfer and Thermal Management
Thermal Energy Systems
Multiphase Flows and Phase-change Phenomena
Physics of Boiling and Condensation Heat Transfer at Microscale
Interfacial Transport Phenomena at Extreme Temperatures and Pressures
HVAC&amp;R Systems
Desalination Systems
Micro- and Nano-engineered Materials
Energy Conversion and Storage Devices</t>
  </si>
  <si>
    <t>Heat Transfer , Thermal Management,
Thermal Energy Systems,
Multiphase Flows , Phase-change Phenomena,
Physics of Boiling , Condensation Heat Transfer at Microscale,
Interfacial Transport Phenomena at Extreme Temperatures , Pressures,
HVAC&amp;R Systems,
Desalination Systems,
Micro- , Nano-engineered Materials,
Energy Conversion , Storage Devices</t>
  </si>
  <si>
    <t>James Braun</t>
  </si>
  <si>
    <t>jamesbraun@ncsu.edu</t>
  </si>
  <si>
    <t xml:space="preserve">Dr. Braun’s research interests include novel supersonic propulsion concepts for air breathing and aerospace applications, through wind tunnel experiments and computational fluid dynamic (CFD) simulations.
</t>
  </si>
  <si>
    <t xml:space="preserve">supersonic propulsion concepts for air breathing , aerospace applications,wind tunnel experiments , computational fluid dynamic (CFD) simulations,
</t>
  </si>
  <si>
    <t>Matthew Bryant</t>
  </si>
  <si>
    <t>mbryant@ncsu.edu</t>
  </si>
  <si>
    <t xml:space="preserve">Dr. Bryant is interested in a multidisciplinary approach that combines smart materials, dynamical systems, and fluid-structure interaction phenomena to create novel systems for energy harvesting, sensing, and actuation.
</t>
  </si>
  <si>
    <t xml:space="preserve">smart materials, dynamical systems, fluid-structure interaction phenomena to create novel systems for energy harvesting, sensing, actuation,
</t>
  </si>
  <si>
    <t>Gregory Buckner</t>
  </si>
  <si>
    <t>gbuckner@ncsu.edu</t>
  </si>
  <si>
    <t xml:space="preserve">Dr. Buckner is interested in modeling, analysis, and control of dynamic systems, electromechanical systems, manufacturing automation, intelligent control, mechatronics
</t>
  </si>
  <si>
    <t xml:space="preserve">modeling, analysis, control of dynamic systems, electromechanical systems, manufacturing automation, intelligent control, mechatronics
</t>
  </si>
  <si>
    <t>Darius Carter</t>
  </si>
  <si>
    <t>darius_carter@ncsu.edu</t>
  </si>
  <si>
    <t xml:space="preserve">Near and complex boundary flight for multirotor vehicles, Multirotor aerodynamic interactions, Fluid-structure interactions, Wind Energy, Urban Air Mobility, &amp; Multiple Air Vehicle performance
</t>
  </si>
  <si>
    <t xml:space="preserve">Near , complex boundary flight for multirotor vehicles, Multirotor aerodynamic interactions, Fluid-structure interactions, Wind Energy, Urban Air Mobility, &amp; Multiple Air Vehicle performance
</t>
  </si>
  <si>
    <t>Mingtai Chen</t>
  </si>
  <si>
    <t>mchen33@ncsu.edu</t>
  </si>
  <si>
    <t xml:space="preserve">I am an experimentalist fascinated with designing a test setup, acquiring test data, analyzing the data, and making the final conclusions and recommendations. As an educator, my goal in the long term is to make the experiment in aerodynamics and vehicle structures more appealing to students.  
</t>
  </si>
  <si>
    <t xml:space="preserve">acquiring test data, analyzing the data, making the final conclusions
</t>
  </si>
  <si>
    <t>Chuyi Chen</t>
  </si>
  <si>
    <t>cchen52@ncsu.edu</t>
  </si>
  <si>
    <t>Her research focuses on acoustics, fluid dynamics, micro/nano systems, metamaterials, sensing, and imaging with applications in healthcare, biology, materials, and manufacturing.</t>
  </si>
  <si>
    <t>acoustics, fluid dynamics, micro/nano systems, metamaterials, sensing, imaging with applications in healthcare, biology, materials, manufacturing</t>
  </si>
  <si>
    <r>
      <rPr>
        <sz val="10"/>
        <color rgb="FF000000"/>
        <rFont val="Arial"/>
        <family val="2"/>
      </rPr>
      <t xml:space="preserve">Head - </t>
    </r>
    <r>
      <rPr>
        <u/>
        <sz val="10"/>
        <color rgb="FF000000"/>
        <rFont val="Arial"/>
        <family val="2"/>
      </rPr>
      <t>Srinath Ekkad</t>
    </r>
  </si>
  <si>
    <t>sekkad@ncsu.edu</t>
  </si>
  <si>
    <t>My area of application expertise is in gas turbine and thermal management of systems.</t>
  </si>
  <si>
    <t xml:space="preserve"> gas turbine , thermal management of systems,</t>
  </si>
  <si>
    <t>Felix Ewere</t>
  </si>
  <si>
    <t>feewere@ncsu.edu</t>
  </si>
  <si>
    <t xml:space="preserve">Dr. Ewere’s interests are in the science and technology at the intersection of aerodynamics, structural mechanics, energy and smart materials. Recent works have focused on exploiting aeroelastic instabilities on piezoelectric structures for engineering applications. His educational s include engineering design education, developing better-equipped graduates for the workforce, bridging the core competencies gap, improving diversity and collaboration within disciplines.
</t>
  </si>
  <si>
    <t xml:space="preserve">science , technology at the intersection of aerodynamics, structural mechanics, energy , smart materials, Recent works have focused on exploiting aeroelastic instabilities on piezoelectric structures for engineering applications, His educational s include engineering design education, developing better-equipped graduates for the workforce, bridging the core competencies gap, improving diversity </t>
  </si>
  <si>
    <t>Tiegang Fang</t>
  </si>
  <si>
    <t>tfang2@ncsu.edu</t>
  </si>
  <si>
    <t xml:space="preserve">Dr. Fang’s research is interesting to students because it addresses important societal needs, the work is hands-on, and because the students design their own experimental apparatuses. The students particularly enjoy the high-speed cameras and the laser diagnostic methods that enable them to see inside the engine and observe the behavior of the combusting flame, suggesting how the combustion processes can be made cleaner.
</t>
  </si>
  <si>
    <t xml:space="preserve"> the high-speed cameras , the laser diagnostic methods
</t>
  </si>
  <si>
    <t>Scott Ferguson</t>
  </si>
  <si>
    <t>smfergu2@ncsu.edu</t>
  </si>
  <si>
    <t xml:space="preserve">Dr. Ferguson and his team draw upon research advances in design automation, multiobjective / multidisciplinary optimization, customer preference modeling techniques (such as conjoint analysis and discrete choice theory), data analytics (including AI/ML), product customization, requirements definition, system architecture modeling, and change propagation techniques. Currently, the lab pursues four primary research directions
</t>
  </si>
  <si>
    <t xml:space="preserve"> design automation, multiobjective / multidisciplinary optimization, customer preference modeling techniques (such as conjoint analysis , discrete choice theory), data analytics (including AI/ML), product customization, requirements definition, system architecture modeling, change propagation techniques
</t>
  </si>
  <si>
    <t>Ashok Gopalarathnam</t>
  </si>
  <si>
    <t>agopalar@ncsu.edu</t>
  </si>
  <si>
    <t xml:space="preserve">The graduate students who work with Dr. G are motivated and have an interest in flight and aerodynamics. During their studies, they are exposed to a mixture of theoretical, experimental, and computational methods applied to the design of a wide range of aero-hydrodynamic systems. His students work on sail boats, race cars, aircraft, and wind turbines, to name a few.
</t>
  </si>
  <si>
    <t xml:space="preserve"> flight , aerodynamics, During their studies, they are exposed to a mixture of theoretical, experimental, computational methods applied to the design of a wide range of aero-hydrodynamic systems
</t>
  </si>
  <si>
    <t>$9,095 per year (in-state, full-time)</t>
  </si>
  <si>
    <t>Rich Gould</t>
  </si>
  <si>
    <t>gould@ncsu.edu</t>
  </si>
  <si>
    <t xml:space="preserve">As a research adviser, Dr. Gould usually meets with his students weekly. His students are self-motivated and interested in contributing to society through the engineering of systems and processes that improve efficiencies and conserve our energy resources.
</t>
  </si>
  <si>
    <t xml:space="preserve"> processes that improve efficiencies and conserve our energy resources,
</t>
  </si>
  <si>
    <t>Landon Grace</t>
  </si>
  <si>
    <t>lgrace2@ncsu.edu</t>
  </si>
  <si>
    <t>Dr. Grace’s research focuses on composite material response to detrimental environments, with an emphasis on temperature extremes, polymer-penetrant interactions, and combined hygrothermal and mechanical loading.</t>
  </si>
  <si>
    <t xml:space="preserve"> composite material response to detrimental environments, with an emphasis on temperature extremes, polymer-penetrant interactions, combined hygrothermal , mechanical loading</t>
  </si>
  <si>
    <t>Kenneth Granlund</t>
  </si>
  <si>
    <t>kgranlu@ncsu.edu</t>
  </si>
  <si>
    <t xml:space="preserve">Dr. Granlund is interested in unsteady experimental fluid mechanics, vortex dynamics and flow control.
</t>
  </si>
  <si>
    <t xml:space="preserve">unsteady experimental fluid mechanics, vortex dynamics , flow control
</t>
  </si>
  <si>
    <t>Veeraraghava Raju Hasti</t>
  </si>
  <si>
    <t>vhasti@ncsu.edu</t>
  </si>
  <si>
    <t>Mosi Heiranian</t>
  </si>
  <si>
    <t>mheiran@ncsu.edu</t>
  </si>
  <si>
    <t>Nanofluidics and membrane processes with applications in water security, energy and environment
Multiscale modeling and machine learning techniques to understand interfacial fluidic behavior for creating advanced technologies at the interface between fluid dynamics and nanoscience</t>
  </si>
  <si>
    <t>Nanofluidics , membrane processes with applications in water security, energy , environment, Multiscale modeling , machine learning techniques to underst, interfacial fluidic behavior for creating advanced technologies at the interface between fluid dynamics , nanoscience</t>
  </si>
  <si>
    <t>Tim Horn</t>
  </si>
  <si>
    <t>tjhorn@ncsu.edu</t>
  </si>
  <si>
    <t>Anna Howard</t>
  </si>
  <si>
    <t>akhowar5@ncsu.edu</t>
  </si>
  <si>
    <t>Dr. Howard’s research centers on providing active learning to large numbers of students and the role technology can play in improving student learning and retention.</t>
  </si>
  <si>
    <t>active learning to large numbers of students , the role technology can play in improving student learning , retention</t>
  </si>
  <si>
    <t>Jingjie Hu</t>
  </si>
  <si>
    <t>jhu35@ncsu.edu</t>
  </si>
  <si>
    <t>Dr. Jingjie Hu’s research focuses on the mechanical behavior of biomedical and biological materials.</t>
  </si>
  <si>
    <t>mechanical behavior of biomedical , biological materials</t>
  </si>
  <si>
    <t>Hsiao-Ying Shadow Huang</t>
  </si>
  <si>
    <t>hshuang@ncsu.edu</t>
  </si>
  <si>
    <t xml:space="preserve">Her RPrograms are centered on understanding the electrochemical-mechanical interactions in energy materials, such as advanced lithium batteries, and the structures/mechanics of biological materials (i.e., cardiovascular and musculoskeletal tissue).  She has been recognized by the Presidential Early Career Award for Scientists and Engineers (PECASE, 2019) from the White House, the NSF CAREER Award (2016) and the University Teacher Award (2020) for her work at NC State.
</t>
  </si>
  <si>
    <t>understing the electrochemical-mechanical interactions in energy materials</t>
  </si>
  <si>
    <t>Xiaoning Jiang</t>
  </si>
  <si>
    <t>xjiang5@ncsu.edu</t>
  </si>
  <si>
    <t>His research is attractive to students who are interested in cutting-edge research in the biomedical, mechanical or aerospace areas, and who are interested in advanced imaging and therapy methods and techniques.</t>
  </si>
  <si>
    <t>cutting-edge research in the biomedical, mechanical or aerospace areas, who are interested in advanced imaging , therapy methods , techniques,</t>
  </si>
  <si>
    <t>Arun Kumar Kota</t>
  </si>
  <si>
    <t>akota2@ncsu.edu</t>
  </si>
  <si>
    <t>Andrey Kuznetsov</t>
  </si>
  <si>
    <t>avkuznet@ncsu.edu</t>
  </si>
  <si>
    <t xml:space="preserve">Dr. Kuznetsov’s students, like himself, are more than anything else obsessed with modeling fluid-thermal systems, which fosters a stimulating research environment. In fact, Dr. Kuznetsov’s graduate students, after first working with him, are often surprised and pleased to discover that he treats them as colleagues. They enjoy an atmosphere of stimulating discussions on competing ideas. The biotechnology focus of the research also makes the subject particularly interesting.
</t>
  </si>
  <si>
    <t xml:space="preserve">modeling fluid-thermal systems, which fosters a stimulating research environment
</t>
  </si>
  <si>
    <t>Donggun Lee</t>
  </si>
  <si>
    <t>dlee48@ncsu.edu</t>
  </si>
  <si>
    <t>My primary research focuses on safety and performance-guaranteed autonomy, and efficient computation. 
optimal control and game theories to guarantee safety and performance</t>
  </si>
  <si>
    <t>safety , performance-guaranteed autonomy, efficient computation, optimal control , game theories to guarantee safety , performance</t>
  </si>
  <si>
    <t>Andrew Lee</t>
  </si>
  <si>
    <t>alee29@ncsu.edu</t>
  </si>
  <si>
    <t>Dr. Andrew Lee’s research focuses on leveraging the actuation and sensing capabilities of active materials to develoPdeployable and reconfigurable structures which are multifunctional.</t>
  </si>
  <si>
    <t>leveraging the actuation , sensing capabilities of active materials to developdeployable , reconfigurable structures which are multifunctional</t>
  </si>
  <si>
    <t>Jun Liu</t>
  </si>
  <si>
    <t>jliu38@ncsu.edu</t>
  </si>
  <si>
    <t xml:space="preserve">Dr. Liu is interested in micro/nano-scale thermal transport and hybrid organic/inorganic functional materials for energy storage, conversion, and management.
</t>
  </si>
  <si>
    <t xml:space="preserve"> micro/nano-scale thermal transport , hybrid organic/inorganic functional materials for energy storage, conversion, management
</t>
  </si>
  <si>
    <t>Hong Luo</t>
  </si>
  <si>
    <t>hluo2@ncsu.edu</t>
  </si>
  <si>
    <t xml:space="preserve">Dr. Luo is interested in computational fluid dynamics, computational magnetohydrodynamics, computational aeroacoustics, fluid-structure interaction, high-performance computing, and unstructured grid generation.
</t>
  </si>
  <si>
    <t xml:space="preserve">computational fluid dynamics, computational magnetohydrodynamics, computational aeroacoustics, fluid-structure interaction, high-performance computing, unstructured grid generation
</t>
  </si>
  <si>
    <t>Kevin Lyons</t>
  </si>
  <si>
    <t>lyons@ncsu.edu</t>
  </si>
  <si>
    <t>Dr. Lyons is interested in chemically reacting flows, imaging measurement in combustion experiments, flow control for propulsion applications, manipulation of reaction zones with electric and magnetic fields, industrial burner design, flame stabilization, spray combustion, turbulent mixing, and flame threats to fire fighters and soldiers.</t>
  </si>
  <si>
    <t>chemically reacting flows, imaging measurement in combustion experiments, flow control for propulsion applications, manipulation of reaction zones with electric , magnetic fields, industrial burner design, flame stabilization, spray combustion, turbulent mixing, flame threats to fire fighters</t>
  </si>
  <si>
    <t>Andre Mazzoleni</t>
  </si>
  <si>
    <t>apmazzol@ncsu.edu</t>
  </si>
  <si>
    <t>Dr. Mazzoleni is interested in dynamics, vibrations, solid mechanics, nonlinear systems, astronautics, spacecraft design, biomechanics, power generation, and energy storage.  He is the Director of the Engineering Mechanics and Space Systems Laboratory (EMSSL) at NC State.</t>
  </si>
  <si>
    <t xml:space="preserve"> dynamics, vibrations, solid mechanics, nonlinear systems, astronautics, spacecraft design, biomechanics, power generation, energy storage</t>
  </si>
  <si>
    <t>Nancy Moore</t>
  </si>
  <si>
    <t>njmoore3@ncsu.edu</t>
  </si>
  <si>
    <t>I teach thermodynamics following classical lines, but also discuss the different types of fuels that drive these processes (based on my past research in the combustion area).</t>
  </si>
  <si>
    <t>thermodynamics</t>
  </si>
  <si>
    <t>Marie Muller</t>
  </si>
  <si>
    <t>mmuller2@ncsu.edu</t>
  </si>
  <si>
    <t>Her  research attracts students because of its high societal impact, because it involves both theory and the learning about state-of-the-art numerical and experimental methods, and because it involves teamwork and collaborations with physicians, physicists and engineers. Since her research is multidisciplinary, students in her lab have the opportunity to tailor their graduate experience to their particular interests. Her applications involve developing non-invasive methods to quantitatively characterize the microstructure of complex biological media such as lung and bone. This leads to the development of new technologies for the diagnosis and monitoring of osteoporosis, pulmonary fibrosis, and pulmonary edema.</t>
  </si>
  <si>
    <t xml:space="preserve"> the learning about state-of-the-art numerical , experimental methods</t>
  </si>
  <si>
    <t>Venkat Narayanaswamy</t>
  </si>
  <si>
    <t>vnaraya3@ncsu.edu</t>
  </si>
  <si>
    <t>Dr. Venkat Narayanaswamy is interested in scramjet propulsion, laser diagnostics, and combustion.</t>
  </si>
  <si>
    <t>scramjet propulsion, laser diagnostics, combustion,</t>
  </si>
  <si>
    <t>Gracious Ngaile</t>
  </si>
  <si>
    <t>gngaile@ncsu.edu</t>
  </si>
  <si>
    <t xml:space="preserve">Dr. Ngaile’s long-term goal is to contribute to the dramatic reduction of the use of toxins in metal forming lubricants.
</t>
  </si>
  <si>
    <t xml:space="preserve">dramatic reduction of the use of toxins in metal forming lubricants,
</t>
  </si>
  <si>
    <t>Brendan O'Connor</t>
  </si>
  <si>
    <t>btoconno@ncsu.edu</t>
  </si>
  <si>
    <t xml:space="preserve">Dr. O’Connor is interested in fabrication, characterization, and modeling of organic electronic devices. </t>
  </si>
  <si>
    <t xml:space="preserve">fabrication, characterization, modeling of organic electronic devices, </t>
  </si>
  <si>
    <t>Mark Pankow</t>
  </si>
  <si>
    <t>mrpankow@ncsu.edu</t>
  </si>
  <si>
    <t xml:space="preserve">Dr. Pankow is interested in composite materials and materials subjected to high rates of loading, including blast and ballistic performance.
</t>
  </si>
  <si>
    <t xml:space="preserve">composite materials , materials subjected to high rates of loading, including blast , ballistic performance
</t>
  </si>
  <si>
    <t>Afsaneh Rabiei</t>
  </si>
  <si>
    <t>arabiei@ncsu.edu</t>
  </si>
  <si>
    <t>Dr. Afsaneh Rabiei is interested in processing and characterization of advanced materials, metal foams, coatings and composites.</t>
  </si>
  <si>
    <t>processing , characterization of advanced materials, metal foams, coatings , composites</t>
  </si>
  <si>
    <t>Jong Eun Ryu</t>
  </si>
  <si>
    <t>jryu@ncsu.edu</t>
  </si>
  <si>
    <t>His research is focused on additive manufacturing, nanomanufacturing, and multifunctional composite materials with the applications of bio-inspired plasmonic sensing, tunable metamaterials, and 3-D printed stretchable electronics. Dr. Ryu was awarded the Summer Faculty FellowshiPto the AFRL in 2015, 2016, and 2018. His research has been sponsored by US Air Force and Argonne National Laboratory.</t>
  </si>
  <si>
    <t>additive manufacturing, nanomanufacturing, multifunctional composite materials with the applications of bio-inspired plasmonic sensing, tunable metamaterials, 3-D printed stretchable electronics</t>
  </si>
  <si>
    <t>Susmita Sarkar</t>
  </si>
  <si>
    <t>ssarka23@ncsu.edu</t>
  </si>
  <si>
    <t xml:space="preserve">Her research focuses on a multidimensional approach that reflects a commitment to advancing energy storage technology through innovative design and manufacturing of next-generation energy storage devices. Beyond enhancing the performance, reliability, and yield of existing battery chemistries, her research also delves into polymer materials, exploring their applications to the development of stretchable batteries for emerging applications in healthcare, robotics, etc. Her other research interests include the application of thermally safe batteries in power grids, and electric vehicles and addressing challenges in large-scale energy storage.
</t>
  </si>
  <si>
    <t>energy storage technology through innovative design , manufacturing of next-generation energy storage devices</t>
  </si>
  <si>
    <t>Katherine Saul</t>
  </si>
  <si>
    <t>ksaul@ncsu.edu</t>
  </si>
  <si>
    <t>Dr. Saul is interested in dynamics and neural control of the musculoskeletal system, upper limb biomechanics and orthopaedic rehabilitation, computational dynamic simulation of movement, and musculoskeletal imaging.</t>
  </si>
  <si>
    <t>dynamics , neural control of the musculoskeletal system, upper limb biomechanics , orthopaedic rehabilitation, computational dynamic simulation of movement, musculoskeletal imaging</t>
  </si>
  <si>
    <t>Alexei Saveliev</t>
  </si>
  <si>
    <t>avsaveli@ncsu.edu</t>
  </si>
  <si>
    <t xml:space="preserve">Dr. Saveliev is interested in plasma engineering, combustion, and alternative energy systems.
</t>
  </si>
  <si>
    <t xml:space="preserve">interested in plasma engineering, combustion, alternative energy systems
</t>
  </si>
  <si>
    <t>Larry M. Silverberg</t>
  </si>
  <si>
    <t>lmsilver@ncsu.edu</t>
  </si>
  <si>
    <t xml:space="preserve">Research Area Dynamics and modern physics
</t>
  </si>
  <si>
    <t xml:space="preserve">Dynamics , modern physics
</t>
  </si>
  <si>
    <t>Hao Su</t>
  </si>
  <si>
    <t>hsu4@ncsu.edu</t>
  </si>
  <si>
    <t xml:space="preserve">Dr. Su is interested in design, learning, and control of soft robots, surgical robots and humanoid robots. He was a Research Scientist working on surgical robots at Philips Research North America, and then a postdoctoral fellow at Harvard University and Wyss Institute for Biologically Inspired Engineering. Prior to joining NC State, he was Irwin Zahn EndowedAssistant Pat City University of New York, City College.
</t>
  </si>
  <si>
    <t>design, learning, control of soft robots, surgical robots , humanoid robots</t>
  </si>
  <si>
    <t>Hooman Tafreshi</t>
  </si>
  <si>
    <t>hvtafres@ncsu.edu</t>
  </si>
  <si>
    <t xml:space="preserve">Dr. Tafreshi’s research is in the field of thermo-fluids sciences at its interface with material science. His particular research focus is on multiphase fluids and particle/droplet transport through fibrous materials with applications in filtration and separation sciences. </t>
  </si>
  <si>
    <t>thermo-fluids sciences at its interface with material science, multiphase fluids , particle/droplet transport through fibrous materials with applications in filtration , separation sciences</t>
  </si>
  <si>
    <t>Chau Tran</t>
  </si>
  <si>
    <t>cmtran@ncsu.edu</t>
  </si>
  <si>
    <t>Jay Tu</t>
  </si>
  <si>
    <t>jftu@ncsu.edu</t>
  </si>
  <si>
    <t>The role of lasers in engineering is fascinating, lasers are unique in that they operate on the basis of a purely human-made physical phenomenon and their use brings in understanding of electrodynamics, mechanics, and thermodynamics, making the subject rich and complex — the number and variety of applications are almost limitless. Dr. Tu expects his graduate students to have a strong sense of urgency and be an active thinker to attack problems, moving forward aggressively. This philosophy will helPstudents to develoPinto confident solvers of engineering problems, making them well-prepared for the workplace.</t>
  </si>
  <si>
    <t xml:space="preserve"> electrodynamics, mechanics, thermodynamics</t>
  </si>
  <si>
    <t>Chris Vermillion</t>
  </si>
  <si>
    <t>cvermil@ncsu.edu</t>
  </si>
  <si>
    <t xml:space="preserve">Dr. Vermillion’s interests lie in the application of optimal control and design optimization tools to cutting-edge problems in renewable energy and energy efficiency. He is particularly interested in the development of tethered systems for harnessing wind and marine hydrokinetic energy, in addition to the use of connected and autonomous vehicles to realize substantial fuel economy improvements over conventional vehicles.
</t>
  </si>
  <si>
    <t xml:space="preserve">application of optimal control , design optimization tools to cutting-edge problems in renewable energy, energy efficiency
</t>
  </si>
  <si>
    <t>Henry Ware</t>
  </si>
  <si>
    <t>howare@ncsu.edu</t>
  </si>
  <si>
    <t>important s include scalability of high-resolution fabrication to larger areas and increasing the palette of available materials that can be used in advanced manufacturing methods. Henry is a member of the Kiowa Tribe of Oklahoma.</t>
  </si>
  <si>
    <t>scalability of high-resolution fabrication to larger areas, increasing the palette of available materials that can be used in advanced manufacturing methods</t>
  </si>
  <si>
    <t>Fen Wu</t>
  </si>
  <si>
    <t>fwu@ncsu.edu</t>
  </si>
  <si>
    <t>Dr. Wu’s long-term goal is to play an important role in the development of robust and nonlinear control theory. A major roadblock in the development of robust and nonlinear control theory is solvability (computation) and so his work focuses largely on solvability.</t>
  </si>
  <si>
    <t>development of robust and nonlinear control theory</t>
  </si>
  <si>
    <t>Liming Xiong</t>
  </si>
  <si>
    <t>lxiong3@ncsu.edu</t>
  </si>
  <si>
    <t xml:space="preserve">His research focuses on the development of atomistic-to continuum modeling methods and their applications in simulating mechanical, thermal , and mass transport behavior in materials with an aim of designing them from the bottom uPfor aerospace, mechanical, nuclear, chemical, and civil engineering applications. </t>
  </si>
  <si>
    <t xml:space="preserve">atomistic-to continuum modeling methods , their applications in simulating mechanical, thermal , mass transport behavior </t>
  </si>
  <si>
    <t>Cheryl Xu</t>
  </si>
  <si>
    <t>cxu24@ncsu.edu</t>
  </si>
  <si>
    <t xml:space="preserve">Dr. Chengying “Cheryl” Xu’s s are advanced manufacturing of multifunctional materials, sensor design and manufacturing in harsh environments, process optimization, sensor-based health monitoring and control through artificial intelligence (AI). </t>
  </si>
  <si>
    <t xml:space="preserve">advanced manufacturing of multifunctional materials, sensor design , manufacturing in harsh environments, process optimization, sensor-based health monitoring , control through artificial intelligence (AI) </t>
  </si>
  <si>
    <t>Chi-An Yeh</t>
  </si>
  <si>
    <t>chian.yeh@ncsu.edu</t>
  </si>
  <si>
    <t xml:space="preserve">Chi-An Yeh’s research focuses on the intersection of unsteady fluid mechanics, data science, and network science with particular emphasis on innovating active flow control techniques for unsteady aerodynamic applications. He is also interested in computational fluid dynamics, dynamical systems and optimization.
</t>
  </si>
  <si>
    <t>unsteady fluid mechanics, data science, network science with particular emphasis on innovating active flow control techniques for unsteady aerodynamic applications</t>
  </si>
  <si>
    <t>Jie Yin</t>
  </si>
  <si>
    <t>jyin8@ncsu.edu</t>
  </si>
  <si>
    <t>Yin group’s research is on both fundamental mechanics and functionality of novel materials and structures at all scales</t>
  </si>
  <si>
    <t>fundamental mechanics , functionality of novel materials</t>
  </si>
  <si>
    <t>Fuh-Gwo Yuan</t>
  </si>
  <si>
    <t>yuan@ncsu.edu</t>
  </si>
  <si>
    <t xml:space="preserve">In his research, Dr. Yuan looks for graduate students with a multi-disciplinary background. He trains his students to methodically solve challenging technical problems and his students are drawn to Dr. Yuan’s research, in large part, because his research involves making advancements to multi-disciplinary problems that are both challenging and of high societal impact.
</t>
  </si>
  <si>
    <t xml:space="preserve">multi-disciplinary problems
</t>
  </si>
  <si>
    <t>Mary Zadeh</t>
  </si>
  <si>
    <t>mpourha@ncsu.edu</t>
  </si>
  <si>
    <t>Mohammed Zikry</t>
  </si>
  <si>
    <t>zikry@ncsu.edu</t>
  </si>
  <si>
    <t>Basic Agreement for North Carolina University 626021
Vibration-Enhanced Underground Sensing (VEnUS)
Collaborative Research Template-free roll coatings for scalable manufacturing of regular microstructures by controlling ribbing instabilities
Modeling of Vibration-Enhanced Underground Sensing (VENUS)
Understanding AM Solidification Profile Effects on Material Inhomogenieties, Defects, and Qualification
Development of a Mechanistic Hydride Behavior Model for Spent Fuel Cladding Storage and Transportation
Feasibility Project Mechanical Experiments for Adhesion Strengths of ITO and IZO Thin Films
Army RProposal for a WorkshoPon Nanomanufacturing
Mechanical Properties of Organic Solar Cells
DESIGN OF A NEW MARS MINI-ROVER</t>
  </si>
  <si>
    <t>Defects, Qualification,
Development of a Mechanistic Hydride Behavior Model for Spent Fuel Cladding Storage,
Adhesion Strengths,
Mechanical Properties of Organic Solar Cells</t>
  </si>
  <si>
    <t>Northeastern University</t>
  </si>
  <si>
    <t>Mechanical and Industrial Engineering</t>
  </si>
  <si>
    <t>$1,740 per credit (full-time)</t>
  </si>
  <si>
    <t>University of Virginia</t>
  </si>
  <si>
    <t>Baek, Stephen</t>
  </si>
  <si>
    <t>BAEK@VIRGINIA.EDU</t>
  </si>
  <si>
    <t>Geometric Data Analysis
Statistical Shape Modeling &amp; Analysis
DeePLearning on Non-Euclidean Domains
Data-driven Design and Engineering
Digital Human Modeling</t>
  </si>
  <si>
    <t>Geometric Data Analysis,
Statistical Shape Modeling &amp; Analysis,
DeePLearning on Non-Euclidean Domains,
Data-driven Design , Engineering,
Digital Human Modeling</t>
  </si>
  <si>
    <t>Balachandran, Prasanna</t>
  </si>
  <si>
    <t>PVB5E@VIRGINIA.EDU</t>
  </si>
  <si>
    <t>Density Functional Theory
Materials Informatics
Machine Learning/Active Learning/Adaptive Learning
Magnetic Materials
Ferroic Materials
Electronic Materials</t>
  </si>
  <si>
    <t>Density Functional Theory,
Materials Informatics,
Machine Learning/Active Learning/Adaptive Learning,
Magnetic Materials,
Ferroic Materials,
Electronic Materials</t>
  </si>
  <si>
    <t>Bart-Smith, Hilary</t>
  </si>
  <si>
    <t>HILARY@VIRGINIA.EDU</t>
  </si>
  <si>
    <t>Biotechnology and Biomolecular Engineering (Biomolecular Design, Cellular and Molecular Bioengineering)
Bio-inspired systems</t>
  </si>
  <si>
    <t>Biotechnology , Biomolecular Engineering (Biomolecular Design, Cellular , Molecular Bioengineering)
Bio-inspired systems</t>
  </si>
  <si>
    <t>Blemker, Silvia Salinas</t>
  </si>
  <si>
    <t>SSBLEMKER@VIRGINIA.EDU</t>
  </si>
  <si>
    <t>Medical and Molecular Imaging
Biomechanics/Injury Biomechanics or Biomechanics and Mechanobiology
Computational Systems Biology</t>
  </si>
  <si>
    <t>Medical , Molecular Imaging,
Biomechanics/Injury Biomechanics or Biomechanics , Mechanobiology,
Computational Systems Biology</t>
  </si>
  <si>
    <t>Chang, Cindy</t>
  </si>
  <si>
    <t>QC9NQ@VIRGINIA.EDU</t>
  </si>
  <si>
    <t>Advanced Manufacturing/Smart Manufacturing
Cyber-Physical Systems
Production Modeling and Control
Integrated Production and Energy System Modeling and Control
Battery Manufacturing System Modeling, Analysis, and Reliability Assessment
Composite Manufacturing
Intelligent Maintenance and Energy Management</t>
  </si>
  <si>
    <t>Advanced Manufacturing/Smart Manufacturing,
Cyber-Physical Systems,
Production Modeling , Control,
Integrated Production , Energy System Modeling , Control,
Battery Manufacturing System Modeling, Analysis, Reliability Assessment,
Composite Manufacturing,
Intelligent Maintenance , Energy Management</t>
  </si>
  <si>
    <t>overall Score</t>
  </si>
  <si>
    <t>Chelliah, Harsha K.</t>
  </si>
  <si>
    <t>HARSHA@VIRGINIA.EDU</t>
  </si>
  <si>
    <t>Fluid Mechanics
Chemical kinetics and model reduction
Combustion
Hypersonic propulsion
Soot nucleation, growth, and oxidation
Chemical vapor infiltration of SiC</t>
  </si>
  <si>
    <t>Fluid Mechanics,
Chemical kinetics , model reduction,
Combustion,
Hypersonic propulsion,
Soot nucleation, growth, oxidation,
Chemical vapor infiltration of SiC</t>
  </si>
  <si>
    <t>Dedic, Chloe</t>
  </si>
  <si>
    <t>CD5QM@VIRGINIA.EDU</t>
  </si>
  <si>
    <t>Ultrafast laser spectroscopy
Coherent anti-Stokes Raman scattering
Optical-based measurement and sensor development
Clean energy conversion
Combustion
Hypersonic propulsion and aerodynamics</t>
  </si>
  <si>
    <t>Ultrafast laser spectroscopy,
Coherent anti-Stokes Raman scattering,
Optical-based measurement , sensor development,
Clean energy conversion,
Combustion,
Hypersonic propulsion , aerodynamics</t>
  </si>
  <si>
    <t>Dong, Haibo</t>
  </si>
  <si>
    <t>HD6Q@VIRGINIA.EDU</t>
  </si>
  <si>
    <t>Fluid Mechanics
Bio-inspired systems
Morphing structures/biomimetics</t>
  </si>
  <si>
    <t>Fluid Mechanics,
Bio-inspired systems,
Morphing structures/biomimetics</t>
  </si>
  <si>
    <t>Esfarjani, Keivan</t>
  </si>
  <si>
    <t>K1@VIRGINIA.EDU</t>
  </si>
  <si>
    <t>Computational Materials Science
Nanoelectronics and 2-D Materials
Nanoscale Heat Transfer
Energy conversion and storage</t>
  </si>
  <si>
    <t>Computational Materials Science,
Nanoelectronics , 2-D Materials,
Nanoscale Heat Transfer,
Energy conversion , storage</t>
  </si>
  <si>
    <t>Forman, Jason</t>
  </si>
  <si>
    <t>jlf3m@virginia.edu</t>
  </si>
  <si>
    <t>Mechanisms of aortic injury in automobile collisions.
Mechanisms, prediction, and prevention of pedestrian injuries from collisions with automobiles.
Mechanisms and prediction of thoracic injury in automobile collisions.
Automobile restraint design, evaluation, and optimization.
Effects of aging on thoracic injury and vehicular occupant protection.
Anthropomorphic test device design and evaluation.
Orthopedic training simulator design and evaluation.
Methods and theory of automobile occupant injury prediction and modeling.
Mechanisms and prevention of non-contact lower extremity injury in athletics
Modeling of costal cartilage calcification as a function of age
Injury risk prediction using statistical techniques to interpret finite element biomechanics models</t>
  </si>
  <si>
    <t>Mechanisms of aortic injury in automobile collisions,
Mechanisms, prediction, prevention of pedestrian injuries from collisions with automobiles,
Mechanisms , prediction of thoracic injury in automobile collisions,
Automobile restraint design, evaluation, optimization,
Effects of aging on thoracic injury , vehicular occupant protection,
Anthropomorphic test device design , evaluation,
Orthopedic training simulator design , evaluation,
Methods , theory of automobile occupant injury prediction , modeling,
Mechanisms , prevention of non-contact lower extremity injury in athletics,
Modeling of costal cartilage calcification as a function of age,
Injury risk prediction using statistical techniques to interpret finite element biomechanics models</t>
  </si>
  <si>
    <t>Furukawa, Tomonari</t>
  </si>
  <si>
    <t>TF4RP@VIRGINIA.EDU</t>
  </si>
  <si>
    <t>Material characterization
Robotics and autonomous vehicles
Bayesian estimation and control
Computational and experimental mechanics
Multiphysics system analysis and design
Automotive Safety</t>
  </si>
  <si>
    <t>Material characterization,
Robotics , autonomous vehicles,
Bayesian estimation , control,
Computational , experimental mechanics,
Multiphysics system analysis , design,
Automotive Safety</t>
  </si>
  <si>
    <t>Gao, Xinfeng</t>
  </si>
  <si>
    <t>x.gao@virginia.edu</t>
  </si>
  <si>
    <t>Xinfeng Gao's research is focused on the development of high-performance computing (HPC) computational fluid dynamics (CFD) algorithms for a wide range of applications in aerospace and mechanical engineering, involving shock waves, turbulence, combustion, plasma, and multifluids. Her research is categorized into three areas:
The development of numerical algorithms for complex partial differential equations (PDEs),
HPC and software engineering,
The development of enhanced CFD modeling &amp; simulation (M &amp; S) tools by data analytics.</t>
  </si>
  <si>
    <t>the development of numerical algorithms for complex partial differential equations (PDEs),
HPC , software engineering,The development of enhanced CFD modeling &amp; simulation (M &amp; S) tools by data analytics,</t>
  </si>
  <si>
    <t>$19,090 per year (in-state, full-time)</t>
  </si>
  <si>
    <t>Garner, Gavin</t>
  </si>
  <si>
    <t>GTG7G@VIRGINIA.EDU</t>
  </si>
  <si>
    <t>Human Machine Interface
Mechatronics</t>
  </si>
  <si>
    <t>Human Machine Interface,
Mechatronics</t>
  </si>
  <si>
    <t>Gerling, Gregory J.</t>
  </si>
  <si>
    <t>GG7H@VIRGINIA.EDU</t>
  </si>
  <si>
    <t>Haptics
Human Factors / Human Computer Interaction
Computational Neuroscience
Biomechanics and Mechanobiology
Quantitative Biosciences</t>
  </si>
  <si>
    <t>Haptics,
Human Factors / Human Computer Interaction,
Computational Neuroscience,
Biomechanics , Mechanobiology,
Quantitative Biosciences</t>
  </si>
  <si>
    <t>Goyne, Christopher</t>
  </si>
  <si>
    <t>GOYNE@VIRGINIA.EDU</t>
  </si>
  <si>
    <t>Hypersonics
Scramjets
Instrumentation and laser diagnostics
Wind tunnel testing
Flight testing
Controls
Advanced manufacturing
Rotating machinery</t>
  </si>
  <si>
    <t>Hypersonics,
Scramjets,
Instrumentation , laser diagnostics,
Wind tunnel testing,
Flight testing,
Controls,
Advanced manufacturing,
Rotating machinery</t>
  </si>
  <si>
    <t>Green, David L.</t>
  </si>
  <si>
    <t>DLGREEN@VIRGINIA.EDU</t>
  </si>
  <si>
    <t>Colloids and Interfaces
Assembly and Rheology
Soft Materials and Soft Matter</t>
  </si>
  <si>
    <t>Colloids , Interfaces,
Assembly , Rheology,
Soft Materials , Soft Matter</t>
  </si>
  <si>
    <t>Hartka, Thomas</t>
  </si>
  <si>
    <t>TRH6U@VIRGINIA.EDU</t>
  </si>
  <si>
    <t>Blunt Force Thoracic Trauma
Radiographic Interpretation of Injury and Accident Reconstruction
Motor Vehicle Crash Occupant Kinematics during Collisions
Pre-hospital Patient Care and Triage
Pre-hospital provider education
Mobile computing for medical education
High-fidelity simulation</t>
  </si>
  <si>
    <t>Blunt Force Thoracic Trauma,
Radiographic Interpretation of Injury , Accident Reconstruction,
Motor Vehicle Crash Occupant Kinematics during Collisions
Pre-hospital Patient Care , Triage,
Pre-hospital provider education,
Mobile computing for medical education,
High-fidelity simulation,</t>
  </si>
  <si>
    <t>Hopkins, Patrick E.</t>
  </si>
  <si>
    <t>PHOPKINS@VIRGINIA.EDU</t>
  </si>
  <si>
    <t>Microscale Heat Transfer
Nanoelectronics and 2-D Materials
Surface and Interface Science and Engineering
High Temperature Materials Science and Oxides
Rotating Machinery
Laser-materials interactions</t>
  </si>
  <si>
    <t>Microscale Heat Transfer,
Nanoelectronics , 2-D Materials,
Surface , Interface Science , Engineering,
High Temperature Materials Science , Oxides,
Rotating Machinery,
Laser-materials interactions</t>
  </si>
  <si>
    <r>
      <rPr>
        <sz val="10"/>
        <color rgb="FF000000"/>
        <rFont val="Arial"/>
        <family val="2"/>
      </rPr>
      <t xml:space="preserve">Chair - </t>
    </r>
    <r>
      <rPr>
        <u/>
        <sz val="10"/>
        <color rgb="FF000000"/>
        <rFont val="Arial"/>
        <family val="2"/>
      </rPr>
      <t>Kent, Richard W.</t>
    </r>
  </si>
  <si>
    <t>RICHKENT@VIRGINIA.EDU</t>
  </si>
  <si>
    <t>Biomechanics/Injury Biomechanics or Biomechanics and Mechanobiology</t>
  </si>
  <si>
    <t>Biomechanics/Injury Biomechanics or Biomechanics , Mechanobiology</t>
  </si>
  <si>
    <t>Kerrigan, Jason R.</t>
  </si>
  <si>
    <t>​KERRIGAN@VIRGINIA.EDU</t>
  </si>
  <si>
    <t>Injury Biomechanics
Orthopaedic Biomechanics and Injury Rehabilitation
Automobile Safety and Active/Passive Safety Integration</t>
  </si>
  <si>
    <t>Injury Biomechanics,
Orthopaedic Biomechanics , Injury Rehabilitation,
Automobile Safety , Active/Passive Safety Integration</t>
  </si>
  <si>
    <t>Lagor, Frank</t>
  </si>
  <si>
    <t>flagor@virginia.edu</t>
  </si>
  <si>
    <t xml:space="preserve">P Lagor's current research interests focus on estimation and control for autonomous systems interacting with their fluid environments. He joined UVA as anAssociate P in August 2023 from the State University of New York at Buffalo.  He received his Ph.D. in aerospace engineering with an emphasis on dynamics and control and a minor specialization in aerodynamics from the University of Maryland in 2017
</t>
  </si>
  <si>
    <t xml:space="preserve">focus on estimation , control for autonomous systems interacting with their fluid environments
</t>
  </si>
  <si>
    <t>Li, Xiaodong (Chris)</t>
  </si>
  <si>
    <t>XL3P@VIRGINIA.EDU</t>
  </si>
  <si>
    <t>Additive Manufacturing/Smart Manufacturing
Nanomaterial-enabled Energy Systems
Biomaterials and Biomechanics
Micro/Nanomechanics
Surface Engineering/Tribology</t>
  </si>
  <si>
    <t>Additive Manufacturing/Smart Manufacturing,
Nanomaterial-enabled Energy Systems,
Biomaterials , Biomechanics,
Micro/Nanomechanics,
Surface Engineering/Tribology</t>
  </si>
  <si>
    <t>Loth, Eric</t>
  </si>
  <si>
    <t>LOTH@VIRGINIA.EDU</t>
  </si>
  <si>
    <t>Bio-inspired Wind Energy systems
Aerospace Propulsion and Aerodynamics
Turbulence, Multiphase Flow, and Fluid-Solid Interaction</t>
  </si>
  <si>
    <t>Bio-inspired Wind Energy systems,
Aerospace Propulsion , Aerodynamics,
Turbulence, Multiphase Flow, Fluid-Solid Interaction</t>
  </si>
  <si>
    <t>Ma, Lin</t>
  </si>
  <si>
    <t>LM4WB@VIRGINIA.EDU</t>
  </si>
  <si>
    <t>Application of optical measurement techniques 
Development of laser sensors 
Non-intrusive measurements of temperature, pressure, velocity, chemical composition in harsh environments
Tomography
Three-dimensional measurements and visualization
Experimental and analytical study of energy and thermal systems</t>
  </si>
  <si>
    <t>Application of optical measurement techniques ,
Development of laser sensors,
Non-intrusive measurements of temperature, pressure, velocity, chemical composition in harsh environments,
Tomography,
Three-dimensional measurements , visualization,
Experimental , analytical study of energy , thermal systems,</t>
  </si>
  <si>
    <t>Momot, Michael</t>
  </si>
  <si>
    <t>MM4JW@VIRGINIA.EDU</t>
  </si>
  <si>
    <t xml:space="preserve">Primarily interested in artificial intelligence and hierarchical control of automated systems, but also interested in pedagogy as applied to engineering.
</t>
  </si>
  <si>
    <t xml:space="preserve">Primarily interested in artificial intelligence , hierarchical control of automated systems, but also interested in pedagogy as applied to engineering,
</t>
  </si>
  <si>
    <r>
      <rPr>
        <sz val="10"/>
        <color rgb="FF000000"/>
        <rFont val="Arial"/>
        <family val="2"/>
      </rPr>
      <t xml:space="preserve">Chair - </t>
    </r>
    <r>
      <rPr>
        <u/>
        <sz val="10"/>
        <color rgb="FF000000"/>
        <rFont val="Arial"/>
        <family val="2"/>
      </rPr>
      <t>Opila, Elizabeth J.</t>
    </r>
  </si>
  <si>
    <t>OPILA@VIRGINIA.EDU</t>
  </si>
  <si>
    <t>Corrosion and Electrochemical Sciences and Engineering
High Temperature Materials Science and Oxides
Advanced materials for transportation applications</t>
  </si>
  <si>
    <t>Corrosion , Electrochemical Sciences , Engineering,
High Temperature Materials Science , Oxides,
Advanced materials for transportation applications</t>
  </si>
  <si>
    <t>Panzer, Matthew</t>
  </si>
  <si>
    <t>PANZER@VIRGINIA.EDU</t>
  </si>
  <si>
    <t>Injury Biomechanics
Traumatic Brain Injury
Computational Biomechanics
Experimental Biomechanics
Design of Personnel Protective Equipment</t>
  </si>
  <si>
    <t>Injury Biomechanics,
Traumatic Brain Injury,
Computational Biomechanics,
Experimental Biomechanics,
Design of Personnel Protective Equipment</t>
  </si>
  <si>
    <t>Quinn, Daniel</t>
  </si>
  <si>
    <t>DANQUINN@VIRGINIA.EDU</t>
  </si>
  <si>
    <t>fluid-structure interactions
biomechanics
bio-inspired robotics
energy-harvesting
cyber-physical systems</t>
  </si>
  <si>
    <t>fluid-structure interactions,
biomechanics,
bio-inspired robotics,
energy-harvesting,
cyber-physical systems</t>
  </si>
  <si>
    <t>Reidenbach, Matthew</t>
  </si>
  <si>
    <t>REIDENBACH@VIRGINIA.EDU</t>
  </si>
  <si>
    <t>Reidenbach's primary area of research is environmental fluid dynamics, with an emphasis on physical-biological interactions in coastal environments.</t>
  </si>
  <si>
    <t>environmental fluid dynamics, coastal environments</t>
  </si>
  <si>
    <t>Reimers, Ann</t>
  </si>
  <si>
    <t>aer2b@virginia.edu</t>
  </si>
  <si>
    <t>Russell, Shawn</t>
  </si>
  <si>
    <t>Russell's s lie in the increased understanding of the mechanisms of human movement. This includes the development of new methods for analyzing movements measured in CP settings along with the development of predictive models which simulate the body’s interactions with the environment and offer insight to the control strategies implemented by the human system.</t>
  </si>
  <si>
    <t>increased understing of the mechanisms of human movement</t>
  </si>
  <si>
    <t>Salzar, Robert S.</t>
  </si>
  <si>
    <t>SALZAR@VIRGINIA.EDU</t>
  </si>
  <si>
    <t>Thoracic characterization
Pelvic characterization
High-rate vertical loadings to mounted warfighters
Physiological sensor development</t>
  </si>
  <si>
    <t>Thoracic characterization,
Pelvic characterization,
High-rate vertical loadings to mounted warfighters,
Physiological sensor development</t>
  </si>
  <si>
    <t>Scott, Ethan A.</t>
  </si>
  <si>
    <t>eascott@virginia.edu</t>
  </si>
  <si>
    <t>Micro- and nanoscale heat transfer
Electro- and optothermal experimental techniques
Microfabrication and MEMS
Infrared thermal detection</t>
  </si>
  <si>
    <t>Mico-nanoscale heat transfer,
Electro- optothermal experimental techniques,
Microfabrication , MEMS,
Infrared thermal detection</t>
  </si>
  <si>
    <t>Smith, Natasha</t>
  </si>
  <si>
    <t>NLS5M@VIRGINIA.EDU</t>
  </si>
  <si>
    <t>Reliability-based design
Multidisciplinary optimization
Probabilistic methods
Materials testing methods,
Pedagogical research for undergraduate engineering courses</t>
  </si>
  <si>
    <t>Reliability-based design,
Multidisciplinary optimization,
Probabilistic methods,
Materials testing methods,
Pedagogical research for undergraduate engineering courses</t>
  </si>
  <si>
    <t>Sochor, Mark</t>
  </si>
  <si>
    <t>MSOCHOR@VIRGINIA.EDU</t>
  </si>
  <si>
    <t>Injury biomechanics – Head, C-Spine, Chest, Abdomen and Pelvis and extremities
Occupant Kinematics
Pedestrian Injury
Experimental embalming techniques (soft embalming for medical and surgical education)
Post mortem human subject training techniques for life saving procedures
Anatomical injury scaling
Real-world investigation of crashes and injury mechanisms
Characterization of biological materials and structures
Impact biomechanics for surgical training</t>
  </si>
  <si>
    <t>Injury biomechanics,
Occupant Kinematics,
Pedestrian Injury,
Experimental embalming techniques,
Post mortem human subject training techniques for life saving procedures,
Anatomical injury scaling,
Real-world investigation of crashes , injury mechanisms,
Characterization of biological materials , structures,
Impact biomechanics for surgical training</t>
  </si>
  <si>
    <t>Sun, Sarah</t>
  </si>
  <si>
    <t>DZV7SG@VIRGINIA.EDU</t>
  </si>
  <si>
    <t>Wearable sensors and electronics
Wearable robotics
Smart and connected health
Cyber-physical systems</t>
  </si>
  <si>
    <t>Wearable sensors , electronics,
Wearable robotics,
Smart , connected health,
Cyber-physical systems</t>
  </si>
  <si>
    <t>Wadley, Haydn N.</t>
  </si>
  <si>
    <t>haydn@virginia.edu</t>
  </si>
  <si>
    <t>High Temperature Materials Design
Materials synthesis and processing
Combinatorial synthesis and high throughput screening
Environmental and thermal barrier coatings
Microarchitectured lattice materials
Opal crystal growth
Impact/shock mitigation
Thermal properties of ceramics
Radiative transport processes in oxides and silicates</t>
  </si>
  <si>
    <t>High Temperature Materials Design,
Materials synthesis , processing,
Combinatorial synthesis , high throughput screening,
Environmental , thermal barrier coatings,
Microarchitectured lattice materials,
Opal crystal growth,
Impact/shock mitigation,
Thermal properties of ceramics
Radiative transport processes in oxides , silicates</t>
  </si>
  <si>
    <t>Ward, Thomas</t>
  </si>
  <si>
    <t>hgw8rs@virginia.edu</t>
  </si>
  <si>
    <t>High-speed flow physics
Fluid-structure interactions
Metal oxidation, processing and recovery
Advanced manufacturing</t>
  </si>
  <si>
    <t>High-speed flow physics,
Fluid-structure interactions,
Metal oxidation, processing,
Advanced manufacturing</t>
  </si>
  <si>
    <t>Xu, Baoxing</t>
  </si>
  <si>
    <t>BX4C@VIRGINIA.EDU</t>
  </si>
  <si>
    <t>Engineering mechanics, Nanomanufacturing for wearable electronics, Engineering design for biomedical devices, Soft-hard integration mechanics, Thermal transport of mechanically deformed materials</t>
  </si>
  <si>
    <t>Washington University in St. Louis (McKelvey)</t>
  </si>
  <si>
    <r>
      <rPr>
        <sz val="10"/>
        <color rgb="FF000000"/>
        <rFont val="Arial"/>
        <family val="2"/>
      </rPr>
      <t xml:space="preserve">Chair - </t>
    </r>
    <r>
      <rPr>
        <u/>
        <sz val="10"/>
        <color rgb="FF000000"/>
        <rFont val="Arial"/>
        <family val="2"/>
      </rPr>
      <t>PhiliPBayly</t>
    </r>
  </si>
  <si>
    <t>pvb@wustl.edu</t>
  </si>
  <si>
    <t xml:space="preserve">PBayly studies impact, vibration, wave motion, and instability in mechanical and biomedical systems. He uses magnetic resonance imaging (MRI) to investigate the mechanics of brain injury and brain development. He also studies the nonlinear dynamic phenomena that underlie the oscillatory movements of cells and microorganisms.
</t>
  </si>
  <si>
    <t xml:space="preserve">vibration, wave motion, instability in mechanical and biomedical systems, nonlinear dynamic phenomena that underlie the oscillatory movements of cells , microorganisms
</t>
  </si>
  <si>
    <t>Ramesh Agarwal</t>
  </si>
  <si>
    <t>rka@wustl.edu</t>
  </si>
  <si>
    <t xml:space="preserve">Ramesh Agarwal’s current s include ground effect aerodynamics, flow control, rarefied gas dynamics and hypersonic flow, bio-fluid dynamics, wind energy, energy efficiency of buildings, chemical looping combustion and geological carbon sequestration
</t>
  </si>
  <si>
    <t xml:space="preserve"> ground effect aerodynamics, flow control, rarefied gas dynamics , hypersonic flow, bio-fluid dynamics, wind energy, energy efficiency of buildings, chemical looping combustion , geological carbon sequestration
</t>
  </si>
  <si>
    <t>Chiamaka Asinugo</t>
  </si>
  <si>
    <t>ceasinugo@wustl.edu</t>
  </si>
  <si>
    <t xml:space="preserve">Studies machine elements &amp; design
</t>
  </si>
  <si>
    <t>Studies machine elements &amp; design</t>
  </si>
  <si>
    <t>Sang-Hoon Bae</t>
  </si>
  <si>
    <t>sbae22@wustl.edu</t>
  </si>
  <si>
    <t xml:space="preserve">The Bae research grouPfocuses on tackling the challenges in materials science with thermodynamics, kinetics and solid-state physics.
</t>
  </si>
  <si>
    <t xml:space="preserve">thermodynamics, kinetics , solid-state physics
</t>
  </si>
  <si>
    <t>#55 - Best Engineering Schools</t>
  </si>
  <si>
    <t>Matthew Bersi</t>
  </si>
  <si>
    <t>mbersi@wustl.edu</t>
  </si>
  <si>
    <t xml:space="preserve">PBersi’s s are centered on the development of experimental and computational approaches to better understand the relationshiPbetween biomechanics and inflammation in soft tissues. His grouPhas focused on the role of the immune system in hypertension, cardiac fibrosis and vascular injury and has developed various tools and systems for the mechanical characterization of biological samples ranging from local mechanical properties of geometrically complex tissues to biophysical properties of single cells. While focused primarily on cardiovascular disease, this multiscale approach has applicability to understanding biomechanical regulation of injury and disease processes in multiple tissues and organ systems.
</t>
  </si>
  <si>
    <t xml:space="preserve">computational approaches to better understing of the relationship between biomechanics and inflammation in soft tissues
</t>
  </si>
  <si>
    <t>Emily Boyd</t>
  </si>
  <si>
    <t>ejboyd@wustl.edu</t>
  </si>
  <si>
    <t>Katharine Flores</t>
  </si>
  <si>
    <t>floresk@wustl.edu</t>
  </si>
  <si>
    <t xml:space="preserve">Kathy Flores' primary  is the mechanical behavior of high performance structural materials, with particular emphasis on understanding structure-processing-property relationships in bulk metallic glasses and their composites.
</t>
  </si>
  <si>
    <t xml:space="preserve"> mechanical behavior of high performance structural materials, with particular emphasis on understing structure-processing-property relationships in bulk metallic glasses</t>
  </si>
  <si>
    <t>Guy Genin</t>
  </si>
  <si>
    <t>genin@wustl.edu</t>
  </si>
  <si>
    <t xml:space="preserve">Studies interfaces &amp; adhesion in physiology &amp; nature
</t>
  </si>
  <si>
    <t xml:space="preserve">Studies interfaces,adhesion in physiology, nature
</t>
  </si>
  <si>
    <t>Jianjun Guan</t>
  </si>
  <si>
    <t>jguan22@wustl.edu</t>
  </si>
  <si>
    <t xml:space="preserve">PGuan’s s are in functional biomaterials and microenvironments for cell and drug delivery, oxygen sensitive biomaterials for non-invasively and real time imaging and detecting tissue oxygen during vascularization therapy, and cardiovascular, skin, and musculoskeletal tissue regeneration. His research covers regenerative medicine, polymer, drug delivery, nanomedicine, stem cell, biomechanics, surgery and biomedical imaging fields.
</t>
  </si>
  <si>
    <t xml:space="preserve">functional biomaterials , microenvironments for cell , drug delivery, oxygen sensitive biomaterials for non-invasively , real time imaging , detecting tissue oxygen during vascularization therapy, cardiovascular, skin, musculoskeletal tissue regeneration
</t>
  </si>
  <si>
    <t>Sharniece Holland</t>
  </si>
  <si>
    <t>s.holland@wustl.edu</t>
  </si>
  <si>
    <t>Mark Jakiela</t>
  </si>
  <si>
    <t>mjj@wustl.edu</t>
  </si>
  <si>
    <t xml:space="preserve">PJakiela conducts research related to engineering design and design optimization. He has specialized in the application of evolutionary computation to problems in design and manufacturing. Together with Associated researchers, he has developed systems that perform structural topology optimization, shape pattern nesting, finite element mesh generation, antenna design, and the optimal arrangement of piezoelectric actuators on aerodynamic surfaces. More recently, he has investigated computer-based systems that allow engineering design and product development to be done by web-based user communities, as well as comprehensive cost models for remanufacturing processes.
</t>
  </si>
  <si>
    <t>engineering design , design optimization</t>
  </si>
  <si>
    <t>Jeff Krampf</t>
  </si>
  <si>
    <t>jkrampf@wustl.edu</t>
  </si>
  <si>
    <t xml:space="preserve">Jeff studies fluid mechanics in biological systems, focusing on modeling blood flow in hemodialysis access circuits. He uses computational fluid dynamics (CFD) and magnetic resonance angiography (MRA) to investigate the effects of fluid properties and access construction on access development and dysfunction.
</t>
  </si>
  <si>
    <t xml:space="preserve">fluid mechanics in biological systems, focusing on modeling blood flow in hemodialysis access circuits
</t>
  </si>
  <si>
    <t>$59,420 per year (full-time)</t>
  </si>
  <si>
    <t>Spencer Lake</t>
  </si>
  <si>
    <t>lake.s@wustl.edu</t>
  </si>
  <si>
    <t xml:space="preserve">Spencer Lake’s research focuses on soft tissue biomechanics, with an emphasis on orthopaedic tissues, such as tendon and ligament. His research uses a multiscale experimental and computational approach to evaluate the in vivo loading environment, tissue properties, and microstructural structure-function relationships of tissues that function in complex physiologic environments.
</t>
  </si>
  <si>
    <t xml:space="preserve">soft tissue biomechanics, orthopaedic tissues
</t>
  </si>
  <si>
    <t>Xianglin Li</t>
  </si>
  <si>
    <t>lxianglin@wustl.edu</t>
  </si>
  <si>
    <t xml:space="preserve">Advances energy storage and conversion systems (fuel cells and batteries) through regulating multiphase mass and heat transfer
</t>
  </si>
  <si>
    <t xml:space="preserve">Advances energy storage , conversion systems through regulating multiphase mass , heat transfer
</t>
  </si>
  <si>
    <t>Mark Meacham</t>
  </si>
  <si>
    <t>meachamjm@wustl.edu</t>
  </si>
  <si>
    <t xml:space="preserve">Mark Meacham’s s include microfluidics, micro-electromechanical systems (MEMS) and Associated transport phenomena, with application to design, development and testing of novel energy systems and life sciences tools, from scalable micro-/nanotechnologies for improved heat and mass exchangers to MEMS-based tools for manipulation and investigation of cellular processes. He is also interested in the behavior of jets and/or droplets of complex fluids during ejection from microscopic orifices, which is critical to applications as disparate as biological sample preparation and additive manufacturing.
</t>
  </si>
  <si>
    <t xml:space="preserve">microfluidics, micro-electromechanical systems (MEMS) , Associated transport phenomena, design, development , testing of novel energy systems , life sciences tools, from scalable micro-/nanotechnologies for improved heat , mass exchangers to MEMS-based tools for manipulation , investigation of cellular processes
</t>
  </si>
  <si>
    <t>Rohan Mishra</t>
  </si>
  <si>
    <t>rmishra@wustl.edu</t>
  </si>
  <si>
    <t xml:space="preserve">Rohan Mishra’s  is to develoPquantitative structure-property correlations in materials starting from the atomic scale. To develoPsuch correlations, his grouPsynergistically combines electronic structure calculations with atomic-resolution electron microscope imaging and spectroscopy. The end goal is the rational design of materials with properties tailored for electronic, optical, magnetic and energy applications. Current research topics include perovskite materials for photovoltaic and optoelectronic applications, novel electrocatalysts, oxidizers and wide-bandgaPsemiconductors.
</t>
  </si>
  <si>
    <t xml:space="preserve">quantitative structure-property correlations in materials starting from the atomic scale
</t>
  </si>
  <si>
    <t>Hong Niu</t>
  </si>
  <si>
    <t>nhong22@wustl.edu</t>
  </si>
  <si>
    <t xml:space="preserve">Hong Niu has a long-standing interest in new biomaterials and drug delivery, stem cell transplantation for tissue regeneration, and biomaterials-driven immunomodulation. She has over ten years of experience in polymeric biomaterials related techniques. 
</t>
  </si>
  <si>
    <t xml:space="preserve">long-sting interest in new biomaterials , drug delivery, stem cell transplantation for tissue regeneration, biomaterials-driven immunomodulation
</t>
  </si>
  <si>
    <t>Ruth Okamoto</t>
  </si>
  <si>
    <t>rjo@wustl.edu</t>
  </si>
  <si>
    <t>Amit Pathak</t>
  </si>
  <si>
    <t>pathaka@wustl.edu</t>
  </si>
  <si>
    <t xml:space="preserve">Amit Pathak's s include biomechanics, biomaterials, mechanobiology of the cell, and interactions between cells and extracellular matrices. In particular, his research aims to understand how mechanical properties of three-dimensional matrices affect cell behavior through various sub-cellular mechanisms. His lab tackles this multi-variable problem through a multidisciplinary approach that includes fabrication of new matrix platforms, development of advanced measurement tools in cell biology, and construction of predictive computational models.
</t>
  </si>
  <si>
    <t xml:space="preserve">biomechanics, biomaterials, mechanobiology of the cell, interactions between cells , extracellular matrices
</t>
  </si>
  <si>
    <t>David Peters</t>
  </si>
  <si>
    <t>dap@wustl.edu</t>
  </si>
  <si>
    <t xml:space="preserve">PPeters's RProjects in rotor wake modeling seek to correctly model the dynamic motions that profoundly influence vehicle dynamics of airplane propellers, helicopters and tilt rotors.
</t>
  </si>
  <si>
    <t xml:space="preserve">rotor wake modeling seek to correctly model the dynamic motions that profoundly influence vehicle dynamics of airplane propellers, helicopters , tilt rotors
</t>
  </si>
  <si>
    <t>Jackson Potter</t>
  </si>
  <si>
    <t>jjpotter@wustl.edu</t>
  </si>
  <si>
    <t xml:space="preserve">Applies theoretical and practical engineering knowledge to the design of mechanical devices
</t>
  </si>
  <si>
    <t xml:space="preserve">mechanical devices
</t>
  </si>
  <si>
    <t>Shaun Sellers</t>
  </si>
  <si>
    <t>sellers@wustl.edu</t>
  </si>
  <si>
    <t>Srikanth Singamaneni</t>
  </si>
  <si>
    <t>singamaneni@wustl.edu</t>
  </si>
  <si>
    <t xml:space="preserve">PSingamaneni’s s include Plasmonic engineering in nanomedicine (in vitro biosensing for point-of-care diagnostics, molecular bioimaging, nanotherapeutics), photovoltaics (plasmonically enhanced photovoltaic devices), surface enhanced Raman scattering (SERS) based chemical sensors with particular emphasis on the design and fabrication of unconventional and highly efficient SERS substrates, hierarchical organic/inorganic nanohybrids as multifunctional materials, bioinspired structural and functional materials, polymer surfaces and interfaces, responsive and adaptive materials and scanning probe microscopy and surface force spectroscopy of soft and biological materials.
</t>
  </si>
  <si>
    <t xml:space="preserve">Plasmonic engineering in nanomedicine, photovoltaics, surface enhanced Raman scattering (SERS) based chemical sensors with particular emphasis on the design , fabrication of unconventional , highly efficient SERS substrates, hierarchical organic/inorganic nanohybrids as multifunctional materials, bioinspired structural , functional materials, polymer surfaces , interfaces, responsive , adaptive materials , scanning probe microscopy , surface force spectroscopy of soft , biological materials
</t>
  </si>
  <si>
    <t>Jessica Wagenseil</t>
  </si>
  <si>
    <t>jessica.wagenseil@wustl.edu</t>
  </si>
  <si>
    <t xml:space="preserve">Jessica Wagenseil studies cardiovascular mechanics, specifically focusing on cardiovascular development, extracellular matrix proteins, and microstructurally-based constitutive modeling. Her work is important for testing CPnterventions for elastin-related diseases and for designing better protocols for building tissue-engineered blood vessels.
</t>
  </si>
  <si>
    <t xml:space="preserve">cardiovascular mechanics, specifically focusing on cardiovascular development, extracellular matrix proteins, microstructurally-based constitutive modeling
</t>
  </si>
  <si>
    <t>Patricia Weisensee</t>
  </si>
  <si>
    <t>p.weisensee@wustl.edu</t>
  </si>
  <si>
    <t xml:space="preserve">Weisensee’s work focuses on understanding the interplay of fluid dynamics, heat transfer and liquid-solid interactions of droplets and other multi-phase systems. Practical applications of interest are phase change heat transfer for thermal management, thermal storage, and water harvesting, metallic additive manufacturing, and droplet interactions with biological and natural systems.
</t>
  </si>
  <si>
    <t xml:space="preserve">understing the interplay of fluid dynamics, heat transfer , liquid-solid interactions of droplets , other multi-phase systems, Practical applications of interest are phase change heat transfer for thermal management, thermal storage, water harvesting, metallic additive manufacturing, droplet interactions with biological , natural systems
</t>
  </si>
  <si>
    <t>Louis Woodhams</t>
  </si>
  <si>
    <t>louis.woodhams@wustl.edu</t>
  </si>
  <si>
    <t>Case Western Reserve University (Case)</t>
  </si>
  <si>
    <r>
      <rPr>
        <sz val="10"/>
        <color rgb="FF000000"/>
        <rFont val="Arial"/>
        <family val="2"/>
      </rPr>
      <t xml:space="preserve">Chair - </t>
    </r>
    <r>
      <rPr>
        <u/>
        <sz val="10"/>
        <color rgb="FF000000"/>
        <rFont val="Arial"/>
        <family val="2"/>
      </rPr>
      <t>Robert Gao</t>
    </r>
  </si>
  <si>
    <t>Robert.Gao@case.edu</t>
  </si>
  <si>
    <t>Develops multi-physics sensing and stochastic modeling methods for improving observability in dynamical systems</t>
  </si>
  <si>
    <t>Develops multi-physics sensing , stochastic modeling methods for improving observability in dynamical systems</t>
  </si>
  <si>
    <t>Mechanical &amp; Aerospace Engineering</t>
  </si>
  <si>
    <t>Ozan Akkus</t>
  </si>
  <si>
    <t>Ozan.Akkus@case.edu</t>
  </si>
  <si>
    <t>Creates biologically active and mechanically functional tissue repair systems, and develops chemical imaging instrumentation for noninvasive biomedical and hazard diagnostics</t>
  </si>
  <si>
    <t>Creates biologically active , mechanically functional tissue repair systems, develops chemical imaging instrumentation for noninvasive biomedical , hazard diagnostics</t>
  </si>
  <si>
    <t>Richard Bachmann</t>
  </si>
  <si>
    <t>Richard.Bachmann@case.edu</t>
  </si>
  <si>
    <t>Researches biologically inspired robotics</t>
  </si>
  <si>
    <t>#46 - Mechanical Engineering</t>
  </si>
  <si>
    <t>Paul Barnhart</t>
  </si>
  <si>
    <t>Paul.Barnhart@case.edu</t>
  </si>
  <si>
    <t>Researches aerospace system design, propulsion, gas dynamics, shock wave boundary layer interactions and fluid/thermal systems modeling</t>
  </si>
  <si>
    <t>aerospace system design, propulsion, gas dynamics, shock wave boundary layer interactions , fluid/thermal systems modeling</t>
  </si>
  <si>
    <t>#53 - Best Engineering Schools</t>
  </si>
  <si>
    <t>Changyong Cao</t>
  </si>
  <si>
    <t>Changyong.Cao@case.edu</t>
  </si>
  <si>
    <t>Study the mechanics, designs, and manufacturing of smart multifunctional materials, soft robotics, soft electronics, and self-powered sensing systems.</t>
  </si>
  <si>
    <t>manufacturing of smart multifunctional materials, soft robotics, soft electronics, self-powered sensing systems</t>
  </si>
  <si>
    <t>Sunniva Collins</t>
  </si>
  <si>
    <t>Sunniva.Collins@case.edu</t>
  </si>
  <si>
    <t>Engineers metallic surfaces for improved performance, selects materials and designs manufacturing processes for innovative outcomes</t>
  </si>
  <si>
    <t>Engineers metallic surfaces for improved performance, selects materials , designs manufacturing processes for innovative outcomes</t>
  </si>
  <si>
    <t>Kathryn Daltorio</t>
  </si>
  <si>
    <t>Kathryn.Daltorio@case.edu</t>
  </si>
  <si>
    <t>Develops robots that can traverse and operate in new environments, inspired by biological models of smart physical systems</t>
  </si>
  <si>
    <t>robots that can traverse, operate in new environments, inspired by biological models of smart physical systems</t>
  </si>
  <si>
    <r>
      <rPr>
        <sz val="10"/>
        <color rgb="FF000000"/>
        <rFont val="Arial"/>
        <family val="2"/>
      </rPr>
      <t xml:space="preserve">Chair - </t>
    </r>
    <r>
      <rPr>
        <u/>
        <sz val="10"/>
        <color rgb="FF000000"/>
        <rFont val="Arial"/>
        <family val="2"/>
      </rPr>
      <t>Robert Gao</t>
    </r>
  </si>
  <si>
    <t>multi-physics sensing and stochastic modeling methods for improving observability in dynamical systems</t>
  </si>
  <si>
    <t>Umut Gurkan</t>
  </si>
  <si>
    <t>Umut.Gurkan@case.edu</t>
  </si>
  <si>
    <t>Improves human health via research in cell mechanics to develoPbiosensors and point-of-care systems</t>
  </si>
  <si>
    <t xml:space="preserve"> cell mechanics to develoPbiosensors, point-of-care systems</t>
  </si>
  <si>
    <t>Steve Hostler</t>
  </si>
  <si>
    <t>Steve.Hostler@case.edu</t>
  </si>
  <si>
    <t>Develops and characterizes novel thermal management materials</t>
  </si>
  <si>
    <t xml:space="preserve"> thermal management materials</t>
  </si>
  <si>
    <t>Chirag Kharangate</t>
  </si>
  <si>
    <t>Chirag.Kharangate@case.edu</t>
  </si>
  <si>
    <t>Explores energy, thermal management of electronics and computational fluid dynamics</t>
  </si>
  <si>
    <t>Explores energy, thermal management of electronics , computational fluid dynamics</t>
  </si>
  <si>
    <t>Melinda Lake-Speers</t>
  </si>
  <si>
    <t>mal259@case.edu</t>
  </si>
  <si>
    <t>Develops lab-on-a-chiPdevices for critical health challenges in cancer, global health, and biological modeling</t>
  </si>
  <si>
    <t>critical health challenges in cancer, global health, biological modeling</t>
  </si>
  <si>
    <t>$50,838 per year (full-time)</t>
  </si>
  <si>
    <t>Ya-Ting Liao</t>
  </si>
  <si>
    <t>YaTing.Liao@case.edu</t>
  </si>
  <si>
    <t>Creates computational models of combustion, fire and fire behavior and develops fire-resistant structures</t>
  </si>
  <si>
    <t>combustion, fire , fire behavior , develops fire-resistant structures</t>
  </si>
  <si>
    <t>Roger Quinn</t>
  </si>
  <si>
    <t>Roger.Quinn@case.edu</t>
  </si>
  <si>
    <t>Develops neural and mechanical models of animals and uses data to design and control robots and exoskeletons</t>
  </si>
  <si>
    <t>Develops neural , mechanical models of animals , uses data to design , control robots , exoskeletons</t>
  </si>
  <si>
    <t>Majid Rashidi</t>
  </si>
  <si>
    <t>Majid.Rashidi@case.edu</t>
  </si>
  <si>
    <t>Machine and medical device design</t>
  </si>
  <si>
    <t>Machine , medical device design</t>
  </si>
  <si>
    <t>Bryan Schmidt</t>
  </si>
  <si>
    <t>Bryan.Schmidt@case.edu</t>
  </si>
  <si>
    <t>Researches turbulent and unsteady flows from low-speed to hypersonic using advanced imaging methods</t>
  </si>
  <si>
    <t>Researches turbulent, unsteady flows from low-speed to hypersonic using advanced imaging methods</t>
  </si>
  <si>
    <t>Brian Taylor</t>
  </si>
  <si>
    <t>Brian.Taylor@case.edu</t>
  </si>
  <si>
    <t>Uses engineering approaches to understand biological sensation and navigation, and leverages biological understanding to develoPnovel engineered autonomous systems.</t>
  </si>
  <si>
    <t>biological sensation , navigation, leverages biological underst,ing to develoPnovel engineered autonomous systems,</t>
  </si>
  <si>
    <t>Chris Yingchun Yuan</t>
  </si>
  <si>
    <t>Chris.Yuan@case.edu</t>
  </si>
  <si>
    <t>Researches design, manufacturing and sustainability science of lithium ion batteries, solar cells and nanotechnologies.</t>
  </si>
  <si>
    <t>design, manufacturing , sustainability science of lithium ion batteries, solar cells , nanotechnologies,</t>
  </si>
  <si>
    <t>R Balasubramaniam</t>
  </si>
  <si>
    <t>r.balasubramaniam@case.edu</t>
  </si>
  <si>
    <t>Enables the development and understanding of thermal and fluid systems to advance space exploration</t>
  </si>
  <si>
    <t>understing of thermal, fluid systems to advance space exploration</t>
  </si>
  <si>
    <t>Uday Hegde</t>
  </si>
  <si>
    <t>Uday.Hegde@case.edu</t>
  </si>
  <si>
    <t>Develops supercritical water oxidation technologies for waste management and water reclamation for extended duration space missions</t>
  </si>
  <si>
    <t>supercritical water oxidation technologies for waste management, water reclamation for extended duration space missions</t>
  </si>
  <si>
    <t>Olga Kartuzova</t>
  </si>
  <si>
    <t>Olga.Kartuzova@case.edu</t>
  </si>
  <si>
    <t>Studies and develops computational models for cryogenic storage tanks, and investigates zero boil-off tanks</t>
  </si>
  <si>
    <t>computational models for cryogenic storage tanks, investigates zero boil-off tanks</t>
  </si>
  <si>
    <t>Mohammad Kassemi</t>
  </si>
  <si>
    <t>Mohammad.Kassemi@case.edu</t>
  </si>
  <si>
    <t>Researches microgravity fluid physics and combustion research, including ZBOT, cryogenic fluid management, propellant tank models and gravity’s impact on systems</t>
  </si>
  <si>
    <t>Researches microgravity fluid physics, combustion research, including ZBOT, cryogenic fluid management, propellant tank models , gravity’s impact on systems</t>
  </si>
  <si>
    <t>Jun Kojima</t>
  </si>
  <si>
    <t>Jun.Kojima@case.edu</t>
  </si>
  <si>
    <t>Lead laser diagnostics and combustion code validation task, supported by the Transformational Tools Technologies (TTT)</t>
  </si>
  <si>
    <t>Lead laser diagnostics, combustion code validation task, supported by the Transformational Tools Technologies (TTT)</t>
  </si>
  <si>
    <t>Vedha Nayagam</t>
  </si>
  <si>
    <t>Vedha.Nayagam@case.edu</t>
  </si>
  <si>
    <t>Michigan State University</t>
  </si>
  <si>
    <t>Patton Manuel Allison</t>
  </si>
  <si>
    <t>alliso63@msu.edu</t>
  </si>
  <si>
    <t>Energy</t>
  </si>
  <si>
    <t>Rebecca Anthony</t>
  </si>
  <si>
    <t>ranthony@msu.edu</t>
  </si>
  <si>
    <t>Energy
Materials
Other</t>
  </si>
  <si>
    <t>Energy,
Materials</t>
  </si>
  <si>
    <t>Seungik Baek</t>
  </si>
  <si>
    <t>sbaek@egr.msu.edu</t>
  </si>
  <si>
    <t>Health</t>
  </si>
  <si>
    <t>Andre Benard</t>
  </si>
  <si>
    <t>benard@egr.msu.edu</t>
  </si>
  <si>
    <t>Energy
Materials
Sustainability</t>
  </si>
  <si>
    <t>Energy,
Materials,
Sustainability</t>
  </si>
  <si>
    <t>#68 - Best Engineering Schools</t>
  </si>
  <si>
    <t>Giles Brereton</t>
  </si>
  <si>
    <t>brereton@egr.msu.edu</t>
  </si>
  <si>
    <t>Sunil Chakrapani</t>
  </si>
  <si>
    <t>csk@egr.msu.edu</t>
  </si>
  <si>
    <t>Haseung Chung</t>
  </si>
  <si>
    <t>chunghas@egr.msu.edu, chunghas@msu.edu</t>
  </si>
  <si>
    <t>Materials</t>
  </si>
  <si>
    <t>Gary Cloud</t>
  </si>
  <si>
    <t>cloud@msu.edu</t>
  </si>
  <si>
    <t>Experimental mechanics; optical techniques in strain measurement; fracture; fasteners; mechanics of composite materials.</t>
  </si>
  <si>
    <t>Experimental mechanics, optical techniques in strain measurement,fracture,fasteners,mechanics of composite materials,</t>
  </si>
  <si>
    <t>Abraham Engeda</t>
  </si>
  <si>
    <t>engeda@egr.msu.edu</t>
  </si>
  <si>
    <t>Supercritical CO2 Power Generation, Design and Testing of Centrifugal and Regenerative Compressors, Radial Turbines and Pumps, Very Low Head Turbines</t>
  </si>
  <si>
    <t>Supercritical CO2 Power Generation, Design , Testing of Centrifugal , Regenerative Compressors, Radial Turbines , Pumps, Very Low Head Turbines</t>
  </si>
  <si>
    <t>Bei Fan</t>
  </si>
  <si>
    <t>fanbei1@msu.edu</t>
  </si>
  <si>
    <t>Thermofluids, Interface engineering, Electrokinetics, Micro/nanofluidics, Fluid mechanics, Multiphase flow, Energy conversion and storage, Colloid science, Thermal transport, Desalination, Biomedical devices, and Droplet dynamics.</t>
  </si>
  <si>
    <t>Thermofluids, Interface engineering, Electrokinetics, Micro/nanofluidics, Fluid mechanics, Multiphase flow, Energy conversion , storage, Colloid science, Thermal transport, Desalination, Biomedical devices, Droplet dynamics,</t>
  </si>
  <si>
    <t>Brian Feeny</t>
  </si>
  <si>
    <t>feeny@egr.msu.edu</t>
  </si>
  <si>
    <t>dynamics and vibration, with current activities in nonlinear dynamics, chaos, proper orthogonal decomposition, friction dynamics, waves, and system identification. Some current applications include windmill blade dynamics, vibrations of sports equipment and power tools, vibration absorbers, and bio-locomotion.</t>
  </si>
  <si>
    <t>dynamics , vibration, with current activities in nonlinear dynamics, chaos, proper orthogonal decomposition, friction dynamics, waves, system identification, Some current applications include windmill blade dynamics, vibrations of sports equipment , power tools, vibration absorbers, bio-locomotion,</t>
  </si>
  <si>
    <t>Tong (Tony) Gao</t>
  </si>
  <si>
    <t>gaotong@egr.msu.edu</t>
  </si>
  <si>
    <t>$938 per credit (in-state, full-time)</t>
  </si>
  <si>
    <t>Michele J. Grimm</t>
  </si>
  <si>
    <t>mgrimm@msu.edu</t>
  </si>
  <si>
    <t>Yang Guo</t>
  </si>
  <si>
    <t>yguo@egr.msu.edu</t>
  </si>
  <si>
    <t xml:space="preserve">Yang Guo's s are in manufacturing, materials processing, experimental mechanics, process control and optimization. Current research activities are (1) in-situ full-field measurement of chiPplastic flow in machining using high-speed imaging and digital image correlation technique, (2) novel machining processes including modulation assisted machining and constrained machining, and (3) force-based adaptive control and optimization of machining processes.
</t>
  </si>
  <si>
    <t>manufacturing, materials processing, experimental mechanics, process control , optimization</t>
  </si>
  <si>
    <t>Mahmoodul Haq</t>
  </si>
  <si>
    <t>haqmahmo@msu.edu</t>
  </si>
  <si>
    <t>(a) Multi-material joining: Development of robust structural joints (adhesives, bolted, hybrid, reversible) consisting of composites and dissimilar materials with improved mechanical properties, enhanced damage resistance, along with sensing and healing capabilities. (b) Computational design of materials and structures: multi-scale simulations and establishing structure-property ...</t>
  </si>
  <si>
    <t>Multi-material joining: Development of robust structural joints consisting of composites , dissimilar materials with improved mechanical properties, enhanced damage resistance, sensing , healing capabilities, Computational design of materials , structures: multi-scale simulations, establishing structure-property</t>
  </si>
  <si>
    <t>Farhad Jaberi</t>
  </si>
  <si>
    <t>jaberi@egr.msu.edu</t>
  </si>
  <si>
    <t>Nilay Kant</t>
  </si>
  <si>
    <t>kantnila@msu.edu</t>
  </si>
  <si>
    <t>Energy
Mobility</t>
  </si>
  <si>
    <t>Energy,
Mobility</t>
  </si>
  <si>
    <t>Firas Khasawneh</t>
  </si>
  <si>
    <t>khasawn3@msu.edu</t>
  </si>
  <si>
    <t>James Klausner</t>
  </si>
  <si>
    <t>jfk@msu.edu</t>
  </si>
  <si>
    <t>Energy
Sustainability</t>
  </si>
  <si>
    <t>Energy,
Sustainability</t>
  </si>
  <si>
    <t>Manoochehr Koochesfahani</t>
  </si>
  <si>
    <t>koochesf@egr.msu.edu</t>
  </si>
  <si>
    <t>Patrick Kwon</t>
  </si>
  <si>
    <t>pkwon@egr.msu.edu</t>
  </si>
  <si>
    <t>Lik Chuan Lee</t>
  </si>
  <si>
    <t>lclee@egr.msu.edu</t>
  </si>
  <si>
    <t>Zhaojian Li</t>
  </si>
  <si>
    <t>lizhaoj1@egr.msu.edu</t>
  </si>
  <si>
    <t>Mobility</t>
  </si>
  <si>
    <t>Shaoting Lin</t>
  </si>
  <si>
    <t>linshaot@msu.edu</t>
  </si>
  <si>
    <t>Energy
Health
Materials
Sustainability</t>
  </si>
  <si>
    <t>Ricardo Mejia</t>
  </si>
  <si>
    <t>rimejal@msu.edu</t>
  </si>
  <si>
    <t>Hamidreza Modares</t>
  </si>
  <si>
    <t>modaresh@msu.edu</t>
  </si>
  <si>
    <t>Norbert Mueller</t>
  </si>
  <si>
    <t>mueller@egr.msu.edu</t>
  </si>
  <si>
    <t>Ranjan Mukherjee</t>
  </si>
  <si>
    <t>mukherji@egr.msu.edu</t>
  </si>
  <si>
    <t xml:space="preserve">Ranjan Mukherjee’s s are in the broad area of mechatronics and robotics and he has published more than 200 papers. He is a Fellow of the ASME. He is currently the Editor of the ASME Journal of Dynamic Systems, Measurement, and Control.
</t>
  </si>
  <si>
    <t xml:space="preserve">mechatronics , robotics
</t>
  </si>
  <si>
    <t>Siva Prasad Varma Nadimpalli</t>
  </si>
  <si>
    <t>sivan@msu.edu</t>
  </si>
  <si>
    <t xml:space="preserve">Siva Nadimpalli's s are in the broad area of experimental solids mechanics and fracture mechanics. His current research focus is to understand mechanical and electrochemical behavior of various battery electrode materials by using in situ experimental methods. He received  the  prestigious NSF  CAREER  award  in  2017.
</t>
  </si>
  <si>
    <t xml:space="preserve">experimental solids mechanics , fracture mechanics
</t>
  </si>
  <si>
    <t>Ahmed Naguib</t>
  </si>
  <si>
    <t>naguib@egr.msu.edu</t>
  </si>
  <si>
    <t>Current s are in the areas of experimental fluid dynamics, particularly in the field of turbulence and transition physics and control, development of innovative sensors for wall-pressure and wall-shear-stress measurements using conventional and MEMS technology, and applications of innovative digital signal processing to the anaysis of databases of flows.</t>
  </si>
  <si>
    <t>experimental fluid dynamics, particularly in the field of turbulence , transition physics , control, development of innovative sensors for wall-pressure , wall-shear-stress measurements using conventional , MEMS technology, applications of innovative digital signal processing to the anaysis of databases of flows,</t>
  </si>
  <si>
    <t>David A. Olson</t>
  </si>
  <si>
    <t>olsond12@egr.msu.edu</t>
  </si>
  <si>
    <t>His  cover a broad range of fluid dynamics with a particular focus on unsteady and low-speed aerodynamics. Furthermore, he develops non-intrusive optical-based experimental techniques for fluid dynamics.</t>
  </si>
  <si>
    <t>range of fluid dynamics with a particular focus on unsteady , low-speed aerodynamics</t>
  </si>
  <si>
    <t>Galit Pelled</t>
  </si>
  <si>
    <t>pelledga@msu.edu</t>
  </si>
  <si>
    <t>Thomas Pence</t>
  </si>
  <si>
    <t>pence@egr.msu.edu</t>
  </si>
  <si>
    <t>Rajiv Ranganathan</t>
  </si>
  <si>
    <t>rrangana@msu.edu</t>
  </si>
  <si>
    <t>He studies the biomechanics of human movement, motor learning and control, rehabilitation robotics.</t>
  </si>
  <si>
    <t xml:space="preserve"> human movement, motor learning , control, rehabilitation robotics</t>
  </si>
  <si>
    <t>Joerg Petrasch</t>
  </si>
  <si>
    <t>petrasc1@msu.edu</t>
  </si>
  <si>
    <t>William Resh</t>
  </si>
  <si>
    <t>reshwill@egr.msu.edu</t>
  </si>
  <si>
    <t xml:space="preserve">His s include dynamic systems, noise and vibration, engines and propulsion systems, and integrated systems design and development. </t>
  </si>
  <si>
    <t xml:space="preserve">dynamic systems, noise , vibration, engines , propulsion systems, integrated systems design , development </t>
  </si>
  <si>
    <t>Sara Roccabianca</t>
  </si>
  <si>
    <t>roccabis@egr.msu.edu</t>
  </si>
  <si>
    <t>Health
Materials</t>
  </si>
  <si>
    <t>Health,
Materials</t>
  </si>
  <si>
    <t>Himanshu Sahasrabudhe</t>
  </si>
  <si>
    <t>sahasra1@egr.msu.edu</t>
  </si>
  <si>
    <t>Materials
Other</t>
  </si>
  <si>
    <t>Harold Schock</t>
  </si>
  <si>
    <t>schock@egr.msu.edu</t>
  </si>
  <si>
    <t>Daniel Segalman</t>
  </si>
  <si>
    <t>segalman@msu.edu</t>
  </si>
  <si>
    <t>geomechanics, mechanics of materials, smart materials and structures, vibrations, dynamics, and uncertainty quantification.</t>
  </si>
  <si>
    <t>geomechanics, mechanics of materials, smart materials , structures, vibrations, dynamics, uncertainty quantification</t>
  </si>
  <si>
    <t>Nelson Sepúlveda</t>
  </si>
  <si>
    <t>sepulve6@msu.edu</t>
  </si>
  <si>
    <t>Steven Shaw</t>
  </si>
  <si>
    <t>shawsw@egr.msu.edu</t>
  </si>
  <si>
    <t>Wei-Che Tai</t>
  </si>
  <si>
    <t>taiweich@msu.edu</t>
  </si>
  <si>
    <t>Xiaobo Tan</t>
  </si>
  <si>
    <t>xbtan@egr.msu.edu</t>
  </si>
  <si>
    <t>Mobility
Sustainability</t>
  </si>
  <si>
    <t>Elisa Toulson</t>
  </si>
  <si>
    <t>toulson@msu.edu</t>
  </si>
  <si>
    <t>Research FocusCombustion, ignition, alternative fuels, thermodynamics and internal combustion engines.</t>
  </si>
  <si>
    <t>Combustion, ignition, alternative fuels, thermodynamics , internal combustion engines</t>
  </si>
  <si>
    <t>Neil Wright</t>
  </si>
  <si>
    <t>ntwright@egr.msu.edu</t>
  </si>
  <si>
    <t>Health
Security</t>
  </si>
  <si>
    <t>Health,
Security</t>
  </si>
  <si>
    <t>Xinran Xiao</t>
  </si>
  <si>
    <t>xinran@msu.edu</t>
  </si>
  <si>
    <t>Mechanical behavior of metal, polymer, composite materials, fracture, fatigue, crashworthiness, multiphysics phenomena.</t>
  </si>
  <si>
    <t>metal, polymer, composite materials, fracture, fatigue, crashworthiness, multiphysics phenomena</t>
  </si>
  <si>
    <t>Junlin Yuan</t>
  </si>
  <si>
    <t>junlin@egr.msu.edu</t>
  </si>
  <si>
    <t>Junlin Yuan’s s include turbulence simulations and modeling, transition and separation control, and fluid-structure interaction. Flow physics interpreted from large-scale simulations are used to develoPand improve turbulence models in realistic scenarios in engineering, environmental and biological flows.</t>
  </si>
  <si>
    <t>turbulence simulations , modeling, transition , separation control, fluid-structure interaction</t>
  </si>
  <si>
    <t>Mohsen Zayernouri</t>
  </si>
  <si>
    <t>zayern@egr.msu.edu, zayern@msu.edu</t>
  </si>
  <si>
    <t>Numerical Analysis
Uncertainty Quantification and Statistical Learning
Fractional LES Turbulence Modeling
Anomalous Transport
Multiscale Material Failure Modeling</t>
  </si>
  <si>
    <t>Numerical Analysis,
Uncertainty Quantification , Statistical Learning,
Fractional LES Turbulence Modeling,
Anomalous Transport,
Multiscale Material Failure Modeling</t>
  </si>
  <si>
    <t>Guoming ZhuGardner</t>
  </si>
  <si>
    <t>zhug@egr.msu.edu</t>
  </si>
  <si>
    <t>Indrek Wichman</t>
  </si>
  <si>
    <t>wichman@msu.edu</t>
  </si>
  <si>
    <t xml:space="preserve">The main combustion topics are related to flame spread over fuel surfaces, flame/surface interaction during combustion, microgravity combustion, ignition and quenching of combustion, and engine combustion with emphasis on TJI = Turbulent Jet Ignition. </t>
  </si>
  <si>
    <t xml:space="preserve">flame spread over fuel surfaces, flame/surface interaction during combustion, microgravity combustion, ignition , quenching of combustion, engine combustion with emphasis on TJI = Turbulent Jet Ignition </t>
  </si>
  <si>
    <t>Vanderbilt University</t>
  </si>
  <si>
    <r>
      <rPr>
        <u/>
        <sz val="10"/>
        <color rgb="FF000000"/>
        <rFont val="Arial"/>
        <family val="2"/>
      </rPr>
      <t>ERIC BART</t>
    </r>
    <r>
      <rPr>
        <sz val="10"/>
        <color rgb="FF000000"/>
        <rFont val="Arial"/>
        <family val="2"/>
      </rPr>
      <t xml:space="preserve">H
</t>
    </r>
  </si>
  <si>
    <t>eric.j.barth@vanderbilt.edu</t>
  </si>
  <si>
    <t>Research Focus Dynamic systems and control. Design, modeling and control of mechatronic and fluid power systems, free-piston internal combustion and free-piston Stirling engines, power supply and actuation for autonomous robots, and applied non-linear control.</t>
  </si>
  <si>
    <t>Dynamic systems , control, Design, modeling , control of mechatronic , fluid power systems, free-piston internal combustion , free-piston Stirling engines, power supply , actuation for autonomous robots, applied non-linear control,</t>
  </si>
  <si>
    <r>
      <rPr>
        <u/>
        <sz val="10"/>
        <color rgb="FF000000"/>
        <rFont val="Arial"/>
        <family val="2"/>
      </rPr>
      <t>LEON BELLAN</t>
    </r>
    <r>
      <rPr>
        <sz val="10"/>
        <color rgb="FF000000"/>
        <rFont val="Arial"/>
        <family val="2"/>
      </rPr>
      <t xml:space="preserve">
</t>
    </r>
  </si>
  <si>
    <t>leon.bellan@vanderbilt.edu</t>
  </si>
  <si>
    <t>Research Focus Microfluidics, microfluidic materials, smart materials, biomaterials, micro and nanotechnology, bioMEMS.</t>
  </si>
  <si>
    <t>Microfluidics, microfluidic materials, smart materials, biomaterials, micro , nanotechnology, bioMEMS,</t>
  </si>
  <si>
    <r>
      <rPr>
        <u/>
        <sz val="10"/>
        <color rgb="FF000000"/>
        <rFont val="Arial"/>
        <family val="2"/>
      </rPr>
      <t>DAVID BRAUN</t>
    </r>
    <r>
      <rPr>
        <sz val="10"/>
        <color rgb="FF000000"/>
        <rFont val="Arial"/>
        <family val="2"/>
      </rPr>
      <t xml:space="preserve">
</t>
    </r>
  </si>
  <si>
    <t>david.braun@Vanderbilt.Edu</t>
  </si>
  <si>
    <t>Research Focus Robotics, optimal control, system dynamics, compliant robot actuators, human performance augmentation technology</t>
  </si>
  <si>
    <t>Robotics, optimal control, system dynamics, compliant robot actuators, human performance augmentation technology</t>
  </si>
  <si>
    <r>
      <rPr>
        <u/>
        <sz val="10"/>
        <color rgb="FF000000"/>
        <rFont val="Arial"/>
        <family val="2"/>
      </rPr>
      <t>JOSHUA CALDWELL</t>
    </r>
    <r>
      <rPr>
        <sz val="10"/>
        <color rgb="FF000000"/>
        <rFont val="Arial"/>
        <family val="2"/>
      </rPr>
      <t xml:space="preserve">
</t>
    </r>
  </si>
  <si>
    <t>josh.caldwell@vanderbilt.edu</t>
  </si>
  <si>
    <t>Research Focus Nano-optics, polaritonics, nanophotonics, infrared and Raman spectroscopy, active photonics, infrared optics and imaging, power electronic materials, defects in semiconductors</t>
  </si>
  <si>
    <t>Nano-optics, polaritonics, nanophotonics, infrared , Raman spectroscopy, active photonics, infrared optics , imaging, power electronic materials, defects in semiconductors</t>
  </si>
  <si>
    <r>
      <rPr>
        <u/>
        <sz val="10"/>
        <color rgb="FF000000"/>
        <rFont val="Arial"/>
        <family val="2"/>
      </rPr>
      <t>XIAOGUANG DONG</t>
    </r>
    <r>
      <rPr>
        <sz val="10"/>
        <color rgb="FF000000"/>
        <rFont val="Arial"/>
        <family val="2"/>
      </rPr>
      <t xml:space="preserve">
</t>
    </r>
  </si>
  <si>
    <t>xiaoguang.dong@vanderbilt.edu</t>
  </si>
  <si>
    <t>Research Focus The design, manufacture and control of miniature soft robots, and their applications in minimally invasive medicine, microfluidics and biomechanics. The design, manufacture and control of miniature swarm robots, and their applications in biomedicine and biomechanics. The modeling, design, manufacture and control of intelligent soft materials</t>
  </si>
  <si>
    <t>The design, manufacture , control of miniature soft robots, their applications in minimally invasive medicine, microfluidics , biomechanics, The design, manufacture , control of miniature swarm robots, their applications in biomedicine , biomechanics, The modeling, design, manufacture , control of intelligent soft materials</t>
  </si>
  <si>
    <r>
      <rPr>
        <u/>
        <sz val="10"/>
        <color rgb="FF000000"/>
        <rFont val="Arial"/>
        <family val="2"/>
      </rPr>
      <t>MICHAEL GOLDFARB</t>
    </r>
    <r>
      <rPr>
        <sz val="10"/>
        <color rgb="FF000000"/>
        <rFont val="Arial"/>
        <family val="2"/>
      </rPr>
      <t xml:space="preserve">
</t>
    </r>
  </si>
  <si>
    <t>michael.goldfarb@vanderbilt.edu</t>
  </si>
  <si>
    <t>Research Focus Design, modeling, and control of electromechanical devices and systems. Design of high-energy-density robotic actuators. Control of fluid-powered actuators and devices.</t>
  </si>
  <si>
    <t>Design, modeling, control of electromechanical devices , systems, Design of high-energy-density robotic actuators, Control of fluid-powered actuators , devices,</t>
  </si>
  <si>
    <r>
      <rPr>
        <u/>
        <sz val="10"/>
        <color rgb="FF000000"/>
        <rFont val="Arial"/>
        <family val="2"/>
      </rPr>
      <t>DEYU LI</t>
    </r>
    <r>
      <rPr>
        <sz val="10"/>
        <color rgb="FF000000"/>
        <rFont val="Arial"/>
        <family val="2"/>
      </rPr>
      <t xml:space="preserve">
</t>
    </r>
  </si>
  <si>
    <t>deyu.li@vanderbilt.edu</t>
  </si>
  <si>
    <t>Research Focus Micro/Nano scale energy and molecular transport phenomena,. Nanofabrication techniques, Molecular dynamics and Monte Carlo Simulation, Micro/Nanofluidics.</t>
  </si>
  <si>
    <t>Micro/Nano scale energy , molecular transport phenomena,, Nanofabrication techniques, Molecular dynamics , Monte Carlo Simulation, Micro/Nanofluidics,</t>
  </si>
  <si>
    <r>
      <rPr>
        <u/>
        <sz val="10"/>
        <color rgb="FF000000"/>
        <rFont val="Arial"/>
        <family val="2"/>
      </rPr>
      <t>HAOXIANG LUO</t>
    </r>
    <r>
      <rPr>
        <sz val="10"/>
        <color rgb="FF000000"/>
        <rFont val="Arial"/>
        <family val="2"/>
      </rPr>
      <t xml:space="preserve">
</t>
    </r>
  </si>
  <si>
    <t>haoxiang.luo@vanderbilt.edu</t>
  </si>
  <si>
    <t>Research Focus Computational fluid dynamics, biofluids, fluid-structure interaction, microfluidics, biomimetic aerial/underwater vehicles, biomedical flows.</t>
  </si>
  <si>
    <t>Computational fluid dynamics, biofluids, fluid-structure interaction, microfluidics, biomimetic aerial/underwater vehicles, biomedical flows,</t>
  </si>
  <si>
    <r>
      <rPr>
        <u/>
        <sz val="10"/>
        <color rgb="FF000000"/>
        <rFont val="Arial"/>
        <family val="2"/>
      </rPr>
      <t>ROBERT PITZ</t>
    </r>
    <r>
      <rPr>
        <sz val="10"/>
        <color rgb="FF000000"/>
        <rFont val="Arial"/>
        <family val="2"/>
      </rPr>
      <t xml:space="preserve">
</t>
    </r>
  </si>
  <si>
    <t>robert.w.pitz@vanderbilt.edu</t>
  </si>
  <si>
    <t>Research Focus Laser diagnostics, laminar &amp; turbulent combustion, turbulence-chemistry interaction, pollutant formation, supersonic combustion, gas turbine combustion, rocket propulsion, Raman scattering, laser-induced fluorescence, molecular-tagging velocimetry.</t>
  </si>
  <si>
    <t>Laser diagnostics, laminar &amp; turbulent combustion, turbulence-chemistry interaction, pollutant formation, supersonic combustion, gas turbine combustion, rocket propulsion, Raman scattering, laser-induced fluorescence, molecular-tagging velocimetry,</t>
  </si>
  <si>
    <r>
      <rPr>
        <sz val="10"/>
        <color rgb="FF000000"/>
        <rFont val="Arial"/>
        <family val="2"/>
      </rPr>
      <t xml:space="preserve">Chair - </t>
    </r>
    <r>
      <rPr>
        <u/>
        <sz val="10"/>
        <color rgb="FF000000"/>
        <rFont val="Arial"/>
        <family val="2"/>
      </rPr>
      <t xml:space="preserve">NILANJAN SARKAR
</t>
    </r>
  </si>
  <si>
    <t>nilanjan.sarkar@vanderbilt.edu</t>
  </si>
  <si>
    <t>Research Focus analysis, design, and development of intelligent and autonomous systems that can work with people in a versatile and natural way</t>
  </si>
  <si>
    <t>analysis, design, development of intelligent , autonomous systems that can work with people in a versatile , natural way</t>
  </si>
  <si>
    <r>
      <rPr>
        <u/>
        <sz val="10"/>
        <color rgb="FF000000"/>
        <rFont val="Arial"/>
        <family val="2"/>
      </rPr>
      <t>NABIL SIMAAN</t>
    </r>
    <r>
      <rPr>
        <sz val="10"/>
        <color rgb="FF000000"/>
        <rFont val="Arial"/>
        <family val="2"/>
      </rPr>
      <t xml:space="preserve">
</t>
    </r>
  </si>
  <si>
    <t>nabil.simaan@vanderbilt.edu</t>
  </si>
  <si>
    <t>Research Focus Robotic systems for surgical assistance, theoretical kinematics of mechanisms, synthesis and optimization of robots and mechanisms, design of flexure mechanisms and flexible robots, parallel robots, actuation redundancy and kinematic redundancy</t>
  </si>
  <si>
    <t>Robotic systems for surgical assistance, theoretical kinematics of mechanisms, synthesis , optimization of robots , mechanisms, design of flexure mechanisms , flexible robots, parallel robots, actuation redundancy , kinematic redundancy</t>
  </si>
  <si>
    <r>
      <rPr>
        <u/>
        <sz val="10"/>
        <color rgb="FF000000"/>
        <rFont val="Arial"/>
        <family val="2"/>
      </rPr>
      <t>ALVIN STRAUSS</t>
    </r>
    <r>
      <rPr>
        <sz val="10"/>
        <color rgb="FF000000"/>
        <rFont val="Arial"/>
        <family val="2"/>
      </rPr>
      <t xml:space="preserve">
</t>
    </r>
  </si>
  <si>
    <t>al.strauss@vanderbilt.edu</t>
  </si>
  <si>
    <t>Research Focus Nuclear Propulsion, Friction Stir Welding, Direct Energy Conversion, Variational Methods in Mechanics, Mechanical Properties of Actinides, Macro-Engineering, Spacecraft Design</t>
  </si>
  <si>
    <t xml:space="preserve"> Nuclear Propulsion, Friction Stir Welding, Direct Energy Conversion, Variational Methods in Mechanics, Mechanical Properties of Actinides, Macro-Engineering, Spacecraft Design</t>
  </si>
  <si>
    <t>$39,870 per year (full-time)</t>
  </si>
  <si>
    <r>
      <rPr>
        <u/>
        <sz val="10"/>
        <color rgb="FF000000"/>
        <rFont val="Arial"/>
        <family val="2"/>
      </rPr>
      <t>JASON VALENTINE</t>
    </r>
    <r>
      <rPr>
        <sz val="10"/>
        <color rgb="FF000000"/>
        <rFont val="Arial"/>
        <family val="2"/>
      </rPr>
      <t xml:space="preserve">
</t>
    </r>
  </si>
  <si>
    <t>jason.g.valentine@vanderbilt.edu</t>
  </si>
  <si>
    <t>Research Focus Optical metamaterials, plasmonics, transformation optics, nanophotonics, nanoimaging, active photonics, gradient index optics, high spatial resolution bioimaging and sensing, solar energy conversion, scalable 3D nanomanufacturing.</t>
  </si>
  <si>
    <t>Optical metamaterials, plasmonics, transformation optics, nanophotonics, nanoimaging, active photonics, gradient index optics, high spatial resolution bioimaging , sensing, solar energy conversion, scalable 3D nanomanufacturing,</t>
  </si>
  <si>
    <r>
      <rPr>
        <u/>
        <sz val="10"/>
        <color rgb="FF000000"/>
        <rFont val="Arial"/>
        <family val="2"/>
      </rPr>
      <t>GREG WALKER</t>
    </r>
    <r>
      <rPr>
        <sz val="10"/>
        <color rgb="FF000000"/>
        <rFont val="Arial"/>
        <family val="2"/>
      </rPr>
      <t xml:space="preserve">
</t>
    </r>
  </si>
  <si>
    <t>greg.walker@vanderbilt.edu</t>
  </si>
  <si>
    <t>Research Focus Micro-scale heat transfer, heat flux measurement, energy transport processes, ultrasonic pyrometry, thermographic phospors, energy conversion devices, high-performance computing</t>
  </si>
  <si>
    <t>Micro-scale heat transfer, heat flux measurement, energy transport processes, ultrasonic pyrometry, thermographic phospors, energy conversion devices, high-performance computing</t>
  </si>
  <si>
    <r>
      <rPr>
        <u/>
        <sz val="10"/>
        <color rgb="FF000000"/>
        <rFont val="Arial"/>
        <family val="2"/>
      </rPr>
      <t>ROBERT WEBSTER</t>
    </r>
    <r>
      <rPr>
        <sz val="10"/>
        <color rgb="FF000000"/>
        <rFont val="Arial"/>
        <family val="2"/>
      </rPr>
      <t xml:space="preserve">
</t>
    </r>
  </si>
  <si>
    <t>robert.webster@vanderbilt.edu</t>
  </si>
  <si>
    <t>Research Focus Image guidance, robotic surgery, screw theory, mechanics-based modeling, and optimal mechanism design</t>
  </si>
  <si>
    <t>Image guidance, robotic surgery, screw theory, mechanics-based modeling, optimal mechanism design</t>
  </si>
  <si>
    <r>
      <rPr>
        <u/>
        <sz val="10"/>
        <color rgb="FF000000"/>
        <rFont val="Arial"/>
        <family val="2"/>
      </rPr>
      <t>KARL ZELIK</t>
    </r>
    <r>
      <rPr>
        <sz val="10"/>
        <color rgb="FF000000"/>
        <rFont val="Arial"/>
        <family val="2"/>
      </rPr>
      <t xml:space="preserve">
</t>
    </r>
  </si>
  <si>
    <t>karl.zelik@vanderbilt.edu</t>
  </si>
  <si>
    <t>Research Focus Biomechanics of legged locomotion, lower-limb prosthetics, assistive technology, dynamic walking principles, neural control, human-device interfaces, mobility, rehabilitation engineering</t>
  </si>
  <si>
    <t>Biomechanics of legged locomotion, lower-limb prosthetics, assistive technology, dynamic walking principles, neural control, human-device interfaces, mobility, rehabilitation engineering</t>
  </si>
  <si>
    <t>SHANNON FALEY</t>
  </si>
  <si>
    <t>shannon.faley@vanderbilt.edu</t>
  </si>
  <si>
    <t xml:space="preserve">KEVIN GALLOWAY
</t>
  </si>
  <si>
    <t>kevin.c.galloway@vanderbilt.edu</t>
  </si>
  <si>
    <t>Research Focus Design of robotic systems from the micro- to the macro-scale, soft robotics, rapid prototyping materials and methods, human-centered design, mechanical design, medical device design, assistive technology.</t>
  </si>
  <si>
    <t>Design of robotic systems from the micro- to the macro-scale, soft robotics, rapid prototyping materials , methods, human-centered design, mechanical design, medical device design, assistive technology,</t>
  </si>
  <si>
    <t>Boston University</t>
  </si>
  <si>
    <t>Michael Albro, Ph.D.</t>
  </si>
  <si>
    <t>albro@bu.edu</t>
  </si>
  <si>
    <t xml:space="preserve">The investigation of the role of mechanical loading and extracellular matrix interactions on the regulation of signaling molecules in the extracellular environment of biological tissues. This area of research focuses on the progression and treatment of osteoarthritis, and aims to develoPinnovative molecular-based OA intervention strategies and novel strategies to overcome several of the major challenges in cartilage tissue engineering.
</t>
  </si>
  <si>
    <t xml:space="preserve">mechanical loading , extracellular matrix interactions on the regulation of signaling molecules in the extracellular environment of biological tissues
</t>
  </si>
  <si>
    <t>Stephan Anderson</t>
  </si>
  <si>
    <t>stephan.anderson@bmc.org</t>
  </si>
  <si>
    <t xml:space="preserve">Since joining the staff in the Department of Radiology at Boston University Medical School, Dr. Stephan Anderson has focused his research efforts on the quantitative imagining of liver disease and has worked on collaborative efforts with PXin Zhang to apply engineering strategies to biomedical applications.
</t>
  </si>
  <si>
    <t xml:space="preserve">quantitative imagining of liver disease
</t>
  </si>
  <si>
    <r>
      <rPr>
        <sz val="10"/>
        <color rgb="FF000000"/>
        <rFont val="Arial"/>
        <family val="2"/>
      </rPr>
      <t xml:space="preserve">Chair - </t>
    </r>
    <r>
      <rPr>
        <u/>
        <sz val="10"/>
        <color rgb="FF000000"/>
        <rFont val="Arial"/>
        <family val="2"/>
      </rPr>
      <t>Sean Andersson, Ph.D.</t>
    </r>
  </si>
  <si>
    <t>sanderss@bu.edu</t>
  </si>
  <si>
    <t>PAndersson believes the potential of scanning probe microscopy has not yet been realized. His current work in this area focuses on bringing systems and control theory to bear in atomic force and confocal laser scanning microscopies with the goal of extending the domain of applicability of these technologies deeper into the realm of dynamic processes.
In symbolic control and robotics, his research is aimed at developing methods for handling the complexity of robots operating in real-world environments. Ongoing work includes the use of symbols to tokenize both the environment and the controls as well as efforts to handle the stochastic nature of actuators and sensors. He is also interested in cooperative approaches based on a symbolic framework of control.</t>
  </si>
  <si>
    <t xml:space="preserve">control theory, atomic force , confocal laser scanning microscopies
</t>
  </si>
  <si>
    <t>#49 - Mechanical Engineering</t>
  </si>
  <si>
    <t>Stormy Attaway, Ph.D.</t>
  </si>
  <si>
    <t>sa@bu.edu</t>
  </si>
  <si>
    <t>PAttaway coordinates and teaches the introductory engineering course for freshmen.  Using MATLAB as the platform for instruction, she uses the approach of teaching basic programming concepts and the efficient use of built-in functions side-by-side.  In 2009, she published a book detailing this innovative approach.
PAttaway is the Director of Curricular Assessment and Improvement for the College of Engineering.  In this capacity, she coordinates the curricular assessment and improvement programs within the College, in order to better the academic experience of the undergraduates.
In 2014, PAttaway was the winner of the Metcalf CuPand Prize, the University’s highest teaching honor.</t>
  </si>
  <si>
    <t xml:space="preserve">basic programming concepts , the efficient use of built-in functions </t>
  </si>
  <si>
    <t>Louis Awad, Ph.D.</t>
  </si>
  <si>
    <t>louawad@bu.edu</t>
  </si>
  <si>
    <t xml:space="preserve">Our team at the Boston University Neuromotor Recovery Laboratory works to develop, test, and translate rehabilitation technologies and interventions. We are scientists, clinicians, and engineers skilled in the planning and execution of development-focused RProjects and hypothesis-driven experiments. We collaborate with CP and industry partners to transform our research discoveries into tools, technologies, and interventions that can restore movement, improve health, and elevate the quality of life of people with neuromotor impairments.
</t>
  </si>
  <si>
    <t>translate rehabilitation technologies , interventions, We are scientists, clinicians, engineers skilled in the planning , execution of development-focused RProjects , hypothesis-driven experiments</t>
  </si>
  <si>
    <t>John Baillieul, Ph.D.</t>
  </si>
  <si>
    <t>johnb@bu.edu</t>
  </si>
  <si>
    <t>PBaillieul focuses on robotics, the control of mechanical systems, and mathematical system theory. His work in the late 1980’s led to seminal papers on motion planning for kinematically redundant manipulators. Earlier work on nonlinear optimal control theory foreshadowed much of the current literature on singular Riemannian geometry. Current research focuses on extending and applying principles from nonlinear control theory to complex mechanical systems composed of interconnected rigid and elastic components.
Dr. Baillieul has developed a laboratory system for experiments involving real-time control of mechanical systems, research fundamental to the design of lightweight, high-performance manipulator arms and other advanced robotic devices. He also investigates geometric effects in nonlinear rotational mechanics, with potential applications in stabilization and vibration suppression in rotating machinery, and the theory of control and motion planning for mechanical systems with relatively few actuators for the control of a large number of degrees of freedom.
A Fellow of the IEEE, he is the former editor-in-chief of the IEEE Transactions on Automatic Control. He is also affiliated with Boston University’s Center for Information and Systems Engineering (CISE).</t>
  </si>
  <si>
    <t>robotics, the control of mechanical systems, mathematical system theory</t>
  </si>
  <si>
    <t>Paul Barbone, Ph.D.</t>
  </si>
  <si>
    <t>barbone@bu.edu</t>
  </si>
  <si>
    <t>Paul Barbone uses tools from applied mathematics to study forward and inverse problems in (bio)mechanics, (bio)acoustics, medical imaging, and other areas. He has studied and made contributions in the areas of structural acoustics, waves in elastic media, piezoelectric media, layered media, periodic media, and in media with microstructure, vibration of infinitely complicated structures, hybrid asymptotic/numerical methods, optimal finite element methods, algebraic eigenvalue problems, nonlinear acoustic propagation, multiphase (bubbly) flow and ultrasound imaging.
His most recent interests lie in the areas of inverse elasticity problems as applied to medical imaging (elastography) and soft-tissue biomechanics.</t>
  </si>
  <si>
    <t>inverse problems in (bio)mechanics, (bio)acoustics, medical imaging</t>
  </si>
  <si>
    <t>Eytan Barouch, Ph.D.</t>
  </si>
  <si>
    <t>eytan@bu.edu</t>
  </si>
  <si>
    <t xml:space="preserve">Simulation of industrial processes * Numerical analysis * Algorithm development
PBarouch’s main current interest is a combination of numerical analysis with specific practical problems of electromagnetic applications. </t>
  </si>
  <si>
    <t>numerical analysis with specific practical problems of electromagnetic applications</t>
  </si>
  <si>
    <t>Soumendra N. Basu, Ph.D.</t>
  </si>
  <si>
    <t>basu@bu.edu</t>
  </si>
  <si>
    <t>PBasu’s present and past research include i) solid oxide fuel cells (SOFCs), ii) optical fibers for mid-IR transmission, iii) wide bandgaPmaterials for solid state lighting, iv) thermal barrier and environmental barrier coatings for gas turbine applications, and v) nanostructures in rare-earth doped silicon, vi) effects of interfacial structure and segregation on interfacial strength, vii) high Tc superconducting materials, and viii) high temperature oxidation and corrosion of alloys. Recent research in SOFCs include enhancing catalytic activity of anodes by infiltration, understanding and mitigating surface instabilities in cathode materials, understanding and mitigating cathode poisoning using coatings on interconnections, and quantitative characterization of porous 3-D electrode microstructures. Recent research in optical fibers include understanding processing/structure/property relationships in germanium-, silicon- and germanium/silicon alloy-core optical fibers fabricated by the molten core method.</t>
  </si>
  <si>
    <t>solid oxide fuel cells (SOFCs), ioptical fibers for mid-IR transmission,wide b,gaPmaterials for solid state lighting, thermal barrier , environmental barrier coatings for gas turbine applications, v) nanostructures in rare-earth doped silicon, vi) effects of interfacial structure , segregation on interfacial strength, high Tc superconducting materials, v high temperature oxidation , corrosion of alloys</t>
  </si>
  <si>
    <t>Calin Belta, Ph.D.</t>
  </si>
  <si>
    <t>cbelta@bu.edu</t>
  </si>
  <si>
    <t>Calin Belta is a Pof Mechanical Engineering, Electrical and Computer Engineering, and Systems Engineering.
He is the Director of the BU Robotics Lab. His research focuses on dynamics and control theory, with particular emphasis on cyber-physical systems, formal methods, and applications to robotics and systems biology.
Notable awards include the 2008 AFOSR Young Investigator Award, the 2005 National Science Foundation CAREER Award, and the 2017 IEEE TCNS Outstanding Paper Award. He is a Fellow of the IEEE and a Distinguished Lecturerof the IEEE CSS.</t>
  </si>
  <si>
    <t>dynamics , control theory, with particular emphasis on cyber-physical systems, formal methods, applications to robotics , systems biology</t>
  </si>
  <si>
    <t>Pavan Bhavsar</t>
  </si>
  <si>
    <t>pbhavsar@bu.edu</t>
  </si>
  <si>
    <t>Dr. Bhavsar’s research interest focuses on the design and calibration of high-frequency force sensors for applications in high-strain/high-strain rate material modeling as well as the mechanical testing of high strength metal alloys under extreme conditions. Some of his recent projects involve the design, fabrication, and application of PZT-based high frequency force sensor for modeling adiabatic shear bands in AA-7075-T6, detecting failures through acoustic emission monitoring during 3D printing, studying the behavior of adiabatic shear bands in nickel-based superalloys, and capturing the material failure behavior of titanium and aluminum alloys through high-speed photoelasticity imaging.</t>
  </si>
  <si>
    <t>calibration of high-frequency force sensors for applications in high-strain/high-strain rate material modeling as well as the mechanical testing of high strength metal alloys under extreme conditions</t>
  </si>
  <si>
    <t>Thomas Bifano, Ph.D.</t>
  </si>
  <si>
    <t>tgb@bu.edu</t>
  </si>
  <si>
    <t>Dr. Bifano directs the Boston University Photonics Center (BUPC), a core facility and academic center of excellence comprised of forty-nine faculty members from eight academic departments and sixteen staff staff members. He leads BUPC programs for education, scholarly research and development of advanced photonic device prototypes for commercial and military applications. He manages a state-of-the-art facility that includes several shared research laboratories and a large business innovation center. Dr. Bifano also serves as a Pof Mechanical Engineering, and was Chair of the Manufacturing Engineering Department from 1999-2006. His research focuses on modeling, design, production, and use of micro-electro-mechanical systems (MEMS) in optical applications.</t>
  </si>
  <si>
    <t>education, scholarly research , development of advanced photonic device prototypes for commercial , military applications</t>
  </si>
  <si>
    <t>$61,050 per year (full-time)</t>
  </si>
  <si>
    <t>James Bird, Ph.D.</t>
  </si>
  <si>
    <t>jbird@bu.edu</t>
  </si>
  <si>
    <t>James Bird’s current s are broadly in fluid dynamics with a specific focus on the capillary dynamics of drops and bubbles. Combining both experiments and theory, he investigates problems such as how drops spread on surfaces and how bubbles pop. His research is motivated by problems in a variety of fields, including healthcare (e.g. virus transfer via droplets), energy (e.g. boiling and condensation), and materials (e.g. foams).</t>
  </si>
  <si>
    <t>fluid dynamics with a specific focus on the capillary dynamics of drops , bubbles, Combining both experiments , theory</t>
  </si>
  <si>
    <t>David Bishop, Ph.D.</t>
  </si>
  <si>
    <t>djb1@bu.edu</t>
  </si>
  <si>
    <t>Cardiac Tissue Engineering
SAXS Studies of Cardiac Tissues
MEMS and NEMS
Casimir Effect
Superconductivity and Superfluidity
Feedforward Control Theory Algorithms
Nanomanufacturing
Nanotechnology</t>
  </si>
  <si>
    <t>Cardiac Tissue Engineering,
SAXS Studies of Cardiac Tissues,
MEMS , NEMS,
Casimir Effect,
Superconductivity , Superfluidity,
Feedforward Control Theory Algorithms,
Nanomanufacturing,
Nanotechnology</t>
  </si>
  <si>
    <t>William Boley, Ph.D.</t>
  </si>
  <si>
    <t>jwboley@bu.edu</t>
  </si>
  <si>
    <t>PBoley’s research focuses on understanding and harnessing the relationships between materials synthesis, assembly process, and multi-scale architecture in additive manufacturing to create new functional materials and devices. To accomplish this, his research combines aspects of materials science, thermal fluid science, design, and optimization. Target application areas include electronics, optics, sensors, and soft robotics.</t>
  </si>
  <si>
    <t>materials science, thermal fluid science, design, optimization, Target application areas include electronics, optics, sensors, soft robotics</t>
  </si>
  <si>
    <t>Keith Brown, Ph.D.</t>
  </si>
  <si>
    <t>brownka@bu.edu</t>
  </si>
  <si>
    <t>The Brown grouPstudies polymers and smart fluids to determine how useful properties emerge from hierarchical structure. A considerable focus is developing approaches that increase the throughput of materials research using scanning probe lithography, autonomous experimentation, additive manufacturing, and combinatorial chemistry.</t>
  </si>
  <si>
    <t>polymers , smart fluids to determine how useful properties emerge from hierarchical structure, materials research using scanning probe lithography, autonomous experimentation, additive manufacturing, combinatorial chemistry</t>
  </si>
  <si>
    <t>Scott Bunch, Ph.D.</t>
  </si>
  <si>
    <t>bunch@bu.edu</t>
  </si>
  <si>
    <t xml:space="preserve">Our research focuses on the nanomechanical properties of a new class of 2D atomically thin materials such as graphene – single atomic layers of graphite. We are most interested in their remarkable mechanical properties such as high strength, extreme flexibility, and unprecedented barrier properties. We fabricate and characterize nanomechanical devices, our favorite of which is a graphene sealed microcavity formed from a single atomic sheet of graphene suspended over a micron sized etched wells on a silicon wafer. The suspended graphene forms an “atomic drum” which can be vibrated at MHz frequencies using lasers. In addition, we can apply pressure differences and stretch these drum skins. This unique geometry has allowed us to experimentally measure a number of physical properties of 2D materials such as their elastic constants, molecular transport and barrier properties, and adhesive interactions. These atomically thin membranes act as barriers for gases and liquids and represent the thinnest membrane possible (one layer of atoms) with the smallest potential pore sizes attainable (single atomic vacancies), and unprecedented mechanical stability. The applications that we are primarily interested in are semipermeable membranes for gas or liquid separations and nanomechanical sensors.
</t>
  </si>
  <si>
    <t>nanomechanical properties of a new class of 2D atomically thin materials, single atomic layers of graphite</t>
  </si>
  <si>
    <t>Michael Caramanis, Ph.D.</t>
  </si>
  <si>
    <t>mcaraman@bu.edu</t>
  </si>
  <si>
    <t xml:space="preserve">Michael Caramanis (BS Stanford U., MS and PhD Harvard U.) is Boston University Pof Mechanical and Systems Engineering. He served at the Greek National Energy council (1976-79) the MIT Energy Laboratory (1979-82) and was Chair of the Greek Regulatory Authority for Energy from February 2005 till recently. He has directed several RProjects sponsored by NSF, EPRI, NYSERDA and the Industry, authored many journal articles and co-authored Spot Pricing of Electricity, Kluwer, 1988. He researches complex stochastic production systems and decision support in real-time electric power markets. He currently focuses on the Cyber-Physical-Energy-System/Smart Grid that (i) is open to developers and users to render it capable of supporting real-time market at the wholesale and retail levels, and (ii) enables load and distributed resource management to mitigate T&amp;D and Ancillary Services congestion and realize synergies among market-ready sustainable energy technologies including wind generation, distributed storage, roof-toPPV and Hybrid Electric Vehicles.
</t>
  </si>
  <si>
    <t xml:space="preserve">Cyber-Physical-Energy-System/Smart Grid </t>
  </si>
  <si>
    <t>James Chapman, Ph.D.</t>
  </si>
  <si>
    <t>jc112358@bu.edu</t>
  </si>
  <si>
    <t xml:space="preserve">James Chapman is anAssistant Pof Mechanical Engineering at Boston University. PChapman’s background is in computational materials informatics. His research revolves around the fusion of machine learning algorithms with atomistic simulations to design new catalyst and corrosion resistant materials. His current area of research is focused on discovering novel high entropy alloys for hydrogen production and pollution mitigation.
</t>
  </si>
  <si>
    <t xml:space="preserve">computational materials informatics, His research revolves around the fusion of machine learning algorithms with atomistic simulations to design new catalyst , corrosion resistant materials, novel high entropy alloys for hydrogen production , pollution mitigation
</t>
  </si>
  <si>
    <t>Dan Cole, Ph.D.</t>
  </si>
  <si>
    <t>dccole@bu.edu</t>
  </si>
  <si>
    <t>Dr. Cole has worked in the area of simulating physical processes, particularly as concerns the development and manufacturing of nanotechnology devices, as well as the prediction of electron transport phenomena within the semiconductor devices. A key aim here is to use the appropriate blend of accuracy in the fundamental physics versus more phenomenological physical descriptions, in conjunction with advanced numerical algorithmic schemes, to create simulation programs that can accurately predict the processes and device behavior with reasonable execution times. By creating such programs with fast execution times and good numerical robustness properties, and by ensuring that adequate calibration procedures are followed, then the speed of semiconductor technology development can be significantly improved, costly experiments can be reduced, and better design points can be achieved.
Dr. Cole’s research work has entailed thermodynamic analysis of operations performed on electrodynamic systems consisting of classical charged particles interacting with classical electromagnetic radiation, including zero-point radiation, and the predicted thermal-like effects of accelerating simple electromagnetic systems through the vacuum.
Current research activities include improvements in microlithography simulation models and methods, and thermodynamic considerations of advanced energy extraction mechanisms.</t>
  </si>
  <si>
    <t>simulating physical processes, particularly as concerns the development , manufacturing of nanotechnology devices</t>
  </si>
  <si>
    <t>Chuanhua Duan, Ph.D.</t>
  </si>
  <si>
    <t>duan@bu.edu</t>
  </si>
  <si>
    <t>His current s include exploring anomalous transport phenomenon in 1-D or 2-D confined nanochannels, enhancing ion/molecule transport in batteries and fuel cells using ordered nanostructured materials, improving phase-change heat transfer based on patterned micro/nanostructures, developing new nanofluidic devices for biomolecule sensing and separation.
Chuanhua Duan focuses his research on studying enhanced ion/molecule transport using ordered micro/nanostructures, for both fundamental understanding and practical applications in energy conversion/storage and biomolecular sensing/separation.</t>
  </si>
  <si>
    <t>1-D or 2-D confined nanochannels, enhancing ion/molecule transport in batteries , fuel cells using ordered nanostructured materials, improving phase-change heat transfer based on patterned micro/nanostructures, developing new nanofluidic devices for biomolecule sensing , separation</t>
  </si>
  <si>
    <t>Kamil Ekinci, Ph.D.</t>
  </si>
  <si>
    <t>ekinci@bu.edu</t>
  </si>
  <si>
    <t xml:space="preserve">PKamil Ekinci’s research focuses on physical and biological phenomena at the nanometer length scales. His grouPuses state-of-the-art nanofabrication techniques to create functional micro and nanostructures. They use these small structures along with highly sensitive electrical and optical measurement techniques to study diverse fundamental phenomena in solid mechanics, fluid dynamics and biological physics. They are also engaged in developing nanoscale devices and ultrasensitive measurement techniques for a variety of applications in biotechnology.
</t>
  </si>
  <si>
    <t>physical , biological phenomena at the nanometer length scales, state-of-the-art nanofabrication techniques</t>
  </si>
  <si>
    <t>Caleb Farny, Ph.D.</t>
  </si>
  <si>
    <t>farny@bu.edu</t>
  </si>
  <si>
    <t>Physical acoustics * Medical therapeutic and diagnostic
ultrasound applications * Cavitation detection * Transcranial ultrasound
imaging
PFarny’s chief s center on physical acoustics, with a focus on medical applications of ultrasound. His past research has examined effects of bubble cavitation on ultrasound-induced heating in tissue, and diagnostic methods for detecting the presence and location of cavitation during sonication. Most recently he has focused on developing novel methods for imaging brain structure through the skull with
ultrasound.</t>
  </si>
  <si>
    <t>Physical acoustics * Medical therapeutic , diagnostic
ultrasound applications * Cavitation detection * Transcranial ultrasound
imaging
PFarny’s chief s center on physical acoustics, with a focus on medical applications of ultrasound, His past research has examined effects of bubble cavitation on ultrasound-induced heating in tissue, diagnostic methods for detecting the presence , location of cavitation during sonication, Most recently he has focused on developing novel methods for imaging brain structure through the skull with
ultrasound,</t>
  </si>
  <si>
    <t>Louis C. Gerstenfeld, PhD</t>
  </si>
  <si>
    <t>lgersten@bu.edu</t>
  </si>
  <si>
    <t>Bone Histomorphometry, Cell Biology of Skeletal Tissues, Extracellular Matrix, Fracture Healing, Osteoporosis</t>
  </si>
  <si>
    <t>Michael Gevelber, Ph.D.</t>
  </si>
  <si>
    <t>gevelber@bu.edu</t>
  </si>
  <si>
    <t>PGevelber’s engineering research focuses on developing enhanced materials processing capabilities though modeling, sensor development, experimentation, and integrated system and control design. Research in his Advanced Materials Process Control Laboratory has focused on designing and implementing real time control for a variety of materials processing systems and includes production scale equipment for electron beam deposition, plasma spray, crystal growth, and electrospinning. Current RProjects include electrospinning of nanofibers and plasma spray for thermal barrier coatings and fuel cells.
In terms of sustainability, his research includes improving energy efficiency of buildings including developing a new system identification approach that helps optimize air flow in existing commercial buildings, and conducting energy assessments for urban housing and universities. PGevelber has lead a class which has conducted the first detailed energy audit for the Boston University’s Campus, which included identifying and implementing possible conservation options. He serves on the university’s Sustainability Committee, co-Chairs the university’s energy working group, is a member of the universities Clean Energy and Environmental Initiative, which is focused on integrating the research efforts across the various colleges on campus, and serves on Newton’s Energy Commission.
PGevelber is a participating faculty member of the division of materials science and engineering (MSE) and an affiliated faculty member in the Division of Systems Engineering (SE). He is also the founder and manager of Cyber Materials LLC, which develops advanced control solutions to improve manufacturing processes, and a co-founder of Aeolus Building Efficiency, winner of the 2013 energy efficiency track of the MIT Clean Energy Contest.</t>
  </si>
  <si>
    <t>enhanced materials processing capabilities though modeling, sensor development, experimentation, integrated system , control design</t>
  </si>
  <si>
    <t>Srikanth Gopalan, Ph.D.</t>
  </si>
  <si>
    <t>sgopalan@bu.edu</t>
  </si>
  <si>
    <t>PSrikanth Gopalan conducts research in the areas of application of solid state electrochemistry to clean power generation. He is interested in the role of materials structure, point defect chemistry, microstructure, and interfaces on their electrical and transport properties.  Applications of interest include solid oxide fuel cells, hydrogen generation through membrane separation, electrochemical sensors and energy storage.
Current projects include application of x-ray, spectroscopic, and electrochemical tools to unravel the cathodic processes in solid oxide fuel cells, application of a mixed ionic and electronic conducting membrane for high purity hydrogen generation, conversion of waste to hydrogen using a modified high temperature electrolysis process, and potentiometric sensors for sensing rare earth cations in aqueous media.</t>
  </si>
  <si>
    <t>microstructure, interfaces on their electrical , transport propertiesApplications of interest include solid oxide fuel cells, hydrogen generation through membrane separation, electrochemical sensors , energy storage</t>
  </si>
  <si>
    <t>Sheryl Grace, Ph.D.</t>
  </si>
  <si>
    <t>sgrace@bu.edu</t>
  </si>
  <si>
    <t xml:space="preserve">Aerodynamics * Fluid dynamics * Acoustics
</t>
  </si>
  <si>
    <t xml:space="preserve">Aerodynamics, Fluid dynamics, Acoustics
</t>
  </si>
  <si>
    <t>Enrique Gutierrez Wing Ph.D.</t>
  </si>
  <si>
    <t>esgw@bu.edu</t>
  </si>
  <si>
    <t xml:space="preserve">Dr Gutierrez’ research focuses on the interpretation and prediction of vibration phenomena in structures and rotating machines, as well as on the development of novel analysis techniques and software tools. Some of his recent projects include the development of active vibration control devices using polymer-metal nano-fibers, the development of efficient balancing techniques to reduce vibrations in turbo-machinery rotors and the formulation of system identification strategies for the reliable modeling of machine and structural dynamic behavior based on vibration measurements.
</t>
  </si>
  <si>
    <t xml:space="preserve">prediction of vibration phenomena in structures , rotating machines, novel analysis techniques , software tools
</t>
  </si>
  <si>
    <t>Douglas P. Holmes, Ph.D.</t>
  </si>
  <si>
    <t>dpholmes@bu.edu</t>
  </si>
  <si>
    <t>Slender structures are ubiquitous. Commonly described by rods, plates, and shells, these thin structures are embodied by carbon nanotubes, air plane wings, blood vessels, spider silk, contact lenses, and human hair. The mechanics of these thin objects are fascinating because geometric nonlinearities will arise even as the material properties remain linear – hair will curl and tangle, skin will wrinkle, and the Venus flytraPwill rapidly snaPits leaves closed. PHolmes is interested in understanding and controlling the mechanics, physics, and geometry of these thin structures, and our lab aims to harness material and structural instability for advanced functionality.
PHolmes’ research has utilized elastic instabilities to pattern surfaces with deformable shells, described the mechanics of wrinkling and folding thin films, and quantified the dynamics shape change of snapping beams and shells. His lab has utilized the swelling of elastomers as a means for controlling beam bending, and electrically active polymers for the controlled deformation and buckling of thin structures to control microfluidic fluid flow.</t>
  </si>
  <si>
    <t>controlling the mechanics, physics, geometry of these thin structures, our lab aims to harness material , structural instability for advanced functionality</t>
  </si>
  <si>
    <t>Catherine M. Klapperich, Ph.D.</t>
  </si>
  <si>
    <t>catherin@bu.edu</t>
  </si>
  <si>
    <t>Emma Lejeune, Ph.D.</t>
  </si>
  <si>
    <t>elejeune@bu.edu</t>
  </si>
  <si>
    <t xml:space="preserve">Emma Lejeune is anAssistant Pof Mechanical Engineering at Boston University. PLejeune’s background is in the area of computational mechanics and computational biomechanics. Her research is focused on leveraging the state of the art in computational mechanics to investigate multiscale emergent behavior in biological systems and inform patient-specific medical protocols. Current areas of research involve integrating data-driven and physics based computational models and predicting the mechanical behavior of highly heterogeneous soft tissue.
</t>
  </si>
  <si>
    <t xml:space="preserve">leveraging the state of the art in computational mechanics to investigate multiscale emergent behavior in biological systems , inform patient-specific medical protocols, data-driven , physics based computational models , predicting the mechanical behavior of highly heterogeneous soft tissue
</t>
  </si>
  <si>
    <t>Sean Lubner</t>
  </si>
  <si>
    <t>slubner@bu.edu</t>
  </si>
  <si>
    <t xml:space="preserve">Lubner specializes in nano-to-macro energy transport and conversion, and has worked on a variety of energy-related systems including biomedical devices, electrochemical and thermal energy storage systems, solid state energy conversion devices, machine learning models, and water desalination. Lubner works extensively with both industry and academia, and holds numerous joint patents and publications.
</t>
  </si>
  <si>
    <t>nano-to-macro energy transport , conversion, has worked on a variety of energy-related systems including biomedical devices, electrochemical , thermal energy storage systems, solid state energy conversion devices, machine learning models, water desalination</t>
  </si>
  <si>
    <t>J. Gregory McDaniel, Ph.D.</t>
  </si>
  <si>
    <t>jgm@bu.edu</t>
  </si>
  <si>
    <t xml:space="preserve">PMcDaniel’s work integrates analytical, numerical, and experimental approaches in efforts to improve the built world and understand the natural world. Most of his research falls in the area of structural acoustics and involves interactions of vibrations and acoustics with complex structures and media. Examples of recent projects include mitigating automotive brake squeal, steering and mixing of waves in composite structures, escape hatching of the red-eyed tree frog, and the rheology of wet foam.
</t>
  </si>
  <si>
    <t>work integrates analytical, numerical, experimental approaches in efforts to improve the built world, structural acoustics , involves interactions of vibrations , acoustics with complex structures , media</t>
  </si>
  <si>
    <t>Elise Morgan, Ph.D.</t>
  </si>
  <si>
    <t>efmorgan@bu.edu</t>
  </si>
  <si>
    <t>PElise Morgan’s research focuses on the interplay between the mechanical behavior, structure, and biological function of tissues. She uses methods from engineering mechanics, materials science, and cell and molecular biology to investigate how mechanical “signals” (forces and displacements) contribute to the development, adaptation, degeneration, and regeneration of bone and cartilage. This work involves experimentation, computational modeling, and theoretical analysis. Through her research, PMorgan hopes to gain insight into causes and potential treatments for diseases or conditions such as osteoporosis, osteoarthritis, and impaired bone healing.
PMorgan’s current RProjects are in the use of mechanical stimulation to promote cartilage formation, the biomechanics of spine fractures and bone fracture healing, structure-function relationships in ischemic bone, and non-invasive diagnostics of bone fracture healing.  She is the recipient of several reserach and teaching awards, including the 2006 Young Investigator Award from the International Osteoporosis Foundation.</t>
  </si>
  <si>
    <t>mechanical behavior, structure, biological function of tissues, engineering mechanics, materials science, cell , molecular biology, degeneration, regeneration of bone , cartilage</t>
  </si>
  <si>
    <t>Ray Nagem, Ph.D.</t>
  </si>
  <si>
    <t>nagem@bu.edu</t>
  </si>
  <si>
    <t xml:space="preserve">Structural dynamics * Random vibration * Wave propagation * Inverse problems
</t>
  </si>
  <si>
    <t xml:space="preserve">Structural dynamics, vibration, Wave propagation, Inverse problems
</t>
  </si>
  <si>
    <t>Uday Pal, Ph.D.</t>
  </si>
  <si>
    <t>upal@bu.edu</t>
  </si>
  <si>
    <t>Harold Park, Ph.D.</t>
  </si>
  <si>
    <t>parkhs@bu.edu</t>
  </si>
  <si>
    <t xml:space="preserve">Computational Nanomechanics * Mechanics of two-dimensional nanostructures * Mechanics of soft, active materials * Long timescale atomistic modeling for proteins and amorphous solids * Coupled physics (electro and opto-mechanical) nanoscale phenomena
</t>
  </si>
  <si>
    <t xml:space="preserve">Computational Nanomechanics, Mechanics of two-dimensional nanostructures, Mechanics of soft, active materials, Long timescale atomistic modeling for proteins , amorphous solids, Coupled physics, nanoscale phenomena
</t>
  </si>
  <si>
    <t>James R. Perkins, Ph.D.</t>
  </si>
  <si>
    <t>perkins@bu.edu</t>
  </si>
  <si>
    <t xml:space="preserve">As a member of the Boston University Operations Research and Manufacturing Systems group, PPerkins carries out research in the field of systems engineering with emphases on control, decision analysis, and scheduling theory.  Current projects that PPerkins is working on include synchronization and scheduling of manufacturing systems, data mining and clustering in genetic networks, and analytical solutions of controlled queueing networks.  PPerkins’ manufacturing-related research is performed in the Production Control of Manufacturing Systems (PCMS) Laboratory at Boston University.
</t>
  </si>
  <si>
    <t xml:space="preserve">Manufacturing Systems group, decision analysis, scheduling theory, synchronization , scheduling of manufacturing systems, data mining , clustering in genetic networks, analytical solutions of controlled queueing networks
</t>
  </si>
  <si>
    <t>Abigail Plummer</t>
  </si>
  <si>
    <t>aplummer@princeton.edu</t>
  </si>
  <si>
    <t xml:space="preserve">P Plummer’s research explores how materials deform and adapt in complex environments, combining theory, experiment and simulation. Projects are motivated by a wide range of questions in biology/medicine, materials science, and earth science.
</t>
  </si>
  <si>
    <t xml:space="preserve">how materials deform , adapt in complex environments, combining theory, experiment , simulation, Projects are motivated by a wide range of questions in biology/medicine, materials science, earth science
</t>
  </si>
  <si>
    <t>Alyssa Pierson, Ph.D.</t>
  </si>
  <si>
    <t>pierson@bu.edu</t>
  </si>
  <si>
    <t>Alyssa Pierson is anAssistant Pof Mechanical Engineering at Boston University. Her s include trust and cooperation in multi-agent systems, distributed robotics control, and socially-compliant autonomous system design. She focuses on designing robotic systems that interact with humans and other robots in complex, dynamic environments.</t>
  </si>
  <si>
    <t>cooperation in multi-agent systems, distributed robotics control, socially-compliant autonomous system design</t>
  </si>
  <si>
    <t>Tommaso Ranzani, Ph.D.</t>
  </si>
  <si>
    <t>tranzani@bu.edu</t>
  </si>
  <si>
    <t xml:space="preserve">Robotics, Soft Robotics, BioRobotics, Medical Robotics, Advanced Manufacturing
</t>
  </si>
  <si>
    <t>Sheila Russo, Ph.D.</t>
  </si>
  <si>
    <t>russos@bu.edu</t>
  </si>
  <si>
    <t xml:space="preserve">Prof. Russo’s background is at the intersection of biomedical robotics, soft robotics, advanced manufacturing, and advanced materials technologies.
Her research focuses on design, development, and fabrication of biocompatible, smart, soft, and miniaturized surgical robots that could helPrestore sensor feedback and distal dexterity in minimally invasive procedures.
She is interested in developing robotic technologies to improve human health, tackling current limitations in medicine as well as enabling novel therapies not possible to perform today.
</t>
  </si>
  <si>
    <t>biomedical robotics, soft robotics, advanced manufacturing, advanced materials technologies</t>
  </si>
  <si>
    <t>Emily Ryan, Ph.D.</t>
  </si>
  <si>
    <t>ryanem@bu.edu</t>
  </si>
  <si>
    <t xml:space="preserve">PRyan conducts research in the area of computational modeling of energy systems. Computational modeling investigates the physical phenomena of a system using a mathematical model to describe the complex governing equations of the system. Computational modeling can be used to investigate the design, operation and degradation of complex systems.
</t>
  </si>
  <si>
    <t>computational modeling of energy systems, Computational modeling investigates the physical phenomena of a system using a mathematical model to describe the complex governing equations of the system, Computational modeling can be used to investigate the design, operation, degradation of complex systems</t>
  </si>
  <si>
    <t>Andrew Sabelhaus, Ph.D.</t>
  </si>
  <si>
    <t>asabelha@bu.edu</t>
  </si>
  <si>
    <t xml:space="preserve">Prof. Andrew Sabelhaus’ research takes a control-oriented approach to the locomotion of soft and flexible robots, spanning problems in modeling, feedback, and mechanical design. His work seeks to make soft robots practical and applicable by balancing feedback control with natural, embodied intelligence, allowing a robot to safely complete tasks in unstructured environments.
</t>
  </si>
  <si>
    <t xml:space="preserve">control-oriented approach to the locomotion of soft , flexible robots, spanning problems in modeling, feedback, mechanical design, robots practical 
</t>
  </si>
  <si>
    <t>Andre Sharon, Ph.D.</t>
  </si>
  <si>
    <t>sharon@bu.edu</t>
  </si>
  <si>
    <t xml:space="preserve">Prof. Andre Sharon has accumulated over 20 years of experience, both academic and industrial, conducting research, developing, and deploying computer-controlled automation systems, devices and instruments for several industries, ranging from sub-micron, high-precision machinery for optoelectronics, biotech/biomedical, and semiconductor fabrication to high-speed assembly of consumer products. As Director of the Fraunhofer Center for Manufacturing Innovation and Pof Mechanical Engineering at Boston University, Prof. Sharon works closely with faculty, students and engineers to develoPnext-generation technologies for local and international companies. Drawing upon Fraunhofer’s and Boston University’s vast research base and working closely with industry, the Center goes beyond the scope of traditional academic research to develoPand deploy actual working technologies all the way to deployment. These emerging technologies are incorporated into Prof. Sharon’s courses in Engineering, educating a cadre of future engineers with proficiency in high-precision machine design and instrumentation.
</t>
  </si>
  <si>
    <t>computer-controlled automation systems</t>
  </si>
  <si>
    <t>Roberto Tron, Ph.D.</t>
  </si>
  <si>
    <t>tron@bu.edu</t>
  </si>
  <si>
    <t xml:space="preserve">PRoberto Tron previously served as a post-doctoral researcher with the GRASPLab at the University of Pennsylvania. His s lie at the intersection of automatic control, robotics and computer vision, with a particular emphasis on applications of Riemannian geometry and on distributed problems involving teams of multiple agents. Tron received his PhD from The John Hopkins University.
</t>
  </si>
  <si>
    <t xml:space="preserve">automatic control, robotics , computer vision,
</t>
  </si>
  <si>
    <t>Brian Walsh, Ph.D.</t>
  </si>
  <si>
    <t>bwalsh@bu.edu</t>
  </si>
  <si>
    <t xml:space="preserve">PWalsh’s s include space and plasma dynamics in planetary space environments. Of particular interest are the plasma interactions in the near-Earth environment and the coupling of energy from the sun into Earth’s magnetic system. As an experimentalist, Dr. Walsh is involved in a number of ongoing NASA spacecraft missions.
</t>
  </si>
  <si>
    <t>space , plasma dynamics in planetary space environments</t>
  </si>
  <si>
    <t>Hua Wang, Ph.D.</t>
  </si>
  <si>
    <t>wangh@bu.edu</t>
  </si>
  <si>
    <t xml:space="preserve">PWang is an expert in nonlinear control and in particular in the control of systems having complex nonlinear dynamics. He is also affiliated with Boston University’s Center for Information and Systems Engineering (CISE).
</t>
  </si>
  <si>
    <t>nonlinear control , in particular in the control of systems having complex nonlinear dynamics</t>
  </si>
  <si>
    <t>Jörg G. Werner, Ph.D.</t>
  </si>
  <si>
    <t>jgwerner@bu.edu</t>
  </si>
  <si>
    <t xml:space="preserve">Prof. Werner’s research is focused on functional materials and devices with nano-to-microscale structures enabled by molecular self-assembly, phase separation, and other bottom-uPmethods. Research in the grouPwill span from the fundamental study of self-assembly, phase-separation, and interfacial phenomena of polymers in complex fluids such as microemulsions and lyotropic liquid crystals, to the formation of multi-functional, three-dimensionally mesostructured materials, and the development of fully interdigitated complex device architectures such as three-dimensional solid-state batteries.
</t>
  </si>
  <si>
    <t>functional materials , devices with nano-to-microscale structures enabled by molecular self-assembly, phase separation</t>
  </si>
  <si>
    <t>Alice White, Ph.D.</t>
  </si>
  <si>
    <t>aew1@bu.edu</t>
  </si>
  <si>
    <t xml:space="preserve">Nanofabrication, 3D Printing
</t>
  </si>
  <si>
    <t>Katherine Yanhang Zhang, Ph.D.</t>
  </si>
  <si>
    <t>yanhang@bu.edu</t>
  </si>
  <si>
    <t>Mechanical behavior of soft biological tissue * Cardiovascular mechanics * Multi-scale modeling of biological composites * Micro- and nano- mechanics of thin film devices</t>
  </si>
  <si>
    <t>Mechanical behavior of soft biological tissue,Cardiovascular mechanics,Multi-scale modeling of biological composites, nano- mechanics of thin film devices</t>
  </si>
  <si>
    <t>Xin Zhang, Ph.D.</t>
  </si>
  <si>
    <t>xinz@bu.edu</t>
  </si>
  <si>
    <t>Metamaterials, microelectromechanical systems (MEMS), novel micro-and nanotechnologies for power generation, energy conversion, photonic, optical, and biomedical applications</t>
  </si>
  <si>
    <t>Metamaterials, microelectromechanical systems (MEMS), novel micro-nanotechnologies for power generation, energy conversion, photonic, optical, biomedical applications</t>
  </si>
  <si>
    <t>Colorado School of Mines</t>
  </si>
  <si>
    <t>JEFFREY ACKERMAN</t>
  </si>
  <si>
    <t>ackerman@mines.edu</t>
  </si>
  <si>
    <t>Design, Robotics, Biomechanics</t>
  </si>
  <si>
    <t>MOHSEN ASLE ZAEEM</t>
  </si>
  <si>
    <t>zaeem@mines.edu</t>
  </si>
  <si>
    <t>His primary expertise is in developing and integrating atomistic and phase-field models and creating large scale numeral and simulation environments to study multiscale and multiphysics phenomena Associated with solidification and phase transformation in different material systems.</t>
  </si>
  <si>
    <t>integrating atomistic , phase-field models , creating large scale numeral , simulation environments to study multiscale , multiphysics phenomena</t>
  </si>
  <si>
    <t>OMID BABAIE RIZVANDI</t>
  </si>
  <si>
    <t>obabaierizvandi@mines.edu</t>
  </si>
  <si>
    <t>• Modeling of Solid Oxide Cells (SOC)
• Modeling of Proton Exchange Membrane Fuel Cells (PEMFC)
• Modeling of Alkaline Electrolyzers (AEL)
• Modeling of Microfluidic Fuel Cells (MFC)
• Computational Fluid Dynamics (CFD)</t>
  </si>
  <si>
    <t>Modeling of Solid Oxide Cells (SOC),Modeling of Proton Exchange Membrane Fuel Cells (PEMFC), Modeling of Alkaline Electrolyzers (AEL),Modeling of Microfluidic Fuel Cells (MFC),Computational Fluid Dynamics (CFD)</t>
  </si>
  <si>
    <t>JOEL BACH</t>
  </si>
  <si>
    <t>jmbach@mines.edu</t>
  </si>
  <si>
    <t xml:space="preserve">PBach’s research focuses on the application of engineering analysis, design, instrumentation, testing, and simulation to problems in biomechanical and biomedical engineering, He works with a team of researchers at Mines and collaborates with researchers at Assistive Technology Partners and the Orthopaedic Biomechanics Labs at CU Denver.
</t>
  </si>
  <si>
    <t xml:space="preserve">engineering analysis, design, instrumentation, testing, simulation to problems in biomechanical , biomedical engineering
</t>
  </si>
  <si>
    <t>#52 - Best Engineering Schools</t>
  </si>
  <si>
    <t>JOHN BERGER</t>
  </si>
  <si>
    <t>jberger@mines.edu</t>
  </si>
  <si>
    <t>Electrochemical stresses in lithium-ion batteries and transport membranes
Homogenization methods for heterogeneous materials
Fracture mechanics
Green’s functions and boundary element methods
Mechanics of anisotropic materials</t>
  </si>
  <si>
    <t>Electrochemical stresses in lithium-ion batteries , transport membranes,
Homogenization methods for heterogeneous materials,
Fracture mechanics,
Green’s functions , boundary element methods,
Mechanics of anisotropic materials</t>
  </si>
  <si>
    <t>DANIEL BLOOD</t>
  </si>
  <si>
    <t>dblood@mines.edu</t>
  </si>
  <si>
    <t xml:space="preserve"> focuses on characterizing additive manufacturing technologies.</t>
  </si>
  <si>
    <t>characterizing additive manufacturing technologies</t>
  </si>
  <si>
    <t>ROBERT BRAUN</t>
  </si>
  <si>
    <t>rbraun@mines.edu</t>
  </si>
  <si>
    <t>Dr. Braun has a multidisciplinary background in mechanical and chemical engineering, and his research focuses on energy systems modeling and analysis, techno-economic optimization, and numerical simulation of transport phenomena occurring within fuel cell and alternative energy systems.</t>
  </si>
  <si>
    <t>energy systems modeling , analysis, techno-economic optimization, numerical simulation of transport phenomena occurring within fuel cell , alternative energy systems</t>
  </si>
  <si>
    <t>CRISTIAN CIOBANU</t>
  </si>
  <si>
    <t>cciobanu@mines.edu</t>
  </si>
  <si>
    <t xml:space="preserve">His s are in nanoscale surface problems, two-dimensional materials, materials for renewable energy applications, developments of evolutionary algorithms for computational materials design and optimization of atomic structures, self-organized nano and bio structures on crystal surfaces, among others.
</t>
  </si>
  <si>
    <t xml:space="preserve">nanoscale surface problems, two-dimensional materials, materials for renewable energy applications, developments of evolutionary algorithms for computational materials design , optimization of atomic structures, self-organized nano , bio structures on crystal surfaces
</t>
  </si>
  <si>
    <t>KRISTINE CSAVINA</t>
  </si>
  <si>
    <t>kcsavina@mines.edu</t>
  </si>
  <si>
    <t>Her s include motion analysis of human motion in movement disorders, orthopedics and sports, human motion aided by wearable technologies, and engineering education research in student learning and pedagogical approaches.</t>
  </si>
  <si>
    <t>human motion in movement disorders, orthopedics , sports, human motion aided by wearable technologies, engineering education research in student learning , pedagogical approaches,</t>
  </si>
  <si>
    <t>STEVEN DECALUWE</t>
  </si>
  <si>
    <t>decaluwe@mines.edu</t>
  </si>
  <si>
    <t>Our research incorporates simultaneous consideration of reacting flows, electrochemistry, and surface science to understand and improve clean energy and clean water devices. More specifically, we combine operando measurements and numerical simulations to understand
The influence of conductive polymer microstructure and distribution in polymer electrolyte membrane (PEM) fuel cells
Degradation in Li-ion batteries via growth and evolution of the solid electrolyte interphase (SEI)
The impact of novel chemistries in advanced “beyond Li-ion” batteries, including lithium-sulfur, lithium-O2, and silicon anodes
Degradation due to mineral scaling in water desalination systems</t>
  </si>
  <si>
    <t>reacting flows, electrochemistry, surface science to underst, , improve clean energy , clean water devices, More specifically, we combine oper,o measurements , numerical simulations to underst</t>
  </si>
  <si>
    <t>MARK DEINERT</t>
  </si>
  <si>
    <t>mdeinert@mines.edu</t>
  </si>
  <si>
    <t xml:space="preserve">His research grouPuses tools from engineering analysis, thermodynamics, statistical physics and computation to understand problems how dynamics, non-equilibria and systems structure affect energy technologies </t>
  </si>
  <si>
    <t xml:space="preserve">engineering analysis, thermodynamics, statistical physics , computation to underst, problems how dynamics, non-equilibria , systems structure affect energy technologies </t>
  </si>
  <si>
    <t>BRIAN DONOVAN</t>
  </si>
  <si>
    <t>bdonovan@mines.edu</t>
  </si>
  <si>
    <t>His research there included using light to prepare functional and responsive films for advanced optical and mechanical applications.  Brian’s interest in developing applied polymer solutions led him to Carbon 3D — an additive manufacturing company located in the San Francisco Bay Area — as a Senior Research Scientist where he developed high-performance AM resins for use in automotive, padding, and dental applications. </t>
  </si>
  <si>
    <t>responsive films for advanced optical , mechanical applications,  Brian’s interest in developing applied polymer solutions led him to Carbon 3D</t>
  </si>
  <si>
    <t>$17,676 per year (in-state, full-time)</t>
  </si>
  <si>
    <t>ADAM DURAN</t>
  </si>
  <si>
    <t>aduran@mines.edu</t>
  </si>
  <si>
    <t>his s include automotive and aerospace systems, design and optimization, leadershiPand entrepreneurship, and renewable energy and cleantech.</t>
  </si>
  <si>
    <t>automotive , aerospace systems, design , optimization, leadershiP, entrepreneurship, renewable energy , cleantech</t>
  </si>
  <si>
    <t>VERONICA ELIASSON</t>
  </si>
  <si>
    <t>eliasson@mines.edu</t>
  </si>
  <si>
    <t>Dr. Eliasson’s s are multi-disciplinary and range from shock wave dynamics to fracture mechanics — all explored relying on a strong foundation of experimental mechanics coupled with different types of ultra high-speed photography techniques. Dr. Eliasson is passionate about promoting research experiences for diverse groups of high school students, undergraduate students and graduate students through participation in laboratory experiments.</t>
  </si>
  <si>
    <t>ultra high-speed photography techniques</t>
  </si>
  <si>
    <r>
      <rPr>
        <sz val="10"/>
        <color rgb="FF000000"/>
        <rFont val="Arial"/>
        <family val="2"/>
      </rPr>
      <t xml:space="preserve">Head - </t>
    </r>
    <r>
      <rPr>
        <u/>
        <sz val="10"/>
        <color rgb="FF000000"/>
        <rFont val="Arial"/>
        <family val="2"/>
      </rPr>
      <t>CARL FRICK</t>
    </r>
  </si>
  <si>
    <t>cfrick@mines.edu</t>
  </si>
  <si>
    <t>Carl’s research activities involve integration of materials science, bioengineering, and mechanical engineering to characterize new materials for use in emerging technologies. Current projects primarily focus on exploring the mechanical behavior of materials, with specific interests in metallic &amp; polymer biomaterials, shape memory materials, and nanometer-scale materials.</t>
  </si>
  <si>
    <t>materials science, bioengineering, mechanical engineering to characterize new materials for use in emerging technologies</t>
  </si>
  <si>
    <t>STEPHEN GEER</t>
  </si>
  <si>
    <t>sgeer@mines.edu</t>
  </si>
  <si>
    <t>JOY GOCKEL</t>
  </si>
  <si>
    <t>joygockel@mines.edu</t>
  </si>
  <si>
    <t>Dr. Gockel’s research explains the fundamental processing-structure-properties-performance (PSPP) relationshiPto support qualification and certification in AM as well as the development of next-generation AM processes and materials.</t>
  </si>
  <si>
    <t>Dr, Gockel’s research explains the fundamental processing-structure-properties-performance (PSPP) relationshiPto support qualification , certification in AM as well as the development of next-generation AM processes , materials</t>
  </si>
  <si>
    <t>ANKIT GUPTA</t>
  </si>
  <si>
    <t>ankitgupta@mines.edu</t>
  </si>
  <si>
    <t>Investigating Mechanistic Origins of Maximum Strength in Nanocrystalline Metals
Decoupling Effects of Nanoscale Microstructure and Geometry on the Mechanics of Nanoporous Platinum
Grain Boundary Specific Solute Segregation and its Effect on Nanocrystalline Stability
Multi Scale Modeling of Mechanics of Single Wall Carbon Nanotube Aerogels</t>
  </si>
  <si>
    <t>Investigating Mechanistic Origins of Maximum Strength in Nanocrystalline Metals,
Decoupling Effects of Nanoscale Microstructure , Geometry on the Mechanics of Nanoporous Platinum,
Grain Boundary Specific Solute Segregation , its Effect on Nanocrystalline Stability,
Multi Scale Modeling of Mechanics of Single Wall Carbon Nanotube Aerogels</t>
  </si>
  <si>
    <t>CAROLINA HERRADÓN HERNANDEZ</t>
  </si>
  <si>
    <t>cherradon@mines.edu</t>
  </si>
  <si>
    <t>During this time, her research has been focused in the development of a thermally integrated, reversible protonic-ceramic fuel cell/electrolyzer system that operates at high pressure. In energy-storage mode, the system will generate NH3 from nitrogen and water to enable near-lossless storage of electricity. In fuel-cell mode, the system will directly convert NH3 and air into electricity. The work is supported by the U.S. Department of Energy, Advanced RProjects Agency – Energy (DOE ARPA-E).</t>
  </si>
  <si>
    <t>energy-storage mode, the system will generate NH3 from nitrogen , water to enable near-lossless storage of electricity, In fuel-cell mode, the system will directly convert NH3 , air into electricity</t>
  </si>
  <si>
    <t>OWEN HILDRETH</t>
  </si>
  <si>
    <t>ohildreth@mines.edu</t>
  </si>
  <si>
    <t>His current  focus on additive manufacturing (nm to cm scales), mass transport, reaction kinetics, and interface design in reactive inks for stretchable electronics, photovoltaics, and microfluidic devices, sensitization kinetics, microstructure evolution, dilution, and corrosion of metals fabricated using Powder Bed Fusion (PBF) and Directed Energy Deposition (DED) technologies.</t>
  </si>
  <si>
    <t>additive manufacturing (nm to cm scales), mass transport, reaction kinetics, interface design in reactive inks for stretchable electronics, photovoltaics, microfluidic devices, sensitization kinetics, microstructure evolution, dilution, corrosion of metals fabricated</t>
  </si>
  <si>
    <t>GARRISON HOMMER</t>
  </si>
  <si>
    <t>ghommer@mines.edu</t>
  </si>
  <si>
    <t>His research broadly involves mechanical testing of traditional and additive alloys, including hydrogen embrittlement, high and low temperature, fatigue, and digital image correlation (DIC).</t>
  </si>
  <si>
    <t xml:space="preserve"> mechanical testing of traditional , additive alloys, including hydrogen embrittlement, high , low temperature, fatigue, digital image correlation (DIC)</t>
  </si>
  <si>
    <t>GREG JACKSON</t>
  </si>
  <si>
    <t>gsjackso@mines.edu</t>
  </si>
  <si>
    <t>At Mines, Dr. Jackson’s research grouPfocuses on concentrated solar energy, high-temperature energy storage, and solid-oxide electrochemical systems. Dr. Jackson has led several research efforts on both reactive and inert oxide particles for high-temperature energy storage for concentrating solar power applications.</t>
  </si>
  <si>
    <t>solar energy, high-temperature energy storage, solid-oxide electrochemical systems</t>
  </si>
  <si>
    <t>MATHEW JOHNSON</t>
  </si>
  <si>
    <t>matt.johnson@mines.edu</t>
  </si>
  <si>
    <t xml:space="preserve">P Johnson comes to Mines with 12 years of industry experience in product design and development, tooling and fixture design and fabrication, Lean Manufacturing &amp; Certified Six Sigma Green Belt, and quality control and inspection.
</t>
  </si>
  <si>
    <t>product design , development, tooling , fixture design , fabrication, Lean Manufacturing &amp; Certified Six Sigma Green Belt, quality control , inspection</t>
  </si>
  <si>
    <t>VENTZI KARAIVANOV</t>
  </si>
  <si>
    <t>vkaraiva@mines.edu</t>
  </si>
  <si>
    <t>His recent RProjects include life prediction modeling of thermal barrier coated turbine airfoils, developing custom finite element analysis routines, and corneal biomechanics.</t>
  </si>
  <si>
    <t>life prediction modeling of thermal barrier coated turbine airfoils, developing custom finite element analysis routines, corneal biomechanics,</t>
  </si>
  <si>
    <t>ROBERT KEE</t>
  </si>
  <si>
    <t>rjkee@mines.edu</t>
  </si>
  <si>
    <t>Dr. Kee’s sponsored research efforts are primarily in the modeling and simulation of thermal and chemically reacting flow processes, with applications to combustion, electrochemistry, and materials manufacturing. His fuel-cell research concentrates on elementary chemistry and electrochemistry formulations and their coupling with reactive fluid flow. Primary applications are to solid-oxide fuel cells operating on hydrocarbon fuels. His combustion research emphasizes the use of elementary chemical kinetics to understand fundamental flame structure.</t>
  </si>
  <si>
    <t>modeling , simulation of thermal , chemically reacting flow processes, with applications to combustion, electrochemistry, materials manufacturing</t>
  </si>
  <si>
    <t>KATIE KNAUS</t>
  </si>
  <si>
    <t>katherine.knaus@mines.edu</t>
  </si>
  <si>
    <t>Multiscale mechanical interactions of muscle and tendon
Finite element modeling of 3D muscle and connective tissue structures
Relationships between mobility performance and musculoskeletal properties that vary with age, sex, exercise, and injury</t>
  </si>
  <si>
    <t>Multiscale mechanical interactions of muscle , tendon,
Finite element modeling of 3D muscle , connective tissue structures,
Relationships between mobility performance , musculoskeletal properties that vary with age, sex, exercise, injury</t>
  </si>
  <si>
    <t xml:space="preserve">GEORGE KONTOUDIS </t>
  </si>
  <si>
    <t>george.kontoudis@mines.edu</t>
  </si>
  <si>
    <t>Motion Planning, Active Learning, and Autonomy (MPALA) Lab.</t>
  </si>
  <si>
    <t>Motion Planning, Active Learning, Autonomy (MPALA) Lab</t>
  </si>
  <si>
    <t>LESLIE LAMBERSON</t>
  </si>
  <si>
    <t>les@mines.edu</t>
  </si>
  <si>
    <t>Mechanics of materials under extreme conditions
Impact physics
Dynamic fracture
Full-field metrology techniques</t>
  </si>
  <si>
    <t>Mechanics of materials under extreme conditions,
Impact physics,
Dynamic fracture,
Full-field metrology techniques</t>
  </si>
  <si>
    <t>AASHUTOSH MISTRY</t>
  </si>
  <si>
    <t>aashutosh.mistry@mines.edu</t>
  </si>
  <si>
    <t>nonequilibrium material behavior to engineer systems for energy generation, storage, and conversion. Relevant nonequilibrium interactions are reactions, species transport, charge transfer, phase change, fluid flow, and heat exchange.</t>
  </si>
  <si>
    <t>nonequilibrium material behavior to engineer systems for energy generation, storage, conversion, Relevant nonequilibrium interactions are reactions, species transport, charge transfer, phase change, fluid flow, heat exchange,</t>
  </si>
  <si>
    <t>GARY NAVE</t>
  </si>
  <si>
    <t>garynave@mines.edu</t>
  </si>
  <si>
    <t>These research experiences have included a variety of interesting interdisciplinary problems and experiences, studying topics including flying snakes, honeybees, and chronic pain in sickle cell disease, with a variety of computational, theoretical, and experimental approaches.</t>
  </si>
  <si>
    <t>These research experiences have included a variety of interesting interdisciplinary problems , experiences, studying topics including flying snakes, honeybees, chronic pain in sickle cell disease, with a variety of computational, theoretical, experimental approaches,</t>
  </si>
  <si>
    <t>ALEXANDRA NEWMAN</t>
  </si>
  <si>
    <t>anewman@mines.edu</t>
  </si>
  <si>
    <t>Transportation logistics
Mine production scheduling
Energy policy and building design
Military applications
Athletics scheduling</t>
  </si>
  <si>
    <t>Transportation logistics,
Mine production scheduling,
Energy policy , building design,
Military applications,
Athletics scheduling</t>
  </si>
  <si>
    <t>OYVIND NILSEN</t>
  </si>
  <si>
    <t>onilsen@mines.edu</t>
  </si>
  <si>
    <t>His research experience includes mechanics of materials, optics, sensors, physical modelling and MEMS and microfluidics.</t>
  </si>
  <si>
    <t>mechanics of materials, optics, sensors, physical modelling , MEMS , microfluidics</t>
  </si>
  <si>
    <t>ANDREW OSBORNE</t>
  </si>
  <si>
    <t>osbornea@mines.edu</t>
  </si>
  <si>
    <t>His work centers on the application of high performance computing and reactor theory to model coupled multiphysics phenomena in a broad variety of nuclear reactor systems.  Andy’s s also include hybrid energy systems, numerical methods and software engineering.</t>
  </si>
  <si>
    <t>high performance computing , reactor theory to model coupled multiphysics phenomena in a broad variety of nuclear reactor systems,y’s s also include hybrid energy systems, numerical methods , software engineering</t>
  </si>
  <si>
    <t>ANTHONY PETRELLA</t>
  </si>
  <si>
    <t>apetrell@mines.edu</t>
  </si>
  <si>
    <t>Areas of  include computational and also experimental study of the musculoskeletal system. Specific areas of focus include spine, hip, and knee mechanics.</t>
  </si>
  <si>
    <t>the musculoskeletal system</t>
  </si>
  <si>
    <t>ANDREW PETRUSKA</t>
  </si>
  <si>
    <t>apetruska@mines.edu</t>
  </si>
  <si>
    <t>Complex system modeling and design
Dynamics and control
Advanced magnetic manipulation</t>
  </si>
  <si>
    <t>Complex system modeling , design
Dynamics , control,
Advanced magnetic manipulation</t>
  </si>
  <si>
    <t>JASON PORTER</t>
  </si>
  <si>
    <t>jporter@mines.edu</t>
  </si>
  <si>
    <t>Infrared operando measurements of electrolyte performance in rechargeable batteries
Real-time optical diagnostics for manufacturing electrochemical devices
Measuring and modeling heat transfer in fiber blanket insulation
Laser-based imaging of diesel spray atomization</t>
  </si>
  <si>
    <t>measurements of electrolyte performance in rechargeable batteries,
Real-time optical diagnostics for manufacturing electrochemical devices,
Measuring , modeling heat transfer in fiber blanket insulation,
Laser-based imaging of diesel spray atomization</t>
  </si>
  <si>
    <t>KELLY RICKEY</t>
  </si>
  <si>
    <t>krickey@mines.edu</t>
  </si>
  <si>
    <t>SANDRINE RICOTE</t>
  </si>
  <si>
    <t>sricote@mines.edu</t>
  </si>
  <si>
    <t>France for her research on the characterization of high-temperature proton-conducting ceramic materials (BaCe0.9-xZrxY0.1O2.95) for use as electrolytes in Protonic Ceramic Fuel Cells (PCFCs).</t>
  </si>
  <si>
    <t>high-temperature proton-conducting ceramic materials</t>
  </si>
  <si>
    <t>POLINA B. RINGLER</t>
  </si>
  <si>
    <t>pbringler@mines.edu</t>
  </si>
  <si>
    <t>Her research is in modeling and characterizing the behavior of Li-ion batteries due to fast charging conditions for automotive applications using techniques in electrochemistry and system modeling.</t>
  </si>
  <si>
    <t xml:space="preserve"> characterizing the behavior of Li-ion batteries due to fast charging conditions for automotive applications, electrochemistry , system modeling,</t>
  </si>
  <si>
    <t>DERRICK RODRIGUEZ</t>
  </si>
  <si>
    <t>drrodrig@mines.edu</t>
  </si>
  <si>
    <t>ANNE SILVERMAN</t>
  </si>
  <si>
    <t>asilverm@mines.edu</t>
  </si>
  <si>
    <t>Dr. Silverman’s RProgram centers on understanding musculoskeletal biomechanics and movement coordination to develoPeffective training interventions, prevent injury, and improve mobility</t>
  </si>
  <si>
    <t>musculoskeletal biomechanics ,training interventions, prevent injury, improve mobility</t>
  </si>
  <si>
    <t>NEAL SULLIVAN</t>
  </si>
  <si>
    <t>nsulliva@mines.edu</t>
  </si>
  <si>
    <t>Primary Investigator, “CO2-to-Fuels Through Novel Electrochemical Catalysis,” U.S. Department of Energy, Office of Fossil Energy, National Energy Technology Laboratory, Award DE-FE0031716, January 2019 – December 2020, $800k.
Primary Investigator, “Proton-Conducting Ceramic Electrolyzers for High-Temperature Water Splitting,” U.S. Department of Energy, Office of Energy Efficiency and Renewable Energy, Fuel Cell Technologies Office, Award DE-EE0008376, subcontract to FuelCell Energy, October 2018 – September 2020, $500k.
Co-Primary Investigator, “High Efficiency, Low Cost &amp; Robust Hybrid SOFC/IC Engine Power Generator,” U.S. Department of Energy, Advanced RProjects Agency – Energy, Award DE-AR0000954, June 2018 – May 2020, $3.0M.
Primary Investigator, “Protonic Ceramics for Energy Storage and Electricity Generation with Ammonia,” U.S. Department of Energy, Advanced RProjects Agency – Energy, Award DE-AR0000808, subcontractor to FuelCell Energy, May 2017 – April 2020, $4.0M.
Primary Investigator, “Mars in-situ resource utilization to produce methane propellant using a proton-conducting ceramic membrane for assisted CO2 methanation and H2O electrolysis,” National Aeronautics and Space Administration, Award 80NSSC17K0141, August 2017 – July 2019, $140,000.
Primary Investigator, “Advanced Fuel Cells for High-Efficiency Distributed Energy,” State of Colorado, Office of Economic Development and International Trade, Award CTGG1 2016-1890, January 2016 – December 2017, $200,000.
Co-Primary Investigator, “Fuel Cell Stacks Based On Proton-Conducting Ceramic Materials,” U.S. Department of Energy, Advanced RProjects Agency – Energy, Award DE-AR0000493, October 2014 – September 2020, $5.0M.
Primary Investigator, “Geothermic Fuel Cells for In-Situ Oil Shale Processing,” Independent Energy Partners, Inc., Parker, Colorado, USA, October 2012 – December 2014, $1.5M.</t>
  </si>
  <si>
    <t>CO2-to-Fuels Through Novel Electrochemical Catalysis,
Proton-Conducting Ceramic Electrolyzers for High-Temperature Water Splitting,
High Efficiency, Low Cost &amp; Robust Hybrid SOFC/IC Engine Power Generator,
Protonic Ceramics for Energy Storage , Electricity Generation with Ammonia</t>
  </si>
  <si>
    <t>PAULO CESAR TABARES-VELASCO</t>
  </si>
  <si>
    <t>tabares@mines.edu</t>
  </si>
  <si>
    <t>Building energy simulation
Thermal storage
Green roofs
Heat transfer applied to buildings
Building integration with the smart grid</t>
  </si>
  <si>
    <t>Building energy simulation,
Thermal storage,
Green roofs,
Heat transfer applied to buildings,
Building integration with the smart grid</t>
  </si>
  <si>
    <t>BRIAN THOMAS</t>
  </si>
  <si>
    <t>bgthomas@mines.edu</t>
  </si>
  <si>
    <t>His research is primarily in the field of metals processing and focuses on the computational modeling of the continuous casting of steel and related processes.</t>
  </si>
  <si>
    <t>metals processing , focuses on the computational modeling of the continuous casting of steel , related processes</t>
  </si>
  <si>
    <t>NILS TILTON</t>
  </si>
  <si>
    <t>ntilton@mines.edu</t>
  </si>
  <si>
    <t xml:space="preserve">His research focuses on developing accurate analytical and numerical models of membrane filtration, carbon dioxide sequestration, and flow control for drag reduction. </t>
  </si>
  <si>
    <t xml:space="preserve">accurate analytical , numerical models of membrane filtration, carbon dioxide sequestration, flow control for drag reduction, </t>
  </si>
  <si>
    <t>GARRITT TUCKER</t>
  </si>
  <si>
    <t>tucker@mines.edu</t>
  </si>
  <si>
    <t xml:space="preserve">His research grouPat Mines integrates high-performance computing and theory to discover the fundamental structure-property relationships of materials that will enable the predictive design of advanced materials with tunable properties. Of particular interest are materials where defects and interfacial-driven properties can be effectively tuned or controlled to enable property enhancement, such as nanocrystalline alloys, multicomponent laminates, materials for energy storage, 2D materials, and hierarchical metals. At the core of his group’s approach is to develoPcollaborations and programs that effectively mesh computation with experiment to tailor functional materials.
</t>
  </si>
  <si>
    <t xml:space="preserve">Mines integrates high-performance computing , theory to discover the fundamental structure-property relationships of materials that will enable the predictive design of advanced materials with tunable properties
</t>
  </si>
  <si>
    <t>JEFFREY WHEELER</t>
  </si>
  <si>
    <t>jewheele@mines.edu</t>
  </si>
  <si>
    <t>His research focused on applying optical measurement techniques to study liquid electrolytes.  After graduation, Dr. Wheeler worked with the Colorado-based startuPVartega Inc. Vartega recycles carbon fiber manufacturing scraPthrough a novel chemistry-based process.  Dr. Wheeler used his diagnostic expertise to determine the quality of reclaimed carbon fiber and develoPprocess improvements for Vartega.</t>
  </si>
  <si>
    <t xml:space="preserve"> optical measurement techniques to study liquid electrolytes</t>
  </si>
  <si>
    <t>JIM WONG</t>
  </si>
  <si>
    <t>jwong@mines.edu</t>
  </si>
  <si>
    <t>research include industry/academic collaborations addressing simulation of weld and casting solidification, ultra-high cycle fatigue testing, and measuring thermo-mechanical properties of iron.</t>
  </si>
  <si>
    <t>industry/academic collaborations addressing simulation of weld , casting solidification, ultra-high cycle fatigue testing, measuring thermo-mechanical properties of iron</t>
  </si>
  <si>
    <t>RUICHONG ‘RAY’ ZHANG</t>
  </si>
  <si>
    <t>rzhang@mines.edu</t>
  </si>
  <si>
    <t xml:space="preserve">Dr. Zhang’s  resides in continuum mechanics, vibration theory, wave propagation, stochastic processes and fields, and advanced data processing and analysis for sensory systems, disaster assessment and mitigation, and structural/geotechnical nondestructive evaluation and health monitoring. </t>
  </si>
  <si>
    <t>continuum mechanics, vibration theory, wave propagation, stochastic processes , fields, advanced data processing , analysis for sensory systems, disaster assessment , mitigation, structural/geotechnical nondestructive evaluation , health monitoring</t>
  </si>
  <si>
    <t>XIAOLI ZHANG</t>
  </si>
  <si>
    <t>xlzhang@mines.edu</t>
  </si>
  <si>
    <t>Smart human-machine/robot interaction and cooperation, shared autonomy
Artificial-intelligence-powered automation and acceleration of engineering process optimization and science discovery, adaptive design of experiments
Efficient and robust machine learning for robots and autonomous systems</t>
  </si>
  <si>
    <t>Smart human-machine/robot interaction , cooperation, shared autonomy,
Artificial-intelligence-powered automation , acceleration of engineering process optimization , science discovery, adaptive design of experiments,
Efficient , robust machine learning for robots , autonomous systems</t>
  </si>
  <si>
    <t>HUAYANG ZHU</t>
  </si>
  <si>
    <t>hzhu@mines.edu</t>
  </si>
  <si>
    <t>Dr. Zhu is currently working primarily on modeling chemically and electrochemically reacting fluid flow for fuel cells and batteries. Dr. Zhu received his PhD in Mechanical Engineering from University of Maryland-College Park, BS in Mechanics and MS in Fluid Mechanics from Peking University, China.</t>
  </si>
  <si>
    <t>modeling chemically , electrochemically reacting fluid flow for fuel cells , batteries</t>
  </si>
  <si>
    <t>Rutgers University--New Brunswick</t>
  </si>
  <si>
    <t>Prosenjit Bagchi</t>
  </si>
  <si>
    <t>pbagchi@soe.rutgers.edu</t>
  </si>
  <si>
    <t>Research Computational fluid dynamics</t>
  </si>
  <si>
    <t>Computational fluid dynamics</t>
  </si>
  <si>
    <t>Xiaoli Bai</t>
  </si>
  <si>
    <t>xiaoli.bai@rutgers.edu</t>
  </si>
  <si>
    <t>Research Modeling, control, and analysis of next generation air transportation system, Space situation...</t>
  </si>
  <si>
    <t>Modeling, control, analysis of next generation air transportation system, Space situation,,,</t>
  </si>
  <si>
    <t>Haim Baruh</t>
  </si>
  <si>
    <t>baruh@rutgers.edu</t>
  </si>
  <si>
    <t>Research Structural dynamics and control systems.</t>
  </si>
  <si>
    <t>Structural dynamics , control systems,</t>
  </si>
  <si>
    <t>Haym Benaroya</t>
  </si>
  <si>
    <t>benaroya@soe.rutgers.edu</t>
  </si>
  <si>
    <t>Research Dynamics and vibration including probabilistic modeling, with applications to structures in extreme...</t>
  </si>
  <si>
    <t>Dynamics , vibration including probabilistic modeling, with applications to structures in extreme,,,</t>
  </si>
  <si>
    <t>#62 - Best Engineering Schools</t>
  </si>
  <si>
    <t>Steven Berg</t>
  </si>
  <si>
    <t>steven.berg@rutgers.edu</t>
  </si>
  <si>
    <t>Research: Spacecraft and rocket propulsion, propellants and energetics, spacecraft environments</t>
  </si>
  <si>
    <t>Spacecraft , rocket propulsion, propellants , energetics, spacecraft environments</t>
  </si>
  <si>
    <t>Onur Bilgen</t>
  </si>
  <si>
    <t>o.bilgen@rutgers.edu</t>
  </si>
  <si>
    <t>Research Smart-Material based Multi-Physics Systems, Piezoelectric Materials, Shape-Memory Alloys, Multi-...</t>
  </si>
  <si>
    <t>Smart-Material based Multi-Physics Systems, Piezoelectric Materials, Shape-Memory Alloys, Multi-,,,</t>
  </si>
  <si>
    <t>William J. Bottega</t>
  </si>
  <si>
    <t>bottega@soe.rutgers.edu</t>
  </si>
  <si>
    <t>Research Composite structures, dynamics and stability of solids and structures, delamination mechanics, and...</t>
  </si>
  <si>
    <t>Composite structures, dynamics , stability of solids , structures, delamination mechanics,,,,</t>
  </si>
  <si>
    <t>Laurent Burlion</t>
  </si>
  <si>
    <t>laurent.burlion@rutgers.edu</t>
  </si>
  <si>
    <t>Research Nonlinear control systems, safe control of UAVs, spacecraft attitude control, flight control and...</t>
  </si>
  <si>
    <t>Nonlinear control systems, safe control of UAVs, spacecraft attitude control, flight control ,,,,</t>
  </si>
  <si>
    <t>Gerardo Callegari</t>
  </si>
  <si>
    <t>g.callegari@rutgers.edu</t>
  </si>
  <si>
    <t>RPharmaceutical Manufacturing, Fluid Mechanics, Mass Transport</t>
  </si>
  <si>
    <t>Pharmaceutical Manufacturing, Fluid Mechanics, Mass Transport</t>
  </si>
  <si>
    <t>Kimberly Cook-Chennault</t>
  </si>
  <si>
    <t>cookchen@soe.rutgers.edu</t>
  </si>
  <si>
    <t>Research Composite materials processing and characterization, and engineering education</t>
  </si>
  <si>
    <t>Composite materials processing , characterization, engineering education</t>
  </si>
  <si>
    <t>Edward DeMauro</t>
  </si>
  <si>
    <t>edward.demauro@rutgers.edu</t>
  </si>
  <si>
    <t>s Fluid dynamics, aerodynamics, compressible flow Our grouPuses the Emil Buehler...</t>
  </si>
  <si>
    <t>Fluid dynamics, aerodynamics, compressible flow</t>
  </si>
  <si>
    <t>Mitsunori (Mitch) Denda</t>
  </si>
  <si>
    <t>denda@rutgers.edu</t>
  </si>
  <si>
    <t>Research Aerial micro vehicles based on the flight study of flapping insects.</t>
  </si>
  <si>
    <t>Aerial micro vehicles based on the flight study of flapping insects,</t>
  </si>
  <si>
    <t>$18,696 per year (in-state, full-time)</t>
  </si>
  <si>
    <t>F. Javier Diez-Garias</t>
  </si>
  <si>
    <t>f.javier.diez@rutgers.edu</t>
  </si>
  <si>
    <t>Research Experimental thermal and fluid sciences, fire safety, sprays, microfluidics, flow diagnostics,...</t>
  </si>
  <si>
    <t>Experimental thermal , fluid sciences, fire safety, sprays, microfluidics, flow diagnostics,,,,</t>
  </si>
  <si>
    <t>German Drazer</t>
  </si>
  <si>
    <t>german.drazer@rutgers.edu</t>
  </si>
  <si>
    <t>Research Transport phenomena, Fluid mechanics, and statistical physics, stochastic processes to investigate...</t>
  </si>
  <si>
    <t>Transport phenomena, Fluid mechanics, statistical physics, stochastic processes to investigate,,,</t>
  </si>
  <si>
    <t>Hae Chang Gea</t>
  </si>
  <si>
    <t>gea@soe.rutgers.edu</t>
  </si>
  <si>
    <t>Research Design and structural optimization and finite element methods.</t>
  </si>
  <si>
    <t>Design , structural optimization , finite element methods,</t>
  </si>
  <si>
    <t>Xi Gu</t>
  </si>
  <si>
    <t>xi.gu@rutgers.edu</t>
  </si>
  <si>
    <t>Research Engineering education, reconfigurable manufacturing systems, modeling and operations of complex...</t>
  </si>
  <si>
    <t>Engineering education, reconfigurable manufacturing systems, modeling , operations of complex,,,</t>
  </si>
  <si>
    <t>Yuebin Guo</t>
  </si>
  <si>
    <t>yuebin.guo@rutgers.edu</t>
  </si>
  <si>
    <t>Research Manufacturing processes, AI manufacturing, Physics-informed learning, Digital twin, Surface...</t>
  </si>
  <si>
    <t>Manufacturing processes, AI manufacturing, Physics-informed learning, Digital twin, Surface,,,</t>
  </si>
  <si>
    <t>Zhixiong (James) Guo</t>
  </si>
  <si>
    <t>zguo@rutgers.edu</t>
  </si>
  <si>
    <t>Research Laser-matter interactions and applications in biomedicine and material processing, thermal...</t>
  </si>
  <si>
    <t>Laser-matter interactions , applications in biomedicine , material processing, thermal,,,</t>
  </si>
  <si>
    <t>Yogesh Jaluria</t>
  </si>
  <si>
    <t>jaluria@rutgers.edu</t>
  </si>
  <si>
    <t>Research Convection, computational heat transfer, materials processing, thermal systems, and environmental...</t>
  </si>
  <si>
    <t>Convection, computational heat transfer, materials processing, thermal systems, environmental,,,</t>
  </si>
  <si>
    <t>Doyle D. Knight</t>
  </si>
  <si>
    <t>ddknight@rutgers.edu</t>
  </si>
  <si>
    <t>Research Computational fluid dynamics, control and flight characteristics of high speed vehicles.</t>
  </si>
  <si>
    <t>Computational fluid dynamics, control , flight characteristics of high speed vehicles,</t>
  </si>
  <si>
    <t>Noshir A. Langrana</t>
  </si>
  <si>
    <t>langrana@rutgers.edu</t>
  </si>
  <si>
    <t>Research Biomechanics and tissue engineering.</t>
  </si>
  <si>
    <t>Biomechanics , tissue engineering,</t>
  </si>
  <si>
    <t>Hao Lin</t>
  </si>
  <si>
    <t>hlin@soe.rutgers.edu</t>
  </si>
  <si>
    <t>Research Fluid mechanics, mechanics of soft matter vesicles, cells, and tissue, electrokinetics and...</t>
  </si>
  <si>
    <t>Fluid mechanics, mechanics of soft matter vesicles, cells, tissue, electrokinetics ,,,,</t>
  </si>
  <si>
    <t>Liping Liu</t>
  </si>
  <si>
    <t>liu.liping@rutgers.edu</t>
  </si>
  <si>
    <t>Research Mechanics and mathematics of materials.</t>
  </si>
  <si>
    <t>Mechanics , mathematics of materials,</t>
  </si>
  <si>
    <t>Jennifer Lynch</t>
  </si>
  <si>
    <t>jklynch@soe.rutgers.edu</t>
  </si>
  <si>
    <t>Research Development of innovative graphene-enhanced polymer matrix nanocomposites, fundamentals to...</t>
  </si>
  <si>
    <t>Development of innovative graphene-enhanced polymer matrix nanocomposites, fundamentals to,,,</t>
  </si>
  <si>
    <t>Rajiv Malhotra</t>
  </si>
  <si>
    <t>rajiv.malhotra@rutgers.edu</t>
  </si>
  <si>
    <t>Research Multi-physical Modeling of Manufacturing Processes, Scalable Additive Manufacturing, Intense Pulsed...</t>
  </si>
  <si>
    <t>Multi-physical Modeling of Manufacturing Processes, Scalable Additive Manufacturing, Intense Pulsed,,,</t>
  </si>
  <si>
    <t>Aaron Mazzeo</t>
  </si>
  <si>
    <t>aaron.mazzeo@rutgers.edu</t>
  </si>
  <si>
    <t>Research Advanced manufacturing, soft materials, flexible electronics, design, and mechatronics. Current...</t>
  </si>
  <si>
    <t>Advanced manufacturing, soft materials, flexible electronics, design, mechatronics, Current,,,</t>
  </si>
  <si>
    <t>Michael R. Muller</t>
  </si>
  <si>
    <t>mullerm@rutgers.edu</t>
  </si>
  <si>
    <t>Research Energy system design, renewable energy, and power engineering.</t>
  </si>
  <si>
    <t>Energy system design, renewable energy, power engineering,</t>
  </si>
  <si>
    <t>Andrew Norris</t>
  </si>
  <si>
    <t>norris@rutgers.edu</t>
  </si>
  <si>
    <t>Research Developing fundamental mechanical models for metamaterials that exhibit extraordinary wave bearing...</t>
  </si>
  <si>
    <t>Developing fundamental mechanical models for metamaterials that exhibit extraordinary wave bearing,,,</t>
  </si>
  <si>
    <r>
      <rPr>
        <sz val="10"/>
        <color rgb="FF000000"/>
        <rFont val="Arial"/>
        <family val="2"/>
      </rPr>
      <t xml:space="preserve">Chair - </t>
    </r>
    <r>
      <rPr>
        <u/>
        <sz val="10"/>
        <color rgb="FF000000"/>
        <rFont val="Arial"/>
        <family val="2"/>
      </rPr>
      <t>Assimina A. Pelegri</t>
    </r>
  </si>
  <si>
    <t>pelegri@rutgers.edu</t>
  </si>
  <si>
    <t>Research Experimental mechanics, smart structures, fracture mechanics, tissue characterization and modeling.</t>
  </si>
  <si>
    <t>Experimental mechanics, smart structures, fracture mechanics, tissue characterization , modeling,</t>
  </si>
  <si>
    <t>Amin Reihani</t>
  </si>
  <si>
    <t>amin.reihani@rutgers.edu</t>
  </si>
  <si>
    <t>Research Micro and nanoscale transport phenomena in energy systems, electronics, and photonic devices.</t>
  </si>
  <si>
    <t>Micro , nanoscale transport phenomena in energy systems, electronics, photonic devices,</t>
  </si>
  <si>
    <t>Annalisa Scacchioli</t>
  </si>
  <si>
    <t>as2671@soe.rutgers.edu</t>
  </si>
  <si>
    <t>Research Control and dynamical systems, student success in engineering, mechatronic systems with emphasis on...</t>
  </si>
  <si>
    <t>Control , dynamical systems, student success in engineering, mechatronic systems with emphasis on,,,</t>
  </si>
  <si>
    <t>Jerry Shan</t>
  </si>
  <si>
    <t>jshan@rutgers.edu</t>
  </si>
  <si>
    <t>Research Experimental fluid mechanics, microstructured suspensions, fluid thermophysics, micro-/nano-...</t>
  </si>
  <si>
    <t>Experimental fluid mechanics, microstructured suspensions, fluid thermophysics, micro-/nano-,,,</t>
  </si>
  <si>
    <t>Jonathan P. Singer</t>
  </si>
  <si>
    <t>jonathan.singer@rutgers.edu</t>
  </si>
  <si>
    <t>Research The generation of hierarchically structured materials via scalable micro/nanomanufacturing...</t>
  </si>
  <si>
    <t>The generation of hierarchically structured materials via scalable micro/nanomanufacturing,,,</t>
  </si>
  <si>
    <t>Stephen D. Tse</t>
  </si>
  <si>
    <t>sdytse@rutgers.edu</t>
  </si>
  <si>
    <t>Research Microgravity combustion, gas-phase synthesis of nanomaterials.</t>
  </si>
  <si>
    <t>Microgravity combustion, gas-phase synthesis of nanomaterials,</t>
  </si>
  <si>
    <t>Nikolaos Napoleon Vlassis</t>
  </si>
  <si>
    <t>nick.vlassis@rutgers.edu</t>
  </si>
  <si>
    <t>Research: Computational mechanics, interpretable geometric deep learning for multiscale material modeling</t>
  </si>
  <si>
    <t>Computational mechanics, interpretable geometric deep learning for multiscale material modeling</t>
  </si>
  <si>
    <t>George Weng</t>
  </si>
  <si>
    <t>gjweng@rutgers.edu</t>
  </si>
  <si>
    <t>Research Micro and nano mechanics, phase transition, ferroelectric crystals and nano-thin films,...</t>
  </si>
  <si>
    <t>Micro , nano mechanics, phase transition, ferroelectric crystals , nano-thin films,,,,</t>
  </si>
  <si>
    <t>Jingang Yi</t>
  </si>
  <si>
    <t>jgyi@rutgers.edu</t>
  </si>
  <si>
    <t>Research Autonomous vehicle and robotic systems, physical human/robot interactions, mechatronics, automation...</t>
  </si>
  <si>
    <t>Autonomous vehicle , robotic systems, physical human/robot interactions, mechatronics, automation,,,</t>
  </si>
  <si>
    <t>Qingze Zou</t>
  </si>
  <si>
    <t>qzzou@rutgers.edu</t>
  </si>
  <si>
    <t>RPrecision positioning, inversion-based control theory, scanning probe microscopy, nanofabrication.</t>
  </si>
  <si>
    <t>positioning, inversion-based control theory, scanning probe microscopy, nanofabrication,</t>
  </si>
  <si>
    <t>University of Delaware</t>
  </si>
  <si>
    <r>
      <rPr>
        <u/>
        <sz val="10"/>
        <color rgb="FF000000"/>
        <rFont val="Arial"/>
        <family val="2"/>
      </rPr>
      <t>SURESH G ADVANI</t>
    </r>
    <r>
      <rPr>
        <sz val="10"/>
        <color rgb="FF000000"/>
        <rFont val="Arial"/>
        <family val="2"/>
      </rPr>
      <t xml:space="preserve">
</t>
    </r>
  </si>
  <si>
    <t>advani@udel.edu</t>
  </si>
  <si>
    <t>Clean Energy &amp; Environment
Composites &amp; Advanced Materials</t>
  </si>
  <si>
    <t>Clean Energy, Environment,Composites, Advanced Materials</t>
  </si>
  <si>
    <t>CHRISTINA ARCHER</t>
  </si>
  <si>
    <t>carcher@udel.edu</t>
  </si>
  <si>
    <t xml:space="preserve">Clean Energy &amp; Environment
</t>
  </si>
  <si>
    <t>Clean Energy, Environment</t>
  </si>
  <si>
    <t>PANAGIOTIS ARTEMIADIS</t>
  </si>
  <si>
    <t>partem@udel.edu</t>
  </si>
  <si>
    <t xml:space="preserve">Robotics &amp; Controls
</t>
  </si>
  <si>
    <t>Robotics, Controls</t>
  </si>
  <si>
    <t>YIN BAO</t>
  </si>
  <si>
    <t>yinbao@udel.edu</t>
  </si>
  <si>
    <t>Robotics and Controls</t>
  </si>
  <si>
    <t>Robotics , Controls</t>
  </si>
  <si>
    <t>THOMAS S BUCHANAN</t>
  </si>
  <si>
    <t>buchanan@udel.edu</t>
  </si>
  <si>
    <t xml:space="preserve">Biomechanical Engineering
</t>
  </si>
  <si>
    <t>Biomechanical Engineering</t>
  </si>
  <si>
    <t>JENNI BUCKLEY</t>
  </si>
  <si>
    <t>jbuckley@udel.edu</t>
  </si>
  <si>
    <r>
      <rPr>
        <u/>
        <sz val="10"/>
        <color rgb="FF000000"/>
        <rFont val="Arial"/>
        <family val="2"/>
      </rPr>
      <t>DAVID L BURRI</t>
    </r>
    <r>
      <rPr>
        <sz val="10"/>
        <color rgb="FF000000"/>
        <rFont val="Arial"/>
        <family val="2"/>
      </rPr>
      <t>S</t>
    </r>
  </si>
  <si>
    <t>dlburris@udel.edu</t>
  </si>
  <si>
    <t>Biomechanical Engineering
Clean Energy &amp; Environment
Composites &amp; Advanced Materials
Nanotechnology</t>
  </si>
  <si>
    <t>Biomechanical Engineering,
Clean Energy &amp; Environment,
Composites &amp; Advanced Materials,
Nanotechnology,</t>
  </si>
  <si>
    <t>SAMBEETA ‘SAM’ DAS</t>
  </si>
  <si>
    <t>samdas@udel.edu</t>
  </si>
  <si>
    <t>Biomechanical Engineering
Clean Energy &amp; Environment
Nanotechnology
Robotics &amp; Controls</t>
  </si>
  <si>
    <t>Biomechanical Engineering,
Clean Energy &amp; Environment,
Nanotechnology,
Robotics &amp; Controls</t>
  </si>
  <si>
    <t>CHELSEA DAVIS</t>
  </si>
  <si>
    <t>ChelseaD@udel.edu</t>
  </si>
  <si>
    <t>Biomechanics
Composites &amp; Advanced Materials</t>
  </si>
  <si>
    <t>Biomechanics,
Composites &amp; Advanced Materials</t>
  </si>
  <si>
    <t>ALEXANDER DE ROSA</t>
  </si>
  <si>
    <t>derosa@udel.edu</t>
  </si>
  <si>
    <t>Clean Energy &amp; Environment</t>
  </si>
  <si>
    <t>Clean Energy , Environment</t>
  </si>
  <si>
    <t>HEATHER WALLING DOTY</t>
  </si>
  <si>
    <t>hdoty@udel.edu</t>
  </si>
  <si>
    <t>Clean Energy &amp; Environment
Nanotechnology</t>
  </si>
  <si>
    <t>Clean Energy, Environment,
Nanotechnology</t>
  </si>
  <si>
    <t>JOSEPH PFESER</t>
  </si>
  <si>
    <t>jpfeser@udel.edu</t>
  </si>
  <si>
    <t>Clean Energy &amp; Environment
Composites &amp; Advanced Materials
Nanotechnology</t>
  </si>
  <si>
    <t>Clean Energy, Environment
Composites,Advanced Materials
Nanotechnology</t>
  </si>
  <si>
    <r>
      <rPr>
        <u/>
        <sz val="10"/>
        <color rgb="FF000000"/>
        <rFont val="Arial"/>
        <family val="2"/>
      </rPr>
      <t>KUN (KELVIN) FU</t>
    </r>
    <r>
      <rPr>
        <sz val="10"/>
        <color rgb="FF000000"/>
        <rFont val="Arial"/>
        <family val="2"/>
      </rPr>
      <t xml:space="preserve">
</t>
    </r>
  </si>
  <si>
    <t>kfu@udel.edu</t>
  </si>
  <si>
    <t>Clean Energy, Environment
Composites, Advanced Materials
Nanotechnology</t>
  </si>
  <si>
    <t>$17,622 per year (in-state, full-time)</t>
  </si>
  <si>
    <t>JOHN W GILLESPIE JR.</t>
  </si>
  <si>
    <t>gillespi@udel.edu</t>
  </si>
  <si>
    <t xml:space="preserve">Composites &amp; Advanced Materials
</t>
  </si>
  <si>
    <t xml:space="preserve">Composites, Advanced Materials
</t>
  </si>
  <si>
    <t>JAMES L GLANCEY</t>
  </si>
  <si>
    <t>jglancey@udel.edu</t>
  </si>
  <si>
    <t>JILL HIGGINSON</t>
  </si>
  <si>
    <t>higginso@udel.edu</t>
  </si>
  <si>
    <t>M. ZUBAER HOSSAIN</t>
  </si>
  <si>
    <t>zubaer@udel.edu</t>
  </si>
  <si>
    <t>Clean Energy, Environment,
Composites,Advanced Materials,
Nanotechnology</t>
  </si>
  <si>
    <t>GUOQUAN HUANG</t>
  </si>
  <si>
    <t>ghuang@udel.edu</t>
  </si>
  <si>
    <t xml:space="preserve">Robotics,Controls
</t>
  </si>
  <si>
    <t>JOSEPH KUEHL</t>
  </si>
  <si>
    <t>jkuehl@udel.edu</t>
  </si>
  <si>
    <r>
      <rPr>
        <u/>
        <sz val="10"/>
        <color rgb="FF000000"/>
        <rFont val="Arial"/>
        <family val="2"/>
      </rPr>
      <t>X. LUCAS L</t>
    </r>
    <r>
      <rPr>
        <sz val="10"/>
        <color rgb="FF000000"/>
        <rFont val="Arial"/>
        <family val="2"/>
      </rPr>
      <t>U</t>
    </r>
  </si>
  <si>
    <t>xlu@udel.edu</t>
  </si>
  <si>
    <t>SRIKANTH PILLA</t>
  </si>
  <si>
    <t>spilla@udel.edu</t>
  </si>
  <si>
    <t>Composites &amp; Advanced Materials
Clean Energy &amp; Environment
Nanotechnology</t>
  </si>
  <si>
    <t>Composites, Advanced Materials,
Clean Energy,Environment,
Nanotechnology</t>
  </si>
  <si>
    <t>ANDREAS MALIKOPOULOS</t>
  </si>
  <si>
    <t>andreas@udel.edu</t>
  </si>
  <si>
    <t>Clean Energy &amp; Environment
Robotics &amp; Controls</t>
  </si>
  <si>
    <t>Clean Energy, Environment,
Robotics, Controls</t>
  </si>
  <si>
    <t>IOANNIS POULAKAKIS</t>
  </si>
  <si>
    <t>poulakas@udel.edu</t>
  </si>
  <si>
    <t xml:space="preserve">Robotics, Controls
</t>
  </si>
  <si>
    <r>
      <rPr>
        <sz val="10"/>
        <color rgb="FF000000"/>
        <rFont val="Arial"/>
        <family val="2"/>
      </rPr>
      <t xml:space="preserve">Chair - </t>
    </r>
    <r>
      <rPr>
        <u/>
        <sz val="10"/>
        <color rgb="FF000000"/>
        <rFont val="Arial"/>
        <family val="2"/>
      </rPr>
      <t>AJAY K PRASAD</t>
    </r>
  </si>
  <si>
    <t>prasad@udel.edu</t>
  </si>
  <si>
    <t>Biomechanical Engineering
Clean Energy &amp; Environment
Nanotechnology</t>
  </si>
  <si>
    <t>Biomechanical Engineering,
Clean Energy, Environment,
Nanotechnology</t>
  </si>
  <si>
    <t>R. VALERY ROY</t>
  </si>
  <si>
    <t>vroy@udel.edu</t>
  </si>
  <si>
    <t xml:space="preserve">Clean Energy, Environment
</t>
  </si>
  <si>
    <t>MICHAEL H SANTARE</t>
  </si>
  <si>
    <t>santare@udel.edu</t>
  </si>
  <si>
    <t>Biomechanical Engineering
Clean Energy &amp; Environment
Composites &amp; Advanced Materials</t>
  </si>
  <si>
    <t>Biomechanical Engineering,
Clean Energy, Environment,
Composites &amp; Advanced Materials</t>
  </si>
  <si>
    <t>FABRIZIO SERGI</t>
  </si>
  <si>
    <t>fabs@udel.edu</t>
  </si>
  <si>
    <t>Biomechanical Engineering
Robotics &amp; Controls</t>
  </si>
  <si>
    <t>Biomechanical Engineering,
Robotic,Controls</t>
  </si>
  <si>
    <t>HERBERT G TANNER</t>
  </si>
  <si>
    <t>btanner@udel.edu</t>
  </si>
  <si>
    <t>ERIK T THOSTENSON</t>
  </si>
  <si>
    <t>thosten@udel.edu</t>
  </si>
  <si>
    <t>Composites &amp; Advanced Materials
Nanotechnology</t>
  </si>
  <si>
    <t>Composites,Advanced Materials
Nanotechnology</t>
  </si>
  <si>
    <t>TYLER VAN BUREN</t>
  </si>
  <si>
    <t>vanburen@udel.edu</t>
  </si>
  <si>
    <t>Biomechanical Engineering
Clean Energy &amp; Environment
Robotics &amp; Controls</t>
  </si>
  <si>
    <t>Biomechanical Engineering,
Clean Energy, Environment,
Robotics, Controls</t>
  </si>
  <si>
    <t>LIYUN (LEANN) WANG</t>
  </si>
  <si>
    <t>lywang@udel.edu</t>
  </si>
  <si>
    <t>BINGQING WEI (B. Q. WEI)</t>
  </si>
  <si>
    <t>weib@udel.edu</t>
  </si>
  <si>
    <t>Clean Energy, Environment,
Composites, Advanced Materials,
Nanotechnology</t>
  </si>
  <si>
    <t>ADAM WICKENHEISER</t>
  </si>
  <si>
    <t>amwick@udel.edu</t>
  </si>
  <si>
    <t>JUN XU</t>
  </si>
  <si>
    <t>junxu@udel.edu</t>
  </si>
  <si>
    <t>Clean Energy, Environment,
Composites, Advanced Materials</t>
  </si>
  <si>
    <t>PIERRE YAO</t>
  </si>
  <si>
    <t>claver@udel.edu</t>
  </si>
  <si>
    <t>Clemson University</t>
  </si>
  <si>
    <r>
      <rPr>
        <sz val="10"/>
        <color rgb="FF000000"/>
        <rFont val="Arial"/>
        <family val="2"/>
      </rPr>
      <t xml:space="preserve">Chair - </t>
    </r>
    <r>
      <rPr>
        <u/>
        <sz val="10"/>
        <color rgb="FF000000"/>
        <rFont val="Arial"/>
        <family val="2"/>
      </rPr>
      <t>DR. ATUL KELKAR</t>
    </r>
  </si>
  <si>
    <t>atul@clemson.edu</t>
  </si>
  <si>
    <t xml:space="preserve">His RPortfolio spanned wide spectrum of application areas ranging from robotics, aerospace systems, vibration and acoustics, to control of building energy systems and renewable energy. His research has also led to creation of several patents in these areas. Moreover, Dr. Kelkar has successfully transitioned these patented technologies to commercial products. His breadth of the RProgram is evident from interdisciplinary research work through several collaborations on- and off-campus. His collaborations include joint projects with faculty from Chemistry, Physics, Ag and Biosystems, Aerospace, and Electrical Engineering and with several faculty and NASA researchers off-campus.
</t>
  </si>
  <si>
    <t xml:space="preserve">robotics, aerospace systems, vibration , acoustics, to control of building energy systems , renewable energy, His research has also led to creation of several patents in these areas, Moreover, Dr, Kelkar has successfully transitioned these patented technologies to commercial products
</t>
  </si>
  <si>
    <t>Abdeljawad, Fadi</t>
  </si>
  <si>
    <t>fabdelj@clemson.edu</t>
  </si>
  <si>
    <t xml:space="preserve">Theoretical and computational materials science, interface-driven phenomena, phase transitions, nanoscale physics, thermodynamics and kinetics of materials, solid mechanics, mechanics of materials, atomistic, phase field and Monte Carlo methods, numerical analysis, and mathematical modeling.
</t>
  </si>
  <si>
    <t xml:space="preserve">Theoretical , computational materials science, interface-driven phenomena, phase transitions, nanoscale physics, thermodynamics , kinetics of materials, solid mechanics, mechanics of materials, atomistic, phase field , Monte Carlo methods, numerical analysis, mathematical modeling,
</t>
  </si>
  <si>
    <t>Bostwick, Joshua</t>
  </si>
  <si>
    <t>jbostwi@clemson.edu</t>
  </si>
  <si>
    <t xml:space="preserve">Surface tension, wetting, drops, hydrodynamic stability, elastocapillarity, soft matter, pattern formation, bifurcation theory
</t>
  </si>
  <si>
    <t>#53 - Mechanical Engineering</t>
  </si>
  <si>
    <t>Boyd, JD</t>
  </si>
  <si>
    <t>jbyd@clemson.edu</t>
  </si>
  <si>
    <t xml:space="preserve">Biofilm adhesion strength, Biocompatibility of medical implanted devices, Surface morphology and Bio-adhesion, Laser-induced stress wave propagation, Engineering education and best practices
</t>
  </si>
  <si>
    <t xml:space="preserve">Biofilm adhesion strength, Biocompatibility of medical implanted devices, Surface morphology , Bio-adhesion, Laser-induced stress wave propagation, Engineering education , best practices
</t>
  </si>
  <si>
    <t>#77 - Best Engineering Schools</t>
  </si>
  <si>
    <t>Brunt, Georgia</t>
  </si>
  <si>
    <t>georgif@clemson.edu</t>
  </si>
  <si>
    <t>Choi, Hongseok</t>
  </si>
  <si>
    <t>hongc@clemson.edu</t>
  </si>
  <si>
    <t xml:space="preserve">Scalable Nanomanufacturing of Bulk Nano-engineered Materials for High Performance and High Energy Efficiency, Smart Micro/Nanosystems for Intelligent Micro/Nanomanufacturing Technologies, Laser-based Micro/Nano Materials Processing, Micro/Nano Additive Manufacturing
</t>
  </si>
  <si>
    <t xml:space="preserve">Scalable Nanomanufacturing of Bulk Nano-engineered Materials for High Performance , High Energy Efficiency, Smart Micro/Nanosystems for Intelligent Micro/Nanomanufacturing Technologies, Laser-based Micro/Nano Materials Processing, Micro/Nano Additive Manufacturing
</t>
  </si>
  <si>
    <t>Dutta, Sandip</t>
  </si>
  <si>
    <t>sdutta@clemson.edu</t>
  </si>
  <si>
    <t xml:space="preserve">Thermal Systems, Turbulence, Software Quality, Image Processing and Cognition, Business Analytics, 33 international patents on Gas Turbine, 3D Metal Printing, Thermal Systems.
</t>
  </si>
  <si>
    <t xml:space="preserve">Thermal Systems, Turbulence, Software Quality, Image Processing , Cognition, Business Analytics, 33 international patents on Gas Turbine, 3D Metal Printing, Thermal Systems,
</t>
  </si>
  <si>
    <t>Guggisberg, Tim</t>
  </si>
  <si>
    <t>tguggis@clemson.edu</t>
  </si>
  <si>
    <t>Kelkar, Atul</t>
  </si>
  <si>
    <t xml:space="preserve">His RPortfolio spanned wide spectrum of application areas ranging from robotics, aerospace systems, vibration and acoustics, to control of building energy systems and renewable energy. His research has also led to creation of several patents in these areas. Moreover, Dr. Kelkar has successfully transitioned these patented technologies to commercial products. His breadth of the RProgram is evident from interdisciplinary research work through several collaborations on- and off-campus. His collaborations include joint projects with faculty from Chemistry, Physics, Ag and Biosystems, Aerospace, and Electrical Engineering and with several faculty and NASA researchers off-campus.
</t>
  </si>
  <si>
    <t xml:space="preserve">robotics, aerospace systems, vibration , acoustics, to control of building energy systems , renewable energy, His research has also led to creation of several patents in these areas
</t>
  </si>
  <si>
    <t>Kung, Ethan</t>
  </si>
  <si>
    <t>ekung@clemson.edu</t>
  </si>
  <si>
    <t xml:space="preserve">Computational and experimental modeling of the cardiovascular system, hardware-in-the-loop, Physiology-Modeling Coupled Experiments (PMCE), image-based computational fluid dynamics, surgical design/planning/prediction, medical device testing, pediatric &amp; congenital heart diseases, exercise physiology.
</t>
  </si>
  <si>
    <t xml:space="preserve">Computational , experimental modeling of the cardiovascular system, hardware-in-the-loop, Physiology-Modeling Coupled Experiments (PMCE), image-based computational fluid dynamics, surgical design/planning/prediction, medical device testing, pediatric &amp; congenital heart diseases, exercise physiology,
</t>
  </si>
  <si>
    <t>Li, Gang</t>
  </si>
  <si>
    <t>gli@clemson.edu</t>
  </si>
  <si>
    <t xml:space="preserve">Computational modeling of nano/micro electromechanical systems, computational nano/micro mechanics, computational modeling of nanoscale thermal transport and energy conversion, and numerical methods.
</t>
  </si>
  <si>
    <t xml:space="preserve">Computational modeling of nano/micro electromechanical systems, computational nano/micro mechanics, computational modeling of nanoscale thermal transport , energy conversion, numerical methods,
</t>
  </si>
  <si>
    <t>Li, Zhen</t>
  </si>
  <si>
    <t>zli7@clemson.edu</t>
  </si>
  <si>
    <t xml:space="preserve">Multiscale/Multiphysics modeling, Soft matter and Smart materials, Biophysics and Collective dynamics,  Mesoscopic methods, Physics-informed statistical approaches   
</t>
  </si>
  <si>
    <t xml:space="preserve">Multiscale/Multiphysics modeling, Soft matter , Smart materials, Biophysics , Collective dynamicsMesoscopic methods, Physics-informed statistical approaches   
</t>
  </si>
  <si>
    <t>$10,858 per year (in-state, full-time)</t>
  </si>
  <si>
    <t>Lv, Ge</t>
  </si>
  <si>
    <t>glv@clemson.edu</t>
  </si>
  <si>
    <t xml:space="preserve">Bipedal Locomotion, Wearable Robots, Nonlinear Control Theory, Orthotics and Prosthetics, Rehabilitation Engineering, Biomechanics
</t>
  </si>
  <si>
    <t xml:space="preserve">Bipedal Locomotion, Wearable Robots, Nonlinear Control Theory, Orthotics , Prosthetics, Rehabilitation Engineering, Biomechanics
</t>
  </si>
  <si>
    <t>Mabey, Christopher</t>
  </si>
  <si>
    <t>cmabey@clemson.edu</t>
  </si>
  <si>
    <t>Design, Sustainability, Sociotechnical Modeling, Data Driven Design, Agent-Based Modeling, Engineering for Global Development, Social Impact</t>
  </si>
  <si>
    <t>Martinez-Duarte, Rodrigo</t>
  </si>
  <si>
    <t>rodrigm@clemson.edu</t>
  </si>
  <si>
    <t xml:space="preserve">Advanced Manufacturing, Microfluidics, Carbon, Electrokinetics, Dielectrophoresis, Bioparticle Sorting, Pathogens and Infectious Diseases, Biomedical Systems, Technology Development, Entrepreneurship
</t>
  </si>
  <si>
    <t xml:space="preserve">Advanced Manufacturing, Microfluidics, Carbon, Electrokinetics, Dielectrophoresis, Bioparticle Sorting, Pathogens , Infectious Diseases, Biomedical Systems, Technology Development, Entrepreneurship
</t>
  </si>
  <si>
    <t>Martinez Saez, Enrique</t>
  </si>
  <si>
    <t>enrique@clemson.edu</t>
  </si>
  <si>
    <t>Microstructure evolution under extreme conditions
Thermodynamic and kinetics of Alloys
Advanced Manufacturing
Mechanical properties of heterogeneous solids
Elasticity and Plasticity
Defect Properties
Data Analytics and Machine Learning</t>
  </si>
  <si>
    <t>Microstructure evolution under extreme conditions
Thermodynamic , kinetics of Alloys
Advanced Manufacturing
Mechanical properties of heterogeneous solids
Elasticity , Plasticity
Defect Properties
Data Analytics , Machine Learning</t>
  </si>
  <si>
    <t>Meng, Zhaoxu</t>
  </si>
  <si>
    <t>zmeng@clemson.edu</t>
  </si>
  <si>
    <t xml:space="preserve">Bioinspired structural materials and interfaces, multiscale modeling, mechanics of nanocomposites and composites
</t>
  </si>
  <si>
    <t xml:space="preserve">Bioinspired structural materials , interfaces, multiscale modeling, mechanics of nanocomposites , composites
</t>
  </si>
  <si>
    <t>Mocko, Gregory</t>
  </si>
  <si>
    <t>gmocko@clemson.edu</t>
  </si>
  <si>
    <t xml:space="preserve">Engineering design processes and tools, computer aided engineering design and analysis, information and knowledge management systems, functional modeling, requirements and customer needs analysis.
</t>
  </si>
  <si>
    <t xml:space="preserve">Engineering design processes , tools, computer aided engineering design , analysis, information , knowledge management systems, functional modeling, requirements , customer needs analysis,
</t>
  </si>
  <si>
    <t>Myers, Oliver J.</t>
  </si>
  <si>
    <t>omyers@clemson.edu</t>
  </si>
  <si>
    <t xml:space="preserve">Dr. Myers' research thrusts include the characterization of smart materials and smart structure mechanics of systems ranging from nano- to macro-scales sizes. Combinations of novel design techniques, analytical and numerical models and experimentation are employed.
</t>
  </si>
  <si>
    <t xml:space="preserve">characterization of smart materials , smart structure mechanics of systems ranging from nano- to macro-scales sizes, Combinations of novel design techniques, analytical , numerical models 
</t>
  </si>
  <si>
    <t>Northington, Jay</t>
  </si>
  <si>
    <t>jnorthi@clemson.edu</t>
  </si>
  <si>
    <t>Pataky, GarreTTJ.</t>
  </si>
  <si>
    <t>gpataky@clemson.edu</t>
  </si>
  <si>
    <t xml:space="preserve">Experimental solid mechanics, material behavior, fatigue and fracture
</t>
  </si>
  <si>
    <t>Experimental solid mechanics, material behavior, fatigue , fracture</t>
  </si>
  <si>
    <t>Ramnath, Satchit</t>
  </si>
  <si>
    <t>sramnat@clemson.edu</t>
  </si>
  <si>
    <t xml:space="preserve">Computer aided-engineering, structural/design optimization, Knowledge Based Systems in product design, and (applied) ML in product design.
</t>
  </si>
  <si>
    <t xml:space="preserve">Computer aided-engineering, structural/design optimization, Knowledge Based Systems in product design, (applied) ML in product design,
</t>
  </si>
  <si>
    <t>Saylor, John R.</t>
  </si>
  <si>
    <t>jsaylor@clemson.edu</t>
  </si>
  <si>
    <t>Dr. Saylor does research in the area of interfacial hydrodynamics and transport, focusing on air/water interfaces and surfactants. His research has been funded by NSF, NASA, Los Alamos National Laboratory, Savannah River National Laboratory, NIOSH, and USGS (through the SC Water Resources Center).</t>
  </si>
  <si>
    <t>interfacial hydrodynamics , transport, focusing on air/water interfaces , surfactants</t>
  </si>
  <si>
    <t>Schweisinger, Todd</t>
  </si>
  <si>
    <t>todds@clemson.edu</t>
  </si>
  <si>
    <t xml:space="preserve">Engineering pedagogy, graduate student teaching effectiveness, problem based learning in laboratory settings, machine design and product development, measurement and instrumentation for environmental applications.
</t>
  </si>
  <si>
    <t xml:space="preserve">Engineering pedagogy, graduate student teaching effectiveness, problem based learning in laboratory settings, machine design , product development, measurement , instrumentation for environmental applications,
</t>
  </si>
  <si>
    <t>Scott, Rick</t>
  </si>
  <si>
    <t>rscott9@clemson.edu</t>
  </si>
  <si>
    <t>Shah, Chandresh</t>
  </si>
  <si>
    <t>crshah@clemson.edu</t>
  </si>
  <si>
    <t>Sun, Cheng</t>
  </si>
  <si>
    <t>csun2@clemson.edu</t>
  </si>
  <si>
    <t>Nanomechanics
Additive manufacturing
Irradiation damage and effects</t>
  </si>
  <si>
    <t>Nanomechanics,
Additive manufacturing,
Irradiation damage , effects</t>
  </si>
  <si>
    <t>Tallapragada, Phanindra</t>
  </si>
  <si>
    <t>ptallap@clemson.edu</t>
  </si>
  <si>
    <t xml:space="preserve">Dynamical Systems, Fluid mechanics, Geometric mechanics, Robotics, Biomimetics and Microfluidics
</t>
  </si>
  <si>
    <t>Dynamical Systems, Fluid mechanics, Geometric mechanics, Robotics, Biomimetics , Microfluidics</t>
  </si>
  <si>
    <t>Thompson, Lonny</t>
  </si>
  <si>
    <t>lonny@clemson.edu</t>
  </si>
  <si>
    <t>Computational Engineering &amp; Mechanics, coupled multi-physics,
meta-material design, composites, smart materials, micropolar theory, vibration energy harvesting devices, acoustics, structural dynamics, sound transmission and propagation, nonlinear waves, inverse problems, structural optimization &amp; design, computational methods finite element, meshfree, discontinuous-Galerkin, stabilized, adaptive, visualization, high performance computing, parallel &amp; distributed computing, digital design, multi body simulation.</t>
  </si>
  <si>
    <t>Computational Engineering &amp; Mechanics, coupled multi-physics,meta-material design, composites, smart materials, micropolar theory, vibration energy harvesting devices, acoustics, structural dynamics, sound transmission , propagation, nonlinear waves, inverse problems, structural optimization &amp; design, computational methods finite element, meshfree, discontinuous-Galerkin, stabilized, adaptive, visualization, high performance computing, parallel &amp; distributed computing, digital design, multi body simulation</t>
  </si>
  <si>
    <t>Tong, Chenning</t>
  </si>
  <si>
    <t>ctong@clemson.edu</t>
  </si>
  <si>
    <t>Turbulent mixing, turbulent combustion, atmospheric boundary layer, subgrid-scale
modeling for large-eddy simulation, fine-scale turbulence structure.</t>
  </si>
  <si>
    <t>Turbulent mixing, turbulent combustion, atmospheric boundary layer, subgrid-scale
modeling for large-eddy simulation, fine-scale turbulence structure,</t>
  </si>
  <si>
    <t>Turner, Cameron</t>
  </si>
  <si>
    <t>cturne9@clemson.edu</t>
  </si>
  <si>
    <t xml:space="preserve">Dr. Turner’s s lie the field of Computational Design Methods, which lies in the intersection between computational capabilities and engineering design. His work includes computational methods to identify engineering design analogies, early design stage problem modeling, design optimization methods and tools, surrogate modeling, particularly for complex, nonlinear, uncertain systems, and manufacturing including additive manufacturing and intelligent, heterogeneous robotic and automation systems.
</t>
  </si>
  <si>
    <t xml:space="preserve">Dr, Turner’s s lie the field of Computational Design Methods, which lies in the intersection between computational capabilities , engineering design, His work includes computational methods to identify engineering design analogies, early design stage problem modeling, design optimization methods , tools, surrogate modeling, particularly for complex, nonlinear, uncertain systems, manufacturing including additive manufacturing , intelligent, heterogeneous robotic , automation systems,
</t>
  </si>
  <si>
    <t>Vahidi, Ardalan</t>
  </si>
  <si>
    <t>avahidi@clemson.edu</t>
  </si>
  <si>
    <t>Optimal Control and Estimation
Energy Efficient Mobility
Connected and Automated Vehicles, Electrified Transportation
Human Bioenergetics During Exercise</t>
  </si>
  <si>
    <t>Optimal Control , Estimation,
Energy Efficient Mobility,
Connected , Automated Vehicles, Electrified Transportation,
Human Bioenergetics During Exercise,</t>
  </si>
  <si>
    <t>Velni, Javad</t>
  </si>
  <si>
    <t>javadm@clemson.edu</t>
  </si>
  <si>
    <t xml:space="preserve">Learning-based control, Control of heterogeneous multi-agent systems, Connected and automated vehicles for highway and urban applications, AI-guided precision agriculture
</t>
  </si>
  <si>
    <t xml:space="preserve">Learning-based control, Control of heterogeneous multi-agent systems, Connected , automated vehicles for highway , urban applications, AI-guided precision agriculture
</t>
  </si>
  <si>
    <t>Vaidya, Umesh</t>
  </si>
  <si>
    <t>uvaidya@clemson.edu</t>
  </si>
  <si>
    <t>Operator Theoretic Methods for Data-Driven Dynamical Analysis and Control
Cyber Physical Systems and Network Controlled Systems
Robust Optimization Algorithms and Robust Learning.
Data-Driven Analytics for Power Grid and Robust Optimization in Power Systems
Data-Driven Learning and Control of Robotics Systems.
Building Systems Dynamical Analysis and Control.</t>
  </si>
  <si>
    <t>Operator Theoretic Methods for Data-Driven Dynamical Analysis , Control,
Cyber Physical Systems , Network Controlled Systems,
Robust Optimization Algorithms , Robust Learning,
Data-Driven Analytics for Power Grid , Robust Optimization in Power Systems,
Data-Driven Learning , Control of Robotics Systems,
Building Systems Dynamical Analysis , Control</t>
  </si>
  <si>
    <t>Wagner, John R.</t>
  </si>
  <si>
    <t>jwagner@clemson.edu</t>
  </si>
  <si>
    <t xml:space="preserve">Mechatronic system design, nonlinear and intelligent controls, diagnostic and prognostic strategies, and dynamic system modeling with application to automotive, manufacturing, and turbine systems.
</t>
  </si>
  <si>
    <t xml:space="preserve">Mechatronic system design, nonlinear , intelligent controls, diagnostic , prognostic strategies, dynamic system modeling with application to automotive, manufacturing, turbine systems,
</t>
  </si>
  <si>
    <t>Wang, Yue "Sophie"</t>
  </si>
  <si>
    <t>yue6@clemson.edu</t>
  </si>
  <si>
    <t xml:space="preserve">Dr. Wang is the Warren H. Owen - Duke Energy  Pof Engineering and the Director of the I2R laboratory in the Mechanical Engineering Department at Clemson University. Her s are in cooperative control and decision-making for human-robot collaboration systems, symbolic robot motion planning with a human-in-the-loop, cyber-physical systems, and multi-agent systems. Her research has been supported by NSF, AFOSR, AFRL, ARO, ARC, NASA EPSCoR, and Clemson University. Dr. Wang is a senior member of IEEE, and member of ASME and AIAA. She serves as the Chair of the IEEE Control System Society Technical Committee on Manufacturing Automation and Robotic Control. Her work has been featured in ASEE First Bell and State News. 
</t>
  </si>
  <si>
    <t>cooperative control , decision-making for human-robot collaboration systems, symbolic robot motion planning with a human-in-the-loop, cyber-physical systems, multi-agent systems</t>
  </si>
  <si>
    <t>Watkins Jr, R.J.</t>
  </si>
  <si>
    <t>rjwatki@clemson.edu</t>
  </si>
  <si>
    <t xml:space="preserve">CAPT Watkins is actively involved in Beam Control and Optical Turbulence research, most recently as a Co-PI of a Clemson-led ONR MURI in “High Photon Density Spatiotemporal (OAM+SAM) Vector Beams for Maritime Environments” and as PI of the multidisciplinary Advanced Laser Systems Program, also here at Clemson.  He designed and built the Variable Turbulence Generator; a 100 m optical path, controllable turbulence emulator for the Engineered Light Facility at the Anderson innovation campus.  This precision instrument is used for investigations into engineered light propagation and control through a realistic, 3-D turbulent environment. </t>
  </si>
  <si>
    <t>Beam Control , Optical Turbulence research</t>
  </si>
  <si>
    <t>Wilson, Daniel</t>
  </si>
  <si>
    <t>dwilso9@clemson.edu</t>
  </si>
  <si>
    <t>Fluid mechanics, computational fluid dynamics, atomization and spray physics, non-Newtonian liquids, multiphase flow</t>
  </si>
  <si>
    <t>Fluid mechanics, computational fluid dynamics, atomization , spray physics, non-Newtonian liquids, multiphase flow</t>
  </si>
  <si>
    <t>Xu, Yuhao</t>
  </si>
  <si>
    <t>yuhaox@clemson.edu</t>
  </si>
  <si>
    <t xml:space="preserve">High-pressure Combustion, Sustainable Fuels, Thermal Systems, Image Analysis, Multiphase Flow and Heat Transfer, Microfluidics
</t>
  </si>
  <si>
    <t xml:space="preserve">High-pressure Combustion, Sustainable Fuels, Thermal Systems, Image Analysis, Multiphase Flow , Heat Transfer, Microfluidics
</t>
  </si>
  <si>
    <t>Xuan (Schwann), Xiangchun</t>
  </si>
  <si>
    <t>xcxuan@clemson.edu</t>
  </si>
  <si>
    <t>Fundamental and applied research in micro- and nano-fluidics for Lab-on-a-chiPdevices.</t>
  </si>
  <si>
    <t>Fundamental , applied research in micro- , nano-fluidics for Lab-on-a-chiPdevices,</t>
  </si>
  <si>
    <t>Zhao, Huijuan “Jane”</t>
  </si>
  <si>
    <t>hzhao2@clemson.edu</t>
  </si>
  <si>
    <t xml:space="preserve">Her research area is computational materials, computational mechanics and multi-scale/multi-physics modeling. Her current research focus is to understand new physics/mechanism behind high-performance materials and structures in nano-scale and their potential engineering applications through various computational modeling techniques. </t>
  </si>
  <si>
    <t xml:space="preserve">computational materials, computational mechanics , multi-scale/multi-physics modeling, new physics/mechanism behind high-performance materials , structures in nano-scale , their potential engineering applications through various computational modeling techniques, </t>
  </si>
  <si>
    <t>Zhao, Xin</t>
  </si>
  <si>
    <t>xzhao5@clemson.edu</t>
  </si>
  <si>
    <t>Numerical modeling and experimental study of laser-matter interaction, laser-plasma interaction, micro/nanomachining, laser-induced multi-scale surface structures, laser shock peening, additive manufacturing, and dissimilar materials joining.</t>
  </si>
  <si>
    <t>Numerical modeling , experimental study of laser-matter interaction, laser-plasma interaction, micro/nanomachining, laser-induced multi-scale surface structures, laser shock peening, additive manufacturing, dissimilar materials joining</t>
  </si>
  <si>
    <t>Drexel University</t>
  </si>
  <si>
    <t>Agar, Joshua</t>
  </si>
  <si>
    <t>jca92@drexel.edu</t>
  </si>
  <si>
    <t>Advanced Manufacturing
Materials</t>
  </si>
  <si>
    <t>Advanced Manufacturing,
Materials</t>
  </si>
  <si>
    <t>Mechanical Engineering and Mechanics</t>
  </si>
  <si>
    <t>Atchison, Jennifer</t>
  </si>
  <si>
    <t>jsa40@drexel.edu</t>
  </si>
  <si>
    <t>Awerbuch, Jonathan</t>
  </si>
  <si>
    <t>awerbucj@drexel.edu</t>
  </si>
  <si>
    <t>Baetica, Ania-Ariadna</t>
  </si>
  <si>
    <t>ab4778@drexel.edu</t>
  </si>
  <si>
    <t>Health and Medicine</t>
  </si>
  <si>
    <t>Health , Medicine</t>
  </si>
  <si>
    <t>#97 - Best Engineering Schools</t>
  </si>
  <si>
    <t>Bhargava, Divya</t>
  </si>
  <si>
    <t>db3493@drexel.edu</t>
  </si>
  <si>
    <t>Chang, Wesley</t>
  </si>
  <si>
    <t>wc552@drexel.edu</t>
  </si>
  <si>
    <t>MaterialsSystems Engineering</t>
  </si>
  <si>
    <t>Materials,Systems Engineering</t>
  </si>
  <si>
    <t>Chang, Bor-Chin</t>
  </si>
  <si>
    <t>changbc@drexel.edu</t>
  </si>
  <si>
    <t>Cho, Young I</t>
  </si>
  <si>
    <t>choyi@drexel.edu</t>
  </si>
  <si>
    <t>Dobrynin , Danil</t>
  </si>
  <si>
    <t>dvd34@drexel.edu</t>
  </si>
  <si>
    <t>Engineering EducationRobotics and AutomationSystems Engineering</t>
  </si>
  <si>
    <t>Engineering EducationRobotics , AutomationSystems Engineering</t>
  </si>
  <si>
    <t>Fafalis, Dimitrios</t>
  </si>
  <si>
    <t>df573@drexel.edu</t>
  </si>
  <si>
    <t>Computation
Engineering Education
Health and Medicine
Materials</t>
  </si>
  <si>
    <t>Computation,
Engineering Education,
Health , Medicine,
Materials</t>
  </si>
  <si>
    <t>Farouk, Bakhtier</t>
  </si>
  <si>
    <t>farouk@drexel.edu</t>
  </si>
  <si>
    <t>Fridman, Alexander</t>
  </si>
  <si>
    <t>fridman@drexel.edu</t>
  </si>
  <si>
    <t>Gogotsi, Yury</t>
  </si>
  <si>
    <t>gogotsi@drexel.edu</t>
  </si>
  <si>
    <t>Glaser, Michael</t>
  </si>
  <si>
    <t>mdg56@drexel.edu</t>
  </si>
  <si>
    <t>$1,342 per credit (full-time)</t>
  </si>
  <si>
    <t>Han, Li-Hsin</t>
  </si>
  <si>
    <t>lh573@drexel.edu</t>
  </si>
  <si>
    <t>Jablokow, Andrei</t>
  </si>
  <si>
    <t>agj24@drexel.edu</t>
  </si>
  <si>
    <t>Kim, Euisun</t>
  </si>
  <si>
    <t>ek859@drexel.edu</t>
  </si>
  <si>
    <t>Engineering Education
Health and Medicine
Robotics and Automation
Systems Engineering</t>
  </si>
  <si>
    <t>Engineering Education,
Health , Medicine,
Robotics , Automation,
Systems Engineering</t>
  </si>
  <si>
    <t>Kontsos, Antonios</t>
  </si>
  <si>
    <t>antonios.kontsos@drexel.edu</t>
  </si>
  <si>
    <t>Advanced Manufacturing
Computation
Cyber and Physical Infrastructure
Engineering Education
Materials
Systems Engineering</t>
  </si>
  <si>
    <t>Advanced Manufacturing
Computation
Cyber , Physical Infrastructure
Engineering Education
Materials
Systems Engineering</t>
  </si>
  <si>
    <t>Kumbur, E. Caglan</t>
  </si>
  <si>
    <t>eck32@drexel.edu</t>
  </si>
  <si>
    <t>Advanced Manufacturing
Cyber and Physical Infrastructure
Materials
Systems Engineering</t>
  </si>
  <si>
    <t>Advanced Manufacturing,
Cyber , Physical Infrastructure,
Materials,
Systems Engineering</t>
  </si>
  <si>
    <t>Lau, Alan C.W.</t>
  </si>
  <si>
    <t>lau@drexel.edu</t>
  </si>
  <si>
    <t>McCarthy, Matthew</t>
  </si>
  <si>
    <t>mm3584@drexel.edu</t>
  </si>
  <si>
    <t>Advanced Manufacturing</t>
  </si>
  <si>
    <t>Miller, David L.</t>
  </si>
  <si>
    <t>dmiller@drexel.edu</t>
  </si>
  <si>
    <t>Cyber and Physical Infrastructure</t>
  </si>
  <si>
    <t>Cyber , Physical Infrastructure</t>
  </si>
  <si>
    <t>Najafi, Ahmad R.</t>
  </si>
  <si>
    <t>arn55@drexel.edu</t>
  </si>
  <si>
    <t>Advanced Manufacturing
Computation
Cyber and Physical Infrastructure
Engineering Education
Health and Medicine
Systems Engineering</t>
  </si>
  <si>
    <t>Advanced Manufacturing,
Computation,
Cyber , Physical Infrastructur
Engineering Education,
Health , Medicine,
Systems Engineering,</t>
  </si>
  <si>
    <t>Noh, Moses</t>
  </si>
  <si>
    <t>hn44@drexel.edu</t>
  </si>
  <si>
    <t>Advanced Manufacturing
Health and Medicine</t>
  </si>
  <si>
    <t>Advanced Manufacturing,
Health , Medicine</t>
  </si>
  <si>
    <t>Peters, Christopher</t>
  </si>
  <si>
    <t>cwp27@drexel.edu</t>
  </si>
  <si>
    <t>Computation, Engineering Education, Robotics and Automation,Systems Engineering</t>
  </si>
  <si>
    <t>Computation, Engineering Education, Robotics , Automation,Systems Engineering</t>
  </si>
  <si>
    <t>Siegler, Sorin</t>
  </si>
  <si>
    <t>sieglers@drexel.edu</t>
  </si>
  <si>
    <t>Computation
Health and Medicine</t>
  </si>
  <si>
    <t>Computation,
Health , Medicine</t>
  </si>
  <si>
    <r>
      <rPr>
        <sz val="10"/>
        <color rgb="FF000000"/>
        <rFont val="Arial"/>
        <family val="2"/>
      </rPr>
      <t xml:space="preserve">Head - </t>
    </r>
    <r>
      <rPr>
        <u/>
        <sz val="10"/>
        <color rgb="FF000000"/>
        <rFont val="Arial"/>
        <family val="2"/>
      </rPr>
      <t>Spanier, Jonathan E.</t>
    </r>
  </si>
  <si>
    <t>spanier@drexel.edu</t>
  </si>
  <si>
    <t>Advanced Manufacturing
Computation
Cyber and Physical Infrastructure
Materials</t>
  </si>
  <si>
    <t>Advanced Manufacturing,
Computation,
Cyber , Physical Infrastructure,
Materials</t>
  </si>
  <si>
    <t>Sun, Wei</t>
  </si>
  <si>
    <t>sunwei@drexel.edu</t>
  </si>
  <si>
    <t>Tangorra, James</t>
  </si>
  <si>
    <t>jlt66@drexel.edu</t>
  </si>
  <si>
    <t>Yousuff, Ajmal</t>
  </si>
  <si>
    <t>ajmal.yousuff@drexel.edu</t>
  </si>
  <si>
    <t>Zavaliangos, Antonios</t>
  </si>
  <si>
    <t>zaval@drexel.edu</t>
  </si>
  <si>
    <t>Health and Medicine
Materials</t>
  </si>
  <si>
    <t>Health , Medicine, Materials</t>
  </si>
  <si>
    <t>Zheng, Yue (Luna)</t>
  </si>
  <si>
    <t>yz894@drexel.edu</t>
  </si>
  <si>
    <t>Zhou, Jack G.</t>
  </si>
  <si>
    <t>zhoug@drexel.edu</t>
  </si>
  <si>
    <t>Computation, Materials</t>
  </si>
  <si>
    <t>Tufts University</t>
  </si>
  <si>
    <r>
      <rPr>
        <sz val="10"/>
        <color rgb="FF000000"/>
        <rFont val="Arial"/>
        <family val="2"/>
      </rPr>
      <t xml:space="preserve">Chair - </t>
    </r>
    <r>
      <rPr>
        <u/>
        <sz val="10"/>
        <color rgb="FF000000"/>
        <rFont val="Arial"/>
        <family val="2"/>
      </rPr>
      <t>Jason Rife</t>
    </r>
  </si>
  <si>
    <t>jason.rife@tufts.edu</t>
  </si>
  <si>
    <t>navigation, safety-critical transportation systems, state estimation, human-robot interaction</t>
  </si>
  <si>
    <t>Nadine Aubry</t>
  </si>
  <si>
    <t>nadine.aubry@tufts.edu</t>
  </si>
  <si>
    <t>Research/Areas of Interest: Fluid dynamics, turbulence, reduced modeling of complex systems, dynamical systems theory, chaotic mixing, microfluidics, electrohydrodynamics, manipulation and assembly of nanoscale particles in microfluidics, biofluids</t>
  </si>
  <si>
    <t>Fluid dynamics, turbulence, reduced modeling of complex systems, dynamical systems theory, chaotic mixing, microfluidics, electrohydrodynamics, manipulation , assembly of nanoscale particles in microfluidics, biofluids</t>
  </si>
  <si>
    <t>Briana Bouchard</t>
  </si>
  <si>
    <t>briana.bouchard@tufts.edu</t>
  </si>
  <si>
    <t>Product Design, Mechanical Design, Engineering Education, Electronic Portfolios, Assessment in Higher Education.</t>
  </si>
  <si>
    <t>Product Design, Mechanical Design, Engineering Education, Electronic Portfolios, Assessment in Higher Education,</t>
  </si>
  <si>
    <t>Luisa Chiesa</t>
  </si>
  <si>
    <t>luisa.chiesa@tufts.edu</t>
  </si>
  <si>
    <t>sustainable energy, superconducting materials, materials science</t>
  </si>
  <si>
    <t>#69 - Best Engineering Schools</t>
  </si>
  <si>
    <t>Jeffrey Guasto</t>
  </si>
  <si>
    <t>jeffrey.guasto@tufts.edu</t>
  </si>
  <si>
    <t>biophysics and soft matter, microscale fluid mechanics and transport phenomena, microfluidic devices</t>
  </si>
  <si>
    <t>biophysics , soft matter, microscale fluid mechanics , transport phenomena, microfluidic devices</t>
  </si>
  <si>
    <t>Trevion Henderson</t>
  </si>
  <si>
    <t>trevion.henderson@tufts.edu</t>
  </si>
  <si>
    <t>Engineering education, Diversity, equity, and inclusion, team-based engineering pedagogies, engineering design thinking</t>
  </si>
  <si>
    <t>Engineering education, Diversity, equity, inclusion, team-based engineering pedagogies, engineering design thinking</t>
  </si>
  <si>
    <t>Marc Hodes</t>
  </si>
  <si>
    <t>marc.hodes@tufts.edu</t>
  </si>
  <si>
    <t>heat transfer, apparent slip, thermal management of electronics, mass transfer in supercritical fluids and thermoelectricity, material science</t>
  </si>
  <si>
    <t>heat transfer, apparent slip, thermal management of electronics, mass transfer in supercritical fluids , thermoelectricity, material science</t>
  </si>
  <si>
    <t>Felix Huang</t>
  </si>
  <si>
    <t>felix.huang@tufts.edu</t>
  </si>
  <si>
    <t>human factors, human motor learning, human motor control, neuro-rehabilitation, robotics, virtual reality, surgery skill training</t>
  </si>
  <si>
    <t>Mark Kachanov</t>
  </si>
  <si>
    <t>mark.kachanov@tufts.edu</t>
  </si>
  <si>
    <t>Mechanics of materials, effective properties of heterogeneous materials, microstructure-property relationships, applications to material science</t>
  </si>
  <si>
    <t>Georgios Karamanis</t>
  </si>
  <si>
    <t>georgios.karamanis@tufts.edu</t>
  </si>
  <si>
    <t>1) Transport phenomena. 2) Thermal management of electronics. 2) Numerical modeling and HPC. 3) Electronics and robotics.</t>
  </si>
  <si>
    <t>Transport phenomena, Thermal management of electronics, Numerical modeling , HPC, Electronics , robotics</t>
  </si>
  <si>
    <t>Erica Kemmerling</t>
  </si>
  <si>
    <t>erica.kemmerling@tufts.edu</t>
  </si>
  <si>
    <t>Fluid mechanics, flow in the human body, hemodynamics, aneurysms, heart development, flow in tumors, cardiac assist devices</t>
  </si>
  <si>
    <t>Hoda Koushyar</t>
  </si>
  <si>
    <t>hoda.koushyar@tufts.edu</t>
  </si>
  <si>
    <t>biomechanics, applied mechanics, materials characterization, engineering education</t>
  </si>
  <si>
    <t>$1,697 per credit (full-time)</t>
  </si>
  <si>
    <t>Gary Leisk</t>
  </si>
  <si>
    <t>gary.leisk@tufts.edu</t>
  </si>
  <si>
    <t>machine design, nondestructive testing</t>
  </si>
  <si>
    <t>Douglas Matson</t>
  </si>
  <si>
    <t>douglas.matson@tufts.edu</t>
  </si>
  <si>
    <t>solidification processes, thermal manufacturing, machine design, materials science</t>
  </si>
  <si>
    <t>Dave Miller</t>
  </si>
  <si>
    <t>dave.miller@tufts.edu</t>
  </si>
  <si>
    <t>Human-technology collaboration, cooperation, and conflict, moral decision-making, mental models</t>
  </si>
  <si>
    <t>Human-technology collaboration, cooperation, conflict, moral decision-making, mental models</t>
  </si>
  <si>
    <t>Jannatun Nawer</t>
  </si>
  <si>
    <t>jannatun.nawer@tufts.edu</t>
  </si>
  <si>
    <t>Research/Areas of Interest: High-temperature material processing, Material Characterization, Advanced alloy design, Additive manufacturing</t>
  </si>
  <si>
    <t>High-temperature material processing, Material Characterization, Advanced alloy design, Additive manufacturing</t>
  </si>
  <si>
    <t>Chris Rogers</t>
  </si>
  <si>
    <t>chris.rogers@tufts.edu</t>
  </si>
  <si>
    <t>Engineering Education, Human Robot Interaction, Mechanical Engineering, Music Engineering, Artificial Intelligence and Image Processing</t>
  </si>
  <si>
    <t>Engineering Education, Human Robot Interaction, Mechanical Engineering, Music Engineering, Artificial Intelligence , Image Processing</t>
  </si>
  <si>
    <t>Anil Saigal</t>
  </si>
  <si>
    <t>anil.saigal@tufts.edu</t>
  </si>
  <si>
    <t>materials engineering, materials science, manufacturing processes, quality control</t>
  </si>
  <si>
    <t>Igor Sokolov</t>
  </si>
  <si>
    <t>igor.sokolov@tufts.edu</t>
  </si>
  <si>
    <t>Engineering for Health, Mechanics of biomaterials at the nanoscale, Synthesis and study of functionals nanomaterials for biomedical imaging and drug delivery, Advanced imaging for medical diagnostics, Novel processes and materials for dentistry nano-polishing and self-healing materials</t>
  </si>
  <si>
    <t>Engineering for Health, Mechanics of biomaterials at the nanoscale, Synthesis , study of functionals nanomaterials for biomedical imaging , drug delivery, Advanced imaging for medical diagnostics, Novel processes , materials for dentistry nano-polishing , self-healing materials</t>
  </si>
  <si>
    <t>Kristen Wendell</t>
  </si>
  <si>
    <t>kristen.wendell@tufts.edu</t>
  </si>
  <si>
    <t>learning sciences, engineering education, design practices, design discourse, project-based learning</t>
  </si>
  <si>
    <t>Robert White</t>
  </si>
  <si>
    <t>r.white@tufts.edu</t>
  </si>
  <si>
    <t>Microelectromechanical Systems (MEMS) fabrication, modeling, and testing. Particularly acoustic MEMS (microphones, ultrasound), and aerodynamic measurement technologies (skin friction sensors, aeroacoustic sensors). Acoustics, vibrations, dynamics and controls. Electromechanical systems including robotics. Finite element methods and system modeling. Electronics for measurement. Mechanical measurements.</t>
  </si>
  <si>
    <t>Microelectromechanical Systems (MEMS) fabrication, modeling, testing, Particularly acoustic MEMS (microphones, ultrasound), aerodynamic measurement technologies (skin friction sensors, aeroacoustic sensors), Acoustics, vibrations, dynamics , controls, Electromechanical systems including robotics, Finite element methods , system modeling, Electronics for measurement, Mechanical measurements,</t>
  </si>
  <si>
    <t>Matthew Woodward</t>
  </si>
  <si>
    <t>matthew.woodward@tufts.edu</t>
  </si>
  <si>
    <t>Animals, as a consequence of evolution, employ multiple, complex, highly interconnected, locomotion modes to overcome obstacles and move through unstructured environments, the individual contributions of which are not well understood. While roboticists have made great strides in enhancing robot performance, the focus has been on the control system (brain, sensors), and yet a significant gaPstill exists between robots and their biological counterparts. The Robot Locomotion &amp; Biomechanics Laboratory at Tufts University focuses on enhancing robot mobility through a deeper understanding of the fundamental design methodologies employed by animals to combine locomotion modes (integrated multimodal locomotion), interact deterministically yet passively with the environment (morphological intelligence), and actuate their physical systems (advance actuation). Current projects include, adapting the complex, passive, multifunctional feet of desert locusts to enhance the dynamic surface interactions of terrestrial robots and support highly dynamic behaviors, studying how flying animals may use their physical systems (bodies) to transform relatively simple inputs into complex non-linear outputs through an understanding of the unsteady aerodynamics, and understand how swarms communicate and create complex structures.</t>
  </si>
  <si>
    <t>Animals, as a consequence of evolution, employ multiple, complex, highly interconnected, locomotion modes to overcome obstacles ,multifunctional feet of desert locusts to enhance the dynamic surface interactions of terrestrial robots , support highly dynamic behaviors, studying how flying animals may use their physical systems (bodies) to transform relatively simple inputs into complex non-linear outputs through an underst,ing of the unsteady aerodynamics, underst, how swarms communicate , create complex structures,</t>
  </si>
  <si>
    <t>University at Buffalo--SUNY</t>
  </si>
  <si>
    <r>
      <rPr>
        <sz val="10"/>
        <color rgb="FF000000"/>
        <rFont val="Arial"/>
        <family val="2"/>
      </rPr>
      <t xml:space="preserve">Chair - </t>
    </r>
    <r>
      <rPr>
        <u/>
        <sz val="10"/>
        <color rgb="FF000000"/>
        <rFont val="Arial"/>
        <family val="2"/>
      </rPr>
      <t>Francine Battaglia, PhD</t>
    </r>
  </si>
  <si>
    <t>fbattagl@buffalo.edu</t>
  </si>
  <si>
    <t>s Computational fluid dynamics, building energy utilization and renewable/alternative energy, turbulent multiphase and reacting flows</t>
  </si>
  <si>
    <t>Computational fluid dynamics, building energy utilization , renewable/alternative energy, turbulent multiphase , reacting flows</t>
  </si>
  <si>
    <t>Javid Bayandor, PhD</t>
  </si>
  <si>
    <t>bayandor@buffalo.edu</t>
  </si>
  <si>
    <t>s Space explorations and mission design, collision dynamics and crashworthiness, aerospace conceptual design, space physics, ballistics, bioinspired robotics, advanced aerospace structures, fluid-structure interactive systems</t>
  </si>
  <si>
    <t>Space explorations , mission design, collision dynamics , crashworthiness, aerospace conceptual design, space physics, ballistics, bioinspired robotics, advanced aerospace structures, fluid-structure interactive systems</t>
  </si>
  <si>
    <t>Eleonora Botta, PhD</t>
  </si>
  <si>
    <t>ebotta@buffalo.edu</t>
  </si>
  <si>
    <t>s Dynamics and control of space tethers and large flexible space structures, active debris removal, collision detection and avoidance, spacecraft dynamics</t>
  </si>
  <si>
    <t>Dynamics , control of space tethers , large flexible space structures, active debris removal, collision detection , avoidance, spacecraft dynamics</t>
  </si>
  <si>
    <t>James Chen, PhD</t>
  </si>
  <si>
    <t>chenjm@buffalo.edu</t>
  </si>
  <si>
    <t>s Fundamental theories and numerical simulation for different physical problems across multiple spatial and temporal scale, turbulence, triboelectricity, atomistic simulation, continuum mechanics, applied mathematics, multiscale simulation</t>
  </si>
  <si>
    <t>Fundamental theories , numerical simulation for different physical problems across multiple spatial , temporal scale, turbulence, triboelectricity, atomistic simulation, continuum mechanics, applied mathematics, multiscale simulation</t>
  </si>
  <si>
    <t>Souma Chowdhury, PhD</t>
  </si>
  <si>
    <t>soumacho@buffalo.edu</t>
  </si>
  <si>
    <t>s Nature inspired computing (evolutionary, swarm, and neural algorithms) for design and AI, metamodeling and multi-fidelity optimization, MINLP, swarm systems and swarm-bots, autonomous systems, and unmanned aerial vehicles</t>
  </si>
  <si>
    <t>Nature inspired computing (evolutionary, swarm, neural algorithms) for design , AI, metamodeling , multi-fidelity optimization, MINLP, swarm systems , swarm-bots, autonomous systems, unmanned aerial vehicles</t>
  </si>
  <si>
    <t>Deborah Chung, PhD</t>
  </si>
  <si>
    <t>ddlchung@buffalo.edu</t>
  </si>
  <si>
    <t>s Multidisciplinary research and teaching that are focused on materials science and engineering, particularly multifunctional structural materials (with functions including self-sensing, self-powering and vibration damping), electromagnetic shielding materials, and thermal interface materials (for microelectronic cooling). Other topics include three-dimensional printing, dielectric conductors and interface-derived viscoelasticity.</t>
  </si>
  <si>
    <t>Multidisciplinary research , teaching that are focused on materials science , engineering, particularly multifunctional structural materials (with functions including self-sensing, self-powering , vibration damping), electromagnetic shielding materials, thermal interface materials (for microelectronic cooling), Other topics include three-dimensional printing, dielectric conductors , interface-derived viscoelasticity,</t>
  </si>
  <si>
    <t>John Crassidis, PhD</t>
  </si>
  <si>
    <t>johnc@buffalo.edu</t>
  </si>
  <si>
    <t>s Spacecraft attitude determination &amp; control, formation flying guidance &amp; navigation, robust nonlinear control, vehicle attitude dynamics</t>
  </si>
  <si>
    <t>Spacecraft attitude determination &amp; control, formation flying guidance &amp; navigation, robust nonlinear control, vehicle attitude dynamics</t>
  </si>
  <si>
    <t>Gary Dargush, PhD</t>
  </si>
  <si>
    <t>gdargush@buffalo.edu</t>
  </si>
  <si>
    <t>s Computational and applied mechanics, size-dependent and multi-physics mechanics, boundary element methods, finite element methods, thermomechanics, computational fluid dynamics, structural dynamics and earthquake engineering</t>
  </si>
  <si>
    <t>Computational , applied mechanics, size-dependent , multi-physics mechanics, boundary element methods, finite element methods, thermomechanics, computational fluid dynamics, structural dynamics , earthquake engineering</t>
  </si>
  <si>
    <t>Paul DesJardin, PhD</t>
  </si>
  <si>
    <t>ped3@buffalo.edu</t>
  </si>
  <si>
    <t>s Multiphase reacting flows, propulsion, fire and combustion, computational fluid dynamics, fluid- structure simulation</t>
  </si>
  <si>
    <t>Multiphase reacting flows, propulsion, fire , combustion, computational fluid dynamics, fluid- structure simulation</t>
  </si>
  <si>
    <t>Ehsan Esfahani, PhD</t>
  </si>
  <si>
    <t>ehsanesf@buffalo.edu</t>
  </si>
  <si>
    <t>s Artificial intelligence in design and engineering, interactive CAD interfaces, brain computer interfaces, human-machine interactions, bipedal locomotion (human and humanoids), bio-robotics and mechatronics</t>
  </si>
  <si>
    <t>Artificial intelligence in design , engineering, interactive CAD interfaces, brain computer interfaces, human-machine interactions, bipedal locomotion (human , humanoids), bio-robotics , mechatronics</t>
  </si>
  <si>
    <t>Danial Faghihi, PhD</t>
  </si>
  <si>
    <t>danialfa@buffalo.edu</t>
  </si>
  <si>
    <t>s Multiscale and multiphysics computational modeling, data-driven predictive modeling, model validation and uncertainty quantification, advanced manufacturing, tumor growth and treatment</t>
  </si>
  <si>
    <t>Multiscale , multiphysics computational modeling, data-driven predictive modeling, model validation , uncertainty quantification, advanced manufacturing, tumor growth , treatment</t>
  </si>
  <si>
    <t>John Hall</t>
  </si>
  <si>
    <t>johnhall@buffalo.edu</t>
  </si>
  <si>
    <t>s Complex system analysis and simulation, comprehensive product development methodologies, multidisciplinary decision-making and optimization, wind energy conversion, renewable energy systems, energy efficient products</t>
  </si>
  <si>
    <t>Complex system analysis , simulation, comprehensive product development methodologies, multidisciplinary decision-making , optimization, wind energy conversion, renewable energy systems, energy efficient products</t>
  </si>
  <si>
    <t>$11,550 per year (in-state, full-time)</t>
  </si>
  <si>
    <t>Susan Zonglu Hua, PhD</t>
  </si>
  <si>
    <t>zhua@buffalo.edu</t>
  </si>
  <si>
    <t>s Cellular mechanosensitivity, cell-cell and cell-ECM interaction, traumatic brain injury (TBI), microfluidic devices and live-cell imaging</t>
  </si>
  <si>
    <t>Cellular mechanosensitivity, cell-cell , cell-ECM interaction, traumatic brain injury (TBI), microfluidic devices , live-cell imaging</t>
  </si>
  <si>
    <t>M. Amin Karami, PhD</t>
  </si>
  <si>
    <t>karami@buffalo.edu</t>
  </si>
  <si>
    <t>s Smart materials and structures, energy harvesting, implantable medical devices, nonlinear dynamic systems, MEMS, vibrations, renewable energy, and mechatronics</t>
  </si>
  <si>
    <t>Smart materials , structures, energy harvesting, implantable medical devices, nonlinear dynamic systems, MEMS, vibrations, renewable energy, mechatronics</t>
  </si>
  <si>
    <t>Frank Lagor, PhD</t>
  </si>
  <si>
    <t>flagor@buffalo.edu</t>
  </si>
  <si>
    <t>s Guidance, navigation, and control of robotic systems in complex flow environments, flow sensing and control, bio-inspired robotics, nonlinear/non-gaussian estimation, guidance and control for unmanned systems, including adaptive sampling and cooperative control</t>
  </si>
  <si>
    <t>Guidance, navigation, control of robotic systems in complex flow environments, flow sensing , control, bio-inspired robotics, nonlinear/non-gaussian estimation, guidance , control for unmanned systems, including adaptive sampling , cooperative control</t>
  </si>
  <si>
    <t>Kemper E. Lewis, PhD</t>
  </si>
  <si>
    <t>kelewis@buffalo.edu</t>
  </si>
  <si>
    <t>s Large-Scale Systems Design, Design Analytics, Collaborative Design Methods, Decentralized Design, Decision Theory, Decision Networks, Additive Manufacturing, Multiobjective Optimization, Machine Learning for Design and Manufacturing</t>
  </si>
  <si>
    <t>Large-Scale Systems Design, Design Analytics, Collaborative Design Methods, Decentralized Design, Decision Theory, Decision Networks, Additive Manufacturing, Multiobjective Optimization, Machine Learning for Design , Manufacturing</t>
  </si>
  <si>
    <t>Jiaoyan Li, PhD</t>
  </si>
  <si>
    <t>jiaoyan@buffalo.edu</t>
  </si>
  <si>
    <t>s Multiscale modeling from atom to continuum, computational mechanics and high performance computing, with applications to nano-/bio-/energy systems</t>
  </si>
  <si>
    <t>Multiscale modeling from atom to continuum, computational mechanics , high performance computing, with applications to nano-/bio-/energy systems</t>
  </si>
  <si>
    <t>Ketki Lichade, PhD</t>
  </si>
  <si>
    <t>ketkilic@buffalo.edu</t>
  </si>
  <si>
    <t>Research Topics: Advanced Manufacturing; Process-Structure-Property Relationship; Additive Manufacturing; Functional Materials; Composite Manufacturing; Multiscale Manufacturing; Process Control and Optimization; Bio-inspired Design</t>
  </si>
  <si>
    <t>Advanced Manufacturing; Process-Structure-Property Relationship; Additive Manufacturing; Functional Materials; Composite Manufacturing; Multiscale Manufacturing; Process Control , Optimization; Bio-inspired Design</t>
  </si>
  <si>
    <t>Jun Liu, PhD</t>
  </si>
  <si>
    <t>jliu238@buffalo.edu</t>
  </si>
  <si>
    <t>s Advanced energy materials, Nano/micro-mechanics, Self-powered electronics and systems, Nanotechnology, Scanning probe microscopy (SPM)</t>
  </si>
  <si>
    <t>Advanced energy materials, Nano/micro-mechanics, Self-powered electronics , systems, Nanotechnology, Scanning probe microscopy (SPM)</t>
  </si>
  <si>
    <t>Hui Meng, PhD</t>
  </si>
  <si>
    <t>huimeng@buffalo.edu</t>
  </si>
  <si>
    <t>s Biomedical engineering, hemodynamics and vascular biomechanics, advanced laser flow diagnostics, computational fluid dynamics</t>
  </si>
  <si>
    <t>Biomedical engineering, hemodynamics , vascular biomechanics, advanced laser flow diagnostics, computational fluid dynamics</t>
  </si>
  <si>
    <t>Joseph Mollendorf, PhD</t>
  </si>
  <si>
    <t>molendrf@buffalo.edu</t>
  </si>
  <si>
    <t>s Design, heat transfer and fluid mechanics, mathematical modeling, manufacturing processes, biomedical engineering</t>
  </si>
  <si>
    <t>Design, heat transfer , fluid mechanics, mathematical modeling, manufacturing processes, biomedical engineering</t>
  </si>
  <si>
    <t>D. Joseph Mook, PhD</t>
  </si>
  <si>
    <t>mook@buffalo.edu</t>
  </si>
  <si>
    <t>s Controls, dynamics, system identification, estimation theory, modeling, nonlinear and chaotic dynamic systems</t>
  </si>
  <si>
    <t>Controls, dynamics, system identification, estimation theory, modeling, nonlinear , chaotic dynamic systems</t>
  </si>
  <si>
    <t>Mostafa Nouh, PhD</t>
  </si>
  <si>
    <t>mnouh@buffalo.edu</t>
  </si>
  <si>
    <t>s Structural dynamics, acoustics, vibration damping and control, smart materials, energy harvesting, metamaterials and periodic structures</t>
  </si>
  <si>
    <t>Structural dynamics, acoustics, vibration damping , control, smart materials, energy harvesting, metamaterials , periodic structures</t>
  </si>
  <si>
    <t>Matthew Ringuette, PhD</t>
  </si>
  <si>
    <t>ringum@buffalo.edu</t>
  </si>
  <si>
    <t xml:space="preserve">Research Interests: Experimental fluid mechanics; vortex dynamics; unsteady aerodynamics; bio-inspired propulsion with applications to autonomous air and underwater vehicles; fluid-structure interactions; and high-speed flow
</t>
  </si>
  <si>
    <t xml:space="preserve">Experimental fluid mechanics; vortex dynamics; unsteady aerodynamics; bio-inspired propulsion with applications to autonomous air , underwater vehicles; fluid-structure interactions; , high-speed flow
</t>
  </si>
  <si>
    <t>Shenqiang Ren, PhD</t>
  </si>
  <si>
    <t>shenren@buffalo.edu</t>
  </si>
  <si>
    <t>s Materials-by-design, self-assembly, emerging functional materials for energy-critical applications</t>
  </si>
  <si>
    <t>Materials-by-design, self-assembly, emerging functional materials for energy-critical applications</t>
  </si>
  <si>
    <t>s Experimental fluid mechanics, vortex dynamics, unsteady aerodynamics, bio-inspired propulsion with applications to autonomous air and underwater vehicles, fluid-structure interactions, and high-speed flow</t>
  </si>
  <si>
    <t>Experimental fluid mechanics, vortex dynamics, unsteady aerodynamics, bio-inspired propulsion with applications to autonomous air , underwater vehicles, fluid-structure interactions, high-speed flow</t>
  </si>
  <si>
    <t>David Salac, PhD</t>
  </si>
  <si>
    <t>davidsal@buffalo.edu</t>
  </si>
  <si>
    <t>s Computational fluid dynamics, material systems with moving interfaces, numerical methods, directed self-assembly, high performance computing</t>
  </si>
  <si>
    <t>Computational fluid dynamics, material systems with moving interfaces, numerical methods, directed self-assembly, high performance computing</t>
  </si>
  <si>
    <t>Sangwoo Shin, PhD</t>
  </si>
  <si>
    <t>sangwoos@buffalo.edu</t>
  </si>
  <si>
    <t>s Complex fluids and soft matter, transport phenomena, micro/nanofluidics, electrokinetics, drug delivery, bioseparation, bacterial motility, hydrocarbon recovery</t>
  </si>
  <si>
    <t>Complex fluids , soft matter, transport phenomena, micro/nanofluidics, electrokinetics, drug delivery, bioseparation, bacterial motility, hydrocarbon recovery</t>
  </si>
  <si>
    <t>Tarunraj Singh, PhD</t>
  </si>
  <si>
    <t>tsingh@buffalo.edu</t>
  </si>
  <si>
    <t>s Target tracking, human-vehicle control, optimal control, nonlinear control, dynamics &amp; control of flexible structures</t>
  </si>
  <si>
    <t>Target tracking, human-vehicle control, optimal control, nonlinear control, dynamics &amp; control of flexible structures</t>
  </si>
  <si>
    <t>Craig Snoeyink, PhD</t>
  </si>
  <si>
    <t>craigsno@buffalo.edu</t>
  </si>
  <si>
    <t>s Microfluidics, micro-particle tracking/particle image velocimetry, super-resolution imaging, biomedical imaging</t>
  </si>
  <si>
    <t>Microfluidics, micro-particle tracking/particle image velocimetry, super-resolution imaging, biomedical imaging</t>
  </si>
  <si>
    <t>Ryan St. Pierre, PhD</t>
  </si>
  <si>
    <t>ryans@buffalo.edu</t>
  </si>
  <si>
    <t>s Microrobots, insect biomechanics, and MEMS</t>
  </si>
  <si>
    <t>Microrobots, insect biomechanics, MEMS</t>
  </si>
  <si>
    <t>Minghui Zheng, PhD</t>
  </si>
  <si>
    <t>mhzheng@buffalo.edu</t>
  </si>
  <si>
    <t>s Iterative learning control, high precision control, nonlinear/robust control with applications to robotics, autonomous systems, manufacturing</t>
  </si>
  <si>
    <t>Iterative learning control, high precision control, nonlinear/robust control with applications to robotics, autonomous systems, manufacturing</t>
  </si>
  <si>
    <t>J.W. Adams, PhD</t>
  </si>
  <si>
    <t>jwadams@buffalo.edu</t>
  </si>
  <si>
    <t>Jamie Adams, PhD</t>
  </si>
  <si>
    <t>Jason Armstrong, PhD</t>
  </si>
  <si>
    <t>jna4@buffalo.edu</t>
  </si>
  <si>
    <t>s Mechanical behavior of materials, Size-dependent mechanical behavior, Materials for additive manufacturing, Materials characterization</t>
  </si>
  <si>
    <t>Mechanical behavior of materials, Size-dependent mechanical behavior, Materials for additive manufacturing, Materials characterization</t>
  </si>
  <si>
    <t>MaTT Burge, PhD</t>
  </si>
  <si>
    <t>mburge@buffalo.edu</t>
  </si>
  <si>
    <t>s Experimental fluid mechanics, bio-inspired propulsion for autonomous vehicle design, unsteady vortex dynamics, fluid-structure interactions, STEM pedagogy</t>
  </si>
  <si>
    <t>Experimental fluid mechanics, bio-inspired propulsion for autonomous vehicle design, unsteady vortex dynamics, fluid-structure interactions, STEM pedagogy</t>
  </si>
  <si>
    <t>Brad Darrall, PhD</t>
  </si>
  <si>
    <t>bdarrall@buffalo.edu</t>
  </si>
  <si>
    <t>s Computational and applied mechanics finite element methods, variational approaches for classical and quantum mechanics, mutliphysics continuum dynamics, piezo- and flexo-electrics, micro mechanics, and size-dependent continuum theories</t>
  </si>
  <si>
    <t>Computational , applied mechanics finite element methods, variational approaches for classical , quantum mechanics, mutliphysics continuum dynamics, piezo- , flexo-electrics, micro mechanics, size-dependent continuum theories</t>
  </si>
  <si>
    <t>Aaron Estes, PhD</t>
  </si>
  <si>
    <t>aaronest@buffalo.edu</t>
  </si>
  <si>
    <t>s Dynamics and control, system identification, game-based learning in engineering higher education</t>
  </si>
  <si>
    <t>Dynamics , control, system identification, game-based learning in engineering higher education</t>
  </si>
  <si>
    <t>Alaa Eldeen A. Hassan Ali, PhD</t>
  </si>
  <si>
    <t>alaaelde@buffalo.edu</t>
  </si>
  <si>
    <t>s Nuclear reactor safety, thermal processing of materials, pool boiling of nanofluids, effective thermal properties of metal parts</t>
  </si>
  <si>
    <t>Nuclear reactor safety, thermal processing of materials, pool boiling of nanofluids, effective thermal properties of metal parts</t>
  </si>
  <si>
    <t>Jobaidur Khan, PhD</t>
  </si>
  <si>
    <t>jobaidur@buffalo.edu</t>
  </si>
  <si>
    <t>Research Topics Computational fluid dynamics, power augmentation, alternative energy, coal gasification, NOx emission reduction</t>
  </si>
  <si>
    <t>Computational fluid dynamics, power augmentation, alternative energy, coal gasification, NOx emission reduction</t>
  </si>
  <si>
    <t>Jennifer Stamm (Haggerty), PhD</t>
  </si>
  <si>
    <t>jrh6@buffalo.edu</t>
  </si>
  <si>
    <t>s Robust vibration control, optimization, estimation of dynamic systems, data assimilation and Bayesian inference, robust convex approximation theory, life-cycle cost modeling, aggregate demand, supply chain optimization, tradespace exploration, industrial internet, integrated circuit optimization</t>
  </si>
  <si>
    <t>Robust vibration control, optimization, estimation of dynamic systems, data assimilation , Bayesian inference, robust convex approximation theory, life-cycle cost modeling, aggregate dem,, supply chain optimization, tradespace exploration, industrial internet, integrated circuit optimization</t>
  </si>
  <si>
    <t>Chen Zeng, PhD</t>
  </si>
  <si>
    <t>czeng2@buffalo.edu</t>
  </si>
  <si>
    <t>University of Arizona</t>
  </si>
  <si>
    <t>Ara Arabyan</t>
  </si>
  <si>
    <t>arabyan@arizona.edu</t>
  </si>
  <si>
    <t>Majid Beidaghi</t>
  </si>
  <si>
    <t>beidaghi@arizona.edu</t>
  </si>
  <si>
    <t xml:space="preserve">Elsewhere </t>
  </si>
  <si>
    <t>Eric Butcher</t>
  </si>
  <si>
    <t>ebutcher@arizona.edu</t>
  </si>
  <si>
    <t xml:space="preserve">Dynamics and control in nonlinear, time-periodic, time-delayed, stochastic, and fractional order systems, chaos identification and control, multi-agent consensus control and estimation, spacecraft guidance, navigation and control, estimation and control of spacecraft attitude and relative motion dynamics, coupled orbit/attitude dynamics, Coulomb formation flying, interplanetary, interstellar and libration point transfers, nonlinear vibrations, order reduction, regenerative chatter in machining, vibration-based damage detection in structural and rotordynamic systems.
</t>
  </si>
  <si>
    <t xml:space="preserve">Dynamics , control in nonlinear, time-periodic, time-delayed, stochastic, fractional order systems, chaos identification , control, multi-agent consensus control , estimation, spacecraft guidance, navigation , control, estimation , control of spacecraft attitude , relative motion dynamics, coupled orbit/attitude dynamics, Coulomb formation flying, interplanetary, interstellar , libration point transfers, nonlinear vibrations, order reduction, regenerative chatter in machining, vibration-based damage detection in structural , rotordynamic systems
</t>
  </si>
  <si>
    <t>Cholik Chan</t>
  </si>
  <si>
    <t>cholik@arizona.edu</t>
  </si>
  <si>
    <t>Stuart A. Craig</t>
  </si>
  <si>
    <t>sacraig@arizona.edu</t>
  </si>
  <si>
    <t xml:space="preserve">Boundary-layer stability and transition, hydrodynamic instability, experimental fluid mechanics, hypersonic aerodynamics, aerodynamic heating
</t>
  </si>
  <si>
    <t xml:space="preserve">Boundary-layer stability , transition, hydrodynamic instability, experimental fluid mechanics, hypersonic aerodynamics, aerodynamic heating
</t>
  </si>
  <si>
    <t>Eniko T. Enikov</t>
  </si>
  <si>
    <t>enikov@arizona.edu</t>
  </si>
  <si>
    <t>Hermann F. Fasel</t>
  </si>
  <si>
    <t>faselh@arizona.edu</t>
  </si>
  <si>
    <t>Barry D. Ganapol</t>
  </si>
  <si>
    <t>ganapol@cowboy.ame.arizona.edu</t>
  </si>
  <si>
    <t>David W. Hahn</t>
  </si>
  <si>
    <t>dwhahn@arizona.edu</t>
  </si>
  <si>
    <t>Hahn began his research career as an NRC postdoctoral associate in the electro-optics branch of the U.S. Food and Drug Administration Center for Devices and Radiological Health. He then spent four years at Sandia National Laboratories, first as a postdoctoral researcher and then as a member of the technical staff.</t>
  </si>
  <si>
    <t>Drug Administration Center for Devices , Radiological Health</t>
  </si>
  <si>
    <t>Kyle Hanquist</t>
  </si>
  <si>
    <t>hanquist@arizona.edu</t>
  </si>
  <si>
    <t xml:space="preserve">Hypersonics, Aerothermodynamics, Nonequilibrium Flows, Molecular Gas Dynamics, Computational Fluid Dynamics, Low-Temperature Plasmas, Thermal Management, Optimization, Finite-Rate Chemistry
</t>
  </si>
  <si>
    <t>Qing Hao</t>
  </si>
  <si>
    <t>qinghao@arizona.edu</t>
  </si>
  <si>
    <t xml:space="preserve">Nanoscale energy transport
</t>
  </si>
  <si>
    <t>Nanoscale energy transport</t>
  </si>
  <si>
    <t>Kavan Hazeli</t>
  </si>
  <si>
    <t>hazeli@arizona.edu</t>
  </si>
  <si>
    <t xml:space="preserve">Materials Design, Mechanical Behavior of Materials, Multi-functional Materials, Failure Analysis, Deformation Mechanisms, Fatigue, Thermo-mechanical Properties, Materials response to Multi-axial Loading, Optomechanics, Data Conversion
</t>
  </si>
  <si>
    <t>Jeffrey W. Jacobs</t>
  </si>
  <si>
    <t>jwjacobs@arizona.edu</t>
  </si>
  <si>
    <t>$12,348 per year (in-state, full-time)</t>
  </si>
  <si>
    <t>Peiwen "Perry" Li</t>
  </si>
  <si>
    <t>peiwen@arizona.edu</t>
  </si>
  <si>
    <t xml:space="preserve">Fuel cell and electrolysisHydrogen productionRenewable energy technologiesThermal energy storageThermal-driven water technology
</t>
  </si>
  <si>
    <t xml:space="preserve">Fuel cell , electrolysisHydrogen productionRenewable energy technologiesThermal energy storageThermal-driven water technology
</t>
  </si>
  <si>
    <t>Jesse Little</t>
  </si>
  <si>
    <t>jesselittle@arizona.edu</t>
  </si>
  <si>
    <t xml:space="preserve">Research in the Turbulence and Flow Control Laboratory (TFCL) focuses on experimental studies of flow physics and flow control at both the basic and applied levels. Efforts are primarily concerned with fundamental aspects of aerodynamics and propulsion in both subsonic and supersonic flows. Many projects are done in close collaboration with research groups having expertise in computational and theoretical fluid dynamics. Current and past TFCL sponsors include the Air Force Office of Scientific Research, Air Force Research Lab, Arizona-NASA Space Grant Consortium, Army Research Office, The Boeing Company, Naval Surface Warfare Center, Office of Naval Research, PM&amp;AM Research, LLC, and Raytheon Missile Systems
</t>
  </si>
  <si>
    <t xml:space="preserve">Turbulence, Flow Control Laboratory (TFCL) focuses on experimental studies of flow physics , flow control at both the basic , applied levels
</t>
  </si>
  <si>
    <t>Erdogan Madenci</t>
  </si>
  <si>
    <t>madenci@arizona.edu</t>
  </si>
  <si>
    <r>
      <rPr>
        <sz val="10"/>
        <color rgb="FF000000"/>
        <rFont val="Arial"/>
        <family val="2"/>
      </rPr>
      <t xml:space="preserve">Head - </t>
    </r>
    <r>
      <rPr>
        <u/>
        <sz val="10"/>
        <color rgb="FF000000"/>
        <rFont val="Arial"/>
        <family val="2"/>
      </rPr>
      <t>Farzad Mashayek</t>
    </r>
  </si>
  <si>
    <t>mashayek@arizona.edu</t>
  </si>
  <si>
    <t xml:space="preserve">Turbulent reacting flow, plasma flow, electrostatic atomization, solid ion batteries, computational methods, machine learning applications
</t>
  </si>
  <si>
    <t>Turbulent reacting flow, plasma flow, electrostatic atomization, solid ion batteries, computational methods, machine learning applications</t>
  </si>
  <si>
    <t>Samy Missoum</t>
  </si>
  <si>
    <t>smissoum@arizona.edu</t>
  </si>
  <si>
    <t>Bernard Parent</t>
  </si>
  <si>
    <t>bparent@arizona.edu</t>
  </si>
  <si>
    <t xml:space="preserve">Computational Fluid Dynamics, Hypersonic Flows, Plasma Flows, Reactive Flows
</t>
  </si>
  <si>
    <t xml:space="preserve">Computational Fluid Dynamics, Hypersonic Flows, Plasma Flows, Reactive Flows
</t>
  </si>
  <si>
    <t>Hossein Rastgoftar</t>
  </si>
  <si>
    <t>hrastgoftar@arizona.edu</t>
  </si>
  <si>
    <t xml:space="preserve">Rastgoftar’s areas of interest span decision-making under uncertainty, human-robotic interaction, swarm robotics, system autonomy, UAS traffic management, intelligent transportation, formal specification and verification, and finite-state abstraction of dynamical systems.
</t>
  </si>
  <si>
    <t xml:space="preserve">decision-making under uncertainty, human-robotic interaction, swarm robotics, system autonomy, UAS traffic management, intelligent transportation, formal specification , verification, finite-state abstraction of dynamical systems
</t>
  </si>
  <si>
    <t>Sergey V. Shkarayev</t>
  </si>
  <si>
    <t>svs@arizona.edu</t>
  </si>
  <si>
    <t>Richard Stehle</t>
  </si>
  <si>
    <t>rstehle@arizona.edu</t>
  </si>
  <si>
    <t>Jekan Thanga</t>
  </si>
  <si>
    <t>jekan@arizona.edu</t>
  </si>
  <si>
    <t>His research covers the investigation of fundamental theoretical concepts with simulation using computational tools, culminating with field trials and deployment.  His research focuses on developing system design and control technologies, that enables
Machine Learning, AI and Autonomous Control
Science Instrumentation for Exploration
Power
Propulsion
Communications
Smart Structures and Deployables</t>
  </si>
  <si>
    <t>Machine Learning, AI , Autonomous Control,
Science Instrumentation for Exploration,
Power,
Propulsion,
Communications,
Smart Structures , Deployables</t>
  </si>
  <si>
    <t>Xiaoyi Wu</t>
  </si>
  <si>
    <t>xwu@arizona.edu</t>
  </si>
  <si>
    <t>Israel J. Wygnanski</t>
  </si>
  <si>
    <t>wygy@arizona.edu</t>
  </si>
  <si>
    <t>Jangho Yoon</t>
  </si>
  <si>
    <t>janghoyoon@arizona.edu</t>
  </si>
  <si>
    <t>Vitaliy Yurkiv</t>
  </si>
  <si>
    <t>vyurkiv@arizona.edu</t>
  </si>
  <si>
    <t xml:space="preserve">Multi-physics modeling and machine learning calculation of energy storage and conversion technologies.Ab-initio density functional theory (DFT) calculations. Thermal measurements of cylindrical and pouch batteries.
</t>
  </si>
  <si>
    <t>Multi-physics modeling , machine learning calculation of energy storage , conversion technologies,Ab-initio density functional theory (DFT) calculations, Thermal measurements of cylindrical , pouch batteries</t>
  </si>
  <si>
    <t>Olesya Zhupanska</t>
  </si>
  <si>
    <t>oiz@arizona.edu</t>
  </si>
  <si>
    <t>Structural composites in extreme environments (electromagnetic, thermal and mechanical multi-field effects, lightning strike effects, high temperature effects)
Micromechanics of composites (complex and spatially graded microstructures)
Low velocity impact of composites (testing and analysis, CT damage evaluation, damage sensing)
PDE-constrained optimization with applications to mechanics
Contact mechanics (effects of friction and adhesion)</t>
  </si>
  <si>
    <t>Structural composites in extreme environments,
Low velocity impact of composites,
PDE-constrained optimization with applications to mechanics,
Contact mechanics</t>
  </si>
  <si>
    <t>Yitshak Zohar</t>
  </si>
  <si>
    <t>zohar@arizona.edu</t>
  </si>
  <si>
    <t>University of Connecticut</t>
  </si>
  <si>
    <t>Osama Bilal</t>
  </si>
  <si>
    <t>osama.bilal@uconn.edu</t>
  </si>
  <si>
    <t>His s spans dynamics of structures and materials, acoustic metamaterials, soft robotics, additive manufacturing, origami, topology optimization, haptics and fluid-structure interaction.</t>
  </si>
  <si>
    <t>dynamics of structures , materials, acoustic metamaterials, soft robotics, additive manufacturing, origami, topology optimization, haptics , fluid-structure interaction</t>
  </si>
  <si>
    <t>Claudio Bruno</t>
  </si>
  <si>
    <t>claudio.bruno@uconn.edu</t>
  </si>
  <si>
    <t xml:space="preserve"> Aerospace Combustion and Propulsion, Current</t>
  </si>
  <si>
    <t xml:space="preserve"> Aerospace Combustion , Propulsion, Current</t>
  </si>
  <si>
    <t>Francesco Carbone</t>
  </si>
  <si>
    <t>carbone@uconn.edu</t>
  </si>
  <si>
    <t xml:space="preserve">Dr. Carbone dreams of sustainable and affordable approaches to satisfy the worldwide energy and mobility demand and believes that the technological breakthroughs necessary to achieve his goal can be attained performing basic science studies. His research focuses on multiphase reactive flows for energy applications and encompasses reaction kinetics, transport phenomena, aerosol dynamics, and nanoparticles synthesis. Dr. Carbone is specialized in developing innovative experimental approaches to interrogate the chemistry and physics of the studied problems but also takes advantage of computational tools to dig into the meaning of the experimental results. He authored dozens of articles published in peer-reviewed journals and contributed to the understanding of the detailed structure of flames and of the fundamental mechanisms leading to the emissions of pollutant nanoparticles from combustion applications.
</t>
  </si>
  <si>
    <t xml:space="preserve">multiphase reactive flows for energy applications , encompasses reaction kinetics, transport phenomena, aerosol dynamics, nanoparticles synthesis
</t>
  </si>
  <si>
    <t>Baki Cetegen</t>
  </si>
  <si>
    <t>baki.cetegen@uconn.edu</t>
  </si>
  <si>
    <t>Dr. Cetegen’s research is in the general areas of experimental combustion and fluid dynamics with emphasis on laser diagnostics and optical imaging. His many RProjects included dynamics  and limit behavior of turbulent premixed flames, thermodynamics of rotating detonations, heat transfer and phase change in rotating flows, thermal spray process characterization by non-intrusive optical measurements and modeling, non-intrusive optical diagnostics for PEM fuel cells, fluid dynamics of buoyant plumes, flames and fire research.</t>
  </si>
  <si>
    <t>experimental combustion , fluid dynamics with emphasis on laser diagnostics , optical imaging, dynamics  , limit behavior of turbulent premixed flames, thermodynamics of rotating detonations, heat transfer , phase change in rotating flows, thermal spray process characterization by non-intrusive optical measurements , modeling, non-intrusive optical diagnostics for PEM fuel cells, fluid dynamics of buoyant plumes, flames</t>
  </si>
  <si>
    <t>Ruimin Chen</t>
  </si>
  <si>
    <t>ruimin.chen@uconn.edu</t>
  </si>
  <si>
    <t>Her research focuses on data analytics, statistical learning, system identification and uncertainty quantification, and modeling and analysis of complex systems. She is currently working on privacy and security, along with human-machine teaming in advanced manufacturing systems.</t>
  </si>
  <si>
    <t>data analytics, statistical learning, system identification , uncertainty quantification, modeling , analysis of complex systems, She is currently working on privacy , security, along with human-machine teaming in advanced manufacturing systems</t>
  </si>
  <si>
    <t>Chengyu Cao</t>
  </si>
  <si>
    <t>chengyu.cao@uconn.edu</t>
  </si>
  <si>
    <t>Dr. Cao’s research is in the area of dynamics and control, adaptive and intelligent systems, and mechatonics with focus on unmanned systems and aerospace applications. He is also interested in bio-mechanics, sensor and actuator networks, control of flexible structures, and fluid/combustion control.</t>
  </si>
  <si>
    <t>dynamics , control, adaptive , intelligent systems, mechatonics with focus on unmanned systems , aerospace applications, bio-mechanics, sensor , actuator networks, control of flexible structures, fluid/combustion control</t>
  </si>
  <si>
    <t>Wilson K. S. Chiu</t>
  </si>
  <si>
    <t>wilson.chiu@uconn.edu</t>
  </si>
  <si>
    <t>His research focuses on heat and mass transfer with chemical reactions, with applications to materials for sustainable energy applications (fuel cell, battery, gas separation membrane, metal foam, electrolyzer, solar cell, waste form), molten salt reactors, carbon nano-materials, photonics, and semiconductors.</t>
  </si>
  <si>
    <t>heat , mass transfer with chemical reactions, with applications to materials for sustainable energy applications , molten salt reactors, carbon nano-materials, photonics, semiconductors</t>
  </si>
  <si>
    <t>Ryan Cooper</t>
  </si>
  <si>
    <t>ryan.c.cooper@uconn.edu</t>
  </si>
  <si>
    <t xml:space="preserve">His research focuses on multiscale mechanics of materials including 2D materials (such as graphene), ceramics, etc.
</t>
  </si>
  <si>
    <t>multiscale mechanics of materials including 2D materials (such as graphene), ceramics</t>
  </si>
  <si>
    <t>David (Ed)  Crow</t>
  </si>
  <si>
    <t>edward.crow@pratt-whitney.com</t>
  </si>
  <si>
    <t xml:space="preserve">He also led the research and development of advanced technologies systems to meet future aircraft requirements. </t>
  </si>
  <si>
    <t>development of advanced technologies systems to meet future aircraft requirements</t>
  </si>
  <si>
    <t>Frank J. Cunha</t>
  </si>
  <si>
    <t>francisco.cunha@uconn.edu</t>
  </si>
  <si>
    <t>His areas of concentration include Manufacturing Processes, Turbomachinery Development, Advanced Thermodynamics, Energy Systems, Solid Mechanics, Fracture Mechanics and Fatigue, Fluid Dynamics, and Advanced Heat Transfer.</t>
  </si>
  <si>
    <t>Manufacturing Processes, Turbomachinery Development, Advanced Thermodynamics, Energy Systems, Solid Mechanics, Fracture Mechanics , Fatigue, Fluid Dynamics, Advanced Heat Transfer</t>
  </si>
  <si>
    <t>Mihai Duduta</t>
  </si>
  <si>
    <t>mihai.duduta@uconn.edu</t>
  </si>
  <si>
    <t>soft robotics</t>
  </si>
  <si>
    <t>David J.  Giblin</t>
  </si>
  <si>
    <t>david.giblin@uconn.edu</t>
  </si>
  <si>
    <t>His research centers on manipulation theory and control of mechanical systems.</t>
  </si>
  <si>
    <t xml:space="preserve"> manipulation theory , control of mechanical systems</t>
  </si>
  <si>
    <t>$18,174 per year (in-state, full-time)</t>
  </si>
  <si>
    <t>Chao Hu</t>
  </si>
  <si>
    <t>chao.hu@uconn.edu</t>
  </si>
  <si>
    <t xml:space="preserve">Dr. Hu’s s are engineering design under uncertainty, lifetime prediction of lithium-ion batteries, and prognostics and health management. </t>
  </si>
  <si>
    <t xml:space="preserve">engineering design under uncertainty, lifetime prediction of lithium-ion batteries, prognostics , health management, </t>
  </si>
  <si>
    <t>Martin Huber</t>
  </si>
  <si>
    <t>martin.huber@uconn.edu</t>
  </si>
  <si>
    <t xml:space="preserve">His interests include computational design, mechatronics and mechanical systems, and human motion analysis.
</t>
  </si>
  <si>
    <t xml:space="preserve">computational design, mechatronics , mechanical systems, human motion analysis
</t>
  </si>
  <si>
    <r>
      <rPr>
        <sz val="10"/>
        <color rgb="FF000000"/>
        <rFont val="Arial"/>
        <family val="2"/>
      </rPr>
      <t xml:space="preserve">Head - </t>
    </r>
    <r>
      <rPr>
        <u/>
        <sz val="10"/>
        <color rgb="FF000000"/>
        <rFont val="Arial"/>
        <family val="2"/>
      </rPr>
      <t>Horea T.  Ilies</t>
    </r>
  </si>
  <si>
    <t>horea.ilies@uconn.edu</t>
  </si>
  <si>
    <t>His current s include geometric and physical computing, shape synthesis and geometric reasoning, and, more generally, center on theoretical and computational aspects for systematic design and manufacturing of engineered systems.</t>
  </si>
  <si>
    <t>geometric , physical computing, shape synthesis , geometric reasoning,, more generally, center on theoretical , computational aspects for systematic design , manufacturing of engineered systems</t>
  </si>
  <si>
    <t>Farhad Imani</t>
  </si>
  <si>
    <t>farhad.imani@uconn.edu</t>
  </si>
  <si>
    <t>His s focus on data analytics, machine learning, statistical learning, and decision theory for process monitoring and control, system diagnostics and prognostics, quality and reliability improvement with applications in advanced manufacturing.</t>
  </si>
  <si>
    <t>data analytics, machine learning, statistical learning, decision theory for process monitoring , control, system diagnostics , prognostics, quality , reliability improvement with applications in advanced manufacturing</t>
  </si>
  <si>
    <t>SeungYeon Kang</t>
  </si>
  <si>
    <t>seung_yeon.kang@uconn.edu</t>
  </si>
  <si>
    <t>Her diverse research experience led to establishment of a highly interdisciplinary research lab that focuses on advanced laser processing techniques and energy storage technology.</t>
  </si>
  <si>
    <t>experience led to establishment of a highly interdisciplinary research lab that focuses on advanced laser processing techniques , energy storage technology</t>
  </si>
  <si>
    <t>Kazem Kazerounian</t>
  </si>
  <si>
    <t>kazem.kazerounian@uconn.edu</t>
  </si>
  <si>
    <t>Analysis and design of protein molecules and the study of their folding pathway as a basis for bio-nano machines,
Dynamics and design of gear systems,
Product design with focus on health and ergonomic aspects of the products,
Robotic manipulation,
Creativity in engineering education.</t>
  </si>
  <si>
    <t>Analysis , design of protein molecules , the study of their folding pathway as a basis for bio-nano machines,
Dynamics , design of gear systems,
Product design with focus on health , ergonomic aspects of the products,
Robotic manipulation,
Creativity in engineering education,</t>
  </si>
  <si>
    <t>Jeongho Kim</t>
  </si>
  <si>
    <t>jeongho.kim@uconn.edu</t>
  </si>
  <si>
    <t>Computational fracture mechanics, Current, finite element methods, fuel cells, functionally graded materials</t>
  </si>
  <si>
    <t>Kyungjin Kim</t>
  </si>
  <si>
    <t>kyungjin.kim@uconn.edu</t>
  </si>
  <si>
    <t>smart packaging of food and pharma-, composite materials in aircraft/naval engineering, where optimizations and reliability analysis of nanocomposite materials, barrier materials, fatigue and fracture of materials are required, building interdisciplinary research towards microengineering, materials science, and biomedical engineering.</t>
  </si>
  <si>
    <t>smart packaging of food , pharma-composite materials in aircraft/naval engineering, optimizations , reliability analysis of nanocomposite materials, barrier materials, fatigue , fracture of materials are required, building interdisciplinary research towards microengineering, materials science, biomedical engineering</t>
  </si>
  <si>
    <t>Jason Lee</t>
  </si>
  <si>
    <t>jason.lee@uconn.edu</t>
  </si>
  <si>
    <t>His research focuses on computational heat transfer studies of manufacturing processes and characterization of polymer nanocomposite and nanofibers used for ablative and high strength applications.</t>
  </si>
  <si>
    <t>computational heat transfer studies of manufacturing processes , characterization of polymer nanocomposite , nanofibers used for ablative , high strength applications</t>
  </si>
  <si>
    <t>Tianfeng Lu</t>
  </si>
  <si>
    <t>tianfeng.lu@uconn.edu</t>
  </si>
  <si>
    <t>His primary s include computational fluid dynamics with detailed chemistry as well as reduction of large chemical kinetic mechanisms for computationally efficient simulation of complex multidimensional, turbulent flows and other engineering systems.</t>
  </si>
  <si>
    <t>computational fluid dynamics with detailed chemistry as well as reduction of large chemical kinetic mechanisms for computationally efficient simulation of complex multidimensional, turbulent flows</t>
  </si>
  <si>
    <t>George  Lykotrafitis</t>
  </si>
  <si>
    <t>george.lykotrafitis@uconn.edu</t>
  </si>
  <si>
    <t xml:space="preserve">Biomedical Related Applications, cellular mechanics, cellular membrane dynamics, Current, dynamic frictional sliding modes, incoherent interfaces, Micro and Nano-scale Systems
</t>
  </si>
  <si>
    <t>Biomedical Related Applications, cellular mechanics, cellular membrane dynamics, Current, dynamic frictional sliding modes, incoherent interfaces, Micro , Nano-scale Systems</t>
  </si>
  <si>
    <t>George Matheou</t>
  </si>
  <si>
    <t>georgios.matheou@uconn.edu</t>
  </si>
  <si>
    <t xml:space="preserve">He combines theory, modeling, state of the art computational algorithms, in situ measurements and remote sensing data to understand and predict complex multi-physics fluid flows, which include the interaction of several physical processes stable and unstable density stratification, rotation, and radiation.
</t>
  </si>
  <si>
    <t xml:space="preserve">theory, modeling, state of the art computational algorithms, in situ measurements , remote sensing data to underst, , predict complex multi-physics fluid flows,several physical processes stable , unstable density stratification, rotation, radiation
</t>
  </si>
  <si>
    <t>Vito Moreno</t>
  </si>
  <si>
    <t>vito.moreno@uconn.edu</t>
  </si>
  <si>
    <t>Applied Mechanics and Advanced Materials Processing, Current, fatigue mechanics, fracture mechanics, solid mechanics, Structural mechanics</t>
  </si>
  <si>
    <t>Applied Mechanics , Advanced Materials Processing, Current, fatigue mechanics, fracture mechanics, solid mechanics, Structural mechanics</t>
  </si>
  <si>
    <t>Thanh Duc Nguyen</t>
  </si>
  <si>
    <t>nguyentd@uconn.edu</t>
  </si>
  <si>
    <t>His research is highly interdisciplinary and at the interface of biomedicine, materials and nano/micro technology.</t>
  </si>
  <si>
    <t>biomedicine, materials , nano/micro technology</t>
  </si>
  <si>
    <t>Julian A. Norato</t>
  </si>
  <si>
    <t>julian.norato@uconn.edu</t>
  </si>
  <si>
    <t>His current s lie in incorporating failure, geometric, manufacturing and cost requirements in computational topology and shape optimization techniques for the design exploration of novel and highly efficient structures and architected materials.</t>
  </si>
  <si>
    <t>failure, geometric, manufacturing , cost requirements in computational topology , shape optimization techniques for the design exploration of novel , highly efficient structures , architected materials</t>
  </si>
  <si>
    <t>Nejat Olgac</t>
  </si>
  <si>
    <t>nejat.olgac@uconn.edu</t>
  </si>
  <si>
    <t>His s are on time-delayed systems, vibration suppression techniques, nonlinear robust control of dynamic systems, and micromanipulation in cellular biology.</t>
  </si>
  <si>
    <t>time-delayed systems, vibration suppression techniques, nonlinear robust control of dynamic systems, micromanipulation in cellular biology</t>
  </si>
  <si>
    <t>Jorge Paricio</t>
  </si>
  <si>
    <t>jparicio@uconn.edu</t>
  </si>
  <si>
    <t xml:space="preserve">Concept drawing for product design, digital rendering, design thinking, product development.
</t>
  </si>
  <si>
    <t>Concept drawing for product design, digital rendering, design thinking, product development</t>
  </si>
  <si>
    <t>Ugur Pasaogullari</t>
  </si>
  <si>
    <t>ugur.pasaogullari@uconn.edu</t>
  </si>
  <si>
    <t>His current research focuses on thermal and water management in polymer electrolyte fuel cells, and characterization of the effects of heat and water transport on performance and durability of these systems.</t>
  </si>
  <si>
    <t>thermal , water management in polymer electrolyte fuel cells, characterization of the effects of heat , water transport on performance , durability of these systems</t>
  </si>
  <si>
    <t>Georges Pavlidis</t>
  </si>
  <si>
    <t>georges.pavlidis@uconn.edu</t>
  </si>
  <si>
    <t>Dr. Pavlidis’ research focuses on developing new technology for solving today’s big data, energy, medical, space and quantum engineering challenges. His plan is to develoPnovel methods which will reveal complex processes that occur on the nanoscale.</t>
  </si>
  <si>
    <t>big data, energy, medical, space , quantum engineering challenges</t>
  </si>
  <si>
    <t>David M. Pierce</t>
  </si>
  <si>
    <t>david.pierce@uconn.edu</t>
  </si>
  <si>
    <t>Applied Mechanics and Advanced Materials Processing, biomechanics, computational mechanics, computational solid mechanics, Current, finite element methods</t>
  </si>
  <si>
    <t>Applied Mechanics , Advanced Materials Processing, biomechanics, computational mechanics, computational solid mechanics, Current, finite element methods</t>
  </si>
  <si>
    <t>Alexei Poludnenko</t>
  </si>
  <si>
    <t>alexei.poludnenko@uconn.edu</t>
  </si>
  <si>
    <t>Aerospace propulsion systems
Chemical and thermonuclear combustion
Turbulence in reacting and non-reacting flows
Computational fluid dynamics and high-performance computing
Space weather, plasma physics and magnetohydrodynamics</t>
  </si>
  <si>
    <t>Aerospace propulsion systems,
Chemical , thermonuclear combustion,
Turbulence in reacting , non-reacting flows,
Computational fluid dynamics , high-performance computing,
Space weather, plasma physics , magnetohydrodynamics</t>
  </si>
  <si>
    <t>Reza Sheikhi</t>
  </si>
  <si>
    <t>reza.sheikhi@uconn.edu</t>
  </si>
  <si>
    <t>computational fluid mechanics, computational mechanics, Current, Energy Systems, fluid mechanics, Multi-physics computational modeling, transport phenomena, turbulent combustion, turbulent combustion modeling</t>
  </si>
  <si>
    <t>Chih-Jen (Jackie)  Sung</t>
  </si>
  <si>
    <t>chih-jen.sung@uconn.edu</t>
  </si>
  <si>
    <t xml:space="preserve"> combustion, Current, Energy Systems, fuel chemistry, laser diagnostics</t>
  </si>
  <si>
    <t>Jiong Tang</t>
  </si>
  <si>
    <t>jiong.tang@uconn.edu</t>
  </si>
  <si>
    <t>Dr. Tang has studied a series of research subjects including smart materials, motion and vibration controls, sensing and signal processing, uncertainty propagation, design optimization, computational intelligence, and modeling and analysis of multi-physics systems and processes.  Dr. Tang’s research has been supported extensively by federal agencies and industrial companies.</t>
  </si>
  <si>
    <t>smart materials, motion , vibration controls, sensing , signal processing, uncertainty propagation, design optimization, computational intelligence, modeling , analysis of multi-physics systems , processesDr, Tang’s research has been supported extensively by federal agencies , industrial companies</t>
  </si>
  <si>
    <t>Anna Tarakanova</t>
  </si>
  <si>
    <t>anna.tarakanova@uconn.edu</t>
  </si>
  <si>
    <t>molecular modeling and simulation, multiscale modeling, biological materials, protein folding, disordered proteins, biomaterials, biomechanics, disease modeling, molecular structure characterization</t>
  </si>
  <si>
    <t>molecular modeling, simulation, multiscale modeling, biological materials, protein folding, disordered proteins, biomaterials, biomechanics, disease modeling, molecular structure characterization</t>
  </si>
  <si>
    <t>Hongyi Xu</t>
  </si>
  <si>
    <t>hongyi.3.xu@uconn.edu</t>
  </si>
  <si>
    <t>Design, Multi-disciplinary optimization, Multi-fidelity optimization, Uncertainty Quantification, Uncertainty Propagation, Surrogate modeling, Data mining, Microstructure, Mesostructure, DfAM, multiscale modeling, Lithium-ion battery, Impact safety</t>
  </si>
  <si>
    <t>Xinyu Zhao</t>
  </si>
  <si>
    <t>xinyu.zhao@uconn.edu</t>
  </si>
  <si>
    <t xml:space="preserve">Dr. Zhao’s s are in the area of computational fluid dynamics, with a focus on high-fidelity simulations of reactive flows, radiative heat transfer, multi-phase combustion, and the interplay of computation and experiments.
</t>
  </si>
  <si>
    <t>computational fluid dynamics, with a focus on high-fidelity simulations of reactive flows, radiative heat transfer, multi-phase combustion, the interplay of computation , experiments</t>
  </si>
  <si>
    <t>University of Iowa</t>
  </si>
  <si>
    <t>Christoph Beckermann</t>
  </si>
  <si>
    <t>christoph-beckermann@uiowa.edu</t>
  </si>
  <si>
    <t>Solidification of metal alloys and composites
Transport phenomena in multi-phase, multi-component systems
Heat and mass transfer in buoyancy driven systems and in porous media</t>
  </si>
  <si>
    <t>Solidification of metal alloys , composites,
Transport phenomena in multi-phase, multi-component systems,
Heat , mass transfer in buoyancy driven systems</t>
  </si>
  <si>
    <t>James Buchholz</t>
  </si>
  <si>
    <t>james-h-buchholz@uiowa.edu</t>
  </si>
  <si>
    <t>Unsteady aerodynamics of biologically-inspired air and underwater vehicles
Wind turbine aerodynamics
Transport processes around boulders and mussels in fluvial environments
Cardiovascular flows</t>
  </si>
  <si>
    <t>Unsteady aerodynamics of biologically-inspired air , underwater vehicles,
Wind turbine aerodynamics,
Transport processes around boulders , mussels in fluvial environments,
Cardiovascular flows</t>
  </si>
  <si>
    <t>Venanzio Cichella</t>
  </si>
  <si>
    <t>venanzio-cichella@uiowa.edu</t>
  </si>
  <si>
    <t>Cooperative planning and control of autonomous vehicles
Human-centered robotic design
Optimization and machine learning</t>
  </si>
  <si>
    <t>Cooperative planning , control of autonomous vehicles,
Human-centered robotic design,
Optimization , machine learning</t>
  </si>
  <si>
    <t>PhilliPDeierling</t>
  </si>
  <si>
    <t>phillip-deierling@uiowa.edu</t>
  </si>
  <si>
    <t>Hongtao Ding</t>
  </si>
  <si>
    <t>hongtao-ding@uiowa.edu</t>
  </si>
  <si>
    <t>Laser material processing, wind turbine manufacturing, biomedical implant materials, micro/nano materials processing, machining, surface treatment, severe plastic deformation, microstructural prediction, grain refinement</t>
  </si>
  <si>
    <t>Justin Garvin</t>
  </si>
  <si>
    <t>justin-garvin@uiowa.edu</t>
  </si>
  <si>
    <t>Casey Harwood</t>
  </si>
  <si>
    <t>casey-harwood@uiowa.edu</t>
  </si>
  <si>
    <t>Experimental fluid dynamics
Fluid-structure interactions
Lifting surfaces and propellers
Multi-phase flow (cavitation and ventilation)
Alternative energy harvesting
Instrument design and data acquisition
Reduced-order, surrogate, and inverse modeling
Numerical methods</t>
  </si>
  <si>
    <t>Experimental fluid dynamics,
Fluid-structure interactions,
Lifting surfaces , propellers,
Multi-phase flow (cavitation , ventilation),
Alternative energy harvesting,
Instrument design , data acquisition,
Reduced-order, surrogate, inverse modeling,
Numerical methods</t>
  </si>
  <si>
    <t>Austin Krebill</t>
  </si>
  <si>
    <t>austin-krebill@uiowa.edu</t>
  </si>
  <si>
    <t>Caterina Lamuta</t>
  </si>
  <si>
    <t>caterina-lamuta@uiowa.edu</t>
  </si>
  <si>
    <t>Artificial Muscles
Design, modeling, fabrication, simulation, and characterization of smart materials and bio-inspired systems
Artificial camouflage
Mechanical and electro-mechanical characterization of materials at different length scales</t>
  </si>
  <si>
    <t>Artificial Muscles,
Design, modeling, fabrication, simulation, characterization of smart materials , bio-inspired systems,
Artificial camouflage,
Mechanical , electro-mechanical characterization of materials at different length scales</t>
  </si>
  <si>
    <r>
      <rPr>
        <sz val="10"/>
        <color rgb="FF000000"/>
        <rFont val="Arial"/>
        <family val="2"/>
      </rPr>
      <t xml:space="preserve">Head - </t>
    </r>
    <r>
      <rPr>
        <u/>
        <sz val="10"/>
        <color rgb="FF000000"/>
        <rFont val="Arial"/>
        <family val="2"/>
      </rPr>
      <t>Ching-Long Lin</t>
    </r>
  </si>
  <si>
    <t>ching-long-lin@uiowa.edu</t>
  </si>
  <si>
    <t>Multiscale simulation of gas flow and particle transport in the human lungs
Turbulent flow in complex geometry
Fluid-structure interaction
Parallel computing</t>
  </si>
  <si>
    <t>Multiscale simulation of gas flow , particle transport in the human lungs,
Turbulent flow in complex geometry,
Fluid-structure interaction,
Parallel computing</t>
  </si>
  <si>
    <t>Jia Lu</t>
  </si>
  <si>
    <t>jia-lu@uiowa.edu</t>
  </si>
  <si>
    <t xml:space="preserve">Mechanics of Soft Tissues, Computational Mechanics, Nonlinear Elasticity, and Inverse Problems
</t>
  </si>
  <si>
    <t>Mechanics of Soft Tissues, Computational Mechanics, Nonlinear Elasticity, Inverse Problems</t>
  </si>
  <si>
    <t>Corey Markfort</t>
  </si>
  <si>
    <t>corey-markfort@uiowa.edu</t>
  </si>
  <si>
    <t>Environmental fluid mechanics
Turbulence
Atmospheric boundary layer
Renewable energy and wind engineering
Biosphere-atmosphere exchange
Hydrology
Water resources engineering
Air-water and wetland hydrodynamics
Earth systems dynamics and change</t>
  </si>
  <si>
    <t>Environmental fluid mechanics,
Turbulence,
Atmospheric boundary layer,
Renewable energy , wind engineering,
Biosphere-atmosphere exchange,
Hydrology,
Water resources engineering,
Air-water , wetl, hydrodynamics,
Earth systems dynamics , change</t>
  </si>
  <si>
    <t>$10,875 per year (in-state, full-time)</t>
  </si>
  <si>
    <t>Ann McKenna</t>
  </si>
  <si>
    <t>ann-mckenna@uiowa.edu</t>
  </si>
  <si>
    <t>Sharif Rahman</t>
  </si>
  <si>
    <t>sharif-rahman@uiowa.edu</t>
  </si>
  <si>
    <t>Multiscale mechanics of heterogeneous media
mathematical models of random microstructure
uncertainty quantification of high-dimensional complex systems
random eigenvalue problems
stochastic mesh-free and finite-element methods
and reliability-based o</t>
  </si>
  <si>
    <t>Multiscale mechanics of heterogeneous media,
mathematical models of r,om microstructure,
uncertainty quantification of high-dimensional complex systems,
r,om eigenvalue problems
stochastic mesh-free , finite-element methods
, reliability-based o</t>
  </si>
  <si>
    <t>Albert Ratner</t>
  </si>
  <si>
    <t>albert-ratner@uiowa.edu</t>
  </si>
  <si>
    <t>Flame front dynamics
impact of fuel mixing on combustion instabilities
combustion of bio-derived fuels
droplet and spray dynamics
medical devices</t>
  </si>
  <si>
    <t>Flame front dynamics,
impact of fuel mixing on combustion instabilities
combustion of bio-derived fuels,
droplet , spray dynamics,
medical devices</t>
  </si>
  <si>
    <t>Kamran Samani</t>
  </si>
  <si>
    <t>kamran-samani@uiowa.edu</t>
  </si>
  <si>
    <t>Solid mechanics
phase field method
composite materials
heuristic optimization</t>
  </si>
  <si>
    <t>Solid mechanics,
phase field method,
composite materials,
heuristic optimization</t>
  </si>
  <si>
    <t>Frederick Stern</t>
  </si>
  <si>
    <t>frederick-stern@uiowa.edu</t>
  </si>
  <si>
    <t>6DOF viscous shiPhydrodynamics
High performance, multi-criteria CFD-based optimization for shiPdesign
Towing tank maneuvering test flow-maPmeasurement system
Integration of simulation technology into undergraduate engineering courses and laboratories</t>
  </si>
  <si>
    <t>hydrodynamics,
High performance, multi-criteria CFD-based optimization for ship design,
Towing tank maneuvering test flow-maPmeasurement system,
Integration of simulation technology into undergraduate engineering courses , laboratories,</t>
  </si>
  <si>
    <t>Hiroyuki Sugiyama</t>
  </si>
  <si>
    <t>hiroyuki-sugiyama@uiowa.edu</t>
  </si>
  <si>
    <t>Flexible multibody dynamics, railroad vehicle dynamics, dynamics of tire, vehicle/turnout interaction, wind energy drivetrain modeling and simulation</t>
  </si>
  <si>
    <t>Flexible multibody dynamics, railroad vehicle dynamics, dynamics of tire, vehicle/turnout interaction, wind energy drivetrain modeling , simulation</t>
  </si>
  <si>
    <t>Deema Totah</t>
  </si>
  <si>
    <t>deema-totah@uiowa.edu</t>
  </si>
  <si>
    <t>H.S. Udaykumar</t>
  </si>
  <si>
    <t>hs-kumar@uiowa.edu</t>
  </si>
  <si>
    <t>Development of accurate and flexible numerical methods for the simulation of three-dimensional flows in the presence of moving boundaries
Applications include phase change energy storage, multiphase/multimaterial flows, fluid-structure interactions,
multi-scale modeling of complex reactive materials, and machine learning of structure-property-performance relationships for materials by design</t>
  </si>
  <si>
    <t>Development of accurate , flexible numerical methods for the simulation of three-dimensional flows in the presence of moving boundaries,
Applications include phase change energy storage, multiphase/multimaterial flows, fluid-structure interactions,
multi-scale modeling of complex reactive materials, machine learning of structure-property-performance relationships for materials by design</t>
  </si>
  <si>
    <t>Rachel Vitali</t>
  </si>
  <si>
    <t>rachel-vitali@uiowa.edu</t>
  </si>
  <si>
    <t>The mission of our lab is to quantify, understand, and distinguish human movement via wearable technologies to better interpret performance, health, and behavior with applications in human-robot interaction. This research is necessarily interdisciplinary and draws from the fields of engineering dynamics, signal processing, robotics, biomechanics, controls, and human factors, to name a few. One of the many challenges Associate with this type of work is a comprehensive definition or metric for performance cannot be defined, in fact, most applications require a task-specific definition of performance that has both physical and operational meaning to the stakeholders involved. Below are examples of projects our lab will be pursuing in the near future including a continuation of my postdoctoral research, which has a corresponding website and paper linked below where you can learn more.</t>
  </si>
  <si>
    <t>necessarily interdisciplinary , draws from the fields of engineering dynamics, signal processing, robotics, biomechanics, controls, human factors,</t>
  </si>
  <si>
    <t>Cong Wang</t>
  </si>
  <si>
    <t>cong-wang-1@uiowa.edu</t>
  </si>
  <si>
    <t>Experimental fluid dynamics
Flow physics
Advanced flow diagnosis
Turbulent flow control and drag reduction
Multi-phase flow (free-surface flow)
Bio-medical devices</t>
  </si>
  <si>
    <t>Experimental fluid dynamics,
Flow physics,
Advanced flow diagnosis,
Turbulent flow control , drag reduction,
Multi-phase flow,
Bio-medical devices</t>
  </si>
  <si>
    <t>Shaoping Xiao</t>
  </si>
  <si>
    <t>shaoping-xiao@uiowa.edu</t>
  </si>
  <si>
    <t>Multiscale modeling and simulation
Mechanics of nanocomposites
Machine learning in computational materials science
Reinforcement learning in infrastructure management
Data-driven studies of GHG emission</t>
  </si>
  <si>
    <t>Multiscale modeling , simulation,
Mechanics of nanocomposites,
Machine learning in computational materials science,
Reinforcement learning in infrastructure management,
Data-driven studies of GHG emission</t>
  </si>
  <si>
    <t>University of Pittsburgh (Swanson)</t>
  </si>
  <si>
    <r>
      <rPr>
        <sz val="10"/>
        <color rgb="FF000000"/>
        <rFont val="Arial"/>
        <family val="2"/>
      </rPr>
      <t xml:space="preserve">Chair - </t>
    </r>
    <r>
      <rPr>
        <u/>
        <sz val="10"/>
        <color rgb="FF000000"/>
        <rFont val="Arial"/>
        <family val="2"/>
      </rPr>
      <t>BRIAN GLEESON</t>
    </r>
  </si>
  <si>
    <t>bmg36@pitt.edu</t>
  </si>
  <si>
    <t>HIGH-TEMPERATURE DEGRADATION OF METALLIC ALLOYS AND COATINGS
THERMODYNAMICS AND KINETICS OF GAS/SOLID AND SOLID/SOLID REACTIONS</t>
  </si>
  <si>
    <t>HIGH-TEMPERATURE DEGRADATION OF METALLIC ALLOYS , COATINGS
THERMODYNAMICS , KINETICS OF GAS/SOLID , SOLID/SOLID REACTIONS</t>
  </si>
  <si>
    <t>Mechanical and Material science</t>
  </si>
  <si>
    <t>HESSAM BABAEE</t>
  </si>
  <si>
    <t>h.babaee@pitt.edu</t>
  </si>
  <si>
    <t>COMPUTATIONAL FLUID DYNAMICS AND HEAT TRANSFER
FLOW INSTABILITY
HIGH PERFORMANCE COMPUTING
MULTI-FIDELITY MODELING
MULTI-PHYSICS MODELIN
STOCHASTIC MODELING
UNCERTAINTY QUANTIFICATION</t>
  </si>
  <si>
    <t>COMPUTATIONAL FLUID DYNAMICS , HEAT TRANSFER,
FLOW INSTABILITY,
HIGH PERFORMANCE COMPUTING,
MULTI-FIDELITY MODELING,
MULTI-PHYSICS MODELIN,
STOCHASTIC MODELING,
UNCERTAINTY QUANTIFICATION,</t>
  </si>
  <si>
    <t>NIKHIL BAJAJ</t>
  </si>
  <si>
    <t>NBAJAJ@pitt.edu</t>
  </si>
  <si>
    <t>HENG BAN</t>
  </si>
  <si>
    <t>heng.ban@pitt.edu</t>
  </si>
  <si>
    <t>PBan's research covers topics in thermal-fluid sciences, materials properties, sensors and measurement, and energy sciences.</t>
  </si>
  <si>
    <t>thermal-fluid sciences, materials properties, sensors , measurement, energy sciences</t>
  </si>
  <si>
    <t>MATTHEW BARRY</t>
  </si>
  <si>
    <t>matthew.michael.barry@pitt.edu</t>
  </si>
  <si>
    <t>Clifford, C.E., Sammak, S., &amp; Barry, M.M. (2021). MODEL FORM AND DISCRETIZATION UNCERTAINTY OF THERMAL-FLUID-ELECTRIC COUPLED THERMOELECTRIC SYSTEMS. Proceeding of 5-6th Thermal and Fluids Engineering Conference (TFEC).Begellhouse. doi: 10.1615/tfec2021.ens.036656.
Ledesma, E.M., Sammak, S., &amp; Barry, M.M. (2021). MODELING BRIDGMAN HEATING IN THERMOELECTRIC GENERATORS. Proceeding of 5-6th Thermal and Fluids Engineering Conference (TFEC).Begellhouse. doi: 10.1615/tfec2021.cmd.036778.
Barry, M., &amp; Wismer, S. (2020). Statics and Mechanics of Materials: An Example-based Approach. Top Hat.
Brandt, M., Zimmerman, W., Berisford, D., Mueller, J., Barry, M., Durka, M., Kristof, R., Hogan, B., &amp; Stone, W. (2019). Modeling of Cryobot Melting Rates in Cryogenic Ice. 2019 IEEE Aerospace Conference, 2019-March.IEEE. doi: 10.1109/aero.2019.8741396.
Barry, M.M., Agbim, K.A., &amp; Chyu, M.K. (2015). Performance of a Thermoelectric Device with Integrated Heat Exchangers. JOURNAL OF ELECTRONIC MATERIALS, 44(6), 1394-1401.Springer Science and Business Media LLC. doi: 10.1007/s11664-014-3380-2.
Barry, M.M., Jung, Y., Lee, J.K., Phuoc, T.X., &amp; Chyu, M.K. (2015). Fluid filtration and rheological properties of nanoparticle additive and intercalated clay hybrid bentonite drilling fluids. JOURNAL OF PETROLEUM SCIENCE AND ENGINEERING, 127, 338-346.Elsevier BV. doi: 10.1016/j.petrol.2015.01.012.
Barry, M.M., Shayan, M., Jankowitz, B.T., Chen, Y., Duan, X., Robertson, A.M., Chyu, M.K., &amp; Chun, Y. (2015). Smart Guidewires for Smooth Navigation in Neurovascular Intervention. JOURNAL OF MEDICAL DEVICES-TRANSACTIONS OF THE ASME, 9(1).ASME International. doi: 10.1115/1.4029558.
Chen, Y., Barry, M.M., Shayan, M., Jankowitz, B.T., Duan, X., Robertson, A.M., Chyu, M.K., &amp; Chun, Y. (2015). Smart guidewires for smooth navigation in neurovascular intervention. SPIE Proceedings, 9433(1), 011011.SPIE. doi: 10.1117/12.2084261.
Barry, M., Ding, B., Jung, Y., Reddy, B.V.K., Phuoc, T.X., &amp; Chyu, M.K. (2014). Pulsed nanosecond laser ablation of gold in deionized water and aqueous chitosan solution. OPTICS AND LASERS IN ENGINEERING, 55, 59-68.Elsevier BV. doi: 10.1016/j.optlaseng.2013.10.019.
Reddy, B.V.K., Barry, M., Li, J., &amp; Chyu, M.K. (2014). Thermoelectric-hydraulic performance of a multistage integrated thermoelectric power generator. ENERGY CONVERSION AND MANAGEMENT, 77, 458-468.Elsevier BV. doi: 10.1016/j.enconman.2013.09.040.
Reddy, B.V.K., Barry, M., Li, J., &amp; Chyu, M.K. (2014). Convective Heat Transfer and Contact Resistances Effects on Performance of Conventional and Composite Thermoelectric Devices. JOURNAL OF HEAT TRANSFER-TRANSACTIONS OF THE ASME, 136(10).ASME International. doi: 10.1115/1.4028021.
Chyu, M.K., Reddy, B.V.K., Barry, M., &amp; Li, J. (2013). ENHANCEMENT OF THERMOELECTRIC DEVICE PERFORMANCE THROUGH INTEGRATED FLOW CHANNELS. Frontiers in Heat and Mass Transfer, 4(2).Computers, Materials and Continua (Tech Science Press). doi: 10.5098/hmt.v4.2.3001.
Reddy, B.V.K., Barry, M., Li, J., &amp; Chyu, M.K. (2013). Mathematical modeling and numerical characterization of composite thermoelectric devices. INTERNATIONAL JOURNAL OF THERMAL SCIENCES, 67, 53-63.Elsevier BV. doi: 10.1016/j.ijthermalsci.2012.11.004.
Reddy, B.V.K., Barry, M., Li, J., &amp; Chyu, M.K. (2013). Comprehensive Numerical Modeling of Thermoelectric Devices Applied to Automotive Exhaust Gas Waste-Heat Recovery. Volume 1: Heat Transfer in Energy Systems; Thermophysical Properties; Theory and Fundamental Research in Heat Transfer, 1.American Society of Mechanical Engineers. doi: 10.1115/ht2013-17454.
Reddy, B.V.K., Barry, M., Li, J., &amp; Chyu, M.K. (2013). Thermoelectric Performance of Novel Composite and Integrated Devices Applied to Waste Heat Recovery. JOURNAL OF HEAT TRANSFER-TRANSACTIONS OF THE ASME, 135(3), 1-11.ASME International. doi: 10.1115/1.4007892.
Chyu, M.K., Reddy, B.V.K., Barry, M., &amp; Li, J. (2012). Enhanced heat transfer characteristics and performance of composite thermoelectric devices. Advanced Computational Methods and Experiments in Heat Transfer XII, 75, 15-26.WIT Press. doi: 10.2495/ht120021.
Reddy, B.V.K., Barry, M., Li, J., &amp; Chyu, M.K. (2012). THREE-DIMENSIONAL MULTIPHYSICS COUPLED FIELD ANALYSIS OF AN INTEGRATED THERMOELECTRIC DEVICE. NUMERICAL HEAT TRANSFER PART A-APPLICATIONS, 62(12), 933-947.Informa UK Limited. doi: 10.1080/10407782.2012.715988.
Reddy, B.V.K., Barry, M., Li, J., &amp; Chyu, M.K. (2012). A Fluid-Thermo-Electric Coupled Field Analysis of a Novel Integrated Thermoelectric Device. Energy Procedia, 14, 2088-2095.Elsevier BV. doi: 10.1016/j.egypro.2011.12.1212.</t>
  </si>
  <si>
    <t xml:space="preserve">, DISCRETIZATION UNCERTAINTY OF THERMAL-FLUID-ELECTRIC COUPLED THERMOELECTRIC SYSTEMS
 MODELING BRIDGMAN HEATING IN THERMOELECTRIC GENERATORS, Statics </t>
  </si>
  <si>
    <t>MOSTAFA BEDEWY</t>
  </si>
  <si>
    <t>mbedewy@pitt.edu</t>
  </si>
  <si>
    <t xml:space="preserve">BOTTOM-UPSELF-ASSEMBLY OF 2D/3D NANOPARTICLE STRUCTURES
NONDESTRUCTIVE MATERIALS CHARACTERIZATION AND METROLOGY
PATTERNING AND SELECTIVE BINDING OF BIOMOLECULAR SYSTEMS
PRECISION ENGINEERING OF SCIENTIFIC INSTRUMENTS AND MACHINES
PRODUCT DESIGN AND MANUFACTURING OF SURGICAL TOOLS AND MEDICAL DEVICES
SCIENCE AND TECHNOLOGY OF NANOMANUFACTURING
SYNTHESIS AND SELF-ORGANIZATION OF NANOFILAMENTS AND FIBERS
</t>
  </si>
  <si>
    <t xml:space="preserve">BOTTOM-UPSELF-ASSEMBLY OF 2D/3D NANOPARTICLE STRUCTURES,
NONDESTRUCTIVE MATERIALS CHARACTERIZATION , METROLOGY,
PATTERNING , SELECTIVE BINDING OF BIOMOLECULAR SYSTEMS,
PRECISION ENGINEERING OF SCIENTIFIC INSTRUMENTS , MACHINES,
PRODUCT DESIGN , MANUFACTURING OF SURGICAL TOOLS , MEDICAL DEVICES,
SCIENCE , TECHNOLOGY OF NANOMANUFACTURING,
SYNTHESIS , SELF-ORGANIZATION OF NANOFILAMENTS , FIBERS
</t>
  </si>
  <si>
    <t>MARKUS CHMIELUS</t>
  </si>
  <si>
    <t>chmielus@pitt.edu</t>
  </si>
  <si>
    <t>Dr. Chmielus’s areas of research are the influence of production and processing parameters on the properties and microstructure of especially metals produced via, 1st, additive manufacturing (also known as 3D printing) including Alloy 625, 718 and Ti64, as well as via, 2nd, depositing ultra-high purity thin films. The 3rd research area is basic research, manufacturing, and applications of smart materials like Ni-Mn-Ga magnetic shape-memory alloys and magnetocaloric materials.</t>
  </si>
  <si>
    <t>influence of production , processing parameters on the properties , microstructure of especially metals produced via, additive manufacturing</t>
  </si>
  <si>
    <t>SUNG KWON CHO</t>
  </si>
  <si>
    <t>skcho@pitt.edu</t>
  </si>
  <si>
    <t>MICROFLUIDICS  TOWARDS APPLICATIONS OF LAB-ON-A-CHIP(LOC) SYSTEMS AND ENERGY</t>
  </si>
  <si>
    <t>MICROFLUIDICS  TOWARDS APPLICATIONS OF LAB-ON-A-CHIP(LOC) SYSTEMS , ENERGY</t>
  </si>
  <si>
    <t>MINKING CHYU</t>
  </si>
  <si>
    <t>mkchyu@pitt.edu</t>
  </si>
  <si>
    <t>ENERGY TECHNOLOGY
GAS TURBINE
HEAT AND MASS TRANSFER
MANUFACTURING
THERMOELECTRICS</t>
  </si>
  <si>
    <t>ENERGY TECHNOLOGY,
GAS TURBINE,
HEAT , MASS TRANSFER,
MANUFACTURING,
THERMOELECTRICS</t>
  </si>
  <si>
    <t>WILLIAM (BUDDY) CLARK</t>
  </si>
  <si>
    <t>wclark@pitt.edu</t>
  </si>
  <si>
    <t>DANIEL COLE</t>
  </si>
  <si>
    <t>dgcole@pitt.edu</t>
  </si>
  <si>
    <t>G. PAOLO GALDI</t>
  </si>
  <si>
    <t>galdi@pitt.edu</t>
  </si>
  <si>
    <t xml:space="preserve">AXIOMATIC LOGIC-ALGEBRAIC APPROACH TO CLASSICAL MECHANICS
FLOW IN CHANNELS AND PIPES
FLUID MECHANICS
INTERACTION OF FLUIDS AND SOLIDS
LINEAR AND NON-LINEAR STABILITY
MAGNETOHYDRODYNAMICS
MATHEMATICAL THEORY IN LINEARIZED AND NONLINEAR ELASTICITY
MATHEMATICAL THEORY OF NON-NEWTONIAN FLUIDS
MATHEMATICAL THEORY OF THE...
SHAPE OF RIGID WALLS AND AssociateD FLUID STRESS
TURBULENCE MODELING
</t>
  </si>
  <si>
    <t>AXIOMATIC LOGIC-ALGEBRAIC APPROACH TO CLASSICAL MECHANICS,
FLOW IN CHANNELS , PIPES,
FLUID MECHANICS,
INTERACTION OF FLUIDS , SOLIDS,
LINEAR , NON-LINEAR STABILITY,
MAGNETOHYDRODYNAMICS,
MATHEMATICAL THEORY IN LINEARIZED , NONLINEAR ELASTICITY,
MATHEMATICAL THEORY OF NON-NEWTONIAN FLUIDS,
SHAPE OF RIGID WALLS</t>
  </si>
  <si>
    <t>$28,652 per year (in-state, full-time)</t>
  </si>
  <si>
    <t>PEYMAN GIVI</t>
  </si>
  <si>
    <t>peg10@pitt.edu</t>
  </si>
  <si>
    <t xml:space="preserve">Thermal-Fluid Sciences, Systems and Control, Machine Design, Vibration and Shock, Numerical Methods, Applied Mathematics, Random Data Analysis, Stochastic Processes, Quantum Computing.
</t>
  </si>
  <si>
    <t>Thermal-Fluid Sciences, Systems , Control, Machine Design, Vibration , Shock, Numerical Methods, Applied Mathematics, R,om Data Analysis, Stochastic Processes, Quantum Computing</t>
  </si>
  <si>
    <t>ZACHARY HARRIS</t>
  </si>
  <si>
    <t>ZDH13@pitt.edu</t>
  </si>
  <si>
    <t>KATHERINE HORNBOSTEL</t>
  </si>
  <si>
    <t>hornbostel@pitt.edu</t>
  </si>
  <si>
    <t>Her research grouPfocuses on multi-scale modeling of clean energy systems, with an emphasis on carbon capture systems.</t>
  </si>
  <si>
    <t>multi-scale modeling of clean energy systems, emphasis on carbon capture systems</t>
  </si>
  <si>
    <t>TEVIS JACOBS</t>
  </si>
  <si>
    <t>tjacobs@pitt.edu</t>
  </si>
  <si>
    <t>Our grouPuses novel combinations of in situ electron microscopy, multi-scale mechanical testing, and multi-scale topography characterization to interrogate the mechanics, tribology, and functional properties of contacts. On the small scale, we achieve Angstrom-scale spatial resolution and nanonewton force resolution, to interrogate atomic-scale processes. On the large-scale, we use micro- and macro-scale testing of larger contacts that contain multi-scale surface roughness. This enables the scale-uPof nanoscale insights to describe functional properties of larger-scale surfaces.</t>
  </si>
  <si>
    <t>electron microscopy, multi-scale mechanical testing, multi-scale topography characterization to interrogate the mechanics, tribology, functional properties of contacts,</t>
  </si>
  <si>
    <t>TONY KERZMANN</t>
  </si>
  <si>
    <t>TKerzmann@pitt.edu</t>
  </si>
  <si>
    <t>JUNG-KUN LEE</t>
  </si>
  <si>
    <t>jul37@pitt.edu</t>
  </si>
  <si>
    <t>SANGYEOPLEE</t>
  </si>
  <si>
    <t>sylee@pitt.edu</t>
  </si>
  <si>
    <t>- Hydrodynamic phonon transport in graphitic materials
- Thermal transport in fully or partially disordered phase
- Application of machine learning techniques for thermal transport across different scales</t>
  </si>
  <si>
    <t>Hydrodynamic phonon transport in graphitic materials,
Thermal transport in fully or partially disordered phase,
Application of machine learning techniques for thermal transport across different scales</t>
  </si>
  <si>
    <t>QIHAN LIU</t>
  </si>
  <si>
    <t>qihan.liu@pitt.edu</t>
  </si>
  <si>
    <t>Dr. Liu's research engages in multiple aspects of the mechanics and the manufacturing of soft materials to explore the possibilities that soft materials can offer to various engineering applications.</t>
  </si>
  <si>
    <t>multiple aspects of the mechanics</t>
  </si>
  <si>
    <t>IRENE MENA</t>
  </si>
  <si>
    <t>imena@pitt.edu</t>
  </si>
  <si>
    <t>JUAN JOSE MENDOZA ARENAS</t>
  </si>
  <si>
    <t>JUM151@pitt.edu</t>
  </si>
  <si>
    <t xml:space="preserve">My computational research aims at unravelling the physics of such nonequilibrium states, determine the conditions under which they optimally perform certain processes, and establish scenarios in which they can be implemented. For this I consider two mechanisms of out-of-equilibrium driving, namely boundary driving by unequal leads and excitation by light in cavities, corresponding to different paths for implementing cutting-edge technologies.
</t>
  </si>
  <si>
    <t>nonequilibrium states, determine the conditions under which they optimally perform certain processes</t>
  </si>
  <si>
    <t>IAN NETTLESHIP</t>
  </si>
  <si>
    <t>NETTLES@pitt.edu</t>
  </si>
  <si>
    <t>My s include ceramics processing and the structure-properties of ceramic materials.</t>
  </si>
  <si>
    <t>ceramics processing , the structure-properties of ceramic materials</t>
  </si>
  <si>
    <t>PAUL OHODNICKI</t>
  </si>
  <si>
    <t>PRO8@pitt.edu</t>
  </si>
  <si>
    <t>THOMAS PICCONE</t>
  </si>
  <si>
    <t>tpiccone@pitt.edu</t>
  </si>
  <si>
    <t>Story, S.R., Piccone, T.J., Fruehan, R.J., &amp; Potter, M. (2004). Inclusion analysis to predict casting behavior. Iron and Steel Technology, 1(9), 163-169.
PICCONE, T.J., &amp; FLEMINGS, M.C. (1992). DISCUSSION OF SOLIDIFICATION OF HIGHLY UNDERCOOLED FE-P ALLOYS - REPLY. METALLURGICAL TRANSACTIONS A-PHYSICAL METALLURGY AND MATERIALS SCIENCE, 23(9), 2674-2675.Springer Science and Business Media LLC. doi: 10.1007/BF02658073.
KATTAMIS, T.Z., &amp; PICCONE, T.J. (1991). RHEOLOGY OF SEMISOLID AL-4.5-PERCENT CU-1.5-PERCENT MG ALLOY. MATERIALS SCIENCE AND ENGINEERING A-STRUCTURAL MATERIALS PROPERTIES MICROSTRUCTURE AND PROCESSING, 131(2), 265-272.Elsevier BV. doi: 10.1016/0921-5093(91)90403-A.
SUZUKI, M., PICCONE, T.J., &amp; FLEMINGS, M.C. (1991). MEASUREMENTS OF RAPID SOLIDIFICATION RATE IN HIGHLY UNDERCOOLED MELTS WITH A VIDEO SYSTEM. METALLURGICAL TRANSACTIONS A-PHYSICAL METALLURGY AND MATERIALS SCIENCE, 22(11), 2825-2828.Springer Science and Business Media LLC. doi: 10.1007/BF02851378.
SUZUKI, M., PICCONE, T.J., FLEMINGS, M.C., &amp; BRODY, H.D. (1991). SOLIDIFICATION OF HIGHLY UNDERCOOLED FE-P ALLOYS. METALLURGICAL TRANSACTIONS A-PHYSICAL METALLURGY AND MATERIALS SCIENCE, 22(11), 2761-2768.Springer Science and Business Media LLC. doi: 10.1007/BF02851370.
WU, Y., PICCONE, T.J., SHIOHARA, Y., &amp; FLEMINGS, M.C. (1988). DENDRITIC GROWTH OF UNDERCOOLED NICKEL-TIN .3. METALLURGICAL TRANSACTIONS A-PHYSICAL METALLURGY AND MATERIALS SCIENCE, 19(4), 1109-1119.Springer Science and Business Media LLC. doi: 10.1007/BF02628395.
Harf, F., Piccone, T.J., Flemings, M.C., Wu, Y., Yuh Shiohara, Gardner, L.B., &amp; Winsa, E.A. (1987). ALLOY UNDERCOOLING EXPERIMENT ON THE COLUMBIA STS 61-C SPACE SHUTTLE MISSION. In NASA Technical Memorandum.
Piccone, T.J., Wu, Y., Shiohara, Y., &amp; Flemings, M.C. (1987). DENDRITIC GROWTH OF UNDERCOOLED NICKEL-TIN: PART II. Metallurgical transactions. A, Physical metallurgy and materials science, 18 A(5), 925-932.
Wu, Y., Piccone, T.J., Shiohara, Y., &amp; Flemings, M.C. (1987). DENDRITIC GROWTH OF UNDERCOOLED NICKEL-TIN. Metallurgical transactions. A, Physical metallurgy and materials science, 18 A(5), 915-924.
BUTRYMOWICZ, D.B., PICCONE, T.J., MANNING, J.R., &amp; NEWBURY, D.E. (1983). COLOR METALLOGRAPHY OF DIFFUSION-INDUCED GRAIN-BOUNDARY MIGRATION IN CU-ZN AND CU-AS ALLOYS. METALLOGRAPHY, 16(4), 349-360.Elsevier BV. doi: 10.1016/0026-0800(83)90025-3.
PICCONE, T.J., BUTRYMOWICZ, D.B., NEWBURY, D.E., MANNING, J.R., &amp; CAHN, J.W. (1982). DIFFUSION-INDUCED GRAIN-BOUNDARY MIGRATION IN THE CU-ZN SYSTEM. SCRIPTA METALLURGICA, 16(7), 839-843.Elsevier BV. doi: 10.1016/0036-9748(82)90241-1.</t>
  </si>
  <si>
    <t>Inclusion analysis to predict casting behavior, DISCUSSION OF SOLIDIFICATION OF HIGHLY UNDERCOOLED FE-P ALLOYS, MEASUREMENTS OF RAPID SOLIDIFICATION RATE IN HIGHLY UNDERCOOLED MELTS WITH A VIDEO SYSTEM</t>
  </si>
  <si>
    <t>ANNE ROBERTSON</t>
  </si>
  <si>
    <t>rbertson@pitt.edu</t>
  </si>
  <si>
    <t>ANEURYSM
CEREBRAL ARTERIES
CEREBRAL VASCULAR DISEASE
CEREBROVASCULAR CIRCULATION
DISEASE MODELS, ANIMAL
HEMODYNAMICS
NON-NEWTONIAN FLUID MECHANICS</t>
  </si>
  <si>
    <t>ANEURYSM,
CEREBRAL ARTERIES,
CEREBRAL VASCULAR DISEASE,
CEREBROVASCULAR CIRCULATION,
DISEASE MODELS, ANIMAL,
HEMODYNAMICS,
NON-NEWTONIAN FLUID MECHANICS</t>
  </si>
  <si>
    <t>DAVID SCHMIDT</t>
  </si>
  <si>
    <t>DES53@pitt.edu</t>
  </si>
  <si>
    <t>INANC SENOCAK</t>
  </si>
  <si>
    <t>SENOCAK@pitt.edu</t>
  </si>
  <si>
    <t>ATMOSPHERIC TRANSPORT AND DISPERSION
CAVITATION
COMPUTATIONAL FLUID DYNAMICS
COMPUTATIONAL GEOMETRY
PARALLEL COMPUTING
TURBULENCE
WIND ENERGY</t>
  </si>
  <si>
    <t>ATMOSPHERIC TRANSPORT , DISPERSION,
CAVITATION,
COMPUTATIONAL FLUID DYNAMICS,
COMPUTATIONAL GEOMETRY,
PARALLEL COMPUTING,
TURBULENCE,
WIND ENERGY</t>
  </si>
  <si>
    <t>WILLIAM SLAUGHTER</t>
  </si>
  <si>
    <t>wss@pitt.edu</t>
  </si>
  <si>
    <t>CHARACTERIZATION AND PREDICTION OF NANO-SCALE AND MICRO-SCALE PHENOMENA IN THE DEFORMATION OF MATERIALS
LIFE PREDICTION OF TURBINE BLADES FOR NEXT-GENERATION LAND-BASED POWER GENERATION TURBINES
MODELING FATIGUE, FAILURE, AND VISCOELASTICITY IN SOFT COLLAGENOUS BIOMATERIALS
MODELING THE EVOLUTION OF MICROSTRUCTURE DURING THE DENSIFICATION OF POWDERED MATERIALS
PREDICTION OF MATERIAL REMOVAL RATES AND MATERIAL DAMAGE FOR CONTROL OF NON-TRADITIONAL MACHINING PROCESSES</t>
  </si>
  <si>
    <t>CHARACTERIZATION , PREDICTION OF NANO-SCALE , MICRO-SCALE PHENOMENA IN THE DEFORMATION OF MATERIALS,
LIFE PREDICTION OF TURBINE BLADES FOR NEXT-GENERATION L,-BASED POWER GENERATION TURBINES,
MODELING FATIGUE, FAILURE, VISCOELASTICITY IN SOFT COLLAGENOUS BIOMATERIALS,
MODELING THE EVOLUTION OF MICROSTRUCTURE DURING THE DENSIFICATION OF POWDERED MATERIALS,
PREDICTION OF MATERIAL REMOVAL RATES , MATERIAL DAMAGE FOR CONTROL OF NON-TRADITIONAL MACHINING PROCESSES</t>
  </si>
  <si>
    <t>PATRICK SMOLINSKI</t>
  </si>
  <si>
    <t>patsmol@pitt.edu</t>
  </si>
  <si>
    <t>ALBERT TO</t>
  </si>
  <si>
    <t>albertto@pitt.edu</t>
  </si>
  <si>
    <t>My research has been supported by NASA, DOD, DOE, NSF, America Makes, ANSYS, etc. I am collaborating with the industry extensively in my computational research for additive manufacturing through the MOST-AM Consortium, which I founded in 2016 and now has 30+ member companies and research labs.</t>
  </si>
  <si>
    <t>additive manufacturing</t>
  </si>
  <si>
    <t>JEFFREY VIPPERMAN</t>
  </si>
  <si>
    <t>jsv@pitt.edu</t>
  </si>
  <si>
    <t>GUOFENG WANG</t>
  </si>
  <si>
    <t>guw8@pitt.edu</t>
  </si>
  <si>
    <t>BIMETALLIC CATALYST NANOPARTICLES</t>
  </si>
  <si>
    <t>QING-MING WANG</t>
  </si>
  <si>
    <t>qiw4@pitt.edu</t>
  </si>
  <si>
    <t>ACOUSTIC WAVE SENSORS
ELECTROACTIVE NANOCOMPOSITES
MULTIMODE THIN FILM BULK ACOUSTIC WAVE RESONATES
NANOMATERIALS AND ON-CHIPASSEMBLY OF NANODEVICES
PIEZOELECTRIC/FERROELECTRIC MATERIALS AND TRANSDUCERS
SELF-STANDING PIEZOELECTRIC SENSORS FOR STRUCTURAL HEALTH MONITORING
SURFACE AND BULK ACOUSTIC WAVE DEVICES, ACOUSTIC WAVE SENSORS
THIN FILM, THICK FILM MATERIALS, MICROFABRICATION, MICROSENSORS AND MICROACTUATORS
ULTRAHIGH TEMPERATURE ACOUSTIC WAVE SENSORS</t>
  </si>
  <si>
    <t>ACOUSTIC WAVE SENSORS,
ELECTROACTIVE NANOCOMPOSITES,
MULTIMODE THIN FILM BULK ACOUSTIC WAVE RESONATES,
NANOMATERIALS , ON-CHIPASSEMBLY OF NANODEVICES,
PIEZOELECTRIC/FERROELECTRIC MATERIALS , TRANSDUCERS,
SELF-ST,ING PIEZOELECTRIC SENSORS FOR STRUCTURAL HEALTH MONITORING,
SURFACE , BULK ACOUSTIC WAVE DEVICES, ACOUSTIC WAVE SENSORS,
THIN FILM, THICK FILM MATERIALS, MICROFABRICATION, MICROSENSORS , MICROACTUATORS,
ULTRAHIGH TEMPERATURE ACOUSTIC WAVE SENSORS</t>
  </si>
  <si>
    <t>JOHN WHITEFOOT</t>
  </si>
  <si>
    <t>jwhitefoot@pitt.edu</t>
  </si>
  <si>
    <t>DR. WHITEFOOT’S BROAD S INCLUDE ENERGY SYSTEM OPTIMIZATION, TRANSPORTATION DESIGN AND POLICY, AND TRANSPORTATION/ENERGY INTEGRATION. SPECIFICALLY, HIS RESEARCH IS ON DESIGN OPTIMIZATION AND ENERGY DISPATCH OF COMBINED ENERGY AND TRANSPORTATION SYSTEMS, WITH A PARTICULAR FOCUS ON THE INTERACTION OF PLUG-IN VEHICLES WITH ELECTRICAL MICROGRIDS, WHILE ACCOUNTING FOR INHERENT STOCHASTICITY. ADDITIONALLY, HE IS INTERESTED IN THE EFFECTS OF TRANSPORTATION AND LAND-USE PLANNING ON VEHICLE DESIGN AND USE, AS WELL AS HOW FEDERAL REGULATIONS AFFECT VEHICLE DESIGN.</t>
  </si>
  <si>
    <t>DR, WHITEFOOT’S BROAD S INCLUDE ENERGY SYSTEM OPTIMIZATION, TRANSPORTATION DESIGN , POLICY, TRANSPORTATION/ENERGY INTEGRATION, SPECIFICALLY, HIS RESEARCH IS ON DESIGN OPTIMIZATION , ENERGY DISPATCH OF COMBINED ENERGY , TRANSPORTATION SYSTEMS, WITH A PARTICULAR FOCUS ON THE INTERACTION OF PLUG-IN VEHICLES WITH ELECTRICAL MICROGRIDS, WHILE ACCOUNTING FOR INHERENT STOCHASTICITY, ADDITIONALLY, HE IS INTERESTED IN THE EFFECTS OF TRANSPORTATION , L,-USE PLANNING ON VEHICLE DESIGN , USE, AS WELL AS HOW FEDERAL REGULATIONS AFFECT VEHICLE DESIGN,</t>
  </si>
  <si>
    <t>JORG WIEZOREK</t>
  </si>
  <si>
    <t>wiezorek@pitt.edu</t>
  </si>
  <si>
    <t>DYNAMIC IN-SITU &amp; QUANTITATIVE ELECTRON &amp; X-RAY DIFFRACTION
HIGH-PERFORMANCE MATERIALS FOR MULTI-FUNCTIONAL, ENERGY TECHNOLOGIES AND EXTREME ENVIRONMENTS
PHYSICAL METALLURGY &amp; METAL PHYSICS
PROCESSING-STRUCTURE-PROPERTIES, MICROSTRUCTURE &amp; PHASE TRANSFORMATIONS, CRYSTAL DEFECTS, THIN FILMS &amp; NANO-SCALE PHENOMENA</t>
  </si>
  <si>
    <t>DYNAMIC IN-SITU &amp; QUANTITATIVE ELECTRON &amp; X-RAY DIFFRACTION,
HIGH-PERFORMANCE MATERIALS FOR MULTI-FUNCTIONAL, ENERGY TECHNOLOGIES , EXTREME ENVIRONMENTS,
PHYSICAL METALLURGY &amp; METAL PHYSICS,
PROCESSING-STRUCTURE-PROPERTIES, MICROSTRUCTURE &amp; PHASE TRANSFORMATIONS, CRYSTAL DEFECTS, THIN FILMS &amp; NANO-SCALE PHENOMENA</t>
  </si>
  <si>
    <t>SYLVANUS WOSU</t>
  </si>
  <si>
    <t>wosu@pitt.edu</t>
  </si>
  <si>
    <t>APPLICATIONS OF LASER RAMAN SPECTROSCOPY TO STUDYING BIO-COMPOSITE MATERIALS
DEVELOPING A MODEL FOR MAXIMIZING AND MEASURING GRADUATE ENGINEERING DIVERSITY AND EQUITY IN ACADEMIC RESEARCH INSTITUTIONS
DEVELOPMENT OF LASER-BASED EXPERIMENTAL METHODS OF CHARACTERIZING MATERIALS FAILURE, DYNAMIC PROFILING OF THE ENERGY ABSORPTION, CRACK PROPAGATION AND FRAGMENTATION PROCESSES IN MATERIAL FAILURE
DEVELOPMENT OF POLYMERIC BIO-COMPOSITE SENSORS
DYNAMIC PENETRATION AND FRACTURE MECHANICS OF NEW GENERATION OF COMPOSITE MATERIALS, INCLUDING BIO-COMPOSITES AND BIOSENSORS
DYNAMIC PROBLEMS IN COMPOSITES FAILURE
ENERGY CONTAINMENT OF IMPACT RESPONSES
FLUID FLOW IN POROUS MEDIA
IMPACT PHYSICS AND ENGINEERING OF COMPOSITE MATERIALS
MICRO AND THERMO-MECHANICAL PROPERTY DEGRADATION OF FIBER-FIBER AND FIBER-MATRIX BONDS OF LAMINATED COMPOSITES AT HIGH STRAIN RATE DYNAMIC LOADING CONDITIONS
OXYGEN METABOLIC PATHWAYS</t>
  </si>
  <si>
    <t>APPLICATIONS OF LASER RAMAN SPECTROSCOPY TO STUDYING BIO-COMPOSITE MATERIALS,
DEVELOPING A MODEL FOR MAXIMIZING , MEASURING GRADUATE ENGINEERING DIVERSITY , EQUITY IN ACADEMIC RESEARCH INSTITUTIONS,
DEVELOPMENT OF LASER-BASED EXPERIMENTAL METHODS OF CHARACTERIZING MATERIALS FAILURE, DYNAMIC PROFILING OF THE ENERGY ABSORPTION, CRACK PROPAGATION, FRAGMENTATION PROCESSES IN MATERIAL FAILURE,
DEVELOPMENT OF POLYMERIC BIO-COMPOSITE SENSORS,
DYNAMIC PENETRATION , FRACTURE MECHANICS OF NEW GENERATION OF COMPOSITE MATERIALS, INCLUDING BIO-COMPOSITES , BIOSENSORS,
DYNAMIC PROBLEMS IN COMPOSITES FAILURE,
ENERGY CONTAINMENT OF IMPACT RESPONSES,
FLUID FLOW IN POROUS MEDIA,
IMPACT PHYSICS , ENGINEERING OF COMPOSITE MATERIALS,
MICRO , THERMO-MECHANICAL PROPERTY DEGRADATION OF FIBER-FIBER , FIBER-MATRIX BONDS OF LAMINATED COMPOSITES AT HIGH STRAIN RATE DYNAMIC LOADING CONDITIONS,
OXYGEN METABOLIC PATHWAYS</t>
  </si>
  <si>
    <t>WEI XIONG</t>
  </si>
  <si>
    <t>weixiong@pitt.edu</t>
  </si>
  <si>
    <t xml:space="preserve">ADDITIVE MANUFACTURING
HIGH-THROUGHPUT EXPERIMENTS
INTEGRATED COMPUTATIONAL MATERIALS...
MACHINE LEARNING AND DATA MINING
MATERIALS DESIGN AND DISCOVERY
PHASE TRANSFORMATIONS
PHYSICAL METALLURGY
THERMODYNAMICS AND DIFFUSION
</t>
  </si>
  <si>
    <t xml:space="preserve">ADDITIVE MANUFACTURING
HIGH-THROUGHPUT EXPERIMENTS
INTEGRATED COMPUTATIONAL MATERIALS,,,
MACHINE LEARNING , DATA MINING
MATERIALS DESIGN , DISCOVERY
PHASE TRANSFORMATIONS
PHYSICAL METALLURGY
THERMODYNAMICS , DIFFUSION
</t>
  </si>
  <si>
    <t>XIAYUN ZHAO</t>
  </si>
  <si>
    <t>xiayun.zhao@pitt.edu</t>
  </si>
  <si>
    <t xml:space="preserve">Dr. Zhao's Research Laboratory of ZIP-AM (ZXY Intelligent Precision - Advanced Manufacturing) aims to improve and innovate various manufacturing processes and systems, as well as to demonstrate novel applications of advanced manufacturing technologies.
</t>
  </si>
  <si>
    <t xml:space="preserve">ZIP-AM (ZXY Intelligent Precision - Advanced Manufacturing) aims to improve , innovate various manufacturing processes , systems, as well as to demonstrate novel applications of advanced manufacturing technologies
</t>
  </si>
  <si>
    <t>ESTA ABELEV</t>
  </si>
  <si>
    <t>eabelev@pitt.edu</t>
  </si>
  <si>
    <t>Nanoscience Fabrication</t>
  </si>
  <si>
    <t>ASHISH AVACHAT</t>
  </si>
  <si>
    <t>ashish.avachat@pitt.edu</t>
  </si>
  <si>
    <t>C. ISSAC GARCIA</t>
  </si>
  <si>
    <t>cigarcia@pitt.edu</t>
  </si>
  <si>
    <t>COMPACT STRIPPROCESSING ALLOY DESIGN AND PROCESSING OF ADVANCED HIGH STRENGTH STEELS
DEVELOPMENT OF HIGH SPEED STEELS AND CAST IRON ROLLS FOR THE STEEL INDUSTRY
FERRITIC-MARTENSITIC STEELS AND SUPERALLOYS
IMPROVING THE ANNEALING BEHAVIOR OF STEELS THROUGH GRAIN
MACHINABILITY - MICROSTRUCTURE PROPERTY RELATIONS
MICROSTRUCTURAL CHARACTERIZATION OF COMPLEX MICROSTRUCTURES IN ADVANCED HIGH STRENGTH STEELS FOR THE OIL AND GAS INDUSTRIES USING NDT/NDE SIGNAL PROCESSING TESTING
MICROSTRUCTURAL OPTIMIZATION THROUGH ALLOY DESIGN AND THERMOMECHANICAL
PHYSICAL METALLURGY STEELS (HSLA, MICROALLOYED, ULTRA-LOW CARBON, TRIP, DUAL-PHASE AND COMPLEX PHASE, HIGH CARBON STEELS, STAINLESS STEELS)
TEMPER EMBRITTLEMENT OF STEELS</t>
  </si>
  <si>
    <t>COMPACT STRIPPROCESSING ALLOY DESIGN , PROCESSING OF ADVANCED HIGH STRENGTH STEELS,
DEVELOPMENT OF HIGH SPEED STEELS , CAST IRON ROLLS FOR THE STEEL INDUSTRY,
FERRITIC-MARTENSITIC STEELS , SUPERALLOYS,
IMPROVING THE ANNEALING BEHAVIOR OF STEELS THROUGH GRAIN,
MACHINABILITY - MICROSTRUCTURE PROPERTY RELATIONS,
MICROSTRUCTURAL CHARACTERIZATION OF COMPLEX MICROSTRUCTURES IN ADVANCED HIGH STRENGTH STEELS FOR THE OIL , GAS INDUSTRIES USING NDT/NDE SIGNAL PROCESSING TESTING,
MICROSTRUCTURAL OPTIMIZATION THROUGH ALLOY DESIGN , THERMOMECHANICAL,
PHYSICAL METALLURGY STEELS,
TEMPER EMBRITTLEMENT OF STEELS</t>
  </si>
  <si>
    <t>DANIEL LAMONT</t>
  </si>
  <si>
    <t>Daniel.Lamont@pitt.edu</t>
  </si>
  <si>
    <t>MARK MILLER</t>
  </si>
  <si>
    <t>mcmllr@pitt.edu</t>
  </si>
  <si>
    <t>HUMAN MOTION</t>
  </si>
  <si>
    <t>KURT BESCHORNER</t>
  </si>
  <si>
    <t>beschorn@pitt.edu</t>
  </si>
  <si>
    <t>Kurt Beschorner uses technical competency areas in biomechanics, tribology, understanding of human movement, and ergonomics to understand and prevent falling accidents. His research has identified the link between shoe, floor, and ladder design and fall risk.</t>
  </si>
  <si>
    <t>technical competency areas in biomechanics, tribology, underst,ing of human movement, ergonomics, prevent falling accidents</t>
  </si>
  <si>
    <t>RORY COOPER</t>
  </si>
  <si>
    <t>RCOOPER@pitt.edu</t>
  </si>
  <si>
    <t>KANG KIM</t>
  </si>
  <si>
    <t>kangkim@pitt.edu</t>
  </si>
  <si>
    <t>LINEAR/NONLINEAR ULTRASOUND ELASTICITY IMAGING
MULTI-MODALITY IMAGING
NON-INVASIVE CHARACTERIZATION OF ATHEROSCLEROTIC PLAQUES
PHOTOACOUSTIC MOLECULAR IMAGING
ULTRASOUND THERMAL STRAIN IMAGING</t>
  </si>
  <si>
    <t>LINEAR/NONLINEAR ULTRASOUND ELASTICITY IMAGING,
MULTI-MODALITY IMAGING,
NON-INVASIVE CHARACTERIZATION OF ATHEROSCLEROTIC PLAQUES
PHOTOACOUSTIC MOLECULAR IMAGING,
ULTRASOUND THERMAL STRAIN IMAGING</t>
  </si>
  <si>
    <t>PRASHANT KUMTA</t>
  </si>
  <si>
    <t>pkumta@pitt.edu</t>
  </si>
  <si>
    <t>ENGINEERING NATURAL POLYMERS AND MEMBRANE ARCHITECTURES FOR
INNOVATIVE PROCESSING OF NANOSTRUCTURED CERAMICS, METALS, SEMICONDUCTORS AND BIOMATERIALS, STRUCTURE-PROPERTY RELATIONSHIPS FOR ELECTRONIC, ELECTROCHEMICAL, BONE TISSUE ENGINEERING, AND PLASMID GENE DELIVERY APPLICATIONS.
NANOSTRUCTURED CATALYSTS AND SUPPORTS FOR WATER ELECTROLYSIS
NANOSTRUCTURED MATERIALS, NON-VIRAL GENE AND PROTEIN DELIVERY, ENERGY STORAGE SYSTEMS, MINERALIZED TISSUE ENGINEERING.
NOVEL BIODEGRADABLE METALS FOR CRANIOFACIAL AND ORTHOPEDIC APPLICATIONS
NOVEL LOW TEMPERATURE APPROACHES TO SMART FUNCTIONALIZED BIOFUNCTIONAL BONE CEMENTS AND POLYMER-CERAMIC HYBRID STRUCTURES FOR CRANIOFACIAL AND ORTHOPEDIC APPLICATIONS.
NOVEL LOW TEMPERATURE PHYSIOLOGICALLY COMPATIBLE APPROACHES TO BIOCERAMIC AND BIOLOGIC BIOMATERIALS FOR BONE TISSUE ENGINEERING, GENE DELIVERY, AND BIOMINERALIZATION.
NOVEL NANO-STRUCTURED MATERIALS FOR LI-ION BATTERIES, DIRECT METHANOL FUEL CELLS, HYDROGEN FUEL CELLS AND SUPERCAPACITORS.
NOVEL NON-OXIDE SOL-GEL SYNTHESIS, COLLOIDAL PROCESSING, HIGH-ENERGY MECHANICAL MILLING, MECHANOCHEMICAL SYNTHESIS, MICROSTRUCTURE AND PROPERTIES OF NOVEL ELECTRONIC AND ELECTROCHEMICALLY ACTIVE MATERIALS
NOVEL SYNTHESIS AND CHARACTERIZATION OF ADVANCED NANO-STRUCTURED MATERIALS</t>
  </si>
  <si>
    <t>ENGINEERING NATURAL POLYMERS , MEMBRANE ARCHITECTURES FOR INNOVATIVE PROCESSING OF NANOSTRUCTURED CERAMICS, METALS, SEMICONDUCTORS , BIOMATERIALS, STRUCTURE-PROPERTY RELATIONSHIPS FOR ELECTRONIC, ELECTROCHEMICAL, BONE TISSUE ENGINEERING, PLASMID GENE DELIVERY APPLICATIONS,
NANOSTRUCTURED CATALYSTS , SUPPORTS FOR WATER ELECTROLYSIS,
NANOSTRUCTURED MATERIALS, NON-VIRAL GENE , PROTEIN DELIVERY, ENERGY STORAGE SYSTEMS, MINERALIZED TISSUE ENGINEERING,
NOVEL BIODEGRADABLE METALS FOR CRANIOFACIAL , ORTHOPEDIC APPLICATIONS,
NOVEL LOW TEMPERATURE APPROACHES TO SMART FUNCTIONALIZED BIOFUNCTIONAL BONE CEMENTS , POLYMER-CERAMIC HYBRID STRUCTURES FOR CRANIOFACIAL , ORTHOPEDIC APPLICATIONS,
NOVEL LOW TEMPERATURE PHYSIOLOGICALLY COMPATIBLE APPROACHES TO BIOCERAMIC , BIOLOGIC BIOMATERIALS FOR BONE TISSUE ENGINEERING, GENE DELIVERY, BIOMINERALIZATION,
NOVEL NANO-STRUCTURED MATERIALS FOR LI-ION BATTERIES, DIRECT METHANOL FUEL CELLS, HYDROGEN FUEL CELLS , SUPERCAPACITORS,
NOVEL NON-OXIDE SOL-GEL SYNTHESIS, COLLOIDAL PROCESSING, HIGH-ENERGY MECHANICAL MILLING, MECHANOCHEMICAL SYNTHESIS, MICROSTRUCTURE , PROPERTIES OF NOVEL ELECTRONIC , ELECTROCHEMICALLY ACTIVE MATERIALS,
NOVEL SYNTHESIS , CHARACTERIZATION OF ADVANCED NANO-STRUCTURED MATERIALS</t>
  </si>
  <si>
    <t>PAUL LEU</t>
  </si>
  <si>
    <t>pleu@pitt.edu</t>
  </si>
  <si>
    <t>SPANDAN MAITI</t>
  </si>
  <si>
    <t>spm54@pitt.edu</t>
  </si>
  <si>
    <t xml:space="preserve">• ADVANCED NUMERICAL TECHNIQUES AND MASSIVELY PARALLEL SIMULATIONS
• COMPUTATIONAL BIOMECHANICS AND...
• DEFORMATION AND FAILURE RESPONSE OF BIOLOGICAL MATERIALS, HIERARCHICAL MATERIALS AND SYSTEMS
• DESIGN AND DEVELOPMENT OF MULTIFUNCTIONAL MATERIALS AND SYSTEMS
• MULTISCALE AND MULTIPHYSICS TECHNIQUES APPLIED TO PHYSICAL AND BIOLOGICAL SYSTEMS
COMPUTATIONAL MECHANICS AND MATERIALS SCIENCE
MULTISCALE AND MULTIPHYSICS TECHNIQUES APPLIED TO PHYSICAL AND BIOLOGICAL SYSTEMS
</t>
  </si>
  <si>
    <t>ADVANCED NUMERICAL TECHNIQUES , MASSIVELY PARALLEL SIMULATIONS, COMPUTATIONAL BIOMECHANICS, DEFORMATION , FAILURE RESPONSE OF BIOLOGICAL MATERIALS, HIERARCHICAL MATERIALS , SYSTEMS DESIGN , DEVELOPMENT OF MULTIFUNCTIONAL MATERIALS , SYSTEMS MULTISCALE , MULTIPHYSICS TECHNIQUES APPLIED TO PHYSICAL , BIOLOGICAL SYSTEMS</t>
  </si>
  <si>
    <t>M. RAVI SHANKAR</t>
  </si>
  <si>
    <t>ravishm@pitt.edu</t>
  </si>
  <si>
    <t xml:space="preserve">Current research efforts in the Shankar Research GrouPare focused on harnessing actuation from order-disorder transitions in liquid crystal elastomers, exploitation of instabilities to power soft robots and developing advanced manufacturing techniques to integrate active materials in freeform geometries.
</t>
  </si>
  <si>
    <t xml:space="preserve">order-disorder transitions in liquid crystal elastomers, exploitation of instabilities to power soft robots , developing advanced manufacturing techniques to integrate active materials in freeform geometries
</t>
  </si>
  <si>
    <t>JILL MILLSTONE</t>
  </si>
  <si>
    <t>jem210@pitt.edu</t>
  </si>
  <si>
    <t>TAGBO NIEPA</t>
  </si>
  <si>
    <t>TNIEPA@pitt.edu</t>
  </si>
  <si>
    <t>JONATHAN VANDE GEEST</t>
  </si>
  <si>
    <t>jpv20@pitt.edu</t>
  </si>
  <si>
    <t xml:space="preserve">BIOMECHANICS
CONSTITUTIVE MODELING
EXTRACELLULAR MATRIX
FINITE ELEMENT MODELING
OCULAR, VASCULAR, AND NERVE BIOMECHANICS
POLYMER MECHANICS
TISSUE ENGINEERING
</t>
  </si>
  <si>
    <t xml:space="preserve">BIOMECHANICS,
CONSTITUTIVE MODELING,
EXTRACELLULAR MATRIX,
FINITE ELEMENT MODELING,
OCULAR, VASCULAR, NERVE BIOMECHANICS,
POLYMER MECHANICS,
TISSUE ENGINEERING
</t>
  </si>
  <si>
    <t>SACHIN VELANKAR</t>
  </si>
  <si>
    <t>velankar@pitt.edu</t>
  </si>
  <si>
    <t>HYDROGELS
INTERFACIAL PHENOMENA
POLYMERS
RHEOLOGY</t>
  </si>
  <si>
    <t>HYDROGELS,
INTERFACIAL PHENOMENA,
POLYMERS,
RHEOLOGY</t>
  </si>
  <si>
    <t>Auburn University (Ginn)</t>
  </si>
  <si>
    <r>
      <rPr>
        <sz val="10"/>
        <color rgb="FF000000"/>
        <rFont val="Arial"/>
        <family val="2"/>
      </rPr>
      <t xml:space="preserve">Chair - </t>
    </r>
    <r>
      <rPr>
        <u/>
        <sz val="10"/>
        <color rgb="FF000000"/>
        <rFont val="Arial"/>
        <family val="2"/>
      </rPr>
      <t>Jeffrey Suhling</t>
    </r>
  </si>
  <si>
    <t>suhlijc@auburn.edusuhlijc@auburn.edu</t>
  </si>
  <si>
    <t>Experimental Mechanics
Solid Mechanics
Advanced and Composite Materials
Finite Element Analysis
Computational Mechanics</t>
  </si>
  <si>
    <t>Experimental Mechanics,
Solid Mechanics,
Advanced , Composite Materials,
Finite Element Analysis,
Computational Mechanics</t>
  </si>
  <si>
    <t>Ali Abdel-Hadi</t>
  </si>
  <si>
    <t>aza0060@auburn.eduaza0060@auburn.edu</t>
  </si>
  <si>
    <t>Sabit Adanur</t>
  </si>
  <si>
    <t>adanusa@auburn.eduadanusa@auburn.edu</t>
  </si>
  <si>
    <t>Composites
Polymer processing
Fiber Yarn Fabric Nonwoven
Weaving Knitting Braiding Tufting
Textile Machinery Testing Analysis</t>
  </si>
  <si>
    <t>Composites,
Polymer processing,
Fiber Yarn Fabric Nonwoven,
Weaving Knitting Braiding Tufting,
Textile Machinery Testing Analysis</t>
  </si>
  <si>
    <t>#61 - Mechanical Engineering</t>
  </si>
  <si>
    <t>Brendon Allen</t>
  </si>
  <si>
    <t>bca0027@auburn.edubca0027@auburn.edu</t>
  </si>
  <si>
    <t>Nonlinear and Adaptive Control
Autonomous Systems
Rehabilitation Engineering
Robotics
Human-Robot Interaction</t>
  </si>
  <si>
    <t>Nonlinear , Adaptive Control,
Autonomous Systems,
Rehabilitation Engineering,
Robotics,
Human-Robot Interaction</t>
  </si>
  <si>
    <t>Mehmet Arik</t>
  </si>
  <si>
    <t>mza0223@auburn.edumza0223@auburn.edu</t>
  </si>
  <si>
    <t>Anahita Ayasoufi</t>
  </si>
  <si>
    <t>aza0082@auburn.eduaza0082@auburn.edu</t>
  </si>
  <si>
    <t>David Bevly</t>
  </si>
  <si>
    <t>bevlydm@auburn.edubevlydm@auburn.edu</t>
  </si>
  <si>
    <t>Vehicle Dynamics
Navigation and Control
Sensor Fusion for Navigation and Control
Online State and Perimeter Estimation</t>
  </si>
  <si>
    <t>Vehicle Dynamics,
Navigation , Control,
Sensor Fusion for Navigation , Control,
Online State , Perimeter Estimation,</t>
  </si>
  <si>
    <t>Sushil Bhavnani</t>
  </si>
  <si>
    <t>bhavnsh@auburn.edubhavnsh@auburn.edu</t>
  </si>
  <si>
    <t xml:space="preserve">Thermal Management of Datacenters
Phase-Change Cooling
Heat Transfer Enhancement
Jet Impingement
Pool Boiling on Micro-Structured Surface
</t>
  </si>
  <si>
    <t>Thomas Burch</t>
  </si>
  <si>
    <t>burchte@auburn.eduburchte@auburn.edu</t>
  </si>
  <si>
    <t>Howard Chen</t>
  </si>
  <si>
    <t>hzc0074@auburn.eduhzc0074@auburn.edu</t>
  </si>
  <si>
    <t xml:space="preserve">Robotics
Sensor Fusion for Navigation
Sensor Fusion for Inertial Motion Capture
Ergonomics/Human Factors
Occupational Safety and Health
</t>
  </si>
  <si>
    <t xml:space="preserve">Robotics,
Sensor Fusion for Navigation,
Sensor Fusion for Inertial Motion Capture,
Ergonomics/Human Factors,
Occupational Safety , Health
</t>
  </si>
  <si>
    <t>Song-Yul Choe</t>
  </si>
  <si>
    <t>choeson@auburn.educhoeson@auburn.edu</t>
  </si>
  <si>
    <t>Modeling/Control of Power Sources
Piezoelectric Devices
High Powered Connectors
Solenoid Values
Tires</t>
  </si>
  <si>
    <t>Modeling/Control of Power Sources,
Piezoelectric Devices,
High Powered Connectors,
Solenoid Values,
Tires</t>
  </si>
  <si>
    <t>Lorenzo Cremaschi</t>
  </si>
  <si>
    <t>lzc0047@auburn.edulzc0047@auburn.edu</t>
  </si>
  <si>
    <t>Energy Efficiency and Sustainability
Scalable Energy Systems
Heat and Mass Transfer Processes in AC Systems
Building and Transportation HVAC
Refrigeration and Cryogenics</t>
  </si>
  <si>
    <t>Energy Efficiency , Sustainability,
Scalable Energy Systems,
Heat , Mass Transfer Processes in AC Systems,
Building , Transportation HVAC,
Refrigeration , Cryogenics</t>
  </si>
  <si>
    <t>$10,386 per year (in-state, full-time)</t>
  </si>
  <si>
    <t>David Dyer</t>
  </si>
  <si>
    <t>dyerdav@auburn.edudyerdav@auburn.edu</t>
  </si>
  <si>
    <t>Thermodynamics
Energy Conservation
Mechanical Equipment
Mechanical Design/Safety
Water Supply</t>
  </si>
  <si>
    <t>Thermodynamics,
Energy Conservation,
Mechanical Equipment,
Mechanical Design/Safety,
Water Supply</t>
  </si>
  <si>
    <t>George Flowers</t>
  </si>
  <si>
    <t>flowegt@auburn.eduflowegt@auburn.edu</t>
  </si>
  <si>
    <t>Dynamics of Rotating Machinery
Vibration Analysis of Electronic Systems</t>
  </si>
  <si>
    <t>Dynamics of Rotating Machinery, Vibration Analysis of Electronic Systems</t>
  </si>
  <si>
    <t>Reza Ghiaasiaan</t>
  </si>
  <si>
    <t>srg0041@auburn.edusrg0041@auburn.edu</t>
  </si>
  <si>
    <t>Additive Manufacturing (AM)
Mechanics of Materials
Physical Metallurgy
Structure-Property Relationships
Microstructure Characterization</t>
  </si>
  <si>
    <t>Additive Manufacturing (AM),
Mechanics of Materials,
Physical Metallurgy,
Structure-Property Relationships,
Microstructure Characterization</t>
  </si>
  <si>
    <t>harridk@auburn.eduharridk@auburn.edu</t>
  </si>
  <si>
    <t>Thermal Management of Electronics
Thermal Design &amp; Control of Spacecraft
Advanced Heat Pipe Systems
Additive Manufacured Miniaturized Heat Pipes and Heat Exchangers
Energy Conversion and Recovery Techniques</t>
  </si>
  <si>
    <t>Thermal Management of Electronics,
Thermal Design &amp; Control of Spacecraft,
Advanced Heat Pipe Systems,
Additive Manufacured Miniaturized Heat Pipes , Heat Exchangers,
Energy Conversion , Recovery Techniques</t>
  </si>
  <si>
    <t>Mark Hoffman</t>
  </si>
  <si>
    <t>mah0142@auburn.edumah0142@auburn.edu</t>
  </si>
  <si>
    <t>Internal Combustion Engines
Low Temperature Combustion
Alternative Fuels
Heat Transfer
Thermal Barrier Coatings</t>
  </si>
  <si>
    <t>Internal Combustion Engines,
Low Temperature Combustion,
Alternative Fuels,
Heat Transfer,
Thermal Barrier Coatings</t>
  </si>
  <si>
    <t>Robert Jackson</t>
  </si>
  <si>
    <t>jacksr7@auburn.edujacksr7@auburn.edu</t>
  </si>
  <si>
    <t xml:space="preserve">Wear
Surface Fatigue
Surface Engineering
Tribology
Friction
</t>
  </si>
  <si>
    <t xml:space="preserve">Wear,
Surface Fatigue,
Surface Engineering,
Tribology,
Friction
</t>
  </si>
  <si>
    <t>Nickolas Jovanovic</t>
  </si>
  <si>
    <t>nick.jovanovic@auburn.edunick.jovanovic@auburn.edu</t>
  </si>
  <si>
    <t>Jay Khodadadi</t>
  </si>
  <si>
    <t>khodajm@auburn.edukhodajm@auburn.edu</t>
  </si>
  <si>
    <t xml:space="preserve">Phase Change
Solidification
Mathematical Modeling
Porous Media
Experimental Fluid Dynamics
</t>
  </si>
  <si>
    <t xml:space="preserve">Phase Change,
Solidification,
Mathematical Modeling,
Porous Media,
Experimental Fluid Dynamics
</t>
  </si>
  <si>
    <t>Dong-Joo (Daniel) Kim</t>
  </si>
  <si>
    <t>kimdon2@auburn.edukimdon2@auburn.edu</t>
  </si>
  <si>
    <t>Condition Monitoring System
Energy Harvesting and Storing
Smart Materials and Devices
Thin Film Materials and Devices
Nano and Microfabrication</t>
  </si>
  <si>
    <t>Condition Monitoring System,
Energy Harvesting , Storing,
Smart Materials , Devices,
Thin Film Materials,
Nano , Microfabrication</t>
  </si>
  <si>
    <t>PradeePLall</t>
  </si>
  <si>
    <t>lallpra@auburn.edulallpra@auburn.edu</t>
  </si>
  <si>
    <t>Flexible Hybrid Electronics
Harsh Environment Electronics
Semiconductor Packaging
Prognostics Health Management
Shock and Vibration</t>
  </si>
  <si>
    <t>Flexible Hybrid Electronics,
Harsh Environment Electronics,
Semiconductor Packaging,
Prognostics Health Management,
Shock , Vibration</t>
  </si>
  <si>
    <t>Dan Marghitu</t>
  </si>
  <si>
    <t>marghdb@auburn.edumarghdb@auburn.edu</t>
  </si>
  <si>
    <t>Mechanical Impact
Dynamics
Mechanisms
Robots
Vibrations</t>
  </si>
  <si>
    <t>Mechanical Impact,
Dynamics,
Mechanisms,
Robots,
Vibrations</t>
  </si>
  <si>
    <t>ScoTTMartin</t>
  </si>
  <si>
    <t>smm0008@auburn.edusmm0008@auburn.edu</t>
  </si>
  <si>
    <t>GPS software receiver design
Real Time Kinematic Positioning
Sensor Fusion for Navigation
Navigation and Control of Unmanned Systems</t>
  </si>
  <si>
    <t>GPS software receiver design,
Real Time Kinematic Positioning,
Sensor Fusion for Navigation,
Navigation , Control of Unmanned Systems</t>
  </si>
  <si>
    <t>Elham Mirkoohi</t>
  </si>
  <si>
    <t>elham.mirkoohi@auburn.eduelham.mirkoohi@auburn.edu</t>
  </si>
  <si>
    <t>Additive Manufacturing
Convergent Manufacturing
PSPPLinkages
AI and Machine Learning</t>
  </si>
  <si>
    <t>Additive Manufacturing,
Convergent Manufacturing,
PSPPLinkages,
AI , Machine Learning</t>
  </si>
  <si>
    <t>Joseph Ragan</t>
  </si>
  <si>
    <t>raganjs@auburn.eduraganjs@auburn.edu</t>
  </si>
  <si>
    <t>Numerical Simulation of Physical Systems
Reverse Osmosis Desalination
Kinematics of Solid Body Impact</t>
  </si>
  <si>
    <t>Numerical Simulation of Physical Systems,
Reverse Osmosis Desalination,
Kinematics of Solid Body Impact</t>
  </si>
  <si>
    <t>Jordan Roberts</t>
  </si>
  <si>
    <t>roberj4@auburn.eduroberj4@auburn.edu</t>
  </si>
  <si>
    <t>Engineering Education
Additive Manufacturing
Electronics Packaging
Experimental &amp; Numerical Analysis
Material Characterization</t>
  </si>
  <si>
    <t>Engineering Education,
Additive Manufacturing,
Electronics Packaging,
Experimental &amp; Numerical Analysis,
Material Characterization</t>
  </si>
  <si>
    <t>Chad Rose</t>
  </si>
  <si>
    <t>chadgrose@auburn.educhadgrose@auburn.edu</t>
  </si>
  <si>
    <t>Robotics
Physical Human-Robot Interaction (pHRI)
Robotic Rehabilitation
Assistive Devices
Wearable Robotics</t>
  </si>
  <si>
    <t>Robotics,
Physical Human-Robot Interaction (pHRI),
Robotic Rehabilitation,
Assistive Devices,
Wearable Robotics</t>
  </si>
  <si>
    <t>Kyle Schulze</t>
  </si>
  <si>
    <t>kdschulze@auburn.edukdschulze@auburn.edu</t>
  </si>
  <si>
    <t>Soft Matter Mechanics
Soft Implants
Tissue interfaces, friction, adhesion, wear</t>
  </si>
  <si>
    <t>Soft Matter Mechanics,
Soft Implants,
Tissue interfaces, friction, adhesion, wear</t>
  </si>
  <si>
    <t>Nima Shamsaei</t>
  </si>
  <si>
    <t>nzs0058@auburn.edunzs0058@auburn.edu</t>
  </si>
  <si>
    <t>Additive Manufacturing
3D Printing
Fatigue and Fracture
Failure Analysis
Mechanical Behavior of Materials</t>
  </si>
  <si>
    <t>Additive Manufacturing,
3D Printing,
Fatigue , Fracture,
Failure Analysis,
Mechanical Behavior of Materials</t>
  </si>
  <si>
    <t>Shuai Shao</t>
  </si>
  <si>
    <t>szs0244@auburn.eduszs0244@auburn.edu</t>
  </si>
  <si>
    <t>Additive Manufacturing
Materials Science
Computational Materials Science
Solid Interfaces
Multiscale Modeling</t>
  </si>
  <si>
    <t>Additive Manufacturing,
Materials Science,
Computational Materials Science,
Solid Interfaces,
Multiscale Modeling</t>
  </si>
  <si>
    <t>Mrinal Thakur</t>
  </si>
  <si>
    <t>thakumr@auburn.eduthakumr@auburn.edu</t>
  </si>
  <si>
    <t xml:space="preserve">Electronic and Optical Properties of Novel Organic Conducting Materials and Molecular Crystals
Femtosecond Time-resolved Measurements of Nonlinear Optical Susceptibilities, Fluorescence and Dynamics of Excited States
Organic Single-Crystal Films, Electro-optics, Frequency Conversion
Nonconjugated Conductive Polymers, Photovoltaics, Nonlinear Optics
Polymers for Protection against Nuclear Radiation (Radioiodine)
</t>
  </si>
  <si>
    <t xml:space="preserve">Electronic , Optical Properties of Novel Organic Conducting Materials , Molecular Crystals,
Femtosecond Time-resolved Measurements of Nonlinear Optical Susceptibilities, Fluorescence , Dynamics of Excited States,
Organic Single-Crystal Films, Electro-optics, Frequency Conversion,
Nonconjugated Conductive Polymers, Photovoltaics, Nonlinear Optics,
Polymers for Protection against Nuclear Radiation (Radioiodine)
</t>
  </si>
  <si>
    <t>Hareesh Tippur</t>
  </si>
  <si>
    <t>tippuhv@auburn.edutippuhv@auburn.edu</t>
  </si>
  <si>
    <t>mechanics of materials
experimental mechanics
fracture and failure
high strain-rate behavior
composite materials</t>
  </si>
  <si>
    <t>mechanics of materials,
experimental mechanics,
fracture , failure,
high strain-rate behavior,
composite materials</t>
  </si>
  <si>
    <t>Ali Reza Torabi</t>
  </si>
  <si>
    <t>azt0123@auburn.eduazt0123@auburn.edu</t>
  </si>
  <si>
    <t>Fracture Mechanics
Notch Fracture Mechanics
Fatigue
Additive Manufacturing
Structural Integrity</t>
  </si>
  <si>
    <t>Fracture Mechanics,
Notch Fracture Mechanics,
Fatigue,
Additive Manufacturing,
Structural Integrity</t>
  </si>
  <si>
    <t>Nicholas Tsolas</t>
  </si>
  <si>
    <t>nzt0020@auburn.edunzt0020@auburn.edu</t>
  </si>
  <si>
    <t xml:space="preserve">Developing sustainable energy technologies with decreased net environmental impact
Experimental techniques, including laser-based optical diagnostic methods
Low temperature combustion and plasma-assisted combustion
Conventional and alternative fuels
Internal combustion engines, gas turbines and propulsion systems
</t>
  </si>
  <si>
    <t xml:space="preserve">Developing sustainable energy technologies with decreased net environmental impact,
Experimental techniques, including laser-based optical diagnostic methods,
Low temperature combustion , plasma-assisted combustion,
Conventional , alternative fuels,
Internal combustion engines, gas turbines , propulsion systems
</t>
  </si>
  <si>
    <t>Richard Williams</t>
  </si>
  <si>
    <t>rrw0006@auburn.edurrw0006@auburn.edu</t>
  </si>
  <si>
    <t xml:space="preserve">Thermal Design
Heat Exchangers
Heat Pipes
Additive Manufacturing
Fluid Systems
</t>
  </si>
  <si>
    <t>Thermal Design,
Heat Exchangers,
Heat Pipes,
Additive Manufacturing,
Fluid Systems</t>
  </si>
  <si>
    <t>Michael Zabala</t>
  </si>
  <si>
    <t>zabalme@auburn.eduzabalme@auburn.edu</t>
  </si>
  <si>
    <t>Biomechanics
Motion Capture
MRI
Musculoskeletal Injury
Athletic Performance</t>
  </si>
  <si>
    <t>Biomechanics,
Motion Capture,
MRI,
Musculoskeletal Injury,
Athletic Performance</t>
  </si>
  <si>
    <t>Dartmouth College (Thayer)</t>
  </si>
  <si>
    <t>Mechanical / Operations / Systems</t>
  </si>
  <si>
    <t>$60,687 per year (full-time)</t>
  </si>
  <si>
    <t>George Washington University</t>
  </si>
  <si>
    <t>Elias Balaras</t>
  </si>
  <si>
    <t>balaras@gwu.edu</t>
  </si>
  <si>
    <t>Biomedical engineering
Fluid mechanics, thermal science and energy
High-performance computing
Mechanical engineering
Propulsion</t>
  </si>
  <si>
    <t>Biomedical engineering,
Fluid mechanics, thermal science , energy,
High-performance computing,
Mechanical engineering,
Propulsion</t>
  </si>
  <si>
    <t>Lorena A. Barba</t>
  </si>
  <si>
    <t>labarba@gwu.edu</t>
  </si>
  <si>
    <t>Fluid Mechanics
Thermal Science and Energy
High-performance Computing
Mechanical Engineering</t>
  </si>
  <si>
    <t>Fluid Mechanics,
Thermal Science , Energy,
High-performance Computing,
Mechanical Engineering</t>
  </si>
  <si>
    <t>Philippe M. Bardet</t>
  </si>
  <si>
    <t>bardet@gwu.edu</t>
  </si>
  <si>
    <t>Fluid mechanics, thermal science and energy
Mechanical engineering</t>
  </si>
  <si>
    <t>Fluid mechanics, thermal science , energy, Mechanical engineering</t>
  </si>
  <si>
    <t>Andrew D. Cutler</t>
  </si>
  <si>
    <t>adcutler@gwu.edu</t>
  </si>
  <si>
    <t>Aerospace engineering
Fluid mechanics, thermal science and energy
Mechanical engineering
Propulsion</t>
  </si>
  <si>
    <t>Aerospace engineering,
Fluid mechanics, thermal science , energy,
Mechanical engineering,
Propulsion</t>
  </si>
  <si>
    <t>#92 - Best Engineering Schools</t>
  </si>
  <si>
    <t>Charles Garris</t>
  </si>
  <si>
    <t>garris@gwu.edu</t>
  </si>
  <si>
    <t>Aerospace engineering
Design and manufacturing of mechanical and aerospace systems
Fluid mechanics, thermal science and energy
Mechanical engineering
Propulsion</t>
  </si>
  <si>
    <t>Aerospace engineering,
Design , manufacturing of mechanical , aerospace systems,
Fluid mechanics, thermal science , energy,
Mechanical engineering,
Propulsion</t>
  </si>
  <si>
    <t>Stephen M. Hsu</t>
  </si>
  <si>
    <t>stevehsu@gwu.edu</t>
  </si>
  <si>
    <t>Fluid mechanics, thermal science and energy
Mechanical engineering
Nanotechnologies
Solid mechanics and materials science</t>
  </si>
  <si>
    <t>Fluid mechanics, thermal science , energy,
Mechanical engineering,
Nanotechnologies,
Solid mechanics , materials science</t>
  </si>
  <si>
    <t>Michael Keidar</t>
  </si>
  <si>
    <t>keidar@gwu.edu</t>
  </si>
  <si>
    <t>PMichael Keidar's Micropropulsion and Nanotechnology Lab conducts advanced fundamental and applied research in plasma medicine, micropropulsion for micro and nanosatellites, and plasma nanoscience and nanotechnology.</t>
  </si>
  <si>
    <t xml:space="preserve"> Micropropulsion , Nanotechnology Lab conducts advanced fundamental , applied research in plasma medicine, micropropulsion for micro , nanosatellites, plasma nanoscience , nanotechnology</t>
  </si>
  <si>
    <t>Saniya LeBlanc</t>
  </si>
  <si>
    <t>sleblanc@gwu.edu</t>
  </si>
  <si>
    <t>Design and manufacturing of mechanical and aerospace systems
Economics, finance and cost engineering
Environmental and energy management
Fluid mechanics, thermal science and energy
Materials
Mechanical engineering
Microelectronics, VLSI systems, and MEMS/NEMS
Nanotechnologies</t>
  </si>
  <si>
    <t>Design , manufacturing of mechanical , aerospace systems,
Economics, finance , cost engineering,
Environmental , energy management,
Fluid mechanics, thermal science , energy,
Materials,
Mechanical engineering,
Microelectronics, VLSI systems, MEMS/NEMS,
Nanotechnologies</t>
  </si>
  <si>
    <t>James D. Lee</t>
  </si>
  <si>
    <t>jdlee@gwu.edu</t>
  </si>
  <si>
    <t>Continuum Mechanics
Molecular Dynamics
Multiscale Modeling
Finite Element Analysis
Mechanobiology
Materials Science
Control Theory and Robotics</t>
  </si>
  <si>
    <t>Continuum Mechanics,
Molecular Dynamics,
Multiscale Modeling,
Finite Element Analysis,
Mechanobiology,
Materials Science,
Control Theory , Robotics</t>
  </si>
  <si>
    <t>Taeyoung Lee</t>
  </si>
  <si>
    <t>tylee@gwu.edu</t>
  </si>
  <si>
    <t>Aerospace engineering
Mechanical engineering
Mechatronics, robotics, and controls</t>
  </si>
  <si>
    <t>Aerospace engineering,
Mechanical engineering,
Mechatronics, robotics, controls</t>
  </si>
  <si>
    <t>Megan Leftwich</t>
  </si>
  <si>
    <t>mleftwich@gwu.edu</t>
  </si>
  <si>
    <t>Biomedical engineering
Fluid mechanics, thermal science and energy
Mechanical engineering
Propulsion</t>
  </si>
  <si>
    <t>Biomedical engineering,
Fluid mechanics, thermal science , energy,
Mechanical engineering,
Propulsion</t>
  </si>
  <si>
    <t>Yongsheng Leng</t>
  </si>
  <si>
    <t>leng@gwu.edu</t>
  </si>
  <si>
    <t xml:space="preserve">Design and manufacturing of mechanical and aerospace systems
Mechanical engineering
Nanotechnologies
Solid mechanics and materials science </t>
  </si>
  <si>
    <t xml:space="preserve">Design , manufacturing of mechanical , aerospace systems,
Mechanical engineering,
Nanotechnologies,
Solid mechanics , materials science </t>
  </si>
  <si>
    <t>$1,995 per credit (full-time)</t>
  </si>
  <si>
    <t>Pamela M. Norris</t>
  </si>
  <si>
    <t>PamNorris@gwu.edu</t>
  </si>
  <si>
    <t xml:space="preserve">he is recognized globally as a leading expert in nanoscale heat transfer, especially interfacial thermal transport with a focus on thermal management across a range of length scales. </t>
  </si>
  <si>
    <t xml:space="preserve">nanoscale heat transfer </t>
  </si>
  <si>
    <r>
      <rPr>
        <sz val="10"/>
        <color rgb="FF000000"/>
        <rFont val="Arial"/>
        <family val="2"/>
      </rPr>
      <t xml:space="preserve">Chair - </t>
    </r>
    <r>
      <rPr>
        <u/>
        <sz val="10"/>
        <color rgb="FF000000"/>
        <rFont val="Arial"/>
        <family val="2"/>
      </rPr>
      <t>Michael W. Plesniak</t>
    </r>
  </si>
  <si>
    <t>plesniak@gwu.edu</t>
  </si>
  <si>
    <t>Aerospace engineering
Biomedical engineering
Fluid mechanics, thermal science and energy
Mechanical engineering
Propulsion</t>
  </si>
  <si>
    <t>Aerospace engineering,
Biomedical engineering,
Fluid mechanics, thermal science , energy,
Mechanical engineering,
Propulsion</t>
  </si>
  <si>
    <t>Matthew J. Rau</t>
  </si>
  <si>
    <t>matthew.rau@gwu.edu</t>
  </si>
  <si>
    <t>Kausik Sarkar</t>
  </si>
  <si>
    <t>sarkar@gwu.edu</t>
  </si>
  <si>
    <t>Biomedical engineering
Fluid mechanics, thermal science and energy
High-performance computing
Mechanical engineering</t>
  </si>
  <si>
    <t>Biomedical engineering,
Fluid mechanics, thermal science , energy
High-performance computing,
Mechanical engineering</t>
  </si>
  <si>
    <t>Yin-Lin Shen</t>
  </si>
  <si>
    <t>yshen@gwu.edu</t>
  </si>
  <si>
    <t>Design and manufacturing of mechanical and aerospace systems
Mechanical engineering</t>
  </si>
  <si>
    <t>Design , manufacturing of mechanical , aerospace systems,Mechanical engineering</t>
  </si>
  <si>
    <t>Steven Shooter</t>
  </si>
  <si>
    <t>steveshooter@gwu.edu</t>
  </si>
  <si>
    <t>Murray R. Snyder</t>
  </si>
  <si>
    <t>snydermr@gwu.edu</t>
  </si>
  <si>
    <t>Fluid mechanics, thermal science and energy
Mechanical engineering
Propulsion</t>
  </si>
  <si>
    <t>Fluid mechanics, thermal science , energy,
Mechanical engineering,
Propulsion,</t>
  </si>
  <si>
    <t>Santiago Solares</t>
  </si>
  <si>
    <t>ssolares@gwu.edu</t>
  </si>
  <si>
    <t>Nanotechnologies
Materials
Mechanical Engineering
Design and Manufacturing of Mechanical and Aerospace Systems
High-performance Computing</t>
  </si>
  <si>
    <t>Nanotechnologies,
Materials,
Mechanical Engineering,
Design , Manufacturing of Mechanical , Aerospace Systems,
High-performance Computing</t>
  </si>
  <si>
    <t>Peng Wei</t>
  </si>
  <si>
    <t>pwei@gwu.edu</t>
  </si>
  <si>
    <t>Control
Optimization
Machine learning
Artificial intelligence</t>
  </si>
  <si>
    <t>Control,
Optimization,
Machine learning,
Artificial intelligence</t>
  </si>
  <si>
    <t>Lijie Grace Zhang</t>
  </si>
  <si>
    <t>lgzhang@gwu.edu</t>
  </si>
  <si>
    <t xml:space="preserve">PLijie Grace Zhang's Bioengineering Laboratory for Nanomedicine and Tissue Engineering applies a range of interdisciplinary technologies and approaches in 3D/4D bioprinting, nanotechnology, tissue engineering, and drug delivery for various biomedical applications. </t>
  </si>
  <si>
    <t>Nanomedicine , Tissue Engineering applies a range of interdisciplinary technologies , approaches in 3D/4D bioprinting, nanotechnology, tissue engineering, drug delivery</t>
  </si>
  <si>
    <t>Kartik V. Bulusu</t>
  </si>
  <si>
    <t>bulusu@gwu.edu</t>
  </si>
  <si>
    <t>Ken P. Chong</t>
  </si>
  <si>
    <t>kchong@gwu.edu</t>
  </si>
  <si>
    <t>David S. Dolling</t>
  </si>
  <si>
    <t>dolling@gwu.edu</t>
  </si>
  <si>
    <t>He conducts research in supersonic and hypersonic turbulent fluid dynamics and aerodynamics. His research applies to the design of supersonic aircraft engine inlets and other applications in which shock-induced, turbulent separation occurs.</t>
  </si>
  <si>
    <t>supersonic , hypersonic turbulent fluid dynamics , aerodynamics</t>
  </si>
  <si>
    <t>M. Ashraf Imam</t>
  </si>
  <si>
    <t>ashrafimam@gwu.edu</t>
  </si>
  <si>
    <t xml:space="preserve"> PImam’s research focuses on the structure-property relationshiPof materials with emphasis on light metals such as Ti, Al, and Mg.</t>
  </si>
  <si>
    <t>structure-property relationshiPof materials with emphasis</t>
  </si>
  <si>
    <t>Professor Andrew Cutler's group is focused on developing and applying laser diagnostics to supersonic combustion. These techniques include coherent-anti-Stokes Raman spectroscopy and Rayleigh scattering. Databases have and continue to be acquired in dual-mode scramjets burning hydrogen and ethylene, which are being used by the computational fluid dynamics community in developing their codes.</t>
  </si>
  <si>
    <t>applying laser diagnostics to supersonic combustion, These techniques include coherent-anti-Stokes Raman spectroscopy , Rayleigh scattering, Databases have , continue to be acquired in dual-mode scramjets burning hydrogen , ethylene, which are being used by the computational fluid dynamics community in developing their codes</t>
  </si>
  <si>
    <t>Lehigh University (Rossin)</t>
  </si>
  <si>
    <t>Aditya Aiyer</t>
  </si>
  <si>
    <t>ada823@lehigh.edu</t>
  </si>
  <si>
    <t>Fluid Mechanics, Turbulence, Wind Energy, Offshore Wind Turbine Systems, Air-sea Interaction</t>
  </si>
  <si>
    <t>David C. Angstadt</t>
  </si>
  <si>
    <t>dca287@lehigh.edu</t>
  </si>
  <si>
    <t>Ganesh Balasubramanian</t>
  </si>
  <si>
    <t>bganesh@lehigh.edu</t>
  </si>
  <si>
    <t>His research and teaching interests are in advanced energy and structural materials, nanoscale transport and mechanics, and predictive engineering.</t>
  </si>
  <si>
    <t>advanced energy , structural materials, nanoscale transport , mechanics, predictive engineering</t>
  </si>
  <si>
    <r>
      <rPr>
        <sz val="10"/>
        <color rgb="FF000000"/>
        <rFont val="Arial"/>
        <family val="2"/>
      </rPr>
      <t xml:space="preserve">Chair - </t>
    </r>
    <r>
      <rPr>
        <u/>
        <sz val="10"/>
        <color rgb="FF000000"/>
        <rFont val="Arial"/>
        <family val="2"/>
      </rPr>
      <t>Arindam Banerjee</t>
    </r>
  </si>
  <si>
    <t>arb612@lehigh.edu</t>
  </si>
  <si>
    <t>Fluid dynamics in extreme environments understanding hydrodynamics of inertial confinement fusion,
Renewable energy applications River/Tidal and Wave energy harvesting, and,
Computational Pulmonary Therapeutics Pulmonary drug delivery under different mechanical ventilation conditions.</t>
  </si>
  <si>
    <t>Fluid dynamics in extreme environments underst,ing hydrodynamics of inertial confinement fusion,Renewable energy applications River/Tidal , Wave energy harvesting,Computational Pulmonary Therapeutics Pulmonary drug delivery under different mechanical ventilation conditions</t>
  </si>
  <si>
    <t>#85 - Best Engineering Schools</t>
  </si>
  <si>
    <t>William A. Best</t>
  </si>
  <si>
    <t>wab205@lehigh.edu</t>
  </si>
  <si>
    <t>s include the ethical obligations of engineers and how technology is viewed in literature and popular culture.</t>
  </si>
  <si>
    <t>ethical obligations of engineers , how technology is viewed in literature , popular culture</t>
  </si>
  <si>
    <t>Subhrajit Bhattacharya</t>
  </si>
  <si>
    <t>sub216@lehigh.edu</t>
  </si>
  <si>
    <t>Subhrajit's s are centered around motion planning and control of autonomous, intelligent systems. More specifically, he is interested in applications of topological and geometric methods (algebraic/differential topology, differential/discrete geometry) to the design and analysis of algorithms in robot motion planning, coverage, sensor networks, swarms, distributed systems and control.</t>
  </si>
  <si>
    <t>motion planning , control of autonomous, intelligent systems, topological , geometric methods (algebraic/differential topology, differential/discrete geometry) to the design , analysis of algorithms in robot motion planning, coverage, sensor networks, swarms, distributed systems , control</t>
  </si>
  <si>
    <t>Meng-Sang Chew</t>
  </si>
  <si>
    <t>mc0p@lehigh.edu</t>
  </si>
  <si>
    <t xml:space="preserve">Dr. Chew conducts research in the area of conceptual design of mechanisms and advanced machinery, such as novel car engines, new manual and automatic car transmissions, deployable space structures, ground-based microgravity suspension systems for space structures, advanced worm gear design, high-speed chain drives and high-speed cam-follower mechanisms, suspension systems using band mechanisms, robotics, artificial intelligence (AI) for robot hand and variable-stroke engine design, neural networks for airplane fuel tanks, as well as learning control and adaptive control methodologies for intelligent electromechanical machinery.
</t>
  </si>
  <si>
    <t>conceptual design of mechanisms , advanced machinery, such as novel car engines, new manual , automatic car transmissions, deployable space structures, ground-based microgravity suspension systems for space structures, advanced worm gear design, high-speed chain drives , high-speed cam-follower mechanisms, mechanisms, robotics, artificial intelligence (AI) for robot hand variable-stroke engine design, neural networks for airplane fuel tanks, as well as learning control , adaptive control methodologies for intelligent electromechanical machinery</t>
  </si>
  <si>
    <t>John P. Coulter</t>
  </si>
  <si>
    <t>jc0i@lehigh.edu</t>
  </si>
  <si>
    <t>John Coulter conducts research on fundamental issues related to material processing, manufacturing science, and intelligent manufacturing. This involves the study of novel processing methodologies, process modeling, product quality monitoring during processing, and knowledge based control for continuous process optimization.</t>
  </si>
  <si>
    <t>fundamental issues related to material processing, manufacturing science, intelligent manufacturing, novel processing methodologies, process modeling, product quality monitoring during processing, knowledge based control for continuous process optimization</t>
  </si>
  <si>
    <t>Hannah Dailey</t>
  </si>
  <si>
    <t xml:space="preserve">hlr3@lehigh.edu
</t>
  </si>
  <si>
    <t>Her s include computational and experimental biomechanics of fracture fixation and bone healing, fracture nonunion, and mechanics of musculoskeletal tissues.</t>
  </si>
  <si>
    <t>computational , experimental biomechanics of fracture fixation , bone healing, fracture nonunion, mechanics of musculoskeletal tissues</t>
  </si>
  <si>
    <t>Ebru Demir</t>
  </si>
  <si>
    <t xml:space="preserve">demir@lehigh.edu
</t>
  </si>
  <si>
    <t xml:space="preserve">Ebru's (she/her/hers) research approach combines numerical simulations and experiments to investigate locomotion in complex fluids and biological environments to helPrealize biomedical and environmental applications such as targeted drug delivery, diagnostics, and waste elimination. Her interdisciplinary RProgram focuses on utilizing fluid mechanics/dynamics and machine learning techniques to solve engineering problems across various engineering disciplines, including robotics, biomedical engineering, and advanced manufacturing. Locomotion in bio-fluids and complex environments is  investigated across multiple scales through novel designs ranging from bioinspired artificial microswimmers to scaled-uPintelligent robots. She also enjoys taking part in interdisciplinary collaborations where she can contribute her expertise and experience in experimental design, simulations, and rapid prototyping to create flow based medical devices. </t>
  </si>
  <si>
    <t>combines numerical simulations, experiments to investigate locomotion in complex fluids , biological environments to helPrealize biomedical , environmental applications such as targeted drug delivery, diagnostics, waste elimination</t>
  </si>
  <si>
    <t>Joachim L. Grenestedt</t>
  </si>
  <si>
    <t xml:space="preserve">jog5@lehigh.edu
</t>
  </si>
  <si>
    <t>High-speed boats, slamming testing, new structural concepts (steel-composite hybrids), and new vehicle concepts for drastically improved ride (Suspension boats)
Unmanned aircraft for high altitude dynamic soaring,
Unmanned boats for characterizing waves, as well as for harbor patrol and riverine operations
Unmanned aircraft that can be launched from a cannon</t>
  </si>
  <si>
    <t>High-speed boats, slamming testing, new structural concepts (steel-composite hybrids), new vehicle concepts for drastically improved ride (Suspension boats), Unmanned aircraft for high altitude dynamic soaring, Unmanned boats for characterizing waves, as well as for harbor patrol , riverine operations, Unmanned aircraft that can be launched from a cannon</t>
  </si>
  <si>
    <t>Christina Viau Haden</t>
  </si>
  <si>
    <t>christina.haden@lehigh.edu</t>
  </si>
  <si>
    <t>Her current research involves the probabilistic life analysis of additive manufactured metals, with experience spanning the fields of cellular mechanics, polymer electrochemistry, and biomimetics.</t>
  </si>
  <si>
    <t>probabilistic life analysis of additive manufactured metals, with experience spanning the fields of cellular mechanics, polymer electrochemistry, biomimetics</t>
  </si>
  <si>
    <t>$1,500 per credit (full-time)</t>
  </si>
  <si>
    <t>Terry J. Hart</t>
  </si>
  <si>
    <t xml:space="preserve">teh305@lehigh.edu
</t>
  </si>
  <si>
    <t xml:space="preserve">His current research activities include spacecraft attitude control and trajectory optimization. </t>
  </si>
  <si>
    <t>spacecraft attitude control , trajectory optimization</t>
  </si>
  <si>
    <t>Justin W. Jaworski</t>
  </si>
  <si>
    <t xml:space="preserve">jaworski@lehigh.edu
</t>
  </si>
  <si>
    <t>Fluid/Structure Interaction, Fluid Mechanics, Thermodynamics, and Transport Phenomena, Nonlinear/Dynamical Systems and Chaos, Mathematical Modeling and Computational Mechanics</t>
  </si>
  <si>
    <t>Fluid/Structure Interaction, Fluid Mechanics, Thermodynamics, Transport Phenomena, Nonlinear/Dynamical Systems , Chaos, Mathematical Modeling , Computational Mechanics</t>
  </si>
  <si>
    <t>Parisa Khodabakhshi</t>
  </si>
  <si>
    <t xml:space="preserve">pak322@lehigh.edu
</t>
  </si>
  <si>
    <t>Nonlocal Mechanics, Fracture Mechanics, Model Reduction, Computational Mechanics, Multifidelity Methods</t>
  </si>
  <si>
    <t>Animesh Kundu</t>
  </si>
  <si>
    <t>ank8@lehigh.edu</t>
  </si>
  <si>
    <t>Yaling Liu</t>
  </si>
  <si>
    <t>yal310@lehigh.edu</t>
  </si>
  <si>
    <t>Computational Mechanics, Engineering Mechanics, Fluid/Structure Interaction, Mechanical Engineering, Fluid Mechanics, Thermodynamics, and Transport Phenomena, Nanotechnology, Bio Microelectromechanical Systems, Micro- and Nanofabrication, Micro- and Nanoscale Manufacturing, Micro- and Nanosensors, Micro/Nanotechnology, Microelectromechanical Systems (MEMS), Microfluidics, Mathematical Sciences, Life Sciences and Bioengineering, Bioengineering, Biointerface Design, Biomaterials, Biomechanics, Biopharmaceutical Engineering, Biosensors, Cell and Tissue Engineering, Modeling of Biological Systems, Bioelectronics/Photonics, Life Science, Biophysics, Medical Devices, Medicine and Life Science, Artificial Organs, Physical Science, Mathematics, and Technology</t>
  </si>
  <si>
    <t>Computational Mechanics, Engineering Mechanics, Fluid/Structure Interaction, Mechanical Engineering, Fluid Mechanics, Thermodynamics, Transport Phenomena, Nanotechnology, Bio Microelectromechanical Systems, Micro- , Nanofabrication, Micro- , Nanoscale Manufacturing, Micro- , Nanosensors, Micro/Nanotechnology, Microelectromechanical Systems (MEMS), Microfluidics, Mathematical Sciences, Life Sciences , Bioengineering, Bioengineering, Biointerface Design, Biomaterials, Biomechanics, Biopharmaceutical Engineering, Biosensors, Cell , Tissue Engineering, Modeling of Biological Systems, Bioelectronics/Photonics, Life Science, Biophysics, Medical Devices, Medicine , Life Science, Artificial Organs, Physical Science, Mathematics, Technology</t>
  </si>
  <si>
    <t>Wojciech Z. Misiolek</t>
  </si>
  <si>
    <t>wzm2@lehigh.edu</t>
  </si>
  <si>
    <t>Structural Materials, Microstructures, Metal Forming, Metallurgy, Biomaterials, Metals and Alloys, Manufacturing, Mechanical Characterization, Physical &amp; Numerical Modeling, Synthesis and Processing</t>
  </si>
  <si>
    <t>Structural Materials, Microstructures, Metal Forming, Metallurgy, Biomaterials, Metals , Alloys, Manufacturing, Mechanical Characterization, Physical &amp; Numerical Modeling, Synthesis , Processing</t>
  </si>
  <si>
    <t>Keith W. Moored</t>
  </si>
  <si>
    <t>kmoored@lehigh.edu</t>
  </si>
  <si>
    <t>Bio-inspired flows, Unsteady flows, Fluid/Structure Interaction, Fluid Mechanics, Thermodynamics, Transport Phenomena</t>
  </si>
  <si>
    <t>Nader Motee</t>
  </si>
  <si>
    <t>motee@lehigh.edu</t>
  </si>
  <si>
    <t>Networked Control Systems, Robots Real-Time Perception, Robotic Networks, Learning in Control and Dynamical Systems</t>
  </si>
  <si>
    <t>Networked Control Systems, Robots Real-Time Perception, Robotic Networks, Learning in Control , Dynamical Systems</t>
  </si>
  <si>
    <t>Herman F. Nied</t>
  </si>
  <si>
    <t>hfn2@lehigh.edu</t>
  </si>
  <si>
    <t>Solid and Fracture Mechanics, Mechanical Engineering, Engineering Mechanics, Computational Mechanics, Adhesion, Ceramics, Composites and Functionally Gradient Materials, Computer Simulation of Solids, Defects, Elasticity, Electronic Materials, Failure Analysis, Large Structures, Laser Welding and Shaping, Manufacturing Process Design, Modeling and Control, Materials Characterization, Mechanical Characterization, Polymers, Toughening Mechanisms</t>
  </si>
  <si>
    <t>Solid , Fracture Mechanics, Mechanical Engineering, Engineering Mechanics, Computational Mechanics, Adhesion, Ceramics, Composites , Functionally Gradient Materials, Computer Simulation of Solids, Defects, Elasticity, Electronic Materials, Failure Analysis, Large Structures, Laser Welding , Shaping, Manufacturing Process Design, Modeling , Control, Materials Characterization, Mechanical Characterization, Polymers, Toughening Mechanisms</t>
  </si>
  <si>
    <t>Alparslan Oztekin</t>
  </si>
  <si>
    <t>alo2@lehigh.edu</t>
  </si>
  <si>
    <t>Engineering Mechanics, Fluid Mechanics, Thermodynamics, and Transport Phenomena, Fluid/Structure Interaction, Mechanical Engineering</t>
  </si>
  <si>
    <t>Engineering Mechanics, Fluid Mechanics, Thermodynamics, Transport Phenomena, Fluid/Structure Interaction, Mechanical Engineering</t>
  </si>
  <si>
    <t>Murat Ozturk</t>
  </si>
  <si>
    <t>mo06@lehigh.edu</t>
  </si>
  <si>
    <t>Mixed Boundary Value Problems, Singular Integral Equations, Computational Mechanics, Solid Mechanics, Fracture Mechanics, Finite Elements, Wave Propagation in Solids</t>
  </si>
  <si>
    <t>Tariq Rafiq</t>
  </si>
  <si>
    <t>tar207@lehigh.edu</t>
  </si>
  <si>
    <t xml:space="preserve">Prof. Rafiq is a nuclear fusion theorist and modeler, who has made contributions to the progress of controlled fusion plasma science in areas that contribute to the development of nuclear fusion as a practical energy source. He has developed physics-based fluid/kinetic hybrid energy, particle, and momentum transport models for magnetically confined plasmas that are used in whole-device simulations. He has conducted detailed computational studies to validate these models using tokamak fusion devices and to verify them against first-principle codes.
</t>
  </si>
  <si>
    <t>other</t>
  </si>
  <si>
    <t xml:space="preserve">nuclear fusion theorist , modeler, who has made contributions to the progress of controlled fusion plasma science in areas that contribute to the development of nuclear fusion as a practical energy source
</t>
  </si>
  <si>
    <t>Donald O. Rockwell</t>
  </si>
  <si>
    <t>dor0@lehigh.edu</t>
  </si>
  <si>
    <t xml:space="preserve">Fluid/Structure Interaction, Flow-Acoustic Coupling, Flow Instability, Vortex Flow
</t>
  </si>
  <si>
    <t>Fluid/Structure Interaction, Flow-Acoustic Coupling, Flow Instability, Vortex Flow</t>
  </si>
  <si>
    <t>Eugenio Schuster</t>
  </si>
  <si>
    <t>schuster@lehigh.edu</t>
  </si>
  <si>
    <t>Nuclear Fusion, Computational Plasma Physics, Plasma Control, Dynamic Systems and Control, Model-based Optimazation, Optimal/Robust/Adaptive Control, Nonlinear Systems, Distributed-Parameter Systems</t>
  </si>
  <si>
    <t>Nuclear Fusion, Computational Plasma Physics, Plasma Control, Dynamic Systems , Control, Model-based Optimazation, Optimal/Robust/Adaptive Control, Nonlinear Systems, Distributed-Parameter Systems</t>
  </si>
  <si>
    <t>Cristian-Ioan Vasile</t>
  </si>
  <si>
    <t>crv519@lehigh.edu</t>
  </si>
  <si>
    <t>Formal Methods, Motion and Path Planning, Distributed and Decentralized Control, Machine Learning, Robotics, Networked Systems, Systems Biology</t>
  </si>
  <si>
    <t>Formal Methods, Motion , Path Planning, Distributed , Decentralized Control, Machine Learning, Robotics, Networked Systems, Systems Biology</t>
  </si>
  <si>
    <t>Natasha Vermaak</t>
  </si>
  <si>
    <t>vermaak@lehigh.edu</t>
  </si>
  <si>
    <t>Mathematical Optimization and Modeling, Materials Design and Topology Optimization, Advanced Materials and Processing, Mechanical Behavior of Materials, Engineering Mechanics, Structural Engineering, Experimental and Computational Mechanics, Inelastic Design and Cyclic Plasticity</t>
  </si>
  <si>
    <t>Mathematical Optimization , Modeling, Materials Design , Topology Optimization, Advanced Materials , Processing, Mechanical Behavior of Materials, Engineering Mechanics, Structural Engineering, Experimental,Computational Mechanics, Inelastic Design , Cyclic Plasticity</t>
  </si>
  <si>
    <t>Arkady Voloshin</t>
  </si>
  <si>
    <t>av01@lehigh.edu</t>
  </si>
  <si>
    <t>Solid and Fracture Mechanics, Cell and Tissue Engineering, Biomechanics</t>
  </si>
  <si>
    <t>Solid , Fracture Mechanics, Cell , Tissue Engineering, Biomechanics</t>
  </si>
  <si>
    <t>Edmund Webb III</t>
  </si>
  <si>
    <t>ebw210@lehigh.edu</t>
  </si>
  <si>
    <t>In his research, Dr. Webb applies simulation techniques across multiple length and time scales to elucidate fundamental phenomena controlling the mechanical response of materials. Current studies include stress evolution in nanostructures and thin films, capillary driven fluid flow in reactive flow systems, and mass and heat transport processes at interfaces between dissimilar materials.</t>
  </si>
  <si>
    <t>simulation techniques across multiple length , time scales to elucidate fundamental phenomena controlling the mechanical response of materials, Current studies include stress evolution in nanostructures , thin films, capillary driven fluid flow in reactive flow systems, mass , heat transport processes at interfaces between dissimilar materials</t>
  </si>
  <si>
    <t>Missouri University of Science &amp; Technology--Rolla</t>
  </si>
  <si>
    <t>Mohammad Abbas</t>
  </si>
  <si>
    <t>m.abbas@mst.edu</t>
  </si>
  <si>
    <t>Aerospace Propulsion, Aerospace Vehicle Performance, Second-Law Analysis of Aerospace Systems, Thermodynamics, Exergy/Availability</t>
  </si>
  <si>
    <t>Abdulaziz Abutunis</t>
  </si>
  <si>
    <t>ama294@mst.edu</t>
  </si>
  <si>
    <t xml:space="preserve">Hydrokinetic and Wind energy, composites, additive manufacturing, injection molding, system design. </t>
  </si>
  <si>
    <t>Hydrokinetic , Wind energy, composites, additive manufacturing, injection molding, system design</t>
  </si>
  <si>
    <t>Yezad Anklesaria</t>
  </si>
  <si>
    <t>yanklesaria@mst.edu</t>
  </si>
  <si>
    <r>
      <rPr>
        <sz val="10"/>
        <color rgb="FF000000"/>
        <rFont val="Arial"/>
        <family val="2"/>
      </rPr>
      <t xml:space="preserve">Chair - </t>
    </r>
    <r>
      <rPr>
        <u/>
        <sz val="10"/>
        <color rgb="FF000000"/>
        <rFont val="Arial"/>
        <family val="2"/>
      </rPr>
      <t>David Bayless</t>
    </r>
  </si>
  <si>
    <t>dbayless@mst.edu</t>
  </si>
  <si>
    <t>#82 - Best Engineering Schools</t>
  </si>
  <si>
    <t>Richard Billo</t>
  </si>
  <si>
    <t>richard.billo@mst.edu</t>
  </si>
  <si>
    <t>Douglas Bristow</t>
  </si>
  <si>
    <t>dbristow@mst.edu</t>
  </si>
  <si>
    <t xml:space="preserve">Dynamic modeling and control of micro- and nano-positioning systems, atomic force microscopes and additive manufacturing systems, volumetric error compensation, iterative learning control, multi-dimensional control, and signal processing.
</t>
  </si>
  <si>
    <t xml:space="preserve">Dynamic modeling , control of micro- nano-positioning systems, atomic force microscopes , additive manufacturing systems, volumetric error compensation, iterative learning control, multi-dimensional control, signal processing,
</t>
  </si>
  <si>
    <t>K. Chandrashekhara</t>
  </si>
  <si>
    <t>chandra@mst.edu</t>
  </si>
  <si>
    <t>Composite materials, smart structures, nanocomposites, biocomposites, structural dynamics, finite element analysis, damage monitoring, composite manufacturing and experimental characterization.</t>
  </si>
  <si>
    <t>Composite materials, smart structures, nanocomposites, biocomposites, structural dynamics, finite element analysis, damage monitoring, composite manufacturing , experimental characterization</t>
  </si>
  <si>
    <t>Lokeswarappa Dharani</t>
  </si>
  <si>
    <t>dharani@mst.edu</t>
  </si>
  <si>
    <t>Aircraft structures, fracture mechanics, fatigue and failure analysis, micromechanics, composite materials and structures, process modeling of ceramic matrix composites, friction and wear of composites, and fracture of laminated glazing.</t>
  </si>
  <si>
    <t>Aircraft structures, fracture mechanics, fatigue , failure analysis, micromechanics, composite materials , structures, process modeling of ceramic matrix composites, friction , wear of composites, fracture of laminated glazing,</t>
  </si>
  <si>
    <t>Xiangyang Dong</t>
  </si>
  <si>
    <t>dongxi@mst.edu</t>
  </si>
  <si>
    <t>Mechanics and microstructural evolution of advanced manufacturing and materials processing, multiscale modeling of materials by bridging first-principles calculations, molecular dynamics simulations, and finite element methods, materials design and manufacturing processes of composites and ceramics, relationships between the microstructure, properties, and processing of materials.</t>
  </si>
  <si>
    <t>Mechanics , microstructural evolution of advanced manufacturing , materials processing, multiscale modeling of materials by bridging first-principles calculations, molecular dynamics simulations, finite element methods, materials design , manufacturing processes of composites , ceramics, relationships between the microstructure, properties, processing of materials,</t>
  </si>
  <si>
    <t>Xiaosong Du</t>
  </si>
  <si>
    <t>xiaosongdu@mst.edu</t>
  </si>
  <si>
    <t>Machine Learning, Artificial Intelligence, Aircraft Design Optimization, Electric Drones</t>
  </si>
  <si>
    <t>Fateme Fayyazbakhsh</t>
  </si>
  <si>
    <t>f.fba@mst.edu</t>
  </si>
  <si>
    <t>Smart biomaterials, biofabrication, wound healing, medical device commercialization</t>
  </si>
  <si>
    <t>Daoru (Frank) Han</t>
  </si>
  <si>
    <t>handao@mst.edu</t>
  </si>
  <si>
    <t>Plasma aerospace applications, Space propulsion, Plasma-material interactions, Plasma physics and rarefied gas dynamics, High-performance computing</t>
  </si>
  <si>
    <t>Plasma aerospace applications, Space propulsion, Plasma-material interactions, Plasma physics , rarefied gas dynamics, High-performance computing</t>
  </si>
  <si>
    <t>$458 per credit (in-state, full-time)</t>
  </si>
  <si>
    <t>Kelly Homan</t>
  </si>
  <si>
    <t>khoman@mst.edu</t>
  </si>
  <si>
    <t>Fluid dynamics, heat transfer, and thermodynamics of energy systems. Heat and mass transfer in buoyant flows, second-law and exergy analysis, numerical simulation of transport phenomena and experimental methods.</t>
  </si>
  <si>
    <t>Fluid dynamics, heat transfer, thermodynamics of energy systems, Heat , mass transfer in buoyant flows, second-law , exergy analysis, numerical simulation of transport phenomena , experimental methods,</t>
  </si>
  <si>
    <t>Serhat Hosder</t>
  </si>
  <si>
    <t>hosders@mst.edu</t>
  </si>
  <si>
    <t>Computational aerodynamics/aerothermodynamics, hypersonic flows and technologies, uncertainty quantification, planetary entry/descent/landing of spacecraft, computational fluid dynamics, aerodynamic shape optimization, robust design, numerical methods.</t>
  </si>
  <si>
    <t>Computational aerodynamics/aerothermodynamics, hypersonic flows , technologies, uncertainty quantification, planetary entry/descent/l,ing of spacecraft, computational fluid dynamics, aerodynamic shape optimization, robust design, numerical methods,</t>
  </si>
  <si>
    <t>Ryan Hutcheson</t>
  </si>
  <si>
    <t>rhutch@mst.edu</t>
  </si>
  <si>
    <t>Design theory and methodology, complex systems design and vehicle dynamics.</t>
  </si>
  <si>
    <t>Design theory , methodology, complex systems design , vehicle dynamics,</t>
  </si>
  <si>
    <t>Donna Jennings</t>
  </si>
  <si>
    <t>djennings@mst.edu</t>
  </si>
  <si>
    <t>Educational Research, Small Satellites, Astrodynamics, Orbital Mechanics, Spacecraft Mission Design</t>
  </si>
  <si>
    <t>Umit Koylu</t>
  </si>
  <si>
    <t>koyluu@mst.edu</t>
  </si>
  <si>
    <t>Conventional Energy (combustion, IC engines, coal power plants, fluid and heat transport), Alternative Energy (characterization of solid oxide fuel cells, modeling of fuel cells, hydrogen technologies, alternative fuels, clean coal technologies), Environmental Science &amp; Technology (air pollutants, particulates, measurement techniques), Various Fields (synthesis of nanoparticles, laser diagnostics, fire safety, thermal engineering)</t>
  </si>
  <si>
    <t>Conventional Energy (combustion, IC engines, coal power plants, fluid , heat transport), Alternative Energy (characterization of solid oxide fuel cells, modeling of fuel cells, hydrogen technologies, alternative fuels, clean coal technologies), Environmental Science &amp; Technology (air pollutants, particulates, measurement techniques), Various Fields (synthesis of nanoparticles, laser diagnostics, fire safety, thermal engineering)</t>
  </si>
  <si>
    <t>K. Krishnamurthy</t>
  </si>
  <si>
    <t>kkrishna@mst.edu</t>
  </si>
  <si>
    <t>System dynamics, control, robotics, and neurotechnologies.</t>
  </si>
  <si>
    <t>System dynamics, control, robotics, neurotechnologies,</t>
  </si>
  <si>
    <t>Nishant Kumar</t>
  </si>
  <si>
    <t>nkwtb@mst.edu</t>
  </si>
  <si>
    <t>Nonlinear Dynamics and Vibrations, study of deterministic and random dynamical systems, model order reduction, theoretical modeling and numerical computation and structural dynamics.</t>
  </si>
  <si>
    <t>Nonlinear Dynamics , Vibrations, study of deterministic , r,om dynamical systems, model order reduction, theoretical modeling , numerical computation , structural dynamics,</t>
  </si>
  <si>
    <t>Ming Leu</t>
  </si>
  <si>
    <t>mleu@mst.edu</t>
  </si>
  <si>
    <t xml:space="preserve">Rapid prototyping, additive manufacturing, intelligent manufacturing, virtual reality, CAD/CAM, robotics, mechatronics and automatic control. </t>
  </si>
  <si>
    <t xml:space="preserve">Rapid prototyping, additive manufacturing, intelligent manufacturing, virtual reality, CAD/CAM, robotics, mechatronics , automatic control, </t>
  </si>
  <si>
    <t>Zhi Liang</t>
  </si>
  <si>
    <t>zlch5@mst.edu</t>
  </si>
  <si>
    <t>Micro/nanoscale thermodynamics and heat transfer, Dynamics of nanodroplets, nanobubbles, and nanoparticles, Structure-property relationshiPfor materials and interfaces, and Computational modeling</t>
  </si>
  <si>
    <t>Micro/nanoscale thermodynamics , heat transfer, Dynamics of nanodroplets, nanobubbles, nanoparticles, Structure-property relationshiPfor materials , interfaces, Computational modeling</t>
  </si>
  <si>
    <t>Frank Liou</t>
  </si>
  <si>
    <t>liou@mst.edu</t>
  </si>
  <si>
    <t>Metal additive manufacturing process design, modeling, integration, monitoring, and control, CAD/CAM.</t>
  </si>
  <si>
    <t>Metal additive manufacturing process design, modeling, integration, monitoring, control, CAD/CAM,</t>
  </si>
  <si>
    <t>Warner Meeks</t>
  </si>
  <si>
    <t>meeksw@mst.edu</t>
  </si>
  <si>
    <t>Thermodynamics, heat transfer, fluid mechanics, aircraft design, propulsion, and plasma physics.</t>
  </si>
  <si>
    <t>Thermodynamics, heat transfer, fluid mechanics, aircraft design, propulsion, plasma physics,</t>
  </si>
  <si>
    <t>Ashok Midha</t>
  </si>
  <si>
    <t>midha@mst.edu</t>
  </si>
  <si>
    <t>Mechanical design, rigid-body and compliant mechanism design, high-performance machinery analysis and design, machine vibration and stability.</t>
  </si>
  <si>
    <t>Mechanical design, rigid-body , compliant mechanism design, high-performance machinery analysis , design, machine vibration , stability,</t>
  </si>
  <si>
    <t>PhilliPMulligan</t>
  </si>
  <si>
    <t>pmulligan@mst.edu</t>
  </si>
  <si>
    <t>J. Keith Nisbett</t>
  </si>
  <si>
    <t>nisbett@mst.edu</t>
  </si>
  <si>
    <t>Kinematics, mechanical design and synthesis of mechanisms.</t>
  </si>
  <si>
    <t>Kinematics, mechanical design , synthesis of mechanisms,</t>
  </si>
  <si>
    <t>Anthony Okafor</t>
  </si>
  <si>
    <t>okafor@mst.edu</t>
  </si>
  <si>
    <t>Manufacturing including machining, metalforming, machine tool dynamics, acoustic emission, sensors and signal processing, CNC, CAD/CAM, machine tool metrology, neural network and expert system applications, smart structures including intelligent health monitoring and damage assessment of composite structures, non-destructive evaluation.</t>
  </si>
  <si>
    <t>Manufacturing including machining, metalforming, machine tool dynamics, acoustic emission, sensors , signal processing, CNC, CAD/CAM, machine tool metrology, neural network , expert system applications, smart structures including intelligent health monitoring , damage assessment of composite structures, non-destructive evaluation,</t>
  </si>
  <si>
    <t>Jonghyun Park</t>
  </si>
  <si>
    <t>parkjonghy@mst.edu</t>
  </si>
  <si>
    <t>Advanced li-ion battery, beyond li-ion battery, energy storage system, renewable energy system, grid energy storage, nano, macro-mechanics of materials, self-assembly of nanoparticles, nanostructure, multiphysics, multiscale experiment and simulation.</t>
  </si>
  <si>
    <t>Advanced li-ion battery, beyond li-ion battery, energy storage system, renewable energy system, grid energy storage, nano, macro-mechanics of materials, self-assembly of nanoparticles, nanostructure, multiphysics, multiscale experiment , simulation,</t>
  </si>
  <si>
    <t>Smriti Nandan Paul</t>
  </si>
  <si>
    <t>smritinandan.paul@mst.edu</t>
  </si>
  <si>
    <t xml:space="preserve">(Astro)dynamics, space domain awareness/space situational awareness, space traffic management, space weather, stochastic machine learning techniques, GNC (Guidance, Navigation, and Control) for space sustainability and missions, computer vision, and space autonomy. </t>
  </si>
  <si>
    <t xml:space="preserve">(Astro)dynamics, space domain awareness/space situational awareness, space traffic management, space weather, stochastic machine learning techniques, GNC (Guidance, Navigation, Control) for space sustainability , missions, computer vision, space autonomy, </t>
  </si>
  <si>
    <t>Henry Pernicka</t>
  </si>
  <si>
    <t>pernicka@mst.edu</t>
  </si>
  <si>
    <t>Astrodynamics, orbital mechanics, spacecraft design, spacecraft mission design, satellite attitude dynamics, nonlinear analysis, dynamics and control, optimization.</t>
  </si>
  <si>
    <t>Astrodynamics, orbital mechanics, spacecraft design, spacecraft mission design, satellite attitude dynamics, nonlinear analysis, dynamics , control, optimization,</t>
  </si>
  <si>
    <t>David Riggins</t>
  </si>
  <si>
    <t>rigginsd@mst.edu</t>
  </si>
  <si>
    <t>Fluid dynamics, computational fluid dynamics, hypersonic propulsion systems, computational analysis of jet mixing, flow losses and mixing enhancement in combustors, aircraft gas turbine ramjet propulsion systems, and scramjet performance.</t>
  </si>
  <si>
    <t>Fluid dynamics, computational fluid dynamics, hypersonic propulsion systems, computational analysis of jet mixing, flow losses , mixing enhancement in combustors, aircraft gas turbine ramjet propulsion systems, scramjet performance,</t>
  </si>
  <si>
    <t>Jillian Schmidt</t>
  </si>
  <si>
    <t>schmidtjb@mst.edu</t>
  </si>
  <si>
    <t>Design theory, materials and structures, educational research.</t>
  </si>
  <si>
    <t>Design theory, materials , structures, educational research,</t>
  </si>
  <si>
    <t>Yun Seong Song</t>
  </si>
  <si>
    <t>songyun@mst.edu</t>
  </si>
  <si>
    <t>Physical Human-Robot Interaction (pHRI), Physical Human-Human Interaction (pHHI), Human Movement Assistance, Rehabilitation Robotics, Wearable Devices, Energy-Harvesting from Human Movement, Design and Instrumentation of Medical Devices.</t>
  </si>
  <si>
    <t>Physical Human-Robot Interaction (pHRI), Physical Human-Human Interaction (pHHI), Human Movement Assistance, Rehabilitation Robotics, Wearable Devices, Energy-Harvesting from Human Movement, Design , Instrumentation of Medical Devices,</t>
  </si>
  <si>
    <t>Daniel Stutts</t>
  </si>
  <si>
    <t>stutts@mst.edu</t>
  </si>
  <si>
    <t>Dynamics, vibrations, modeling and development of piezoactuators and transducers-mechatronics, mechanics of bone, design of orthopedic implants, structural dynamics, optimal design and acoustics.</t>
  </si>
  <si>
    <t>Dynamics, vibrations, modeling , development of piezoactuators , transducers-mechatronics, mechanics of bone, design of orthopedic implants, structural dynamics, optimal design , acoustics,</t>
  </si>
  <si>
    <t>Davide Viganò</t>
  </si>
  <si>
    <t>dvigano@mst.edu</t>
  </si>
  <si>
    <t>High-speed experimental aerodynamics, hypersonic and high-enthalpy flows, compressible turbulence, supersonic vortex dynamics, laser-based flow diagnostics, ground facilities development.</t>
  </si>
  <si>
    <t>High-speed experimental aerodynamics, hypersonic , high-enthalpy flows, compressible turbulence, supersonic vortex dynamics, laser-based flow diagnostics, ground facilities development,</t>
  </si>
  <si>
    <t>Xiaodong Yang</t>
  </si>
  <si>
    <t>yangxia@mst.edu</t>
  </si>
  <si>
    <t>Optical materials and devices in nanophotonics and plasmonics, Physics and applications of optical metamaterials, Nanoscale optomechanics, optical nanoelectromechanical systems (NEMS), Integrated optofluidic devices and optical sensors, Photon management for solar/thermal energy harvesting, Optical device micro-/nano-fabrication.</t>
  </si>
  <si>
    <t>Optical materials , devices in nanophotonics , plasmonics, Physics , applications of optical metamaterials, Nanoscale optomechanics, optical nanoelectromechanical systems (NEMS), Integrated optofluidic devices , optical sensors, Photon management for solar/thermal energy harvesting, Optical device micro-/nano-fabrication,</t>
  </si>
  <si>
    <t>Naval Postgraduate School</t>
  </si>
  <si>
    <r>
      <rPr>
        <sz val="10"/>
        <color rgb="FF000000"/>
        <rFont val="Arial"/>
        <family val="2"/>
      </rPr>
      <t xml:space="preserve">Chair - </t>
    </r>
    <r>
      <rPr>
        <u/>
        <sz val="10"/>
        <color rgb="FF000000"/>
        <rFont val="Arial"/>
        <family val="2"/>
      </rPr>
      <t>Brian Bingham</t>
    </r>
  </si>
  <si>
    <t>bbingham@nps.edu</t>
  </si>
  <si>
    <t>Unmanned marine systems
Autonomy
Underwater navigation</t>
  </si>
  <si>
    <t>Unmanned marine systems,
Autonomy,
Underwater navigation</t>
  </si>
  <si>
    <t>Christopher A. Adams</t>
  </si>
  <si>
    <t>caadams@nps.edu</t>
  </si>
  <si>
    <t>Combat Survivability on platforms (subs, ships, ground vehicles, aircraft, and space assets), infrastructure, and personnel.</t>
  </si>
  <si>
    <t>Combat Survivability on platforms (subs, ships, ground vehicles, aircraft, space assets), infrastructure, personnel</t>
  </si>
  <si>
    <t>Brij N. Agrawal</t>
  </si>
  <si>
    <t>agrawal@nps.edu</t>
  </si>
  <si>
    <t>Acquisition, tracking and pointing of flexible spacecraft with optical payloads, active vibration control, isolation and suppression, satellite servicing, and space system design</t>
  </si>
  <si>
    <t>Acquisition, tracking , pointing of flexible spacecraft with optical payloads, active vibration control, isolation , suppression, satellite servicing, space system design</t>
  </si>
  <si>
    <t>Erick Alley</t>
  </si>
  <si>
    <t>esalley@nps.edu</t>
  </si>
  <si>
    <t>#104 - Best Engineering Schools</t>
  </si>
  <si>
    <t>Troy Ansell</t>
  </si>
  <si>
    <t>troy.ansell@nps.edu</t>
  </si>
  <si>
    <t>s Ferroelectric materials, piezoelectric materials and applications, and ultrasonics, High-temperature actuators, Plasma synthesis of materials, Microscopy, X-ray diffraction.</t>
  </si>
  <si>
    <t>Ferroelectric materials, piezoelectric materials , applications, ultrasonics, High-temperature actuators, Plasma synthesis of materials, Microscopy, X-ray diffraction</t>
  </si>
  <si>
    <t>Christopher M. Brophy</t>
  </si>
  <si>
    <t>cmbrophy@nps.edu</t>
  </si>
  <si>
    <t>Propulsion and Power Fluid Mechanics Thermodynamics and Combustion Optical Diagnostics.</t>
  </si>
  <si>
    <t>Propulsion , Power Fluid Mechanics Thermodynamics , Combustion Optical Diagnostics</t>
  </si>
  <si>
    <t>Jarema (Jake) M. Didoszak</t>
  </si>
  <si>
    <t>jmdidosz@nps.edu</t>
  </si>
  <si>
    <t>Shock and Vibrations, Naval ShiPDesign, Machine Design, Modeling and Simulation, Finite Element Analysis, Fluid Structure Interaction, ShiPSurvivability</t>
  </si>
  <si>
    <t>Shock , Vibrations, Naval Ship Design, Machine Design, Modeling , Simulation, Finite Element Analysis, Fluid Structure Interaction, Ship Survivability</t>
  </si>
  <si>
    <t>Vladimir N. Dobrokhodov</t>
  </si>
  <si>
    <t>vldobr@nps.edu</t>
  </si>
  <si>
    <t>Flight Mechanics, Flight Dynamics and Control, Classical and Modern Control, Modeling and Simulation, Numerical Methods and Digital Computations, Operations Research and Applied Optimization, Flight Mechanics and Trajectory Optimization, Real Time Embedded Flight Control Systems, Guidance, Navigation and Control of Unmanned Aerial Vehicles, Guided Munitions and Parachutes, Cooperative Control and Combat Maneuvering of Multi-Vehicle Formations, Combat Effectiveness, Integration of Vision into Guidance and Control, Optimal Control, Modeling and Simulation of Mechanical Systems, Multidimensional Vector Optimization and Systems Identification</t>
  </si>
  <si>
    <t>Flight Mechanics, Flight Dynamics , Control, Classical , Modern Control, Modeling , Simulation, Numerical Methods , Digital Computations, Operations Research , Applied Optimization, Flight Mechanics , Trajectory Optimization, Real Time Embedded Flight Control Systems, Guidance, Navigation , Control of Unmanned Aerial Vehicles, Guided Munitions , Parachutes, Cooperative Control , Combat Maneuvering of Multi-Vehicle Formations, Combat Effectiveness, Integration of Vision into Guidance , Control, Optimal Control, Modeling , Simulation of Mechanical Systems, Multidimensional Vector Optimization , Systems Identification</t>
  </si>
  <si>
    <t>Anthony J. Gannon</t>
  </si>
  <si>
    <t>ajgannon@nps.edu</t>
  </si>
  <si>
    <t>High speed rotating machinery, test rig design, bearings and lubrication, Renewable energy, solar thermal cycles, thermal storage, wind powered cooling, Turbomachinery, design, testing, transonic compressors, fans, wind-turbines, Professional Engineer (PE)</t>
  </si>
  <si>
    <t>High speed rotating machinery, test rig design, bearings , lubrication, Renewable energy, solar thermal cycles, thermal storage, wind powered cooling, Turbomachinery, design, testing, transonic compressors, fans, wind-turbines, Professional Engineer (PE)</t>
  </si>
  <si>
    <t>Joshua H. Gordis</t>
  </si>
  <si>
    <t>jgordis@nps.edu</t>
  </si>
  <si>
    <t>Mechanical vibrations, solid mechanics, system dynamics, machine design, finite element methods in structural dynamics, design optimization, numerical analysis, advanced dynamics.</t>
  </si>
  <si>
    <t>Mechanical vibrations, solid mechanics, system dynamics, machine design, finite element methods in structural dynamics, design optimization, numerical analysis, advanced dynamics</t>
  </si>
  <si>
    <t>I. Emre Gunduz</t>
  </si>
  <si>
    <t>emre.gunduz@nps.edu</t>
  </si>
  <si>
    <t>Additive manufacturing, nanostructured materials, energetic materials, high-speed imaging, x-ray diagnostics, propellants, ultrasonics.</t>
  </si>
  <si>
    <t>Additive manufacturing, nanostructured materials, energetic materials, high-speed imaging, x-ray diagnostics, propellants, ultrasonics</t>
  </si>
  <si>
    <t>Garth V. Hobson</t>
  </si>
  <si>
    <t>gvhobson@nps.edu</t>
  </si>
  <si>
    <t>Gas dynamics, propulsion, computational methods, computational fluid dynamics, fluid mechanics measurements. Website</t>
  </si>
  <si>
    <t>Gas dynamics, propulsion, computational methods, computational fluid dynamics, fluid mechanics measurements, Website</t>
  </si>
  <si>
    <t>Joseph Hooper</t>
  </si>
  <si>
    <t>jphooper@nps.edu</t>
  </si>
  <si>
    <t>Energetic materials, high strain-rate loading of solids, novel nanocomposites, rst principles simulations.</t>
  </si>
  <si>
    <t>Energetic materials, high strain-rate loading of solids, novel nanocomposites, rst principles simulations</t>
  </si>
  <si>
    <t>Douglas P. Horner</t>
  </si>
  <si>
    <t>dphorner@nps.edu</t>
  </si>
  <si>
    <t>Obstacle Avoidance, Simultaneous Localization and Mapping (SLAM), Autonomy in robotics, Computer vision for unmanned systems, Path planning for unmanned systems, Networking for multi-vehicle coordination, Obstacle Avoidance for Autonomous Underwater Vehicles (AUVs), Feature Based Navigation for AUVs, Collaboration amongst Autonomous Underwater, Aerial and Surface Vehicles, Rendezvous strategies for AUVs docking to submarines, Persistence in AUV operations</t>
  </si>
  <si>
    <t>Obstacle Avoidance, Simultaneous Localization , Mapping (SLAM), Autonomy in robotics, Computer vision for unmanned systems, Path planning for unmanned systems, Networking for multi-vehicle coordination, Obstacle Avoidance for Autonomous Underwater Vehicles (AUVs), Feature Based Navigation for AUVs, Collaboration amongst Autonomous Underwater, Aerial , Surface Vehicles, Rendezvous strategies for AUVs docking to submarines, Persistence in AUV operations</t>
  </si>
  <si>
    <t>Jennifer Hudson</t>
  </si>
  <si>
    <t>jennifer.hudson@nps.edu</t>
  </si>
  <si>
    <t>Spacecraft dynamics and control, trajectory optimization, astrodynamics, space mission design, small satellites, orbital robotics, satellite servicing, on-orbit space system diagnostics.</t>
  </si>
  <si>
    <t>Spacecraft dynamics , control, trajectory optimization, astrodynamics, space mission design, small satellites, orbital robotics, satellite servicing, on-orbit space system diagnostics</t>
  </si>
  <si>
    <t>Kevin D. Jones</t>
  </si>
  <si>
    <t>kdjones@nps.edu</t>
  </si>
  <si>
    <t>Unsteady Aerodynamics, Experimental Aerodynamics, Graphical User Interface Development, Waverider DesigNAnalysis, Inverse Design</t>
  </si>
  <si>
    <t>Issac I. Kaminer</t>
  </si>
  <si>
    <t>kaminer@nps.edu</t>
  </si>
  <si>
    <t>Unmanned Air Vehicles, Modeling and Simulation, Flight Controls, Conventional Weapons</t>
  </si>
  <si>
    <t>Unmanned Air Vehicles, Modeling , Simulation, Flight Controls, Conventional Weapons</t>
  </si>
  <si>
    <t>Mark Karpenko</t>
  </si>
  <si>
    <t>mkarpenk@nps.edu</t>
  </si>
  <si>
    <t>Jae Jun Kim</t>
  </si>
  <si>
    <t>jki1@nps.edu</t>
  </si>
  <si>
    <t>Dynamics and Control, Optical Beam Control, Adaptive Optics</t>
  </si>
  <si>
    <t>Dynamics , Control, Optical Beam Control, Adaptive Optics</t>
  </si>
  <si>
    <t>Sean Kragelund</t>
  </si>
  <si>
    <t>spkragel@nps.edu</t>
  </si>
  <si>
    <t>Autonomous Maritime Vehicles, Optimal Motion Planning, Guidance, Navigation, and Control, Multi-Domain Vehicle Teaming, Field Experimentation.</t>
  </si>
  <si>
    <t>Autonomous Maritime Vehicles, Optimal Motion Planning, Guidance, Navigation, Control, Multi-Domain Vehicle Teaming, Field Experimentation</t>
  </si>
  <si>
    <t>Young W. Kwon</t>
  </si>
  <si>
    <t>ywkwon@nps.edu</t>
  </si>
  <si>
    <t>Finite Element Method, Computational Mechanics, Solid Mechanics, Structural Mechanics, Composites, Fracture and Failure, Fluid-Structure Interaction, Underwater Explosion, Statics &amp; Dynamics, Computational Modeling and Simulation, Mechanics of Materials (Metals &amp; Composites) and Structures, Nanotechnology, Multiphysics Problems, Biomechanics.</t>
  </si>
  <si>
    <t>Finite Element Method, Computational Mechanics, Solid Mechanics, Structural Mechanics, Composites, Fracture , Failure, Fluid-Structure Interaction, Underwater Explosion, Statics &amp; Dynamics, Computational Modeling , Simulation, Mechanics of Materials (Metals &amp; Composites) , Structures, Nanotechnology, Multiphysics Problems, Biomechanics</t>
  </si>
  <si>
    <t>Marcello Romano</t>
  </si>
  <si>
    <t>mromano@nps.edu</t>
  </si>
  <si>
    <t>Space Flight Mechanics, Orbital Robotics, Spacecraft Attitude/Proximity Maneuver Guidance and Control, Optimal Control, Space Debris Remediation, On orbit Assembly, Service and Manufacturing.</t>
  </si>
  <si>
    <t>Space Flight Mechanics, Orbital Robotics, Spacecraft Attitude/Proximity Maneuver Guidance , Control, Optimal Control, Space Debris Remediation, On orbit Assembly, Service , Manufacturing</t>
  </si>
  <si>
    <t>Isaac Mike Ross</t>
  </si>
  <si>
    <t>imross@nps.edu</t>
  </si>
  <si>
    <t>Optimal Control, Computational optimal control, Astrodynamics, launch and entry, Nonlinear control theory, Near-Earth-Object interception, Spacecraft attitude dynamics and control, Inertial navigation.</t>
  </si>
  <si>
    <t>Optimal Control, Computational optimal control, Astrodynamics, launch , entry, Nonlinear control theory, Near-Earth-Object interception, Spacecraft attitude dynamics , control, Inertial navigation</t>
  </si>
  <si>
    <t>Timothy Sands</t>
  </si>
  <si>
    <t>tasands@nps.edu</t>
  </si>
  <si>
    <t>Astronautics, deterministic A.I., nonlinear dynamics, controls, guidance, optimization, deterrence, assurance &amp; command and control communications.</t>
  </si>
  <si>
    <t>Astronautics, deterministic A,I,, nonlinear dynamics, controls, guidance, optimization, deterrence, assurance &amp; comm, , control communications</t>
  </si>
  <si>
    <t>Douglas L. Seivwright</t>
  </si>
  <si>
    <t>dlseivwr@nps.edu</t>
  </si>
  <si>
    <t>Walter Smith</t>
  </si>
  <si>
    <t>walter.smith@nps.edu</t>
  </si>
  <si>
    <t>Experimental/Computational Fluid Dynamics, Heat Transfer, Turbomachinery Design, Centrifugal Pumps, Renewable Energy, Multi-Phase Flow, Instrumentation Development, Particle Image Velocimetry (2D2C, Stereo, Tomo-PIV), Laser Doppler Velocimetry/Anemometry (LDV/A), Optical Diagnostics, Stability, Acoustics, Additive Manufacturing and Design, Image Processing, Signal Processing.</t>
  </si>
  <si>
    <t>Experimental/Computational Fluid Dynamics, Heat Transfer, Turbomachinery Design, Centrifugal Pumps, Renewable Energy, Multi-Phase Flow, Instrumentation Development, Particle Image Velocimetry (2D2C, Stereo, Tomo-PIV), Laser Doppler Velocimetry/Anemometry (LDV/A), Optical Diagnostics, Stability, Acoustics, Additive Manufacturing , Design, Image Processing, Signal Processing</t>
  </si>
  <si>
    <t>Oleg A. Yakimenko</t>
  </si>
  <si>
    <t>oayakime@nps.edu</t>
  </si>
  <si>
    <t>Orbital and Flight Mechanics, Guidance, Navigation and Control of Unmanned Air, Surface and Underwater Vehicles, Satellites, Guided Weapons and Parachutes, Trajectory Optimization, Combat Systems Modeling and Simulation, Numerical Methods and Programming.</t>
  </si>
  <si>
    <t>Orbital , Flight Mechanics, Guidance, Navigation , Control of Unmanned Air, Surface , Underwater Vehicles, Satellites, Guided Weapons , Parachutes, Trajectory Optimization, Combat Systems Modeling , Simulation, Numerical Methods , Programming</t>
  </si>
  <si>
    <t>Stony Brook University--SUNY</t>
  </si>
  <si>
    <t>Assanis, Dimitris</t>
  </si>
  <si>
    <t>dimitris.assanis@stonybrook.edu</t>
  </si>
  <si>
    <t>Power generation and propulsion systems with an emphasis on advanced combustion modes and alternative fuels for internal combustion engines. Assessment of energy and environmental implications of connected &amp; automated vehicles.</t>
  </si>
  <si>
    <t>Power generation , propulsion systems with an emphasis on advanced combustion modes , alternative fuels for internal combustion engines, Assessment of energy , environmental implications of connected &amp; automated vehicles</t>
  </si>
  <si>
    <t>Chakraborty, Nilanjan</t>
  </si>
  <si>
    <t>nilanjan.chakraborty@stonybrook.edu</t>
  </si>
  <si>
    <t>Robot Motion Planning, Multi-robot Coordination, Human-Robot Interaction, Mechanism Design, Multi-body Dynamics, Distributed Intelligent Systems for Energy Automation, Sensor Networks, Distributed Algorithms, Combinatorial Optimization.</t>
  </si>
  <si>
    <t>Robot Motion Planning, Multi-robot Coordination, Human-Robot Interaction, Mechanism Design, Multi-body Dynamics, Distributed Intelligent Systems for Energy Automation, Sensor Networks, Distributed Algorithms, Combinatorial Optimization</t>
  </si>
  <si>
    <t>Chiang, Fu-Pen</t>
  </si>
  <si>
    <t>Fu-pen.Chiang@stonybrook.edu</t>
  </si>
  <si>
    <t>Experimental solid mechanics, optical nondestructive evaluation.</t>
  </si>
  <si>
    <t>Experimental solid mechanics, optical nondestructive evaluation</t>
  </si>
  <si>
    <t>Chen, Shikui</t>
  </si>
  <si>
    <t>Shikui.Chen@stonybrook.edu</t>
  </si>
  <si>
    <t>Colosqui, Carlos</t>
  </si>
  <si>
    <t>Carlos.Colosqui@stonybrook.edu</t>
  </si>
  <si>
    <t>Microscale transport phenomena, statistical physics, theoretical and computational fluid dynamics, colloidal systems and complex fluids</t>
  </si>
  <si>
    <t>Microscale transport phenomena, statistical physics, theoretical , computational fluid dynamics, colloidal systems , complex fluids</t>
  </si>
  <si>
    <t>Cubaud, Thomas</t>
  </si>
  <si>
    <t>thomas.cubaud@stonybrook.edu</t>
  </si>
  <si>
    <t>Microfluidics, multiphase flows, interfacial fluid dynamics, nanotechnologies.</t>
  </si>
  <si>
    <t>Microfluidics, multiphase flows, interfacial fluid dynamics, nanotechnologies</t>
  </si>
  <si>
    <t>Gao, Jie</t>
  </si>
  <si>
    <t>jie.gao.5@stonybrook.edu</t>
  </si>
  <si>
    <t>Optical nanostructures, 2D materials, light emission devices, optical sensing and imaging, nanomanufacturing, optical and thermal energy harvesting, opto-mechanics and quantum optics.</t>
  </si>
  <si>
    <t>Optical nanostructures, 2D materials, light emission devices, optical sensing , imaging, nanomanufacturing, optical , thermal energy harvesting, opto-mechanics , quantum optics</t>
  </si>
  <si>
    <r>
      <rPr>
        <sz val="10"/>
        <color rgb="FF000000"/>
        <rFont val="Arial"/>
        <family val="2"/>
      </rPr>
      <t xml:space="preserve">Chair - </t>
    </r>
    <r>
      <rPr>
        <u/>
        <sz val="10"/>
        <color rgb="FF000000"/>
        <rFont val="Arial"/>
        <family val="2"/>
      </rPr>
      <t>Ge, Q. Jeffrey</t>
    </r>
  </si>
  <si>
    <t>Qiaode.Ge@stonybrook.edu</t>
  </si>
  <si>
    <t>Computer aided design and manufacturing (CAD/CAM), robotics and manufacturing automation, mechanical system design and simulation, and application of geometric modeling and computer graphics in engineering.</t>
  </si>
  <si>
    <t>Computer aided design , manufacturing (CAD/CAM), robotics , manufacturing automation, mechanical system design , simulation, application of geometric modeling , computer graphics in engineering</t>
  </si>
  <si>
    <t>Hwang, David</t>
  </si>
  <si>
    <t>david.hwang@stonybrook.edu</t>
  </si>
  <si>
    <t>Micro-and nanoscle heat transfer, laser-assisted solar photovoltaic manufacturing and diagnostics, advanced diagnostics of light-matter interaction</t>
  </si>
  <si>
    <t>Micro-, nanoscle heat transfer, laser-assisted solar photovoltaic manufacturing , diagnostics, advanced diagnostics of light-matter interaction</t>
  </si>
  <si>
    <t>Kao, Imin</t>
  </si>
  <si>
    <t>imin.kao@stonybrook.edu</t>
  </si>
  <si>
    <t>Robotics, stiffness control, wiresaw manufactururing process, manufacturing automation, Taguchi methods.</t>
  </si>
  <si>
    <t>Robotics, stiffness control, wiresaw manufactururing process, manufacturing automation, Taguchi methods</t>
  </si>
  <si>
    <t>Kirane, Kedar</t>
  </si>
  <si>
    <t>kedar.kirane@stonybrook.edu</t>
  </si>
  <si>
    <t>Solid mechanics, fracture mechanics, scaling, fatigue quasibrittle materials, geo-mechanics, poro-mechanics, poly-crystal plasticity, probabilistic mechanics, multi-scale modeling</t>
  </si>
  <si>
    <t>Kukta, Robert</t>
  </si>
  <si>
    <t>Robert.Kukta@stonybrook.edu</t>
  </si>
  <si>
    <t>Solid mechanics, thin films, crystal growth, micro-mechanics of defects in crystals.</t>
  </si>
  <si>
    <t>Solid mechanics, thin films, crystal growth, micro-mechanics of defects in crystals</t>
  </si>
  <si>
    <t>$11,310 per year (in-state, full-time)</t>
  </si>
  <si>
    <t>Ladeinde, Foluso</t>
  </si>
  <si>
    <t>Foluso.Ladeinde@stonybrook.edu</t>
  </si>
  <si>
    <t>Turbulence, high speed flows, theoretical and computational fluid dynamics, materials processing.</t>
  </si>
  <si>
    <t>Turbulence, high speed flows, theoretical , computational fluid dynamics, materials processing</t>
  </si>
  <si>
    <t>Longtin, Jon</t>
  </si>
  <si>
    <t>jon.longtin@stonybrook.edu</t>
  </si>
  <si>
    <t>Short-pulse laser-material interactions, precision laser measurement techniques, microscale heat transfer.</t>
  </si>
  <si>
    <t>Short-pulse laser-material interactions, precision laser measurement techniques, microscale heat transfer,</t>
  </si>
  <si>
    <t>Nakamura, Toshio</t>
  </si>
  <si>
    <t>Toshio.Nakamura@stonybrook.edu</t>
  </si>
  <si>
    <t>Solid mechanics, computational fracture mechanics.</t>
  </si>
  <si>
    <t>Solid mechanics, computational fracture mechanics</t>
  </si>
  <si>
    <t>Purwar, Anurag</t>
  </si>
  <si>
    <t>anurag.purwar@stonybrook.edu</t>
  </si>
  <si>
    <t>CAD/CAM, Computational Kinematics, Design Automation, Mechanisms and Robotics, Virtual Reality Applications in Science and Engineering, Design Education</t>
  </si>
  <si>
    <t>CAD/CAM, Computational Kinematics, Design Automation, Mechanisms , Robotics, Virtual Reality Applications in Science , Engineering, Design Education</t>
  </si>
  <si>
    <t>Stewart, William</t>
  </si>
  <si>
    <t>William.Stewart@stonybrook.edu</t>
  </si>
  <si>
    <t>Aerial Robotics, Soft Actuators and Materials, Mechanics and Bioinspired Design Principles.</t>
  </si>
  <si>
    <t>Aerial Robotics, Soft Actuators , Materials, Mechanics , Bioinspired Design Principles</t>
  </si>
  <si>
    <t>Wang, Lifeng</t>
  </si>
  <si>
    <t>Lifeng.Wang@stonybrook.edu</t>
  </si>
  <si>
    <t>Materials modeling, computational mechanics, micro- and nano-mechanics, materials testing and characterization, rapid prototyping and 3D printing, and composites.</t>
  </si>
  <si>
    <t>Materials modeling, computational mechanics, micro-nano-mechanics, materials testing , characterization, rapid prototyping , 3D printing, composites</t>
  </si>
  <si>
    <t>Yao, Shanshan</t>
  </si>
  <si>
    <t>Shanshan.Yao@stonybrook.edu</t>
  </si>
  <si>
    <t>Nano/Micro Materials and Structures, Nano/Micro Manufacturing, Flexible and</t>
  </si>
  <si>
    <t>Nano/Micro Materials , Structures, Nano/Micro Manufacturing, Flexible</t>
  </si>
  <si>
    <t>University of Illinois--Chicago</t>
  </si>
  <si>
    <t>Abiade, Jeremiah</t>
  </si>
  <si>
    <t>jta@uic.edu</t>
  </si>
  <si>
    <t xml:space="preserve">s The Laboratory for Oxide Research and Education, (LORE) led by PAbiade, works on various aspects of thin film growth, processing and characterization. We are particularly interested in the pulsed laser deposition (PLD) growth of oxide thin films and multilayers for thermoelectric devices and other energy related research. In LORE, we are also heavily involved in the mentoring of individuals from diverse backgrounds. We view these activities as a synergistic component of the LORE mission.
</t>
  </si>
  <si>
    <t xml:space="preserve">The Laboratory for Oxide Research , Education, (LORE) led, works on various aspects of thin film growth, processing , characterization, We are particularly interested in the pulsed laser deposition (PLD) growth of oxide thin films , multilayers for thermoelectric devices , other energy related research
</t>
  </si>
  <si>
    <t>Alonso, Matthew</t>
  </si>
  <si>
    <t>malonso2@uic.edu</t>
  </si>
  <si>
    <t xml:space="preserve">conducted research in biological, multi-material, and micro additive manufacturing systems.
</t>
  </si>
  <si>
    <t>conducted research in biological, multi-material, micro additive manufacturing systems</t>
  </si>
  <si>
    <t>Anand, Sushant</t>
  </si>
  <si>
    <t>sushant@uic.edu</t>
  </si>
  <si>
    <t>Understanding Fluid-Solid and Fluid-Fluid interactions in single or multiphase systems especially phase change processes
Complex fluids
Porous media transport for applications in water harvesting
Energy efficient thermal systems
Anti-icing
HVAC and refrigeration
Oil recovery
Carbon capture
Drug delivery</t>
  </si>
  <si>
    <t>Underst,ing Fluid-Solid , Fluid-Fluid interactions in single or multiphase systems especially phase change processes,
Complex fluids,
Porous media transport for applications in water harvesting,
Energy efficient thermal systems,
Anti-icing,
HVAC , refrigeration,
Oil recovery,
Carbon capture,
Drug delivery</t>
  </si>
  <si>
    <t>Bhounsule, Pranav</t>
  </si>
  <si>
    <t>pranav@uic.edu</t>
  </si>
  <si>
    <t xml:space="preserve">Legged locomotion
Robotics
Optimal Control
</t>
  </si>
  <si>
    <t xml:space="preserve">Legged locomotion,
Robotics,
Optimal Control
</t>
  </si>
  <si>
    <t>#73 - Best Engineering Schools</t>
  </si>
  <si>
    <t>Brezinsky, Kenneth</t>
  </si>
  <si>
    <t>kenbrez@uic.edu</t>
  </si>
  <si>
    <t xml:space="preserve">Combustion chemistry The focus is on high temperature gas phase chemical kinetics related to combustion processes in aircraft, and gasoline and diesel related fuels. A very high pressure single pulse shock tube (a chemical shock tube) is used for these studies. The shock tube when coupled to gas chromatography/mass spectrometry permits the examination of stable species formed during the pyrolysis and oxidation.
</t>
  </si>
  <si>
    <t>Combustion chemistry</t>
  </si>
  <si>
    <t>Brown, Michael A.</t>
  </si>
  <si>
    <t>mabrown1@uic.edu</t>
  </si>
  <si>
    <t>Computational Dynamics
Biomechanics
Product Design, Development, and Manufacturing</t>
  </si>
  <si>
    <t>Computational Dynamics,
Biomechanics,
Product Design, Development, Manufacturing,</t>
  </si>
  <si>
    <t>Cetin, Sabri</t>
  </si>
  <si>
    <t>scetin@uic.edu</t>
  </si>
  <si>
    <t>Mechatronics
Control Systems
Automation and Robotics
Instrumentation
CAD/CAM
Manufacturing
Robust Control
Intelligent Control
Neural Networks
Expert Systems
Fuzzy Logic
AI
Servo Motion Control Systems
Electro Hydraulic Control
Precision Motion Control
Nano Positioning Devices
Process Control
Programmable Logic Controllers (PLC)
Microprocessor Applications</t>
  </si>
  <si>
    <t>Mechatronics,
Control Systems,
Automation , Robotics,
Instrumentation,
CAD/CAM,
Manufacturing,
Robust Control,
Intelligent Control,
Neural Networks,
Expert Systems
Fuzzy Logic,
AI
Servo Motion Control Systems,
Electro Hydraulic Control,
Precision Motion Control,
Nano Positioning Devices,
Process Control,
Programmable Logic Controllers (PLC),
Microprocessor Applications,</t>
  </si>
  <si>
    <t>Finan, John</t>
  </si>
  <si>
    <t>jdfinan@uic.edu</t>
  </si>
  <si>
    <t>In vitro modeling of neurotrauma
Cell biomechanics
Organoid biomechanics
Brain biomechanics
Prototyping novel instruments</t>
  </si>
  <si>
    <t>neurotrauma,
Cell biomechanics,
Organoid biomechanics,
Brain biomechanics,
Prototyping novel instruments</t>
  </si>
  <si>
    <t>Hatami-Marbini, Hamed</t>
  </si>
  <si>
    <t>Hatami@uic.edu</t>
  </si>
  <si>
    <t>Multiscale Computational Mechanics
Biomechanics and Biomaterials
Micro and Nano Mechanics of Materials
Composite Materials
Mechanics of Random Media</t>
  </si>
  <si>
    <t>Multiscale Computational Mechanics,
Biomechanics , Biomaterials,
Micro- Nano Mechanics of Materials,
Composite Materials,
Mechanics of R,om Media</t>
  </si>
  <si>
    <t>Jung, Erica</t>
  </si>
  <si>
    <t>ejung72@uic.edu</t>
  </si>
  <si>
    <t>Neuroimaging
Biofluidics
Microsystems
Small animal models</t>
  </si>
  <si>
    <t>Neuroimaging,
Biofluidics,
Microsystems,
Small animal models</t>
  </si>
  <si>
    <t>Kim, Myunghee</t>
  </si>
  <si>
    <t>myheekim@uic.edu</t>
  </si>
  <si>
    <t xml:space="preserve">s Dr. Kim’s primary focus is the development of assistive robotic devices for improving mobility and quality of life through integrative approaches of numerical dynamic models, machine learning techniques, experimental testbeds, and controlled human-subject experiments. At present, she works on developing assistance methods to enhance balance and walking economy using wearable devices (e.g., exoskeletons and prostheses). As a part of this effort, she is also interested in using those devices to understand further impaired gait and advance training methods of motor function. In line with this research, Dr. Kim also explores the control of autonomous devices (e.g., legged robots).
</t>
  </si>
  <si>
    <t>development of assistive robotic devices for improving mobility , quality of life through integrative approaches of numerical dynamic models, machine learning techniques, experimental testbeds, controlled human-subject experiments</t>
  </si>
  <si>
    <t>Komperda, Jonathan</t>
  </si>
  <si>
    <t>jonk@uic.edu</t>
  </si>
  <si>
    <t>Computational fluid dynamics
Turbulence
Direct numerical simulation
Filtered mass density function
Particle tracking algorithms
Combustion
Parallelization and high-performance computing
Spray and atomization</t>
  </si>
  <si>
    <t>Computational fluid dynamics,
Turbulence,
Direct numerical simulation,
Filtered mass density function,
Particle tracking algorithms
Combustion,
Parallelization , high-performance computing,
Spray , atomization</t>
  </si>
  <si>
    <t>$16,594 per year (in-state, full-time)</t>
  </si>
  <si>
    <t>Lilley, Carmen</t>
  </si>
  <si>
    <t>clilley@uic.edu</t>
  </si>
  <si>
    <t>PLilley’s s are focused on fabrication of nanoscale materials and characterization and modeling of material properties at the nanoscale. Her research on nanomanufacturing and fabrication has focused on self assembly of nanowire and nanoislands with e-beam evaporation in ultra high vacuum systems. Her characterization and modeling research includes electrical, mechanical, failure and reliability modeling of nanoscale materials. The application of her work is to fabricate nanoscale material systems with engineered properties.</t>
  </si>
  <si>
    <t>nanoscale materials , characterization , modeling of material properties at the nanoscale, nanomanufacturing , fabrication has focused on self assembly of nanowire</t>
  </si>
  <si>
    <t>Lynch, Patrick T.</t>
  </si>
  <si>
    <t>ptlynch@uic.edu</t>
  </si>
  <si>
    <t>Dr. Lynch’s s experimental combustion research (particularly at high pressure), particle combustion, energetic materials, optical and laser diagnostics and spectroscopy, time-of-flight mass spectrometry, synchrotron sourced x-ray measurements, reactive flow diagnostics, high temperature and high speed measurements, and chemical kinetics and transport phenomena</t>
  </si>
  <si>
    <t>experimental combustion research (particularly at high pressure), particle combustion, energetic materials, optical , laser diagnostics , spectroscopy, time-of-flight mass spectrometry, synchrotron sourced x-ray measurements, reactive flow diagnostics, high temperature , high speed measurements, chemical kinetics , transport phenomena</t>
  </si>
  <si>
    <t>Manafzadeh, Saeed</t>
  </si>
  <si>
    <t>SaeedM@uic.edu</t>
  </si>
  <si>
    <t>Experimental and Numerical Study of Pulsating Flow and Heat Transfer inside Helically Coiled Tubes under Different Conditions
Multiphase Flow and Heat Transfer
Computational Fluid Dynamics Applications
Flow and Diffusion in Porous Media</t>
  </si>
  <si>
    <t>Experimental , Numerical Study of Pulsating Flow , Heat Transfer inside Helically Coiled Tubes under Different Conditions,
Multiphase Flow , Heat Transfer,
Computational Fluid Dynamics Applications,
Flow , Diffusion in Porous Media</t>
  </si>
  <si>
    <t>Megaridis, Constantine M.</t>
  </si>
  <si>
    <t>CMM@uic.edu</t>
  </si>
  <si>
    <t>Droplets, sprays, aerosols
Experimental diagnostics in micro/nanoscale systems
Interfacial phenomena
Micro/Nanofluidics
Multifunctional coatings
Multiphase heat and mass transfer
Particle-laden flows</t>
  </si>
  <si>
    <t>Droplets, sprays, aerosols,
Experimental diagnostics in micro/nanoscale systems,
Interfacial phenomena,
Micro/Nanofluidics,
Multifunctional coatings,
Multiphase heat , mass transfer,
Particle-laden flows</t>
  </si>
  <si>
    <t>Mirbod, Parisa</t>
  </si>
  <si>
    <t>pmirbod@uic.edu</t>
  </si>
  <si>
    <t xml:space="preserve">Fluid mechanics and their contribution in diverse areas using numerical, experimental and analytical approaches, fluid dynamics and multiphase flow, non-colloidal suspensions, analysis of biological systems and flow over and through porous media.
</t>
  </si>
  <si>
    <t>Fluid mechanics,numerical, experimental , analytical approaches, fluid dynamics , multiphase flow, non-colloidal suspensions, analysis of biological systems , flow over</t>
  </si>
  <si>
    <t>Pan, Yayue</t>
  </si>
  <si>
    <t>yayuepan@uic.edu</t>
  </si>
  <si>
    <t>Additive Manufacturing (AM) or Direct Digital Manufacturing is based on a class of new fabrication processes that can directly yield physical objects from Computer-Aided Design (CAD) models. Despite significant progress in the AM field, a number of technical challenges such as size limitation, poor surface quality, low precision, slow fabrication speed and inferior material property still remain.</t>
  </si>
  <si>
    <t xml:space="preserve">Additive Manufacturing (AM), Direct Digital Manufacturing </t>
  </si>
  <si>
    <t>Salehi-Khojin, Amin</t>
  </si>
  <si>
    <t>salehikh@uic.edu</t>
  </si>
  <si>
    <t>Materials synthesis
CO2 conversion systems
Energy storage
Thermal management and heat transfer in carbon based electronic devices
Carbon nanomaterial based chemical sensors
Graphene based nano-electromechanical mass spectroscopy systems
Graphene based thermoelectric devices
Vibration of nanoscale media</t>
  </si>
  <si>
    <t>Materials synthesis,
CO2 conversion systems,
Energy storage,
Thermal management , heat transfer in carbon based electronic devices,
Carbon nanomaterial based chemical sensors,
Graphene based nano-electromechanical mass spectroscopy systems,
Graphene based thermoelectric devices,
Vibration of nanoscale media</t>
  </si>
  <si>
    <t>Sankaranarayanan, Subramanian</t>
  </si>
  <si>
    <t>skrssank@uic.edu</t>
  </si>
  <si>
    <t>Machine learning to bridge the electronic, atomistic and mesoscopic scales.
Integrate atomistic (and continuum) simulations with ultrafast X-ray imaging.
Inverse design for materials discovery and machine learning to predict metastable phase diagrams.
Applications of interest include tribology, corrosion, neuromorphic computing, energy storage and thermal management.</t>
  </si>
  <si>
    <t>Machine learning to bridge the electronic, atomistic , mesoscopic scales,
Integrate atomistic (, continuum) simulations with ultrafast X-ray imaging,
Inverse design for materials discovery , machine learning to predict metastable phase diagrams,
Applications of interest include tribology, corrosion, neuromorphic computing, energy storage, thermal management</t>
  </si>
  <si>
    <t>Scott, Michael J.</t>
  </si>
  <si>
    <t>mjscott@uic.edu</t>
  </si>
  <si>
    <t>Dr. Scott’s s are in formal, computable models for engineering design, exploring the shifting boundary between the portion of design that can be formally computed and the part of design that must be handled informally. Specific areas include formal decision models to support negotiation among different groups in a design process (e.g., structural and thermal engineers, engineers and stylists), set- and preference-based design methods, multi-resolution modeling, and mechanical design compilation. Applications include design for manufacturing, concurrent engineering, process automation, robust design, and integrated product development.</t>
  </si>
  <si>
    <t>computable models for engineering design, exploring the shifting boundary between the portion of design that can be formally computed,  informally, decision models to support negotiation among different groups in a design process, preference-based design methods, multi-resolution modeling, mechanical design compilation, Applications include design for manufacturing, concurrent engineering, process automation, robust design, integrated product development</t>
  </si>
  <si>
    <t>Shabana, Ahmed A.</t>
  </si>
  <si>
    <t>shabana@uic.edu</t>
  </si>
  <si>
    <t>Computational dynamics
Vibration and control of multibody systems that consist of interconnected rigid and deformable bodies
Integration of finite element
Computational geometry
Multibody system algorithms
Integration of computer aided design and analysis (ICADA)</t>
  </si>
  <si>
    <t>Computational dynamics,
Vibration , control of multibody systems that consist of interconnected rigid , deformable bodies,
Integration of finite element,
Computational geometry,
Multibody system algorithms,
Integration of computer aided design , analysis (ICADA)</t>
  </si>
  <si>
    <t>Shahbazian-Yassar, Reza</t>
  </si>
  <si>
    <t>rsyassar@uic.edu</t>
  </si>
  <si>
    <t xml:space="preserve">In Situ Transmission Electron Microscopy
Novel Materials for Energy Storage and Conversion (Li/Na/Zn Batteries)
High Entropy Materials
</t>
  </si>
  <si>
    <t xml:space="preserve">In Situ Transmission Electron Microscopy,
Novel Materials for Energy Storage , Conversion (Li/Na/Zn Batteries),
High Entropy Materials
</t>
  </si>
  <si>
    <t>Subramanian, Arunkumar</t>
  </si>
  <si>
    <t>sarun@uic.edu</t>
  </si>
  <si>
    <t>Nanomaterials, devices, and systems
Coupled-physics probing and microscopy of nanosystems
Electrochemical energy storage
Electrokinetic nanoengineering
Field-directed nanomanipulation and nanomanufacturing</t>
  </si>
  <si>
    <t>Nanomaterials, devices, systems,
Coupled-physics probing , microscopy of nanosystems,
Electrochemical energy storage,
Electrokinetic nanoengineering,
Field-directed nanomanipulation , nanomanufacturing</t>
  </si>
  <si>
    <t>Xu, Jie</t>
  </si>
  <si>
    <t>jiexu@uic.edu</t>
  </si>
  <si>
    <t>Microfluidics, Lab-on-a-chiPand Biosensors
Micro/nano transport phenomena</t>
  </si>
  <si>
    <t>Microfluidics, Lab-on-a-chiP, Biosensors,
Micro/nano transport phenomena</t>
  </si>
  <si>
    <t xml:space="preserve">Yarin, Alexander L. </t>
  </si>
  <si>
    <t>ayarin@uic.edu</t>
  </si>
  <si>
    <t>Nanotechnology
Electrospinning of nano fibers
Nanotechnology
Co-electrospinning of core-shell nanofibers
Thermal treatment of core-shell nanofibers to manufacture turbostratic carbon nanotubes
Micro- and nanofluidics
Nanoparticle-based ink-jet printing in micro- and optoelectronics
Deposition of nanocoating on micron- and nano-sized particles in plasma reactors
Drop splashing
Acoustic levitation
Fluid mechanics and rheology
Heat transfer
Biodegradable and stimuli-responsive polymers</t>
  </si>
  <si>
    <t>Nanotechnology,
Electrospinning of nano fibers,
Co-electrospinning of core-shell nanofibers,
Thermal treatment of core-shell nanofibers to manufacture turbostratic carbon nanotubes,
Micro- , nanofluidics,
Nanoparticle-based ink-jet printing in micro- , optoelectronics,
Deposition of nanocoating on micron- , nano-sized particles in plasma reactors,
Drop splashing,
Acoustic levitation,
Fluid mechanics , rheology,
Heat transfer,
Biodegradable , stimuli-responsive polymers</t>
  </si>
  <si>
    <r>
      <rPr>
        <u/>
        <sz val="10"/>
        <color rgb="FF000000"/>
        <rFont val="Arial"/>
        <family val="2"/>
      </rPr>
      <t>Darabi, Houshang</t>
    </r>
    <r>
      <rPr>
        <sz val="10"/>
        <color rgb="FF000000"/>
        <rFont val="Arial"/>
        <family val="2"/>
      </rPr>
      <t>(Department head)</t>
    </r>
  </si>
  <si>
    <t>hdarabi@uic.edu</t>
  </si>
  <si>
    <t xml:space="preserve">Dr. Darabi’s main  is in Data Driven Decision Making (3DM) with applications in healthcare, education, safety, and business systems. Dr. Darabi’s research team focuses on both the theory and applications of 3DM. Data mining, process mining, machine learning, time series, and statistical learning are among various techniques used by Dr. Darabi’s team to build successful and applied decision making models. Dr Darabi’s team has expertise in all stages of 3DM RProjects. The stages include 1- collecting, construction, and fusion of large electronic data repositories, 2- data cleansing, imputation, transformation, preprocessing, feature analysis, and visualization, 3- analysis, fact finding, hypothesis testing, and deriving multi-dimensional analytics of system performance, 4- developing and testing predictive models, and 5- constructing dynamic and robust decision making models that calculate the optimal decisions available to system stakeholders based on system’s future state predictions . Students graduating from Dr. Darabi’s research grouPare usually hired as Data Scientists, Statistical Analyst, Research Analyst, Decision Science Consultant, Operations Research Analyst, and Machine Learning Analyst in fortune 500 companies. For more details please visit our web site.
</t>
  </si>
  <si>
    <t>Data Driven Decision Making (3DM) with applications in healthcare, education, safety, business systems applications of 3DM, Data mining, process mining, machine learning, time series, statistical learning</t>
  </si>
  <si>
    <t>University of Massachusetts--Amherst</t>
  </si>
  <si>
    <t>$14,364 per year (in-state, full-time)</t>
  </si>
  <si>
    <t>University of Tennessee--Knoxville (Tickle)</t>
  </si>
  <si>
    <r>
      <rPr>
        <sz val="10"/>
        <color rgb="FF000000"/>
        <rFont val="Arial"/>
        <family val="2"/>
      </rPr>
      <t xml:space="preserve">Head - </t>
    </r>
    <r>
      <rPr>
        <u/>
        <sz val="10"/>
        <color rgb="FF000000"/>
        <rFont val="Arial"/>
        <family val="2"/>
      </rPr>
      <t>Kivanc Ekici</t>
    </r>
  </si>
  <si>
    <t>ekici@utk.edu</t>
  </si>
  <si>
    <t>Unsteady Aerodynamics and Aeroelasticity
Computational Fluid Dynamics
Wind Turbine Aeroelasticity
Turbomachinery
Fluid-Structure Interactions in Nuclear Reactors
Flapping Flight
Rotorcraft Aerodynamics
Aerodynamic Design
Lattice-Boltzmann Methods
Parallel and High Performance Computation</t>
  </si>
  <si>
    <t>Unsteady Aerodynamics , Aeroelasticity,
Computational Fluid Dynamics,
Wind Turbine Aeroelasticity,
Turbomachinery,
Fluid-Structure Interactions in Nuclear Reactors,
Flapping Flight,
Rotorcraft Aerodynamics,
Aerodynamic Design,
Lattice-Boltzmann Methods,
Parallel , High Performance Computation,</t>
  </si>
  <si>
    <t>Mechanical, Aerospace and Biomedical Engineering</t>
  </si>
  <si>
    <t>Doug Aaron</t>
  </si>
  <si>
    <t>daaron@utk.edu</t>
  </si>
  <si>
    <t>Diagnosis of electrochemical and physical phenomena that contribute to losses in high performance redox flow battery systems.
Cost reduction and performance enhancement of microbial fuel cells for simultaneous wastewater treatment and electricity production.</t>
  </si>
  <si>
    <t>Diagnosis of electrochemical , physical phenomena that contribute to losses in high performance redox flow battery systems,
Cost reduction , performance enhancement of microbial fuel cells for simultaneous wastewater treatment , electricity production,</t>
  </si>
  <si>
    <t>Reza Abedi</t>
  </si>
  <si>
    <t>rabedi@utsi.edu</t>
  </si>
  <si>
    <t>Applied Mathematics
Computational Mechanics
Solid Mechanics
Fracture Mechanics
Interfacial Mechanics
Structural Health Monitoring
Mechanics of Energy Storage Materials</t>
  </si>
  <si>
    <t>Applied Mathematics,
Computational Mechanics,
Solid Mechanics,
Fracture Mechanics,
Interfacial Mechanics,
Structural Health Monitoring,
Mechanics of Energy Storage Materials</t>
  </si>
  <si>
    <t>Ragini Acharya</t>
  </si>
  <si>
    <t>ragini.acharya@utsi.edu</t>
  </si>
  <si>
    <t>Hypersonic and advanced propulsion, Hypersonic signatures, Uncertainty Quantification</t>
  </si>
  <si>
    <t>Hypersonic , advanced propulsion, Hypersonic signatures, Uncertainty Quantification</t>
  </si>
  <si>
    <t>Sudarsanam Suresh Babu</t>
  </si>
  <si>
    <t>sbabu@utk.edu</t>
  </si>
  <si>
    <t>Computational Materials Science, Fundamental issues in non–equilibrium phase transformations, Thermo-mechanical-magnetic coupling effects, Application of in-situ neutron and synchrotron diffraction tools, atom probe field ion microscopy and electron microscopy, Laser surfacing for improvement of structural and biomaterial surfaces, Novel phase transformation concepts to join nanostructured materials, Innovative Delivery of High-Performance Computational Models, Weld microstructure modeling based on thermodynamics and kinetics, Computer aided models to solve the industrial related problems</t>
  </si>
  <si>
    <t>Computational Materials Science, Fundamental issues in non–equilibrium phase transformations, Thermo-mechanical-magnetic coupling effects, Application of in-situ neutron , synchrotron diffraction tools, atom probe field ion microscopy , electron microscopy, Laser surfacing for improvement of structural , biomaterial surfaces, Novel phase transformation concepts to join nanostructured materials, Innovative Delivery of High-Performance Computational Models, Weld microstructure modeling based on thermodynamics , kinetics, Computer aided models to solve the industrial related problems</t>
  </si>
  <si>
    <t>Damiano Baccarella</t>
  </si>
  <si>
    <t>dbaccare@utk.edu</t>
  </si>
  <si>
    <t>Hypersonic aerothermodynamics
Atmospheric re-entry
High-speed propulsion systems
High-enthalpy wind tunnels
Plasma flow control
Plasma assisted combustion
Laser diagnostics</t>
  </si>
  <si>
    <t>Hypersonic aerothermodynamics,
Atmospheric re-entry,
High-speed propulsion systems,
High-enthalpy wind tunnels,
Plasma flow control,
Plasma assisted combustion,
Laser diagnostics</t>
  </si>
  <si>
    <t>Elizabeth Barker</t>
  </si>
  <si>
    <t>ebarker1@vols.utk.edu</t>
  </si>
  <si>
    <t>My research leverages interdisciplinary scientific knowledge of device design, biomaterials engineering, and polymer characterization. My research career is focused on designing and developing novel polymer materials for implant devices and drug delivery, and I intend to commercialize my laboratory findings for use in the CP setting. My goal is to be a link between engineering and medicine and to contribute to the care of others as a research scientist dedicated to the development of medical devices that physicians can use to improve the lives of their patients.</t>
  </si>
  <si>
    <t>device design, biomaterials engineering, polymer characterization, designing , developing novel polymer materials for implant devices , drug delivery</t>
  </si>
  <si>
    <t>J. Mark Barker</t>
  </si>
  <si>
    <t>jbarke16@utk.edu</t>
  </si>
  <si>
    <t>Engineering Education
Flow Diagnostics
Vortex Structures</t>
  </si>
  <si>
    <t>Engineering Education,
Flow Diagnostics,
Vortex Structures</t>
  </si>
  <si>
    <t>Robert E. Bond</t>
  </si>
  <si>
    <t>rbond4@utk.edu</t>
  </si>
  <si>
    <t>Aerodynamics
Fluid Dynamics
Heat Transfer
Airplane Performance</t>
  </si>
  <si>
    <t>Aerodynamics,
Fluid Dynamics,
Heat Transfer,
Airplane Performance</t>
  </si>
  <si>
    <t>Ryan Bond</t>
  </si>
  <si>
    <t>rbond@utsi.edu</t>
  </si>
  <si>
    <t>High temperature gas dynamics and thermochemistry
Numerical methods for compressible flows
Wall-bounded turbulence</t>
  </si>
  <si>
    <t>High temperature gas dynamics , thermochemistry,
Numerical methods for compressible flows,
Wall-bounded turbulence</t>
  </si>
  <si>
    <t>SubhadeePChakraborty</t>
  </si>
  <si>
    <t>schakrab@utk.edu</t>
  </si>
  <si>
    <t>Characterization and mitigation of failures in complex systems using data-driven system identification and supervisory control
Electrochemical Sensor Development for Simultaneous Detection of Multiple Environmental Contaminants through Stochastic Signal Processing
Modeling and analysis of behavioral dynamics in networked societies</t>
  </si>
  <si>
    <t>Characterization , mitigation of failures in complex systems using data-driven system identification , supervisory control,
Electrochemical Sensor Development for Simultaneous Detection of Multiple Environmental Contaminants through Stochastic Signal Processing,
Modeling , analysis of behavioral dynamics in networked societies</t>
  </si>
  <si>
    <t>BreTTG. Compton</t>
  </si>
  <si>
    <t>bcompto1@utk.edu</t>
  </si>
  <si>
    <t>Developing new high-performance materials for additive manufacturing (AM) technologies, and developing the necessary fundamental understanding of AM processes to enable the application of rigorous engineering principles to AM components. This requires establishing the link between feedstock processing parameters, deposition parameters, and the mechanical and functional properties of the resulting materials through mechanical testing, numerical simulation, and modeling.
Of particular interest are printable fiber-reinforced polymer and ceramic matrix composites (PMC's and CMC's) and multi-material hybrid structures. These represent a huge area of untapped potential now accessible via additive manufacturing techniques. Potential areas of application include aerospace, nuclear power, armor, wear materials, and lightweight, highly efficient structures for the transportation sector.</t>
  </si>
  <si>
    <t>Developing new high-performance materials for additive manufacturing (AM) technologies, developing the necessary fundamental underst,ing of AM processes to enable the application of rigorous engineering principles to AM components, processing parameters, deposition parameters, the mechanical , functional properties of the resulting materials through mechanical testing, numerical simulation, modeling</t>
  </si>
  <si>
    <t>$639 per credit (in-state, full-time)</t>
  </si>
  <si>
    <t>Lino Costa</t>
  </si>
  <si>
    <t>lcosta@utsi.edu</t>
  </si>
  <si>
    <t>Electric Micro-Propulsion – electrospray thrusters and ionic liquid propellants for cubesats.
Ultrafast Laser Materials Processing – microfluidics for biomedical research applications, advanced micromachining and patterning of materials.
Nano Imprinting – fabrication of mil-tall piles of polymer nanofibers.
Nanofluids – synthesis and characterization.
Diamond electronics – fabrication, testing and characterization.</t>
  </si>
  <si>
    <t>Electric Micro-Propulsion, electrospray thrusters , ionic liquid propellants for cubesats,
Ultrafast Laser Materials Processing , microfluidics for biomedical research applications, advanced micromachining , patterning of materials,
Nano Imprinting – fabrication of mil-tall piles of polymer nanofibers,
Nanofluids – synthesis , characterization,
Diamond electronics – fabrication, testing , characterization</t>
  </si>
  <si>
    <t>A. Colleen Crouch</t>
  </si>
  <si>
    <t>acrouch5@utk.edu</t>
  </si>
  <si>
    <t>Cardiovascular Biomechanics
Ultrasound Imaging
Mass Spectrometry Imaging
PreCP Models for Cardio-oncology</t>
  </si>
  <si>
    <t>Cardiovascular Biomechanics,
Ultrasound Imaging,
Mass Spectrometry Imaging,
PreCP Models for Cardio-oncology</t>
  </si>
  <si>
    <t>Dustin Crouch</t>
  </si>
  <si>
    <t>dcrouch3@utk.edu</t>
  </si>
  <si>
    <t>Musculoskeletal biomechanics and neuromuscular coordination
Physical integration of limb prostheses with the biological residual limb
Computer biomechanical models and simulations
Wearable devices for movement assistance</t>
  </si>
  <si>
    <t>Musculoskeletal biomechanics , neuromuscular coordination,
Physical integration of limb prostheses with the biological residual limb,
Computer biomechanical models , simulations,
Wearable devices for movement assistance</t>
  </si>
  <si>
    <t>Hans DeSmidt</t>
  </si>
  <si>
    <t>hdesmidt@utk.edu</t>
  </si>
  <si>
    <t>Structural Dynamics and Vibration
Dynamical Systems and Controls
Analysis and Control of Time-Varying Systems
Mechatronics and Active Structures
Rotordynamics
Gossamer Space Structures</t>
  </si>
  <si>
    <t>Structural Dynamics , Vibration,
Dynamical Systems , Controls,
Analysis , Control of Time-Varying Systems,
Mechatronics , Active Structures,
Rotordynamics,
Gossamer Space Structures</t>
  </si>
  <si>
    <t>Andrew Dickerson</t>
  </si>
  <si>
    <t>dickerson@utk.edu</t>
  </si>
  <si>
    <t>Fluid structure interaction
Water entry
Biomechanics</t>
  </si>
  <si>
    <t>Fluid structure interaction,
Water entry,
Biomechanics</t>
  </si>
  <si>
    <t>Chad Duty</t>
  </si>
  <si>
    <t>cduty@utk.edu</t>
  </si>
  <si>
    <t>Additive Manufacturing of polymer and composite structures, focusing on anisotropic mechanical behavior, new material development, melt flow characterization, and optimizing process-structure-property relationships
Development of Big Area Additive Manufacturing (BAAM) at multi-meter length scales and over 100 lbs/h
Tooling applications for large scale additive manufacturing, including development of novel coatings and base materials</t>
  </si>
  <si>
    <t>Additive Manufacturing of polymer , composite structures, focusing on anisotropic mechanical behavior, new material development, melt flow characterization, optimizing process-structure-property relationships,
Development of Big Area Additive Manufacturing (BAAM) at multi-meter length scales , over 100 lbs/h,
Tooling applications for large scale additive manufacturing, including development of novel coatings , base materials,</t>
  </si>
  <si>
    <t>Emam E. Abdel Fatah</t>
  </si>
  <si>
    <t>ealiabde@utk.edu</t>
  </si>
  <si>
    <t>Pervasive and social computing in healthcare
CPathway optimization
Medical Image Analysis
Machine Learning
Biomechanics
Anthropology
Orthopedic Implant Design and Analysis</t>
  </si>
  <si>
    <t>Pervasive , social computing in healthcare,
CPathway optimization,
Medical Image Analysis,
Machine Learning,
Biomechanics,
Anthropology,
Orthopedic Implant Design , Analysis</t>
  </si>
  <si>
    <t>Ryan Ginder</t>
  </si>
  <si>
    <t>rginder@vols.utk.edu</t>
  </si>
  <si>
    <t xml:space="preserve">Mechanics of materials
Composites and functional materials
Materials for energy applications
Materials recycling and sustainability </t>
  </si>
  <si>
    <t xml:space="preserve">Mechanics of materials,
Composites , functional materials
Materials for energy applications,
Materials recycling , sustainability </t>
  </si>
  <si>
    <t>Bryan Good</t>
  </si>
  <si>
    <t>bgood6@utk.edu</t>
  </si>
  <si>
    <t>Cardiovascular biomechanics, biorheology, computational fluid dynamics and fluid-structure interaction modeling, biocompatibility, acute ischemic stroke, congenital heart disease, thrombosis</t>
  </si>
  <si>
    <t>Cardiovascular biomechanics, biorheology, computational fluid dynamics , fluid-structure interaction modeling, biocompatibility, acute ischemic stroke, congenital heart disease, thrombosis</t>
  </si>
  <si>
    <t>Mark Gragston</t>
  </si>
  <si>
    <t>mgragston@utsi.edu</t>
  </si>
  <si>
    <t>His primary research focus is the development and application of laser and optical based techniques for studying high-speed aerothermodynamics. These include high-speed schlieren, PLIF, PIV, FLDI, Raman scattering, and more. These tools are used for measurements of transitional and turbulent boundary layer states, dynamics and structure of shock-boundary layer interactions, and other features of the supersonic flowfield. Mark is also developing high-enthalpy testing capabilities to better understand aerodynamic heating and real gas effects in hypersonic flows. Additionally, he has an interest in measurements of combustion phenomena and plasma dynamics.</t>
  </si>
  <si>
    <t>application of laser , optical based techniques for studying high-speed aerothermodynamics</t>
  </si>
  <si>
    <t>Sara Hanrahan</t>
  </si>
  <si>
    <t>shanrahan@utk.edu</t>
  </si>
  <si>
    <t>Sicheng He</t>
  </si>
  <si>
    <t>sicheng@utk.edu</t>
  </si>
  <si>
    <t>Multidisciplinary design optimization (MDO)
Computational fluid dynamics (CFD)
Computational aeroelasticity
Laminar-turbulent transitional flow
Control co-design
Aircraft design
Wind energy</t>
  </si>
  <si>
    <t>Multidisciplinary design optimization (MDO),
Computational fluid dynamics (CFD),
Computational aeroelasticity,
Laminar-turbulent transitional flow,
Control co-design,
Aircraft design,
Wind energy</t>
  </si>
  <si>
    <t>Anming Hu</t>
  </si>
  <si>
    <t>ahu3@utk.edu</t>
  </si>
  <si>
    <t>Nanomanufacturing, laser processing and 3D microprinting, nanojoining, nanoelectronics, nanotechnology for optoelectronics, energy and environment</t>
  </si>
  <si>
    <t>Nanomanufacturing, laser processing , 3D microprinting, nanojoining, nanoelectronics, nanotechnology for optoelectronics, energy , environment</t>
  </si>
  <si>
    <t>Bradley Jared</t>
  </si>
  <si>
    <t>bhjared@utk.edu</t>
  </si>
  <si>
    <t>Additive manufacturing (AM)
Precision engineering
Design of precision electro-mechanical systems and mechanisms
Machine learning for manufacturing processes
Metrology processes
Opto-mechanics and opto-electronics
Design and process optimization
Hierarchical material design
Material process-structure- property relationships
Meso manufacturing</t>
  </si>
  <si>
    <t>Additive manufacturing (AM),
Precision engineering,
Design of precision electro-mechanical systems , mechanisms
Machine learning for manufacturing processes,
Metrology processes,
Opto-mechanics , opto-electronics,
Design , process optimization,
Hierarchical material design,
Material process-structure- property relationships,
Meso manufacturing</t>
  </si>
  <si>
    <t>Jacqueline Anne Johnson</t>
  </si>
  <si>
    <t>jjohnson@utsi.edu</t>
  </si>
  <si>
    <t>Characterization of Amorphous Materials
Glass Ceramics
Nanoparticles in Medicine
Medical Applications of Materials</t>
  </si>
  <si>
    <t>Characterization of Amorphous Materials
Glass Ceramics,
Nanoparticles in Medicine,
Medical Applications of Materials</t>
  </si>
  <si>
    <t>Kenneth D. Kihm</t>
  </si>
  <si>
    <t>kkihm@utk.edu</t>
  </si>
  <si>
    <t>Hypersonic cooling management using liquid-metal heat pipes
Micro/nano-scale near-field optical characterization
Thermoelectric characterization of nano-structured graphene
Chemical vapor deposition (CVD) of 2-d structures (graphene)
Liquid metal transport
Nanofluidic transport
Neutron imaging
Surface plasmon resonance (SPR) imaging
Raman spectroscopy</t>
  </si>
  <si>
    <t>Hypersonic cooling management using liquid-metal heat pipes,
Micro/nano-scale near-field optical characterization
Thermoelectric characterization of nano-structured graphene,
Chemical vapor deposition (CVD) of 2-d structures (graphene),
Liquid metal transport,
Nanofluidic transport,
Neutron imaging,
Surface plasmon resonance (SPR) imaging,
Raman spectroscopy</t>
  </si>
  <si>
    <t>Richard D. Komistek</t>
  </si>
  <si>
    <t>rkomiste@utk.edu</t>
  </si>
  <si>
    <t>Developing mathematical models of the human body musculoskeletal system.
Analyzing the failure modes for total joint arthroplasty.
In vivo kinematic and kinetic analysis of the human body.
Closed and open looPcontrol systems of the human body.
Design of total joint implantable devices.</t>
  </si>
  <si>
    <t>Developing mathematical models of the human body musculoskeletal system,
Analyzing the failure modes for total joint arthroplasty,
In vivo kinematic , kinetic analysis of the human body,
Closed , open looPcontrol systems of the human body,
Design of total joint implantable devices,</t>
  </si>
  <si>
    <t>PhilliPKreth</t>
  </si>
  <si>
    <t>pkreth@utsi.edu</t>
  </si>
  <si>
    <t>Active flow control
Actuator development
Hypersonics
Aerothermodynamics
Optical diagnostics (especially high-speed)
Shock Wave/Boundary Layer Interactions
Ballistics</t>
  </si>
  <si>
    <t>Active flow control,
Actuator development,
Hypersonics,
Aerothermodynamics,
Optical diagnostics (especially high-speed),
Shock Wave/Boundary Layer Interactions,
Ballistics</t>
  </si>
  <si>
    <t>Michael LaCour</t>
  </si>
  <si>
    <t>mlacour@utk.edu</t>
  </si>
  <si>
    <t>Biomechanics
Design and analysis of total joint replacement systems
In vivo kinematic analysis of the human body
Development of mathematical models of the musculoskeletal system
Analyzing failure modes of total joint arthroplasty</t>
  </si>
  <si>
    <t>Biomechanics,
Design , analysis of total joint replacement systems,
In vivo kinematic analysis of the human body,
Development of mathematical models of the musculoskeletal system,
Analyzing failure modes of total joint arthroplasty</t>
  </si>
  <si>
    <t>Bruce LaMattina</t>
  </si>
  <si>
    <t>blamatti@utk.edu</t>
  </si>
  <si>
    <t>R. Lee Leonard</t>
  </si>
  <si>
    <t>rleonard@utsi.edu</t>
  </si>
  <si>
    <t>Ceramics, Glasses, and Glass ceramics
Luminescent Materials
X-ray and Neutron Radiography
Thin Films
Ion Batteries
Functionalized Nanoparticles
Carbon Materials</t>
  </si>
  <si>
    <t>Ceramics, Glasses, Glass ceramics,
Luminescent Materials,
X-ray , Neutron Radiography,
Thin Films,
Ion Batteries,
Functionalized Nanoparticles,
Carbon Materials</t>
  </si>
  <si>
    <t>Xiangyu Li</t>
  </si>
  <si>
    <t>xli148@utk.edu</t>
  </si>
  <si>
    <t>Building energy efficiency
Radiative cooling
Thermal energy storage
High temperature heat exchanger
Solar desalination
Atmospheric water harvesting</t>
  </si>
  <si>
    <t>Building energy efficiency,
Radiative cooling,
Thermal energy storage,
High temperature heat exchanger,
Solar desalination,
Atmospheric water harvesting</t>
  </si>
  <si>
    <t>James Evans Lyne</t>
  </si>
  <si>
    <t>jelyne@utk.edu</t>
  </si>
  <si>
    <t>Planning of advanced space missions, particularly manned missions to Mars
Atmospheric entry of both natural and man-made bodies
Hypersonic aerodynamics
Meteor entry physics
Three-dimensional protein structure
Protein crystal growth and protein crystallography
Physiology of human space flight</t>
  </si>
  <si>
    <t>Planning of advanced space missions, particularly manned missions to Mars,
Atmospheric entry of both natural , man-made bodies,
Hypersonic aerodynamics,
Meteor entry physics,
Three-dimensional protein structure,
Protein crystal growth , protein crystallography,
Physiology of human space flight</t>
  </si>
  <si>
    <t>Madhu S. Madhukar</t>
  </si>
  <si>
    <t>mmadhuka@utk.edu</t>
  </si>
  <si>
    <t>Processing and processing optimization of polymer composites
Residual stresses
Mechanical behavior of composite materials
Fiber-matrix interfaces
Heat transfer in composite materials</t>
  </si>
  <si>
    <t>Processing , processing optimization of polymer composites,
Residual stresses,
Mechanical behavior of composite materials
Fiber-matrix interfaces,
Heat transfer in composite materials</t>
  </si>
  <si>
    <t>Mohamed Mahfouz</t>
  </si>
  <si>
    <t>mmahfouz@utk.edu</t>
  </si>
  <si>
    <t xml:space="preserve">Biomedical instrumentation
Medical imaging and enhancement
Surgical navigation
Advanced visualization
Orthopedic dynamic modeling
3D bone and tissue reconstruction
Vascular computational fluid dynamics
Engineering analysis of surgical techniques and outcomes
Anthropomorphic classification
</t>
  </si>
  <si>
    <t xml:space="preserve">Biomedical instrumentation,
Medical imaging , enhancement,
Surgical navigation,
Advanced visualization,
Orthopedic dynamic modeling,
3D bone , tissue reconstruction,
Vascular computational fluid dynamics,
Engineering analysis of surgical techniques , outcomes,
Anthropomorphic classification
</t>
  </si>
  <si>
    <t>Matthew M. Mench</t>
  </si>
  <si>
    <t>mmench@utk.edu</t>
  </si>
  <si>
    <t>Electrochemical power conversion and storage including polymer electrolyte fuel cells, flow battery systems, and biological energy systems.
Multi-phase transport visualization and characterization.
Computational simulation of electrochemical power conversion and storage systems.
Electrochemical methods of hazardous waste conversion.
Simulation of the influence of rapidly evolving socio-cultural factors on decision making and grouPopinion dynamics.</t>
  </si>
  <si>
    <t>Electrochemical power conversion , storage including polymer electrolyte fuel cells, flow battery systems, biological energy systems,
Multi-phase transport visualization , characterization,
Computational simulation of electrochemical power conversion , storage systems,
Electrochemical methods of hazardous waste conversion,
Simulation of the influence of rapidly evolving socio-cultural factors on decision making , grouPopinion dynamics,</t>
  </si>
  <si>
    <t>William Miller</t>
  </si>
  <si>
    <t>wmille17@utk.edu</t>
  </si>
  <si>
    <t>Expertise in the modeling and design of glass windows and double skin facades. Accomplished scholar in heat transfer, high-temperature thermochemical conversion, advanced thermodynamic cycles, energy storage, thermal fluid sciences and building science.</t>
  </si>
  <si>
    <t>Expertise in the modeling , design of glass windows , double skin facades, Accomplished scholar in heat transfer, high-temperature thermochemical conversion, advanced thermodynamic cycles, energy storage, thermal fluid sciences , building science</t>
  </si>
  <si>
    <t>Trevor M. Moeller</t>
  </si>
  <si>
    <t>tmoeller@utsi.edu</t>
  </si>
  <si>
    <t>High-temperature gases
High-speed flows
Rocket propulsion
Advanced rocket propulsion
Modeling and testing of electric propulsion devices
Electromagnetic acceleration
Plasma diagnostics</t>
  </si>
  <si>
    <t>High-temperature gases,
High-speed flows,
Rocket propulsion,
Advanced rocket propulsion,
Modeling , testing of electric propulsion devices,
Electromagnetic acceleration,
Plasma diagnostics</t>
  </si>
  <si>
    <t>Manikandan Palanisamy</t>
  </si>
  <si>
    <t>mpalanis@utk.edu</t>
  </si>
  <si>
    <t>Chemical Science and its Applications
Solid-State Chemistry and Crystal Structure Studies
Electrochemistry and its Applications
Multifunctional Approaches on Energy Storage Materials – Anodes, Cathodes, Separators, and Electrolytes
Lithium-ion, Sodium-ion, Potassium-ion, and Lithium-Sulfur Batteries
Advanced Design and Construction for Lithium-ion and Sodium-ion Pouch cell Fabrications
All-Solid-State Lithium-ion and Sodium-ion Batteries
Advanced Synchronized System for Longer-Lasting Rechargeable Batteries
Thermal safety studies for Lithium-ion, Sodium-ion, and Potassium-ion Batteries
Development of OER/ORR and HER Electrocatalysts
Rechargeable Seawater Battery System</t>
  </si>
  <si>
    <t>Chemical Science,
Solid-State Chemistry , Crystal Structure Studies,
Electrochemistry,
Multifunctional Approaches on Energy Storage Materials – Anodes, Cathodes, Separators, Electrolytes,
Lithium-ion, Sodium-ion, Potassium-ion, Lithium-Sulfur Batteries,
Advanced Design , Construction for Lithium-ion , Sodium-ion Pouch cell Fabrications,
All-Solid-State Lithium-ion , Sodium-ion Batteries,
Advanced Synchronized System for Longer-Lasting Rechargeable Batteries,
Thermal safety studies for Lithium-ion, Sodium-ion, Potassium-ion Batteries,
Development of OER/ORR , HER Electrocatalysts,
Rechargeable Seawater Battery System</t>
  </si>
  <si>
    <t>Paul Palies</t>
  </si>
  <si>
    <t>ppalies@utk.edu</t>
  </si>
  <si>
    <t>Premixed swirling flame hydrogen combustion
Experimental and numerical combustion
High-performance computing
High-speed flame imaging and data analysis
Injector design
Static/dynamic flow field decomposition technique
Propulsion and gas turbine engine</t>
  </si>
  <si>
    <t>Premixed swirling flame hydrogen combustion,
Experimental , numerical combustion,
High-performance computing,
High-speed flame imaging , data analysis,
Injector design,
Static/dynamic flow field decomposition technique,
Propulsion , gas turbine engine</t>
  </si>
  <si>
    <t>Caleb Rucker</t>
  </si>
  <si>
    <t>caleb.rucker@utk.edu</t>
  </si>
  <si>
    <t>Robotics, Dynamics
Solid Mechanics
Medical Applications
Computer-Aided Surgery</t>
  </si>
  <si>
    <t>Robotics, Dynamics,
Solid Mechanics,
Medical Applications,
Computer-Aided Surgery</t>
  </si>
  <si>
    <t>Omer San</t>
  </si>
  <si>
    <t>osan@utk.edu</t>
  </si>
  <si>
    <t>Scientific machine learning
Digital twins
Artificial intelligence
Data assimilation
High performance computing
Fluid dynamics and turbulence</t>
  </si>
  <si>
    <t>Scientific machine learning,
Digital twins,
Artificial intelligence,
Data assimilation,
High performance computing,
Fluid dynamics , turbulence</t>
  </si>
  <si>
    <t>Devina Sanjaya</t>
  </si>
  <si>
    <t>dsanjaya@utk.edu</t>
  </si>
  <si>
    <t>Computational Fluid Dynamics (CFD)
High-order, finite-element methods
Mesh adaptation, optimization, and generation
Machine learning for meshing purposes
High performance computing
Error estimation and uncertainty quantification</t>
  </si>
  <si>
    <t>Computational Fluid Dynamics (CFD),
High-order, finite-element methods,
Mesh adaptation, optimization, generation,
Machine learning for meshing purposes,
High performance computing,
Error estimation , uncertainty quantification,</t>
  </si>
  <si>
    <t>Andy Sarles</t>
  </si>
  <si>
    <t>ssarles@utk.edu</t>
  </si>
  <si>
    <t>Biomimetic membranes for sensing, energy conversion, and actuation
Uncovering membrane-nanomaterial interactions
Soft, reconfigurable materials for neuromorphic computing</t>
  </si>
  <si>
    <t>Biomimetic membranes for sensing, energy conversion, actuation,
Uncovering membrane-nanomaterial interactions,
Soft, reconfigurable materials for neuromorphic computing,</t>
  </si>
  <si>
    <t>John Schmisseur</t>
  </si>
  <si>
    <t>jschmiss@utk.edu</t>
  </si>
  <si>
    <t xml:space="preserve">conduct foundational research in aerothermodynamics and the science of ground testing through both his research on the numerical modeling of complex flows and shock waves, and the experimental capabilities of the university.
</t>
  </si>
  <si>
    <t xml:space="preserve">conduct foundational research in aerothermodynamics , the science of ground testing through both his research on the numerical modeling of complex flows , shock waves, the experimental capabilities of the university,
</t>
  </si>
  <si>
    <t>Tony Schmitz</t>
  </si>
  <si>
    <t>tony.schmitz@utk.edu</t>
  </si>
  <si>
    <t xml:space="preserve">Manufacturing, machining, vibrations, measurement, uncertainty analysis
</t>
  </si>
  <si>
    <t>Larry W. Sharpe</t>
  </si>
  <si>
    <t>lsharpe3@utk.edu</t>
  </si>
  <si>
    <t>Finite Element Analysis
Computational Mechanics
Fracture Mechanics
Mechatronics
Engineering Education</t>
  </si>
  <si>
    <t>Finite Element Analysis,
Computational Mechanics,
Fracture Mechanics,
Mechatronics,
Engineering Education</t>
  </si>
  <si>
    <t>Seungha Shin</t>
  </si>
  <si>
    <t>sshin@utk.edu</t>
  </si>
  <si>
    <t>Fundamentals and innovative applications of energy transport and conversion (Heat transfer physics) - Multiscale, multiphysics simulations (ab initio, molecular dynamics, and meso or Boltzmann).
Thermal energy transport and conversion in nonequilibrium, heterostructures (interfaces, molecular junctions), graphene, and energy conversion devices.</t>
  </si>
  <si>
    <t>Fundamentals , innovative applications of energy transport , conversion (Heat transfer physics) - Multiscale, multiphysics simulations,
Thermal energy transport , conversion in nonequilibrium, heterostructures (interfaces, molecular junctions), graphene, energy conversion devices,</t>
  </si>
  <si>
    <t>Prashant Singh</t>
  </si>
  <si>
    <t>psingh15@utk.edu</t>
  </si>
  <si>
    <t xml:space="preserve">Advanced heat and fluid flow diagnostics for thermal management in applications requiring high heat flux dissipation, porous media heat transfer for electronics cooling, particle flows through porous media for Concentrating Solar Power (CSP) applications, thermal energy storage, additive manufacturing, thermal energy conversion and storage, micro- and nano-scale heat transfer.
</t>
  </si>
  <si>
    <t>Advanced heat , fluid flow diagnostics for thermal management in applications requiring high heat flux dissipation, porous media heat transfer for electronics cooling, particle flows through porous media for Concentrating Solar Power (CSP) applications, thermal energy storage, additive manufacturing, thermal energy conversion , storage, micro- , nano-scale heat transfer,</t>
  </si>
  <si>
    <t>Jindong Tan</t>
  </si>
  <si>
    <t>tan@utk.edu</t>
  </si>
  <si>
    <t>Medical/Surgical robotics
Human robot interactions
Wearable sensors
Control and systems
Mechatronics</t>
  </si>
  <si>
    <t>Medical/Surgical robotics,
Human robot interactions,
Wearable sensors,
Control , systems,
Mechatronics</t>
  </si>
  <si>
    <t>Uday Vaidya</t>
  </si>
  <si>
    <t>uvaidya@utk.edu</t>
  </si>
  <si>
    <t xml:space="preserve">Advanced Composites, Composite Materials and Manufacturing, Applications Development – R&amp;D to Engineered Products, Dynamic Response, Nondestructive Evaluation, Sustainable and Green Materials, Composites Design, Process Modeling and Mechanics, Composites Recycling and Sustainability, Sound and Vibration Damping, Hybrid Materials, Multi-scale, Multi-functional and Nano-bio materials, TRL 1-3 and TRL 4-6 Technology Commercialization </t>
  </si>
  <si>
    <t xml:space="preserve">Advanced Composites, Composite Materials , Manufacturing, Applications Development – R&amp;D to Engineered Products, Dynamic Response, Nondestructive Evaluation, Sustainable , Green Materials, Composites Design, Process Modeling , Mechanics, Composites Recycling , Sustainability, Sound , Vibration Damping, Hybrid Materials, Multi-scale, Multi-functional , Nano-bio materials, TRL 1-3 , TRL 4-6 Technology Commercialization </t>
  </si>
  <si>
    <t>wwang87@utk.edu</t>
  </si>
  <si>
    <t>Developing novel functional surfaces to address some of the key challenges in the areas of membrane separation, droplet manipulation, icephobicity, hemocompatibility and microfluidics. Particular areas of interest include liquid-repellent surfaces, omniphobic membranes, patterned surfaces, stimuli-responsive surfaces, and anti/de-icing coatings.</t>
  </si>
  <si>
    <t>membrane separation, droplet manipulation, icephobicity, hemocompatibility , microfluidics, Particular areas of interest include liquid-repellent surfaces, omniphobic membranes, patterned surfaces, stimuli-responsive surfaces, anti/de-icing coatings</t>
  </si>
  <si>
    <t>Zhenbo Wang</t>
  </si>
  <si>
    <t>zwang124@utk.edu</t>
  </si>
  <si>
    <t>Optimal control, convex optimization, machine learning, guidance, navigation, and control, space systems, aerial vehicles, connected vehicles</t>
  </si>
  <si>
    <t>Optimal control, convex optimization, machine learning, guidance, navigation, control, space systems, aerial vehicles, connected vehicles</t>
  </si>
  <si>
    <t>Kwai L. Wong</t>
  </si>
  <si>
    <t>kwong@utk.edu</t>
  </si>
  <si>
    <t>Multiphysics simulations on large scale parallel computers
Finite element formulations for computational fluid dynamics
Parallel direct and sparse solvers for systems of linear equations
Numerical linear algebra implementation on GPUs
Scalable software framework for multi-disciplinary biomedical simulations</t>
  </si>
  <si>
    <t>Multiphysics simulations on large scale parallel computers,
Finite element formulations for computational fluid dynamics,
Parallel direct , sparse solvers for systems of linear equations,
Numerical linear algebra implementation on GPUs,
Scalable software framework for multi-disciplinary biomedical simulations</t>
  </si>
  <si>
    <t>Zhili Zhang</t>
  </si>
  <si>
    <t>zzhang24@utk.edu</t>
  </si>
  <si>
    <t>Laser Diagnostics for Combustion and Plasma systems
Computational imaging
Spectroscopy</t>
  </si>
  <si>
    <t>Laser Diagnostics for Combustion , Plasma systems,
Computational imaging,
Spectroscopy</t>
  </si>
  <si>
    <t>Feng-Yuan Zhang</t>
  </si>
  <si>
    <t>fzhang@utk.edu</t>
  </si>
  <si>
    <t>Micro-/nano-scale fluidics, transport, heat transfer, and combustion
Novel multifunctional materials
Micro/Nano electro mechanical systems (MEMS/NEMS)
Low-emission electric propulsion and high-efficiency combustion engines
Electrochemical energy storage and conversions, including fuel cells, electrolyzers, batteries
Alternative fuel and renewable energy, including biofuel, solar energy and wind power
Hybrid energy systems
Thermal control and thermal management
Advanced spectroscopies, including laser, optics, x-ray and electron</t>
  </si>
  <si>
    <t>Micro-/nano-scale fluidics, transport, heat transfer, combustion,
Novel multifunctional materials,
Micro/Nano electro mechanical systems (MEMS/NEMS),
Low-emission electric propulsion , high-efficiency combustion engines,
Electrochemical energy storage , conversions, including fuel cells, electrolyzers, batteries,
Alternative fuel , renewable energy, including biofuel, solar energy , wind power
Hybrid energy systems,
Thermal control , thermal management,
Advanced spectroscopies, including laser, optics, x-ray , electron</t>
  </si>
  <si>
    <t>Peng Zhao</t>
  </si>
  <si>
    <t>pzhao12@utk.edu</t>
  </si>
  <si>
    <t>Combustion and reacting flow, advanced powertrain and propulsion systems, alternative fuels and chemical kinetics, numerical simulation and computational diagnostics, thermal management and safety of lithium-ion batteries</t>
  </si>
  <si>
    <t>Combustion , reacting flow, advanced powertrain , propulsion systems, alternative fuels , chemical kinetics, numerical simulation , computational diagnostics, thermal management , safety of lithium-ion batteries</t>
  </si>
  <si>
    <t>Xiaopeng Zhao</t>
  </si>
  <si>
    <t>xzhao9@utk.edu</t>
  </si>
  <si>
    <t xml:space="preserve">Brain-computer Interface, Wearable Healthcare, Computational Neuroscience, Computational Physiology, Biomedical Informatics, Signal Processing, Machine Learning, Statistics, Epidemic Modeling and Control, Biomechanics, Micro- and Nano-systems, Impact and Vibration, System Identification, Systems Dynamics, Feedback Control, Optimal Control, Agent-based Modeling, Complex Systems, Nonlinear Dynamics, Bifurcation and Chaos, Stochastic Dynamics
</t>
  </si>
  <si>
    <t>Brain-computer Interface, Wearable Healthcare, Computational Neuroscience, Computational Physiology, Biomedical Informatics, Signal Processing, Machine Learning, Statistics, Epidemic Modeling , Control, Biomechanics, Micro- , Nano-systems, Impact , Vibration, System Identification, Systems Dynamics, Feedback Control, Optimal Control, Agent-based Modeling, Complex Systems, Nonlinear Dynamics, Bifurcation , Chaos, Stochastic Dynamics</t>
  </si>
  <si>
    <t>Colorado State University (Scott)</t>
  </si>
  <si>
    <t>Mo Abutayeh</t>
  </si>
  <si>
    <t>abutayeh@colostate.edu</t>
  </si>
  <si>
    <t>Water desalination
Energy system integration
Concentrating solar power
Electrolyte thermodynamics
Process modeling and control
Environmental chemodynamics</t>
  </si>
  <si>
    <t>Water desalination,
Energy system integration,
Concentrating solar power,
Electrolyte thermodynamics,
Process modeling , control,
Environmental chemodynamics</t>
  </si>
  <si>
    <t>Todd Bandhauer</t>
  </si>
  <si>
    <t>todd.bandhauer@colostate.edu</t>
  </si>
  <si>
    <t>Thermal Energy Systems
Coupled Electrochemical Thermal Phenomena in Energy Storage and Conversion Systems
Microscale Phase Change Heat Transfer
High Flux Thermal Management of Electronics and Lasers
Thermal Activated Cooling Systems
Waste Heat Recovery
Nuclear Fuel Processing Systems</t>
  </si>
  <si>
    <t>Thermal Energy Systems,
Coupled Electrochemical Thermal Phenomena in Energy Storage , Conversion Systems,
Microscale Phase Change Heat Transfer,
High Flux Thermal Management of Electronics , Lasers,
Thermal Activated Cooling Systems,
Waste Heat Recovery,
Nuclear Fuel Processing Systems</t>
  </si>
  <si>
    <t>Sam Bechara</t>
  </si>
  <si>
    <t>samuel.bechara@colostate.edu</t>
  </si>
  <si>
    <t>Implicit Bias in Engineering
Sex Differences in Student Performance and Confidence
Effective Teaching Methods
Engineering Education Pedagogy
Long Term Effects of Study Abroad Education</t>
  </si>
  <si>
    <t>Implicit Bias in Engineering,
Sex Differences in Student Performance , Confidence,
Effective Teaching Methods,
Engineering Education Pedagogy,
Long Term Effects of Study Abroad Education</t>
  </si>
  <si>
    <t>#71 - Mechanical Engineering</t>
  </si>
  <si>
    <t>Tami Bond</t>
  </si>
  <si>
    <t>Tami.Bond@colostate.edu</t>
  </si>
  <si>
    <t>Household Energy Provision in Rural and Peri-Urban Areas
Human and Infrastructure Constraints on Emission Mitigation
Physical, Optical and Chemical Properties of Particles
Emission Measurement and Characterization, Especially Remote Sources
Air Pollutant Emission Inventories of The Past, Present and Future</t>
  </si>
  <si>
    <t>Household Energy Provision in Rural , Peri-Urban Areas,
Human , Infrastructure Constraints on Emission Mitigation,
Physical, Optical , Chemical Properties of Particles,
Emission Measurement , Characterization, Especially Remote Sources,
Air Pollutant Emission Inventories of The Past, Present , Future</t>
  </si>
  <si>
    <t>Marco Ciarcia</t>
  </si>
  <si>
    <t>Marco.Ciarcia@colostate.edu</t>
  </si>
  <si>
    <t>His research interests include robotics, mechatronics, UAV design, optimal and nonlinear control, spacecraft guidance, navigation and control, and small satellites.</t>
  </si>
  <si>
    <t>His research interests include robotics, mechatronics, UAV design, optimal , nonlinear control, spacecraft guidance, navigation , control, small satellites,</t>
  </si>
  <si>
    <t>Seth Dillard</t>
  </si>
  <si>
    <t>Seth.Dillard@colostate.edu</t>
  </si>
  <si>
    <t>Other teaching and research interests include cardiovascular biomechanics, image-based modeling, and energy systems. Dr. Dillard’s experience working as a paramedic prior to entering the world of engineering cultivated a strong passion for applying engineering principles to address human needs as part of a team – a passion he loves to share with his students.</t>
  </si>
  <si>
    <t>cardiovascular biomechanics, image-based modeling, energy systems</t>
  </si>
  <si>
    <t>Ciprian Dumitrache</t>
  </si>
  <si>
    <t>ciprian.dumitrache@colostate.edu</t>
  </si>
  <si>
    <t xml:space="preserve">His current research at Colorado State University is focusing on improving the performance of aerospace propulsion systems using tools such as plasma-assisted combustion, ultrafast laser diagnostics and computational fluid dynamics. </t>
  </si>
  <si>
    <t>mproving the performance of aerospace propulsion systems using tools such as plasma-assisted combustion, ultrafast laser diagnostics , computational fluid dynamics</t>
  </si>
  <si>
    <t>Doug Fankell</t>
  </si>
  <si>
    <t>Douglas.Fankell@colostate.edu</t>
  </si>
  <si>
    <t xml:space="preserve">Dr. Fankell specializes in mechanics of materials, non-linear analysis, and design. He earned his Ph.D. in 2017 by developing non-linear, multi-phasic finite element models to aid in medical device design.
</t>
  </si>
  <si>
    <t>mechanics of materials, non-linear analysis, design, He earned his Ph,D, in 2017 by developing non-linear, multi-phasic finite element models to aid in medical device design</t>
  </si>
  <si>
    <t>Soheil Fatehiboroujeni</t>
  </si>
  <si>
    <t>S.Fatehiboroujeni@colostate.edu</t>
  </si>
  <si>
    <t>Expertise and skill acquisition in engineering
Engineering design education and philosophy
Computational and nonlinear dynamics
Biomimetic applications of active filaments</t>
  </si>
  <si>
    <t>Expertise , skill acquisition in engineering,
Engineering design education , philosophy,
Computational , nonlinear dynamics,
Biomimetic applications of active filaments</t>
  </si>
  <si>
    <t>Ben Gadomski</t>
  </si>
  <si>
    <t>ben.gadomski@colostate.edu</t>
  </si>
  <si>
    <t>Translational Medicine
Medical Devices</t>
  </si>
  <si>
    <t>Translational Medicine,
Medical Devices</t>
  </si>
  <si>
    <t>Soham Ghosh</t>
  </si>
  <si>
    <t>Soham.Ghosh@colostate.edu</t>
  </si>
  <si>
    <t>Stem Cell Engineering
Mechanobiology
Epigenetics</t>
  </si>
  <si>
    <t>Stem Cell Engineering,
Mechanobiology,
Epigenetics</t>
  </si>
  <si>
    <t>Xinfeng Gao</t>
  </si>
  <si>
    <t>Xinfeng.Gao@colostate.edu</t>
  </si>
  <si>
    <t>High-Order CFD Algorithms
Data Assimilation Algorithms for Fluid Dynamical Systems
Parallel Algorithms in Space and Time
Computational Modeling and Simulations of Aerospace Propulsion Systems
AI-Driven / AI-Accelerated CFD</t>
  </si>
  <si>
    <t>High-Order CFD Algorithms,
Data Assimilation Algorithms for Fluid Dynamical Systems,
Parallel Algorithms in Space , Time,
Computational Modeling , Simulations of Aerospace Propulsion Systems,
AI-Driven / AI-Accelerated CFD</t>
  </si>
  <si>
    <t>$602 per credit (in-state, full-time)</t>
  </si>
  <si>
    <t>soham.ghosh@colostate.edu</t>
  </si>
  <si>
    <t>Stephen Guzik</t>
  </si>
  <si>
    <t>stephen.guzik@colostate.edu</t>
  </si>
  <si>
    <t>High-Speed Shock-Driven Combustion
Shock/Turbulence Interaction and Modeling
High-Order Algorithms for Partial Differential Equations (PDEs)
Software Infrastructure Such as Adaptive Mesh Refinement (AMR) For Solving PDEs
Parallel Implementations on Specialized Processors/Accelerators</t>
  </si>
  <si>
    <t>High-Speed Shock-Driven Combustion,
Shock/Turbulence Interaction , Modeling,
High-Order Algorithms for Partial Differential Equations (PDEs),
Software Infrastructure Such as Adaptive Mesh Refinement (AMR),
Parallel Implementations on Specialized Processors/Accelerators</t>
  </si>
  <si>
    <t>Susan James</t>
  </si>
  <si>
    <t>susan.james@colostate.edu</t>
  </si>
  <si>
    <t>Biomedical Engineering, Polymeric materials
Orthopaedic Biomaterials, Joint Replacements
Regenerative Medicine/Tissue Engineering
Cardiac Biomaterials and Medical Devices</t>
  </si>
  <si>
    <t>Biomedical Engineering, Polymeric materials,
Orthopaedic Biomaterials, Joint Replacements,
Regenerative Medicine/Tissue Engineering,
Cardiac Biomaterials , Medical Devices</t>
  </si>
  <si>
    <t>Shantanu Jathar</t>
  </si>
  <si>
    <t>shantanu.jathar@colostate.edu</t>
  </si>
  <si>
    <t>Emissions Formation and Control
Secondary Aerosol Chemistry
Air Quality and Climate Modeling
Low-Cost Environmental Sensors</t>
  </si>
  <si>
    <t>Emissions Formation , Control,
Secondary Aerosol Chemistry,
Air Quality , Climate Modeling,
Low-Cost Environmental Sensors</t>
  </si>
  <si>
    <t>Christian L'Orange</t>
  </si>
  <si>
    <t>christian.lorange@colostate.edu</t>
  </si>
  <si>
    <t>Air Quality Monitoring
Low-Cost Sensors
Engineering for Public Health
Household Energy Systems
Energy Access in The Developing World</t>
  </si>
  <si>
    <t>Air Quality Monitoring,
Low-Cost Sensors,
Engineering for Public Health,
Household Energy Systems,
Energy Access in The Developing World</t>
  </si>
  <si>
    <t>Kevin Labus</t>
  </si>
  <si>
    <t>Kevin.Labus@colostate.edu</t>
  </si>
  <si>
    <t>Orthopaedic Biomechanics
Fracture Healing Diagnostics
Soft Tissue Mechanics
Pre-CP Medical Device Testing</t>
  </si>
  <si>
    <t>Orthopaedic Biomechanics,
Fracture Healing Diagnostics,
Soft Tissue Mechanics,
Pre-CP Medical Device Testing</t>
  </si>
  <si>
    <t>Kaka Ma</t>
  </si>
  <si>
    <t>kaka.ma@colostate.edu</t>
  </si>
  <si>
    <t xml:space="preserve">Powder Metallurgy
Electronic Materials
Additive Manufacturing
Sustainable Materials Engineering
Multiple Scale Mechanical Testing </t>
  </si>
  <si>
    <t xml:space="preserve">Powder Metallurgy,
Electronic Materials,
Additive Manufacturing,
Sustainable Materials Engineering,
Multiple Scale Mechanical Testing </t>
  </si>
  <si>
    <t>Kirk McGilvray</t>
  </si>
  <si>
    <t>Kirk.McGilvray@colostate.edu</t>
  </si>
  <si>
    <t>Trauma and Disease of the Musculoskeletal System
Fracture Healing Prediction
Rotator Cuff Degeneration and Repair
Translational Medicine
PreCP Model Development
Biomaterial Assessment
Orthopaedic Device R&amp;D</t>
  </si>
  <si>
    <t>Trauma , Disease of the Musculoskeletal System,
Fracture Healing Prediction,
Rotator Cuff Degeneration , Repair,
Translational Medicine,
PreCP Model Development,
Biomaterial Assessment,
Orthopaedic Device R&amp;D</t>
  </si>
  <si>
    <t>Amit Munshi</t>
  </si>
  <si>
    <t>amit.munshi@colostate.edu</t>
  </si>
  <si>
    <t>Dr. Munshi’s research and teaching interests have a strong focus on thin film and surface treatment with specialization in materials science and engineering as well as process development in this area.</t>
  </si>
  <si>
    <t xml:space="preserve"> surface treatment with specialization in materials science , engineering as well as process development in this area</t>
  </si>
  <si>
    <t>Reza Nazemi</t>
  </si>
  <si>
    <t>reza.nazemi@colostate.edu</t>
  </si>
  <si>
    <t>His research at CSU focuses on challenges Associated with renewable energy utilization, storage, and transport. His grouPaims to contribute to future electrification, decarbonization, and sustainability of various modern industries, including transportation, chemical, and wastewater treatment, with positive social and economic outcomes.</t>
  </si>
  <si>
    <t>renewable energy utilization, storage, transport</t>
  </si>
  <si>
    <t>Daniel Olsen</t>
  </si>
  <si>
    <t>daniel.olsen@colostate.edu</t>
  </si>
  <si>
    <t>His research grouPcarries out research and development on industrial engine systems for applications such as power generation and gas compression.</t>
  </si>
  <si>
    <t>development on industrial engine systems for applications such as power generation , gas compression,</t>
  </si>
  <si>
    <t>Ketul Popat</t>
  </si>
  <si>
    <t>ketul.popat@colostate.edu</t>
  </si>
  <si>
    <t>Titanium Nanomaterials for Orthopedic Implants
Blood-Contacting Biomaterials for Cardiovascular Medical Devices
Superhydrophobic and Superhydrophilic Surfaces for Blood Contacting Materials
Polymeric Nanostructured Surfaces for Tissue Engineering Applications 
Novel Alloys and Surface Treatments or Implants Applications</t>
  </si>
  <si>
    <t>Titanium Nanomaterials for Orthopedic Implants,
Blood-Contacting Biomaterials for Cardiovascular Medical Devices,
Superhydrophobic , Superhydrophilic Surfaces for Blood Contacting Materials,
Polymeric Nanostructured Surfaces for Tissue Engineering Applications, 
Novel Alloys , Surface Treatments or Implants Applications,</t>
  </si>
  <si>
    <t>David Prawel</t>
  </si>
  <si>
    <t>david.prawel@colostate.edu</t>
  </si>
  <si>
    <t>We develoPorthopedic biomaterials and implantable devices to improve and accelerate bone regeneration and healing, with a particular focus on CP treatment of critical defects.
Our biomaterials research involves engineering and fabrication (3D printing) of complex, patient-specific scaffold structures using photopolymeric ceramics.
We also develoPimplantable, biodegradable devices to support and protect the scaffolds in load bearing and accelerate the healing process.
We focus on CP and translational research that has the potential to address current challenges in human healthcare. CP applications for our work include treatment of significant bone loss due to trauma and bone cancer.</t>
  </si>
  <si>
    <t xml:space="preserve">Wbiomaterials , implantable devices to improve , accelerate bone regeneration , healing, with a particular focus on CP treatment of critical defects, fabrication (3D printing) of complex, patient-specific scaffold structures using photopolymeric ceramics,
</t>
  </si>
  <si>
    <r>
      <rPr>
        <sz val="10"/>
        <color rgb="FF000000"/>
        <rFont val="Arial"/>
        <family val="2"/>
      </rPr>
      <t xml:space="preserve">Head - </t>
    </r>
    <r>
      <rPr>
        <u/>
        <sz val="10"/>
        <color rgb="FF000000"/>
        <rFont val="Arial"/>
        <family val="2"/>
      </rPr>
      <t>Christian Puttlitz</t>
    </r>
  </si>
  <si>
    <t>christian.puttlitz@colostate.edu</t>
  </si>
  <si>
    <t>Orthopaedic Biomechanics
Experimental techniques, animal models and computation techniques to investigate orthopaedic conditions and their treatments
Current research includes
3D printing for fibrocartilage regeneration (intervertebral disc and temporomandibular joint)
Prediction of fracture healing
Mechanobiology of orthopaedic soft tissues
Cell-free tissue engineering (exosomes)</t>
  </si>
  <si>
    <t>Orthopaedic Biomechanics,
Experimental techniques, animal models , computation techniques to investigate orthopaedic conditions , their treatments
Current research includes,
3D printing for fibrocartilage regeneration (intervertebral disc , temporom,ibular joint),
Prediction of fracture healing,
Mechanobiology of orthopaedic soft tissues,
Cell-free tissue engineering (exosomes),</t>
  </si>
  <si>
    <t>Jason Quinn</t>
  </si>
  <si>
    <t>jason.quinn@colostate.edu</t>
  </si>
  <si>
    <t>Techno-Economic Viability of Emerging Technologies
Life Cycle Assessment of Emerging Technologies
Fundamental Sustainability Methodology
Microalgae Biofuel Systems
Energy System Evaluation and Optimization</t>
  </si>
  <si>
    <t>Techno-Economic Viability of Emerging Technologies,
Life Cycle Assessment of Emerging Technologies,
Fundamental Sustainability Methodology,
Microalgae Biofuel Systems,
Energy System Evaluation , Optimization,</t>
  </si>
  <si>
    <t>Donald Radford</t>
  </si>
  <si>
    <t>donald.radford@colostate.edu</t>
  </si>
  <si>
    <t>Process Induced Distortion in Composites
Viscoelastic Constitutive Modeling
Advanced Polymer Processing
Polymer Foam
Damage Assessment and Repair of Composites and High Temperature Composites</t>
  </si>
  <si>
    <t>Process Induced Distortion in Composites
Viscoelastic Constitutive Modeling
Advanced Polymer Processing
Polymer Foam
Damage Assessment , Repair of Composites , High Temperature Composites</t>
  </si>
  <si>
    <t>Bonnie Roberts</t>
  </si>
  <si>
    <t>Bonnie.Roberts@colostate.edu</t>
  </si>
  <si>
    <t>Allen Robinson</t>
  </si>
  <si>
    <t>Allen.Robinson@colostate.edu</t>
  </si>
  <si>
    <t>Walajabad Sampath</t>
  </si>
  <si>
    <t>walajabad.sampath@colostate.edu</t>
  </si>
  <si>
    <t>Sustainable Energy
High Efficiency Photovoltaics
Density Functional Theory
Manufacturing Systems
Applications of Photovoltaics</t>
  </si>
  <si>
    <t>Sustainable Energy,
High Efficiency Photovoltaics,
Density Functional Theory,
Manufacturing Systems,
Applications of Photovoltaics,</t>
  </si>
  <si>
    <t>Mitchell Stansloski</t>
  </si>
  <si>
    <t>Mitchell.Stansloski@colostate.edu</t>
  </si>
  <si>
    <t>Karen Thorsett-Hill</t>
  </si>
  <si>
    <t>Karen.Thorsett-Hill@colostate.edu</t>
  </si>
  <si>
    <t>Aerothermodynamics of High-Speed Flow
General Applications of Fluid Mechanics and Heat Transfer</t>
  </si>
  <si>
    <t>Aerothermodynamics of High-Speed Flow,
General Applications of Fluid Mechanics , Heat Transfer,</t>
  </si>
  <si>
    <t>James Tillotson</t>
  </si>
  <si>
    <t>james.tillotson@colostate.edu</t>
  </si>
  <si>
    <t>Wade Troxell</t>
  </si>
  <si>
    <t>wade.troxell@colostate.edu</t>
  </si>
  <si>
    <t xml:space="preserve">Dr. Troxell investigates organizing principles underlying biological and robotic systems, synthesis of intelligent systems, and applications of intelligent control of distributed systems.
</t>
  </si>
  <si>
    <t>biological , robotic systems, synthesis of intelligent systems, applications of intelligent control of distributed systems</t>
  </si>
  <si>
    <t>John Volckens</t>
  </si>
  <si>
    <t>john.volckens@colostate.edu</t>
  </si>
  <si>
    <t xml:space="preserve">Air Pollution
</t>
  </si>
  <si>
    <t>Air Pollution</t>
  </si>
  <si>
    <t>Zhijie Wang</t>
  </si>
  <si>
    <t>Zhijie.Wang@colostate.edu</t>
  </si>
  <si>
    <t>Cardiovascular Tissue Biomechanics and Mechanobiology
Viscoelasticity of Cardiovascular Tissues
Multi-Scale Biomechanics (from tissue to organ systems)
Tissue Engineering and Regenerative Medicine
PreCP Animal Models and/or Patient Stud</t>
  </si>
  <si>
    <t>Cardiovascular Tissue Biomechanics , Mechanobiology,
Viscoelasticity of Cardiovascular Tissues,
Multi-Scale Biomechanics (from tissue to organ systems),
Tissue Engineering , Regenerative Medicine,
PreCP Animal Models ,/or Patient Stud,</t>
  </si>
  <si>
    <t>Chris Weinberger</t>
  </si>
  <si>
    <t>chris.weinberger@colostate.edu</t>
  </si>
  <si>
    <t>Our research focuses on using analytical and computer models to describe the properties of ceramics, metals and their alloys.</t>
  </si>
  <si>
    <t>analytical , computer models to describe the properties of ceramics, metals ,  alloys</t>
  </si>
  <si>
    <t>John Williams</t>
  </si>
  <si>
    <t>John.D.Williams@colostate.edu</t>
  </si>
  <si>
    <t>Modeling of Erosion Phenomena of Ion Thruster Components
Experimental Evaluation of Plasma and Ion Beam Interactions with Materials for both Aerospace and Terrestrial Applications</t>
  </si>
  <si>
    <t>Modeling of Erosion Phenomena of Ion Thruster Components,Experimental Evaluation of Plasma , Ion Beam Interactions with Materials for both Aerospace , Terrestrial Applications</t>
  </si>
  <si>
    <t>Bryan Willson</t>
  </si>
  <si>
    <t>bryan.willson@colostate.edu</t>
  </si>
  <si>
    <t>His research laboratory, the Engines &amp; Energy Conversion Laboratory, has made important contributions in many areas, including internal combustion engines, oil &amp; gas production technology, advanced electrical grids, advanced biofuels, technology for the developing world, and advanced building technologies.  Dr. Willson has worked in over 40 countries.</t>
  </si>
  <si>
    <t>the Engines &amp; Energy Conversion Laboratory, has made important contributions in many areas, internal combustion engines, oil &amp; gas production technology, advanced electrical grids, advanced biofuels, technology for the developing world, advanced building technologies</t>
  </si>
  <si>
    <t>Bret Windom</t>
  </si>
  <si>
    <t>bret.windom@colostate.edu</t>
  </si>
  <si>
    <t>Combustion
Chemical Energy Conversion
Physiochemical Characterization of Alternative Fuels
Internal Combustion Engines
Laser Based Diagnostics
Propulsion</t>
  </si>
  <si>
    <t>Combustion,
Chemical Energy Conversion,
Physiochemical Characterization of Alternative Fuels,
Internal Combustion Engines,
Laser Based Diagnostics,
Propulsion</t>
  </si>
  <si>
    <t>Sing Wan Wong</t>
  </si>
  <si>
    <t>Sing-Wan.Wong@colostate.edu</t>
  </si>
  <si>
    <t>His primary  is to develoPcell-based therapeutic for various diseases. Dr. Wong’s research aims to engineer mesenchymal stromal/stem cells (MSCs) and tissue progenitor cells through mechanobiological approaches by combining biomaterials design and microfluidic platform.</t>
  </si>
  <si>
    <t>mesenchymal stromal/stem cells (MSCs) , tissue progenitor cells through mechanobiological approaches by combining biomaterials design , microfluidic platform,</t>
  </si>
  <si>
    <t>Azer Yalin</t>
  </si>
  <si>
    <t>azer.yalin@colostate.edu</t>
  </si>
  <si>
    <t>Plasma Engineering, Plasma Propulsion
Laser Induced Plasmas and Their Use for Combustion
Laser Sensing for Security, Environmental, and Health Applications
Trace-Gas Measurements in The Atmosphere (e.g. CH4, NH3)</t>
  </si>
  <si>
    <t>Plasma Engineering, Plasma Propulsion,
Laser Induced Plasmas , Their Use for Combustion,
Laser Sensing for Security, Environmental, Health Applications,
Trace-Gas Measurements in The Atmosphere (e,g, CH4, NH3)</t>
  </si>
  <si>
    <t>Mostafa Yourdkhani</t>
  </si>
  <si>
    <t>mostafa.yourdkhani@colostate.edu</t>
  </si>
  <si>
    <t>Composite Materials
Advance Manufacturing
Multifunctional Materials
Polymer Processing
Polymer Nanocomposites
Experimental Mechanics</t>
  </si>
  <si>
    <t>Composite Materials,
Advance Manufacturing,
Multifunctional Materials,
Polymer Processing,
Polymer Nanocomposites,
Experimental Mechanics</t>
  </si>
  <si>
    <t>Jianguo Zhao</t>
  </si>
  <si>
    <t>zhao@engr.colostate.edu</t>
  </si>
  <si>
    <t>Robotics and Control</t>
  </si>
  <si>
    <t>Robotics, Control</t>
  </si>
  <si>
    <t>New York University (Tandon)</t>
  </si>
  <si>
    <r>
      <rPr>
        <sz val="10"/>
        <color rgb="FF000000"/>
        <rFont val="Arial"/>
        <family val="2"/>
      </rPr>
      <t xml:space="preserve">Chair - </t>
    </r>
    <r>
      <rPr>
        <u/>
        <sz val="10"/>
        <color rgb="FF000000"/>
        <rFont val="Arial"/>
        <family val="2"/>
      </rPr>
      <t>Kurt Becker</t>
    </r>
  </si>
  <si>
    <t>kurt.becker@nyu.edu</t>
  </si>
  <si>
    <t>Atomic, Molecular, and Chemical Physics
Plasma Physics
Development of New Experimental Techniques and Processes</t>
  </si>
  <si>
    <t>Atomic, Molecular, Chemical Physics,
Plasma Physics,
Development of New Experimental Techniques , Processes</t>
  </si>
  <si>
    <t>Dora Angelaki</t>
  </si>
  <si>
    <t>da93@nyu.edu</t>
  </si>
  <si>
    <t>s Circuitry and models of navigation and multi-sensory integration</t>
  </si>
  <si>
    <t>Circuitry , models of navigation , multi-sensory integration</t>
  </si>
  <si>
    <t>S. Farokh Atashzar</t>
  </si>
  <si>
    <t>f.atashzar@nyu.edu</t>
  </si>
  <si>
    <t>s Medical Robotics, NeuroRehabilitation Robotics, Surgical Robotics, DeePBioSignal Processing, Haptics, Smart Prosthetics, Bio-Feedback Systems, Telerobotics, Physical Human-Robot Interaction, Advanced Nonlinear Control Systems, Passivity Control Theory, Small-gain Control Theory, Stability, Adaptive Filters, Machine Learning, AI, Health.</t>
  </si>
  <si>
    <t>Medical Robotics, NeuroRehabilitation Robotics, Surgical Robotics, DeePBioSignal Processing, Haptics, Smart Prosthetics, Bio-Feedback Systems, Telerobotics, Physical Human-Robot Interaction, Advanced Nonlinear Control Systems, Passivity Control Theory, Small-gain Control Theory, Stability, Adaptive Filters, Machine Learning, AI, Health</t>
  </si>
  <si>
    <t>Rakesh Behera</t>
  </si>
  <si>
    <t>rakesh.behera@nyu.edu</t>
  </si>
  <si>
    <t>s Materials for Energy Applications
Computational Materials Science (DFT/MD)
Ferroelectric/Multiferroics
Nuclear Materials
Organic Co-crystals</t>
  </si>
  <si>
    <t>Materials for Energy Applications,
Computational Materials Science (DFT/MD),
Ferroelectric/Multiferroics,
Nuclear Materials,
Organic Co-crystals</t>
  </si>
  <si>
    <t>Joo H. Kim</t>
  </si>
  <si>
    <t>joo.h.kim@nyu.edu</t>
  </si>
  <si>
    <t>• Dynamics and Control
• Optimization
• Robotics
• Biomechanical and Biologically Inspired Systems
• Energetics of Dynamic Systems
• Legged Balance and Gait Stability</t>
  </si>
  <si>
    <t>Dynamics , Control,
Optimization,
Robotics,
Biomechanical , Biologically Inspired Systems,
Energetics of Dynamic Systems,
Legged Balance , Gait Stability</t>
  </si>
  <si>
    <t>Joseph Borowiec</t>
  </si>
  <si>
    <t>borowiec@nyu.edu</t>
  </si>
  <si>
    <t>Finite Element Analysis, Design, Structural Analysis</t>
  </si>
  <si>
    <t>Katepalli Sreenivasan</t>
  </si>
  <si>
    <t>katepalli.sreenivasan@nyu.edu</t>
  </si>
  <si>
    <t>s Primary expertise Fluid mechanics and turbulence. Other interests complex fluids, nonlinear dynamics, nonequilibrium phenomena and cryogenic helium. Emerging interests mathematical modeling of global change and biomechanical phenomena.</t>
  </si>
  <si>
    <t>Fluid mechanics , turbulence, Other interests complex fluids, nonlinear dynamics, nonequilibrium phenomena , cryogenic helium, Emerging interests mathematical modeling of global change , biomechanical phenomena,</t>
  </si>
  <si>
    <t>Sanghoon Lee</t>
  </si>
  <si>
    <t>sh.lee@nyu.edu</t>
  </si>
  <si>
    <t>s Energy system, Power generation system, and Renewable energy system
Linear/Nonlinear Control Discrete-time Feedback Control Mechatronics SMART systems Robotics</t>
  </si>
  <si>
    <t>Energy system, Power generation system, Renewable energy system,
Linear/Nonlinear Control Discrete-time Feedback Control Mechatronics SMART systems Robotics,</t>
  </si>
  <si>
    <t>Weiqiang Chen</t>
  </si>
  <si>
    <t>wchen@nyu.edu</t>
  </si>
  <si>
    <t>s Lab-on-a-Chip, Biosensors, Microphysiological System, Biomaterials, Mechanobiology, Stem cell biology, Cancer Biology, Immune Engineering, Micro/nanobiotechnology, Health</t>
  </si>
  <si>
    <t>Lab-on-a-Chip, Biosensors, Microphysiological System, Biomaterials, Mechanobiology, Stem cell biology, Cancer Biology, Immune Engineering, Micro/nanobiotechnology, Health</t>
  </si>
  <si>
    <t>Nicholas DiZinno</t>
  </si>
  <si>
    <t>dizinno@nyu.edu</t>
  </si>
  <si>
    <t>s High-Speed Aerodynamics
Computational Fluid Dynamics &amp; Heat Transfer
Boundary Layers
Shock Wave Dynamics</t>
  </si>
  <si>
    <t>High-Speed Aerodynamics,
Computational Fluid Dynamics &amp; Heat Transfer,
Boundary Layers,
Shock Wave Dynamics</t>
  </si>
  <si>
    <t>Chen Feng</t>
  </si>
  <si>
    <t>cfeng@nyu.edu</t>
  </si>
  <si>
    <t>s Robot Vision and Machine Learning, Photogrammetry and Remote Sensing, Augmented and Virtual Reality, with applications in Civil and Mechanical Engineering.</t>
  </si>
  <si>
    <t>Robot Vision , Machine Learning, Photogrammetry , Remote Sensing, Augmented , Virtual Reality, with applications in Civil , Mechanical Engineering,</t>
  </si>
  <si>
    <t>George Vradis</t>
  </si>
  <si>
    <t>gvradis@nyu.edu</t>
  </si>
  <si>
    <t xml:space="preserve">s Computational fluid dynamics and heat transfer Non-Newtonian flows Flow measurement Combustion Energy systems
</t>
  </si>
  <si>
    <t xml:space="preserve">Computational fluid dynamics , heat transfer Non-Newtonian flows Flow measurement Combustion Energy systems
</t>
  </si>
  <si>
    <t>$2,102 per credit (full-time)</t>
  </si>
  <si>
    <t>Vikram Kapila</t>
  </si>
  <si>
    <t>vkapila@nyu.edu</t>
  </si>
  <si>
    <t xml:space="preserve">s Research at the convergence of frontier technologies (robotics, augmented/virtual/mixed-reality, artificial intelligence, and blockchain) with applications to intuitive and natural human-robot interactions, digital health, and STEM education. Other s include K-12 STEM education, mechatronics, smart sensors, engineering applications of chaos, cooperative control, distributed spacecraft formation control, linear/nonlinear control with applications to robust control, saturation control, and time-delay systems, closed-looPinput shaping, and spacecraft attitude control.
</t>
  </si>
  <si>
    <t xml:space="preserve">Research at the convergence of frontier technologies (robotics, augmented/virtual/mixed-reality, artificial intelligence, blockchain) with applications to intuitive , natural human-robot interactions, digital health, STEM education, Other s include K-12 STEM education, mechatronics, smart sensors, engineering applications of chaos, cooperative control, distributed spacecraft formation control, linear/nonlinear control with applications to robust control, saturation control, time-delay systems, closed-looPinput shaping, spacecraft attitude control
</t>
  </si>
  <si>
    <t>Nikhil Gupta</t>
  </si>
  <si>
    <t>ngupta@nyu.edu</t>
  </si>
  <si>
    <t>s Cybersecurity in manufacturing design based security, product authentication methods, anti-reverse engineering technologies.
Additive manufacturing of complex and composite materials.
Materials characterization methods under dynamic loading.
Sensing of damage and structural health monitoring.</t>
  </si>
  <si>
    <t>Cybersecurity in manufacturing design based security, product authentication methods, anti-reverse engineering technologies,
Additive manufacturing of complex , composite materials,
Materials characterization methods under dynamic loading,
Sensing of damage , structural health monitoring,</t>
  </si>
  <si>
    <t>Iskender Sahin</t>
  </si>
  <si>
    <t>iskender.sahin@nyu.edu</t>
  </si>
  <si>
    <t>s Fluid Mechanics
Heat Transfer
Marine Hydrodynamics
CFD
Numerical Methods
Stability and Transition.</t>
  </si>
  <si>
    <t>Fluid Mechanics,
Heat Transfer,
Marine Hydrodynamics,
CFD,
Numerical Methods,
Stability , Transition</t>
  </si>
  <si>
    <t>Nialah Wilson-Small</t>
  </si>
  <si>
    <t>njw3673@nyu.edu</t>
  </si>
  <si>
    <t xml:space="preserve">s Robotics, human-robot interaction, uavs, accessibility
</t>
  </si>
  <si>
    <t>Robotics, human-robot interaction, uavs, accessibility</t>
  </si>
  <si>
    <t>Dũng (Dzung) Luong</t>
  </si>
  <si>
    <t>ddl268@nyu.edu</t>
  </si>
  <si>
    <t>s Light-weight Composite Materials
Material Characterization
Finite Element Method</t>
  </si>
  <si>
    <t>Light-weight Composite Materials,
Material Characterization,
Finite Element Method</t>
  </si>
  <si>
    <t>Ludovic Righetti</t>
  </si>
  <si>
    <t>ludovic.righetti@nyu.edu</t>
  </si>
  <si>
    <t>s Robotics and applications, optimal control, reinforcement learning, robotics societal/ethical issues, legged robots, robotic manipulation</t>
  </si>
  <si>
    <t>Robotics , applications, optimal control, reinforcement learning, robotics societal/ethical issues, legged robots, robotic manipulation</t>
  </si>
  <si>
    <t>Arezoo Hajesfandiari</t>
  </si>
  <si>
    <t>ah6054@nyu.edu</t>
  </si>
  <si>
    <t>s fluid mechanics theory, computational and applied mechanics</t>
  </si>
  <si>
    <t>fluid mechanics theory, computational , applied mechanics</t>
  </si>
  <si>
    <t>Oregon State University</t>
  </si>
  <si>
    <t>Mechanical and Industrial</t>
  </si>
  <si>
    <t>$15,570 per year (in-state, full-time)</t>
  </si>
  <si>
    <t>University of Central Florida</t>
  </si>
  <si>
    <t>Mitra Akhtari</t>
  </si>
  <si>
    <t>mitra.akhtarizavareh@ucf.edu</t>
  </si>
  <si>
    <t>Yuanli Bai</t>
  </si>
  <si>
    <t>yuanli.bai@ucf.edu</t>
  </si>
  <si>
    <t>Mechanics of materials
Computational mechanics
Plasticity and fracture
Lightweight design and metal sheet forming
Structural impact and vehicle crashworthiness</t>
  </si>
  <si>
    <t>Mechanics of materials,
Computational mechanics,
Plasticity , fracture,
Lightweight design , metal sheet forming,
Structural impact , vehicle crashworthiness</t>
  </si>
  <si>
    <t>Pelin Berik Giwa</t>
  </si>
  <si>
    <t>pelin.berikgiwa@ucf.edu</t>
  </si>
  <si>
    <t>Piezoelectric transducers
Nanotechnology applications in aerospace
Experimental benchmarking
Finite element simulations</t>
  </si>
  <si>
    <t>Piezoelectric transducers,
Nanotechnology applications in aerospace,
Experimental benchmarking,
Finite element simulations,</t>
  </si>
  <si>
    <t>Hyoung Jin "Joe" Cho</t>
  </si>
  <si>
    <t>hjcho@ucf.edu</t>
  </si>
  <si>
    <t>Micro-electro-mechanical systems (MEMS)
Sensors
Actuators
Microfluidics
Microfabrication
Nanotechnology</t>
  </si>
  <si>
    <t>Micro-electro-mechanical systems (MEMS),
Sensors,
Actuators,
Microfluidics,
Microfabrication,
Nanotechnology</t>
  </si>
  <si>
    <t>Tuhin Das</t>
  </si>
  <si>
    <t>tuhin.das@ucf.edu</t>
  </si>
  <si>
    <t>Dynamics and control
Robust control
Nonlinear systems
Sensing
Energy systems
Dynamic modeling and simulation
Real time simulation
Hybrid fuel cells
Wind energy
Power plants</t>
  </si>
  <si>
    <t>Dynamics , control,
Robust control,
Nonlinear systems,
Sensing,
Energy systems,
Dynamic modeling , simulation,
Real time simulation,
Hybrid fuel cells,
Wind energy,
Power plants</t>
  </si>
  <si>
    <t>Vlad Ivashyn</t>
  </si>
  <si>
    <t>vlad.ivashyn@ucf.edu</t>
  </si>
  <si>
    <t>Sagnik Mazumdar</t>
  </si>
  <si>
    <t>sagnik.mazumdar@ucf.edu</t>
  </si>
  <si>
    <t>Computational fluid dynamics 
Fluid mechanics
Heat transfer
Modeling and analysis of issues in indoor and outdoor environments
Energy systems
HVAC-R systems</t>
  </si>
  <si>
    <t>Computational fluid dynamics ,
Fluid mechanics,
Heat transfer,
Modeling , analysis of issues in indoor , outdoor environments,
Energy systems,
HVAC-R systems</t>
  </si>
  <si>
    <t>Nina Orlovskaya</t>
  </si>
  <si>
    <t>nina.orlovskaya@ucf.edu</t>
  </si>
  <si>
    <t>Ceramics and ceramic composites
Mechanical properties
Raman spectroscopy
Energy conversion
Ceramic processing</t>
  </si>
  <si>
    <t>Ceramics , ceramic composites,
Mechanical properties,
Raman spectroscopy,
Energy conversion,
Ceramic processing,</t>
  </si>
  <si>
    <t>Joon-Hyuk Park</t>
  </si>
  <si>
    <t>joonpark@ucf.edu</t>
  </si>
  <si>
    <t>Robotics and mechatronics
Wearable assistive and rehabilitative devices
Human-robot interactions and adaptive control
Experimental human movement biomechanics
Statistical and learning-based models for human intention/state detection</t>
  </si>
  <si>
    <t>Robotics , mechatronics,
Wearable assistive , rehabilitative devices,
Human-robot interactions , adaptive control,
Experimental human movement biomechanics,
Statistical , learning-based models for human intention/state detection</t>
  </si>
  <si>
    <r>
      <rPr>
        <sz val="10"/>
        <color rgb="FF000000"/>
        <rFont val="Arial"/>
        <family val="2"/>
      </rPr>
      <t xml:space="preserve">Chair - </t>
    </r>
    <r>
      <rPr>
        <u/>
        <sz val="10"/>
        <color rgb="FF000000"/>
        <rFont val="Arial"/>
        <family val="2"/>
      </rPr>
      <t>Yoav Peles</t>
    </r>
  </si>
  <si>
    <t>yoav.peles@ucf.edu</t>
  </si>
  <si>
    <t>Thermofluids
Heat transfer
Micro scale
Phase change</t>
  </si>
  <si>
    <t>Thermofluids,
Heat transfer,
Micro scale,
Phase change</t>
  </si>
  <si>
    <t>Shawn Putnam</t>
  </si>
  <si>
    <t>shawn.putnam@ucf.edu</t>
  </si>
  <si>
    <t>Interfacial heat and mass transport
Optical diagnostics
Phase-change
Alternative energy
Biosensors</t>
  </si>
  <si>
    <t>Interfacial heat , mass transport,
Optical diagnostics,
Phase-change,
Alternative energy,
Biosensors</t>
  </si>
  <si>
    <t>Wen Shen</t>
  </si>
  <si>
    <t>wen.shen@ucf.edu</t>
  </si>
  <si>
    <t>$288 per credit (in-state, full-time)</t>
  </si>
  <si>
    <t>Mark Steiner</t>
  </si>
  <si>
    <t>mark.steiner@ucf.edu</t>
  </si>
  <si>
    <t>Tian Tian</t>
  </si>
  <si>
    <t>tian.tian@ucf.edu</t>
  </si>
  <si>
    <t>Thermo property measurement
Heat transfer
Thermal fluids
Inverse problems
Engineering education with a focus on project-based learning, computer-based assessment and blended learning</t>
  </si>
  <si>
    <t>Thermo property measurement,
Heat transfer,
Thermal fluids,
Inverse problems,
Engineering education with a focus on project-based learning, computer-based assessment , blended learning</t>
  </si>
  <si>
    <t>Dazhong Wu</t>
  </si>
  <si>
    <t>dazhong.wu@ucf.edu</t>
  </si>
  <si>
    <t>Data-driven prognostics and health management
Artificial intelligence-enabled smart manufacturing
Additive manufacturing
Engineering design
Obsolescence risk management and product lifecycle forecasting</t>
  </si>
  <si>
    <t>Data-driven prognostics , health management,
Artificial intelligence-enabled smart manufacturing,
Additive manufacturing,
Engineering design,
Obsolescence risk management , product lifecycle forecasting</t>
  </si>
  <si>
    <t>University of Cincinnati</t>
  </si>
  <si>
    <r>
      <rPr>
        <u/>
        <sz val="10"/>
        <color rgb="FF000000"/>
        <rFont val="Arial"/>
        <family val="2"/>
      </rPr>
      <t>Ying Sun</t>
    </r>
    <r>
      <rPr>
        <sz val="10"/>
        <color rgb="FF000000"/>
        <rFont val="Arial"/>
        <family val="2"/>
      </rPr>
      <t xml:space="preserve"> (Department head)</t>
    </r>
  </si>
  <si>
    <t>sunyg@ucmail.uc.edu</t>
  </si>
  <si>
    <t xml:space="preserve">Multiphase flows and heat/mass transport
Machine learning and data-driven methods
Transport phenomena in additive manufacturing
Multi-scale modeling in energy systems
Thermal management with phase change
Complex fluids and interfacial phenomena
</t>
  </si>
  <si>
    <t xml:space="preserve">Multiphase flows , heat/mass transport,
Machine learning , data-driven methods,
Transport phenomena in additive manufacturing,
Multi-scale modeling in energy systems,
Thermal management with phase change,
Complex fluids , interfacial phenomena
</t>
  </si>
  <si>
    <t>Mechanical &amp; Materials Engineering</t>
  </si>
  <si>
    <t>Michael J Alexander-Ramos</t>
  </si>
  <si>
    <t>alexanmj@ucmail.uc.edu</t>
  </si>
  <si>
    <t xml:space="preserve">Multidisciplinary design modeling and optimization, decomposition-based system design optimization, surrogate modeling/metamodeling in engineering analysis and design, automotive systems design, electric/hybrid-electric vehicle design, dynamic systems modeling, structural design
</t>
  </si>
  <si>
    <t>Multidisciplinary design modeling , optimization, decomposition-based system design optimization, surrogate modeling/metamodeling in engineering analysis , design, automotive systems design, electric/hybrid-electric vehicle design, dynamic systems modeling, structural design</t>
  </si>
  <si>
    <t>Sam Anand</t>
  </si>
  <si>
    <t>anands@ucmail.uc.edu</t>
  </si>
  <si>
    <t>Additive Manufacturing (AM)/ Layered Manufacturing (LM)
Optimization of Manufacturing Processes &amp; Systems
Precision Engineering
Tolerancing &amp; Computational Metrology
Design &amp; Product Life Cycle Management</t>
  </si>
  <si>
    <t>Additive Manufacturing (AM)/ Layered Manufacturing (LM),
Optimization of Manufacturing Processes &amp; Systems,
Precision Engineering,
Tolerancing &amp; Computational Metrology,
Design &amp; Product Life Cycle Management</t>
  </si>
  <si>
    <t>Je-Hyeong Bahk</t>
  </si>
  <si>
    <t>bahkjg@ucmail.uc.edu</t>
  </si>
  <si>
    <t>•  Human body-heat energy harvesting
•  Thermoelectric materials, devices, and systems
•  Thermoelectric air conditioning system
•  Wearable/flexible electronics
•  Nano-scale electron/thermal transport physics 
•  Nano- and micro-scale device fabrication and characterization
•  Heat transfer, fluid mechanics</t>
  </si>
  <si>
    <t>Human body-heat energy harvesting,
Thermoelectric materials, devices, systems,
Thermoelectric air conditioning system,
Wearable/flexible electronics,
Nano-scale electron/thermal transport physics,
Nano- , micro-scale device fabrication , characterization,
Heat transfer, fluid mechanics</t>
  </si>
  <si>
    <t>#110 - Best Engineering Schools</t>
  </si>
  <si>
    <t>Kishan Bellur</t>
  </si>
  <si>
    <t>bellurkn@ucmail.uc.edu</t>
  </si>
  <si>
    <t>Dr. Bellur's research is focused on liquid-vapor phase change and Associated interfacial phenomena. He is primarily interested in multi-scale modeling and visualization of transport phenomena at (1) micro-/nano- scales, (2) cryogenic temperatures, and (3) reduced-gravity. Other interests include, but are not limited to, capillary phenomena, micro-scale thermophysics, cryogenic heat and mass transfer, two-phase flow, optical characterization, interferometry, surface plasmon resonance imaging, image processing, computational fluid dynamics, molecular dynamics, scientific and high performance computing.</t>
  </si>
  <si>
    <t>liquid-vapor phase change , Associated interfacial phenomena, He is primarily interested in multi-scale modeling , visualization of transport phenomena at micro-/nano- scales, cryogenic temperatures,  reduced-gravity</t>
  </si>
  <si>
    <t>Janet Jiaxiang Dong</t>
  </si>
  <si>
    <t>dongjg@ucmail.uc.edu</t>
  </si>
  <si>
    <t xml:space="preserve">Product design and development, manufacturing processes and technology, control and automation, robotics, robotic cell design and integration, autonomous vehicles and mobile robots, and intelligent robotic systems. 
</t>
  </si>
  <si>
    <t>Product design , development, manufacturing processes , technology, control , automation, robotics, robotic cell design , integration, autonomous vehicles , mobile robots, intelligent robotic systems</t>
  </si>
  <si>
    <t>Ahmed Elgafy</t>
  </si>
  <si>
    <t>elgafya@ucmail.uc.edu</t>
  </si>
  <si>
    <t>Are focused on the areas of nanotechnology and thermal fluid Sciences to develoPnanocomposites and advanced materials for thermal management and energy conversion/storage systems for terrestrial and space applications. Additionally, educational researches that aim to establish and assess engineering curricula are conducted.</t>
  </si>
  <si>
    <t>nanotechnology , thermal fluid Sciences to develoPnanocomposites , advanced materials for thermal management , energy conversion/storage systems for terrestrial , space applications, Additionally, educational researches that aim to establish , assess engineering curricula are conducted</t>
  </si>
  <si>
    <t>Aimee Frame</t>
  </si>
  <si>
    <t>framea@ucmail.uc.edu</t>
  </si>
  <si>
    <t>Frank M Gerner</t>
  </si>
  <si>
    <t>gernerfm@ucmail.uc.edu</t>
  </si>
  <si>
    <t>Thomas Richard Huston</t>
  </si>
  <si>
    <t>hustontr@ucmail.uc.edu</t>
  </si>
  <si>
    <t>Xiaodong Jia</t>
  </si>
  <si>
    <t>jiaxg@ucmail.uc.edu</t>
  </si>
  <si>
    <t>- Smart Manufacturing and Maintenance
- Advanced Process Control (APC)
- Machine Learning and Data Mining
- Data-driven Modeling and Intelligent Systems
- Prognostics and Health Management (PHM)</t>
  </si>
  <si>
    <t>Smart Manufacturing , Maintenance,
Advanced Process Control (APC),
Machine Learning , Data Mining,
Data-driven Modeling , Intelligent Systems,
Prognostics , Health Management (PHM)</t>
  </si>
  <si>
    <t>Milind A. Jog</t>
  </si>
  <si>
    <t>jogma@ucmail.uc.edu</t>
  </si>
  <si>
    <t>Liquid Atomization and Spray Systems
Interfacial Phenomena and Phase Change Heat Transfer
Computational Fluid Mechanics, Heat and Mass Transfer
Plasma Heat Transfer
Heat Transfer Enhancement</t>
  </si>
  <si>
    <t>Liquid Atomization , Spray Systems,
Interfacial Phenomena , Phase Change Heat Transfer,
Computational Fluid Mechanics, Heat , Mass Transfer,
Plasma Heat Transfer,
Heat Transfer Enhancement</t>
  </si>
  <si>
    <t>$13,224 per year (in-state, full-time)</t>
  </si>
  <si>
    <t>Jay Kim</t>
  </si>
  <si>
    <t>kimj@ucmail.uc.edu</t>
  </si>
  <si>
    <t xml:space="preserve">His research and teaching interests are vibration of structures, rotordynamics, acoustics, noise and vibration controls, and engineerng education. </t>
  </si>
  <si>
    <t>teaching interests are vibration of structures, rotordynamics, acoustics, noise , vibration controls, engineerng education</t>
  </si>
  <si>
    <t>Woo Kyun Kim</t>
  </si>
  <si>
    <t>kimwu@ucmail.uc.edu</t>
  </si>
  <si>
    <t>Manish Kumar</t>
  </si>
  <si>
    <t>kumarmu@ucmail.uc.edu</t>
  </si>
  <si>
    <t>Dr. Kumar's s include Unmanned Aerial Vehicles, robotics, decision-making and control in complex systems, multi-sensor data fusion, swarm systems, and multiple robot coordination and control.</t>
  </si>
  <si>
    <t>Unmanned Aerial Vehicles, robotics, decision-making , control in complex systems, multi-sensor data fusion, swarm systems, multiple robot coordination , control</t>
  </si>
  <si>
    <t>Raj M Manglik</t>
  </si>
  <si>
    <t>manglirm@ucmail.uc.edu</t>
  </si>
  <si>
    <t>His broad research and educational interests include Interfacial phenomena, molecular dynamics of surface-active self-assembled biomolecules and polymers, micro-scale processes, boiling heat transfer, thermal processing of polymeric materials and non-Newtonian fluids, multi-sale (molecular-nano-micro-macro-scales) analysis, enhancement of hea transfer, biological thermal-fluids systems, bubbling and droplet-surface dynamics, compact heat exchangers, micro-electronic coolin, experimental tehniques, and computational modeling and CFD.</t>
  </si>
  <si>
    <t>Interfacial phenomena, molecular dynamics of surface-active self-assembled biomolecules , polymers, micro-scale processes, boiling heat transfer, thermal processing of polymeric materials , non-Newtonian fluids, multi-sale (molecular-nano-micro-macro-scales) analysis, enhancement of hea transfer, biological thermal-fluids systems, bubbling , droplet-surface dynamics, compact heat exchangers, micro-electronic coolin, experimental tehniques, computational modeling , CFD</t>
  </si>
  <si>
    <t>Allyn W. Phillips</t>
  </si>
  <si>
    <t>philliaw@ucmail.uc.edu</t>
  </si>
  <si>
    <t>Mark J Schulz</t>
  </si>
  <si>
    <t>schulzmk@ucmail.uc.edu</t>
  </si>
  <si>
    <t>Jing Shi</t>
  </si>
  <si>
    <t>shij3@ucmail.uc.edu</t>
  </si>
  <si>
    <t>Sang Young Son</t>
  </si>
  <si>
    <t>sons@ucmail.uc.edu</t>
  </si>
  <si>
    <t>Henry Spitz</t>
  </si>
  <si>
    <t>spitzh@ucmail.uc.edu</t>
  </si>
  <si>
    <t>Murali Sundaram</t>
  </si>
  <si>
    <t>sundarmi@ucmail.uc.edu</t>
  </si>
  <si>
    <t>His s include Additive Manufacturing, Nano-Manufacturing, Nontraditional Machining, Micromachining, Hybrid Machining, CAD/CAM, Metrology and Process Simulation. Dr. Sundaram is advising/ has co-advised over 25 graduate students (including 6 Ph.D. students) and several undergraduate students.</t>
  </si>
  <si>
    <t>Additive Manufacturing, Nano-Manufacturing, Nontraditional Machining, Micromachining, Hybrid Machining, CAD/CAM, Metrology , Process Simulation</t>
  </si>
  <si>
    <t>Ala Tabiei</t>
  </si>
  <si>
    <t>tabieia@ucmail.uc.edu</t>
  </si>
  <si>
    <t xml:space="preserve">Impact dynamics. Isotropic and anisotropic material modeling for extreme deformation, high rate of loading, and harsh environment. Material strength and experimental evaluation. Computational mechanics. 3-D nonlinear FE code development.
</t>
  </si>
  <si>
    <t>Impact dynamics, Isotropic , anisotropic material modeling for extreme deformation, high rate of loading, harsh environment, Material strength , experimental evaluation, Computational mechanics, 3-D nonlinear FE code development</t>
  </si>
  <si>
    <t>David F Thompson</t>
  </si>
  <si>
    <t>thompsdf@ucmail.uc.edu</t>
  </si>
  <si>
    <t>Sarah June Watzman</t>
  </si>
  <si>
    <t>watzmasj@ucmail.uc.edu</t>
  </si>
  <si>
    <t>thermoelectric transport
thermomagnetic transport
thermal energy conversion
topological materials
materials/devices for energy conversion</t>
  </si>
  <si>
    <t>thermoelectric transport,
thermomagnetic transport,
thermal energy conversion,
topological materials,
materials/devices for energy conversion</t>
  </si>
  <si>
    <t>Yongfeng Xu</t>
  </si>
  <si>
    <t>xu2yf@ucmail.uc.edu</t>
  </si>
  <si>
    <t>Dr. Xu's research is centered around structural dynamics and vibrations, metamaterials, non-destructive evaluation, modal analysis, computer vision, finite element modeling, structural health monitoring, and digital signal processing.</t>
  </si>
  <si>
    <t>structural dynamics , vibrations, metamaterials, non-destructive evaluation, modal analysis, computer vision, finite element modeling, structural health monitoring, digital signal processing</t>
  </si>
  <si>
    <t>Rupak K. Banerjee</t>
  </si>
  <si>
    <t>banerjr@ucmail.uc.edu</t>
  </si>
  <si>
    <t>Jingjie Wu</t>
  </si>
  <si>
    <t>wu2jj@ucmail.uc.edu</t>
  </si>
  <si>
    <t>Electro-/-photo-/thermo-chemical conversion of CO2 into commodity chemicals or liquid fuels.
Modular/distributed electrosynthesis of polymers from CO2 and biomass feedstocks.
Atomic-scale material synthesis and application in energy conversion, corrosion protection, and water desalination.</t>
  </si>
  <si>
    <t>Electro-/-photo-/thermo-chemical conversion of CO2 into commodity chemicals or liquid fuels,
Modular/distributed electrosynthesis of polymers from CO2 , biomass feedstocks
Atomic-scale material synthesis , application in energy conversion, corrosion protection, water desalination</t>
  </si>
  <si>
    <t>University of Houston (Cullen)</t>
  </si>
  <si>
    <t>Dr. Ashutosh Agrawal</t>
  </si>
  <si>
    <t>ashutosh@uh.edu</t>
  </si>
  <si>
    <t>s Biophysics, Mechanics of Surfaces and Interfaces</t>
  </si>
  <si>
    <t>Biophysics, Mechanics of Surfaces , Interfaces</t>
  </si>
  <si>
    <t>Dr. Haleh Ardebili</t>
  </si>
  <si>
    <t>hardebili@uh.edu</t>
  </si>
  <si>
    <t>s Lithium Ion Batteries, Polymer Nanocomposite Electrolytes, Lithium Ion Conduction, Materials for Energy Storage, Electronics Materials</t>
  </si>
  <si>
    <t>Lithium Ion Batteries, Polymer Nanocomposite Electrolytes, Lithium Ion Conduction, Materials for Energy Storage, Electronics Materials</t>
  </si>
  <si>
    <t>Dr. Theocharis Baxevanis</t>
  </si>
  <si>
    <t>tbaxevanis@uh.edu</t>
  </si>
  <si>
    <t>s Deformation and failure response of inelastic materials — Continuum thermodynamics, Fracture mechanics, Computational micromechanics, Localization…</t>
  </si>
  <si>
    <t>Deformation , failure response of inelastic materials — Continuum thermodynamics, Fracture mechanics, Computational micromechanics, Localization</t>
  </si>
  <si>
    <t>Dr. Marzia Cescon</t>
  </si>
  <si>
    <t>mcescon2@uh.edu</t>
  </si>
  <si>
    <t>s Controls and Dynamical Systems, Information and Decision Systems, Machine Learning, Learning for Control, Modeling and System Identification,…</t>
  </si>
  <si>
    <t>Controls , Dynamical Systems, Information , Decision Systems, Machine Learning, Learning for Control, Modeling , System Identification</t>
  </si>
  <si>
    <t>Dr. Christiana Chang</t>
  </si>
  <si>
    <t>cchang2@uh.edu</t>
  </si>
  <si>
    <t>Dr. Tian "Tim" Chen</t>
  </si>
  <si>
    <t>tianchen@uh.edu</t>
  </si>
  <si>
    <t>s Meta-materials, Morphing Structures, Computational Design, Advanced Manufacturing and 3D Printing</t>
  </si>
  <si>
    <t>Meta-materials, Morphing Structures, Computational Design, Advanced Manufacturing , 3D Printing</t>
  </si>
  <si>
    <t>Dr. Xuemei Chen</t>
  </si>
  <si>
    <t>xchen46@central.uh.edu</t>
  </si>
  <si>
    <t>Dr. Yi-Chao Chen</t>
  </si>
  <si>
    <t>chen@uh.edu</t>
  </si>
  <si>
    <t>s Solid Mechanics</t>
  </si>
  <si>
    <t>Solid Mechanics</t>
  </si>
  <si>
    <t>Dr. Zheng Chen</t>
  </si>
  <si>
    <t>zchen43@central.uh.edu</t>
  </si>
  <si>
    <t>s Electroactive Polymer Actuators and Sensors, Bio-inspired Robotics, Energy Storage System, Hydraulic Fracturing Automation</t>
  </si>
  <si>
    <t>Electroactive Polymer Actuators , Sensors, Bio-inspired Robotics, Energy Storage System, Hydraulic Fracturing Automation</t>
  </si>
  <si>
    <t>Dr. Daniel Floryan</t>
  </si>
  <si>
    <t>dfloryan@uh.edu</t>
  </si>
  <si>
    <t>s Fluid Mechanics, Dynamics and Control, Applied Mathematics, Machine Learning and Data Science, Energy and Environment</t>
  </si>
  <si>
    <t>Fluid Mechanics, Dynamics , Control, Applied Mathematics, Machine Learning , Data Science, Energy , Environment</t>
  </si>
  <si>
    <t>Dr. Matthew A. Franchek</t>
  </si>
  <si>
    <t>mfranchek@uh.edu</t>
  </si>
  <si>
    <t>s Dynamic Systems, Measurement and Control—Linear and nonlinear system identification, information synthesis, multivariable control theory,…</t>
  </si>
  <si>
    <t>Dynamic Systems, Measurement , Control—Linear , nonlinear system identification, information synthesis, multivariable control theory,…</t>
  </si>
  <si>
    <t>Dr. Hadi Ghasemi</t>
  </si>
  <si>
    <t>hghasemi@uh.edu</t>
  </si>
  <si>
    <t>s Thermodynamics, Heat transfer and Nanotechnology</t>
  </si>
  <si>
    <t>Thermodynamics, Heat transfer , Nanotechnology</t>
  </si>
  <si>
    <t>$9,886 per year (in-state, full-time)</t>
  </si>
  <si>
    <r>
      <rPr>
        <u/>
        <sz val="10"/>
        <color rgb="FF000000"/>
        <rFont val="Arial"/>
        <family val="2"/>
      </rPr>
      <t>Dr. Karolos Grigoriadis</t>
    </r>
    <r>
      <rPr>
        <sz val="10"/>
        <color rgb="FF000000"/>
        <rFont val="Arial"/>
        <family val="2"/>
      </rPr>
      <t xml:space="preserve"> (Interim department chair)</t>
    </r>
  </si>
  <si>
    <t>karolos@uh.edu</t>
  </si>
  <si>
    <t>s Dynamic Systems and Controls—Feedback control systems analysis and design, linear and nonlinear systems theory, robust and fault-tolerant control…</t>
  </si>
  <si>
    <t>Dynamic Systems , Controls—Feedback control systems analysis , design, linear , nonlinear systems theory, robust , fault-tolerant control…</t>
  </si>
  <si>
    <t>Dr. Farah Hammami EPKammoun</t>
  </si>
  <si>
    <t>fhammami@uh.edu</t>
  </si>
  <si>
    <t>s Nanostructured materials, atomistic simulations, computational mechanics</t>
  </si>
  <si>
    <t>Nanostructured materials, atomistic simulations, computational mechanics</t>
  </si>
  <si>
    <t>Dr. Shailendra Joshi</t>
  </si>
  <si>
    <t>shailendra@uh.edu</t>
  </si>
  <si>
    <t>s Mechanics of Advanced Materials, Computational and Experimental Mechanics, Multi-scale Failure Processes</t>
  </si>
  <si>
    <t>Mechanics of Advanced Materials, Computational , Experimental Mechanics, Multi-scale Failure Processes</t>
  </si>
  <si>
    <t>Dr. Yashashree Kulkarni</t>
  </si>
  <si>
    <t>ykulkarni@uh.edu</t>
  </si>
  <si>
    <t>s Computational mechanics and materials science</t>
  </si>
  <si>
    <t>Computational mechanics , materials science</t>
  </si>
  <si>
    <t>Dr. Myoungkyu Lee</t>
  </si>
  <si>
    <t>leemk@uh.edu</t>
  </si>
  <si>
    <t>s Energy Systems, Infrastructure, and Renewables, Mechanics and Dynamics, Computational Mechanics, Thermal Phenomena</t>
  </si>
  <si>
    <t>Energy Systems, Infrastructure, Renewables, Mechanics , Dynamics, Computational Mechanics, Thermal Phenomena</t>
  </si>
  <si>
    <t>Dr. Dong Liu</t>
  </si>
  <si>
    <t>dongliu@uh.edu</t>
  </si>
  <si>
    <t>s Microscale Thermal Transport Phenomena</t>
  </si>
  <si>
    <t>Microscale Thermal Transport Phenomena</t>
  </si>
  <si>
    <t>Dr. Holley Love</t>
  </si>
  <si>
    <t>hclove@uh.edu</t>
  </si>
  <si>
    <t>s Mechanical Circulatory Support, Fluid Mechanics and Heat Transfer in Biomedical Applications, Bioreactors, and Numerical Modelling</t>
  </si>
  <si>
    <t>Mechanical Circulatory Support, Fluid Mechanics , Heat Transfer in Biomedical Applications, Bioreactors, Numerical Modelling</t>
  </si>
  <si>
    <t>Dr. Andrea Prosperetti</t>
  </si>
  <si>
    <t>aprosperetti@uh.edu</t>
  </si>
  <si>
    <t>s Multiphase flow, scientific computing, fluid dynamics, applied mathematics, bubble dynamics</t>
  </si>
  <si>
    <t>Multiphase flow, scientific computing, fluid dynamics, applied mathematics, bubble dynamics</t>
  </si>
  <si>
    <t>Dr. Jagannatha Rao</t>
  </si>
  <si>
    <t>rao@uh.edu</t>
  </si>
  <si>
    <t>s Mathematical Optimization Theory and Algorithms—Parametric nonlinear programming, multilevel algorithms, duality in mechanical design models, game…</t>
  </si>
  <si>
    <t>Mathematical Optimization Theory , Algorithms—Parametric nonlinear programming, multilevel algorithms, duality in mechanical design models, game…</t>
  </si>
  <si>
    <t>Dr. Jae-Hyun Ryou</t>
  </si>
  <si>
    <t>jryou@uh.edu</t>
  </si>
  <si>
    <t>s Materials Science and Engineering - Semiconductor materials and devices for energy/photonic/electronic applications, including flexible electronic…</t>
  </si>
  <si>
    <t>Materials Science , Engineering - Semiconductor materials , devices for energy/photonic/electronic applications, including flexible electronic…</t>
  </si>
  <si>
    <t>Dr. Venkat Selvamanickam</t>
  </si>
  <si>
    <t>selva@uh.edu</t>
  </si>
  <si>
    <t>s Epitaxial thin film growth by PVD and CVD, Single crystalline films on polycrystalline/amorphous substrates, Solidification and crystal growth,…</t>
  </si>
  <si>
    <t>Epitaxial thin film growth by PVD , CVD, Single crystalline films on polycrystalline/amorphous substrates, Solidification , crystal growth,…</t>
  </si>
  <si>
    <t>Dr. PradeePSharma</t>
  </si>
  <si>
    <t>psharma@uh.edu</t>
  </si>
  <si>
    <t>s Solid mechanics, Theoretical and computational materials science, Multifunctional materials, Flexoelectricity, Mechanics and physics of soft…</t>
  </si>
  <si>
    <t>Solid mechanics, Theoretical , computational materials science, Multifunctional materials, Flexoelectricity, Mechanics , physics of soft…</t>
  </si>
  <si>
    <t>Dr. Gangbing Song</t>
  </si>
  <si>
    <t>gsong@uh.edu</t>
  </si>
  <si>
    <t>s Smart materials and Structures—Adaptive control, Robust control, Dynamics, Robotics, Friction Compensation</t>
  </si>
  <si>
    <t>Smart materials , Structures—Adaptive control, Robust control, Dynamics, Robotics, Friction Compensation</t>
  </si>
  <si>
    <t>Dr. Li Sun</t>
  </si>
  <si>
    <t>lsun4@uh.edu</t>
  </si>
  <si>
    <t>s Multifunctional materials design, fabrication, characterization, manipulation and manufacturing, Novel composites and devices for energy,…</t>
  </si>
  <si>
    <t>Multifunctional materials design, fabrication, characterization, manipulation , manufacturing, Novel composites , devices for energy,…</t>
  </si>
  <si>
    <t>Dr. Su Su Wang</t>
  </si>
  <si>
    <t>sswang@uh.edu</t>
  </si>
  <si>
    <t>s Solid Mechanics, Materials Science and Engineering—Solid Mechanics, Composite Materials, Materials Science and Engineering</t>
  </si>
  <si>
    <t>Solid Mechanics, Materials Science , Engineering—Solid Mechanics, Composite Materials, Materials Science , Engineering</t>
  </si>
  <si>
    <t>Dr. Di Yang</t>
  </si>
  <si>
    <t>diyang@uh.edu</t>
  </si>
  <si>
    <t>s Computational fluid dynamics, large-eddy simulation and direct numerical simulation of turbulent flows, renewable wind, tidal and wave energy,…</t>
  </si>
  <si>
    <t>Computational fluid dynamics, large-eddy simulation , direct numerical simulation of turbulent flows, renewable wind, tidal , wave energy,…</t>
  </si>
  <si>
    <t>Dr. Bo Zhao</t>
  </si>
  <si>
    <t>bzhao8@uh.edu</t>
  </si>
  <si>
    <t>s Thermal photonics and plasmonics, Photon-mediated heat engines and refrigerators, Electronic, photonic, and thermal circuits, Radiative properties…</t>
  </si>
  <si>
    <t>Thermal photonics , plasmonics, Photon-mediated heat engines , refrigerators, Electronic, photonic, thermal circuits, Radiative properties…</t>
  </si>
  <si>
    <t>University of Utah</t>
  </si>
  <si>
    <t>Jake Abbott</t>
  </si>
  <si>
    <t>jake.abbott@utah.edu</t>
  </si>
  <si>
    <t>Magnetic Manipulation
Medical Robotics
Haptics and Teleoperation</t>
  </si>
  <si>
    <t>Magnetic Manipulation,
Medical Robotics,
Haptics , Teleoperation</t>
  </si>
  <si>
    <t>claire.acevedo@utah.edu</t>
  </si>
  <si>
    <t>Stress and fatigue fracture mechanics
Skeletal biomechanics
Bone quality and bone fragility
Collagen and mineral deformation
Synchrotron radiation micro-tomography
Synchrotron radiation x-ray scattering
From cellular to macroscopic scales</t>
  </si>
  <si>
    <t>Stress , fatigue fracture mechanics,
Skeletal biomechanics,
Bone quality , bone fragility,
Collagen , mineral deformation,
Synchrotron radiation micro-tomography,
Synchrotron radiation x-ray scattering,
From cellular to macroscopic scales</t>
  </si>
  <si>
    <t>Daniel O. Adams</t>
  </si>
  <si>
    <t>adams@mech.utah.edu</t>
  </si>
  <si>
    <t>s
Mechanics of composite materials
Damage mechanics
Micromechanics</t>
  </si>
  <si>
    <t>Mechanics of composite materials,
Damage mechanics,
Micromechanics</t>
  </si>
  <si>
    <t>Tim Ameel</t>
  </si>
  <si>
    <t>ameel@mech.utah.edu</t>
  </si>
  <si>
    <t>s
Microscale thermal fluid phenomena
Microscale energy systems
Bioheat transfer</t>
  </si>
  <si>
    <t>Microscale thermal fluid phenomena,
Microscale energy systems,
Bioheat transfer</t>
  </si>
  <si>
    <t>Amirhossein Arzani</t>
  </si>
  <si>
    <t>amir.arzani@sci.utah.edu</t>
  </si>
  <si>
    <t>s
Scientific machine learning
Computational fluid dynamics (CFD)
Biofluid mechanics and transport
Dynamical systems
Cardiovascular biomechanics</t>
  </si>
  <si>
    <t>scientific machine learning,
Computational fluid dynamics (CFD),
Biofluid mechanics , transport,
Dynamical systems,
Cardiovascular biomechanics</t>
  </si>
  <si>
    <t>A.K. Balaji</t>
  </si>
  <si>
    <t>balaji@mech.utah.edu</t>
  </si>
  <si>
    <t>s
Sustainable manufacturing
Interfaces between materials, mechanics, &amp; manufacturing
Science of machining processes and modeling of machining performance
Design of advanced cutting tools</t>
  </si>
  <si>
    <t>Sustainable manufacturing,
Interfaces between materials, mechanics, &amp; manufacturing,
Science of machining processes , modeling of machining performance,
Design of advanced cutting tools</t>
  </si>
  <si>
    <t>Edoardo Battaglia</t>
  </si>
  <si>
    <t>edoardo.battaglia@utah.edu</t>
  </si>
  <si>
    <t>s
Haptics
Grasping and Manipulation
Wearable sensing
User studies
Human-centered robot design
Human-robot interaction</t>
  </si>
  <si>
    <t>Haptics,
Grasping , Manipulation,
Wearable sensing,
User studies,
Human-centered robot design,
Human-robot interaction</t>
  </si>
  <si>
    <t>Marc Calaf</t>
  </si>
  <si>
    <t>marc.calaf@utah.edu</t>
  </si>
  <si>
    <t>Atmospheric Sciences and Turbulence
Hydrology
Fluid Mechanics
Wind Farms Physics</t>
  </si>
  <si>
    <t>Atmospheric Sciences , Turbulence,
Hydrology,
Fluid Mechanics,
Wind Farms Physics</t>
  </si>
  <si>
    <t>Jiyoung Chang</t>
  </si>
  <si>
    <t>jy.chang@utah.edu</t>
  </si>
  <si>
    <t>s
Wearable electronics
2-D materials
Multi-functional Near-field electrospinning
NEMS/MEMS</t>
  </si>
  <si>
    <t>Wearable electronics,
2-D materials,
Multi-functional Near-field electrospinning,
NEMS/MEMS</t>
  </si>
  <si>
    <t>Brittany Coats</t>
  </si>
  <si>
    <t>brittany.coats@utah.edu</t>
  </si>
  <si>
    <t>s
Traumatic brain injury
Ocular mechanics
Soft tissue deformation
Computational models of injury
Blast trauma</t>
  </si>
  <si>
    <t>Traumatic brain injury,
Ocular mechanics,
Soft tissue deformation,
Computational models of injury,
Blast trauma</t>
  </si>
  <si>
    <t>Michael Czabaj</t>
  </si>
  <si>
    <t>m.czabaj@utah.edu</t>
  </si>
  <si>
    <t>s
Fracture and fatigue of composite materials
Durability and damage tolerance of composite structures
Micromechanics of composite materials
3D imaging using X-ray computed tomography</t>
  </si>
  <si>
    <t>Fracture , fatigue of composite materials,
Durability , damage tolerance of composite structures,
Micromechanics of composite materials,
3D imaging using X-ray computed tomography</t>
  </si>
  <si>
    <t>Ken d’Entremont</t>
  </si>
  <si>
    <t>k.dentremont@utah.edu</t>
  </si>
  <si>
    <t>s
Product Safety—Consumer Products, Recreational Products, and Innovative Products
Vehicle Dynamics, Safety &amp; Testing</t>
  </si>
  <si>
    <t>Product Safety,Consumer Products, Recreational Products, Innovative Products,
Vehicle Dynamics, Safety &amp; Testing</t>
  </si>
  <si>
    <t>$9,006 per year (in-state, full-time)</t>
  </si>
  <si>
    <t>Todd Easton</t>
  </si>
  <si>
    <t>todd.easton@utah.edu</t>
  </si>
  <si>
    <t>s
Mathematical optimization
Mathematical decision making
Analytics
Systems engineering
Engineering education</t>
  </si>
  <si>
    <t>Mathematical optimization,
Mathematical decision making,
Analytics,
Systems engineering,
Engineering education</t>
  </si>
  <si>
    <t>Mark Fehlberg</t>
  </si>
  <si>
    <t>m.fehlberg@utah.edu</t>
  </si>
  <si>
    <t>Manages the department admissions process, assists students with tuition benefit enrollment and course registration, provides student academic advising, and maintains student records. Coordinates administrative processes related to graduate student progress towards graduation.</t>
  </si>
  <si>
    <t>Manages the department admissions process, assists students with tuition benefit enrollment , course registration, provides student academic advising, maintains student records, Coordinates administrative processes related to graduate student progress towards graduation,</t>
  </si>
  <si>
    <t>Tianli Feng</t>
  </si>
  <si>
    <t>tianli.feng@utah.edu</t>
  </si>
  <si>
    <t>s
Heat Transfer
Energy
Atomistic Simulations
Machine Learning</t>
  </si>
  <si>
    <t>Heat Transfer,
Energy,
Atomistic Simulations,
Machine Learning</t>
  </si>
  <si>
    <t>Henry Fu</t>
  </si>
  <si>
    <t>henry.fu@utah.edu</t>
  </si>
  <si>
    <t>s
Low-Reynolds number hydrodynamics
Biomechanics and biophysics
Complex biomaterials
Microrobotics</t>
  </si>
  <si>
    <t>Low-Reynolds number hydrodynamics,
Biomechanics , biophysics,
Complex biomaterials,
Microrobotics</t>
  </si>
  <si>
    <t>Bruce Gale (Department head)</t>
  </si>
  <si>
    <t>bruce.gale@utah.edu</t>
  </si>
  <si>
    <t>s
Microfluidics, MEMS, and nanotechnology applications in medicine and biology
Integrated microsystems for biomedical separations, sensing, and actuation
Micropumps, microvalves, and microsensors
Microscale DNA analysis systems</t>
  </si>
  <si>
    <t>Microfluidics, MEMS, nanotechnology applications in medicine , biology,
Integrated microsystems for biomedical separations, sensing, actuation,
Micropumps, microvalves, microsensors,
Microscale DNA analysis systems</t>
  </si>
  <si>
    <t>Sidney Green</t>
  </si>
  <si>
    <t>sgreen@xmission.com</t>
  </si>
  <si>
    <t>s
rock mechanics-geomechanics subsurface applications, particularly for energy recovery, storage, and utilization</t>
  </si>
  <si>
    <t>rock mechanics-geomechanics subsurface applications, particularly for energy recovery, storage, utilization</t>
  </si>
  <si>
    <t>James Guilkey</t>
  </si>
  <si>
    <t>james.guilkey@utah.edu</t>
  </si>
  <si>
    <t>s
Computational Solid Mechanics and Fluid Structure Interaction
Mechanical Response of Multi-Cellular Constructs
Multi-Scale Simulation</t>
  </si>
  <si>
    <t>Computational Solid Mechanics , Fluid Structure Interaction,
Mechanical Response of Multi-Cellular Constructs,
Multi-Scale Simulation</t>
  </si>
  <si>
    <t>Todd Harman</t>
  </si>
  <si>
    <t>t.harman@utah.edu</t>
  </si>
  <si>
    <t>Computational Fluid Dynamics and Fluid Structure Interaction
Supersonic flows
Large scale simulations</t>
  </si>
  <si>
    <t>Computational Fluid Dynamics , Fluid Structure Interaction
Supersonic flows
Large scale simulations</t>
  </si>
  <si>
    <t>Jacob Hochhalter</t>
  </si>
  <si>
    <t>jacob.hochhalter@utah.edu</t>
  </si>
  <si>
    <t>s
Structural Materials
Finite Element Analysis
Digital Image Correlation
Uncertainty Propagation
Fatigue &amp; Fracture</t>
  </si>
  <si>
    <t>Structural Materials,
Finite Element Analysis,
Digital Image Correlation,
Uncertainty Propagation,
Fatigue &amp; Fracture</t>
  </si>
  <si>
    <t>Pedro Huebner</t>
  </si>
  <si>
    <t>pedro.huebner@utah.edu</t>
  </si>
  <si>
    <t>s
Systems and Industrial Engineering program development
Additive manufacturing
Tissue engineering and regenerative medicine</t>
  </si>
  <si>
    <t>Systems , Industrial Engineering program development,
Additive manufacturing,
Tissue engineering , regenerative medicine</t>
  </si>
  <si>
    <t>Jungkyu (Jay) Kim</t>
  </si>
  <si>
    <t>jkim@mech.utah.edu</t>
  </si>
  <si>
    <t>s
Microengineered ocular systems
Heart valve-on-a-chiPfor mechanobiological studies
Microfabricated space instruments for life detection
Biosensors and Bioelectronics
Dynamics and control of biomedical systems
Point-of-care diagnostics for medical diagnostics</t>
  </si>
  <si>
    <t>Microengineered ocular systems,
Heart valve-on-a-chiPfor mechanobiological studies,
Microfabricated space instruments for life detection,
Biosensors , Bioelectronics,
Dynamics , control of biomedical systems,
Point-of-care diagnostics for medical diagnostics</t>
  </si>
  <si>
    <t>Owen Kingstedt</t>
  </si>
  <si>
    <t>o.kingstedt@utah.edu</t>
  </si>
  <si>
    <t>Mechanics of materials for extreme environments
Mutli-length and time scale experimentation
Interfacial effects on macroscopic properties
Dynamic fracture and failure of advanced materials</t>
  </si>
  <si>
    <t>Mechanics of materials for extreme environments,
Mutli-length , time scale experimentation,
Interfacial effects on macroscopic properties,
Dynamic fracture , failure of advanced materials</t>
  </si>
  <si>
    <t>Yong Lin Kong</t>
  </si>
  <si>
    <t>yong.kong@utah.edu</t>
  </si>
  <si>
    <t>s
Additive manufacturing
Nanomaterials-based devices
Biomedical devices and ingestible electronics</t>
  </si>
  <si>
    <t>Additive manufacturing,
Nanomaterials-based devices,
Biomedical devices , ingestible electronics</t>
  </si>
  <si>
    <t>Kam K. Leang</t>
  </si>
  <si>
    <t>kam.k.leang@utah.edu</t>
  </si>
  <si>
    <t>s
Dynamic systems and control
Autonomous systems and robotics
Nanopositioning
Electroactive materials
Mechatronics</t>
  </si>
  <si>
    <t>Dynamic systems , control,
Autonomous systems , robotics,
Nanopositioning,
Electroactive materials,
Mechatronics</t>
  </si>
  <si>
    <t>Tommaso Lenzi</t>
  </si>
  <si>
    <t>t.lenzi@utah.edu</t>
  </si>
  <si>
    <t>s
Wearable robotics
Biomechatronics
Robotic limb prostheses and exoskeletons
Rehabilitation engineering</t>
  </si>
  <si>
    <t>Wearable robotics,
Biomechatronics,
Robotic limb prostheses , exoskeletons,
Rehabilitation engineering</t>
  </si>
  <si>
    <t>Debra Mascaro</t>
  </si>
  <si>
    <t>dmascaro@mech.utah.edu</t>
  </si>
  <si>
    <t>-</t>
  </si>
  <si>
    <t>Stephen Mascaro</t>
  </si>
  <si>
    <t>smascaro@eng.utah.edu</t>
  </si>
  <si>
    <t>Research/Teaching Interests
Robotics and mechatronics
System dynamics and control</t>
  </si>
  <si>
    <t>Robotics , mechatronics,
System dynamics , control</t>
  </si>
  <si>
    <t>Sanford G. Meek</t>
  </si>
  <si>
    <t>meek@mech.utah.edu</t>
  </si>
  <si>
    <t>s
Modelling the effects of pelvis deformities in kidney function
Prosthetic arm design and control
Biocontrol systems
Robotics</t>
  </si>
  <si>
    <t>Modelling the effects of pelvis deformities in kidney function,
Prosthetic arm design , control,
Biocontrol systems,
Robotics,</t>
  </si>
  <si>
    <t>M Metzger</t>
  </si>
  <si>
    <t>m.metzger@utah.edu</t>
  </si>
  <si>
    <t>s
Experimental fluid dynamics with an emphasis on pollutant dispersion, turbulent mixing, and high Reynolds number turbulent boundary layer physics.
Development of experimental techniques and sensors for fundamental fluid dynamic and atmospheric measurements.</t>
  </si>
  <si>
    <t>Experimental fluid dynamics with an emphasis on pollutant dispersion, turbulent mixing, high Reynolds number turbulent boundary layer physics,
Development of experimental techniques , sensors for fundamental fluid dynamic , atmospheric measurements,</t>
  </si>
  <si>
    <t>Mark A. Minor</t>
  </si>
  <si>
    <t>mark.minor@utah.edu</t>
  </si>
  <si>
    <t>s
Design, modeling, and control of mobile robots systems including ground based modular systems and under-actuated climbing robots. Key research topics include design optimization, motion planning, trajectory tracking.</t>
  </si>
  <si>
    <t>Design, modeling, control of mobile robots systems including ground based modular systems , under-actuated climbing robots, Key research topics include design optimization, motion planning, trajectory tracking,</t>
  </si>
  <si>
    <t>Ken Monson</t>
  </si>
  <si>
    <t>ken.monson@utah.edu</t>
  </si>
  <si>
    <t>s
Traumatic brain injury
Blast injury
Cerebral vessel mechanics and mechanotransduction
Solid mechanics
Dynamics</t>
  </si>
  <si>
    <t>Traumatic brain injury,
Blast injury,
Cerebral vessel mechanics , mechanotransduction,
Solid mechanics,
Dynamics</t>
  </si>
  <si>
    <t>Steven Naleway</t>
  </si>
  <si>
    <t>steven.naleway@mech.utah.edu</t>
  </si>
  <si>
    <t>s
Bioinspired design
Biological material science
Biomedical Materials
Structural mechanics and materials</t>
  </si>
  <si>
    <t>Bioinspired design,
Biological material science,
Biomedical Materials,
Structural mechanics , materials</t>
  </si>
  <si>
    <t>Pania Newell</t>
  </si>
  <si>
    <t>pania.newell@utah.edu</t>
  </si>
  <si>
    <t>s
Computational multiphysics analysis of coupled phenomena
Fracture analysis in multiphysics systems
Computational homogenization of heterogeneous materials
Constitutive modeling.</t>
  </si>
  <si>
    <t>Computational multiphysics analysis of coupled phenomena,
Fracture analysis in multiphysics systems,
Computational homogenization of heterogeneous materials,
Constitutive modeling</t>
  </si>
  <si>
    <t>Alex Novoselov</t>
  </si>
  <si>
    <t>alex.novoselov@utah.edu</t>
  </si>
  <si>
    <t>s
Energy
Computational Fluid Dynamics
Reacting Flows
Turbulence</t>
  </si>
  <si>
    <t>Energy,
Computational Fluid Dynamics,
Reacting Flows,
Turbulence</t>
  </si>
  <si>
    <t>Shuaihang Pan</t>
  </si>
  <si>
    <t>shuaihang.pan@utah.edu</t>
  </si>
  <si>
    <t>s
Advanced manufacturing
Additive manufacturing
Metal and alloy design
Materials' degradation protection</t>
  </si>
  <si>
    <t>Advanced manufacturing,
Additive manufacturing,
Metal , alloy design,
Materials' degradation protection</t>
  </si>
  <si>
    <t>Eric Pardyjak</t>
  </si>
  <si>
    <t>pardyjak@mech.utah.edu</t>
  </si>
  <si>
    <t>s
Fluid mechanics
Atmospheric turbulence
Urban fluid mechanics
Stratified turbulence</t>
  </si>
  <si>
    <t>Fluid mechanics,
Atmospheric turbulence,
Urban fluid mechanics,
Stratified turbulence</t>
  </si>
  <si>
    <t>Keunhan (Kay) Park</t>
  </si>
  <si>
    <t>kpark@mech.utah.edu</t>
  </si>
  <si>
    <t>s
Nanoscale energy transport and conversion processes
Nanostructure-based energy applications
Nanoscale thermophysical instrumentations
Tip-based nano-imaging and spectroscopy</t>
  </si>
  <si>
    <t>Nanoscale energy transport , conversion processes,
Nanostructure-based energy applications,
Nanoscale thermophysical instrumentations,
Tip-based nano-imaging , spectroscopy</t>
  </si>
  <si>
    <t>Robert G. Parker</t>
  </si>
  <si>
    <t>rob.parker@utah.edu</t>
  </si>
  <si>
    <t>s
Vibration, Dynamics, and Stability of High-speed, Gyroscopic Systems
Nonlinear Vibrations
Vibration of Cyclically Symmetric Systems
Ocean Wave Energy Harvesting</t>
  </si>
  <si>
    <t>Vibration, Dynamics, Stability of High-speed, Gyroscopic Systems,
Nonlinear Vibrations,
Vibration of Cyclically Symmetric Systems,
Ocean Wave Energy Harvesting</t>
  </si>
  <si>
    <t>Sameer Rao</t>
  </si>
  <si>
    <t>s.rao@utah.edu</t>
  </si>
  <si>
    <t>s
Multiscale heat &amp; mass transfer
Energy conversion &amp; storage
Water harvesting &amp; purification
Thermal management</t>
  </si>
  <si>
    <t>Multiscale heat &amp; mass transfer,
Energy conversion &amp; storage,
Water harvesting &amp; purification,
Thermal management</t>
  </si>
  <si>
    <t>Shad Roundy</t>
  </si>
  <si>
    <t>shad.roundy@utah.edu</t>
  </si>
  <si>
    <t>s
Energy harvesting
Inertial sensing
Self powered wireless sensors
MEMS</t>
  </si>
  <si>
    <t>Energy harvesting,
Inertial sensing,
Self powered wireless sensors,
MEMS</t>
  </si>
  <si>
    <t>Himanshu Sant</t>
  </si>
  <si>
    <t>himanshu.sant@utah.edu</t>
  </si>
  <si>
    <t>s
Biomedical microfluidics and Bionanotechnology
Drug delivery devices and Biomedical microscale devices
Integrated pathogen detection devices
Biological and nanoparticle separations
Novel MEMS and microfluidic devices for CP and environmental applications</t>
  </si>
  <si>
    <t>Biomedical microfluidics , Bionanotechnology,
Drug delivery devices , Biomedical microscale devices,
Integrated pathogen detection devices,
Biological , nanoparticle separations,
Novel MEMS , microfluidic devices for CP , environmental applications</t>
  </si>
  <si>
    <t>Samira Shiri</t>
  </si>
  <si>
    <t>samira.shiri@utah.edu</t>
  </si>
  <si>
    <t>s
High throughput experiments and data analysis
Underlying physics of active matter
Bioinspired materials and mechanism
Biophysics forensic science</t>
  </si>
  <si>
    <t>High throughput experiments , data analysis,
Underlying physics of active matter,
Bioinspired materials , mechanism,
Biophysics forensic science</t>
  </si>
  <si>
    <t>Ashley Spear</t>
  </si>
  <si>
    <t>ashley.spear@utah.edu</t>
  </si>
  <si>
    <t>s
Characterizing and simulating three-dimensional cracking in metallic structures
3-D finite element analysis
Concurrent multiscale modeling
Microscale characterization of metallic materials
High-energy X-ray diffraction microscopy (HEDM)</t>
  </si>
  <si>
    <t>Characterizing , simulating three-dimensional cracking in metallic structures,
3-D finite element analysis,
Concurrent multiscale modeling,
Microscale characterization of metallic materials,
High-energy X-ray diffraction microscopy (HEDM)</t>
  </si>
  <si>
    <t>Rob Stoll</t>
  </si>
  <si>
    <t>rstoll@eng.utah.edu</t>
  </si>
  <si>
    <t>s
Fluid mechanics in the environment
Computational fluid dynamics
Large-eddy simulation
Atmospheric boundary layer
Land-atmosphere interactions</t>
  </si>
  <si>
    <t>Fluid mechanics in the environment,
Computational fluid dynamics,
Large-eddy simulation,
Atmospheric boundary layer,
L,-atmosphere interactions</t>
  </si>
  <si>
    <t>Kent Stewart Udell</t>
  </si>
  <si>
    <t>udell@mech.utah.edu</t>
  </si>
  <si>
    <t>s
Contaminated aquifer restoration
Enhanced petroleum recovery
Fluid mechanics
Heat transfer
Mass transfer</t>
  </si>
  <si>
    <t>Contaminated aquifer restoration,
Enhanced petroleum recovery,
Fluid mechanics,
Heat transfer,
Mass transfer</t>
  </si>
  <si>
    <t>Pai Wang</t>
  </si>
  <si>
    <t>pai.wang@utah.edu</t>
  </si>
  <si>
    <t>s
Wave mechanics
Architected materials
Phononic crystals
Acoustic metamaterials
Topological mechanics
Noise control and Vibration reduction
Acoustic Diagnostics and Therapeutics</t>
  </si>
  <si>
    <t>Wave mechanics,
Architected materials,
Phononic crystals,
Acoustic metamaterials,
Topological mechanics,
Noise control , Vibration reduction,
Acoustic Diagnostics , Therapeutics</t>
  </si>
  <si>
    <t>Roseanne Warren</t>
  </si>
  <si>
    <t>roseanne.warren@utah.edu</t>
  </si>
  <si>
    <t>s
Electrochemical energy storage
Photoelectrochemical water splitting
Atomic layer deposition
Carbon nanotubes
Transition metal oxides</t>
  </si>
  <si>
    <t>Electrochemical energy storage,
Photoelectrochemical water splitting,
Atomic layer deposition,
Carbon nanotubes,
Transition metal oxides</t>
  </si>
  <si>
    <t>Haohan Zhang</t>
  </si>
  <si>
    <t>haohan.zhang@utah.edu</t>
  </si>
  <si>
    <t>s
Design and Control of Wearable Robots
Assistive Technology and Rehabilitation
Physical Human-Robot Interaction
Sensorimotor and Biomechanics
Parallel Mechanisms</t>
  </si>
  <si>
    <t>Design , Control of Wearable Robots,
Assistive Technology , Rehabilitation,
Physical Human-Robot Interaction,
Sensorimotor , Biomechanics,
Parallel Mechanisms</t>
  </si>
  <si>
    <t>Washington State University (Voiland)</t>
  </si>
  <si>
    <r>
      <rPr>
        <u/>
        <sz val="10"/>
        <color rgb="FF000000"/>
        <rFont val="Arial"/>
        <family val="2"/>
      </rPr>
      <t>Asgharian, Behrang</t>
    </r>
    <r>
      <rPr>
        <sz val="10"/>
        <color rgb="FF000000"/>
        <rFont val="Arial"/>
        <family val="2"/>
      </rPr>
      <t xml:space="preserve">
</t>
    </r>
  </si>
  <si>
    <t>behrang2009@wsu.edu</t>
  </si>
  <si>
    <t>Teaching
Thermodynamics
Heat Transfer
Fluid Mechanics
Computational Fluid Dynamics (CFD)</t>
  </si>
  <si>
    <t>Teaching,
Thermodynamics,
Heat Transfer,
Fluid Mechanics,
Computational Fluid Dynamics (CFD)</t>
  </si>
  <si>
    <t>Mechanical and Materials Engineering</t>
  </si>
  <si>
    <r>
      <rPr>
        <u/>
        <sz val="10"/>
        <color rgb="FF000000"/>
        <rFont val="Arial"/>
        <family val="2"/>
      </rPr>
      <t>Bandyopadhyay, Amit</t>
    </r>
    <r>
      <rPr>
        <sz val="10"/>
        <color rgb="FF000000"/>
        <rFont val="Arial"/>
        <family val="2"/>
      </rPr>
      <t xml:space="preserve">
</t>
    </r>
  </si>
  <si>
    <t>amitband@wsu.edu</t>
  </si>
  <si>
    <t>Metal additive manufacturing
Biomedical devices
Additive manufacturing of multi-material structures</t>
  </si>
  <si>
    <t>Metal additive manufacturing,
Biomedical devices,
Additive manufacturing of multi-material structures</t>
  </si>
  <si>
    <r>
      <rPr>
        <u/>
        <sz val="10"/>
        <color rgb="FF000000"/>
        <rFont val="Arial"/>
        <family val="2"/>
      </rPr>
      <t>Banerjee, Soumik</t>
    </r>
    <r>
      <rPr>
        <sz val="10"/>
        <color rgb="FF000000"/>
        <rFont val="Arial"/>
        <family val="2"/>
      </rPr>
      <t xml:space="preserve">
</t>
    </r>
  </si>
  <si>
    <t>soumik.banerjee@wsu.edu</t>
  </si>
  <si>
    <t xml:space="preserve">Nanoscale transport phenomena
Molecular modeling of materials
Organic photovoltaic solar cells
Modeling electrolytes in Li batteries
Synthesis and properties of carbon nanostructures
</t>
  </si>
  <si>
    <t xml:space="preserve">Nanoscale transport phenomena,
Molecular modeling of materials,
Organic photovoltaic solar cells,
Modeling electrolytes in Li batteries,
Synthesis , properties of carbon nanostructures
</t>
  </si>
  <si>
    <r>
      <rPr>
        <u/>
        <sz val="10"/>
        <color rgb="FF000000"/>
        <rFont val="Arial"/>
        <family val="2"/>
      </rPr>
      <t>Beckman, Scott</t>
    </r>
    <r>
      <rPr>
        <sz val="10"/>
        <color rgb="FF000000"/>
        <rFont val="Arial"/>
        <family val="2"/>
      </rPr>
      <t xml:space="preserve">
</t>
    </r>
  </si>
  <si>
    <t>scott.beckman@wsu.edu</t>
  </si>
  <si>
    <t>Theoretical and computational methods
Thermal properties of materials
Multi-functional materials
Materials for energy application</t>
  </si>
  <si>
    <t>Theoretical , computational methods,
Thermal properties of materials,
Multi-functional materials,
Materials for energy application</t>
  </si>
  <si>
    <r>
      <rPr>
        <u/>
        <sz val="10"/>
        <color rgb="FF000000"/>
        <rFont val="Arial"/>
        <family val="2"/>
      </rPr>
      <t>Bi, Xiaopeng</t>
    </r>
    <r>
      <rPr>
        <sz val="10"/>
        <color rgb="FF000000"/>
        <rFont val="Arial"/>
        <family val="2"/>
      </rPr>
      <t xml:space="preserve">
</t>
    </r>
  </si>
  <si>
    <t>xiaopeng.bi@wsu.edu</t>
  </si>
  <si>
    <t>Engineering education
Aircraft and vehicle related engineering design
Dynamic failure and fracture of materials and structures</t>
  </si>
  <si>
    <t>Engineering education,
Aircraft , vehicle related engineering design,
Dynamic failure , fracture of materials , structures</t>
  </si>
  <si>
    <r>
      <rPr>
        <u/>
        <sz val="10"/>
        <color rgb="FF000000"/>
        <rFont val="Arial"/>
        <family val="2"/>
      </rPr>
      <t>Biswas, Nandita</t>
    </r>
    <r>
      <rPr>
        <sz val="10"/>
        <color rgb="FF000000"/>
        <rFont val="Arial"/>
        <family val="2"/>
      </rPr>
      <t xml:space="preserve">
</t>
    </r>
  </si>
  <si>
    <t>nandita@wsu.edu</t>
  </si>
  <si>
    <t>Material behavior under Impact loading
Numerical Modeling of dynamic response of metal
Split Hopkinson Pressure bar system
Computer-aided Design of Mechanical Components and Systems
Design and fabrication of high strain rate testing facility</t>
  </si>
  <si>
    <t>Material behavior under Impact loading,
Numerical Modeling of dynamic response of metal,
Split Hopkinson Pressure bar system,
Computer-aided Design of Mechanical Components , Systems,
Design , fabrication of high strain rate testing facility</t>
  </si>
  <si>
    <r>
      <rPr>
        <u/>
        <sz val="10"/>
        <color rgb="FF000000"/>
        <rFont val="Arial"/>
        <family val="2"/>
      </rPr>
      <t>Boddeti, Narasimha</t>
    </r>
    <r>
      <rPr>
        <sz val="10"/>
        <color rgb="FF000000"/>
        <rFont val="Arial"/>
        <family val="2"/>
      </rPr>
      <t xml:space="preserve">
</t>
    </r>
  </si>
  <si>
    <t>narasimha.boddeti@wsu.edu</t>
  </si>
  <si>
    <t>Topology optimization
Additive manufacturing
Soft robotics
Architected materials
Composite materials
Applied mechanics</t>
  </si>
  <si>
    <t>Topology optimization,
Additive manufacturing,
Soft robotics,
Architected materials,
Composite materials,
Applied mechanics</t>
  </si>
  <si>
    <r>
      <rPr>
        <u/>
        <sz val="10"/>
        <color rgb="FF000000"/>
        <rFont val="Arial"/>
        <family val="2"/>
      </rPr>
      <t>Bose, Susmita</t>
    </r>
    <r>
      <rPr>
        <sz val="10"/>
        <color rgb="FF000000"/>
        <rFont val="Arial"/>
        <family val="2"/>
      </rPr>
      <t xml:space="preserve">
</t>
    </r>
  </si>
  <si>
    <t>sbose@wsu.edu</t>
  </si>
  <si>
    <t>Nanoscale surface modification of medical devices, and nanoparticles in protein/drug delivery
Resorbable ceramics and composited in bone tissue engineering using 3-D printing technology
Microwave and plasma processing of materials
In vitro bone cell material interactions
Piezoelectric micromachined ultrasonic transducers (pMUTs) for medical imaging and therapeutics and Ceramic gas sensor</t>
  </si>
  <si>
    <t>Nanoscale surface modification of medical devices, nanoparticles in protein/drug delivery,
Resorbable ceramics , composited in bone tissue engineering using 3-D printing technology,
Microwave , plasma processing of materials,
In vitro bone cell material interactions,
Piezoelectric micromachined ultrasonic transducers (pMUTs) for medical imaging , therapeutics , Ceramic gas sensor</t>
  </si>
  <si>
    <r>
      <rPr>
        <u/>
        <sz val="10"/>
        <color rgb="FF000000"/>
        <rFont val="Arial"/>
        <family val="2"/>
      </rPr>
      <t>Chen, Kuen-Ren (Roland)</t>
    </r>
    <r>
      <rPr>
        <sz val="10"/>
        <color rgb="FF000000"/>
        <rFont val="Arial"/>
        <family val="2"/>
      </rPr>
      <t xml:space="preserve">
</t>
    </r>
  </si>
  <si>
    <t>roland.chen@wsu.edu</t>
  </si>
  <si>
    <t>Biomedical manufacturing
Additive manufacturing
Surgical thermal management
Design of medical assistive devices
Tissue engineering</t>
  </si>
  <si>
    <t>Biomedical manufacturing,
Additive manufacturing,
Surgical thermal management,
Design of medical assistive devices,
Tissue engineering</t>
  </si>
  <si>
    <r>
      <rPr>
        <u/>
        <sz val="10"/>
        <color rgb="FF000000"/>
        <rFont val="Arial"/>
        <family val="2"/>
      </rPr>
      <t>Ding, Jow-Lian</t>
    </r>
    <r>
      <rPr>
        <sz val="10"/>
        <color rgb="FF000000"/>
        <rFont val="Arial"/>
        <family val="2"/>
      </rPr>
      <t xml:space="preserve">
</t>
    </r>
  </si>
  <si>
    <t>jowlian_ding@wsu.edu</t>
  </si>
  <si>
    <t>Dynamic response of materials and structures (experimental characterization, modeling, and simulation)
Shock physics
Thermo-mechanics
Electrodynamics
Stress-induced phase transformation</t>
  </si>
  <si>
    <t>Dynamic response of materials , structures (experimental characterization, modeling, simulation),
Shock physics,
Thermo-mechanics,
Electrodynamics,
Stress-induced phase transformation</t>
  </si>
  <si>
    <t>Dodge, Philip</t>
  </si>
  <si>
    <t>pdodge@wsu.edu</t>
  </si>
  <si>
    <r>
      <rPr>
        <u/>
        <sz val="10"/>
        <color rgb="FF000000"/>
        <rFont val="Arial"/>
        <family val="2"/>
      </rPr>
      <t>Du, Annie D</t>
    </r>
    <r>
      <rPr>
        <sz val="10"/>
        <color rgb="FF000000"/>
        <rFont val="Arial"/>
        <family val="2"/>
      </rPr>
      <t xml:space="preserve">
</t>
    </r>
  </si>
  <si>
    <t>annie.du@wsu.edu</t>
  </si>
  <si>
    <t>Nanomaterials for biosensing and drug delivery
Immunosensors and microchips for biomarker detection
Functional materials for electroanalysis and energy storage
Surface modification and characterization</t>
  </si>
  <si>
    <t>Nanomaterials for biosensing , drug delivery,
Immunosensors , microchips for biomarker detection,
Functional materials for electroanalysis , energy storage,
Surface modification , characterization</t>
  </si>
  <si>
    <t>$6,462 per year (in-state, full-time)</t>
  </si>
  <si>
    <t>Dutta, Prashanta</t>
  </si>
  <si>
    <t>prashanta@wsu.edu</t>
  </si>
  <si>
    <t>Microfluids and Nanofluidics
Transport Modeling for Thermal, Chemical and Biological Systems
Multiscale Modeling and Simulation of Protein-Protein Interactions
Drug Delivery and Discovery
Electrokinetic Flow, Seperation, and Purification
Energy Conversion and Storage</t>
  </si>
  <si>
    <t>Microfluids , Nanofluidics,
Transport Modeling for Thermal, Chemical , Biological Systems,
Multiscale Modeling , Simulation of Protein-Protein Interactions,
Drug Delivery , Discovery,
Electrokinetic Flow, Seperation, Purification,
Energy Conversion , Storage</t>
  </si>
  <si>
    <r>
      <rPr>
        <u/>
        <sz val="10"/>
        <color rgb="FF000000"/>
        <rFont val="Arial"/>
        <family val="2"/>
      </rPr>
      <t>Gozen, Arda</t>
    </r>
    <r>
      <rPr>
        <sz val="10"/>
        <color rgb="FF000000"/>
        <rFont val="Arial"/>
        <family val="2"/>
      </rPr>
      <t xml:space="preserve">
</t>
    </r>
  </si>
  <si>
    <t>arda.gozen@wsu.edu</t>
  </si>
  <si>
    <t>Manufacturing processes and equipment,
Micro additive manufacturing with polymer composites and metals,
Soft and wearable devices,
Bio-printing.</t>
  </si>
  <si>
    <t>Manufacturing processes , equipment,
Micro additive manufacturing with polymer composites , metals,
Soft , wearable devices,
Bio-printing,</t>
  </si>
  <si>
    <r>
      <rPr>
        <u/>
        <sz val="10"/>
        <color rgb="FF000000"/>
        <rFont val="Arial"/>
        <family val="2"/>
      </rPr>
      <t>Hosseinzadeh, Mehdi</t>
    </r>
    <r>
      <rPr>
        <sz val="10"/>
        <color rgb="FF000000"/>
        <rFont val="Arial"/>
        <family val="2"/>
      </rPr>
      <t xml:space="preserve">
</t>
    </r>
  </si>
  <si>
    <t>mehdi.hosseinzadeh@wsu.edu</t>
  </si>
  <si>
    <t>Control Theory
Optimization
Autonomous Systems
Robotics
Cyber-Physical Systems
Learning-Based Control</t>
  </si>
  <si>
    <t>Control Theory,
Optimization,
Autonomous Systems,
Robotics,
Cyber-Physical Systems,
Learning-Based Control</t>
  </si>
  <si>
    <r>
      <rPr>
        <u/>
        <sz val="10"/>
        <color rgb="FF000000"/>
        <rFont val="Arial"/>
        <family val="2"/>
      </rPr>
      <t>Hu, Yueqi</t>
    </r>
    <r>
      <rPr>
        <sz val="10"/>
        <color rgb="FF000000"/>
        <rFont val="Arial"/>
        <family val="2"/>
      </rPr>
      <t xml:space="preserve">
</t>
    </r>
  </si>
  <si>
    <t>yueqi_hu@wsu.edu</t>
  </si>
  <si>
    <t>Dynamic response of materials and structure (Experimental characterization, modeling, and simulation)
Polymer composites, structural and interfacial behavior
Molecular dynamics</t>
  </si>
  <si>
    <t>Dynamic response of materials , structure (Experimental characterization, modeling, simulation),
Polymer composites, structural , interfacial behavior,
Molecular dynamics</t>
  </si>
  <si>
    <r>
      <rPr>
        <u/>
        <sz val="10"/>
        <color rgb="FF000000"/>
        <rFont val="Arial"/>
        <family val="2"/>
      </rPr>
      <t>Larsen, Emily</t>
    </r>
    <r>
      <rPr>
        <sz val="10"/>
        <color rgb="FF000000"/>
        <rFont val="Arial"/>
        <family val="2"/>
      </rPr>
      <t xml:space="preserve">
</t>
    </r>
  </si>
  <si>
    <t>emily.a.larsen@wsu.edu</t>
  </si>
  <si>
    <t>Continuum robot modeling
Soft robotic medical devices
Shape memory alloy characterization and implementation
Engineering education and learning</t>
  </si>
  <si>
    <t>Continuum robot modeling,
Soft robotic medical devices,
Shape memory alloy characterization , implementation,
Engineering education , learning</t>
  </si>
  <si>
    <r>
      <rPr>
        <u/>
        <sz val="10"/>
        <color rgb="FF000000"/>
        <rFont val="Arial"/>
        <family val="2"/>
      </rPr>
      <t>Leachman, Jacob</t>
    </r>
    <r>
      <rPr>
        <sz val="10"/>
        <color rgb="FF000000"/>
        <rFont val="Arial"/>
        <family val="2"/>
      </rPr>
      <t xml:space="preserve">
</t>
    </r>
  </si>
  <si>
    <t>jacob.leachman@wsu.edu</t>
  </si>
  <si>
    <t>Energy
Thermo-fluid Sciences</t>
  </si>
  <si>
    <t>Energy,Thermo-fluid Sciences</t>
  </si>
  <si>
    <t>Li, Qizhen (Katherine)</t>
  </si>
  <si>
    <t>qizhen.li@wsu.edu</t>
  </si>
  <si>
    <t>Advanced materials (e.g., light weight materials and structures, nanoporous materials, nanocomposites, nanostructured multilayered thin films, lattice block structures) for structural, energy, and bio-applications
Nano and micro fabrication/manufacturing, and materials synthesis/processing
Mechanical behavior of materials, Nano/micro-mechanics, Fatigue and Fracture
RelationshiPamong processing, structure and property of advanced materials
Biomaterials and Biomechanics, bone/dental implant materials, biomedical applications of shape memory alloys, magnesium alloys, and titanium alloys</t>
  </si>
  <si>
    <t>Advanced materials (e,g,, light weight materials , structures, nanoporous materials, nanocomposites, nanostructured multilayered thin films, lattice block structures) for structural, energy, bio-applications,Nano -micro fabrication/manufacturing, materials synthesis/processing,
Mechanical behavior of materials, Nano/micro-mechanics, Fatigue , Fracture,
RelationshiPamong processing, structure , property of advanced materials,
Biomaterials , Biomechanics, bone/dental implant materials, biomedical applications of shape memory alloys, magnesium alloys, titanium alloys</t>
  </si>
  <si>
    <t>Lin, Yuehe</t>
  </si>
  <si>
    <t>yuehe.lin@wsu.edu</t>
  </si>
  <si>
    <t>Synthesis and characterization of functional nanomaterials
Materials and devices for sensing, bioimaging, and drug delivery
Materials and systems for water monitoring and treatment
Nanomaterials for fuel cells, batteries, and supercapacitors
Electrochemistry, electrocatalysis and photoelectrocatalysis
Immunosensors, paper and microfluidic biosensors for biomarker detection</t>
  </si>
  <si>
    <t>Synthesis , characterization of functional nanomaterials,
Materials , devices for sensing, bioimaging, drug delivery,
Materials , systems for water monitoring , treatment,
Nanomaterials for fuel cells, batteries, supercapacitors,
Electrochemistry, electrocatalysis , photoelectrocatalysis,
Immunosensors, paper , microfluidic biosensors for biomarker detection</t>
  </si>
  <si>
    <r>
      <rPr>
        <u/>
        <sz val="10"/>
        <color rgb="FF000000"/>
        <rFont val="Arial"/>
        <family val="2"/>
      </rPr>
      <t>Liu, Jin</t>
    </r>
    <r>
      <rPr>
        <sz val="10"/>
        <color rgb="FF000000"/>
        <rFont val="Arial"/>
        <family val="2"/>
      </rPr>
      <t xml:space="preserve">
</t>
    </r>
  </si>
  <si>
    <t>jin.liu2@wsu.edu</t>
  </si>
  <si>
    <t>Multiscale modeling and simulation
Fluid mechanics, turbulent flow and computational fluid dynamics
Micro/Nano-fluidic and bio-fluidics
Electrokinetic transport and electrowetting
Modeling of mesoscale molecule adhesion and targeted drug delivery</t>
  </si>
  <si>
    <t>Multiscale modeling , simulation,
Fluid mechanics, turbulent flow , computational fluid dynamics,
Micro/Nano-fluidic , bio-fluidics,
Electrokinetic transport , electrowetting,
Modeling of mesoscale molecule adhesion , targeted drug delivery</t>
  </si>
  <si>
    <r>
      <rPr>
        <u/>
        <sz val="10"/>
        <color rgb="FF000000"/>
        <rFont val="Arial"/>
        <family val="2"/>
      </rPr>
      <t>Luo, Ming</t>
    </r>
    <r>
      <rPr>
        <sz val="10"/>
        <color rgb="FF000000"/>
        <rFont val="Arial"/>
        <family val="2"/>
      </rPr>
      <t xml:space="preserve">
</t>
    </r>
  </si>
  <si>
    <t>ming.luo@wsu.edu</t>
  </si>
  <si>
    <t>Soft robot modeling, sensing, control, and motion planning
Snake robot control and motion planning
Haptics</t>
  </si>
  <si>
    <t>Soft robot modeling, sensing, control, motion planning,
Snake robot control , motion planning,
Haptics</t>
  </si>
  <si>
    <t>Matveev, Konstantin</t>
  </si>
  <si>
    <t>matveev@wsu.edu</t>
  </si>
  <si>
    <t>High-Performance Marine Craft
Ground-Effect Aerodynamics
Free-Surface Hydrodynamics
Unmanned Aerial and Marine Vehicles
Thermoacoustics</t>
  </si>
  <si>
    <t>High-Performance Marine Craft,
Ground-Effect Aerodynamics,
Free-Surface Hydrodynamics,
Unmanned Aerial , Marine Vehicles,
Thermoacoustics</t>
  </si>
  <si>
    <r>
      <rPr>
        <u/>
        <sz val="10"/>
        <color rgb="FF000000"/>
        <rFont val="Arial"/>
        <family val="2"/>
      </rPr>
      <t>McCloy, John</t>
    </r>
    <r>
      <rPr>
        <sz val="10"/>
        <color rgb="FF000000"/>
        <rFont val="Arial"/>
        <family val="2"/>
      </rPr>
      <t xml:space="preserve">
</t>
    </r>
  </si>
  <si>
    <t>john.mccloy@wsu.edu</t>
  </si>
  <si>
    <t>Nuclear materials
Functional materials (optical, magnetic, electronic)
Material degradation ceramics, glasses, metals
Advanced material characterization methods</t>
  </si>
  <si>
    <t>Nuclear materials,
Functional materials (optical, magnetic, electronic),
Material degradation ceramics, glasses, metals,
Advanced material characterization methods</t>
  </si>
  <si>
    <r>
      <rPr>
        <u/>
        <sz val="10"/>
        <color rgb="FF000000"/>
        <rFont val="Arial"/>
        <family val="2"/>
      </rPr>
      <t>McLarty, Dustin</t>
    </r>
    <r>
      <rPr>
        <sz val="10"/>
        <color rgb="FF000000"/>
        <rFont val="Arial"/>
        <family val="2"/>
      </rPr>
      <t xml:space="preserve">
</t>
    </r>
  </si>
  <si>
    <t>dustin.mclarty@wsu.edu</t>
  </si>
  <si>
    <t>High temperature fuel cells
Distributed generation systems
Energy storage dynamics and integration with renewable sources</t>
  </si>
  <si>
    <t>High temperature fuel cells,
Distributed generation systems,
Energy storage dynamics , integration with renewable sources</t>
  </si>
  <si>
    <t>Mesarovic, Sinisa</t>
  </si>
  <si>
    <t>smesarovic@wsu.edu</t>
  </si>
  <si>
    <t>Plasticity of crystals and interfaces
Micromechanics of granular materials
Computational methods for coupled moving boundaries problems (phase transformations, wetting)
Collective behavior of carbon nanotubes
Multiscale/multiphysics modeling
Contact and adhesion mechanics</t>
  </si>
  <si>
    <t>Plasticity of crystals , interfaces,
Micromechanics of granular materials,
Computational methods for coupled moving boundaries problems (phase transformations, wetting),
Collective behavior of carbon nanotubes,
Multiscale/multiphysics modeling,
Contact , adhesion mechanics</t>
  </si>
  <si>
    <r>
      <rPr>
        <u/>
        <sz val="10"/>
        <color rgb="FF000000"/>
        <rFont val="Arial"/>
        <family val="2"/>
      </rPr>
      <t>Mo, Changki</t>
    </r>
    <r>
      <rPr>
        <sz val="10"/>
        <color rgb="FF000000"/>
        <rFont val="Arial"/>
        <family val="2"/>
      </rPr>
      <t xml:space="preserve">
</t>
    </r>
  </si>
  <si>
    <t>changki.mo@tricity.wsu.edu</t>
  </si>
  <si>
    <t>Robotics and Automation
Renewable Bio-nanomaterials
Vehicular and Structural Vibration Control
Smart Materials and Structures
Vibration-based Piezoelectric Energy Harvesting
MEMS Actuators and Sensors
Adaptive Structures using Shape Memory Polymers</t>
  </si>
  <si>
    <t>Robotics , Automation,
Renewable Bio-nanomaterials,
Vehicular , Structural Vibration Control,
Smart Materials , Structures,
Vibration-based Piezoelectric Energy Harvesting,
MEMS Actuators , Sensors,
Adaptive Structures using Shape Memory Polymers</t>
  </si>
  <si>
    <r>
      <rPr>
        <u/>
        <sz val="10"/>
        <color rgb="FF000000"/>
        <rFont val="Arial"/>
        <family val="2"/>
      </rPr>
      <t>Norton, M. Grant</t>
    </r>
    <r>
      <rPr>
        <sz val="10"/>
        <color rgb="FF000000"/>
        <rFont val="Arial"/>
        <family val="2"/>
      </rPr>
      <t xml:space="preserve">
</t>
    </r>
  </si>
  <si>
    <t>mg_norton@wsu.edu</t>
  </si>
  <si>
    <t>Ceramic Materials
Nanotechnology
Clean Technology</t>
  </si>
  <si>
    <t>Ceramic Materials,
Nanotechnology,
Clean Technology</t>
  </si>
  <si>
    <r>
      <rPr>
        <u/>
        <sz val="10"/>
        <color rgb="FF000000"/>
        <rFont val="Arial"/>
        <family val="2"/>
      </rPr>
      <t>Pérez-Arancibia, Néstor O.</t>
    </r>
    <r>
      <rPr>
        <sz val="10"/>
        <color rgb="FF000000"/>
        <rFont val="Arial"/>
        <family val="2"/>
      </rPr>
      <t xml:space="preserve">
</t>
    </r>
  </si>
  <si>
    <t>n.perezarancibia@wsu.edu</t>
  </si>
  <si>
    <t>Microrobotics
Microfabrication
Mechatronics
Feedback Control
Biologically-Inspired Engineering
Soft Robotics
Autonomous Systems
Signal Processing
Dynamics
Applied Optical Engineering</t>
  </si>
  <si>
    <t>Microrobotics,
Microfabrication,
Mechatronics,
Feedback Control,
Biologically-Inspired Engineering,
Soft Robotics,
Autonomous Systems,
Signal Processing,
Dynamics,
Applied Optical Engineering</t>
  </si>
  <si>
    <r>
      <rPr>
        <u/>
        <sz val="10"/>
        <color rgb="FF000000"/>
        <rFont val="Arial"/>
        <family val="2"/>
      </rPr>
      <t>Pezeshki, Charles (Dr. Chuck)</t>
    </r>
    <r>
      <rPr>
        <sz val="10"/>
        <color rgb="FF000000"/>
        <rFont val="Arial"/>
        <family val="2"/>
      </rPr>
      <t xml:space="preserve">
</t>
    </r>
  </si>
  <si>
    <t>pezeshki@wsu.edu</t>
  </si>
  <si>
    <t>Global Engineering and Design of High-Performance Work Environments
Development Strategies for Transcultural Understanding for Innovation Communities
Understanding the Relationships between Design Structure, Knowledge Structure, and Organizational Social Structure in Innovation Communities
Neuroscience and Collective Intelligence Exercises
Project-Based and Experiential Learning
Development of Industrial/Academic Relations
Visualization in Ecodesign, and Sustainability Education
He is also extensively involved in environmental politics and consults on political strategy on environmental protection issues.</t>
  </si>
  <si>
    <t>Global Engineering , Design of High-Performance Work Environments,
Development Strategies for Transcultural Underst,ing for Innovation Communities,
Underst,ing the Relationships between Design Structure, Knowledge Structure, Organizational Social Structure in Innovation Communities,
Neuroscience , Collective Intelligence Exercises,
Project-Based , Experiential Learning,
Development of Industrial/Academic Relations,
Visualization in Ecodesign, Sustainability Education,
He is also extensively involved in environmental politics , consults on political strategy on environmental protection issues</t>
  </si>
  <si>
    <r>
      <rPr>
        <u/>
        <sz val="10"/>
        <color rgb="FF000000"/>
        <rFont val="Arial"/>
        <family val="2"/>
      </rPr>
      <t>Qiu, Kaiyan</t>
    </r>
    <r>
      <rPr>
        <sz val="10"/>
        <color rgb="FF000000"/>
        <rFont val="Arial"/>
        <family val="2"/>
      </rPr>
      <t xml:space="preserve">
</t>
    </r>
  </si>
  <si>
    <t>kaiyan.qiu@wsu.edu</t>
  </si>
  <si>
    <t>3D Printing
Artificial Organs
Wearable Electronics
Soft Robots
Biometric Devices
Wearable Biosensors</t>
  </si>
  <si>
    <t>3D Printing,
Artificial Organs,
Wearable Electronics,
Soft Robots,
Biometric Devices,
Wearable Biosensors</t>
  </si>
  <si>
    <r>
      <rPr>
        <u/>
        <sz val="10"/>
        <color rgb="FF000000"/>
        <rFont val="Arial"/>
        <family val="2"/>
      </rPr>
      <t>Rathnayake, Anura</t>
    </r>
    <r>
      <rPr>
        <sz val="10"/>
        <color rgb="FF000000"/>
        <rFont val="Arial"/>
        <family val="2"/>
      </rPr>
      <t xml:space="preserve">
</t>
    </r>
  </si>
  <si>
    <t>a.rathnayakemudiyan@wsu.edu</t>
  </si>
  <si>
    <t>Industry-collaborated engineering design
Precision agriculture and application technology
Remote and proximal sensing in croPproduction and management</t>
  </si>
  <si>
    <t>Industry-collaborated engineering design,
Precision agriculture , application technology,
Remote , proximal sensing in croPproduction , management</t>
  </si>
  <si>
    <r>
      <rPr>
        <u/>
        <sz val="10"/>
        <color rgb="FF000000"/>
        <rFont val="Arial"/>
        <family val="2"/>
      </rPr>
      <t>Smith, Lloyd V</t>
    </r>
    <r>
      <rPr>
        <sz val="10"/>
        <color rgb="FF000000"/>
        <rFont val="Arial"/>
        <family val="2"/>
      </rPr>
      <t xml:space="preserve">
</t>
    </r>
  </si>
  <si>
    <t>lvsmith@wsu.edu</t>
  </si>
  <si>
    <t>Composite Materials
multi-axial characterization
damage and failure modeling
environmental degradation
Sports Science
experimental bat and ball performance
numeric modeling of sport ball impacts
protective equipment and Head injury</t>
  </si>
  <si>
    <t>Composite Materials,
multi-axial characterization,
damage , failure modeling,
environmental degradation,
Sports Science,
experimental bat , ball performance,
numeric modeling of sport ball impacts,
protective equipment , Head injury</t>
  </si>
  <si>
    <r>
      <rPr>
        <u/>
        <sz val="10"/>
        <color rgb="FF000000"/>
        <rFont val="Arial"/>
        <family val="2"/>
      </rPr>
      <t>Song, Min Kyu</t>
    </r>
    <r>
      <rPr>
        <sz val="10"/>
        <color rgb="FF000000"/>
        <rFont val="Arial"/>
        <family val="2"/>
      </rPr>
      <t xml:space="preserve">
</t>
    </r>
  </si>
  <si>
    <t>minkyu.song@wsu.edu</t>
  </si>
  <si>
    <t>Rational design of materials/interfaces and manufacturing technologies
Energy technologies (1) Batteries, (2) Fuel cells, (3) Supercapacitors and (4) Smart windows
Environmental technologies (1) Electrochemical synthesis of fuels and (2) Electrochemical desalination/deionization of water
Bio-inspired materials and processes for energy and the environment
Structure-Property relations in materials and solid-state electrochemistry</t>
  </si>
  <si>
    <t>Rational design of materials/interfaces , manufacturing technologies,
Energy technologies, Batteries, Fuel cells, Supercapacitors ,  Smart windows,
Environmental technologies, Electrochemical synthesis of fuels ,  Electrochemical desalination/deionization of water,
Bio-inspired materials , processes for energy , the environment,
Structure-Property relations in materials , solid-state electrochemistry</t>
  </si>
  <si>
    <r>
      <rPr>
        <u/>
        <sz val="10"/>
        <color rgb="FF000000"/>
        <rFont val="Arial"/>
        <family val="2"/>
      </rPr>
      <t>Steffens, Jonathan</t>
    </r>
    <r>
      <rPr>
        <sz val="10"/>
        <color rgb="FF000000"/>
        <rFont val="Arial"/>
        <family val="2"/>
      </rPr>
      <t xml:space="preserve">
</t>
    </r>
  </si>
  <si>
    <t>jonathan.steffens@wsu.edu</t>
  </si>
  <si>
    <t>Computation Fluid Mechanics
Pollutant dispersion from roadway, rail yard, and seaport sources
Gaussian plume dispersion modelling</t>
  </si>
  <si>
    <t>Computation Fluid Mechanics,
Pollutant dispersion from roadway, rail yard, seaport sources,
Gaussian plume dispersion modelling,</t>
  </si>
  <si>
    <t>Strong, Derek</t>
  </si>
  <si>
    <t>derek.strong@wsu.edu</t>
  </si>
  <si>
    <r>
      <rPr>
        <u/>
        <sz val="10"/>
        <color rgb="FF000000"/>
        <rFont val="Arial"/>
        <family val="2"/>
      </rPr>
      <t>Swensen, John P</t>
    </r>
    <r>
      <rPr>
        <sz val="10"/>
        <color rgb="FF000000"/>
        <rFont val="Arial"/>
        <family val="2"/>
      </rPr>
      <t xml:space="preserve">
</t>
    </r>
  </si>
  <si>
    <t>john.swensen@wsu.edu</t>
  </si>
  <si>
    <t>Medical robotics
Steerable Needles
Compliant devices
Tunably compliant mechanisms
Modular robotics
Compliant ensembles
Smart materials in robotics</t>
  </si>
  <si>
    <t>Medical robotics,
Steerable Needles,
Compliant devices,
Tunably compliant mechanisms,
Modular robotics,
Compliant ensembles,
Smart materials in robotics</t>
  </si>
  <si>
    <t>Taub, Gordon</t>
  </si>
  <si>
    <t>gordon.taub@wsu.edu</t>
  </si>
  <si>
    <t>Computational Fluid Dynamics (CFD)
Renewable Energy
Wind farm design
Hydro-kinetic energy harvesting
Flow Induced Vibrations (FIV)
Turbulent jets and plumes</t>
  </si>
  <si>
    <t>Computational Fluid Dynamics (CFD),
Renewable Energy,
Wind farm design,
Hydro-kinetic energy harvesting,
Flow Induced Vibrations (FIV),
Turbulent jets , plumes</t>
  </si>
  <si>
    <t>Zhang, Jinwen</t>
  </si>
  <si>
    <t>jwzhang@wsu.edu</t>
  </si>
  <si>
    <t>Synthesis, processing and application development of biobased polymer materials
Structure and properties of polymer blends and composites
Polymer foaming and fiber spinning technologies
Polymer stabilization and flame retardancy
Polymer hydrogel and controlled release</t>
  </si>
  <si>
    <t>Synthesis, processing , application development of biobased polymer materials,
Structure , properties of polymer blends , composites,
Polymer foaming , fiber spinning technologies,
Polymer stabilization , flame retardancy,
Polymer hydrogel , controlled release</t>
  </si>
  <si>
    <r>
      <rPr>
        <u/>
        <sz val="10"/>
        <color rgb="FF000000"/>
        <rFont val="Arial"/>
        <family val="2"/>
      </rPr>
      <t>Zhong, Weihong (Katie)</t>
    </r>
    <r>
      <rPr>
        <sz val="10"/>
        <color rgb="FF000000"/>
        <rFont val="Arial"/>
        <family val="2"/>
      </rPr>
      <t xml:space="preserve">
</t>
    </r>
  </si>
  <si>
    <t>katie_zhong@wsu.edu</t>
  </si>
  <si>
    <t>Polymers and composite manufacturing technology
Battery materials and renewable energy materials
Nanocomposites and multifunctional materials
Biomaterials and environmental polymeric materials</t>
  </si>
  <si>
    <t>Polymers , composite manufacturing technology,
Battery materials , renewable energy materials,
Nanocomposites , multifunctional materials,
Biomaterials , environmental polymeric materials</t>
  </si>
  <si>
    <t>Shi. Xianming (Head)</t>
  </si>
  <si>
    <t>xianming.shi@wsu.edu</t>
  </si>
  <si>
    <t>Worcester Polytechnic Institute</t>
  </si>
  <si>
    <r>
      <rPr>
        <u/>
        <sz val="10"/>
        <color rgb="FF000000"/>
        <rFont val="Arial"/>
        <family val="2"/>
      </rPr>
      <t>Robert W. Hyers</t>
    </r>
    <r>
      <rPr>
        <sz val="10"/>
        <color rgb="FF000000"/>
        <rFont val="Arial"/>
        <family val="2"/>
      </rPr>
      <t xml:space="preserve"> (Head)</t>
    </r>
  </si>
  <si>
    <t xml:space="preserve"> rwhyers@wpi.edu</t>
  </si>
  <si>
    <t>Sarah Jane Wodin-Schwartz</t>
  </si>
  <si>
    <t xml:space="preserve"> swodinschwartz@wpi.edu</t>
  </si>
  <si>
    <t>Microelectromechanical Systems (MEMS),Renewable Energy,Social Impact of Engineering Implementation,Engineering Design,Product Development</t>
  </si>
  <si>
    <t>Mehul A Bhatia</t>
  </si>
  <si>
    <t xml:space="preserve"> mabhatia@wpi.edu</t>
  </si>
  <si>
    <t>Density Functional Theory
Dislocation and Twinning in Metals and Alloys - Stacking Faults Energies
Fatigue and CreePDeformation</t>
  </si>
  <si>
    <t>Density Functional Theory,
Dislocation , Twinning in Metals , Alloys - Stacking Faults Energies,
Fatigue , Creep Deformation</t>
  </si>
  <si>
    <t>Christopher A. Brown</t>
  </si>
  <si>
    <t xml:space="preserve"> brown@wpi.edu</t>
  </si>
  <si>
    <t>Surface Metrology
Axiomatic Design
Sports Engineering</t>
  </si>
  <si>
    <t>Surface Metrology,
Axiomatic Design,
Sports Engineering</t>
  </si>
  <si>
    <t>Danielle Lynn Cote</t>
  </si>
  <si>
    <t xml:space="preserve"> dlcote2@wpi.edu</t>
  </si>
  <si>
    <t xml:space="preserve">The majority of our research is guided by computational thermodynamic and kinetic modeling for rapidly solidified materials. At the same time, experimentation and characterization efforts are carried out in order to validate and verify our computational modeling. Experimental methods include SEM/TEM, nanoindentation, XRD, and much more. This approach to research has enabled the development of advanced cold spray processing, metal additive manufacturing, powder metallurgy, and more.
</t>
  </si>
  <si>
    <t xml:space="preserve">computational thermodynamic , kinetic modeling for rapidly solidified materials, At the same time, experimentation , characterization efforts are carried out in order to validate , verify our computational modeling, Experimental methods include SEM/TEM, nanoindentation, XRD
</t>
  </si>
  <si>
    <t>Chrys Demetry</t>
  </si>
  <si>
    <t xml:space="preserve"> cdemetry@wpi.edu</t>
  </si>
  <si>
    <t>K-12 engineering outreach for girls
Women academics in STEM
Faculty development and mentoring
Project-based learning and course design
Materials science and engineering education</t>
  </si>
  <si>
    <t>K-12 engineering outreach for girls,
Women academics in STEM,
Faculty development , mentoring,
Project-based learning , course design,
Materials science , engineering education</t>
  </si>
  <si>
    <t>Alireza Ebadi</t>
  </si>
  <si>
    <t xml:space="preserve"> aebadi@wpi.edu</t>
  </si>
  <si>
    <t xml:space="preserve">My research expertise are experimental fluid dynamics, turbulent flows and reduced order modeling. I have been continuously publishing peer-reviewed articles since 2015 and attending professional conferences since 2011. I also serve as an invited reviewer of several scientific journals.
</t>
  </si>
  <si>
    <t xml:space="preserve">fluid dynamics, turbulent flows , reduced order modeling
</t>
  </si>
  <si>
    <t>Mustapha S. Fofana</t>
  </si>
  <si>
    <t xml:space="preserve"> msfofana@wpi.edu</t>
  </si>
  <si>
    <t>Nonlinear Machine-Tool Chatter
Manufacturing Time Delay Dynamics and Control
Manufacturing Health Monitoring, Delay Differential Equations and Degenerate Ho…
Stochastic Nonlinear Time Delay Dynamics</t>
  </si>
  <si>
    <t>Nonlinear Machine-Tool Chatter,
Manufacturing Time Delay Dynamics , Control,
Manufacturing Health Monitoring, Delay Differential Equations,
Stochastic Nonlinear Time Delay Dynamic</t>
  </si>
  <si>
    <t>Cosme Furlong-Vazquez</t>
  </si>
  <si>
    <t xml:space="preserve"> cfurlong@wpi.edu</t>
  </si>
  <si>
    <t>Modeling and simulation with quantitative optical metrology
Fiber optics sensors, digital holography
NDT
Materials characterization
Design optimization of mechanical and microelectromechanical components and sys…</t>
  </si>
  <si>
    <t>Modeling , simulation with quantitative optical metrology,
Fiber optics sensors, digital holography,
NDT,
Materials characterization,
Design optimization of mechanical , microelectromechanical components</t>
  </si>
  <si>
    <t>Aswin Gnanaskandan</t>
  </si>
  <si>
    <t xml:space="preserve"> agnanaskandan@wpi.edu</t>
  </si>
  <si>
    <t>Computational Fluid Dynamics
Multiphase flows
Biomedical Acoustics
High Performance Computing</t>
  </si>
  <si>
    <t>Computational Fluid Dynamics,
Multiphase flows,
Biomedical Acoustics,
High Performance Computing</t>
  </si>
  <si>
    <t>Selcuk Guceri</t>
  </si>
  <si>
    <t xml:space="preserve"> guceri@wpi.edu</t>
  </si>
  <si>
    <t>$28,980 per year (full-time)</t>
  </si>
  <si>
    <t>Zhikun Hou</t>
  </si>
  <si>
    <t xml:space="preserve"> hou@wpi.edu</t>
  </si>
  <si>
    <t>Engineering mechanics
Dynamics and vibration
Structural health monitoring and control
Random vibration and structural reliability
Numerical methods including finite element analysis</t>
  </si>
  <si>
    <t>Engineering mechanics,
Dynamics , vibration,
Structural health monitoring , control,
R,om vibration , structural reliability,
Numerical methods including finite element analysis</t>
  </si>
  <si>
    <t>Diana A. Lados</t>
  </si>
  <si>
    <t xml:space="preserve"> lados@wpi.edu</t>
  </si>
  <si>
    <t>Fatigue, fatigue crack growth, fracture
Design and optimization of materials for fatigue and fatigue crack growth resis…
Light metals (traditionally cast and semi-solid processed)
Advanced microstructure characterization and microstructure-performance relatio…
Physical metallurgy aspects of solidification processes of cast alloys
Impact of post-solidification operations (heat treatment) on mechanical propert…
Alloy/process development from fundamentals to production
Traditional and novel techniques to measure residual stress and new methods to …
Evaluate plasticity contributions to fatigue crack growth and fracture toughnes…
Closure and long-crack to small-crack correlations in fatigue crack growth
Fracture mechanics concepts and their application to residual stress and crack …
"On-line" residual stress, plasticity, and closure corrections techniques
DeveloPappropriate/compatible fatigue life prediction models
Powder metallurgy
Novel, forensic, and historic materials</t>
  </si>
  <si>
    <t>Fatigue, fatigue crack growth, fracture,
Design , optimization of materials for fatigue , 
Light metals (traditionally cast , semi-solid processed)
Advanced microstructure characterization ,
Physical metallurgy aspects of solidification processes of cast alloys,
Alloy/process development from fundamentals to production,
Closure , long-crack to small-crack correlations in fatigue crack growth,
"On-line" residual stress, plasticity, closure corrections techniques,
DeveloPappropriate/compatible fatigue life prediction models,
Powder metallurgy,
Novel, forensic, historic materials</t>
  </si>
  <si>
    <t>Fiona Levey</t>
  </si>
  <si>
    <t xml:space="preserve"> fclevey@wpi.edu</t>
  </si>
  <si>
    <t>Materials Science
Thermal Fluids</t>
  </si>
  <si>
    <t>Materials Science,
Thermal Fluids</t>
  </si>
  <si>
    <t>Jianyu Liang</t>
  </si>
  <si>
    <t xml:space="preserve"> jianyul@wpi.edu</t>
  </si>
  <si>
    <t>Nanomaterials
Li-ion batteries
Fuel cells
Nanobiotechnology</t>
  </si>
  <si>
    <t>Nanomaterials,
Li-ion batteries,
Fuel cells,
Nanobiotechnology,</t>
  </si>
  <si>
    <t>Yuxiang Liu</t>
  </si>
  <si>
    <t xml:space="preserve"> yliu11@wpi.edu</t>
  </si>
  <si>
    <t>optical trapping
fiber optic sensors
silicon integrated photonics
food processing and safety
cell and brain biomechanics
optofluidics
medical devices</t>
  </si>
  <si>
    <t>optical trapping,
fiber optic sensors,
silicon integrated photonics,
food processing , safety,
cell , brain biomechanics,
optofluidics,
medical devices,</t>
  </si>
  <si>
    <t>Makhlouf M. Makhlouf</t>
  </si>
  <si>
    <t xml:space="preserve"> mmm@wpi.edu</t>
  </si>
  <si>
    <t>Materials processing, particularly casting technology and solidification of met…
Alloy design and process optimization with applications in the development of a…
Processing, synthesis, and characterization of metal-matrix nanocomposites.
Powder Metallurgy
Electrolysis-induced hydrogen uptake, diffusion, and trapping in high strength …</t>
  </si>
  <si>
    <t>Materials processing, particularly casting technology ,
Alloy design,
Processing, synthesis, characterization of metal-matrix nanocomposites,
Powder Metallurgy,
Electrolysis-induced hydrogen uptake, diffusion</t>
  </si>
  <si>
    <t>Zhu Mao</t>
  </si>
  <si>
    <t xml:space="preserve"> zmao2@wpi.edu</t>
  </si>
  <si>
    <t>Structural Health Monitoring and Prognostics
Noncontact Sensing, Photogrammetry, and Computer Vision
Data-Driven System Identification, Signal Processing, Machine Learning, and Unc…
Intelligent Energy, Manufacturing and Transportation Infrastructures, Digital T…
Dynamics, Vibrations, and Nondestructive Evaluation</t>
  </si>
  <si>
    <t>Structural Health Monitoring , Prognostics,
Noncontact Sensing, Photogrammetry, Computer Vision,
Data-Driven System Identification, Signal Processing, Machine Learning,
Intelligent Energy, Manufacturing , Transportation Infrastructures,
Dynamics, Vibrations, Nondestructive Evaluation</t>
  </si>
  <si>
    <t>Brajendra Mishra</t>
  </si>
  <si>
    <t xml:space="preserve"> bmishra@wpi.edu</t>
  </si>
  <si>
    <t>Corrosion
Materials Processing
Surface Engineering
Resource Recovery &amp; Recycling
Critical materials</t>
  </si>
  <si>
    <t>Corrosion,
Materials Processing,
Surface Engineering,
Resource Recovery &amp; Recycling,
Critical materials</t>
  </si>
  <si>
    <t>Mehdi Mortazavi</t>
  </si>
  <si>
    <t xml:space="preserve"> mmortazavi@wpi.edu</t>
  </si>
  <si>
    <t>His area of expertise is thermo-fluids systems and he teaches Fluid Mechanics, Thermodynamics, Heat Transfer, and Thermofluid Application and Design at WPI.</t>
  </si>
  <si>
    <t>thermo-fluids systems , he teaches Fluid Mechanics, Thermodynamics, Heat Transfer, Thermofluid Application , Design at WPI</t>
  </si>
  <si>
    <t>Adam Clayton Powell</t>
  </si>
  <si>
    <t xml:space="preserve"> acpowell@wpi.edu</t>
  </si>
  <si>
    <t xml:space="preserve">Powell's research has resulted in 17 patents and 72 publications across materials classes metal extraction/refining and product development, thin films, ceramic coatings, polymer membranes, batteries, and electromagnetic propulsion. He is the author of nine open source computational tools in materials processing, microstructure and thermodynamics modeling.
</t>
  </si>
  <si>
    <t xml:space="preserve"> metal extraction/refining , product development, thin films, ceramic coatings, polymer membranes, batteries, electromagnetic propulsion
</t>
  </si>
  <si>
    <t>PradeePRadhakrishnan</t>
  </si>
  <si>
    <t xml:space="preserve"> pradhakrishnan@wpi.edu</t>
  </si>
  <si>
    <t xml:space="preserve">My research is centered around developing automated design tools and hardware related to mechatronic systems.
</t>
  </si>
  <si>
    <t xml:space="preserve">automated design tools , hardware related to mechatronic systems,
</t>
  </si>
  <si>
    <t>PrataPM. Rao</t>
  </si>
  <si>
    <t xml:space="preserve"> pmrao@wpi.edu</t>
  </si>
  <si>
    <t xml:space="preserve">My research is aimed at discovering, understanding and developing advanced materials for a range of applications including solar energy conversion, catalysis, printed electronics, sensors, and functional coatings. Our lab specializes in the synthesis of nanostructured thin film materials using scalable processes. Students and researchers in my lab can expect to work on highly interdisciplinary projects at the intersection of materials science, mechanical engineering, solid state physics, and thermal sciences.
</t>
  </si>
  <si>
    <t xml:space="preserve">advanced materials for a range of applications including solar energy conversion, catalysis, printed electronics, sensors, functional coatings
</t>
  </si>
  <si>
    <t>Ahmet Can Sabuncu</t>
  </si>
  <si>
    <t xml:space="preserve"> acsabuncu@wpi.edu</t>
  </si>
  <si>
    <t>Microfluidics
Dielectrophoretic effects in fluids
Dielectric relaxation spectroscopy</t>
  </si>
  <si>
    <t>Microfluidics,
Dielectrophoretic effects in fluids,
Dielectric relaxation spectroscopy</t>
  </si>
  <si>
    <t>Brian James Savilonis</t>
  </si>
  <si>
    <t xml:space="preserve"> bjs@wpi.edu</t>
  </si>
  <si>
    <t>Thermofluids
Biological Flows
Gait Analysis</t>
  </si>
  <si>
    <t>Thermofluids,
Biological Flows,
Gait Analysis</t>
  </si>
  <si>
    <t>Satya Shivkumar</t>
  </si>
  <si>
    <t xml:space="preserve"> shivkuma@wpi.edu</t>
  </si>
  <si>
    <t>Food Engineering
Plastics
Biomedical Materials
Materials Science</t>
  </si>
  <si>
    <t>Food Engineering,
Plastics,
Biomedical Materials,
Materials Science</t>
  </si>
  <si>
    <t>Richard D. Sisson</t>
  </si>
  <si>
    <t xml:space="preserve"> sisson@wpi.edu</t>
  </si>
  <si>
    <t>Heat Treating
Materials Processing
Corrosion
Surface Engineering
Green Manufacturing Processes</t>
  </si>
  <si>
    <t>Heat Treating,
Materials Processing,
Corrosion,
Surface Engineering,
Green Manufacturing Processes</t>
  </si>
  <si>
    <t>Joe Stabile</t>
  </si>
  <si>
    <t xml:space="preserve"> jastabile@wpi.edu</t>
  </si>
  <si>
    <t xml:space="preserve">My  are related to many of the areas I have worked on in industry. Specifically I am interested in high efficiency small speaker systems for personal audio. This would include magnetic motor design, linear and rotary actuators, high bandwidth structural design, force balanced transducer design, acoustic structural interaction modeling with finite element analysis, and planar acoustic arrays.
</t>
  </si>
  <si>
    <t>high efficiency small speaker systems for personal audio</t>
  </si>
  <si>
    <t>John M. Sullivan</t>
  </si>
  <si>
    <t xml:space="preserve"> sullivan@wpi.edu</t>
  </si>
  <si>
    <t>MRI Image Analysis
GUI Graphical Tools Development
3D Volume Mesh Generation
Phase Change Numerical Modeling
ME-3902 Project-Based Engineering Experimentation</t>
  </si>
  <si>
    <t>MRI Image Analysis,
GUI Graphical Tools Development,
3D Volume Mesh Generation,
Phase Change Numerical Modeling,
ME-3902 Project-Based Engineering Experimentation</t>
  </si>
  <si>
    <t>Vladimir Vantsevich</t>
  </si>
  <si>
    <t xml:space="preserve"> vvantsevich@wpi.edu</t>
  </si>
  <si>
    <t>Autonomous and manned ground vehicles terrain mobility, maneuver, and energy e…
Inverse and direct, coupled and interactive vehicle system dynamics
Agile dynamics and control of vehicle-terrain dynamics and AI-techniques for au…
Design and testing of vehicle systems and vehicles with mechanical and electric…
Facilities for experimental research of vehicles and vehicle systems</t>
  </si>
  <si>
    <t>Autonomous , manned ground vehicles terrain mobility, maneuver,
Inverse , direct, coupled , interactive vehicle system dynamics,
Agile dynamics , control of vehicle-terrain dynamics , 
Design , testing of vehicle systems , vehicles with mechanical, 
Facilities for experimental research of vehicles , vehicle systems</t>
  </si>
  <si>
    <t xml:space="preserve"> yanwang@wpi.edu</t>
  </si>
  <si>
    <t xml:space="preserve">Lithium Ion Battery
Flow Battery
Supercapacitor
Battery Recycle
Battery Safety
</t>
  </si>
  <si>
    <t xml:space="preserve">Lithium Ion Battery,
Flow Battery,
Supercapacitor,
Battery Recycle,
Battery Safety,
</t>
  </si>
  <si>
    <t>Jamal Yagoobi</t>
  </si>
  <si>
    <t xml:space="preserve"> jyagoobi@wpi.edu</t>
  </si>
  <si>
    <t>Enhancement of Heat Transfer and Mass Transport with Electrohydrodynamics in th…
Heat and Mass Transfer in Porous Media
Transport Characteristics of Fluids with Micro-Encapsulated Phase Change Materi…
Augmentation of Heat and Mass Transfer with Innovative Impinging Jets (with and…</t>
  </si>
  <si>
    <t>Enhancement of Heat Transfer , Mass Transport with Electrohydrodynamics,
Heat , Mass Transfer in Porous Media,
Augmentation of Heat , Mass Transfer with Innovative Impinging Jets</t>
  </si>
  <si>
    <t>Yihao Zheng</t>
  </si>
  <si>
    <t xml:space="preserve"> yzheng8@wpi.edu</t>
  </si>
  <si>
    <t>Medical Devices
Advanced Manufacturing
Medical Robotics
Tissue Mechanics
Medical imaging
Medical Simulation
CP Manufacturing System
Modeling of Manufacturing Processes
Abrasive Machining Processes</t>
  </si>
  <si>
    <t>Medical Devices,
Advanced Manufacturing,
Medical Robotics,
Tissue Mechanics,
Medical imaging,
Medical Simulation,
CP Manufacturing System,
Modeling of Manufacturing Processes,
Abrasive Machining Processes</t>
  </si>
  <si>
    <t>Yu Zhong</t>
  </si>
  <si>
    <t xml:space="preserve"> yzhong@wpi.edu</t>
  </si>
  <si>
    <t>Solid Oxide Fuel Cell/ Solid Oxide Electrolyzer Cell
Oxygen Transport Membrane
Light Alloys including Magnesium alloys and Aluminum alloys
Piezo Materials
Lithium Ion Battery Electrode and Electrolyte design
High performance refractory Materials, such as Al2O3, SiC, Si3N4, B4C, ZrB2, et…
Corrosion simulation
Construction materials, like Cement, Gypsum, etc
The application of machine learning in materials
Molecular Dynamics simulations for molten salt</t>
  </si>
  <si>
    <t>Solid Oxide Fuel Cell/ Solid Oxide Electrolyzer Cell,
Oxygen Transport Membrane,
Light Alloys including Magnesium alloys , Aluminum alloys,
Piezo Materials,
Lithium Ion Battery Electrode , Electrolyte design,
High performance refractory Materials,
Corrosion simulation,
Construction materials,
The application of machine learning in materials,
Molecular Dynamics simulations for molten salt</t>
  </si>
  <si>
    <t>Brigham Young University (Fulton)</t>
  </si>
  <si>
    <t>Brad Adams</t>
  </si>
  <si>
    <t>brad.adams@byu.edu</t>
  </si>
  <si>
    <t>Air Quality Research
Combustion Simulations, Radiative Heat Transfer, Air Quality, Microbial Inactivation with UV LEDs</t>
  </si>
  <si>
    <t>Air Quality Research,
Combustion Simulations, Radiative Heat Transfer, Air Quality, Microbial Inactivation with UV LEDs</t>
  </si>
  <si>
    <t>MaTTAllen</t>
  </si>
  <si>
    <t>matt.allen@byu.edu</t>
  </si>
  <si>
    <t xml:space="preserve">- Nonlinear dynamics of geometrically nonlinear structures, extensions to substructuring for these structures and test and model updating methods
- Nonlinear normal modes and their utility in design and response prediction for nonlinear dynamic systems
- Methods to experimentally characterize and predict damping and nonlinearity in structures due to friction at bolted/riveted/press-fit interfaces
- Test strategies and data analysis procedures to characterize linear, nonlinear and time-varying dynamic systems
- Experimental/analytical substructuring methods and applications to noise and response prediction during product development
</t>
  </si>
  <si>
    <t xml:space="preserve">Nonlinear dynamics of geometrically nonlinear structures, extensions to substructuring for these structures , test , model updating methods,
Nonlinear normal modes , their utility in design , response prediction for nonlinear dynamic systems,
Methods to experimentally characterize , predict damping , nonlinearity in structures due to friction at bolted/riveted/press-fit interfaces,
Test strategies , data analysis procedures to characterize linear, nonlinear , time-varying dynamic systems,
Experimental/analytical substructuring methods , applications to noise , response prediction during product development
</t>
  </si>
  <si>
    <t>Jonathan Blotter</t>
  </si>
  <si>
    <t>jblotter@byu.edu</t>
  </si>
  <si>
    <t xml:space="preserve">Structural Dynamics, Vibration, Acoustics, Noise Control, Vibration Control
</t>
  </si>
  <si>
    <t>Structural Dynamics, Vibration, Acoustics, Noise Control, Vibration Control</t>
  </si>
  <si>
    <t>#80 - Mechanical Engineering</t>
  </si>
  <si>
    <t>Anton Bowden</t>
  </si>
  <si>
    <t>abowden@byu.edu</t>
  </si>
  <si>
    <t xml:space="preserve">Dr. Bowden's primary s are in spinal biomechanics and medical device design, with an emphasis on developing an improved understanding of the mechanical triggers for low back pain. He uses non-linear finite element analysis, medical imaging, and mechanical testing to characterize the responses of biological soft tissues.
</t>
  </si>
  <si>
    <t xml:space="preserve">spinal biomechanics , medical device design, with an emphasis on developing an improved underst,ing of the mechanical triggers for low back pain
</t>
  </si>
  <si>
    <t>#127 - Best Engineering Schools</t>
  </si>
  <si>
    <t>Steven Charles</t>
  </si>
  <si>
    <t>skcharles@byu.edu</t>
  </si>
  <si>
    <t>Biomechanics and neural control of movement, movement disorders, technology for assisting and rehabilitating patients with movement disorders. For more information, visit ourlab website</t>
  </si>
  <si>
    <t>Biomechanics , neural control of movement, movement disorders, technology for assisting , rehabilitating patients with movement disorders</t>
  </si>
  <si>
    <t>Mark Colton</t>
  </si>
  <si>
    <t>colton@byu.edu</t>
  </si>
  <si>
    <t xml:space="preserve">Mechatronic Systems, Dynamic Systems, Robotics, Haptic Interfaces
</t>
  </si>
  <si>
    <t>Mechatronic Systems, Dynamic Systems, Robotics, Haptic Interfaces</t>
  </si>
  <si>
    <t>Douglas Cook</t>
  </si>
  <si>
    <t>d.cook@byu.edu</t>
  </si>
  <si>
    <t>His research findings have been published fields as diverse as acoustics, biomechanics, biomedical engineering, agronomy, medicine, and botany.</t>
  </si>
  <si>
    <t>His research findings have been published fields as diverse as acoustics, biomechanics, biomedical engineering, agronomy, medicine, botany</t>
  </si>
  <si>
    <t>Nathan Crane</t>
  </si>
  <si>
    <t>nbcrane@byu.edu</t>
  </si>
  <si>
    <t>Dr. Crane’s interests lay in the areas of design, materials and advanced manufacturing with a particular interest in additive manufacturing (AM) and digital microfluidics. His work focuses on applying material science, mechanical design, and processing science to enable novel manufacturing processes.</t>
  </si>
  <si>
    <t>design, materials , advanced manufacturing with a particular interest in additive manufacturing (AM) , digital microfluidics</t>
  </si>
  <si>
    <t>Julie Crockett</t>
  </si>
  <si>
    <t>crockettj@byu.edu</t>
  </si>
  <si>
    <t xml:space="preserve">Fluid Mechanics, Environmental Fluid Dynamics, Experimental and theoretical fluids techniques
</t>
  </si>
  <si>
    <t>Fluid Mechanics, Environmental Fluid Dynamics, Experimental , theoretical fluids techniques</t>
  </si>
  <si>
    <t>Brady Davies</t>
  </si>
  <si>
    <t>brady_davies@byu.edu</t>
  </si>
  <si>
    <t>Christopher Dillon</t>
  </si>
  <si>
    <t>chris.dillon@byu.edu</t>
  </si>
  <si>
    <t xml:space="preserve">The Bioheat Transfer Laboratory broadly engages in improving thermal therapies for the treatment of cancer and other disorders. Focused  include characterization of human tissue properties and bioheat transfer modeling for magnetic resonance-guided focused ultrasound (MRgFUS) thermal therapies. The lab aims to generate collaborative opportunities within and external to BYU, provide opportunities for undergraduate and graduate students to participate in basic to CP research, and advance therapies with enormous potential for improving cancer treatment outcomes and patients’ quality of life.
</t>
  </si>
  <si>
    <t xml:space="preserve"> improving thermal therapies for the treatment of cancer , other disorders, Focused  include characterization of human tissue properties , bioheat transfer modeling for magnetic resonance-guided focused ultrasound (MRgFUS) thermal therapies
</t>
  </si>
  <si>
    <t>David Fullwood</t>
  </si>
  <si>
    <t>dfullwood@byu.edu</t>
  </si>
  <si>
    <t xml:space="preserve">Composites, Nano-composites, Microscopy, Computational Methods in Materials Science
</t>
  </si>
  <si>
    <t>Composites, Nano-composites, Microscopy, Computational Methods in Materials Science</t>
  </si>
  <si>
    <t>$7,932 per year (LDS member, full-time)</t>
  </si>
  <si>
    <t>Steve Gorrell</t>
  </si>
  <si>
    <t>sgorrell@byu.edu</t>
  </si>
  <si>
    <t xml:space="preserve">Experimental and Computational Fluid Dynamics, Turbomachinery, Computational Science and Engineering, Engineering Education
</t>
  </si>
  <si>
    <t>Experimental , Computational Fluid Dynamics, Turbomachinery, Computational Science , Engineering, Engineering Education</t>
  </si>
  <si>
    <t>Jeff Hill</t>
  </si>
  <si>
    <t>dr.jeff.hill@byu.edu</t>
  </si>
  <si>
    <t xml:space="preserve">Design, modeling and experimental work on protecting systems under harsh mechanical environments such as shock and impact. Current  include designing shock resistant packaging for electronics, improving shock testing capabilities, and developing methods for high energy absorption through novel uses of materials and structures.
</t>
  </si>
  <si>
    <t xml:space="preserve">Design, modeling , experimental work on protecting systems under harsh mechanical environments such as shock , impact, Current  include designing shock resistant packaging for electronics, improving shock testing capabilities, developing methods for high energy absorption through novel uses of materials , structures,
</t>
  </si>
  <si>
    <t>Eric Homer</t>
  </si>
  <si>
    <t>eric.homer@me.byu.edu</t>
  </si>
  <si>
    <t>Materials Modeling, Grain Boundary Structure-Property Relationships, Mechanical Behavior of Polycrystalline Metals</t>
  </si>
  <si>
    <t>Larry L. Howell</t>
  </si>
  <si>
    <t>lhowell@byu.edu</t>
  </si>
  <si>
    <t xml:space="preserve">Compliant Mechanisms, including Origami-Inspired Mechanisms, Microelectromechanical Systems, Medical Devices, and Compliant Space Mechanisms
</t>
  </si>
  <si>
    <t xml:space="preserve">Compliant Mechanisms, including Origami-Inspired Mechanisms, Microelectromechanical Systems, Medical Devices, Compliant Space Mechanisms
</t>
  </si>
  <si>
    <t>Brian Iverson</t>
  </si>
  <si>
    <t>bdiverson@byu.edu</t>
  </si>
  <si>
    <t xml:space="preserve">Heat Transfer, Condensation, Micro/Nanoscale Transport, Sensors &amp; Biosensors, Solar-Thermal Energy.
</t>
  </si>
  <si>
    <t xml:space="preserve">Heat Transfer, Condensation, Micro/Nanoscale Transport, Sensors &amp; Biosensors, Solar-Thermal Energy,
</t>
  </si>
  <si>
    <t>Brian Jensen</t>
  </si>
  <si>
    <t>bdjensen@byu.edu</t>
  </si>
  <si>
    <t xml:space="preserve">Microelectromechanical Systems (MEMS) and Biological MEMS, Electrical Contacts, Modeling of Systems in Diverse Energy Domains
</t>
  </si>
  <si>
    <t xml:space="preserve">Microelectromechanical Systems (MEMS) , Biological MEMS, Electrical Contacts, Modeling of Systems in Diverse Energy Domains
</t>
  </si>
  <si>
    <t>Oliver Johnson</t>
  </si>
  <si>
    <t>ojohnson@byu.edu</t>
  </si>
  <si>
    <t xml:space="preserve">Grain Boundaries &amp; Grain Boundary Networks, Grain Boundary Kinetics, Structure-Property Models, Bayesian Inference &amp; Uncertainty Quantification, Microstructure Design, Multi-scale Modelling &amp; Homogenization, Microstructure Characterization, Synthesis of Advanced Materials,
</t>
  </si>
  <si>
    <t>MaTTJones</t>
  </si>
  <si>
    <t>mrjones@byu.edu</t>
  </si>
  <si>
    <t xml:space="preserve">Heat Transfer, Thermodynamics, Reduced Order Modeling, Biomass Cookstoves, Thermophysical Property Measurement
</t>
  </si>
  <si>
    <t>Marc Killpack</t>
  </si>
  <si>
    <t>marc_killpack@byu.edu</t>
  </si>
  <si>
    <t>Soft Robots, Human-Robot Interaction, Controls, Robot Manipulation, Computer vision and 3D Sensing, Haptic Sensing</t>
  </si>
  <si>
    <t>Soft Robots, Human-Robot Interaction, Controls, Robot Manipulation, Computer vision , 3D Sensing, Haptic Sensing</t>
  </si>
  <si>
    <t>Spencer P. Magleby</t>
  </si>
  <si>
    <t>magleby@byu.edu</t>
  </si>
  <si>
    <r>
      <t xml:space="preserve">Dr. Magleby’s research has aimed at improving the processes and tools of engineering design and technology development with a focus on mechanical systems, compliant mechanisms, product design and collaboration. He has been especially active in developing new technologies and applications related to compliant mechanisms resulting in numerous publications and over 20 patents. Recent work has explored the use of origami to inspire innovative mechanisms and product designs. Examples of his work can be found at </t>
    </r>
    <r>
      <rPr>
        <u/>
        <sz val="10"/>
        <color rgb="FF1155CC"/>
        <rFont val="Arial"/>
        <family val="2"/>
      </rPr>
      <t>https//compliantmechanisms.byu.edu/</t>
    </r>
  </si>
  <si>
    <t>engineering design , technology development with a focus on mechanical systems, compliant mechanisms, product design , collaboration</t>
  </si>
  <si>
    <t>Chris Mattson</t>
  </si>
  <si>
    <t>mattson@byu.edu</t>
  </si>
  <si>
    <t xml:space="preserve">Product Development, Engineering for Global Development, Engineering Design Theory and Methodology, Multiobjective and Multidisciplinary Design Optimization, Interdisciplinary Education, Engineering/Design Education, Capstone Design, Computer Aided Design.
</t>
  </si>
  <si>
    <t xml:space="preserve">Product Development, Engineering for Global Development, Engineering Design Theory , Methodology, Multiobjective , Multidisciplinary Design Optimization, Interdisciplinary Education, Engineering/Design Education, Capstone Design, Computer Aided Design,
</t>
  </si>
  <si>
    <t>Daniel Maynes</t>
  </si>
  <si>
    <t>maynes@byu.edu</t>
  </si>
  <si>
    <t xml:space="preserve">SuperhydrophobicSurface Flow Physics and Thermal Transport, Microscale Fluid Mechanics and Thermal Transport, Cavitation in Liquid Flows, Train Aerodynamics, Elecroosmotic Flow and Heat Transport, TurbomachineryCFD and Analysis, Supersonic Jet Acoustics
</t>
  </si>
  <si>
    <t xml:space="preserve">SuperhydrophobicSurface Flow Physics , Thermal Transport, Microscale Fluid Mechanics , Thermal Transport, Cavitation in Liquid Flows, Train Aerodynamics, Elecroosmotic Flow , Heat Transport, TurbomachineryCFD , Analysis, Supersonic Jet Acoustics
</t>
  </si>
  <si>
    <t>Tim McLain</t>
  </si>
  <si>
    <t>mclain@byu.edu</t>
  </si>
  <si>
    <t xml:space="preserve">Dynamic systems, control system design, guidance, dynamics, control, and autonomy of unmanned aircraft systems (UAS).
</t>
  </si>
  <si>
    <t xml:space="preserve">Dynamic systems, control system design, guidance, dynamics, control, autonomy of unmanned aircraft systems (UAS),
</t>
  </si>
  <si>
    <t>Troy Munro</t>
  </si>
  <si>
    <t>troy.munro@byu.edu</t>
  </si>
  <si>
    <t xml:space="preserve">Nuclear Energy, Heat Transfer in Biology, Thermal Behavior of Materials, Fluorescence Thermometry, Thermophysical Properties
</t>
  </si>
  <si>
    <t>Andrew Ning</t>
  </si>
  <si>
    <t>aning@byu.edu</t>
  </si>
  <si>
    <t xml:space="preserve">Aerodynamics, Multidisciplinary Design Optimization, Aircraft Design, Wind Energy
</t>
  </si>
  <si>
    <t>John Salmon</t>
  </si>
  <si>
    <t>johnsalmon@byu.edu</t>
  </si>
  <si>
    <t xml:space="preserve">Systems Engineering, Design, and Integration, Multi-disciplinary Design Optimization, Multi-agent Multi-objective Decision Making, Parametric Design Methodology Development, Virtual Reality, Data Analytics
</t>
  </si>
  <si>
    <t xml:space="preserve">Systems Engineering, Design, Integration, Multi-disciplinary Design Optimization, Multi-agent Multi-objective Decision Making, Parametric Design Methodology Development, Virtual Reality, Data Analytics
</t>
  </si>
  <si>
    <t>Carl Sorensen</t>
  </si>
  <si>
    <t>c_sorensen@byu.edu</t>
  </si>
  <si>
    <t xml:space="preserve">Friction Stir Welding, Design Team Formation Methods, Effects of Manufacturing Process Variation in Design
</t>
  </si>
  <si>
    <t>Benjamin Terry</t>
  </si>
  <si>
    <t>ben_terry@byu.edu</t>
  </si>
  <si>
    <t xml:space="preserve">Dr. Terry’s research has focused on surgical tool design, swallowable mechatronic devices, and the biomechanical characterization and modeling of gastrointestinal tissue. </t>
  </si>
  <si>
    <t>surgical tool design, swallowable mechatronic devices, the biomechanical characterization , modeling of gastrointestinal tissue</t>
  </si>
  <si>
    <r>
      <rPr>
        <u/>
        <sz val="10"/>
        <color rgb="FF000000"/>
        <rFont val="Arial"/>
        <family val="2"/>
      </rPr>
      <t>Dale R. Tree</t>
    </r>
    <r>
      <rPr>
        <sz val="10"/>
        <color rgb="FF000000"/>
        <rFont val="Arial"/>
        <family val="2"/>
      </rPr>
      <t xml:space="preserve"> (Department head)</t>
    </r>
  </si>
  <si>
    <t>treed@byu.edu</t>
  </si>
  <si>
    <t xml:space="preserve">Combustion, Optical Diagnostics
</t>
  </si>
  <si>
    <t>Brent Webb</t>
  </si>
  <si>
    <t>webb@byu.edu</t>
  </si>
  <si>
    <t>Heat Transfer, Thermodynamics</t>
  </si>
  <si>
    <t>Illinois Institute of Technology (Armour)</t>
  </si>
  <si>
    <t>Sumanta Acharya</t>
  </si>
  <si>
    <t>sacharya1@iit.edu</t>
  </si>
  <si>
    <t>Fundamental Thermal and Fluid Sciences
(1) Computational methods, simulation of turbulence (direct simulations, large eddy simulations and turbulence modeling), high performance computing
(2) Experimental fluid mechanics, heat transfer and combustion
(3) Natural, forced and mixed convection
Energy &amp; Process Applications
(1) Gas turbine heat transfer and aerodynamics
(2) Gas turbine combustion, bio-fuels and hydrogen/syngas combustion
(3) Heat exchange systems, process reactors and mixing devices</t>
  </si>
  <si>
    <t>Computational methods, simulation of turbulence (direct simulations, large eddy simulations , turbulence modeling), high performance computing,
Experimental fluid mechanics, heat transfer , combustionNatural, forced , mixed convection,
Gas turbine heat transfer , aerodynamics,
Gas turbine combustion, bio-fuels , hydrogen/syngas combustion,
Heat exchange systems, process reactors , mixing devices</t>
  </si>
  <si>
    <t>Mechanical, Materials, and Aerospace Engineering</t>
  </si>
  <si>
    <t>Hamid Arastoopour</t>
  </si>
  <si>
    <t>arastoopour@iit.edu</t>
  </si>
  <si>
    <t>Transport phenomena of multiphase systems and fluidization, sustainability-related research, computational fluid dynamics (CFD) applications to energy conversion and carbon capture processes, wind energy, production of natural gas from unconventional gas reserves and hydrates, energy storage, and energy/ water/food nexus.</t>
  </si>
  <si>
    <t>Transport phenomena of multiphase systems , fluidization, sustainability-related research, computational fluid dynamics (CFD) applications to energy conversion , carbon capture processes, wind energy, production of natural gas from unconventional gas reserves , hydrates, energy storage, energy/ water/food nexus,</t>
  </si>
  <si>
    <t>John Bernhardt</t>
  </si>
  <si>
    <t>jbernhardt@iit.edu</t>
  </si>
  <si>
    <t xml:space="preserve">Fluid Dynamics and Control Systems
</t>
  </si>
  <si>
    <t>Fluid Dynamics , Control Systems</t>
  </si>
  <si>
    <t>Kevin W. Cassel</t>
  </si>
  <si>
    <t>cassel@iit.edu</t>
  </si>
  <si>
    <t>Analytical and computational solutions to partial differential equations.
Application of advanced analytical techniques in the thermo-fluid sciences.
Development of serial and parallel numerical algorithms for unsteady fluid flows.
Numerical solutions of unsteady boundary-layer flows in Lagrangian coordinates.
Theoretical description of physical processes in unsteady separation.
Theoretical and numerical investigations of instabilities in boundary-layer flows.
Supersonic and hypersonic boundary-layer flows.
Unsteady mixed-convection boundary-layer flows.
Effects of vortex-surface interaction on wall-bounded flows.
Passive and active control of separation and dynamic stall on airfoils.
Fluid dynamics and heat transfer characteristics of buoyancy-driven flows with heat generation.
Computational simulations of bio-fluids.</t>
  </si>
  <si>
    <t>Analytical , computational solutions to partial differential equations,
Application of advanced analytical techniques in the thermo-fluid sciences,
Development of serial , parallel numerical algorithms for unsteady fluid flows,
Numerical solutions of unsteady boundary-layer flows in Lagrangian coordinates,
Theoretical description of physical processes in unsteady separation,
Theoretical , numerical investigations of instabilities in boundary-layer flows,
Supersonic , hypersonic boundary-layer flows,
Unsteady mixed-convection boundary-layer flows,
Effects of vortex-surface interaction on wall-bounded flows,
Passive , active control of separation , dynamic stall on airfoils,
Fluid dynamics , heat transfer characteristics of buoyancy-driven flows with heat generation,
Computational simulations of bio-fluids</t>
  </si>
  <si>
    <t>#121 - Best Engineering Schools</t>
  </si>
  <si>
    <t>Louis N. Cattafesta III</t>
  </si>
  <si>
    <t>cattafestaiii@iit.edu</t>
  </si>
  <si>
    <t>Fluid dynamics
Active and passive flow control
Aeroacoustics
Actuators and sensors
Experimental methods and uncertainty analysis</t>
  </si>
  <si>
    <t>Fluid dynamics,
Active , passive flow control,
Aeroacoustics,
Actuators , sensors,
Experimental methods , uncertainty analysis</t>
  </si>
  <si>
    <t>John C. Cesarone</t>
  </si>
  <si>
    <t>cesarone@iit.edu</t>
  </si>
  <si>
    <t>Computer-Integrated Manufacturing Technologies
Simulation and Functional Modeling Methodologies
Optimization Using Operations Research Techniques
Automation and Robotics
Distance Learning</t>
  </si>
  <si>
    <t>Computer-Integrated Manufacturing Technologies,
Simulation , Functional Modeling Methodologies,
Optimization Using Operations Research Techniques,
Automation , Robotics,
Distance Learning</t>
  </si>
  <si>
    <t>Wei Chen</t>
  </si>
  <si>
    <t>wchen66@iit.edu</t>
  </si>
  <si>
    <t xml:space="preserve">Computational discovery and design of new materials with high-performance computing and data mining.
</t>
  </si>
  <si>
    <t>Computational discovery , design of new materials with high-performance computing , data mining</t>
  </si>
  <si>
    <t>Kenneth T. Christensen</t>
  </si>
  <si>
    <t>Kenneth.Christensen@iit.edu</t>
  </si>
  <si>
    <t>Experimental fluid mechanics—with an emphasis on flows central to a range of energy, environmental, and geophysical applications</t>
  </si>
  <si>
    <t>Experimental fluid mechanics,flows central to a range of energy, environmental, geophysical applications</t>
  </si>
  <si>
    <t>Seebany Datta-Barua</t>
  </si>
  <si>
    <t>sdattaba@iit.edu</t>
  </si>
  <si>
    <t>Lagrangian coherent structures in the ionosphere and thermosphere
Auroral E and F region irregularities with a GPS scintillation array
GNSS reflectometry for surface ice monitoring
Ionospheric data assimilation and analysis of geomagnetic storms
Atmospheric effects on GPS-based navigation</t>
  </si>
  <si>
    <t>Lagrangian coherent structures in the ionosphere , thermosphere,
Auroral E , F region irregularities with a GPS scintillation array,
GNSS reflectometry for surface ice monitoring,
Ionospheric data assimilation , analysis of geomagnetic storms,
Atmospheric effects on GPS-based navigation</t>
  </si>
  <si>
    <t>ScoTTT. M. Dawson</t>
  </si>
  <si>
    <t>sdawson5@iit.edu</t>
  </si>
  <si>
    <t>Reduced-order modeling
Data-driven modeling
Unsteady aerodynamics
Flow control
Turbulence</t>
  </si>
  <si>
    <t>Reduced-order modeling,
Data-driven modeling,
Unsteady aerodynamics,
Flow control,
Turbulence</t>
  </si>
  <si>
    <t>Michael R. Gosz</t>
  </si>
  <si>
    <t>gosz@iit.edu</t>
  </si>
  <si>
    <t xml:space="preserve">Computational Solid Mechanics.
</t>
  </si>
  <si>
    <t>Computational Solid Mechanics</t>
  </si>
  <si>
    <t>Carrie M. Hall</t>
  </si>
  <si>
    <t>chall9@iit.edu</t>
  </si>
  <si>
    <t>Modeling and control of advanced internal combustion engines and automotive powertrains, development of clean and efficient utilization of alternative fuels.</t>
  </si>
  <si>
    <t>Modeling , control of advanced internal combustion engines , automotive powertrains, development of clean , efficient utilization of alternative fuels</t>
  </si>
  <si>
    <t>$29,628 per year (full-time)</t>
  </si>
  <si>
    <t>Baisravan HomChaudhuri</t>
  </si>
  <si>
    <t>bhomchaudhuri@iit.edu</t>
  </si>
  <si>
    <t>Optimal control
Model predictive control
System verification
Connected vehicle systems
Robotics
Motion planning</t>
  </si>
  <si>
    <t>Optimal control,
Model predictive control,
System verification,
Connected vehicle systems,
Robotics,
Motion planning</t>
  </si>
  <si>
    <t>Esma Karagoz</t>
  </si>
  <si>
    <t>karagoz@iit.edu</t>
  </si>
  <si>
    <t>Design and Optimization of Engineered Systems
Advanced design and optimization methods for novel engineered systems
Multidisciplinary design and optimization, design space exploration
Systems Engineering/Digital Engineering
Multi tool integration in collaborative model-based environments
System safety analyses in model-based systems engineering frameworks
Digital twins
Machine Learning for Complex System Design
Physics-informed learning for safety-critical systems
Computational decision-making techniques
Digital assistants for design space exploration</t>
  </si>
  <si>
    <t>Design , Optimization of Engineered Systems,
Advanced design , optimization methods for novel engineered systems,
Multidisciplinary design , optimization, design space exploration,
Systems Engineering/Digital Engineering,
Multi tool integration in collaborative model-based environments,
System safety analyses in model-based systems engineering frameworks,
Digital twins,
Machine Learning for Complex System Design,
Physics-informed learning for safety-critical systems,
Computational decision-making techniques,
Digital assistants for design space exploration</t>
  </si>
  <si>
    <t>Amir Mostafaei</t>
  </si>
  <si>
    <t>mostafaei@iit.edu</t>
  </si>
  <si>
    <t>Laser powder bed fusion and binder jetting of structural (Ni and stainless steel), shape memory (Ni-Mn-based alloys), light alloys (Al and Ti), biomaterials (Co-Cr and Ti), and composite materials
Process parameter optimization, microstructure evolution and post-treatment
Data analytics in metal additive manufacturing
Micro-computed tomography and synchrotron dynamic x-ray radiography
Electrochemical and high-temperature corrosion behavior of additively manufactured parts</t>
  </si>
  <si>
    <t>Laser powder bed fusion , binder jetting of structural (Ni , stainless steel), shape memory (Ni-Mn-based alloys), light alloys (Al , Ti), biomaterials (Co-Cr , Ti), composite materials,
Process parameter optimization, microstructure evolution , post-treatment,
Data analytics in metal additive manufacturing,
Micro-computed tomography , synchrotron dynamic x-ray radiography,
Electrochemical , high-temperature corrosion behavior of additively manufactured parts</t>
  </si>
  <si>
    <t>Hassan M. Nagib</t>
  </si>
  <si>
    <t>nagib@iit.edu</t>
  </si>
  <si>
    <t xml:space="preserve">Areas of hydrodynamic stability, transition, applied turbulence, mixing of both laminar and turbulent streams, mixing of two-phase flows, unsteady flows, separated flows and their control, wind-tunnel flow quality, wind engineering and atmospheric diffusion, aeroacoustics, and convective heat transfer augmentation.
</t>
  </si>
  <si>
    <t xml:space="preserve">Areas of hydrodynamic stability, transition, applied turbulence, mixing of both laminar , turbulent streams, mixing of two-phase flows, unsteady flows, separated flows , their control, wind-tunnel flow quality, wind engineering , atmospheric diffusion, aeroacoustics, convective heat transfer augmentation,
</t>
  </si>
  <si>
    <t>Aleksandar G. Ostrogorsky</t>
  </si>
  <si>
    <t>ostrogo@iit.edu</t>
  </si>
  <si>
    <t>Heat and mass transfer phenomena occurring in materials processing. Directional solidification/single crystal growth focusing on semiconductor alloys. Wide band gaPmaterials for gamma ray detectors (semiconductors and scintillators). Diffusion. Growth of carbon nanotubes. The most recent RProjects include
Growth of single crystals
– wide band gaPsemiconductors for gamma ray detectors
– photo-voltaic and thermo-photovoltaic semiconductors (e.g., GaInSb),
– piezoelectric alloys (e.g. PMNx-PT1-x).
Growth of carbon single walled nanotubes (SWNTs) using the electric arc process.
Effects of magnetic fields on the physiology of living organisms at the molecular cellular, tissue, and whole body level.
Fourier Transform Infrared Analysis (FTIR) at high temperature (uPto 1500 C).</t>
  </si>
  <si>
    <t>wide b, gaPsemiconductors for gamma ray detectors,
photo-voltaic , thermo-photovoltaic semiconductors,
piezoelectric alloys,
Growth of carbon single walled nanotubes (SWNTs) using the electric arc process,
Effects of magnetic fields on the physiology of living organisms at the molecular cellular, tissue, whole body level,
Fourier Transform Infrared Analysis (FTIR) at high temperature</t>
  </si>
  <si>
    <t>Boris S. Pervan</t>
  </si>
  <si>
    <t>pervan@iit.edu</t>
  </si>
  <si>
    <t>Positioning, navigation, and timing
Global Navigation Satellite Systems (GNSS) and GPS
Integrity monitoring and robust state estimation
Anti-spoofing and anti-jamming
Inertial and laser sensing
Aircraft navigation and precision landing
Unmanned aerial vehicles and driverless cars</t>
  </si>
  <si>
    <t>Positioning, navigation, timing,
Global Navigation Satellite Systems (GNSS) , GPS,
Integrity monitoring , robust state estimation,
Anti-spoofing , anti-jamming,
Inertial , laser sensing,
Aircraft navigation , precision,
Unmanned aerial vehicles , driverless cars</t>
  </si>
  <si>
    <t>Nelson Rosa</t>
  </si>
  <si>
    <t>Nelson Rosa’s broader s include hybrid dynamical systems, embedded/computer systems, algorithmic design, robotics, and legged locomotion.</t>
  </si>
  <si>
    <t>hybrid dynamical systems, embedded/computer systems, algorithmic design, robotics, legged locomotion</t>
  </si>
  <si>
    <t>Francisco Ruiz</t>
  </si>
  <si>
    <t>ruiz@iit.edu</t>
  </si>
  <si>
    <t xml:space="preserve">Atomization Fundamental mechanisms cavitation, turbulence, surface instability
Diesel injection
Mach number effects
Internal combustion engines
Regenerative cycles ultra-lean burn and diesel
Natural gas
Computer modeling
Invention New curriculum to coach students to become successful inventors
</t>
  </si>
  <si>
    <t>Atomization Fundamental mechanisms cavitation, turbulence, surface instability,
Diesel injection,
Mach number effects,
Internal combustion engines,
Regenerative cycles ultra-lean burn , diesel,
Natural gas,
Computer modeling,
Invention New curriculum to coach students to become successful inventors</t>
  </si>
  <si>
    <t>Sayed M. Saghaian</t>
  </si>
  <si>
    <t>ssaghaian@iit.edu</t>
  </si>
  <si>
    <t>Carlo U. Segre</t>
  </si>
  <si>
    <t>segre@iit.edu</t>
  </si>
  <si>
    <t>structural and electrochemical properties of advanced battery materials,
in-situ structural studies of catalytic materials for use in fuel cells,
structural and electronic properties of magnetoelectric materials and other perovskite materials prepared in the form of nanoparticles and thin films,
local structural studies of structural materials for use in nuclear reactors, including in-situ corrosion studies and characterization of nano-crystalline inclusions in steels,
development of x-ray optics for synchrotron radiation experimentation.</t>
  </si>
  <si>
    <t>structural , electrochemical properties of advanced battery materials,
in-situ structural studies of catalytic materials for use in fuel cells,
structural , electronic properties of magnetoelectric materials , other perovskite materials prepared in the form of nanoparticles , thin films,
local structural studies of structural materials for use in nuclear reactors, including in-situ corrosion studies , characterization of nano-crystalline inclusions in steels,
development of x-ray optics for synchrotron radiation experimentation</t>
  </si>
  <si>
    <t>Leon L. Shaw</t>
  </si>
  <si>
    <t>lshaw2@iit.edu</t>
  </si>
  <si>
    <t>synthesis and fabrication of novel electrode chemistry and architecture for Li-ion batteries, Na-ion batteries, electrochemical capacitors, and redox flow batteries,
investigation of novel hydrogen storage materials for fuel cell vehicles, and
novel synthesis and processing of nanostructured metals and ceramics for mechanical applications.</t>
  </si>
  <si>
    <t>synthesis , fabrication of novel electrode chemistry , architecture for Li-ion batteries, Na-ion batteries, electrochemical capacitors, redox flow batteries,
investigation of novel hydrogen storage materials for fuel cell vehicles,
novel synthesis , processing of nanostructured metals , ceramics for mechanical applications,</t>
  </si>
  <si>
    <t>Matthew Spenko</t>
  </si>
  <si>
    <t>mspenko@iit.edu</t>
  </si>
  <si>
    <t>Electrostatic gecko-like adhesives for climbing, perching, and manipulation
Navigation integrity for self-driving cars and other mobile robots
Granular-based soft robots
Robots for exploring, measuring, and sampling tree biota</t>
  </si>
  <si>
    <t>Electrostatic gecko-like adhesives for climbing, perching, manipulation
Navigation integrity for self-driving cars , other mobile robots
Granular-based soft robots
Robots for exploring, measuring, sampling tree biota</t>
  </si>
  <si>
    <t>Ankit Srivastava</t>
  </si>
  <si>
    <t>asriva13@iit.edu</t>
  </si>
  <si>
    <t>Ankit Srivastava's research spans fundamental aspects of wave propagation in heterogeneous media, inverse material design for wave control, micromechanics and homogenization theory, mechanics and control strategies for soft robots, and data-driven mechanics. The application areas of the research include cloaking, shock wave mitigation, transducer design, vibration control, energy-flow control, Non Destructive Evaluation (NDE) and Structural Health Monitoring (SHM), and virtual sensors.</t>
  </si>
  <si>
    <t>Ankit Srivastava's research spans fundamental aspects of wave propagation in heterogeneous media, inverse material design for wave control, micromechanics , homogenization theory, mechanics , control strategies for soft robots, data-driven mechanics, The application areas of the research include cloaking, shock wave mitigation, transducer design, vibration control, energy-flow control, Non Destructive Evaluation (NDE) , Structural Health Monitoring (SHM), virtual sensors,</t>
  </si>
  <si>
    <t>Jeff Terry</t>
  </si>
  <si>
    <t>terryj@iit.edu</t>
  </si>
  <si>
    <t>My training is as a physical chemist with a specialization in synchrotron radiation techniques. I have extensive experience using a variety of analytical techniques to examine surface chemistry and to solve the problems of materials at surfaces. Presently, my interests lie in studying biomaterials chemistry using synchrotron radiation techniques.</t>
  </si>
  <si>
    <t>biomaterials chemistry using synchrotron radiation techniques</t>
  </si>
  <si>
    <t>Murat Vural</t>
  </si>
  <si>
    <t>vural@iit.edu</t>
  </si>
  <si>
    <t>High-strain-rate constitutive response, failure characterization and yield surface modeling of cellular solids
Thermo-mechanical coupling and adiabatic shear banding in metals
Mechanical response of dental composites as a function of loading rate and stress multiaxiality
High-strain-rate testing techniques</t>
  </si>
  <si>
    <t>High-strain-rate constitutive response, failure characterization , yield surface modeling of cellular solids,
Thermo-mechanical coupling , adiabatic shear b,ing in metals,
Mechanical response of dental composites as a function of loading rate , stress multiaxiality,
High-strain-rate testing techniques</t>
  </si>
  <si>
    <t>Heng Wang</t>
  </si>
  <si>
    <t>heng.wang@iit.edu</t>
  </si>
  <si>
    <t>Transport characterization on non-traditional semiconductor materials/systems
High mobility oxide semiconductors
Solution processing of semiconductors</t>
  </si>
  <si>
    <t>Transport characterization on non-traditional semiconductor materials/systems,
High mobility oxide semiconductors,
Solution processing of semiconductors</t>
  </si>
  <si>
    <t>David R. Williams</t>
  </si>
  <si>
    <t>david.williams@iit.edu</t>
  </si>
  <si>
    <t xml:space="preserve">PWilliams’ research falls in the areas of unsteady aerodynamics and active flow control for flight vehicle control. </t>
  </si>
  <si>
    <t>unsteady aerodynamics , active flow control for flight vehicle control</t>
  </si>
  <si>
    <t>Michigan Technological University</t>
  </si>
  <si>
    <t>Jason R. Blough</t>
  </si>
  <si>
    <t>jrblough@mtu.edu</t>
  </si>
  <si>
    <t>s
Dynamic Measurement Problems
Developing new digital signal processing algorithms to understand NVH type problems
Ways to improve the NVH characteristics of virtually any machine</t>
  </si>
  <si>
    <t>Dynamic Measurement Problems,
Developing new digital signal processing algorithms to underst, NVH type problems,
Ways to improve the NVH characteristics of virtually any machine</t>
  </si>
  <si>
    <t>Mechanical Engineering - Engineering Mechanics</t>
  </si>
  <si>
    <t>Parisa Pour Shahid Saeed Abadi</t>
  </si>
  <si>
    <t>pabadi@mtu.edu</t>
  </si>
  <si>
    <t>s
Nanomaterials
Stem cell and tissue engineering
Nano-biomaterials
Mechanical characterization of advanced materials
Sensors and actuators in medical device
Finite element analysis (FEA)</t>
  </si>
  <si>
    <t>Nanomaterials,
Stem cell , tissue engineering,
Nano-biomaterials,
Mechanical characterization of advanced materials,
Sensors , actuators in medical device,
Finite element analysis (FEA)</t>
  </si>
  <si>
    <t>Jeffrey S. Allen</t>
  </si>
  <si>
    <t>jstallen@mtu.edu</t>
  </si>
  <si>
    <t>s
Stability of evaporating and condensing liquid films
Capillary-Scale Gas-Liquid Flow
Near-Field Optical Diagnostics
Thermal and Mass Transport in Porous Media and Fuel Cells
Low-gravity fluid dynamics
Weak Atmospheric Shock Waves</t>
  </si>
  <si>
    <t>Stability of evaporating , condensing liquid films,
Capillary-Scale Gas-Liquid Flow,
Near-Field Optical Diagnostics,
Thermal , Mass Transport in Porous Media , Fuel Cells,
Low-gravity fluid dynamics,
Weak Atmospheric Shock Waves</t>
  </si>
  <si>
    <t>Jung Yun Bae</t>
  </si>
  <si>
    <t>bae@mtu.edu</t>
  </si>
  <si>
    <t>s
Robotics, Multi-robot systems
Coordination of Heterogeneous Robot Systems
Vehicle Routing Problems
Multi-robot System Control and Optimization
Autonomous Navigation
Unmanned Vehicles
Operational Research for Autonomous Vehicles</t>
  </si>
  <si>
    <t>Robotics, Multi-robot systems,
Coordination of Heterogeneous Robot Systems,
Vehicle Routing Problems,
Multi-robot System Control , Optimization,
Autonomous Navigation,
Unmanned Vehicles,
Operational Research for Autonomous Vehicles</t>
  </si>
  <si>
    <t>Ezra Bar-Ziv</t>
  </si>
  <si>
    <t>ebarziv@mtu.edu</t>
  </si>
  <si>
    <t>s
Emissions from Coal Power Plants
Simulation of Operation of Coal Power Plants
Torrefied-biomass (biocoal) as a Renewable Clean Replacement of Coal
Kinetics of Torrefaction and Pyrolysis of Biomass</t>
  </si>
  <si>
    <t>Emissions from Coal Power Plants,
Simulation of Operation of Coal Power Plants,
Torrefied-biomass (biocoal) as a Renewable Clean Replacement of Coal,
Kinetics of Torrefaction , Pyrolysis of Biomass</t>
  </si>
  <si>
    <t>Shawn Brueshaber</t>
  </si>
  <si>
    <t>srbruesh@mtu.edu</t>
  </si>
  <si>
    <t>s
Giant planet (Jupiter, Saturn, Uranus, Neptune) atmospheric dynamics
Convection and storm dynamics in planetary atmospheres
Remote sensing of planets (telescopic and spacecraft imaging)
Lake effect snow storms
Turbulence
Spacecraft mission development and design
Computational fluid dynamics
Remote sensing for amphibian population studies.</t>
  </si>
  <si>
    <t>Giant planet (Jupiter, Saturn, Uranus, Neptune) atmospheric dynamics,
Convection , storm dynamics in planetary atmospheres,
Remote sensing of planets (telescopic , spacecraft imaging),
Lake effect snow storms,
Turbulence,
Spacecraft mission development , design,
Computational fluid dynamics,
Remote sensing for amphibian population studies</t>
  </si>
  <si>
    <t>Chunpei Cai</t>
  </si>
  <si>
    <t>ccai@mtu.edu</t>
  </si>
  <si>
    <t>s
Rarefied and non-equilibrium gas dynamics
Plasma simulations
Electric propulsion
Computational fluid dynamics</t>
  </si>
  <si>
    <t>Rarefied , non-equilibrium gas dynamics,
Plasma simulations,
Electric propulsion,
Computational fluid dynamics</t>
  </si>
  <si>
    <t>Bo Chen</t>
  </si>
  <si>
    <t>bochen@mtu.edu</t>
  </si>
  <si>
    <t>s
Modeling and control of hybrid electric vehicles
EV-smart grid integration
Distributed monitoring and control
Battery control for HEV and energy storage systems
IC engine management systems
Sensor information fusion</t>
  </si>
  <si>
    <t>Modeling , control of hybrid electric vehicles,
EV-smart grid integration,
Distributed monitoring , control,
Battery control for HEV , energy storage systems,
IC engine management systems,
Sensor information fusion</t>
  </si>
  <si>
    <t>Chang Kyoung Choi</t>
  </si>
  <si>
    <t>cchoi@mtu.edu</t>
  </si>
  <si>
    <t>s
Opto-electric Cellular Sensing
Microfluidics and Microscale Heat Transfer
Droplet Impingement on Patterned Metal Surfaces
Evaporation of Thin Films and Droplets
Multiscale Interface Phenomena
Neutron imaging
Fluid Flow-induced Shear Effect on Chondrons, Regeneration of pericellular matrix from chondrocytes using microencapsulation,</t>
  </si>
  <si>
    <t>Opto-electric Cellular Sensing,
Microfluidics , Microscale Heat Transfer,
Droplet Impingement on Patterned Metal Surfaces,
Evaporation of Thin Films , Droplets,
Multiscale Interface Phenomena,
Neutron imaging,
Fluid Flow-induced Shear Effect on Chondrons, Regeneration of pericellular matrix from chondrocytes using microencapsulation</t>
  </si>
  <si>
    <t>Aneet Dharmavaram Narendranath</t>
  </si>
  <si>
    <t>dnaneet@mtu.edu</t>
  </si>
  <si>
    <t>s
Numerical solutions and applications to engineering of non-linear partial differential equations
Low Reynolds Number fluid physics</t>
  </si>
  <si>
    <t>Numerical solutions , applications to engineering of non-linear partial differential equations,
Low Reynolds Number fluid physics</t>
  </si>
  <si>
    <t>Ana Dyreson</t>
  </si>
  <si>
    <t>adyreson@mtu.edu</t>
  </si>
  <si>
    <t>s
Grid integration under high penetrations of wind and solar energy
Drought and heat impacts on power systems
Thermal power plant modeling
Hybrid power plant value propositions
Electricity load modeling</t>
  </si>
  <si>
    <t>Grid integration under high penetrations of wind , solar energy,
Drought , heat impacts on power systems,
Thermal power plant modeling,
Hybrid power plant value propositions,
Electricity load modeling</t>
  </si>
  <si>
    <t>William J. Endres</t>
  </si>
  <si>
    <t>wjendres@mtu.edu</t>
  </si>
  <si>
    <t>Areas of Expertise
LeadershiPPractice
Commercialization Engineering
Innovation Engineering
Machining Dynamics
Cutting Mechanics
Manufacturing Processes</t>
  </si>
  <si>
    <t>Areas of Expertise,
Leadership Practice,
Commercialization Engineering,
Innovation Engineering,
Machining Dynamics,
Cutting Mechanics,
Manufacturing Processes</t>
  </si>
  <si>
    <t>$1,395 per credit (in-state, full-time)</t>
  </si>
  <si>
    <t>Susanta Ghosh</t>
  </si>
  <si>
    <t>susantag@mtu.edu</t>
  </si>
  <si>
    <t>Research Expertise
Bayesian Machine Learning and Uncertainty Quantification
Scientific Machine Learning
Computational Solid Mechanics
Materials Modeling
Biomedical Imaging and Inverse Problems</t>
  </si>
  <si>
    <t>Bayesian Machine Learning , Uncertainty Quantification,
Scientific Machine Learning,
Computational Solid Mechanics,
Materials Modeling,
Biomedical Imaging , Inverse Problems</t>
  </si>
  <si>
    <t>Cameron Hadden</t>
  </si>
  <si>
    <t>cmhadden@mtu.edu</t>
  </si>
  <si>
    <t>s
Molecular Dynamics
Micro Mechanics
High Performance Carbon Composites</t>
  </si>
  <si>
    <t>Molecular Dynamics,
Micro Mechanics,
High Performance Carbon Composites</t>
  </si>
  <si>
    <t>Amir Hussain Idrisi</t>
  </si>
  <si>
    <t>amirhus@mtu.edu</t>
  </si>
  <si>
    <t>s
Durability and degradation of polymeric and composite materials
3D printing of polymers and metals
Characterization and processing of composites
Nanotechnology and characterization of materials
Fracture, damage, and impact behavior on materials</t>
  </si>
  <si>
    <t>Durability , degradation of polymeric , composite materials,
3D printing of polymers , metals,
Characterization , processing of composites,
Nanotechnology , characterization of materials,
Fracture, damage, impact behavior on materials</t>
  </si>
  <si>
    <t>Kartik Iyer</t>
  </si>
  <si>
    <t>kiyer@mtu.edu</t>
  </si>
  <si>
    <t>s
Atmospheric Physics
Turbulence
Thermal convection
Numerical simulations
Supercomputing</t>
  </si>
  <si>
    <t>Atmospheric Physics,
Turbulence,
Thermal convection,
Numerical simulations,
Supercomputing</t>
  </si>
  <si>
    <t>Jaclyn Johnson</t>
  </si>
  <si>
    <t>jenesbit@mtu.edu</t>
  </si>
  <si>
    <t>s
Fundamentals of Diesel Spray and Combustion, Spark Ignition
Spray Combustion
Optical and Laser Diagnostics
Internal Combustion Engines
Alternative Fuels
Thermophysical Properties, Spray &amp; Combustion Modeling</t>
  </si>
  <si>
    <t>Fundamentals of Diesel Spray , Combustion, Spark Ignition,
Spray Combustion,
Optical , Laser Diagnostics,
Internal Combustion Engines,
Alternative Fuels,
Thermophysical Properties, Spray &amp; Combustion Modeling</t>
  </si>
  <si>
    <t>L. Brad King</t>
  </si>
  <si>
    <t>lbking@mtu.edu</t>
  </si>
  <si>
    <t>s
Design of in-situ electrostatic probes
Ion-energy analysis and time-of-flight mass spectrometry
Doppler laser cooling of trapped ions
Optical flow diagnostics
Antimatter confinement</t>
  </si>
  <si>
    <t>Design of in-situ electrostatic probes,
Ion-energy analysis , time-of-flight mass spectrometry,
Doppler laser cooling of trapped ions,
Optical flow diagnostics,
Antimatter confinement</t>
  </si>
  <si>
    <t>Seong-Young Lee</t>
  </si>
  <si>
    <t>sylee@mtu.edu</t>
  </si>
  <si>
    <t>s
Laminar and Turbulent Combustion engines
Soot Formation and Spray Combustion
Bio/Alternative Renewable Energy and Clean Fuels in Low Temperature Combustion
New Emerging Laser-Based Technique Development
Nonequilibrium Plasma-Assisted Combustion
Surrogate Fuel Chemical Reaction Models and CFD Modeling of Reacting Flow Systems
Combustion Dynamics of Instability, Stabilization, and Propagation in Gas Turbine Engine</t>
  </si>
  <si>
    <t>Laminar , Turbulent Combustion engines,
Soot Formation , Spray Combustion,
Bio/Alternative Renewable Energy , Clean Fuels in Low Temperature Combustion,
New Emerging Laser-Based Technique Development,
Nonequilibrium Plasma-Assisted Combustion,
Surrogate Fuel Chemical Reaction Models , CFD Modeling of Reacting Flow Systems,
Combustion Dynamics of Instability, Stabilization, Propagation in Gas Turbine Engine</t>
  </si>
  <si>
    <t>Fei Long</t>
  </si>
  <si>
    <t>flong@mtu.edu</t>
  </si>
  <si>
    <t>s
Sustainable Manufacturing
Waste Characterization and Recycling
Nano Materials
Real-time Infrared Spectroscopy</t>
  </si>
  <si>
    <t>Sustainable Manufacturing,
Waste Characterization , Recycling,
Nano Materials,
Real-time Infrared Spectroscopy</t>
  </si>
  <si>
    <t>Vijaya V. N. Sriram Malladi</t>
  </si>
  <si>
    <t>smalladi@mtu.edu</t>
  </si>
  <si>
    <t>s
Adaptive Systems and Meta-structures
Internet-of-Vibrations
Environmental Testing
Human-structure Interaction
Piezoceramics and SMAs
Wave Propagation
Structural Health Monitoring
Bio-inspired Dynamics</t>
  </si>
  <si>
    <t>Adaptive Systems , Meta-structures,
Internet-of-Vibrations,
Environmental Testing,
Human-structure Interaction,
Piezoceramics , SMAs,
Wave Propagation,
Structural Health Monitoring,
Bio-inspired Dynamics</t>
  </si>
  <si>
    <t>Hassan Masoud</t>
  </si>
  <si>
    <t>hmasoud@mtu.edu</t>
  </si>
  <si>
    <t>s
Interfacial and Multiphase Flows
Fluid-Structure Interaction
Mechanics of Soft Matter
Biological and Bio-Inspired Fluid Mechanics
Flow Through Porous Media
Micro and Nano Fluidics</t>
  </si>
  <si>
    <t>Interfacial , Multiphase Flows,
Fluid-Structure Interaction,
Mechanics of Soft Matter,
Biological , Bio-Inspired Fluid Mechanics,
Flow Through Porous Media,
Micro , Nano Fluidics</t>
  </si>
  <si>
    <t>ScoTTA Miers</t>
  </si>
  <si>
    <t>samiers@mtu.edu</t>
  </si>
  <si>
    <t>s
Internal combustion engine efficiency, emissions, and performance
Alternative and renewable fuels investigating how the unique chemical compositions affect both engine and vehicle operation
IC engine data acquisition techniques such as piston-mounted wireless microwave telemetry and minimally invasive combustion visualization
Alternative and renewable transportation fuels
In-Use Emissions</t>
  </si>
  <si>
    <t>Internal combustion engine efficiency, emissions, performance,
Alternative , renewable fuels investigating how the unique chemical compositions affect both engine , vehicle operation,
IC engine data acquisition techniques such as piston-mounted wireless microwave telemetry , minimally invasive combustion visualization,
Alternative , renewable transportation fuels,
In-Use Emissions</t>
  </si>
  <si>
    <t>Ibrahim Miskioglu</t>
  </si>
  <si>
    <t>imiski@mtu.edu</t>
  </si>
  <si>
    <t>s
Use of severe plastic deformation to alter properties of materials
Failure studies of random fiber composites with applications to structural problems
Failure of sandwich panels with applications to structural problems
Nanoscale properties of interphase in polymer matrix composites
Photomechanics integrated with digital image processing for thermomechanical stress analysis</t>
  </si>
  <si>
    <t>Use of severe plastic deformation to alter properties of materials,
Failure studies of r,om fiber composites with applications to structural problems,
Failure of s,wich panels with applications to structural problems,
Nanoscale properties of interphase in polymer matrix composites,
Photomechanics integrated with digital image processing for thermomechanical stress analysis</t>
  </si>
  <si>
    <t>Stephen M. Morse, PE</t>
  </si>
  <si>
    <t>smmorse@mtu.edu</t>
  </si>
  <si>
    <t>s
Window Glass Strength Design
Wind loads on Structures
Finite Element Modeling of Brittle Materials
Large Scale Data Processing and Data Mining</t>
  </si>
  <si>
    <t>Window Glass Strength Design,
Wind loads on Structures,
Finite Element Modeling of Brittle Materials,
Large Scale Data Processing , Data Mining</t>
  </si>
  <si>
    <t>Jeffrey D. Naber</t>
  </si>
  <si>
    <t>jnaber@mtu.edu</t>
  </si>
  <si>
    <t>s
Combustion processes and combustion control of hydrogen and hydrogen dual fueled engines
Biofuels including ethanol with production from forest products and application in advanced combustion engines
Gasoline IC engine research and the development of physical based correlations and models
Development of combustion measurement techniques for diesel, gasoline, and HCCI and PPCI engines</t>
  </si>
  <si>
    <t>Combustion processes , combustion control of hydrogen , hydrogen dual fueled engines,
Biofuels including ethanol with production from forest products , application in advanced combustion engines,
Gasoline IC engine research , the development of physical based correlations , models,
Development of combustion measurement techniques for diesel, gasoline, HCCI , PPCI engines</t>
  </si>
  <si>
    <t>Amitabh Narain</t>
  </si>
  <si>
    <t>narain@mtu.edu</t>
  </si>
  <si>
    <t>Vinh Nguyen</t>
  </si>
  <si>
    <t>vinhn@mtu.edu</t>
  </si>
  <si>
    <t>s
Advanced manufacturing
Industry 4.0
Human-robot-machine interaction
Physics-based/data-driven modeling
Manufacturing process monitoring
Industrial automation</t>
  </si>
  <si>
    <t>Advanced manufacturing,
Industry 4,0,
Human-robot-machine interaction,
Physics-based/data-driven modeling,
Manufacturing process monitoring,
Industrial automation</t>
  </si>
  <si>
    <t>Gordon G. Parker</t>
  </si>
  <si>
    <t>ggparker@mtu.edu</t>
  </si>
  <si>
    <t>s
Control system design
Methods for correlating nonlinear dynamic models to experimental data
Nonlinear control
System simulation
Nonlinear system parameter identification and optimization</t>
  </si>
  <si>
    <t>Control system design,
Methods for correlating nonlinear dynamic models to experimental data,
Nonlinear control,
System simulation,
Nonlinear system parameter identification , optimization</t>
  </si>
  <si>
    <t>Fernando Ponta</t>
  </si>
  <si>
    <t>flponta@mtu.edu</t>
  </si>
  <si>
    <t>s
Theoretical and Computational Fluid Mechanics
Vortex Dynamics
Fluid-Structure Interaction
Wind-Turbine Aerodynamics
Renewable-Energy Sources
Energy Systems</t>
  </si>
  <si>
    <t>Theoretical , Computational Fluid Mechanics,
Vortex Dynamics,
Fluid-Structure Interaction,
Wind-Turbine Aerodynamics,
Renewable-Energy Sources,
Energy Systems</t>
  </si>
  <si>
    <t>Ye Qi</t>
  </si>
  <si>
    <t>yeqi@mtu.edu</t>
  </si>
  <si>
    <t>s
Surface modification of cutting tools
Tribology</t>
  </si>
  <si>
    <t>Surface modification of cutting tools,Tribology</t>
  </si>
  <si>
    <t>Youngchul Ra</t>
  </si>
  <si>
    <t>yra@mtu.edu</t>
  </si>
  <si>
    <t>Areas of Expertise
Computational Fluid Dynamics
Combustion/Chemical kinetics
Internal Combustion Engine
Specialties
Advanced Combustion Modeling Gasoline Compression Ignition (GCI), Reactive Controlled Compression Ignition (RCCI),High Pressure Torch Jet Combustion (HPTJC), Ignition, Flame propagation
Engine CFD Full Conjugate Multi-domain code, Engine combustion application, Code development
Chemical kinetics Multi-component fuel chemistry, Surface chemistry, Soot, Emissions.
Alternative Fuel Research Biofuel, Additives, Spray modeling, Fuel assessment and design
High Performance Computing Technology Parallel computing, Solver algorithm, Optimization</t>
  </si>
  <si>
    <t>Areas of Expertise,
Computational Fluid Dynamics,
Combustion/Chemical kinetics,
Internal Combustion Engine</t>
  </si>
  <si>
    <t>Darrell L. Robinette</t>
  </si>
  <si>
    <t>dlrobine@mtu.edu</t>
  </si>
  <si>
    <t>s
Powertrain and propulsion system electrification
Connected and Automated Vehicle optimal control for energy
Multi-speed transmission powerflow synthesis
Drivetrain dynamics and NVH
Torque converters and clutch systems</t>
  </si>
  <si>
    <t>Powertrain , propulsion system electrification,
Connected , Automated Vehicle optimal control for energy,
Multi-speed transmission powerflow synthesis,
Drivetrain dynamics , NVH,
Torque converters , clutch systems</t>
  </si>
  <si>
    <t>Trisha Sain</t>
  </si>
  <si>
    <t>tsain@mtu.edu</t>
  </si>
  <si>
    <t>s
Multiscale, multiphysics modeling of aging in polymers &amp; polymer composites
Degradation of metallic implants in physiological environment
Fracture, damage and impact behavior on materials
Analysis, design and testing of novel multifunctional lightweight polymer composite materials</t>
  </si>
  <si>
    <t>Multiscale, multiphysics modeling of aging in polymers &amp; polymer composites,
Degradation of metallic implants in physiological environment,
Fracture, damage , impact behavior on materials,
Analysis, design , testing of novel multifunctional lightweight polymer composite materials</t>
  </si>
  <si>
    <t>Kazuya Tajiri</t>
  </si>
  <si>
    <t>ktajiri@mtu.edu</t>
  </si>
  <si>
    <t>s
Transport phenomena in multiscale/multiphase systems
Thermo-fluid system diagnostics, modeling, and optimization
Polymer electrolyte fuel cells for automotive application
Renewable energy
Combustion dynamics modeling</t>
  </si>
  <si>
    <t>Transport phenomena in multiscale/multiphase systems,
Thermo-fluid system diagnostics, modeling, optimization,
Polymer electrolyte fuel cells for automotive application,
Renewable energy,
Combustion dynamics modeling</t>
  </si>
  <si>
    <t>Radheshyam Tewari</t>
  </si>
  <si>
    <t>rtewari@mtu.edu</t>
  </si>
  <si>
    <t>s
Process and Product Development and Improvement
Macro-, Micro-, and Nano-manufacturing
Micro- and Nano-technology
Implantable Medical Devices
Additive Manufacturing
Education Research
Curriculum and Program Assessment
Diversity, Equity, Inclusion, and Sense of Belonging</t>
  </si>
  <si>
    <t>Process , Product Development , Improvement,
Macro-, Micro-, Nano-manufacturing,
Micro- , Nano-technology,
Implantable Medical Devices,
Additive Manufacturing,
Education Research,
Curriculum , Program Assessment,
Diversity, Equity, Inclusion, Sense of Belonging</t>
  </si>
  <si>
    <t>Paul van Susante</t>
  </si>
  <si>
    <t>pjvansus@mtu.edu</t>
  </si>
  <si>
    <t>s
Extreme Environment Technologies (Space, Underwater, Mining, Arctic, etc.)
Excavation and Mining Technology
Planetary Science and Exploration
In-Situ Resource Utilization
Space Mining and Construction
Design Optimization
Robotics and Automation
System Engineering and Integration</t>
  </si>
  <si>
    <t>Extreme Environment Technologies (Space, Underwater, Mining, Arctic, etc,),
Excavation , Mining Technology,
Planetary Science , Exploration,
In-Situ Resource Utilization,
Space Mining , Construction,
Design Optimization,
Robotics , Automation,
System Engineering , Integration</t>
  </si>
  <si>
    <t>Zequn Wang</t>
  </si>
  <si>
    <t>zequnw@mtu.edu</t>
  </si>
  <si>
    <t>s
Design for reliability and system resilience
Prognostics and health management
Design of engineered material systems
Uncertainty management</t>
  </si>
  <si>
    <t>Adjunct Assistant P1</t>
  </si>
  <si>
    <t>Design for reliability , system resilience,
Prognostics , health management,
Design of engineered material systems,
Uncertainty management</t>
  </si>
  <si>
    <t>Wayne W. Weaver</t>
  </si>
  <si>
    <t>wwweaver@mtu.edu</t>
  </si>
  <si>
    <t>Areas of Interest
Power electronics systems
Microgrids
Non-linear and game theoretic controls
Distributed energy resources
Electric drives and machinery</t>
  </si>
  <si>
    <t>Power electronics systems,
Microgrids,
Non-linear , game theoretic controls,
Distributed energy resources,
Electric drives , machinery</t>
  </si>
  <si>
    <t>Yongchao Yang</t>
  </si>
  <si>
    <t>yyang14@mtu.edu</t>
  </si>
  <si>
    <t>s
Structural dynamics
System identification
Structural health monitoring
Non-destructive evaluation
High-resolution sensing/imaging
Machine learning
Computer vision</t>
  </si>
  <si>
    <t>Structural dynamics,
System identification,
Structural health monitoring,
Non-destructive evaluation,
High-resolution sensing/imaging,
Machine learning,
Computer vision</t>
  </si>
  <si>
    <t>Song-Lin (Jason) Yang</t>
  </si>
  <si>
    <t>slyang@mtu.edu</t>
  </si>
  <si>
    <t>s
Computational fluid dynamics (CFD)
Modeling and numerical simulation of diesel particulate traP(DPF) performance during loading and regeneration
Diesel oxidation catalyst (DOC) converter code development
Lattice Boltzmann Method for Porous/Disordered Media</t>
  </si>
  <si>
    <t>Computational fluid dynamics (CFD),
Modeling , numerical simulation of diesel particulate traP(DPF) performance during loading , regeneration,
Diesel oxidation catalyst (DOC) converter code development,
Lattice Boltzmann Method for Porous/Disordered Media</t>
  </si>
  <si>
    <t>Shangyan Zou</t>
  </si>
  <si>
    <t>shangyan@mtu.edu</t>
  </si>
  <si>
    <t>s
Dynamics modeling and control of ocean renewable systems
Swarm behavior of networked marine energy systems
Fluid-structure interaction of soft ocean energy converters
Control and automation of unmanned underwater vehicles</t>
  </si>
  <si>
    <t>Dynamics modeling , control of ocean renewable systems,
Swarm behavior of networked marine energy systems,
Fluid-structure interaction of soft ocean energy converters,
Control , automation of unmanned underwater vehicles</t>
  </si>
  <si>
    <t>Stevens Institute of Technology (Schaefer)</t>
  </si>
  <si>
    <t>Gizem Acar</t>
  </si>
  <si>
    <t>gacar@stevens.edu</t>
  </si>
  <si>
    <t>My research focuses on nonlinear dynamics and vibrations with applications to wind turbines, granular materials, systems with noise, metamaterials and metastructures. I have active projects on nonlinear metastructure beams under rotation and under fluid-structure interactions. In addition, I am interested in using machine learning algorithms to forecast nonlinear system behavior, such as wind turbine power output and granular surface response during robotic locomotion.</t>
  </si>
  <si>
    <t>nonlinear dynamics , vibrations with applications to wind turbines, granular materials, systems with noise, metamaterials , metastructures, I have active projects on nonlinear metastructure beams under rotation , under fluid-structure interactions</t>
  </si>
  <si>
    <t>DEPARTMENT OF MECHANICAL ENGINEERING</t>
  </si>
  <si>
    <t>Elsayed Aziz</t>
  </si>
  <si>
    <t>eaziz@stevens.edu</t>
  </si>
  <si>
    <t>Knowledge-Based Engineering Systems
Concurrent Engineering
Computer Integrated Design and Manufacturing
Machine Tool Design
Gear Design and Manufacturing
Finite Element Analysis
Automation
Software development and application skills
virtual and remote experimentation</t>
  </si>
  <si>
    <t>Knowledge-Based Engineering Systems,
Concurrent Engineering,
Computer Integrated Design , Manufacturing,
Machine Tool Design,
Gear Design , Manufacturing,
Finite Element Analysis,
Automation,
Software development , application skills,
virtual , remote experimentation</t>
  </si>
  <si>
    <t>Robert Chang</t>
  </si>
  <si>
    <t>rchang6@stevens.edu</t>
  </si>
  <si>
    <t>Additive Biomanufacturing
Biofabrication
Computer-Aided Tissue Engineering
Biomimetic Tissue-Based Design
Microscale In vitro Physiological/Pathological Systems
Mechanobiology</t>
  </si>
  <si>
    <t>Additive Biomanufacturing,
Biofabrication,
Computer-Aided Tissue Engineering,
Biomimetic Tissue-Based Design,
Microscale In vitro Physiological/Pathological Systems,
Mechanobiology</t>
  </si>
  <si>
    <t>Chang-Hwan Choi</t>
  </si>
  <si>
    <t>cchoi@stevens.edu</t>
  </si>
  <si>
    <t>- Micromachining &amp; Nanofabrication
- Additive Manufacturing
- Surface Engineering
- Interfacial Phenomena
- Fluid Mechanics &amp; Thermal Engineering
- Microfluidics/Nanofluidics/Optofluidics
- Biomaterials</t>
  </si>
  <si>
    <t>Micromachining &amp; Nanofabrication,
Additive Manufacturing,
Surface Engineering,
Interfacial Phenomena,
Fluid Mechanics &amp; Thermal Engineering,
Microfluidics/Nanofluidics/Optofluidics,
Biomaterials,</t>
  </si>
  <si>
    <t>Kevin Connington</t>
  </si>
  <si>
    <t>kconning@stevens.edu</t>
  </si>
  <si>
    <t>Multiphase Flow, Fluid-Particle Interactions, Soft Matter Flows
Computational Fluid Dynamics The Lattice Boltzmann Method(LBM)
Parallel Computing with MPI</t>
  </si>
  <si>
    <t>Multiphase Flow, Fluid-Particle Interactions, Soft Matter Flows,
Computational Fluid Dynamics The Lattice Boltzmann Method(LBM),
Parallel Computing with MPI</t>
  </si>
  <si>
    <t>Brendan Englot</t>
  </si>
  <si>
    <t>benglot@stevens.edu</t>
  </si>
  <si>
    <t>I am interested in perception, planning, optimization, and control that enables mobile robots to achieve robust autonomy in complex physical environments. Specific goals include improving the reliability of autonomous navigation for unmanned underwater, ground and aerial vehicles subjected to noise-corrupted and drifting sensors, incomplete knowledge of the environment, and tasks that require interaction with surrounding objects and structures. My recent work has considered sensing tasks motivated by underwater surveillance and inspection applications, and path planning with multiple objectives, unreliable sensors, and imprecise maps.</t>
  </si>
  <si>
    <t>perception, planning, optimization, control that enables mobile robots to achieve robust autonomy in complex physical environments</t>
  </si>
  <si>
    <t>Sven Esche</t>
  </si>
  <si>
    <t>sesche@stevens.edu</t>
  </si>
  <si>
    <t>Research activities in the areas of manufacturing, integrated product and process design, metal forming, prediction of microstructure development in metals, remote sensing and control, remote experimentation, numerical methods, FEM.</t>
  </si>
  <si>
    <t>manufacturing, integrated product , process design, metal forming, prediction of microstructure development in metals, remote sensing , control, remote experimentation, numerical methods, FEM,</t>
  </si>
  <si>
    <t>Frank Fisher</t>
  </si>
  <si>
    <t>ffisher@stevens.edu</t>
  </si>
  <si>
    <t>s - Technical</t>
  </si>
  <si>
    <t>Technical</t>
  </si>
  <si>
    <t>Maxine Fontaine</t>
  </si>
  <si>
    <t>mkwan@stevens.edu</t>
  </si>
  <si>
    <t>Dr. Fontaine's current s are focused on improving engineering pedagogy and increasing diversity in engineering.</t>
  </si>
  <si>
    <t xml:space="preserve"> improving engineering pedagogy , increasing diversity in engineering</t>
  </si>
  <si>
    <t>Hamid Hadim</t>
  </si>
  <si>
    <t>ahadim@stevens.edu</t>
  </si>
  <si>
    <t>Sustainable Energy Systems, Thermal Challenges in Micro/nano Systems, Thermal Convection in Porous Media, Innovative Microelectronics Cooling Techniques, Multidisciplinary Design and Optimization in Electronics and MEMS Packaging</t>
  </si>
  <si>
    <t>Sustainable Energy Systems, Thermal Challenges in Micro/nano Systems, Thermal Convection in Porous Media, Innovative Microelectronics Cooling Techniques, Multidisciplinary Design , Optimization in Electronics , MEMS Packaging</t>
  </si>
  <si>
    <t>Shima Hajimirza</t>
  </si>
  <si>
    <t>shajimi1@stevens.edu</t>
  </si>
  <si>
    <t>Data-Driven Modeling and Design
Energy Resiliency and Sustainability
Inverse Problems
Machine Learning/AI-based Modeling and Optimization
Modeling Energy Transfer in Complex Media,
Energy Conversion at Nanoscale
Topology Optimization
Radiation Heat Transfer</t>
  </si>
  <si>
    <t>Data-Driven Modeling , Design,
Energy Resiliency , Sustainability,
Inverse Problems,
Machine Learning/AI-based Modeling , Optimization,
Modeling Energy Transfer in Complex Media,
Energy Conversion at Nanoscale,
Topology Optimization,
Radiation Heat Transfer</t>
  </si>
  <si>
    <t>Hamid Jafarnejad Sani</t>
  </si>
  <si>
    <t>hjafarne@stevens.edu</t>
  </si>
  <si>
    <t>My s include control and planning, robotics, cyber-physical security, and machine learning. In particular, I am interested in resilient and secure control of intelligent autonomous systems in uncertain and adversarial environments.</t>
  </si>
  <si>
    <t>control , planning, robotics, cyber-physical security, machine learning, In particular, I am interested in resilient , secure control of intelligent autonomous systems in uncertain , adversarial environments</t>
  </si>
  <si>
    <t>$39,408 per year (full-time)</t>
  </si>
  <si>
    <t>Chang Beom Joo</t>
  </si>
  <si>
    <t>cjoo@stevens.edu</t>
  </si>
  <si>
    <t>Souran Manoochehri</t>
  </si>
  <si>
    <t>smanooch@stevens.edu</t>
  </si>
  <si>
    <t xml:space="preserve">PSouran Manoochehri is internationally recognized as an expert in numerous areas of design and manufacturing, including additive manufacturing, computer integrated design and manufacturing, and intelligent modeling and optimization. His research on additive manufacturing and integrated design integrates mathematical modeling, machine learning methods and experimental studies, providing product and process quality assurance.
</t>
  </si>
  <si>
    <t xml:space="preserve">additive manufacturing , integrated design integrates mathematical modeling, machine learning methods , experimental studies, providing product , process quality assurance
</t>
  </si>
  <si>
    <t>Nicholaus Parziale</t>
  </si>
  <si>
    <t>nparzial@stevens.edu</t>
  </si>
  <si>
    <t>Christophe Pierre</t>
  </si>
  <si>
    <t>CPerre@stevens.edu</t>
  </si>
  <si>
    <t>• Structural dynamics and vibrations
• Nonlinear dynamics
• Elastic wave propagation
• Aeroelasticity
• Vibration localization phenomena in disordered periodic structures
• Probabilistic structural dynamics with parameter uncertainties
• Mid- and high-frequency vibration transmission
• Dynamics of mistuned bladed-disk assemblies and rotating systems
• Normal modes and modal analysis for nonlinear systems
• Dynamics of dry-friction damped and non-smooth systems
• Automotive and aerospace structure applications
• Structural design and topology optimization</t>
  </si>
  <si>
    <t>Structural dynamics , vibrations,
Nonlinear dynamics,
Elastic wave propagation,
Aeroelasticity,
Vibration localization phenomena in disordered periodic structures,
Probabilistic structural dynamics with parameter uncertainties,
Mid- , high-frequency vibration transmission, Dynamics of mistuned bladed-disk assemblies , rotating systems,
Normal modes , modal analysis for nonlinear systems,
 Dynamics of dry-friction damped , non-smooth systems,
Automotive , aerospace structure applications,
 Structural design , topology optimization</t>
  </si>
  <si>
    <t>Kishore Pochiraju</t>
  </si>
  <si>
    <t>kpochira@stevens.edu</t>
  </si>
  <si>
    <t>Design of cyber-physical systems. Uncertainty Quantification in Engineering materials . High fidelity simulations with multi-physics, Differentiable surrogates, AI/ML frameworks for characterization and quantification of uncertainty in structure responses.</t>
  </si>
  <si>
    <t>Design of cyber-physical systems, Uncertainty Quantification in Engineering materials , High fidelity simulations with multi-physics, Differentiable surrogates, AI/ML frameworks for characterization , quantification of uncertainty in structure responses,</t>
  </si>
  <si>
    <t>Zahra Pournorouz</t>
  </si>
  <si>
    <t>zpournor@stevens.edu</t>
  </si>
  <si>
    <t>Enhancing the Thermophysical Properties of Synthetic oils Nanofluids</t>
  </si>
  <si>
    <t>Jason Rabinovitch</t>
  </si>
  <si>
    <t>jrabinov@stevens.edu</t>
  </si>
  <si>
    <t>In my research group, we combine an interest in space exploration with fundamental computational fluid dynamics research. Our areas of interest include, but are not limited to, investigating plume-surface interactions during powered descent of spacecraft, modeling supersonic parachute inflations, and modeling geophysical phenomena, such as the plumes on Enceladus or Yardangs on Earth and Mars.</t>
  </si>
  <si>
    <t>investigating plume-surface interactions during powered descent of spacecraft, modeling supersonic parachute inflations, modeling geophysical phenomena</t>
  </si>
  <si>
    <t>Anthony Russo</t>
  </si>
  <si>
    <t>arusso@stevens.edu</t>
  </si>
  <si>
    <t>Mishah Salman</t>
  </si>
  <si>
    <t>msalman@stevens.edu</t>
  </si>
  <si>
    <t>Control Systems | Robotics | Mechatronics | Automation | Aerospace Systems Control | Failure Accommodation | Regulation Theory</t>
  </si>
  <si>
    <t>Control Systems , Robotics , Mechatronics , Automation , Aerospace Systems Control , Failure Accommodation , Regulation Theory</t>
  </si>
  <si>
    <t>Yong Shi</t>
  </si>
  <si>
    <t>yshi2@stevens.edu</t>
  </si>
  <si>
    <t xml:space="preserve">Active nanostructures such as nanofibers and nanotubes for mechanical, thermal, solar, and chemical energy scavenging, Novel actuation and sensing technologies for biomedical and structural health monitoring applications, Power and biomedical MEMS/NEMS design and fabrication, Experimental micro/nano mechanics and electromechanical coupling.
</t>
  </si>
  <si>
    <t xml:space="preserve">Active nanostructures such as nanofibers , nanotubes for mechanical, thermal, solar, chemical energy scavenging, Novel actuation , sensing technologies for biomedical , structural health monitoring applications, Power , biomedical MEMS/NEMS design , fabrication, Experimental micro/nano mechanics , electromechanical coupling
</t>
  </si>
  <si>
    <t>Leonid Shnayder</t>
  </si>
  <si>
    <t>lshnayde@stevens.edu</t>
  </si>
  <si>
    <t>Christopher Sugino</t>
  </si>
  <si>
    <t>csugino@stevens.edu</t>
  </si>
  <si>
    <t>Structural dynamics and acoustics
Metamaterials and metastructures
Smart structures
Wave propagation control</t>
  </si>
  <si>
    <t>Structural dynamics , acoustics,
Metamaterials , metastructures,
Smart structures,
Wave propagation control</t>
  </si>
  <si>
    <t>Chaitanya Krishna Vallabh</t>
  </si>
  <si>
    <t>cvallabh@stevens.edu</t>
  </si>
  <si>
    <t>My research expertise lies in the broad area of system dynamics and vibrations with specialization in microparticle adhesion and manipulation using acoustic techniques coupled with laser interferometry. My research experience and interests also include additive manufacturing (AM), advanced, smart, and scalable manufacturing methods, elastic wave propagation, ultrasonic non-destructive evaluation, structural health monitoring (SHM), systems integration, bigdata analysis, image and signal processing, deePlearning, and microelectromechanical systems (MEMS).</t>
  </si>
  <si>
    <t>system dynamics , vibrations with specialization in microparticle adhesion , manipulation using acoustic techniques coupled with laser interferometry</t>
  </si>
  <si>
    <t>Long Wang</t>
  </si>
  <si>
    <t>lwang4@stevens.edu</t>
  </si>
  <si>
    <t xml:space="preserve">My passion is in building robots and intelligent machines to helPtasks in challenging environments. My  lies in modeling, sensing, control and design of robots. I have experiences in telemanipulation, kinematic modeling and calibration, force control, continuum robots, and robotic hand designs. The applications that I am mostly interested in include robot-assisted minimally invasive surgery, and remotely operated manipulation tasks.
</t>
  </si>
  <si>
    <t xml:space="preserve"> building robots , intelligent machines to helPtasks in challenging environments, modeling, sensing, control , design of robots, I have experiences in telemanipulation, kinematic modeling , calibration, force control, continuum robots
</t>
  </si>
  <si>
    <t>Eui-Hyeok Yang</t>
  </si>
  <si>
    <t>eyang@stevens.edu</t>
  </si>
  <si>
    <t>Current Research Advanced Quantum Materials and Sensing Explore 2D dilute magnetic semiconductors via an in situ substitutional doping of metal atoms into the transition metal lattice sites in TMD monolayers, probe ferromagnetism at room temperature, and study electron transport in 2D materials for ultrasensitive detection. This new class of materials finds critical applications, including on-chiPmagnetic field sources, spintronic memories, spin photovoltaics, and spin thermoelectric.
Previous Research MEMS Technologies for Adaptive Optics Led the development of MEMS-based adaptive optics for ultra-large space telescopes at NASA/JPL. These projects were funded by NASA, JPL, the National Reconnaissance Office (NRO), and other industrial partners.</t>
  </si>
  <si>
    <t>Advanced Quantum Materials , Sensing Explore 2D dilute magnetic semiconductors via an in situ substitutional doping of metal atoms into the transition metal lattice sites in TMD monolayers, probe ferromagnetism at room temperature, study electron transport in 2D materials for ultrasensitive detection, This new class of materials finds critical applications, including on-chiPmagnetic field sources, spintronic memories, spin photovoltaics, spin thermoelectric</t>
  </si>
  <si>
    <t>Fan Yang</t>
  </si>
  <si>
    <t>fyang26@stevens.edu</t>
  </si>
  <si>
    <t>Micro/Nanoscale heat transfer and energy conversion
Nonlinear heat transfer
Novel modeling and experimental methods for thermal transport
Nanostructured thermoelectrics
Thermal devices</t>
  </si>
  <si>
    <t>Micro/Nanoscale heat transfer , energy conversion,
Nonlinear heat transfer,
Novel modeling , experimental methods for thermal transport,
Nanostructured thermoelectrics,
Thermal devices</t>
  </si>
  <si>
    <t>Chan Yu</t>
  </si>
  <si>
    <t>cyu@stevens.edu</t>
  </si>
  <si>
    <t>Damiano Zanotto</t>
  </si>
  <si>
    <t>dzanotto@stevens.edu</t>
  </si>
  <si>
    <t>Annie Xian Zhang</t>
  </si>
  <si>
    <t>xzhang4@stevens.edu</t>
  </si>
  <si>
    <t>Micro &amp; Nanomanufacturing
Nano and Quantum Scale Thermal and Thermoelectric Transport Phenomena
Low Dimensional Materials, Nano Crystals, and Thin Films
Micro Sensors
Machine Learning</t>
  </si>
  <si>
    <t>Micro &amp; Nanomanufacturing,
Nano , Quantum Scale Thermal , Thermoelectric Transport Phenomena,
Low Dimensional Materials, Nano Crystals, Thin Films,
Micro Sensors,
Machine Learning</t>
  </si>
  <si>
    <t>Syracuse University</t>
  </si>
  <si>
    <t>Jeongmin Ahn</t>
  </si>
  <si>
    <t>jeongahn@syr.edu</t>
  </si>
  <si>
    <t xml:space="preserve">Energy conversion
Electrochemistry
Combustion
Thermal management
</t>
  </si>
  <si>
    <t xml:space="preserve">Energy conversion,
Electrochemistry,
Combustion,
Thermal management,
</t>
  </si>
  <si>
    <t>Ben Akih-Kumgeh</t>
  </si>
  <si>
    <t>bakihkum@syr.edu</t>
  </si>
  <si>
    <t>Combustion physics and chemistry (chemical kinetics, ignition, flame propagation, extinction, and pollutant formation, turbulent combustion)
Applied combustion in gas turbines, internal combustion engines and process burners
Fuel technology (formulation, additives and characterization)
Thermodynamic analysis of energy systems</t>
  </si>
  <si>
    <t>Combustion physics , chemistry,
Applied combustion in gas turbines, internal combustion engines , process burners,
Fuel technology (formulation, additives , characterization),
Thermodynamic analysis of energy systems</t>
  </si>
  <si>
    <t>Jackie Anderson</t>
  </si>
  <si>
    <t xml:space="preserve">jsande03@syr.edu
</t>
  </si>
  <si>
    <t>Michelle M. Blum</t>
  </si>
  <si>
    <t xml:space="preserve">mmblum@syr.edu
</t>
  </si>
  <si>
    <t>#119 - Best Engineering Schools</t>
  </si>
  <si>
    <t>Ed Bogucz</t>
  </si>
  <si>
    <t>bogucz@syr.edu</t>
  </si>
  <si>
    <t>Energy efficiency of building technologies
Green building design, construction, and operation
Indoor environmental quality
Revitalization and resilience of urban neighborhood
Collaborative research and development
Regional economic development</t>
  </si>
  <si>
    <t>Energy efficiency of building technologies,
Green building design, construction, operation,
Indoor environmental quality,
Revitalization , resilience of urban neighborhood,
Collaborative research , development,
Regional economic development</t>
  </si>
  <si>
    <t>John F. Dannenhoffer III</t>
  </si>
  <si>
    <t>jfdannen@syr.edu</t>
  </si>
  <si>
    <t>Multi-disciplinary Analysis and Optimization (MDAO)
Computational Geometry (CG)
Computational Fluid Dynamics (CFD)
Aerospace vehicle analysis and design</t>
  </si>
  <si>
    <t>Multi-disciplinary Analysis , Optimization (MDAO),
Computational Geometry (CG),
Computational Fluid Dynamics (CFD),
Aerospace vehicle analysis , design</t>
  </si>
  <si>
    <t>Bing Dong</t>
  </si>
  <si>
    <t>bidong@syr.edu</t>
  </si>
  <si>
    <t>Modeling occupant behavior in buildings
Intelligent building operation
Fault detection and diagnostics
Buildings-to-grid integration
Grid-interactive Efficient Buildings
Urban mobility
Urban building energy modeling
Modeling and optimization of urban energy system
Human performance</t>
  </si>
  <si>
    <t>Modeling occupant behavior in buildings,
Intelligent building operation,
Fault detection , diagnostics,
Buildings-to-grid integration,
Grid-interactive Efficient Buildings,
Urban mobility,
Urban building energy modeling,
Modeling , optimization of urban energy system,
Human performance</t>
  </si>
  <si>
    <t>Victor Duenas</t>
  </si>
  <si>
    <t>vhduenas@syr.edu</t>
  </si>
  <si>
    <t>Nonlinear and Adaptive Control
Rehabilitation Robotics
Powered Exoskeletons
Functional Electrical Stimulation (FES)</t>
  </si>
  <si>
    <t>Nonlinear , Adaptive Control,
Rehabilitation Robotics,
Powered Exoskeletons,
Functional Electrical Stimulation (FES)</t>
  </si>
  <si>
    <t>Matthew Erdman</t>
  </si>
  <si>
    <t>Zhenyu Gan</t>
  </si>
  <si>
    <t>zgan02@syr.edu</t>
  </si>
  <si>
    <t>Robotics
Legged Locomotion
Gait analysis
Multibody Dynamics
Control</t>
  </si>
  <si>
    <t>Robotics,
Legged Locomotion,
Gait analysis,
Multibody Dynamics,
Control</t>
  </si>
  <si>
    <t>Kasey Laurent</t>
  </si>
  <si>
    <t>klaurent@syr.edu</t>
  </si>
  <si>
    <t>Experimental Fluid Dynamics
Bio-Inspired Flight and Swimming
Bio-Inspired Noise Mitigation
UAV Flight Performance in Wind</t>
  </si>
  <si>
    <t>Experimental Fluid Dynamics,
Bio-Inspired Flight , Swimming,
Bio-Inspired Noise Mitigation,
UAV Flight Performance in Wind</t>
  </si>
  <si>
    <t>Xiyuan Liu</t>
  </si>
  <si>
    <t xml:space="preserve">xliu127@syr.edu
</t>
  </si>
  <si>
    <t>Microfluidics
Point of care diagnosis
Wearable biosensor</t>
  </si>
  <si>
    <t>Microfluidics,
Point of care diagnosis,
Wearable biosensor</t>
  </si>
  <si>
    <t>$1,802 per credit (full-time)</t>
  </si>
  <si>
    <t xml:space="preserve">Aoyi Luo </t>
  </si>
  <si>
    <t>Shalabh C. Maroo</t>
  </si>
  <si>
    <t>scmaroo@syr.edu</t>
  </si>
  <si>
    <t xml:space="preserve">Thermal management
Heat transfer
Nano and micro-technology
Energy conversion
Desalination
</t>
  </si>
  <si>
    <t xml:space="preserve">Thermal management,
Heat transfer,
Nano , micro-technology,
Energy conversion,
Desalination
</t>
  </si>
  <si>
    <t>Young B. Moon</t>
  </si>
  <si>
    <t>ybmoon@syr.edu</t>
  </si>
  <si>
    <t>Cyber-Manufacturing Systems
Cyber-Manufacturing Security
Systems Modeling and Simulation
Application of Machine Learning and Artificial Intelligence
Sustainable Product Realization Processes and Systems</t>
  </si>
  <si>
    <t>Cyber-Manufacturing Systems,
Cyber-Manufacturing Security,
Systems Modeling , Simulation,
Application of Machine Learning , Artificial Intelligence,
Sustainable Product Realization Processes , Systems</t>
  </si>
  <si>
    <t>Anupam Pandey</t>
  </si>
  <si>
    <t xml:space="preserve">apande05@syr.edu
</t>
  </si>
  <si>
    <t xml:space="preserve">Soft Matter
Elasticity
Capillarity
Viscous flow
</t>
  </si>
  <si>
    <t xml:space="preserve">Soft Matter,
Elasticity,
Capillarity,
Viscous flow
</t>
  </si>
  <si>
    <t>Quinn Qiao</t>
  </si>
  <si>
    <t xml:space="preserve">quqiao@syr.edu
</t>
  </si>
  <si>
    <t>Solar cells
Batteries
Biomedical sensors
Precision agriculture
Micro/nano fabrication</t>
  </si>
  <si>
    <t>Solar cells,
Batteries,
Biomedical sensors,
Precision agriculture,
Micro/nano fabrication</t>
  </si>
  <si>
    <t>Utpal Roy</t>
  </si>
  <si>
    <t>uroy@syr.edu</t>
  </si>
  <si>
    <t>Geometric tolerances
Solid modeling
Computer aided design and manufacturing
Intelligent CAD
Product design/Design &amp; manufacturing
Sustainable manufacturing
Application of artificial intelligence</t>
  </si>
  <si>
    <t>Geometric tolerances,
Solid modeling,
Computer aided design , manufacturing,
Intelligent CAD,
Product design/Design &amp; manufacturing,
Sustainable manufacturing,
Application of artificial intelligence</t>
  </si>
  <si>
    <t>Amit K. Sanyal</t>
  </si>
  <si>
    <t>aksanyal@syr.edu</t>
  </si>
  <si>
    <t>Nonlinear dynamics
Geometric control
Nonlinear estimation
Geometric mechanics
Aerospace control
Mobile robots</t>
  </si>
  <si>
    <t>Nonlinear dynamics,
Geometric control,
Nonlinear estimation,
Geometric mechanics,
Aerospace control,
Mobile robots</t>
  </si>
  <si>
    <t>Mehmet Sarimurat</t>
  </si>
  <si>
    <t>mnsarimu@syr.edu</t>
  </si>
  <si>
    <t>Multiphysics modeling and simulation
Turbomachinery/Aircraft propulsion
Air management system design and optimization
Computational and experimental aero-acoustics</t>
  </si>
  <si>
    <t>Multiphysics modeling , simulation,
Turbomachinery/Aircraft propulsion,
Air management system design , optimization,
Computational , experimental aero-acoustics</t>
  </si>
  <si>
    <t>Roger Schmidt</t>
  </si>
  <si>
    <t xml:space="preserve">rrschmid@syr.edu
</t>
  </si>
  <si>
    <t>Wanliang Shan</t>
  </si>
  <si>
    <t>washan@syr.edu</t>
  </si>
  <si>
    <t>Solid Mechanics
Materials Engineering
Thermophysics
Machine Learning
Soft Robotics</t>
  </si>
  <si>
    <t>Solid Mechanics,
Materials Engineering,
Thermophysics,
Machine Learning,
Soft Robotics</t>
  </si>
  <si>
    <t>Yiyang Sun</t>
  </si>
  <si>
    <t xml:space="preserve">ysun58@syr.edu
</t>
  </si>
  <si>
    <t>Computational Fluid Dynamics
Flow Control
Unsteady Aerodynamics
Data Science</t>
  </si>
  <si>
    <t>Computational Fluid Dynamics,
Flow Control,
Unsteady Aerodynamics,
Data Science</t>
  </si>
  <si>
    <t>Yeqing Wang</t>
  </si>
  <si>
    <t>ywang261@syr.edu</t>
  </si>
  <si>
    <t>Mechanics of composite materials and structures
Durability and damage tolerance of composite structures
Multifunctional composite materials
Advanced manufacturing of composite materials
Multiphysics modeling</t>
  </si>
  <si>
    <t>Mechanics of composite materials , structures,
Durability , damage tolerance of composite structures,
Multifunctional composite materials,
Advanced manufacturing of composite materials,
Multiphysics modeling</t>
  </si>
  <si>
    <t>Jianshun “Jensen” Zhang</t>
  </si>
  <si>
    <t xml:space="preserve">jszhang@syr.edu
</t>
  </si>
  <si>
    <t>Material Emissions, Air Purification, Ventilation, and Indoor Air Quality
Hygrothermal Performance of Building Materials and Enclosure Systems
Building Energy and Environmental Systems
Built Environmental Systems Measurements, Modeling, and Controls
Intelligent Buildings
Combined Heat, Air, Moisture and Pollutant Simulations (CHAMPS)
Multi-disciplinary and Multi-scale Building Systems Design and Optimization
Effects of indoor environmental quality on occupant exposure, productivity, and creativity</t>
  </si>
  <si>
    <t>Material Emissions, Air Purification, Ventilation, Indoor Air Quality,
Hygrothermal Performance of Building Materials , Enclosure Systems,
Building Energy , Environmental Systems,
Built Environmental Systems Measurements, Modeling, Controls,
Intelligent Buildings,
Combined Heat, Air, Moisture , Pollutant Simulations (CHAMPS),
Multi-disciplinary , Multi-scale Building Systems Design , Optimization,
Effects of indoor environmental quality on occupant exposure, productivity, creativity</t>
  </si>
  <si>
    <t>Teng Zhang</t>
  </si>
  <si>
    <t xml:space="preserve">tzhang48@syr.edu
</t>
  </si>
  <si>
    <t>Solid mechanics
Solid Mechanics
Mechanics of instabilities
Mechanics of interfaces
Mechanics of morphing</t>
  </si>
  <si>
    <t>Solid Mechanics,
Mechanics of instabilities,
Mechanics of interfaces,
Mechanics of morphing</t>
  </si>
  <si>
    <t>Fernando Zigunov</t>
  </si>
  <si>
    <t xml:space="preserve">fzigunov@gmail.com
</t>
  </si>
  <si>
    <t>Aerodynamics
Machine Learning Flow Control
Experimental Fluid Dynamics
Flow Visualization and Tomography</t>
  </si>
  <si>
    <t>Aerodynamics,
Machine Learning Flow Control,
Experimental Fluid Dynamics,
Flow Visualization , Tomography</t>
  </si>
  <si>
    <t>The University of Texas at Dallas (Jonsson)</t>
  </si>
  <si>
    <t>Anderson, William</t>
  </si>
  <si>
    <t>william.anderson@utdallas.edu</t>
  </si>
  <si>
    <t>Turbulent flows, environmental fluid dynamics, boundary layer meteorology</t>
  </si>
  <si>
    <t>Bernal, Rodrigo A.</t>
  </si>
  <si>
    <t>bernal@utdallas.edu</t>
  </si>
  <si>
    <t>Mechanical properties of nanomaterials, multiphysics phenomena at the nanoscale, nanoscale metrology, MEMS and NEMS, electron microscopy</t>
  </si>
  <si>
    <t>Mechanical properties of nanomaterials, multiphysics phenomena at the nanoscale, nanoscale metrology, MEMS , NEMS, electron microscopy</t>
  </si>
  <si>
    <t>Cui, Shuang (Cynthia)</t>
  </si>
  <si>
    <t>Shuang.Cui@utdallas.edu</t>
  </si>
  <si>
    <t>Advanced thermal energy storage materials and systems, Intelligent soft materials/devices , Nanoscale heat transfer and energy conversion, Grid-Interactive Efficient Buildings, Additive Manufacturing, Machine learning-driven materials design and development</t>
  </si>
  <si>
    <t>Advanced thermal energy storage materials , systems, Intelligent soft materials/devices , Nanoscale heat transfer , energy conversion, Grid-Interactive Efficient Buildings, Additive Manufacturing, Machine learning-driven materials design , development</t>
  </si>
  <si>
    <t>Dai, Xianming (Simon)</t>
  </si>
  <si>
    <t>dai@utdallas.edu</t>
  </si>
  <si>
    <t>Superhydrophobic surfaces, wetting, nanofabrication and thermal management</t>
  </si>
  <si>
    <t>Superhydrophobic surfaces, wetting, nanofabrication , thermal management</t>
  </si>
  <si>
    <t>Griffith, Todd</t>
  </si>
  <si>
    <t>tgriffith@utdallas.edu</t>
  </si>
  <si>
    <t>Structural dynamics, wind energy, rotor aero-mechanics</t>
  </si>
  <si>
    <t>Hassanipour, Fatemeh</t>
  </si>
  <si>
    <t>fatemeh@utdallas.edu</t>
  </si>
  <si>
    <t>Heat transfer and fluid mechanics</t>
  </si>
  <si>
    <t>Heat transfer , fluid mechanics</t>
  </si>
  <si>
    <t>Iungo, G. Valerio</t>
  </si>
  <si>
    <t>valerio.iungo@utdallas.edu</t>
  </si>
  <si>
    <t>Fluid mechanics</t>
  </si>
  <si>
    <t>Jin, Yaqing</t>
  </si>
  <si>
    <t>Yaqing.Jin@utdallas.edu</t>
  </si>
  <si>
    <t>Fluid mechanics, renewable energy, fluid-structure interactions, turbulent flow, energy-efficient locomotion</t>
  </si>
  <si>
    <t>Koeln, Justin</t>
  </si>
  <si>
    <t>justin.koeln@utdallas.edu</t>
  </si>
  <si>
    <t>Dynamic systems and control, energy systems, distributed control</t>
  </si>
  <si>
    <t>Dynamic systems , control, energy systems, distributed control</t>
  </si>
  <si>
    <t>Kumar, Golden</t>
  </si>
  <si>
    <t>golden.kumar@utdallas.edu</t>
  </si>
  <si>
    <t>Nanomanufacturing, metallic glasses, nanomechanics, surface engineering, phase transformations, and photothermal properties.</t>
  </si>
  <si>
    <t>Nanomanufacturing, metallic glasses, nanomechanics, surface engineering, phase transformations, photothermal properties,</t>
  </si>
  <si>
    <t>Leem, Juyoung</t>
  </si>
  <si>
    <t>juyoung.leem@utdallas.edu</t>
  </si>
  <si>
    <t>Low-dimensional materials, Nanomaterials, Micro/Nano systems, Micro/Nano fabrication and manufacturing, Soft materials, Intelligent systems, Energy applications, Photonics applications</t>
  </si>
  <si>
    <t>Low-dimensional materials, Nanomaterials, Micro/Nano systems, Micro/Nano fabrication , manufacturing, Soft materials, Intelligent systems, Energy applications, Photonics applications</t>
  </si>
  <si>
    <t>Leonardi, Stefano</t>
  </si>
  <si>
    <t>stefano.leonardi@utdallas.edu</t>
  </si>
  <si>
    <t>Computational fluid mechanics, wind energy, super hydrophobic surfaces</t>
  </si>
  <si>
    <t>$15,088 per year (in-state, full-time)</t>
  </si>
  <si>
    <t>Li, Wei</t>
  </si>
  <si>
    <t>wei.li@utdallas.edu</t>
  </si>
  <si>
    <t>Additive manufacturing, 3D printing, onsite repair and remanufacturing with AM process, fabrication and characterization of customized alloy with multi-materials</t>
  </si>
  <si>
    <t>Additive manufacturing, 3D printing, onsite repair , remanufacturing with AM process, fabrication , characterization of customized alloy with multi-materials</t>
  </si>
  <si>
    <t>Li, Yaoyu</t>
  </si>
  <si>
    <t>yaoyu.li@utdallas.edu</t>
  </si>
  <si>
    <t>Energy systems and mechatronics</t>
  </si>
  <si>
    <t>Energy systems , mechatronics</t>
  </si>
  <si>
    <t>Lu, Hongbing</t>
  </si>
  <si>
    <t>hongbing.lu@utdallas.edu</t>
  </si>
  <si>
    <t>Solid mechanics and nanomechanics</t>
  </si>
  <si>
    <t>Solid mechanics , nanomechanics</t>
  </si>
  <si>
    <t>Malik, Arif</t>
  </si>
  <si>
    <t>arif.malik@utdallas.edu</t>
  </si>
  <si>
    <t>Computational structural mechanics, uncertainty, reliability-based design</t>
  </si>
  <si>
    <t>Miller, Kristin</t>
  </si>
  <si>
    <t>Kristin.miller@utdallas.edu</t>
  </si>
  <si>
    <t>Biomechanics, Mechanobiology, Reproductive Health, Growth and Remodeling, Tissue Engineering and Regenerative Medicine</t>
  </si>
  <si>
    <t>Biomechanics, Mechanobiology, Reproductive Health, Growth , Remodeling, Tissue Engineering , Regenerative Medicine</t>
  </si>
  <si>
    <t>Majid, Minary</t>
  </si>
  <si>
    <t>majid.minary@utdallas.edu</t>
  </si>
  <si>
    <t>Additive Manufacturing, Advanced Manufacturing, Materials Processing</t>
  </si>
  <si>
    <t>Ouyang, Hui</t>
  </si>
  <si>
    <t>hui.ouyang@utdallas.edu</t>
  </si>
  <si>
    <t>Aerosol technology, filtration, computational chemistry, thermal fluids science</t>
  </si>
  <si>
    <t>Park, Wooram</t>
  </si>
  <si>
    <t>wooram.park@utdallas.edu</t>
  </si>
  <si>
    <t>Robotics and image processing</t>
  </si>
  <si>
    <t>Robotics , image processing</t>
  </si>
  <si>
    <t>Qian, Dong</t>
  </si>
  <si>
    <t>dong.qian@utdallas.edu</t>
  </si>
  <si>
    <t>Computational solid mechanics and material science</t>
  </si>
  <si>
    <t>Computational solid mechanics , material science</t>
  </si>
  <si>
    <t>Qin, Zhenpeng</t>
  </si>
  <si>
    <t>zhenpeng.qin@utdallas.edu</t>
  </si>
  <si>
    <t>Biotransport, neuro nanotechnology, point-of-care diagnostics</t>
  </si>
  <si>
    <t>Rios, Oziel</t>
  </si>
  <si>
    <t>oziel.rios@utdallas.edu</t>
  </si>
  <si>
    <t>Robotics, CAD, design</t>
  </si>
  <si>
    <r>
      <rPr>
        <u/>
        <sz val="10"/>
        <color rgb="FF000000"/>
        <rFont val="Arial"/>
        <family val="2"/>
      </rPr>
      <t>Rotea, Mario A.</t>
    </r>
    <r>
      <rPr>
        <sz val="10"/>
        <color rgb="FF000000"/>
        <rFont val="Arial"/>
        <family val="2"/>
      </rPr>
      <t xml:space="preserve"> (Director)</t>
    </r>
  </si>
  <si>
    <t>rotea@utdallas.edu</t>
  </si>
  <si>
    <t>Control systems</t>
  </si>
  <si>
    <t>Ruths, Justin</t>
  </si>
  <si>
    <t>jruths@utdallas.edu</t>
  </si>
  <si>
    <t>Ryu, Ill</t>
  </si>
  <si>
    <t>ill.ryu@utdallas.edu</t>
  </si>
  <si>
    <t>Computational material modeling</t>
  </si>
  <si>
    <t>Summers, Joshua</t>
  </si>
  <si>
    <t>Joshua.Summers@utdallas.edu</t>
  </si>
  <si>
    <t>Collaborative design, knowledge management, design enabler development with the overall objective of improving design through collaboration and computation</t>
  </si>
  <si>
    <t>Collaborative design, knowledge management, design enabler development with the overall objective of improving design through collaboration , computation</t>
  </si>
  <si>
    <t>Summers, Tyler</t>
  </si>
  <si>
    <t>tyler.summers@utdallas.edu</t>
  </si>
  <si>
    <t>Control and optimization, power and energy networks, distributed robotics</t>
  </si>
  <si>
    <t>Control , optimization, power , energy networks, distributed robotics</t>
  </si>
  <si>
    <t>Tadesse, Yonas</t>
  </si>
  <si>
    <t>yonas.tadesse@utdallas.edu</t>
  </si>
  <si>
    <t>Humanoids, smart materials, systems, mechatronics</t>
  </si>
  <si>
    <t>Thamban, P. L. Stephan</t>
  </si>
  <si>
    <t>stephan@utdallas.edu</t>
  </si>
  <si>
    <t>Materials processing and process control diagnostics in semiconductor manufacturing</t>
  </si>
  <si>
    <t>Materials processing , process control diagnostics in semiconductor manufacturing</t>
  </si>
  <si>
    <t>Voit, Walter</t>
  </si>
  <si>
    <t>walter.voit@utdallas.edu</t>
  </si>
  <si>
    <t>Shape memory polymers</t>
  </si>
  <si>
    <t>Xiong, Guoping</t>
  </si>
  <si>
    <t>Guoping.Xiong@utdallas.edu</t>
  </si>
  <si>
    <t>Heat transfer, energy storage and conversion, nanomaterials, solar energy harvesting, nanoscale fluid transport</t>
  </si>
  <si>
    <t>Heat transfer, energy storage , conversion, nanomaterials, solar energy harvesting, nanoscale fluid transport</t>
  </si>
  <si>
    <t>You, S.M.</t>
  </si>
  <si>
    <t>you@utdallas.edu</t>
  </si>
  <si>
    <t>Heat transfer and thermal science</t>
  </si>
  <si>
    <t>Heat transfer , thermal science</t>
  </si>
  <si>
    <t>Yousefi, Kianoosh</t>
  </si>
  <si>
    <t>kyousefi@utdallas.edu</t>
  </si>
  <si>
    <t>Fluid dynamics, turbulence, turbulent boundary layer flows, air-sea interactions, free surface processes, surface gravity waves.</t>
  </si>
  <si>
    <t>Fluid dynamics, turbulence, turbulent boundary layer flows, air-sea interactions, free surface processes, surface gravity waves,</t>
  </si>
  <si>
    <t>Zare, Armin</t>
  </si>
  <si>
    <t>armin.zare@utdallas.edu</t>
  </si>
  <si>
    <t>Control and optimization, fluid mechanics</t>
  </si>
  <si>
    <t>Control , optimization, fluid mechanics</t>
  </si>
  <si>
    <t>Zhang, Jie</t>
  </si>
  <si>
    <t>jiezhang@utdallas.edu</t>
  </si>
  <si>
    <t>Multidisciplinary design optimization, power and energy systems, renewable energy</t>
  </si>
  <si>
    <t>Multidisciplinary design optimization, power , energy systems, renewable energy</t>
  </si>
  <si>
    <t>Zhou, Yue</t>
  </si>
  <si>
    <t>zhou@utdallas.edu</t>
  </si>
  <si>
    <t>Energy storage, Energy conversion, Advanced manufacturing, Electronic materials and devices</t>
  </si>
  <si>
    <t>Energy storage, Energy conversion, Advanced manufacturing, Electronic materials , devices</t>
  </si>
  <si>
    <t>University of California--Riverside (Bourns)</t>
  </si>
  <si>
    <t>Reza Abbaschian</t>
  </si>
  <si>
    <t>reza.abbaschian@ucr.edu</t>
  </si>
  <si>
    <t>Materials Properties &amp; Processing</t>
  </si>
  <si>
    <t>Materials Properties , Processing</t>
  </si>
  <si>
    <t>Sinisa Coh</t>
  </si>
  <si>
    <t>sinisa.coh@ucr.edu</t>
  </si>
  <si>
    <t>Computation &amp; Design
Materials Properties &amp; Processing</t>
  </si>
  <si>
    <t>Computation ,Design,
Materials Properties ,Processing</t>
  </si>
  <si>
    <t>Mona Eskandari</t>
  </si>
  <si>
    <t>mona.eskandari@ucr.edu</t>
  </si>
  <si>
    <t>Pulmonary Mechanics
Biomechanics
Experimental and Computational Mechanics
Finite Element Methods
Constitutive Modeling
Tissue Characterization</t>
  </si>
  <si>
    <t>Pulmonary Mechanics,
Biomechanics,
Experimental , Computational Mechanics,
Finite Element Methods,
Constitutive Modeling,
Tissue Characterization</t>
  </si>
  <si>
    <t>Alex Greaney</t>
  </si>
  <si>
    <t>peter.greaney@ucr.edu</t>
  </si>
  <si>
    <t>Computation, Design,
Materials Propertie, Processing</t>
  </si>
  <si>
    <t>#90 - Best Engineering Schools</t>
  </si>
  <si>
    <t>Heejung Jung</t>
  </si>
  <si>
    <t>heejung.jung@ucr.edu</t>
  </si>
  <si>
    <t>Air Pollution &amp; Air Quality
Combustion Generated Nanoparticles
Aerosol Science</t>
  </si>
  <si>
    <t>Air Pollution,Air Quality,
Combustion Generated Nanoparticles,
Aerosol Science</t>
  </si>
  <si>
    <t>chen.li@ucr.edu</t>
  </si>
  <si>
    <t>Energy Processing
Materials Properties &amp; Processing</t>
  </si>
  <si>
    <t>Energy Processing,
Materials Properties, Processing</t>
  </si>
  <si>
    <t>Christopher Lynch</t>
  </si>
  <si>
    <t>christopher.lynch@ucr.edu</t>
  </si>
  <si>
    <t>Materials Properties &amp; Processing
Energy Processing</t>
  </si>
  <si>
    <t>Materials Properties, Processing,
Energy Processing</t>
  </si>
  <si>
    <t>Lorenzo Mangolini</t>
  </si>
  <si>
    <t>lorenzo.mangolini@ucr.edu</t>
  </si>
  <si>
    <t>Energy Processing
Nano &amp; Micro Scale Engineering
Materials Properties &amp; Processing</t>
  </si>
  <si>
    <t>Energy Processing,
Nano &amp; Micro Scale Engineering,
Materials Properties &amp; Processing</t>
  </si>
  <si>
    <t>Tamar Mentzel</t>
  </si>
  <si>
    <t>tamar.mentzel@ucr.edu</t>
  </si>
  <si>
    <t xml:space="preserve">Quantum Materials and Devices </t>
  </si>
  <si>
    <t xml:space="preserve">Quantum Materials , Devices </t>
  </si>
  <si>
    <t>Erfan Nozari</t>
  </si>
  <si>
    <t>erfan.nozari@ucr.edu</t>
  </si>
  <si>
    <t>● Dynamical Systems and Control Theory
● Theoretical and Computational Neuroscience
● System Identification and Machine Learning
● Systems and Network Neuroscience
● Complex Systems and Network Science</t>
  </si>
  <si>
    <t>Dynamical Systems , Control Theory,
Theoretical , Computational Neuroscience,
System Identification , Machine Learning,
Systems , Network Neuroscience,
Complex Systems , Network Science</t>
  </si>
  <si>
    <t>Cengiz Ozkan</t>
  </si>
  <si>
    <t>cengiz.ozkan@ucr.edu</t>
  </si>
  <si>
    <t>Energy Processing
Materials Properties &amp; Processing
Bio-Applications
Nanoscale Materials, Devices and Circuits</t>
  </si>
  <si>
    <t>Energy Processing,
Materials Properties &amp; Processing,
Bio-Applications,
Nanoscale Materials, Devices , Circuits</t>
  </si>
  <si>
    <t>Fabio Pasqualetti</t>
  </si>
  <si>
    <t>fabio.pasqualetti@ucr.edu</t>
  </si>
  <si>
    <t>Computation &amp; Design
Controls and Robotics
Intelligent Systems</t>
  </si>
  <si>
    <t>Computation, Design,
Controls , Robotics,
Intelligent Systems</t>
  </si>
  <si>
    <t>$17,924 per year (in-state, full-time)</t>
  </si>
  <si>
    <t>Marko Princevac</t>
  </si>
  <si>
    <t>marko.princevac@ucr.edu</t>
  </si>
  <si>
    <t>Energy Processing
Air Quality &amp; Fire Engineering
Bio-Applications</t>
  </si>
  <si>
    <t>Energy Processing,
Air Quality &amp; Fire Engineering,
Bio-Applications</t>
  </si>
  <si>
    <t>Bhargav Rallabandi</t>
  </si>
  <si>
    <t>venkataramabhargav.rallabandi@ucr.edu</t>
  </si>
  <si>
    <t>Fluid Dynamics Complex Fluids and Multiphase Flow
Nano &amp; Micro Scale Engineering
Biological Applications</t>
  </si>
  <si>
    <t>Fluid Dynamics Complex Fluids , Multiphase Flow,
Nano &amp; Micro Scale Engineering,
Biological Applications</t>
  </si>
  <si>
    <t>Masaru PRao</t>
  </si>
  <si>
    <t>masaru.rao@ucr.edu</t>
  </si>
  <si>
    <t>Nano &amp; Micro Scale Engineering
Materials Properties &amp; Processing
Bio-Applications</t>
  </si>
  <si>
    <t>Nano &amp; Micro Scale Engineering,
Materials Properties &amp; Processing,
Bio-Applications</t>
  </si>
  <si>
    <t>Jonathan Realmuto</t>
  </si>
  <si>
    <t>jonathan.realmuto@ucr.edu</t>
  </si>
  <si>
    <t>Bionic Systems</t>
  </si>
  <si>
    <t>Jun Sheng</t>
  </si>
  <si>
    <t>jun.sheng@ucr.edu</t>
  </si>
  <si>
    <t>Surgical Robotics
Medical Devices
Smart Materials</t>
  </si>
  <si>
    <t>Surgical Robotics,
Medical Devices,
Smart Materials</t>
  </si>
  <si>
    <t>Thomas Stahovich</t>
  </si>
  <si>
    <t>thomas.stahovich@ucr.edu</t>
  </si>
  <si>
    <t xml:space="preserve">Computation &amp; Design
</t>
  </si>
  <si>
    <t>Computation &amp; Design</t>
  </si>
  <si>
    <t>Hideaki Tsutsui</t>
  </si>
  <si>
    <t>hideaki.tsutsui@ucr.edu</t>
  </si>
  <si>
    <t>Nano &amp; Micro Scale Engineering
Bio-Applications</t>
  </si>
  <si>
    <t>Nano &amp; Micro Scale Engineering,
Bio-Applications</t>
  </si>
  <si>
    <t>Kambiz Vafai</t>
  </si>
  <si>
    <t>kambiz.vafai@ucr.edu</t>
  </si>
  <si>
    <t>Energy Processing
Air Quality &amp; Fire Engineering
Nano &amp; Micro Scale Engineering
Multiphase Flow &amp; Combustion
Bio-Applications</t>
  </si>
  <si>
    <t>Energy Processing,
Air Quality &amp; Fire Engineering,
Nano &amp; Micro Scale Engineering,
Multiphase Flow &amp; Combustion,
Bio-Applications</t>
  </si>
  <si>
    <t>Sundararajan Venkatadriagaram</t>
  </si>
  <si>
    <t>sundararajan.venkatadriagaram@ucr.edu</t>
  </si>
  <si>
    <t>Akula Venkatram</t>
  </si>
  <si>
    <t>akula.venkatram@ucr.edu</t>
  </si>
  <si>
    <t>Air Quality &amp; Fire Engineering</t>
  </si>
  <si>
    <t>Air Quality , Fire Engineering</t>
  </si>
  <si>
    <t>Luat Thanh Vuong</t>
  </si>
  <si>
    <t>luat.vuong@ucr.edu</t>
  </si>
  <si>
    <t>Machine Vision, Computation, &amp; Design
Optics and Nanophotonics
Laser Processing of Materials
Nano &amp; Micro Scale Engineering
Heat and Light Harvesting</t>
  </si>
  <si>
    <t>Machine Vision, Computation,  Design,
Optics , Nanophotonics,
Laser Processing of Materials,
Nano &amp; Micro Scale Engineering,
Heat , Light Harvesting</t>
  </si>
  <si>
    <t>Richard Wilson</t>
  </si>
  <si>
    <t>richard.wilson@ucr.edu</t>
  </si>
  <si>
    <r>
      <rPr>
        <u/>
        <sz val="10"/>
        <color rgb="FF000000"/>
        <rFont val="Arial"/>
        <family val="2"/>
      </rPr>
      <t>Guanshui Xu</t>
    </r>
    <r>
      <rPr>
        <sz val="10"/>
        <color rgb="FF000000"/>
        <rFont val="Arial"/>
        <family val="2"/>
      </rPr>
      <t xml:space="preserve"> (DDepartment Chair)</t>
    </r>
  </si>
  <si>
    <t>guanshui.xu@ucr.edu</t>
  </si>
  <si>
    <t xml:space="preserve">Materials Properties &amp; Processing
</t>
  </si>
  <si>
    <t xml:space="preserve">Materials Properties, Processing,
</t>
  </si>
  <si>
    <t>Dmytro V. Zagrebelnyy</t>
  </si>
  <si>
    <t>dmytro.zagrebelnyy@ucr.edu</t>
  </si>
  <si>
    <t>Oklahoma State University</t>
  </si>
  <si>
    <t>Andy Arena</t>
  </si>
  <si>
    <t>andy.arena@okstate.edu</t>
  </si>
  <si>
    <t>Unmanned Aircraft Design and Fabrication
Aerospace Vehicle Stability and Control
Aerodynamics
Aircraft Performance</t>
  </si>
  <si>
    <t>Unmanned Aircraft Design , Fabrication,
Aerospace Vehicle Stability , Control,
Aerodynamics,
Aircraft Performance</t>
  </si>
  <si>
    <t>MECHANICAL &amp; AEROSPACE ENGINEERING</t>
  </si>
  <si>
    <t>Alyssa Avery</t>
  </si>
  <si>
    <t>alysssa@okstate.edu</t>
  </si>
  <si>
    <t>Icing simulations for small unmanned aircraft
Sensor design and development for small unmanned aircraft
Low altitude cloud physics investigation and flight test</t>
  </si>
  <si>
    <t>Icing simulations for small unmanned aircraft,
Sensor design , development for small unmanned aircraft,
Low altitude cloud physics investigation , flight test</t>
  </si>
  <si>
    <t>Aurelie Azoug</t>
  </si>
  <si>
    <t>azoug@okstate.edu</t>
  </si>
  <si>
    <t>Theoretical and Experimental Solid Mechanics
Mechanical Behavior of Materials
Hyperelasticity, Viscoelasticity
Soft Materials
Smart Materials</t>
  </si>
  <si>
    <t>Theoretical , Experimental Solid Mechanics,
Mechanical Behavior of Materials,
Hyperelasticity, Viscoelasticity,
Soft Materials,
Smart Materials</t>
  </si>
  <si>
    <t>#87 - Mechanical Engineering</t>
  </si>
  <si>
    <t>Christian Bach</t>
  </si>
  <si>
    <t>cbach@okstate.edu</t>
  </si>
  <si>
    <t>Heat Pumps and Air Conditioners
Virtual Sensors for Vapor Compression Systems
Evaporators, especially with respect to
Flow Control and Flow Distribution
Frosting and Fouling
Optimization of Defrost Process
Compressor Performance Improvement
Heat Recovery</t>
  </si>
  <si>
    <t>Heat Pumps , Air Conditioners,
Virtual Sensors for Vapor Compression Systems,
Evaporators,
Flow Control , Flow Distribution,
Frosting , Fouling,
Optimization of Defrost Process,
Compressor Performance Improvement,
Heat Recovery</t>
  </si>
  <si>
    <t>#112 - Best Engineering Schools</t>
  </si>
  <si>
    <t>He Bai</t>
  </si>
  <si>
    <t>he.bai@okstate.edu</t>
  </si>
  <si>
    <t>Unmanned systems in GPS-denied and disturbed environments
Multi-agent systems
Nonlinear and adaptive contro
Modeling Atmospheric Turbulence and its Impact on UAS Navigation for Unmanned System Traffic
Machine learning
Autonomous systems
Human-robot interaction
Robotics and automation</t>
  </si>
  <si>
    <t>Unmanned systems in GPS-denied , disturbed environments
Multi-agent systems
Nonlinear , adaptive contro
Modeling Atmospheric Turbulence , its Impact on UAS Navigation for Unmanned System Traffic
Machine learning
Autonomous systems
Human-robot interaction
Robotics , automation</t>
  </si>
  <si>
    <t>Jake Bair</t>
  </si>
  <si>
    <t>jbair@okstate.edu</t>
  </si>
  <si>
    <t>Microstructure evolution
Grain boundaries
Phase field modeling
Additive manufacturing
EBSD
Solid mechanics</t>
  </si>
  <si>
    <t>Microstructure evolution,
Grain boundaries,
Phase field modeling,
Additive manufacturing,
EBSD,
Solid mechanics</t>
  </si>
  <si>
    <t>Craig Bradshaw</t>
  </si>
  <si>
    <t>craig.bradshaw@okstate.edu</t>
  </si>
  <si>
    <t>Building and Energy Thermal Systems
Positive-Displacement Compressor Modeling
Waste-Heat Recovery and Utilization
Positive-Displacement Expanders
Novel Positive-Displacement Mechanisms
Vapor Compression for Electronics Cooling Applications
Novel Power Generation and Heat Pumping Cycles</t>
  </si>
  <si>
    <t>Building , Energy Thermal Systems,
Positive-Displacement Compressor Modeling,
Waste-Heat Recovery , Utilization,
Positive-Displacement Expanders,
Novel Positive-Displacement Mechanisms,
Vapor Compression for Electronics Cooling Applications,
Novel Power Generation , Heat Pumping Cycles</t>
  </si>
  <si>
    <t>Brian Elbing</t>
  </si>
  <si>
    <t>elbing@okstate.edu</t>
  </si>
  <si>
    <t>Flow Control
Tornado infrasound
Multiphase Flow
Experimental Fluid Mechanics</t>
  </si>
  <si>
    <t>Flow Control,
Tornado infrasound,
Multiphase Flow,
Experimental Fluid Mechanics</t>
  </si>
  <si>
    <t>Nicoletta Fala</t>
  </si>
  <si>
    <t>nfala@okstate.edu</t>
  </si>
  <si>
    <t>Aviation Safety
Risk Communication
Survey Design
Training Operations
Aviation and Accident Data</t>
  </si>
  <si>
    <t>Aviation Safety,
Risk Communication,
Survey Design,
Training Operations,
Aviation , Accident Data</t>
  </si>
  <si>
    <t>Imraan Faruque</t>
  </si>
  <si>
    <t>i.faruque@okstate.edu</t>
  </si>
  <si>
    <t>Biologically-Inspired Flight Control
Engineered Aerial Autonomy
Unmanned Aerial Vehicles
Sensing and Feedback for Autonomy
HumaNAutonomy Interaction</t>
  </si>
  <si>
    <t>Biologically-Inspired Flight Control,
Engineered Aerial Autonomy,
Unmanned Aerial Vehicles,
Sensing , Feedback for Autonomy,
HumaNAutonomy Interaction</t>
  </si>
  <si>
    <t>Daniel Fisher</t>
  </si>
  <si>
    <t>dfisher@okstate.edu</t>
  </si>
  <si>
    <t>Atanu Halder</t>
  </si>
  <si>
    <t>atanu.halder@okstate.edu</t>
  </si>
  <si>
    <t>Design, development and control of manned and unmanned aerial vehicles and e-VTOL platforms
Rotorcraft Aeromechanics
Nonlinear Aeroelasticity
Structural Dynamics and Control
Unsteady Aerodynamics
Machine Learning &amp; Neural Network</t>
  </si>
  <si>
    <t>Design, development , control of manned , unmanned aerial vehicles , e-VTOL platforms,
Rotorcraft Aeromechanics,
Nonlinear Aeroelasticity,
Structural Dynamics , Control,
Unsteady Aerodynamics,
Machine Learning &amp; Neural Network</t>
  </si>
  <si>
    <t>$6,909 per year (in-state, full-time)</t>
  </si>
  <si>
    <t>Jay Hanan</t>
  </si>
  <si>
    <t>jay.hanan@okstate.edu</t>
  </si>
  <si>
    <t>Advanced Structural Materials (2 new patent pending high strength materials)
Automation and data processing
Increasing useful service life
Non-destructive analysis</t>
  </si>
  <si>
    <t>Advanced Structural Materials (2 new patent pending high strength materials),
Automation , data processing,
Increasing useful service life,
Non-destructive analysis</t>
  </si>
  <si>
    <r>
      <rPr>
        <u/>
        <sz val="10"/>
        <color rgb="FF000000"/>
        <rFont val="Arial"/>
        <family val="2"/>
      </rPr>
      <t>SandiPHarimkar</t>
    </r>
    <r>
      <rPr>
        <sz val="10"/>
        <color rgb="FF000000"/>
        <rFont val="Arial"/>
        <family val="2"/>
      </rPr>
      <t xml:space="preserve"> (Head)</t>
    </r>
  </si>
  <si>
    <t>sandip.harimkar@okstate.edu</t>
  </si>
  <si>
    <t xml:space="preserve">Laser Additive Manufacturing Structural and high temperature metallic materials and composites
Spark Plasma Sintering of Materials Amorphous alloys, nanoceramics, nanocomposites, coatings
Laser Processing of Materials Surface modifications, joining, and micromachining
Pulse Electrodeposition Metal matrix composite coatings, nanocrystalline/amorphous coatings
Surface Engineering Advanced ceramic-, composite-, and amorphous-coatings.
</t>
  </si>
  <si>
    <t xml:space="preserve">Laser Additive Manufacturing Structural , high temperature metallic materials , composites
Spark Plasma Sintering of Materials Amorphous alloys, nanoceramics, nanocomposites, coatings,
Laser Processing of Materials Surface modifications, joining, micromachining,
Pulse Electrodeposition Metal matrix composite coatings, nanocrystalline/amorphous coatings,
Surface Engineering Advanced ceramic-, composite-, amorphous-coatings
</t>
  </si>
  <si>
    <t>Jerome Hausselle</t>
  </si>
  <si>
    <t>jerome.hauselle@okstate.edu</t>
  </si>
  <si>
    <t>Biomechanics
Musculoskeletal and Joint Disorders
Hard and Soft Tissue Injuries
Artificial Joints and Soft Tissues
Biomaterials
Hybrid Computational Modeling</t>
  </si>
  <si>
    <t>Biomechanics,
Musculoskeletal , Joint Disorders,
Hard , Soft Tissue Injuries,
Artificial Joints , Soft Tissues,
Biomaterials,
Hybrid Computational Modeling</t>
  </si>
  <si>
    <t>Jamey Jacob, P.E.</t>
  </si>
  <si>
    <t>jdjacob@okstate.edu</t>
  </si>
  <si>
    <t>Aerodynamics
UAV Design &amp; Flight Testing
Vortex Dynamics
Flow Control
Geophysical Flows
Autonomous Systems
Plasma Physics
Inflatable Aerostructures</t>
  </si>
  <si>
    <t>Aerodynamics,
UAV Design &amp; Flight Testing,
Vortex Dynamics,
Flow Control,
Geophysical Flows,
Autonomous Systems,
Plasma Physics,
Inflatable Aerostructures,</t>
  </si>
  <si>
    <t>Kaan Kalkan</t>
  </si>
  <si>
    <t>kaan.kalkan@okstate.edu</t>
  </si>
  <si>
    <t xml:space="preserve">Nanostructured Materials
Nanodevices, Nanosensors
Bottom-UPNanofabrication via Plasma/Solution Chemistry
Single Molecule Detection and Imaging
Biomedical Monitoring
</t>
  </si>
  <si>
    <t xml:space="preserve">Nanostructured Materials,
Nanodevices, Nanosensors,
Bottom-UPNanofabrication via Plasma/Solution Chemistry,
Single Molecule Detection , Imaging,
Biomedical Monitoring
</t>
  </si>
  <si>
    <t>Rushikesh Kamalapurkar</t>
  </si>
  <si>
    <t>rushikesh.kamalapurkar@okstate.edu</t>
  </si>
  <si>
    <t>Data-driven Control
Hybrid and Nonsmooth Systems
Cyber-Physical Systems
Socio-Ecological Systems
Nonlinear Control
Optimal Control
Reinforcement Learning
Assured Autonomy</t>
  </si>
  <si>
    <t>Data-driven Control,
Hybrid , Nonsmooth Systems,
Cyber-Physical Systems,
Socio-Ecological Systems,
Nonlinear Control,
Optimal Control,
Reinforcement Learning,
Assured Autonomy</t>
  </si>
  <si>
    <t>Kursat Kara</t>
  </si>
  <si>
    <t>kursat.kara@okstate.edu</t>
  </si>
  <si>
    <t>Fluid Dynamics
Aerodynamics
CFD
Flow Control
HypersonicFlows
Project Based Learning
Intrinsic Motivators
Engineering Problem Solving Skills
Coupled experimental (miniPIV) and numerical (CFD) techniques to visualize and analyze turbulent and laminar flow for complete fluids study</t>
  </si>
  <si>
    <t>Fluid Dynamics,
Aerodynamics,
CFD,
Flow Control,
HypersonicFlows,
Project Based Learning,
Intrinsic Motivators,
Engineering Problem Solving Skills,
Coupled experimental (miniPIV) , numerical (CFD) techniques to visualize , analyze turbulent , laminar flow for complete fluids study</t>
  </si>
  <si>
    <t>Don Lucca</t>
  </si>
  <si>
    <t>lucca@okstate.edu</t>
  </si>
  <si>
    <t xml:space="preserve">Surface mechanics/surface engineering
Nanomechanical properties of materials
Ion-solid interactions
Precision engineering
Ultraprecision manufacturing and synthesis processes </t>
  </si>
  <si>
    <t xml:space="preserve">Surface mechanics/surface engineering,
Nanomechanical properties of materials,
Ion-solid interactions,
Precision engineering,
Ultraprecision manufacturing , synthesis processes </t>
  </si>
  <si>
    <t>James Manimala</t>
  </si>
  <si>
    <t>james.manimala@okstate.edu</t>
  </si>
  <si>
    <t>Solid and Structural Dynamics
Experimental Mechanics
Acoustic Metamaterials
Smart/ Adaptive/ Multifunctional Structures and Materials
Flexible Nanocomposites
Structural Acoustics
MEMS for Controlled Acoustics
Lightweight Aerostructures</t>
  </si>
  <si>
    <t>Solid , Structural Dynamics,
Experimental Mechanics,
Acoustic Metamaterials,
Smart/ Adaptive/ Multifunctional Structures , Materials,
Flexible Nanocomposites,
Structural Acoustics,
MEMS for Controlled Acoustics,
Lightweight Aerostructures</t>
  </si>
  <si>
    <t>Ardeshir Moftakhari</t>
  </si>
  <si>
    <t>ardeshir@okstate.edu</t>
  </si>
  <si>
    <t>Building Energy Analysis
HVAC System Simulation and Design
Grid-Interactive District Energy Systems
Building-To-Grid Integration
Ventilation and Indoor Air Quality</t>
  </si>
  <si>
    <t>Building Energy Analysis
HVAC System Simulation , Design
Grid-Interactive District Energy Systems
Building-To-Grid Integration
Ventilation , Indoor Air Quality</t>
  </si>
  <si>
    <t>Hadi Noori</t>
  </si>
  <si>
    <t>hadi.noori@okstate.edu</t>
  </si>
  <si>
    <t>Mechanics of Materials
Materials and Structures Lightweighting
Multifunctional Materials and Designs</t>
  </si>
  <si>
    <t>Mechanics of Materials,
Materials , Structures Lightweighting,
Multifunctional Materials , Designs</t>
  </si>
  <si>
    <t>Ryan Paul</t>
  </si>
  <si>
    <t>ryan.paul@okstate.edu</t>
  </si>
  <si>
    <t>Flight Dynamics and Control
Unmanned Aircraft Design and Fabrication
Aerodynamics
Flight Testing
Aircraft Certification
Aviation Training
Pilot Workload</t>
  </si>
  <si>
    <t>Flight Dynamics , Control,
Unmanned Aircraft Design , Fabrication,
Aerodynamics,
Flight Testing,
Aircraft Certification,
Aviation Training,
Pilot Workload</t>
  </si>
  <si>
    <t>Kurt Rouser</t>
  </si>
  <si>
    <t>kurt.rouser@okstate.edu</t>
  </si>
  <si>
    <t>Thermodynamics
Aerospace Propulsion and Power
Gas Turbine Engines
Pressure Gain Combustion</t>
  </si>
  <si>
    <t>Thermodynamics,
Aerospace Propulsion , Power,
Gas Turbine Engines,
Pressure Gain Combustion</t>
  </si>
  <si>
    <t>Ritesh Sachan</t>
  </si>
  <si>
    <t>rsachan@okstate.edu</t>
  </si>
  <si>
    <t>Functionalities of multimetallic/high-entropy alloy nanoparticles
Laser-induced graphene, diamond, and Q-carbon nanostructures
Phase-transition studies in epitaxial VO2 thin films
Nanoscale transport phenomena
Nanoscale surface-modifications and functionalities (plasmonics, catalysis, electrical properties)
Data analytics with atomic-scale imaging and electron energy-loss spectroscopy
Four-dimensional scanning transmission electron microscopy (4D-STEM)</t>
  </si>
  <si>
    <t>Functionalities of multimetallic/high-entropy alloy nanoparticles,
Laser-induced graphene, diamond, Q-carbon nanostructures,
Phase-transition studies in epitaxial VO2 thin films,
Nanoscale transport phenomena,
Nanoscale surface-modifications , functionalities (plasmonics, catalysis, electrical properties),
Data analytics with atomic-scale imaging , electron energy-loss spectroscopy,
Four-dimensional scanning transmission electron microscopy (4D-STEM)</t>
  </si>
  <si>
    <t>Khaled Sallam</t>
  </si>
  <si>
    <t>khaled.sallam@okstate.edu</t>
  </si>
  <si>
    <t xml:space="preserve">Fluid Dynamics
Laser Diagnostics
Holography
Atomization &amp; Sprays
Droplet-based Microfluidics
Nanofibers and Nanoparticles
Bio-Flows
</t>
  </si>
  <si>
    <t xml:space="preserve">Fluid Dynamics,
Laser Diagnostics,
Holography,
Atomization &amp; Sprays,
Droplet-based Microfluidics,
Nanofibers , Nanoparticles,
Bio-Flows
</t>
  </si>
  <si>
    <t>osan@okstate.edu</t>
  </si>
  <si>
    <t>Fluid dynamics
large eddy simulations
high performance computing
trustworthy AI
scientific machine learning
big data cybernetics
digital twin
exascale computing
heterogeneous computing
data assimilation
uncertainty quantification
optimization and control
model reduction</t>
  </si>
  <si>
    <t>Fluid dynamics,
large eddy simulations,
high performance computing,
trustworthy AI,
scientific machine learning,
big data cybernetics,
digital twin,
exascale computing,
heterogeneous computing,
data assimilation,
uncertainty quantification,
optimization , control,
model reduction</t>
  </si>
  <si>
    <t>Arvind Santhanakrishnan</t>
  </si>
  <si>
    <t>askrish@okstate.edu</t>
  </si>
  <si>
    <t>Biofluid mechanics
Bio-inspired design
Fluid-structure interaction
Flow control
Vortex dynamics
Experimental fluid dynamics &amp; non-invasive imaging
Medical device design, development and testing</t>
  </si>
  <si>
    <t>Biofluid mechanics,
Bio-inspired design,
Fluid-structure interaction,
Flow control,
Vortex dynamics,
Experimental fluid dynamics &amp; non-invasive imaging,
Medical device design, development , testing</t>
  </si>
  <si>
    <t>Raman Singh</t>
  </si>
  <si>
    <t>raman.singh@okstate.edu</t>
  </si>
  <si>
    <t xml:space="preserve">Experimental Mechanics and Advanced Materials
Composites
Polymer Nanocomposites
Polymer Derived Ceramics
</t>
  </si>
  <si>
    <t xml:space="preserve">Experimental Mechanics , Advanced Materials,
Composites,
Polymer Nanocomposites,
Polymer Derived Ceramics
</t>
  </si>
  <si>
    <t>Laura Southard</t>
  </si>
  <si>
    <t>laura.southard@okstate.edu</t>
  </si>
  <si>
    <t>Jeffrey Spitler</t>
  </si>
  <si>
    <t>spitler@okstate.edu</t>
  </si>
  <si>
    <t>Convective and radiative heat transfer in buildings
Building simulation
Load calculations and energy analysis
Building performance monitoring
Design of building environmental systems
Ground source heat pumPsystems
Thermal systems analysis, simulation and design</t>
  </si>
  <si>
    <t>Convective , radiative heat transfer in buildings,
Building simulation,
Load calculations , energy analysis,
Building performance monitoring,
Design of building environmental systems,
Ground source heat pump systems,
Thermal systems analysis, simulation , design</t>
  </si>
  <si>
    <t>Shuodao Wang</t>
  </si>
  <si>
    <t>shuodao.wang@okstate.edu</t>
  </si>
  <si>
    <t>Dynamic Mechanical behaviors and material properties of soft biological tissues
3D Stereoimaging for full-field displacement measurements
Mechanical behaviors of soft and thin web materials
Experimental and theoretical micro/nano solid mechanics and their applications inmicro-electronics, and soft robotics
Inverse finite element simulations for material property identifications.</t>
  </si>
  <si>
    <t>Dynamic Mechanical behaviors , material properties of soft biological tissues,
3D Stereoimaging for full-field displacement measurements,
Mechanical behaviors of soft , thin web materials,
Experimental , theoretical micro/nano solid mechanics , their applications inmicro-electronics, soft robotics,
Inverse finite element simulations for material property identifications,</t>
  </si>
  <si>
    <t>Yujiang "Mike" Xiang</t>
  </si>
  <si>
    <t>yujiang.xiang@okstate.edu</t>
  </si>
  <si>
    <t>Biodynamics and control
Musculoskeletal mechanics
Real time dynamics
Advanced optimization algorithm
Motion planning
Robotics
Exoskeleton</t>
  </si>
  <si>
    <t>Biodynamics , control,
Musculoskeletal mechanics,
Real time dynamics,
Advanced optimization algorithm,
Motion planning,
Robotics,
Exoskeleton</t>
  </si>
  <si>
    <t>Wei Zhao</t>
  </si>
  <si>
    <t>wzhao@okstate.edu</t>
  </si>
  <si>
    <t>Composite Structures Design, Fabrications and Tests
Multiscale Modeling of Composite and Additive Manufacturing Structures
Inflatable Structures
Aeroelasticity
Multidisciplinary Design, Analysis and Optimization</t>
  </si>
  <si>
    <t>Composite Structures Design, Fabrications , Tests,
Multiscale Modeling of Composite , Additive Manufacturing Structures,
Inflatable Structures,
Aeroelasticity,
Multidisciplinary Design, Analysis , Optimization</t>
  </si>
  <si>
    <t>University of Alabama</t>
  </si>
  <si>
    <r>
      <rPr>
        <u/>
        <sz val="10"/>
        <color rgb="FF000000"/>
        <rFont val="Arial"/>
        <family val="2"/>
      </rPr>
      <t>Dr. Ajay K. Agrawal</t>
    </r>
    <r>
      <rPr>
        <sz val="10"/>
        <color rgb="FF000000"/>
        <rFont val="Arial"/>
        <family val="2"/>
      </rPr>
      <t xml:space="preserve"> (Chair)</t>
    </r>
  </si>
  <si>
    <t>aagrawal@eng.ua.edu</t>
  </si>
  <si>
    <t>Combustion, Thermal Systems</t>
  </si>
  <si>
    <t>Dr. Shahriar (Sean) Amini</t>
  </si>
  <si>
    <t>samini3@ua.edu</t>
  </si>
  <si>
    <t>Dr. Bharat Balasubramanian</t>
  </si>
  <si>
    <t>bharat@eng.ua.edu</t>
  </si>
  <si>
    <t>Battery Electric Vehicles, Connected and Automated Vehicles, Internal Combustion Engines</t>
  </si>
  <si>
    <t>Battery Electric Vehicles, Connected , Automated Vehicles, Internal Combustion Engines</t>
  </si>
  <si>
    <t>Dr. Joshua A. Bittle</t>
  </si>
  <si>
    <t>jbittle@eng.ua.edu</t>
  </si>
  <si>
    <t>#99 - Best Engineering Schools</t>
  </si>
  <si>
    <t>Dr. Joseph P. Carpenter</t>
  </si>
  <si>
    <t>jcarpenter@eng.ua.edu</t>
  </si>
  <si>
    <t>Energy, Energy and Building Efficiency, Industrial Systems Efficiency, Sustainable Energy</t>
  </si>
  <si>
    <t>Energy, Energy , Building Efficiency, Industrial Systems Efficiency, Sustainable Energy</t>
  </si>
  <si>
    <t>Dr. Steve Daniewicz</t>
  </si>
  <si>
    <t>srdaniewicz@ua.edu</t>
  </si>
  <si>
    <t>Fracture Mechanics, Metal Fatigue, Welding</t>
  </si>
  <si>
    <t>Dr. Keivan Davami</t>
  </si>
  <si>
    <t>kdavami@eng.ua.edu</t>
  </si>
  <si>
    <t>Additive Manufacturing, Manufacturing Systems, Metamaterials, Micro/Nano Fabrication, Surface Engineering</t>
  </si>
  <si>
    <t>Dr. Daniel J. Fonseca</t>
  </si>
  <si>
    <t>dfonseca@eng.ua.edu</t>
  </si>
  <si>
    <t>Artificial Intelligence, Data Mining, Discrete Event Simulation, Manufacturing Systems, Reliability Engineering</t>
  </si>
  <si>
    <t>Dr. Jiaqi (Jackey) Gong</t>
  </si>
  <si>
    <t>jiaqi.gong@ua.edu</t>
  </si>
  <si>
    <t>Artificial Intelligence, Human-Centered Computing</t>
  </si>
  <si>
    <t>Dr. Matthew Kasemer</t>
  </si>
  <si>
    <t>mkasemer@eng.ua.edu</t>
  </si>
  <si>
    <t>Computational Mechanics, Crystal Plasticity, Deformation Modeling, Materials Processing and Modeling, Numerical Methods</t>
  </si>
  <si>
    <t>Computational Mechanics, Crystal Plasticity, Deformation Modeling, Materials Processing , Modeling, Numerical Methods</t>
  </si>
  <si>
    <t>Dr. Bhupendra Khandelwal</t>
  </si>
  <si>
    <t>bkhandelwal@ua.edu</t>
  </si>
  <si>
    <t>Emissions Measurement, Gas Turbine Combustion, Low Emissions Power Systems, Novel Propulsion, Sustainable Fuels</t>
  </si>
  <si>
    <t>Dr. Hyun Jin Kim</t>
  </si>
  <si>
    <t>hjkim@ua.edu</t>
  </si>
  <si>
    <t>Food-Energy-Water Nexus</t>
  </si>
  <si>
    <t>$11,100 per year (in-state, full-time)</t>
  </si>
  <si>
    <t>Dr. Negin Koutahzadeh</t>
  </si>
  <si>
    <t>Nkoutahzadeh@ua.edu</t>
  </si>
  <si>
    <t>Dr. Sundar Rajan Krishnan</t>
  </si>
  <si>
    <t>skrishnan@eng.ua.edu</t>
  </si>
  <si>
    <t>Advanced Combustion Strategies, Alternative Fuels, Internal Combustion Engines, Thermodynamic Simulations</t>
  </si>
  <si>
    <t>Dr. S. Nima Mahmoodi</t>
  </si>
  <si>
    <t>nmahmoodi@eng.ua.edu</t>
  </si>
  <si>
    <t>Automation and Mechatronic Systems, Robotics, Robotics and Human Systems</t>
  </si>
  <si>
    <t>Automation , Mechatronic Systems, Robotics, Robotics , Human Systems</t>
  </si>
  <si>
    <t>Dr. Dario Martelli</t>
  </si>
  <si>
    <t>dmartelli@ua.edu</t>
  </si>
  <si>
    <t>Biomechanics of Movement, Human-Machine Interfaces, Rehabilitation and Assistive Robotics, Robotics and Human Systems, Virtual Reality</t>
  </si>
  <si>
    <t>Biomechanics of Movement, Human-Machine Interfaces, Rehabilitation , Assistive Robotics, Robotics , Human Systems, Virtual Reality</t>
  </si>
  <si>
    <t>Dr. Kasra Momeni</t>
  </si>
  <si>
    <t>kmomeni@ua.edu</t>
  </si>
  <si>
    <t>Dr. Ali Pakniyat</t>
  </si>
  <si>
    <t>apakniyat@ua.edu</t>
  </si>
  <si>
    <t>Robotics</t>
  </si>
  <si>
    <t>Dr. Sree Kalyan Patiballa</t>
  </si>
  <si>
    <t>spatiballa@ua.edu</t>
  </si>
  <si>
    <t>Bio-inspired Robotics, Computational Mechanics, Soft Robotics</t>
  </si>
  <si>
    <t>Dr. Paulius V. Puzinauskas</t>
  </si>
  <si>
    <t>ppuzinauskas@eng.ua.edu</t>
  </si>
  <si>
    <t>Engines, Thermal Systems</t>
  </si>
  <si>
    <t>Dr. Forooza Samadi</t>
  </si>
  <si>
    <t>fsamadi@ua.edu</t>
  </si>
  <si>
    <t>Dr. Krishna Shah</t>
  </si>
  <si>
    <t>krishna.shah@ua.edu</t>
  </si>
  <si>
    <t>Dr. Xiangrong Shen</t>
  </si>
  <si>
    <t>xshen@eng.ua.edu</t>
  </si>
  <si>
    <t>Assistive and Rehabilitation Robotics, Dynamic Systems and Control, Legged and Wheeled Robots for Human Assistance, Power-Assist Exoskeletons and Orthoses, Robotic Lower-Limb Prostheses</t>
  </si>
  <si>
    <t>Assistive , Rehabilitation Robotics, Dynamic Systems , Control, Legged , Wheeled Robots for Human Assistance, Power-Assist Exoskeletons , Orthoses, Robotic Lower-Limb Prostheses</t>
  </si>
  <si>
    <t>Dr. W. Steve Shepard Jr.</t>
  </si>
  <si>
    <t>sshepard@eng.ua.edu</t>
  </si>
  <si>
    <t>Acoustics, Automation and Mechatronic Systems, Inverse Methods, Robotics and Human Systems, Vibrations</t>
  </si>
  <si>
    <t>Acoustics, Automation , Mechatronic Systems, Inverse Methods, Robotics , Human Systems, Vibrations</t>
  </si>
  <si>
    <t>Dr. Kalyan Kumar Srinivasan</t>
  </si>
  <si>
    <t>ksrinivasan@eng.ua.edu</t>
  </si>
  <si>
    <t>Alternative Fuels, Energy Recovery from Exhaust Streams, Novel Combustion Strategies for Pollution abatement from Internal Combustion Engines, System-Level Modeling of Powertrain Components, Thermodynamic Modeling of Power Systems, Internal combustion engine processes</t>
  </si>
  <si>
    <t>Dr. Beth Ann Todd</t>
  </si>
  <si>
    <t>btodd@eng.ua.edu</t>
  </si>
  <si>
    <t>Biomechanics, Mechanical Systems</t>
  </si>
  <si>
    <t>Dr. Majid Vaseghi</t>
  </si>
  <si>
    <t>mvaseghi@ua.edu</t>
  </si>
  <si>
    <t>Additive Manufacturing, Materials Characterization</t>
  </si>
  <si>
    <t>Dr. Vishesh Vikas</t>
  </si>
  <si>
    <t>vvikas@eng.ua.edu</t>
  </si>
  <si>
    <t>Bio-inspired Robotics, Inertial Sensing, Machine Learning, Optimal Estimation, Robot Control, Robot Dynamics &amp; Kinematics, Robot-Assisted Search &amp; Rescue, Robotics, Sensor Fusion, Sensors, Soft Robotics, Tensigrity Mechanisms</t>
  </si>
  <si>
    <t>Dr. Alexey N. Volkov</t>
  </si>
  <si>
    <t>avolkov1@ua.edu</t>
  </si>
  <si>
    <t>Carbon Nanotubes, Gas-Assysested Synthesis of Nanocomposites, Laser, Laser Ablation, Selective Laser Melting</t>
  </si>
  <si>
    <t>Dr. Keith A. Williams</t>
  </si>
  <si>
    <t>kwilliams@eng.ua.edu</t>
  </si>
  <si>
    <t>Controls, Mechanical Systems</t>
  </si>
  <si>
    <t>Dr. Hwan-Sik Yoon</t>
  </si>
  <si>
    <t>hyoon@eng.ua.edu</t>
  </si>
  <si>
    <t>Automation and Mechatronic Systems, Automotive Systems</t>
  </si>
  <si>
    <t>Automation , Mechatronic Systems, Automotive Systems</t>
  </si>
  <si>
    <t>Dr. Anahita Zargarani</t>
  </si>
  <si>
    <t>azargarani@ua.edu</t>
  </si>
  <si>
    <t>Automation and Mechatronic Systems, Robotics</t>
  </si>
  <si>
    <t>Automation , Mechatronic Systems, Robotics</t>
  </si>
  <si>
    <t>New Jersey Institute of Technology</t>
  </si>
  <si>
    <t>#89 - Mechanical Engineering</t>
  </si>
  <si>
    <t>$21,932 per year (in-state, full-time)</t>
  </si>
  <si>
    <t>The University of Texas at Arlington</t>
  </si>
  <si>
    <t>DR. ASHFAQ ADNAN,</t>
  </si>
  <si>
    <t>aadnan@uta.edu</t>
  </si>
  <si>
    <t>Nanoscale phenomena and multiscale analysis, mechanics of engineering nanomaterials, mechanics of polymer and advanced materials, fracture mechanics.</t>
  </si>
  <si>
    <t>Nanoscale phenomena , multiscale analysis, mechanics of engineering nanomaterials, mechanics of polymer , advanced materials, fracture mechanics,</t>
  </si>
  <si>
    <t>MECHANICAL AND AEROSPACE ENGINEERING FACULTY</t>
  </si>
  <si>
    <t>DR. DEREJE AGONAFER, NAE</t>
  </si>
  <si>
    <t>agonafer@uta.edu</t>
  </si>
  <si>
    <t>National Academy of Engineering, Electronic packaging, heat transfer, thermal engineering.</t>
  </si>
  <si>
    <t>National Academy of Engineering, Electronic packaging, heat transfer, thermal engineering,</t>
  </si>
  <si>
    <t>DR. MIGUEL AMAYA</t>
  </si>
  <si>
    <t>mamaya@uta.edu</t>
  </si>
  <si>
    <t>Two-phase heat and mass transfer - boiling, evaporation, wetting.</t>
  </si>
  <si>
    <t>Two-phase heat , mass transfer - boiling, evaporation, wetting,</t>
  </si>
  <si>
    <t>DR. AMIR AMERI</t>
  </si>
  <si>
    <t>amir.ameri@uta.edu</t>
  </si>
  <si>
    <t>Product design and optimization, additive manufacturing, mechanics of materials, failure analysis, surface treatments, coatings, corrosion, advanced materials, biodegradable composites, medical implants, and finite element analysis.</t>
  </si>
  <si>
    <t>Product design , optimization, additive manufacturing, mechanics of materials, failure analysis, surface treatments, coatings, corrosion, advanced materials, biodegradable composites, medical implants, finite element analysis,</t>
  </si>
  <si>
    <r>
      <rPr>
        <u/>
        <sz val="10"/>
        <color rgb="FF000000"/>
        <rFont val="Arial"/>
        <family val="2"/>
      </rPr>
      <t>DR. ERIAN ARMANIOS</t>
    </r>
    <r>
      <rPr>
        <sz val="10"/>
        <color rgb="FF000000"/>
        <rFont val="Arial"/>
        <family val="2"/>
      </rPr>
      <t xml:space="preserve"> </t>
    </r>
  </si>
  <si>
    <t>armanios@uta.edu</t>
  </si>
  <si>
    <t>Computational solid mechanics, analysis, testing and design of composite structures, failure characterization and prediction, elastic tailoring, energy dissipation, implementation of active materials for flow control and nondeterministic methods for structural prognostics.</t>
  </si>
  <si>
    <t>Computational solid mechanics, analysis, testing , design of composite structures, failure characterization , prediction, elastic tailoring, energy dissipation, implementation of active materials for flow control , nondeterministic methods for structural prognostics,</t>
  </si>
  <si>
    <t>DR. PRANESH ASWATH</t>
  </si>
  <si>
    <t>aswath@uta.edu</t>
  </si>
  <si>
    <t>Synthesis, processing and characterization of ceramics, intermetallics and composites. Deformation, creep, fatigue and environmental degradation of materials. Analytical electron microscopy, Auger spectroscopy, X-ray diffraction, EPMA. Processing and properties of ceramic matrix composites and ceramic coatings for biological applications. Tribology and lubrication.</t>
  </si>
  <si>
    <t>Synthesis, processing , characterization of ceramics, intermetallics , composites, Deformation, creep, fatigue , environmental degradation of materials, Analytical electron microscopy, Auger spectroscopy, X-ray diffraction, EPMA, Processing , properties of ceramic matrix composites , ceramic coatings for biological applications, Tribology , lubrication,</t>
  </si>
  <si>
    <t>DR. JULIO CÉSAR BENAVIDES</t>
  </si>
  <si>
    <t>julio.benavides@uta.edu</t>
  </si>
  <si>
    <t>Astrodynamics, spacecraft trajectory and attitude modeling, design, and simulation, three- and six-degree of freedom dynamics modeling and simulation, n-body problem dynamics, mass-driver-assisted launch dynamics, space elevator dynamics, model-based design, space mission planning, and systems engineering.</t>
  </si>
  <si>
    <t>Astrodynamics, spacecraft trajectory , attitude modeling, design, simulation, three- , six-degree of freedom dynamics modeling , simulation, n-body problem dynamics, mass-driver-assisted launch dynamics, space elevator dynamics, model-based design, space mission planning, systems engineering,</t>
  </si>
  <si>
    <t>DR. ALAN BOWLING</t>
  </si>
  <si>
    <t>bowling@uta.edu</t>
  </si>
  <si>
    <t>Multibody dynamics, control, robotics, and biomechanics.</t>
  </si>
  <si>
    <t>Multibody dynamics, control, robotics, biomechanics,</t>
  </si>
  <si>
    <t>DR. MICHAEL BOZLAR</t>
  </si>
  <si>
    <t>bozlar@uta.edu</t>
  </si>
  <si>
    <t>Nano materials, synthesis and characterization, polymer composites, additive manufacturing, energy storage, CO2 capture and chemical conversion, water treatment and harvesting, bio engineering.</t>
  </si>
  <si>
    <t>Nano materials, synthesis , characterization, polymer composites, additive manufacturing, energy storage, CO2 capture , chemical conversion, water treatment , harvesting, bio engineering,</t>
  </si>
  <si>
    <t>DR. ANIMESH CHAKRAVARTHY</t>
  </si>
  <si>
    <t>animesh.chakravarthy@uta.edu</t>
  </si>
  <si>
    <t>Dynamics and Controls, Morphing Aircraft, Autonomous Systems, Aircraft Loss of Control, Collision Avoidance, Unmanned Air Vehicles, PDE-based modeling of multi-agent systems.</t>
  </si>
  <si>
    <t>Dynamics , Controls, Morphing Aircraft, Autonomous Systems, Aircraft Loss of Control, Collision Avoidance, Unmanned Air Vehicles, PDE-based modeling of multi-agent systems,</t>
  </si>
  <si>
    <t>DR. BERND CHUDOBA</t>
  </si>
  <si>
    <t>chudoba@uta.edu</t>
  </si>
  <si>
    <t>Director of Aerospace Vehicle Design Lab, Capstone Design Core Class Lecturer, Multi-Disciplinary vehicle design, hypersonic vehicle design, systems engineering, technology forecasting and product life cycle.</t>
  </si>
  <si>
    <t>Director of Aerospace Vehicle Design Lab, Capstone Design Core Class Lecturer, Multi-Disciplinary vehicle design, hypersonic vehicle design, systems engineering, technology forecasting , product life cycle,</t>
  </si>
  <si>
    <t>DR. D. STEFAN DANCILA</t>
  </si>
  <si>
    <t>dancila@uta.edu</t>
  </si>
  <si>
    <t>Solid mechanics, composite and smart materials/structures, tailoring of elastic deformation, failure modes, and energy dissipation, inflatable space structures, space tethers, fatigue and fracture, nondestructive evaluation, piezoelectric actuation and flow control, rotorcraft, high altitude airships, composite prosthetics, renewable energy.</t>
  </si>
  <si>
    <t>Solid mechanics, composite , smart materials/structures, tailoring of elastic deformation, failure modes, energy dissipation, inflatable space structures, space tethers, fatigue , fracture, nondestructive evaluation, piezoelectric actuation , flow control, rotorcraft, high altitude airships, composite prosthetics, renewable energy,</t>
  </si>
  <si>
    <t>$9,234 per year (in-state, full-time)</t>
  </si>
  <si>
    <t>DR. PAUL DAVIDSON</t>
  </si>
  <si>
    <t>paul.davidson@uta.edu</t>
  </si>
  <si>
    <t>Composite mechanics, advanced manufacturing methods, multi-scale analysis, low- and high-end velocity impact damage, micro-mechanics.</t>
  </si>
  <si>
    <t>Composite mechanics, advanced manufacturing methods, multi-scale analysis, low- , high-end velocity impact damage, micro-mechanics,</t>
  </si>
  <si>
    <t>DR. BRIAN DENNIS</t>
  </si>
  <si>
    <t>dennisb@uta.edu</t>
  </si>
  <si>
    <t>Computation fluid dynamics, multidisciplinary design optimization, finite element methods applied to fluid &amp; solid mechanics, heat transfer, and electromagnetics, inverse problems, parallel computing including the design, construction, and programming of Beowulf-type PC clusters, development of high performance computing software, unstructured mesh generation and deformation.</t>
  </si>
  <si>
    <t>Computation fluid dynamics, multidisciplinary design optimization, finite element methods applied to fluid &amp; solid mechanics, heat transfer, electromagnetics, inverse problems, parallel computing including the design, construction, programming of Beowulf-type PC clusters, development of high performance computing software, unstructured mesh generation , deformation,</t>
  </si>
  <si>
    <t>DR. ATILLA DOGAN</t>
  </si>
  <si>
    <t>dogan@uta.edu</t>
  </si>
  <si>
    <t>Flight dynamics and control, nonlinear flight simulation, unmanned vehicle systems, unmanned aerial systems, autonomous systems, modeling and control of close proximity flight (aerial refueling, formation flight), path planning and target tracking, probabilistic pilot modeling.</t>
  </si>
  <si>
    <t>Flight dynamics , control, nonlinear flight simulation, unmanned vehicle systems, unmanned aerial systems, autonomous systems, modeling , control of close proximity flight (aerial refueling, formation flight), path planning , target tracking, probabilistic pilot modeling,</t>
  </si>
  <si>
    <t>DR. DAVID EWING</t>
  </si>
  <si>
    <t>david.ewing@uta.edu</t>
  </si>
  <si>
    <t>Thermal management systems, phase change material applications, nanofluidic systems, and engineering pedagogy.</t>
  </si>
  <si>
    <t>Thermal management systems, phase change material applications, nanofluidic systems, engineering pedagogy,</t>
  </si>
  <si>
    <t>DR. VIJAY GOPAL</t>
  </si>
  <si>
    <t>vijay.gopal@uta.edu</t>
  </si>
  <si>
    <t>Hypersonic Aerothermodynamics, Plasma Assisted Supersonic Combustion and Advanced Laser-Based Diagnostics.</t>
  </si>
  <si>
    <t>Hypersonic Aerothermodynamics, Plasma Assisted Supersonic Combustion , Advanced Laser-Based Diagnostics,</t>
  </si>
  <si>
    <t>DR. A. HAJI-SHEIKH</t>
  </si>
  <si>
    <t>haji@uta.edu</t>
  </si>
  <si>
    <t>Heat transfer analysis in conduction, convection, and radiation, and fluid flow and heat transfer in ducts and heat exchangers.</t>
  </si>
  <si>
    <t>Heat transfer analysis in conduction, convection, radiation, fluid flow , heat transfer in ducts , heat exchangers,</t>
  </si>
  <si>
    <t>DR. ZHEN XUE HAN</t>
  </si>
  <si>
    <t>han@uta.edu</t>
  </si>
  <si>
    <t>Computational fluid dynamics and heat transfer, air-breathing propulsion system, turbomachinery, multidisciplinary design optimization.</t>
  </si>
  <si>
    <t>Computational fluid dynamics , heat transfer, air-breathing propulsion system, turbomachinery, multidisciplinary design optimization,</t>
  </si>
  <si>
    <t>DR. KATHY HAYS-STANG</t>
  </si>
  <si>
    <t>haysstang@uta.edu</t>
  </si>
  <si>
    <t>Thermo-Fluid Science, Acoustics, Mechanical Engineering Measurements.</t>
  </si>
  <si>
    <t>Thermo-Fluid Science, Acoustics, Mechanical Engineering Measurements,</t>
  </si>
  <si>
    <t>DR. HAIYING HUANG</t>
  </si>
  <si>
    <t>huang@uta.edu</t>
  </si>
  <si>
    <t>Health monitoring of structures and human, wireless microwave sensors, optical fiber sensors, ultrasound, non-destructive evaluation, solid mechanics, fatigue and fracture.</t>
  </si>
  <si>
    <t>Health monitoring of structures , human, wireless microwave sensors, optical fiber sensors, ultrasound, non-destructive evaluation, solid mechanics, fatigue , fracture,</t>
  </si>
  <si>
    <t>DR. DAVID HULLENDER</t>
  </si>
  <si>
    <t>hullender@uta.edu</t>
  </si>
  <si>
    <t>Machine vibration and stress analysis, hydraulic pneumatic and mechanical systems design and analysis, compressible and incompressible fluid dynamics, modeling and computer simulation, and analysis of random and stochastic processes.</t>
  </si>
  <si>
    <t>Machine vibration , stress analysis, hydraulic pneumatic , mechanical systems design , analysis, compressible , incompressible fluid dynamics, modeling , computer simulation, analysis of r,om , stochastic processes,</t>
  </si>
  <si>
    <t>DR. ENDEL IARVE</t>
  </si>
  <si>
    <t>endel.iarve@uta.edu</t>
  </si>
  <si>
    <t>Discrete damage modeling methodologies for laminated composites under broad range of loading conditions including compression and fatigue. Integrated computational materials science and engineering bringing together manufacturing and performance aspects of advanced composite materials.</t>
  </si>
  <si>
    <t>Discrete damage modeling methodologies for laminated composites under broad range of loading conditions including compression , fatigue, Integrated computational materials science , engineering bringing together manufacturing , performance aspects of advanced composite materials,</t>
  </si>
  <si>
    <t>DR. ANKUR JAIN</t>
  </si>
  <si>
    <t>jaina@uta.edu</t>
  </si>
  <si>
    <t>Microscale energy conversion, microscale heat transport, Bio-MEMS, micro-electromechanical systems, semiconductor thermal management, 3D integrated circuits.</t>
  </si>
  <si>
    <t>Microscale energy conversion, microscale heat transport, Bio-MEMS, micro-electromechanical systems, semiconductor thermal management, 3D integrated circuits,</t>
  </si>
  <si>
    <t>DR. VISTASPM. KARBHARI</t>
  </si>
  <si>
    <t>vkarbhari@uta.edu</t>
  </si>
  <si>
    <t>Processing and mechanics of composites, deterioration science of polymers and composites, bio-materials, infrastructure renewal and multi-threat mitigation (including blast), sustainability, impact/damage mechanics and crash energy management, nondestructive assessment of materials and structures, damage prognosis, and structural health monitoring.</t>
  </si>
  <si>
    <t>Processing , mechanics of composites, deterioration science of polymers , composites, bio-materials, infrastructure renewal , multi-threat mitigation (including blast), sustainability, impact/damage mechanics , crash energy management, nondestructive assessment of materials , structures, damage prognosis, structural health monitoring,</t>
  </si>
  <si>
    <t>DR. CATHERINE KILMAIN</t>
  </si>
  <si>
    <t>catherine.kilmain@uta.edu</t>
  </si>
  <si>
    <t>Fatigue, fracture and damage tolerance analysis of composite structures</t>
  </si>
  <si>
    <t>Fatigue, fracture , damage tolerance analysis of composite structures</t>
  </si>
  <si>
    <t>DR. DAEJONG KIM</t>
  </si>
  <si>
    <t>daejongkim@uta.edu</t>
  </si>
  <si>
    <t>Turbo machinery aerodynamics, Modeling and system dynamics of solid oxide fuel cell and gas turbine hybrid systems, Advanced oil-free bearings for turbo machinery, Non-linear rotor dynamics.</t>
  </si>
  <si>
    <t>Turbo machinery aerodynamics, Modeling , system dynamics of solid oxide fuel cell , gas turbine hybrid systems, Advanced oil-free bearings for turbo machinery, Non-linear rotor dynamics,</t>
  </si>
  <si>
    <t>DR. KENT LAWRENCE</t>
  </si>
  <si>
    <t>lawrence@uta.edu</t>
  </si>
  <si>
    <t>Stress and vibration analysis, structural analysis, structural dynamics, finite element methods, and computer aided engineering.</t>
  </si>
  <si>
    <t>Stress , vibration analysis, structural analysis, structural dynamics, finite element methods, computer aided engineering,</t>
  </si>
  <si>
    <t>DR. FRANK LU</t>
  </si>
  <si>
    <t>franklu@uta.edu</t>
  </si>
  <si>
    <t>Fluid dynamics, shock and viscous phenomena, aerodynamic heating, jets and sprays, supersonic and hypersonic flows, propulsion, detonations, flow visualization, and instrumentation and facility development.</t>
  </si>
  <si>
    <t>Fluid dynamics, shock , viscous phenomena, aerodynamic heating, jets , sprays, supersonic , hypersonic flows, propulsion, detonations, flow visualization, instrumentation , facility development,</t>
  </si>
  <si>
    <t>DR. CHENG LUO</t>
  </si>
  <si>
    <t>EMAchengluo@uta.edu</t>
  </si>
  <si>
    <t>Design, modeling and fabrication of nanosystems and biomicrosystems, and solid mechanics.</t>
  </si>
  <si>
    <t>Design, modeling , fabrication of nanosystems , biomicrosystems, solid mechanics,</t>
  </si>
  <si>
    <t>DR. LUCA MADDALENA</t>
  </si>
  <si>
    <t>maddalena@uta.edu</t>
  </si>
  <si>
    <t>Hypersonic air-breathing propulsion, Injection, mixing and combustion in high-speed flows, vortex dynamics, experimental fluid dynamics, instrumentation, advanced propulsion configurations.</t>
  </si>
  <si>
    <t>Hypersonic air-breathing propulsion, Injection, mixing , combustion in high-speed flows, vortex dynamics, experimental fluid dynamics, instrumentation, advanced propulsion configurations,</t>
  </si>
  <si>
    <t>DR. ANDREW MAKEEV</t>
  </si>
  <si>
    <t>makeev@uta.edu</t>
  </si>
  <si>
    <t>Composite and metallic materials, structural methods, prognostics and reliability.</t>
  </si>
  <si>
    <t>Composite , metallic materials, structural methods, prognostics , reliability,</t>
  </si>
  <si>
    <t>DR. NANCY MICHAEL</t>
  </si>
  <si>
    <t>michael@uta.edu</t>
  </si>
  <si>
    <t>Electronic materials, integrated circuit interconnect technology, materials characterization, (SEM, XRD, AES, XPS).</t>
  </si>
  <si>
    <t>Electronic materials, integrated circuit interconnect technology, materials characterization, (SEM, XRD, AES, XPS),</t>
  </si>
  <si>
    <t>DR. HYEJIN MOON</t>
  </si>
  <si>
    <t>hyejin.moon@uta.edu</t>
  </si>
  <si>
    <t>Micro/nanosciences, bioMEMS/bioNEMS, micro/nanofluidics, lab-on-a-chip, diagnostic technology, microscope heat transfer, energy harvesting technology</t>
  </si>
  <si>
    <t>DR. SEIICHI NOMURA</t>
  </si>
  <si>
    <t>nomura@uta.edu</t>
  </si>
  <si>
    <t>Micromechanics, analysis of composite materials, computer algebra applications.</t>
  </si>
  <si>
    <t>Micromechanics, analysis of composite materials, computer algebra applications,</t>
  </si>
  <si>
    <t>DR. MD. RASSEL RAIHAN</t>
  </si>
  <si>
    <t>mdrassel.raihan@uta.edu</t>
  </si>
  <si>
    <t>Multi-physical predictive performance of multi-scale degradation mechanisms, material state change, durability and prognosis of heterogenous material system, i.e., structural composite, SOFC fuel cell, Adhesive bond-joints and interfaces, Manufacturing of Multifunctional Composite</t>
  </si>
  <si>
    <t>Multi-physical predictive performance of multi-scale degradation mechanisms, material state change, durability , prognosis of heterogenous material system, i,e,, structural composite, SOFC fuel cell, Adhesive bond-joints , interfaces, Manufacturing of Multifunctional Composite</t>
  </si>
  <si>
    <t>DR. SUNAND SANTHANAGOPALAN</t>
  </si>
  <si>
    <t>ssanthan@uta.edu</t>
  </si>
  <si>
    <t>Multi-Scale Energy Systems Scalable Nanomanufacturing, Electrochemical energy conversion/storage, High temperature latent heat storage, Wettability control, Advanced Nanomaterial synthesis, Fractal architectures, Micro/Nano transport phenomena, Renewable energy systems.</t>
  </si>
  <si>
    <t>Multi-Scale Energy Systems Scalable Nanomanufacturing, Electrochemical energy conversion/storage, High temperature latent heat storage, Wettability control, Advanced Nanomaterial synthesis, Fractal architectures, Micro/Nano transport phenomena, Renewable energy systems,</t>
  </si>
  <si>
    <t>DR. NARGES SHAYESTEH MOGHADDAM</t>
  </si>
  <si>
    <t>narges.shayesteh@uta.edu</t>
  </si>
  <si>
    <t>Additive manufacturing, smart materials, high temperature alloys, single crystals, materials characterization, design and optimization, finite element analysis, and biomedical devices.</t>
  </si>
  <si>
    <t>Additive manufacturing, smart materials, high temperature alloys, single crystals, materials characterization, design , optimization, finite element analysis, biomedical devices,</t>
  </si>
  <si>
    <t>DR. PANOS SHIAKOLAS</t>
  </si>
  <si>
    <t>shiakolas@uta.edu</t>
  </si>
  <si>
    <t>Robotics (surgical and medical diagnostics, manufacturing). Human robot interaction modalities. Smart personalized wearable prosthesis and assistive devices (rehabilitation, training, diagnostics). Additive manufacturing (multi-material multi-process at micro, meso and macro scales). Design and fabrication of bio-scaffolds. Engineering education, mechatronics, robotics, modeling, controls.</t>
  </si>
  <si>
    <t>Robotics (surgical , medical diagnostics, manufacturing), Human robot interaction modalities, Smart personalized wearable prosthesis , assistive devices (rehabilitation, training, diagnostics), Additive manufacturing (multi-material multi-process at micro, meso , macro scales), Design , fabrication of bio-scaffolds, Engineering education, mechatronics, robotics, modeling, controls,</t>
  </si>
  <si>
    <t>DR. KAMESH SUBBARAO</t>
  </si>
  <si>
    <t>subbarao@uta.edu</t>
  </si>
  <si>
    <t>Nonlinear and robust adaptive control, optimal control, mathematical modeling and dynamical systems theory, optimal estimation and system identification, flight dynamics and control systems, astrodynamics, robotics and unmanned vehicle systems.</t>
  </si>
  <si>
    <t>Nonlinear , robust adaptive control, optimal control, mathematical modeling , dynamical systems theory, optimal estimation , system identification, flight dynamics , control systems, astrodynamics, robotics , unmanned vehicle systems,</t>
  </si>
  <si>
    <t>DR. ALBERT TONG</t>
  </si>
  <si>
    <t>tong@uta.edu</t>
  </si>
  <si>
    <t>Spray combustion, numerical modeling of heat transfer, and fluid flow.</t>
  </si>
  <si>
    <t>Spray combustion, numerical modeling of heat transfer, fluid flow,</t>
  </si>
  <si>
    <t>DR. B.P. WANG</t>
  </si>
  <si>
    <t>bpwang@uta.edu</t>
  </si>
  <si>
    <t>Finite element analysis, structural optimization, vibration, and structural dynamics.</t>
  </si>
  <si>
    <t>Finite element analysis, structural optimization, vibration, structural dynamics</t>
  </si>
  <si>
    <t>DR. SHUO "LINDA" WANG</t>
  </si>
  <si>
    <t>shuolinda.wang@uta.edu</t>
  </si>
  <si>
    <t>Computational Mathematics, Optimization, Optimal (Ensemble) Control.</t>
  </si>
  <si>
    <t>Computational Mathematics, Optimization, Optimal (Ensemble) Control</t>
  </si>
  <si>
    <t>DR. YAWEN WANG</t>
  </si>
  <si>
    <t>yawen.wang@uta.edu</t>
  </si>
  <si>
    <t>Design and dynamics of precision machine elements, gear noise/vibrations, structural vibrations and acoustics, active noise and vibration control, automotive NVH (noise, vibration &amp; harshness), electro-mechanical system dynamics, and data-driven condition monitoring and prognostics.</t>
  </si>
  <si>
    <t>Design , dynamics of precision machine elements, gear noise/vibrations, structural vibrations , acoustics, active noise , vibration control, automotive NVH (noise, vibration &amp; harshness), electro-mechanical system dynamics, data-driven condition monitoring , prognostics,</t>
  </si>
  <si>
    <t>DR. DON WILSON</t>
  </si>
  <si>
    <t>wilson@uta.edu</t>
  </si>
  <si>
    <t>Gas dynamics, aerospace propulsion systems, high-speed aerodynamics, hypersonic flow, and experimental fluid dynamics.</t>
  </si>
  <si>
    <t>Gas dynamics, aerospace propulsion systems, high-speed aerodynamics, hypersonic flow, experimental fluid dynamics,</t>
  </si>
  <si>
    <t>DR. ROBERT L. WOODS</t>
  </si>
  <si>
    <t>woods@uta.edu</t>
  </si>
  <si>
    <t>Dynamic systems, modeling and simulation, control systems, fluid power control, fluidics, microprocessor and digital controls, logic systems, automotive engineering.</t>
  </si>
  <si>
    <t>Dynamic systems, modeling , simulation, control systems, fluid power control, fluidics, microprocessor , digital controls, logic systems, automotive engineering,</t>
  </si>
  <si>
    <t>DR. LIWEI ZHANG</t>
  </si>
  <si>
    <t>liwei.zhang@uta.edu</t>
  </si>
  <si>
    <t>Modeling of chemically reacting flows, combustion dynamics in propulsion systems, computational fluid dynamics, reduced-basis modeling and emulation, data-enabled design.</t>
  </si>
  <si>
    <t>Modeling of chemically reacting flows, combustion dynamics in propulsion systems, computational fluid dynamics, reduced-basis modeling , emulation, data-enabled design,</t>
  </si>
  <si>
    <t>University of Alabama--Huntsville</t>
  </si>
  <si>
    <t>Dr. Shankar Mahalingam</t>
  </si>
  <si>
    <t>shankar.mahalingam@uah.edu</t>
  </si>
  <si>
    <t>PMahalingam's s include direct and large eddy simulations of turbulent combustion, forest fire modeling, flame spread experiments, computational fluid dynamics applied to turbulent combustion, acoustic-flow interactions pertinent to solid rocket motors, and cardiovascular fluid dynamics.</t>
  </si>
  <si>
    <t>eddy simulations of turbulent combustion, forest fire modeling, flame spread experiments, computational fluid dynamics applied to turbulent combustion, acoustic-flow interactions pertinent to solid rocket motors, cardiovascular fluid dynamics</t>
  </si>
  <si>
    <t>Dr. Keith Hollingsworth</t>
  </si>
  <si>
    <t>keith.hollingsworth@uah.edu</t>
  </si>
  <si>
    <t>Boiling and Two-phase Flows
Turbulent Convection
Liquid Crystal Thermography
Biomedical Heat Transfer</t>
  </si>
  <si>
    <t>Boiling , Two-phase Flows,
Turbulent Convection,
Liquid Crystal Thermography,
Biomedical Heat Transfer</t>
  </si>
  <si>
    <t>Dr. Daniel Armentrout</t>
  </si>
  <si>
    <t>daniel.armentrout@uah.edu</t>
  </si>
  <si>
    <t>Dr. Armentrout obtained a PhD from the University of Denver investigating the Acoustic Emission generated from Aluminum Alloys.</t>
  </si>
  <si>
    <t>Acoustic Emission generated from Aluminum Alloys</t>
  </si>
  <si>
    <t>Dr. John Bennewitz</t>
  </si>
  <si>
    <t>john.bennewitz@uah.edu</t>
  </si>
  <si>
    <t>Dr. Jason Cassibry</t>
  </si>
  <si>
    <t>jason.cassibry@uah.edu</t>
  </si>
  <si>
    <t>His research includes the theoretical and experimental study of magneto-inertial fusion for applications to advanced propulsion for interplanetary space travel and terrestrial power. Specific  include 3D modeling of these plasmas using smooth particle hydrodynamics, modeling of the coupling between plasma accelerators and external circuits, and pulsed z-pinch fusion, shock compression of solids and plasmas, and pulsed power.</t>
  </si>
  <si>
    <t xml:space="preserve"> experimental study of magneto-inertial fusion for applications to advanced propulsion for interplanetary space travel , terrestrial power, Specific  include 3D modeling of these plasmas using smooth particle hydrodynamics, modeling of the coupling between plasma accelerators , external circuits, pulsed z-pinch fusion, shock compression of solids , plasmas, pulsed power</t>
  </si>
  <si>
    <t>Mr. Lorenzo Coley</t>
  </si>
  <si>
    <t>lorenzo.coley@uah.edu</t>
  </si>
  <si>
    <t>Dr. Farbod Fahimi</t>
  </si>
  <si>
    <t>farbod.fahimi@uah.edu</t>
  </si>
  <si>
    <t>Dr. Fahimi has over 10 years of research experience in dynamic modeling, system identification, linear and nonlinear controls, with applications to robotic system and autonomous vehicles.</t>
  </si>
  <si>
    <t>dynamic modeling, system identification, linear , nonlinear controls, with applications to robotic system , autonomous vehicles,</t>
  </si>
  <si>
    <t>Mr. David Fikes</t>
  </si>
  <si>
    <t>david.fikes@uah.edu</t>
  </si>
  <si>
    <t>Dr. Robert A. Frederick, Jr.PROPULSION RESEARCH CENTER DIRECTORP</t>
  </si>
  <si>
    <t>robert.frederick@uah.edu</t>
  </si>
  <si>
    <t>Combustion Instability in Liquid Rockets
Solid Propellant Burning Rate Measurements
Thermal Stability of Fuels
Controllable Solid Propellants</t>
  </si>
  <si>
    <t>Combustion Instability in Liquid Rockets,
Solid Propellant Burning Rate Measurements,
Thermal Stability of Fuels,
Controllable Solid Propellants</t>
  </si>
  <si>
    <t>Dr. Kader Frendi</t>
  </si>
  <si>
    <t>kader.frendi@uah.edu</t>
  </si>
  <si>
    <t xml:space="preserve">Applied Computational Fluid Dynamics
Numerical Analysis
Chemically Reacting Flows
Acoustics
Fluid-structure-acoustic Interactions
Supersonic and Hypersonic Laminar, Transitional and Turbulent Flows
</t>
  </si>
  <si>
    <t xml:space="preserve">Applied Computational Fluid Dynamics,
Numerical Analysis,
Chemically Reacting Flows,
Acoustics,
Fluid-structure-acoustic Interactions,
Supersonic , Hypersonic Laminar, Transitional , Turbulent Flows
</t>
  </si>
  <si>
    <t>Dr. Nicholas Ginga</t>
  </si>
  <si>
    <t>nick.ginga@uah.edu</t>
  </si>
  <si>
    <t>Dr. Chang-kwon Kang</t>
  </si>
  <si>
    <t>chang-kwon.kang@uah.edu</t>
  </si>
  <si>
    <t>Bioinspired and unsteady fluid dynamics
Bioinspired aerospace vehicles for terrestrial and Mars flight
Fluid-structure-dynamic interaction
Computational fluid dynamics
Surrogate models</t>
  </si>
  <si>
    <t>Bioinspired , unsteady fluid dynamics,
Bioinspired aerospace vehicles for terrestrial , Mars flight,
Fluid-structure-dynamic interaction,
Computational fluid dynamics,
Surrogate models</t>
  </si>
  <si>
    <t>$11,058 per year (in-state, full-time)</t>
  </si>
  <si>
    <t>Dr. PhilliPLigrani</t>
  </si>
  <si>
    <t>phillip.ligrani@uah.edu</t>
  </si>
  <si>
    <t>Traditional Heat Transfer and Fluid Mechanics Investigations involving electronics cooling, heat transfer augmentation, drag reduction, turbulent boundary layers, flows in channels with dimpled surfaces, flows in curved channels, elastic turbulence, slot impingement cooling, and macro-scale pumps and pumPflows. Also included are aerodynamics investigations with high- speed, compressible flows at transonic and supersonic Mach numbers, including SWBLI – Shock Wave Boundary Layer Interactions. Related projects involve transonic and supersonic experimental testing. s also include experimental diagnostics in high speed flows, and air breathing propulsion.
Air Breathing Engines - Gas Turbine Heat Transfer, Cooling, and Aerodynamics Losses, including internal cooling, film cooling, impingement cooling, cooling of extremities, aerodynamic performance including aerodynamic losses, and transonic turbine flows and heat transfer. This subject area includes the effects of uses of bio-fuels, synthetic fuels, and renewable energy sources in relation to gas turbines and gas turbine heat transfer and cooling technologies. Note that an important area of turbomachinery  involves heat transfer and aerodynamics investigations with high-speed, compressible flows at transonic and supersonic Mach numbers, including linear cascade studies.
Micro-Fluidics and Millimeter-Scale-Fluidics, including micro-pumPflows, and the effects of sliPphenomena on gas and liquid flows in micro-scale passage flows with and without surface roughness, including the effects of hydrophobic surfaces and elastic turbulence.
Experimental Techniques, including development of millimeter-scale multiple-hole pressure probes, subminiature hot-wire anemometry, and infrared thermography.</t>
  </si>
  <si>
    <t>Traditional Heat Transfer , Fluid Mechanics Investigations involving electronics cooling, heat transfer augmentation, drag reduction, turbulent boundary layers, flows in channels with dimpled surfaces, flows in curved channels, elastic turbulence, slot impingement cooling, macro-scale pumps , pumPflows</t>
  </si>
  <si>
    <t>Dr. Mark Lin</t>
  </si>
  <si>
    <t>mark.lin@uah.edu</t>
  </si>
  <si>
    <t>Development of Smart Actuation and Sensing Systems
Characterization and Engineering Applications of Induced-Strain Smart Materials
Monitoring of Composite Material Systems and Large Civil Infrastructures
Finite Element Modeling and Experimental Characterization of Hygro-Thermo-Mechanical Response of Composites
Development of Micro-Cantilevered Biological/Chemical Sensors</t>
  </si>
  <si>
    <t>Development of Smart Actuation , Sensing Systems,
Characterization , Engineering Applications of Induced-Strain Smart Materials,
Monitoring of Composite Material Systems , Large Civil Infrastructures,
Finite Element Modeling , Experimental Characterization of Hygro-Thermo-Mechanical Response of Composites,
Development of Micro-Cantilevered Biological/Chemical Sensors</t>
  </si>
  <si>
    <t>Dr. George Nelson</t>
  </si>
  <si>
    <t>george.nelson@uah.edu</t>
  </si>
  <si>
    <t>Transport Phenomena Heat, Mass, and Charge Transfer
Electrochemical Energy Storage and Conversion Devices
Energy Systems Modeling and Analysis
Porous and Heterogeneous Media</t>
  </si>
  <si>
    <t>Transport Phenomena Heat, Mass, Charge Transfer,
Electrochemical Energy Storage , Conversion Devices,
Energy Systems Modeling , Analysis,
Porous , Heterogeneous Media</t>
  </si>
  <si>
    <t>Dr. Sarma Rani</t>
  </si>
  <si>
    <t>sarma.rani@uah.edu</t>
  </si>
  <si>
    <t>Computational Transport Phenomena
Combustion
Radiative Heat Transfer</t>
  </si>
  <si>
    <t>Computational Transport Phenomena,
Combustion,
Radiative Heat Transfer</t>
  </si>
  <si>
    <t>Dr. Judy Schneider</t>
  </si>
  <si>
    <t>judith.schneider@uah.edu</t>
  </si>
  <si>
    <t>Mechanical Behavior and Characterization
Polymeric Composites
Friction Stir Welding
Additive Manufacturing</t>
  </si>
  <si>
    <t>Mechanical Behavior , Characterization,
Polymeric Composites,
Friction Stir Welding,
Additive Manufacturing</t>
  </si>
  <si>
    <t>Dr. Babak Shotorban</t>
  </si>
  <si>
    <t>babak.shotorban@uah.edu</t>
  </si>
  <si>
    <t>Turbulent particle/droplet-laden flows
Reacting flows in fires
Dusty plasmas
Stochastic/probabilistic modeling
Computational fluid dynamics
High performance computing</t>
  </si>
  <si>
    <t>Turbulent particle/droplet-laden flows,
Reacting flows in fires,
Dusty plasmas,
Stochastic/probabilistic modeling,
Computational fluid dynamics,
High performance computing</t>
  </si>
  <si>
    <t>Dr. Nathan Spulak</t>
  </si>
  <si>
    <t>nathan.spulak@uah.edu</t>
  </si>
  <si>
    <t>Dr. Richard N. Tantaris</t>
  </si>
  <si>
    <t>richard.tantaris@uah.edu</t>
  </si>
  <si>
    <t xml:space="preserve">Engineering education, Line-of- Sight (LOS) control, control systems (nonlinear, modern, parametric/robust, adaptive), system modeling, inertial navigation (strap-down and stable platform), MEMs, finite element analysis, robotics (modeling and control design/simulation), vision systems, and image processing
</t>
  </si>
  <si>
    <t xml:space="preserve">Engineering education, Line-of- Sight (LOS) control, control systems (nonlinear, modern, parametric/robust, adaptive), system modeling, inertial navigation (strap-down , stable platform), MEMs, finite element analysis, robotics (modeling , control design/simulation), vision systems, image processing
</t>
  </si>
  <si>
    <t>Gang Wang, Ph.D.</t>
  </si>
  <si>
    <t>gang.wang@uah.edu</t>
  </si>
  <si>
    <t>Solid Mechanics
Adaptive Structures
Rotorcraft
Emerging Technologies</t>
  </si>
  <si>
    <t>Solid Mechanics,
Adaptive Structures,
Rotorcraft,
Emerging Technologies</t>
  </si>
  <si>
    <t>Dr. Gabriel Xu</t>
  </si>
  <si>
    <t>gabe.xu@uah.edu</t>
  </si>
  <si>
    <t>Electric Propulsion
Low-Temperature Plasma Science
Plasma-Assisted Combustion</t>
  </si>
  <si>
    <t>Electric Propulsion,
Low-Temperature Plasma Science,
Plasma-Assisted Combustion</t>
  </si>
  <si>
    <t>Dr. Kim Xu</t>
  </si>
  <si>
    <t>kim.xu@uah.edu</t>
  </si>
  <si>
    <t>Guangsheng Zhang, Ph.D.</t>
  </si>
  <si>
    <t>guangsheng.zhang@uah.edu</t>
  </si>
  <si>
    <t>thermal-fluid science
electrochemistry
energy conversion
transport phenomena and reaction kinetics in electrochemical energy systems</t>
  </si>
  <si>
    <t>thermal-fluid science,
electrochemistry,
energy conversion,
transport phenomena , reaction kinetics in electrochemical energy systems</t>
  </si>
  <si>
    <t>University of Kentucky</t>
  </si>
  <si>
    <t>Nelson Akafuah</t>
  </si>
  <si>
    <t>nelson.akafuah@uky.edu</t>
  </si>
  <si>
    <t xml:space="preserve">Nelson’s  include all aspects of paint processes for automotive OEMs and Tier one suppliers, implementing systems/tools to enhance energy efficiency and overall performance levels, and improvements in operational quality and productivity through lean manufacturing principles.
</t>
  </si>
  <si>
    <t xml:space="preserve">OEMs , Tier one suppliers, implementing systems/tools to enhance energy efficiency , overall performance levels, improvements in operational quality , productivity through lean manufacturing principles
</t>
  </si>
  <si>
    <t>MECHANICAL AND AEROSPACE</t>
  </si>
  <si>
    <t>Rodney Andrews</t>
  </si>
  <si>
    <t>rodney.andrews@uky.edu</t>
  </si>
  <si>
    <t>Activated carbon materials
Agriculture
Carbon fiber formation
Carbon materials
Environment
Pitch chemistry and characterization</t>
  </si>
  <si>
    <t>Activated carbon materials,
Agriculture,
Carbon fiber formation,
Carbon materials,
Environment,
Pitch chemistry , characterization</t>
  </si>
  <si>
    <t>Fazleena Badurdeen</t>
  </si>
  <si>
    <t>badurdeen@uky.edu</t>
  </si>
  <si>
    <t>Sustainable manufacturing
Lean manufacturing
Modeling and analysis of manufacturing systems and supply chains
Sustainable product design</t>
  </si>
  <si>
    <t>Sustainable manufacturing,
Lean manufacturing,
Modeling , analysis of manufacturing systems , supply chains,
Sustainable product design</t>
  </si>
  <si>
    <t>Sean Bailey</t>
  </si>
  <si>
    <t>sean.bailey@uky.edu</t>
  </si>
  <si>
    <t>Wall-Bounded Flows
Atmospheric turbulence
Unsteady vortex flows and wake turbulence
Small-scale turbulence
Large-scale coherent structures
Development of experimental methods</t>
  </si>
  <si>
    <t>Wall-Bounded Flows,
Atmospheric turbulence,
Unsteady vortex flows , wake turbulence,
Small-scale turbulence,
Large-scale coherent structures,
Development of experimental methods</t>
  </si>
  <si>
    <t>Madhav Baral</t>
  </si>
  <si>
    <t>Madhav.Baral@uky.edu</t>
  </si>
  <si>
    <t>Solid Mechanics
Plasticity and constitutive modeling
Formability and ductile fracture
Sheet metal and tube forming
Material characterization and manufacturing processes</t>
  </si>
  <si>
    <t>Solid Mechanics,
Plasticity , constitutive modeling,
Formability , ductile fracture,
Sheet metal , tube forming,
Material characterization , manufacturing processes</t>
  </si>
  <si>
    <t>ScoTTBerry</t>
  </si>
  <si>
    <t>scott.berry@uky.edu</t>
  </si>
  <si>
    <t xml:space="preserve">My research is focused on the application of engineering principles to molecular diagnostics. Many of these improvements have served to increase throughput, reduce operational complexity, and/or minimize costs. However, they can also unlock fundamentally new functionalities, enabling clinicians and basic scientists to measure molecular and cellular analytical processes that were previously unobservable. This concept has led to the development of many new technologies and platforms focused on a broad menu of diseases, including HIV, TB, HBV, HCV, influenza, several types of cancer, and most recently SARS-CoV-2.
</t>
  </si>
  <si>
    <t>molecular diagnostics</t>
  </si>
  <si>
    <t>hailong.chen@uky.edu</t>
  </si>
  <si>
    <t xml:space="preserve">My s lie primarily in the broad areas of Computational Mechanics &amp; Materials, which include but not limited to Meshfree methods and application, Multi-scale multi-physics modeling and simulation, Mechanics of stochastic heterogeneous microstructure, Pervasive fracture and impact modeling.
</t>
  </si>
  <si>
    <t xml:space="preserve"> Computational Mechanics &amp; Materials, Multi-scale multi-physics modeling , simulation, Mechanics of stochastic heterogeneous microstructure, Pervasive fracture , impact modeling
</t>
  </si>
  <si>
    <t>Mark Doerre</t>
  </si>
  <si>
    <t>mark.doerre@uky.edu</t>
  </si>
  <si>
    <t>Xin Gao</t>
  </si>
  <si>
    <t>xin.gao1@uky.edu</t>
  </si>
  <si>
    <t xml:space="preserve">My primary research area lies in process integration engineering, with a focus on the design of processes for carbon capture and mineralization, high-value material recycles, water treatment, and energy storage.  
</t>
  </si>
  <si>
    <t xml:space="preserve"> integration engineering, with a focus on the design of processes for carbon capture , mineralization, high-value material recycles, water treatment, energy storage
</t>
  </si>
  <si>
    <t>Hari Ghimire</t>
  </si>
  <si>
    <t>hari.ghimire@uky.edu</t>
  </si>
  <si>
    <t>Christine Goble</t>
  </si>
  <si>
    <t>christine.goble@uky.edu</t>
  </si>
  <si>
    <t>Martha E. Grady</t>
  </si>
  <si>
    <t>m.grady@uky.edu</t>
  </si>
  <si>
    <t xml:space="preserve">Adhesion
Biomaterial Characterization
Functional Interfaces
</t>
  </si>
  <si>
    <t xml:space="preserve">Adhesion,
Biomaterial Characterization,
Functional Interfaces
</t>
  </si>
  <si>
    <t>$12,583 per year (in-state, full-time)</t>
  </si>
  <si>
    <t>Mark Hanson</t>
  </si>
  <si>
    <t>mark.hanson@uky.edu</t>
  </si>
  <si>
    <t>Edge effects on concentrated contacts
Fracture Mechanics
Fragmentation
Tribology</t>
  </si>
  <si>
    <t>Edge effects on concentrated contacts,
Fracture Mechanics,
Fragmentation,
Tribology</t>
  </si>
  <si>
    <t>Tom Henninger</t>
  </si>
  <si>
    <t>tom.h@uky.edu</t>
  </si>
  <si>
    <t>Product Design and Development
Finite Element Analysis
Manufacturing Process Improvements
Engineering Education</t>
  </si>
  <si>
    <t>Product Design , Development,
Finite Element Analysis,
Manufacturing Process Improvements,
Engineering Education</t>
  </si>
  <si>
    <t>David Herrin</t>
  </si>
  <si>
    <t>david.herrin@uky.edu</t>
  </si>
  <si>
    <t>Acoustic Materials
Acoustics
Mufflers and Silencers
Structural Dynamics</t>
  </si>
  <si>
    <t>Acoustic Materials,
Acoustics,
Mufflers , Silencers,
Structural Dynamics</t>
  </si>
  <si>
    <r>
      <rPr>
        <u/>
        <sz val="10"/>
        <color rgb="FF000000"/>
        <rFont val="Arial"/>
        <family val="2"/>
      </rPr>
      <t>Jesse Hoagg</t>
    </r>
    <r>
      <rPr>
        <sz val="10"/>
        <color rgb="FF000000"/>
        <rFont val="Arial"/>
        <family val="2"/>
      </rPr>
      <t xml:space="preserve"> (Chair of Department)</t>
    </r>
  </si>
  <si>
    <t>jesse.hoagg@uky.edu</t>
  </si>
  <si>
    <t>Autonomy, robotics, and control theory
Multi-agent cooperative control
Human learning and understanding human control strategies
Spacecraft dynamics and control 
Adaptive and learning control
Safety-critical control
System Identification</t>
  </si>
  <si>
    <t>Autonomy, robotics, control theory,
Multi-agent cooperative control,
Human learning , underst,ing human control strategies,
Spacecraft dynamics , control ,
Adaptive , learning control,
Safety-critical control,
System Identification</t>
  </si>
  <si>
    <t>Justin Huber</t>
  </si>
  <si>
    <t>justin.huber@uky.edu</t>
  </si>
  <si>
    <t>I. S. Jawahir</t>
  </si>
  <si>
    <t>is.jawahir@uky.edu</t>
  </si>
  <si>
    <t>Predictive modeling and optimization of manufacturing processes
Sustainable manufacturing Product and process design for sustainability manufacturing processes</t>
  </si>
  <si>
    <t>Predictive modeling , optimization of manufacturing processes,
Sustainable manufacturing Product , process design for sustainability manufacturing processes</t>
  </si>
  <si>
    <t>Xu Jin</t>
  </si>
  <si>
    <t>xu.jin@uky.edu</t>
  </si>
  <si>
    <t>Adaptive Control
Iterative Learning Control
Stochastic Control
Fault Tolerant Control
Cooperative Control
Consensus Protocols
Cyber-Physical Systems
Constrained Nonlinear Systems
Multiagent Systems
Interconnected Systems
Robotics
Autonomous Vehicles</t>
  </si>
  <si>
    <t>Adaptive Control,
Iterative Learning Control,
Stochastic Control,
Fault Tolerant Control,
Cooperative Control,
Consensus Protocols,
Cyber-Physical Systems,
Constrained Nonlinear Systems,
Multiagent Systems,
Interconnected Systems,
Robotics,
Autonomous Vehicles</t>
  </si>
  <si>
    <t>Haluk Karaca</t>
  </si>
  <si>
    <t>karacahaluk@uky.edu</t>
  </si>
  <si>
    <t>Active Materials for Actuators
Composition-Processing-Microstructure-Mechanical Property Relationships
Energy Harvesting
High Strength Shape Memory Alloys
High Temperature Shape Memory Alloys
Iron Ore Sintering
Magnetic Refrigeration
Magnetic Shape Memory Alloys
Nanotube Fabrication
Phase Transformations
Severe Plastic Deformation
Shape Memory Composites
Shape Memory Polymers
Thermodynamical Modeling</t>
  </si>
  <si>
    <t>Active Materials for Actuators,
Composition-Processing-Microstructure-Mechanical Property Relationships,
Energy Harvesting,
High Strength Shape Memory Alloys,
High Temperature Shape Memory Alloys,
Iron Ore Sintering,
Magnetic Refrigeration,
Magnetic Shape Memory Alloys,
Nanotube Fabrication,
Phase Transformations,
Severe Plastic Deformation,
Shape Memory Composites,
Shape Memory Polymers,
Thermodynamical Modeling</t>
  </si>
  <si>
    <t>Wei "Mike" Li</t>
  </si>
  <si>
    <t>wei.mike.li@uky.edu</t>
  </si>
  <si>
    <t>Production Scheduling
Adaptive Production Control
Operating Room Scheduling
Optimization</t>
  </si>
  <si>
    <t>Production Scheduling,
Adaptive Production Control,
Operating Room Scheduling,
Optimization</t>
  </si>
  <si>
    <t>Kunlei Liu</t>
  </si>
  <si>
    <t>kunlei.liu@uky.edu</t>
  </si>
  <si>
    <t>Fossil Fuel Combustion and Pollutant (SOx, NOx and PM) Control
Mercury Transformation and Control
Carbon Management in Power Plants
Metal Corrosion in Utility Environmental
Gasification High Temperature Flue Gas Cleanup</t>
  </si>
  <si>
    <t>Fossil Fuel Combustion , Pollutant Control,
Mercury Transformation , Control,
Carbon Management in Power Plants,
Metal Corrosion in Utility Environmental,
Gasification High Temperature Flue Gas Cleanup</t>
  </si>
  <si>
    <t>Y. Charles Lu</t>
  </si>
  <si>
    <t>ycharles.lu@uky.edu</t>
  </si>
  <si>
    <t>Composites
Elastomers
Finite Element Modeling
Micromechanics
Nanomechanics
Polymers</t>
  </si>
  <si>
    <t>Composites,
Elastomers,
Finite Element Modeling,
Micromechanics,
Nanomechanics,
Polymers</t>
  </si>
  <si>
    <t>John Maddox</t>
  </si>
  <si>
    <t>john.maddox@uky.edu</t>
  </si>
  <si>
    <t>Electronics Thermal Management
Harsh Environment Electronics
Turbulence Modeling
Liquid Jet Impingement
Two Phase Flows</t>
  </si>
  <si>
    <t>Electronics Thermal Management,
Harsh Environment Electronics,
Turbulence Modeling,
Liquid Jet Impingement,
Two Phase Flows</t>
  </si>
  <si>
    <t>M. Abbot Maginnis</t>
  </si>
  <si>
    <t>amaginnis@uky.edu</t>
  </si>
  <si>
    <t>Sergiy Markutsya</t>
  </si>
  <si>
    <t>smarkutsya@uky.edu</t>
  </si>
  <si>
    <t>Molecular Modeling and simulation of Macromolecules at Mesoscale
Multi-Scale Simulation of Ionic Liquids
Coarse-Grain Simulation of Colloidal Nanoparticles
Atomic Force Microscopy</t>
  </si>
  <si>
    <t>Molecular Modeling , simulation of Macromolecules at Mesoscale,
Multi-Scale Simulation of Ionic Liquids,
Coarse-Grain Simulation of Colloidal Nanoparticles,
Atomic Force Microscopy</t>
  </si>
  <si>
    <t>Alexandre Martin</t>
  </si>
  <si>
    <t>alexandre.martin@uky.edu</t>
  </si>
  <si>
    <t xml:space="preserve">Ablation
Aerothermodynamics
Compressible Aerodynamics
Computational Fluid Dynamics
Gas Surface Interactions
Hypersonic
Material Response
Numerical Methods
Re-Entry
Stay Connected
</t>
  </si>
  <si>
    <t xml:space="preserve">Ablation,
Aerothermodynamics,
Compressible Aerodynamics,
Computational Fluid Dynamics,
Gas Surface Interactions,
Hypersonic,
Material Response,
Numerical Methods,
Re-Entry,
Stay Connected
</t>
  </si>
  <si>
    <t>Johné Parker</t>
  </si>
  <si>
    <t>johne.parker@uky.edu</t>
  </si>
  <si>
    <t>Image-Processing
Imaging Sensor/System Modeling
Vision System Hardware/Software Design</t>
  </si>
  <si>
    <t>Image-Processing,
Imaging Sensor/System Modeling,
Vision System Hardware/Software Design</t>
  </si>
  <si>
    <t>Hasan Poonawala</t>
  </si>
  <si>
    <t>hasan.poonawala@uky.edu</t>
  </si>
  <si>
    <t>My s lie in autonomy and autonomous control of robotic and mechanical systems. My grouPdevelops algorithms for controlling robotic systems using decision-making tools from artificial intelligence and machine learning. We focus on the effect of the feedback between robot dynamics and the outputs/predictions of the AI/ML tools, and create new tools that yield provably safe and stable control of robots in uncertain environments.
Strategic Focus Area Autonomy, Robotics and Controls</t>
  </si>
  <si>
    <t xml:space="preserve"> autonomous control of robotic , mechanical systems, My grouPdevelops algorithms for controlling robotic systems using decision-making tools from artificial intelligence , machine learning, We focus on the effect of the feedback between robot dynamics , the outputs/predictions of the AI/ML tools, create new tools that yield provably safe , stable control of robots in uncertain environments</t>
  </si>
  <si>
    <t>Savio Poovathingal</t>
  </si>
  <si>
    <t>saviopoovathingal@uky.edu</t>
  </si>
  <si>
    <t>Computational Fluid Dynamics
Direct simulation Monte Carlo
Hypersonic Flows
Gas-Material Interactions
Microscale and Molecular Scale Flows</t>
  </si>
  <si>
    <t>Computational Fluid Dynamics,
Direct simulation Monte Carlo,
Hypersonic Flows,
Gas-Material Interactions,
Microscale , Molecular Scale Flows</t>
  </si>
  <si>
    <t>Michael Renfro</t>
  </si>
  <si>
    <t>michael.renfro@uky.edu</t>
  </si>
  <si>
    <t>Laser Diagnostics
High-speed Optical Imaging
Combustion Stability
Autoignition and Extinction Flame Measurements
Thermal Barrier Coating Diagnostics
Thermal Protection Systems Diagnostics</t>
  </si>
  <si>
    <t>Laser Diagnostics,
High-speed Optical Imaging,
Combustion Stability,
Autoignition , Extinction Flame Measurements,
Thermal Barrier Coating Diagnostics,
Thermal Protection Systems Diagnostics</t>
  </si>
  <si>
    <t>Kozo Saito</t>
  </si>
  <si>
    <t>ksaito@uky.edu</t>
  </si>
  <si>
    <t>Julius Schoop</t>
  </si>
  <si>
    <t>julius.schoop@uky.edu</t>
  </si>
  <si>
    <t>Size Effects in Finish Machining
Advanced Finishing Processes
Cutting Tool Design and Development
Machine Tool Design and Development
Modeling &amp; Optimization of Manufacturing Processes
Modeling of High Strain Rate Material Behavior
Cryogenic Processing</t>
  </si>
  <si>
    <t>Size Effects in Finish Machining,
Advanced Finishing Processes,
Cutting Tool Design , Development,
Machine Tool Design , Development,
Modeling &amp; Optimization of Manufacturing Processes,
Modeling of High Strain Rate Material Behavior,
Cryogenic Processing</t>
  </si>
  <si>
    <t>Michael Seigler</t>
  </si>
  <si>
    <t>tmseigler@uky.edu</t>
  </si>
  <si>
    <t>Control Theory
Human-Machine Systems
Electromagnetic Formation Flying
Small-Satellite Attitude Control</t>
  </si>
  <si>
    <t>Control Theory,
Human-Machine Systems,
Electromagnetic Formation Flying,
Small-Satellite Attitude Control</t>
  </si>
  <si>
    <t>Dusan Sekulic</t>
  </si>
  <si>
    <t>dusan.sekulic@uky.edu</t>
  </si>
  <si>
    <t>Thermodynamics
Transport phenomena for materials processing</t>
  </si>
  <si>
    <t>Thermodynamics,
Transport phenomena for materials processing</t>
  </si>
  <si>
    <t>Suzanne Smith</t>
  </si>
  <si>
    <t>suzanne.smith@uky.edu</t>
  </si>
  <si>
    <t>Uncrewed Aircraft Systems Operations
Flexible, Nonlinear and Deplotable Structures
System Identification
Vibration Testing</t>
  </si>
  <si>
    <t>Uncrewed Aircraft Systems Operations,
Flexible, Nonlinear , Deplotable Structures,
System Identification,
Vibration Testing</t>
  </si>
  <si>
    <t>L. ScoTTStephens</t>
  </si>
  <si>
    <t>l.stephens@uky.edu</t>
  </si>
  <si>
    <t>Bearing and Sealing Systems
Machine Design
Magnetic Suspensions</t>
  </si>
  <si>
    <t>Bearing , Sealing Systems,
Machine Design,
Magnetic Suspensions</t>
  </si>
  <si>
    <t>Xingsheng Sun</t>
  </si>
  <si>
    <t>xingsheng.sun@uky.edu</t>
  </si>
  <si>
    <t>Atomistic Modeling and Simulation
Uncertainty Quantification
Materials-by-Design
Inverse Problems
Energy Storage and Conversion
Material Failures
High-Performance Computing</t>
  </si>
  <si>
    <t>Atomistic Modeling , Simulation,
Uncertainty Quantification,
Materials-by-Design,
Inverse Problems,
Energy Storage , Conversion,
Material Failures,
High-Performance Computing</t>
  </si>
  <si>
    <t>Kaveh Tagavi</t>
  </si>
  <si>
    <t>kaveh.tagavi@uky.edu</t>
  </si>
  <si>
    <t xml:space="preserve">Boiling and Two Phase Flow
</t>
  </si>
  <si>
    <t xml:space="preserve">Boiling , Two Phase Flow
</t>
  </si>
  <si>
    <t>Farzad Taghaddosi</t>
  </si>
  <si>
    <t>farzad.taghaddosi@uky.edu</t>
  </si>
  <si>
    <t>CFD
Computational Aeroacoustics
Large-scale Computing</t>
  </si>
  <si>
    <t>CFD,
Computational Aeroacoustics,
Large-scale Computing</t>
  </si>
  <si>
    <t>Christine Trinkle</t>
  </si>
  <si>
    <t>c.trinkle@uky.edu</t>
  </si>
  <si>
    <t>Biologically-Inspired Design
Micro-scale Design and Fabrication
Microfluidic Systems
Lung/Ventilator Mechanics</t>
  </si>
  <si>
    <t>Biologically-Inspired Design,
Micro-scale Design , Fabrication,
Microfluidic Systems,
Lung/Ventilator Mechanics</t>
  </si>
  <si>
    <t>Peng Wang</t>
  </si>
  <si>
    <t>edward.wang@uky.edu</t>
  </si>
  <si>
    <t>Jonathan Wenk</t>
  </si>
  <si>
    <t>jonathan.wenk@uky.edu</t>
  </si>
  <si>
    <t>Cardiovascular Mechanics
Finite Element Methods
Multi-scale Modeling
Nonlinear Solid Mechanics
Numerical Optimization</t>
  </si>
  <si>
    <t>Cardiovascular Mechanics,
Finite Element Methods,
Multi-scale Modeling,
Nonlinear Solid Mechanics,
Numerical Optimization</t>
  </si>
  <si>
    <t>Julie Whitney</t>
  </si>
  <si>
    <t>julie.whitney@uky.edu</t>
  </si>
  <si>
    <t>Internet of Things (IoT)
Machine Learning as applied to manufactured systems and devices
Printers and printer physics
Managing Research and Development teams</t>
  </si>
  <si>
    <t>Internet of Things (IoT),
Machine Learning as applied to manufactured systems , devices,
Printers , printer physics,
Managing Research , Development teams</t>
  </si>
  <si>
    <t>Tingwen Wu</t>
  </si>
  <si>
    <t>timwu@uky.edu</t>
  </si>
  <si>
    <t xml:space="preserve">Boundary Element Methods
</t>
  </si>
  <si>
    <t>Boundary Element Methods</t>
  </si>
  <si>
    <t>University of Nebraska--Lincoln</t>
  </si>
  <si>
    <r>
      <rPr>
        <u/>
        <sz val="10"/>
        <color rgb="FF000000"/>
        <rFont val="Arial"/>
        <family val="2"/>
      </rPr>
      <t>Jeffrey Shield</t>
    </r>
    <r>
      <rPr>
        <sz val="10"/>
        <color rgb="FF000000"/>
        <rFont val="Arial"/>
        <family val="2"/>
      </rPr>
      <t xml:space="preserve"> (Chair)</t>
    </r>
  </si>
  <si>
    <t>jshield@unl.edu</t>
  </si>
  <si>
    <t>General area of microstructural development in materials during processing
Formation of nanostructured materials
Development of nanoscale structures for functional devices
Developing novel nanomagnetic materials for high-energy permanent magnets
Materials characterization, notably electron microscopy and x-ray diffraction</t>
  </si>
  <si>
    <t>General area of microstructural development in materials during processing,
Formation of nanostructured materials,
Development of nanoscale structures for functional devices,
Developing novel nanomagnetic materials for high-energy permanent magnets,
Materials characterization, notably electron microscopy , x-ray diffraction</t>
  </si>
  <si>
    <t>Mohamed Amar</t>
  </si>
  <si>
    <t>s-mamar1@unl.edu</t>
  </si>
  <si>
    <t xml:space="preserve">Tissue Mechanics  Modeling  of Tissue Mechanical properties.
</t>
  </si>
  <si>
    <t>Tissue Mechanics  Modeling  of Tissue Mechanical properties</t>
  </si>
  <si>
    <t>Eveline Baesu</t>
  </si>
  <si>
    <t>ebaesu@unl.edu</t>
  </si>
  <si>
    <t xml:space="preserve">Electromechanical effects
Fiber networks
Biomechanics
</t>
  </si>
  <si>
    <t xml:space="preserve">Electromechanical effects,
Fiber networks,
Biomechanics
</t>
  </si>
  <si>
    <t>Florin Bobaru</t>
  </si>
  <si>
    <t>fbobaru2@unl.edu</t>
  </si>
  <si>
    <t>Damage and fracture with peridynamics
Modeling of corrosion damage and stress corrosion cracking
Damage in heterogeneous materials (fiber-reinforced composites, polycrystalline ceramics, etc.)
Dynamics of Granular Materials
Optimization of material composition and optimal shape design</t>
  </si>
  <si>
    <t>Damage , fracture with peridynamics,
Modeling of corrosion damage , stress corrosion cracking,
Damage in heterogeneous materials,
Dynamics of Granular Materials,
Optimization of material composition , optimal shape design</t>
  </si>
  <si>
    <t>Bai Cui</t>
  </si>
  <si>
    <t>bcui3@unl.edu</t>
  </si>
  <si>
    <t>Materials for extreme environments high-entropy ceramics, high-entropy alloys, ODS alloys, ultra-high temperature ceramics, MAX phases. 
Advanced Manufacturing laser shock processing, pulsed electric current sintering/welding process, selective laser sintering, additive manufacturing. 
Corrosion stress corrosion cracking, high-temperature oxidation
Irradiation damage irradiation defects, irradiation-assisted stress corrosion cracking
Microstructural characterizations in-situ TEM deformation, irradiation, heating, and electrical experiements</t>
  </si>
  <si>
    <t>Materials for extreme environments high-entropy ceramics, high-entropy alloys, ODS alloys, ultra-high temperature ceramics, MAX phases, 
Advanced Manufacturing laser shock processing, pulsed electric current sintering/welding process, selective laser sintering, additive manufacturing, 
Corrosion stress corrosion cracking, high-temperature oxidation,
Irradiation damage irradiation defects, irradiation-assisted stress corrosion cracking,
Microstructural characterizations in-situ TEM deformation, irradiation, heating, electrical experiements</t>
  </si>
  <si>
    <t>Jessica Deters</t>
  </si>
  <si>
    <t>jessica.deters@unl.edu</t>
  </si>
  <si>
    <t>Engineering culture
Workplace preparedness
International engineering education (global engineering programs and comparative research)</t>
  </si>
  <si>
    <t>Engineering culture,
Workplace preparedness,
International engineering education (global engineering programs , comparative research)</t>
  </si>
  <si>
    <t>Yuris Dzenis</t>
  </si>
  <si>
    <t>ydzenis@unl.edu</t>
  </si>
  <si>
    <t>Advanced nanomaterials and nanomanufacturing
Experimental and theoretical analysis of electrospinning process
Continuous polymer, carbon, and ceramic nanofibers
Hierarchical materials and composites
Damage and fracture mechanics
Fatigue analysis and life prediction
Multiscale NDE
Cardiovascular biomechanics and tissue mechanics
Bionanomaterials</t>
  </si>
  <si>
    <t>Advanced nanomaterials , nanomanufacturing,
Experimental , theoretical analysis of electrospinning process,
Continuous polymer, carbon, ceramic nanofibers,
Hierarchical materials , composites,
Damage , fracture mechanics,
Fatigue analysis , life prediction,
Multiscale NDE,
Cardiovascular biomechanics , tissue mechanics,
Bionanomaterials</t>
  </si>
  <si>
    <t>Shane Farritor</t>
  </si>
  <si>
    <t>sfarritor@unl.edu</t>
  </si>
  <si>
    <t>Robotic Highway Safety Markers
Miniature Surgical Robots
Real-Time Measurement of Track Stiffness
Planetary Cliff Descent Using Cooperative Robots</t>
  </si>
  <si>
    <t>Robotic Highway Safety Markers,
Miniature Surgical Robots,
Real-Time Measurement of Track Stiffness,
Planetary Cliff Descent Using Cooperative Robots</t>
  </si>
  <si>
    <t>Lucia Fernandez-Ballester</t>
  </si>
  <si>
    <t>lucia.fernandez@unl.edu</t>
  </si>
  <si>
    <t>Conjugated polymers for energy applications
Nucleation and crystallization of polymers
3D printing
Polymer processing and engineering
Sustainable polymers</t>
  </si>
  <si>
    <t>Conjugated polymers for energy applications,
Nucleation , crystallization of polymers,
3D printing,
Polymer processing , engineering,
Sustainable polymers</t>
  </si>
  <si>
    <t>Mohammad Ghashami</t>
  </si>
  <si>
    <t>mghashami2@unl.edu</t>
  </si>
  <si>
    <t xml:space="preserve">Micro/Nanoscale Energy Transfer
Near-field Thermal Radiation
Energy Conversion and Recycling Processes
Thermophotovoltaics, Thermoelectrics, and Thermionics
Engineering Applications of Nanoscale Energy Transport
</t>
  </si>
  <si>
    <t xml:space="preserve">Micro/Nanoscale Energy Transfer,
Near-field Thermal Radiation,
Energy Conversion , Recycling Processes,
Thermophotovoltaics, Thermoelectrics, Thermionics,
Engineering Applications of Nanoscale Energy Transport
</t>
  </si>
  <si>
    <t>George Gogos</t>
  </si>
  <si>
    <t>ggogos@unl.edu</t>
  </si>
  <si>
    <t xml:space="preserve">Flow and heat transfer using functionalized metallic surfaces
Micro-fluidics
Flame Weeding
Vaporizing and combusting sprays
Blast wave mitigation
DNA multiplication (rapid PCR development) for detection of biological agents.
Plastics processing
</t>
  </si>
  <si>
    <t xml:space="preserve">Flow , heat transfer using functionalized metallic surfaces,
Micro-fluidics,
Flame Weeding,
Vaporizing , combusting sprays,
Blast wave mitigation,
DNA multiplication (rapid PCR development) for detection of biological agents,
Plastics processing
</t>
  </si>
  <si>
    <t>Piyush Grover</t>
  </si>
  <si>
    <t>piyush.grover@unl.edu</t>
  </si>
  <si>
    <t>Dynamical Systems theory, control and optimization
Geometric and topological methods in dynamical systems
Operator theoretic methods (Perron-Frobenius/Koopman) for analysis and control
Continuum approach to multi-agent system control and decision making (Mean-field control and mean-field games, Optimal Transport)</t>
  </si>
  <si>
    <t>Dynamical Systems theory, control , optimization,
Geometric , topological methods in dynamical systems,
Operator theoretic methods (Perron-Frobenius/Koopman) for analysis , control,
Continuum approach to multi-agent system control , decision making (Mean-field control , mean-field games, Optimal Transport)</t>
  </si>
  <si>
    <t>$8,496 per year (in-state, full-time)</t>
  </si>
  <si>
    <t>Qilin Guo</t>
  </si>
  <si>
    <t>qilin.guo@unl.edu</t>
  </si>
  <si>
    <t>Metal additive manufacturing, laser powder bed fusion, laser processing
In-situ characterization, synchrotron X-ray imaging &amp; diffraction
New alloy development for AM, microstructural characterization</t>
  </si>
  <si>
    <t>Metal additive manufacturing, laser powder bed fusion, laser processing,
In-situ characterization, synchrotron X-ray imaging &amp; diffraction,
New alloy development for AM, microstructural characterization</t>
  </si>
  <si>
    <t>Abdelghani Laraoui</t>
  </si>
  <si>
    <t>alaraoui2@unl.edu</t>
  </si>
  <si>
    <t>Quantum sensing nanoscale magnetic, current, and temperature mapping of condensed matter phenomena, far-field imaging of single transition metal nanoparticles (size &lt; 20 nm).
Defect discovery and spectroscopy in two dimensional materials and wide bandgaPsemiconductors studying the spin and optical properties of the defects, developing new quantum devices based on their performances. 
Quantum computing exploring magnetic, optical, and mechanical cavities for coupling distant spin-qubits for scalable quantum networks
Hybrid photonics based on coupling single color centers to metamaterials for optical networks.</t>
  </si>
  <si>
    <t>Quantum sensing nanoscale magnetic, current, temperature mapping of condensed matter phenomena, far-field imaging of single transition metal nanoparticles (size &lt; 20 nm),
Defect discovery , spectroscopy in two dimensional materials , wide b,gaPsemiconductors studying the spin , optical properties of the defects, developing new quantum devices based on their performances, 
Quantum computing exploring magnetic, optical, mechanical cavities for coupling distant spin-qubits for scalable quantum networks,
Hybrid photonics based on coupling single color centers to metamaterials for optical networks,</t>
  </si>
  <si>
    <t>Amy Lehman</t>
  </si>
  <si>
    <t>alehman2@unl.edu</t>
  </si>
  <si>
    <t>Jung Yul Lim</t>
  </si>
  <si>
    <t>jlim4@unl.edu</t>
  </si>
  <si>
    <t>Regulate cell function and fate via applying biomaterial cues (chemical and topographical micro/nanopatterning, surface energy tuning) and mechanical signals (fluid flow-induced shear stress, stretch, impulsive pressurization) and through co-regulatory effects from biomaterial and mechanical signals.
Integrate molecular engineering (RNA interference or overexpression) of key signaling molecules, e.g., FAK, ROCK, cadherin, and NF-κB, to reveal the role of focal adhesion, cytoskeletal tension, cell-cell interaction, and immune response in cells sensing and responding to biomaterials and mechanical signals.</t>
  </si>
  <si>
    <t>Regulate cell function , fate via applying biomaterial cues (chemical , topographical micro/nanopatterning, surface energy tuning) , mechanical signals (fluid flow-induced shear stress, stretch, impulsive pressurization) , through co-regulatory effects from biomaterial , mechanical signals,Integrate molecular engineering (RNA interference or overexpression) of key signaling molecules,  cell-cell interaction, immune response in cells sensing , responding to biomaterials, mechanical signals</t>
  </si>
  <si>
    <t>Eric Markvicka</t>
  </si>
  <si>
    <t>eric.markvicka@unl.edu</t>
  </si>
  <si>
    <t>Robotics
Stretchable electronics
Soft materials
Liquid metals</t>
  </si>
  <si>
    <t>Robotics,
Stretchable electronics,
Soft materials,
Liquid metals</t>
  </si>
  <si>
    <t>Fanben Meng</t>
  </si>
  <si>
    <t>fmeng5@unl.edu</t>
  </si>
  <si>
    <t xml:space="preserve">Bioprinting, 3D printing, Nanofabrication
Reconstruction of physiological microenvironments
3D in vitro disease models, Drug screening, Regenerative medicine
Biosensors &amp; bioelectronics, Biomedical devices
</t>
  </si>
  <si>
    <t xml:space="preserve">Bioprinting, 3D printing, Nanofabrication,
Reconstruction of physiological microenvironments,
3D in vitro disease models, Drug screening, Regenerative medicine,
Biosensors &amp; bioelectronics, Biomedical devices
</t>
  </si>
  <si>
    <t>Keegan Moore</t>
  </si>
  <si>
    <t>kmoore@unl.edu</t>
  </si>
  <si>
    <t xml:space="preserve">Theoretical and experimental nonlinear dynamics and vibrations
Data-driven modeling and identification
Reduced-order modeling of bolted joint loosening
Digital engineering and autonomous methods for model validation and updating
Identification of unknown time series in biomechanics
Vibrations in next-generation aircraft
Non-reciprocal acoustics and nonlinear energy guiding
</t>
  </si>
  <si>
    <t xml:space="preserve">Theoretical , experimental nonlinear dynamics , vibrations,
Data-driven modeling , identification,
Reduced-order modeling of bolted joint loosening,
Digital engineering , autonomous methods for model validation , updating,
Identification of unknown time series in biomechanics,
Vibrations in next-generation aircraft,
Non-reciprocal acoustics , nonlinear energy guiding
</t>
  </si>
  <si>
    <t>Nitesh Nama</t>
  </si>
  <si>
    <t>nitesh.nama@unl.edu</t>
  </si>
  <si>
    <t>Computational Cardiovascular Biomechanics
Cardiovascular Mass Transport
Fluid-Structure Interactions
Finite Element Analysis
Continuum Mechanics
Nonlinear Elasticity
Microfluidics
Computational Fluid Dynamics
Acoustofluidics
Lab-on-a-chip</t>
  </si>
  <si>
    <t>Computational Cardiovascular Biomechanics,
Cardiovascular Mass Transport,
Fluid-Structure Interactions,
Finite Element Analysis,
Continuum Mechanics,
Nonlinear Elasticity,
Microfluidics,
Computational Fluid Dynamics,
Acoustofluidics,
Lab-on-a-chip</t>
  </si>
  <si>
    <t>Mehrdad Negahban</t>
  </si>
  <si>
    <t>mnegahban@unl.edu</t>
  </si>
  <si>
    <t>Theoretical, computational, and experimental studies to characterize large deformation thermo-mechanical response of materials, in particular polymers.
Simulation of the effects of crystallization on the mechanical behavior of polymers under large deformations.
The study of the effects of crystallization on failure and the redistribution of stress in polymer matrix composites. Simulation of the manufacturing of thin film extruded polymers.
Experimental investigation and theoretical modeling of large plastic forming and shape recovery in amorphous polymers.
3D printing with stereo lithography Controlling property variation and optimizing property distribution.</t>
  </si>
  <si>
    <t>Theoretical, computational, experimental studies to characterize large deformation thermo-mechanical response of materials, in particular polymers,
Simulation of the effects of crystallization on the mechanical behavior of polymers under large deformations,
The study of the effects of crystallization on failure , the redistribution of stress in polymer matrix composites, Simulation of the manufacturing of thin film extruded polymers,
Experimental investigation , theoretical modeling of large plastic forming , shape recovery in amorphous polymers,
3D printing with stereo lithography Controlling property variation , optimizing property distribution,</t>
  </si>
  <si>
    <t>Jae Sung Park</t>
  </si>
  <si>
    <t>jaesung.park@unl.edu</t>
  </si>
  <si>
    <t xml:space="preserve">Fluid mechanics, Turbulence, Complex fluids, Electrokinetics, Rheology, Biofluids, Microscale transport, Mathematical modeling, Scientific computing
</t>
  </si>
  <si>
    <t>Fluid mechanics, Turbulence, Complex fluids, Electrokinetics, Rheology, Biofluids, Microscale transport, Mathematical modeling, Scientific computing</t>
  </si>
  <si>
    <t>Ryan Pedrigi</t>
  </si>
  <si>
    <t>rpedrigi@unl.edu</t>
  </si>
  <si>
    <t xml:space="preserve">Mechanobiology
Experimental and computational biomechanics
Cell engineering
Regenerative medicine
Medical devices
Cardiovascular medicine, ophthalmology, and wound healing
</t>
  </si>
  <si>
    <t xml:space="preserve">Mechanobiology,
Experimental , computational biomechanics,
Cell engineering,
Regenerative medicine,
Medical devices,
Cardiovascular medicine, ophthalmology, wound healing
</t>
  </si>
  <si>
    <t>Wen Qian</t>
  </si>
  <si>
    <t>wqian2@unl.edu</t>
  </si>
  <si>
    <t>K.P. Rajurkar</t>
  </si>
  <si>
    <t>krajurkar1@unl.edu</t>
  </si>
  <si>
    <t>Modeling and Analysis of Manufacturing Processes
Systems Sensing and Control of Traditional and Nontraditional macro, micro and nano Manufacturing Processes</t>
  </si>
  <si>
    <t>Modeling , Analysis of Manufacturing Processes,Systems Sensing , Control of Traditional , Nontraditional macro, micro , nano Manufacturing Processes</t>
  </si>
  <si>
    <t>Sangjin Ryu</t>
  </si>
  <si>
    <t>sryu2@unl.edu</t>
  </si>
  <si>
    <t>Fluid mechanics
Cell mechanics
Multiscale flow systems and biological systems based on interdisciplinary experimental approaches
s in flow systems include
Interfacial dynamics of bubble, droPand foam
Fluid flow at finite Reynolds numbers
Microfluidics
Fluid dynamics of microorganisms
Flow-system-based sustainable energy technology.
s in bio systems include
Calcium-powered cell motility and its biomimetic application
Mechanobiology of stem cell differentiation
Cellular mechanics of cancer cells.</t>
  </si>
  <si>
    <t>Fluid mechanics,
Cell mechanics,
Multiscale flow systems , biological systems based on interdisciplinary experimental approaches
Interfacial dynamics,
Fluid flow at finite Reynolds numbers,
Microfluidics,
Fluid dynamics of microorganisms,
Flow-system-based sustainable energy technology</t>
  </si>
  <si>
    <t>Cody Stolle</t>
  </si>
  <si>
    <t>cstolle2@unl.edu</t>
  </si>
  <si>
    <t xml:space="preserve">Vehicle dynamics researchfocused on evaluating performance handling and cornering, suspension reactions, path prediction, transient control asynchronicities, impact, crashworthiness, occupant safety, and stability
Crashworthiness evaluation of roadside hardware using In-Service Performance Evaluations (ISPEs), crash statistics and reconstruction, engagement with law enforcement and crash scene investigators, federal standards for crash reporting and investigation, and evaluation and determination of federally recommended criteria for conducting crash testing
Sports safety, impact attenutaion, structure, and component design
Military passive safety transportation design, anti-ram barrier design, system anaylsis, crash testing, threat mitigation
Finite element analysis, material characterization, fracture analysis, impact plasticity
Wire rope behavior and modeling, cable barriers, impacts involving low-mass tension elements
</t>
  </si>
  <si>
    <t xml:space="preserve">Vehicle dynamics researchfocused on evaluating performance h,ling , cornering, suspension reactions, path prediction, transient control asynchronicities, impact, crashworthiness, occupant safety, stability,
Crashworthiness evaluation of roadside hardware using In-Service Performance Evaluations (ISPEs), crash statistics , reconstruction, engagement with law enforcement , crash scene, investigators, federal st,ards for crash reporting , investigation, evaluation , determination of federally recommended criteria for conducting crash testing,
Sports safety, impact attenutaion, structure, component design,
Military passive safety transportation design, anti-ram barrier design, system anaylsis, crash testing, threat mitigation,
Finite element analysis, material characterization, fracture analysis, impact plasticity,
Wire rope behavior , modeling, cable barriers, impacts involving low-mass tension elements
</t>
  </si>
  <si>
    <t>Eli Sutter</t>
  </si>
  <si>
    <t>esutter@unl.edu</t>
  </si>
  <si>
    <t>My primary s are in Novel Materials and Materials for Energy Applications. My research focuses on two-dimensional van der Waals materials, heterostructures, and nanostructures for energy conversion and information processing. To investigate their electronic and optoelectronic properties we develoPand use novel electron microscopy and nanometer-resolved electron-excited spectroscopy techniques.</t>
  </si>
  <si>
    <t>Novel Materials , Materials for Energy Applications, two-dimensional van der Waals materials, heterostructures, nanostructures for energy conversion , information processing, To investigate their electronic , optoelectronic properties we develoP, use novel electron microscopy , nanometer-resolved electron-excited spectroscopy techniques</t>
  </si>
  <si>
    <t>Li Tan</t>
  </si>
  <si>
    <t>ltan4@unl.edu</t>
  </si>
  <si>
    <t>Crystallization, Self-assembly, and Material Design
Mechanics of Nanomaterials and Nanostructures</t>
  </si>
  <si>
    <t>Crystallization, Self-assembly, Material Design,
Mechanics of Nanomaterials , Nanostructures</t>
  </si>
  <si>
    <t>Joseph Turner</t>
  </si>
  <si>
    <t>jaturner@unl.edu</t>
  </si>
  <si>
    <t>Experimental ultrasonics nondestructive evaluation, materials characterization
Nanoindentation quasi-static, nanoDMA, novel measurement technique development
Atomic force microscopy contact resonance AFM, AFM beam dynamics, viscoelastic characterization
Elastic wave propagation complex media, anisotropic media, scattering, radiative transfer, diffusion</t>
  </si>
  <si>
    <t>Experimental ultrasonics nondestructive evaluation, materials characterization,
Nanoindentation quasi-static, nanoDMA, novel measurement technique development,
Atomic force microscopy contact resonance AFM, AFM beam dynamics, viscoelastic characterization,
Elastic wave propagation complex media, anisotropic media, scattering, radiative transfer, diffusion</t>
  </si>
  <si>
    <t>Robert Williams</t>
  </si>
  <si>
    <t>rwilliams2@unl.edu</t>
  </si>
  <si>
    <t>Abrasive Flow Machining
Nontraditional Finishing Processes
Rapid Prototyping
Tooling</t>
  </si>
  <si>
    <t>Abrasive Flow Machining,
Nontraditional Finishing Processes,
Rapid Prototyping,
Tooling</t>
  </si>
  <si>
    <t>Jiashi Yang</t>
  </si>
  <si>
    <t>jyang1@unl.edu</t>
  </si>
  <si>
    <t>Theory of piezoelectricity
Theories of plates, shells and rods
Waves and vibration
Modeling of electromechanical materials and devices</t>
  </si>
  <si>
    <t>Theory of piezoelectricity,
Theories of plates, shells , rods,
Waves , vibration,
Modeling of electromechanical materials , devices</t>
  </si>
  <si>
    <t>Ruiguo Yang</t>
  </si>
  <si>
    <t>ryang6@unl.edu</t>
  </si>
  <si>
    <t>Zhaoyan Zhang</t>
  </si>
  <si>
    <t>zhaoyan.zhang@unl.edu</t>
  </si>
  <si>
    <t>Laser Material Processing
Objective to deposit diamond-like carbon (DLC) thin films using pulsed laser deposition (PLD) technique and to model and simulate the deposition process.
Blast Wave Absorbing Structure
Objective to develoPa novel blast wave absorbing structure that can be directly integrated into Army Future Combat Systems and to develoPa blast load model for the optimization of the blast wave absorbing structure.
Diesel Engine Emissions Control
Objective to simulate the loading and regeneration of particulate matter and the thermal stress developed due to uneven heating, and the use of the numerical model as a design tool to meet the 2007 EPA Tier 2 emission standards.</t>
  </si>
  <si>
    <t xml:space="preserve">Laser Material Processing,
Blast Wave Absorbing Structure,
Diesel Engine Emissions Control,
</t>
  </si>
  <si>
    <t>University of North Carolina--Charlotte (W.S. Lee)</t>
  </si>
  <si>
    <t>Jonathan Beaman</t>
  </si>
  <si>
    <t>jmbeaman@charlotte.edu</t>
  </si>
  <si>
    <t>Mechanical Engineering and Engineering Science</t>
  </si>
  <si>
    <t>Anthony Bombik</t>
  </si>
  <si>
    <t>abombik@charlotte.edu</t>
  </si>
  <si>
    <t>Multifunctional battery structures
Battery health degradation modeling
EV battery pack design optimization and testing</t>
  </si>
  <si>
    <t>Multifunctional battery structures,
Battery health degradation modeling,
EV battery pack design optimization , testing</t>
  </si>
  <si>
    <t>Youxing Chen</t>
  </si>
  <si>
    <t>ychen103@charlotte.edu</t>
  </si>
  <si>
    <t xml:space="preserve">Dr. Chen’s research focuses on the materials’ response under extreme environments, such as radiation, load, strain rate and temperature. His grouPis interested in exploring the fundamental relationshiPbetween materials structure and property across multiple length scales from atomic to macroscopic scale.
</t>
  </si>
  <si>
    <t>materials’ response under extreme environments, such as radiation, load, strain rate , temperature</t>
  </si>
  <si>
    <r>
      <rPr>
        <u/>
        <sz val="10"/>
        <color rgb="FF000000"/>
        <rFont val="Arial"/>
        <family val="2"/>
      </rPr>
      <t>Harish Cherukuri</t>
    </r>
    <r>
      <rPr>
        <sz val="10"/>
        <color rgb="FF000000"/>
        <rFont val="Arial"/>
        <family val="2"/>
      </rPr>
      <t xml:space="preserve"> (Department Chair)</t>
    </r>
  </si>
  <si>
    <t>hcheruku@charlotte.edu</t>
  </si>
  <si>
    <t>Plasticity Theory and Application to Metal Forming and Shear-Flow Localization Problems
Dynamic Behavior of Materials Finite-Element and Finite-Difference Methods in Solid Mechanics</t>
  </si>
  <si>
    <t>Plasticity Theory , Application to Metal Forming , Shear-Flow Localization Problems,
Dynamic Behavior of Materials Finite-Element , Finite-Difference Methods in Solid Mechanics</t>
  </si>
  <si>
    <t>#142 - Best Engineering Schools</t>
  </si>
  <si>
    <t>Joseph Dalton</t>
  </si>
  <si>
    <t>jbdalton@charlotte.edu</t>
  </si>
  <si>
    <t>Matthew Davies</t>
  </si>
  <si>
    <t>madavies@charlotte.edu</t>
  </si>
  <si>
    <t>Ahmed El-Ghannam</t>
  </si>
  <si>
    <t>arelgha@charlotte.edu</t>
  </si>
  <si>
    <t xml:space="preserve">Bioengineering Bone Cell Preservation Orthopedic Bioengineering
</t>
  </si>
  <si>
    <t>Bioengineering Bone Cell Preservation Orthopedic Bioengineering</t>
  </si>
  <si>
    <t>Terence J. Fagan</t>
  </si>
  <si>
    <t>tjfagan@charlotte.edu</t>
  </si>
  <si>
    <t>Konstantinos Falaggis</t>
  </si>
  <si>
    <t>kfalaggi@charlotte.edu</t>
  </si>
  <si>
    <t>Amir Ghasemi</t>
  </si>
  <si>
    <t>ah.ghasemi@charlotte.edu</t>
  </si>
  <si>
    <t>Control Theory and Applications
Autonomous Vehicles
Robotics
Human-Machine Interaction 
Haptics
Human Model Control 
Cube Satellites
Intelligent Structures</t>
  </si>
  <si>
    <t>Control Theory , Applications,
Autonomous Vehicles,
Robotics,
Human-Machine Interaction,
Haptics,
Human Model Control,
Cube Satellites,
Intelligent Structures</t>
  </si>
  <si>
    <t>M. Garry Hodgins</t>
  </si>
  <si>
    <t>mghodgin@charlotte.edu</t>
  </si>
  <si>
    <t>Robert E. Johnson</t>
  </si>
  <si>
    <t>robejohn@charlotte.edu</t>
  </si>
  <si>
    <t>$9,540 per year (in-state, full-time)</t>
  </si>
  <si>
    <t>Erina Joyee</t>
  </si>
  <si>
    <t>ejoyee@charlotte.edu</t>
  </si>
  <si>
    <t>Advanced manufacturing, bio-inspired design, soft robotics, data driven additive manufacturing, multi-material multi-scale hierarchical surfaces.</t>
  </si>
  <si>
    <t>Advanced manufacturing, bio-inspired design, soft robotics, data driven additive manufacturing, multi-material multi-scale hierarchical surfaces,</t>
  </si>
  <si>
    <t>Russell Keanini</t>
  </si>
  <si>
    <t>rkeanini@charlotte.edu</t>
  </si>
  <si>
    <t xml:space="preserve">Stochastic processes and applications Green's function methods and applications Fluid mechanics Applied math
</t>
  </si>
  <si>
    <t xml:space="preserve">Stochastic processes , applications Green's function methods , applications Fluid mechanics Applied math
</t>
  </si>
  <si>
    <t>ScoTTDavid Kelly</t>
  </si>
  <si>
    <t>scott.kelly@charlotte.edu</t>
  </si>
  <si>
    <t xml:space="preserve">Differential geometric methods in analytical mechanics Biologically-inspired robotic locomotion in fluids Nonlinear dynamics and control problems in systems biology
</t>
  </si>
  <si>
    <t xml:space="preserve">Differential geometric methods in analytical mechanics Biologically-inspired robotic locomotion in fluids Nonlinear dynamics , control problems in systems biology
</t>
  </si>
  <si>
    <t>Thomas Koch</t>
  </si>
  <si>
    <t>tkoch@charlotte.edu</t>
  </si>
  <si>
    <t>Christoph Kossack</t>
  </si>
  <si>
    <t>ckossack@charlotte.edu</t>
  </si>
  <si>
    <t>Kevin Lawton</t>
  </si>
  <si>
    <t>kmlawton@charlotte.edu</t>
  </si>
  <si>
    <t xml:space="preserve">CreePPrecision Machine Design Temperature Control
</t>
  </si>
  <si>
    <t xml:space="preserve">Creep Precision Machine Design Temperature Control
</t>
  </si>
  <si>
    <t>Charles Lee</t>
  </si>
  <si>
    <t>cyclee@charlotte.edu</t>
  </si>
  <si>
    <t xml:space="preserve">Heat and mass transfer Biomedical Engineering Biomathematical modeling Biodevices
</t>
  </si>
  <si>
    <t xml:space="preserve">Heat , mass transfer Biomedical Engineering Biomathematical modeling Biodevices
</t>
  </si>
  <si>
    <t>Bamdad Lessani</t>
  </si>
  <si>
    <t>blessani@charlotte.edu</t>
  </si>
  <si>
    <t>Computational fluid dynamics
large-eddy and direct numerical simulation (LES/DNS) of turbulent flows
low-Mach number flows
particle-laden flows</t>
  </si>
  <si>
    <t>Computational fluid dynamics,
large-eddy , direct numerical simulation (LES/DNS) of turbulent flows,
low-Mach number flows,
particle-laden flows</t>
  </si>
  <si>
    <t>Lin Ma</t>
  </si>
  <si>
    <t>l.ma@charlotte.edu</t>
  </si>
  <si>
    <t xml:space="preserve">Materials science
Electrochemical engineering
Rechargeable battery technology
</t>
  </si>
  <si>
    <t xml:space="preserve">Materials science,
Electrochemical engineering,
Rechargeable battery technology
</t>
  </si>
  <si>
    <t>John (Mac) McAlpine</t>
  </si>
  <si>
    <t>jmcalpin@charlotte.edu</t>
  </si>
  <si>
    <t>Edward P. Morse</t>
  </si>
  <si>
    <t>emorse@charlotte.edu</t>
  </si>
  <si>
    <t>Large Scale Metrology, Computational Metrology, Assembly Modeling and Analysis, Geometric Tolerancing and Standards, Computer Aided Manufacturing, and the Model Based Enterprise</t>
  </si>
  <si>
    <t>Large Scale Metrology, Computational Metrology, Assembly Modeling , Analysis, Geometric Tolerancing , St,ards, Computer Aided Manufacturing, the Model Based Enterprise</t>
  </si>
  <si>
    <t>Brigid A. Mullany</t>
  </si>
  <si>
    <t>bamullan@charlotte.edu</t>
  </si>
  <si>
    <t xml:space="preserve">Precision Surfaces Polishing Surface Roughness Measurements
</t>
  </si>
  <si>
    <t>Jose C.M. Outeiro</t>
  </si>
  <si>
    <t>jc.outeiro@charlotte.edu</t>
  </si>
  <si>
    <t>Surface integrity and its influence on the functional performance and lifespan of components,
Multi-physical/multi-scale modeling, simulation, and optimization of manufacturing processes,
Conventional and advanced machining processes,
Development of advanced manufacturing processes including hybrid processes,
Additive Manufacturing, Sustainable manufacturing, Digital twin.</t>
  </si>
  <si>
    <t>Surface integrity,
Multi-physical/multi-scale modeling, simulation, optimization of manufacturing processes,
Conventional , advanced machining processes,
Development of advanced manufacturing processes including hybrid processes,
Additive Manufacturing, Sustainable manufacturing, Digital twin,</t>
  </si>
  <si>
    <t>Jay Raja</t>
  </si>
  <si>
    <t>jraja@charlotte.edu</t>
  </si>
  <si>
    <t xml:space="preserve">Metrology Precision Engineering Computer Aided Manufacturing
</t>
  </si>
  <si>
    <t>Praveen Ramaprabhu</t>
  </si>
  <si>
    <t>pramapra@charlotte.edu</t>
  </si>
  <si>
    <t xml:space="preserve">Buoyancy-driven flows Turbulence, shock-turbulence interactions, Multiphase flows Computational Fluid Dynamics and High-performance computing
</t>
  </si>
  <si>
    <t xml:space="preserve">Buoyancy-driven flows Turbulence, shock-turbulence interactions, Multiphase flows Computational Fluid Dynamics , High-performance computing
</t>
  </si>
  <si>
    <t>Jeffrey Raquet</t>
  </si>
  <si>
    <t>jsraquet@charlotte.edu</t>
  </si>
  <si>
    <t xml:space="preserve">Computer Aided Engineering/Computer Aided Design Engineering Design Plastic Component Design Solid Mechanics Numerical Methods
</t>
  </si>
  <si>
    <t>Steven Schmid</t>
  </si>
  <si>
    <t>steve.schmid@charlotte.edu</t>
  </si>
  <si>
    <t xml:space="preserve">Additive manufacturing, metal forming, metal cutting, tribology, design. 
</t>
  </si>
  <si>
    <t xml:space="preserve">Additive manufacturing, metal forming, metal cutting, tribology, design
</t>
  </si>
  <si>
    <t>Ronald E. Smelser</t>
  </si>
  <si>
    <t>rsmelser@charlotte.edu</t>
  </si>
  <si>
    <t xml:space="preserve">Deformation Processing Materials Process and Structure Relations Failure of Materials
</t>
  </si>
  <si>
    <t>Deformation Processing Materials Process , Structure Relations Failure of Materials</t>
  </si>
  <si>
    <t>Kamia Smith</t>
  </si>
  <si>
    <t>ksmit505@charlotte.edu</t>
  </si>
  <si>
    <t>Stuart T. Smith</t>
  </si>
  <si>
    <t>stusmith@charlotte.edu</t>
  </si>
  <si>
    <t xml:space="preserve">Low Load Contact Mechanics. Probe Microscopy, X-Ray Interferometry. Proximity Sensing Techniques. Design and Manufacturing of Precision Instrumentation.
</t>
  </si>
  <si>
    <t>Low Load Contact Mechanics, Probe Microscopy, X-Ray Interferometry, Proximity Sensing Techniques, Design , Manufacturing of Precision Instrumentation,</t>
  </si>
  <si>
    <t>Tyler Stover</t>
  </si>
  <si>
    <t>tstover1@charlotte.edu</t>
  </si>
  <si>
    <t>Arun Vishnu Suresh Babu</t>
  </si>
  <si>
    <t>asures10@charlotte.edu</t>
  </si>
  <si>
    <t>Alireza Tabarraei</t>
  </si>
  <si>
    <t>atabarra@charlotte.edu</t>
  </si>
  <si>
    <t xml:space="preserve">Computational solid mechanics Multiscale modeling of composite and nano materials Failure mechanics of composite materials Mechanics of materials under dynamic loads such as blast or shock
</t>
  </si>
  <si>
    <t>Computational solid mechanics Multiscale modeling of composite , nano materials Failure mechanics of composite materials Mechanics of materials under dynamic loads such as blast or shock</t>
  </si>
  <si>
    <t>Mesbah Uddin</t>
  </si>
  <si>
    <t>muddin@charlotte.edu</t>
  </si>
  <si>
    <t>Computational Investigations of Jets, Wakes, Boundary Layers and Transitional Flows
Aerodynamics of Small Aerial Vehicle
Flow Separation and Control
Reduced Order Modeling of External Flows and Aerodynamic Interactions
Data Driven Turbulence Modeling
Machine Learning Methods in Fluid Flow Classification
Hypersonic Aerodynamics and Shock-boundary Layer Interactions
Aerodynamics and Aeroacoustics of Ground Vehicles
Race and Street Car Aerodynamics</t>
  </si>
  <si>
    <t>Computational Investigations of Jets, Wakes, Boundary Layers , Transitional Flows,
Aerodynamics of Small Aerial Vehicle,
Flow Separation , Control,
Reduced Order Modeling of External Flows , Aerodynamic Interactions,
Data Driven Turbulence Modeling,
Machine Learning Methods in Fluid Flow Classification,
Hypersonic Aerodynamics , Shock-boundary Layer Interactions,
Aerodynamics , Aeroacoustics of Ground Vehicles,
Race , Street Car Aerodynamics</t>
  </si>
  <si>
    <t>Regina Vrikkis</t>
  </si>
  <si>
    <t>regina.vrikkis@charlotte.edu</t>
  </si>
  <si>
    <t>Qiuming Wei</t>
  </si>
  <si>
    <t>qwei@charlotte.edu</t>
  </si>
  <si>
    <t xml:space="preserve">Nanocrystalline materials Ceramics Carbon related advanced coatings Dynamic behavior of advanced materials X-ray and transmission electron microscopy of advanced materials Thermodynamics of advanced materials
</t>
  </si>
  <si>
    <t xml:space="preserve">Nanocrystalline materials Ceramics Carbon related advanced coatings Dynamic behavior of advanced materials X-ray , transmission electron microscopy of advanced materials,Thermodynamics of advanced materials
</t>
  </si>
  <si>
    <t>Artur Wolek</t>
  </si>
  <si>
    <t>awolek@charlotte.edu</t>
  </si>
  <si>
    <t>Optimal motion planning
Vehicle dynamics, estimation, and control
Multi-robot coordination and cooperative sensing
Marine robotics and unmanned aircraft</t>
  </si>
  <si>
    <t>Optimal motion planning,
Vehicle dynamics, estimation, control,
Multi-robot coordination , cooperative sensing,
Marine robotics , unmanned aircraft</t>
  </si>
  <si>
    <t>Jun Xu</t>
  </si>
  <si>
    <t>jxu14@charlotte.edu</t>
  </si>
  <si>
    <t xml:space="preserve"> Battery safety, durability and multifunctionality (including multiphysics modeling, multiscale simulation, machine-learning based modeling
and operando characterization of safety behaviors),
(2)   Theoretical analysis and design of advanced materials &amp;amp, structures for impact protection/mitigation.
</t>
  </si>
  <si>
    <t xml:space="preserve"> Battery safety, durability , multifunctionality,
Theoretical analysis , design of advanced materials &amp;amp, structures for impact protection/mitigation</t>
  </si>
  <si>
    <t>Terry T. Xu</t>
  </si>
  <si>
    <t>ttxu@charlotte.edu</t>
  </si>
  <si>
    <t xml:space="preserve">Synthesis and characterization of low-dimensional nanostructures Mechanical property study of low-dimensional nanostructures Functional nanocomposites
 </t>
  </si>
  <si>
    <t>Synthesis , characterization of low-dimensional nanostructures Mechanical property study of low-dimensional nanostructures, Functional nanocomposites</t>
  </si>
  <si>
    <t>In Hong Yang</t>
  </si>
  <si>
    <t>InHong.Yang@charlotte.edu</t>
  </si>
  <si>
    <t>Haitao Zhang</t>
  </si>
  <si>
    <t>hzhang3@charlotte.edu</t>
  </si>
  <si>
    <t xml:space="preserve">Synthesis and characterization of thin films and nanostructures of functional materials Electrical and optical measurements Device fabrication for electronic and photonic applications
 </t>
  </si>
  <si>
    <t>Synthesis , characterization of thin films , nanostructures of functional materials Electrical , optical measurements Device fabrication for electronic , photonic applications</t>
  </si>
  <si>
    <t>Naiquan (Nigel) Zheng</t>
  </si>
  <si>
    <t>nzheng@charlotte.edu</t>
  </si>
  <si>
    <t xml:space="preserve">Biomechanics 3-D Motion Analysis Sports Medicine and Orthopedic Bioengineering Computer Modeling of Human Joints and Locomotion
</t>
  </si>
  <si>
    <t>Biomechanics 3-D Motion Analysis Sports Medicine , Orthopedic Bioengineering Computer Modeling of Human Joints , Locomotion</t>
  </si>
  <si>
    <t>University of Rochester (Hajim)</t>
  </si>
  <si>
    <t>Abdolrahim, Niaz</t>
  </si>
  <si>
    <t>niaz@rochester.edu | (585) 276-7817</t>
  </si>
  <si>
    <t>Interests Multiscale Modeling of Materials, Nanoporous Materials, Nanowires, Thin Films, Atomistic Simulations</t>
  </si>
  <si>
    <t>Multiscale Modeling of Materials, Nanoporous Materials, Nanowires, Thin Films, Atomistic Simulations</t>
  </si>
  <si>
    <t>Aluie, Hussein</t>
  </si>
  <si>
    <t>hussein@rochester.edu | (585) 276-7170</t>
  </si>
  <si>
    <t>Interests Turbulence, Geophysical Fluid Dynamics, Compressible Flows, Magnetohydrodynamics, Hydrodynamic Instabilities</t>
  </si>
  <si>
    <t>Turbulence, Geophysical Fluid Dynamics, Compressible Flows, Magnetohydrodynamics, Hydrodynamic Instabilities</t>
  </si>
  <si>
    <t>Askari, Hesam</t>
  </si>
  <si>
    <t>askari@rochester.edu</t>
  </si>
  <si>
    <t>Interests Mechanics of Solids and soft matter, Granular systems, Stocahstic response , Manufacturing techniques</t>
  </si>
  <si>
    <t>Mechanics of Solids , soft matter, Granular systems, Stocahstic response , Manufacturing techniques</t>
  </si>
  <si>
    <t>Athauda, Anushika</t>
  </si>
  <si>
    <t>a.athauda@rochester.edu</t>
  </si>
  <si>
    <t>Interests Condensed matter physics, Novel materials, Superconductivity, Single crystal and powder diffraction, Synthesizing polycrystalline samples, Neutron diffraction, X-Ray diffraction</t>
  </si>
  <si>
    <t>Condensed matter physics, Novel materials, Superconductivity, Single crystal , powder diffraction, Synthesizing polycrystalline samples, Neutron diffraction, X-Ray diffraction</t>
  </si>
  <si>
    <t>Betti, Riccardo</t>
  </si>
  <si>
    <t>riccardo.betti@rochester.edu | (585) 274-1198</t>
  </si>
  <si>
    <t>Interests Thermonuclear plasmas, Controlled thermonuclear fusion, Magnetic and inertial confinement fusion, High-energy-density physics</t>
  </si>
  <si>
    <t>Thermonuclear plasmas, Controlled thermonuclear fusion, Magnetic , inertial confinement fusion, High-energy-density physics</t>
  </si>
  <si>
    <t>Boster, Kimberly</t>
  </si>
  <si>
    <t>kboster@ur.rochester.edu</t>
  </si>
  <si>
    <t>Interests glymphatic transport, cerebral fluid mechanics, phase change heat transfer, image processing and computer vision</t>
  </si>
  <si>
    <t>glymphatic transport, cerebral fluid mechanics, phase change heat transfer, image processing , computer vision</t>
  </si>
  <si>
    <t>Burnham-Fay, Ethan</t>
  </si>
  <si>
    <t>ethan.burnham-fay@rochester.edu</t>
  </si>
  <si>
    <t>Clark, Robert</t>
  </si>
  <si>
    <t>rclark@rochester.edu</t>
  </si>
  <si>
    <t>Interests Dynamic systems, Measurement and control, Single-molecule mechanics, Bio-nano-manufacturing, Scaffolds for tissue engineering</t>
  </si>
  <si>
    <t>Dynamic systems, Measurement , control, Single-molecule mechanics, Bio-nano-manufacturing, Scaffolds for tissue engineering</t>
  </si>
  <si>
    <t>Collins, Gilbert 'Rip'</t>
  </si>
  <si>
    <t>gcollins@lle.rochester.edu | (585) 275-0255</t>
  </si>
  <si>
    <t>Interests Laboratory Astrophysics, High Pressure/High Energy Density Physics, Condensed Matter, Planetary Science, Plasma Physics , Thermonuclear Fusion</t>
  </si>
  <si>
    <t>Laboratory Astrophysics, High Pressure/High Energy Density Physics, Condensed Matter, Planetary Science, Plasma Physics , Thermonuclear Fusion</t>
  </si>
  <si>
    <t>Davies, Jonathan</t>
  </si>
  <si>
    <t>jdav@lle.rochester.edu</t>
  </si>
  <si>
    <t>Interests Laser-produced plasmas, Magnetic fields, Fusion, Plasma diagnostics</t>
  </si>
  <si>
    <t>Laser-produced plasmas, Magnetic fields, Fusion, Plasma diagnostics</t>
  </si>
  <si>
    <t>Dias, Ranga</t>
  </si>
  <si>
    <t>rdias@rochester.edu | (585) 276-4112</t>
  </si>
  <si>
    <t>Interests High Temperature superconductivity, Quantum phase transitions, Dynamic response of solids, Novel material synthesis, High pressure NV optical magnetometry, High energy density physics</t>
  </si>
  <si>
    <t>High Temperature superconductivity, Quantum phase transitions, Dynamic response of solids, Novel material synthesis, High pressure NV optical magnetometry, High energy density physics</t>
  </si>
  <si>
    <t>Dissanayake, Sachith</t>
  </si>
  <si>
    <t>sachith.dissanayake@rochester.edu</t>
  </si>
  <si>
    <t>Interests Condensed matter physics, Quantum materials, Superconductivity, Superconductors, Frustrated magnets, Multiferroics, Spin, lattice, and orbital degrees of freedom of novel quantum phases, Neutron scattering, X-diffraction</t>
  </si>
  <si>
    <t>Condensed matter physics, Quantum materials, Superconductivity, Superconductors, Frustrated magnets, Multiferroics, Spin, lattice, orbital degrees of freedom of novel quantum phases, Neutron scattering, X-diffraction</t>
  </si>
  <si>
    <t>$1,890 per credit (full-time)</t>
  </si>
  <si>
    <t>Ellis, Jonathan D.</t>
  </si>
  <si>
    <t>j.d.ellis@rochester.edu</t>
  </si>
  <si>
    <t>Interests Instrumentation, Metrology, Optical Interferometry, Precision Engineering, Machine Design</t>
  </si>
  <si>
    <t>Instrumentation, Metrology, Optical Interferometry, Precision Engineering, Machine Design</t>
  </si>
  <si>
    <t>Funkenbusch, Paul D.</t>
  </si>
  <si>
    <t>paul.funkenbusch@rochester.edu | (585) 275-4074</t>
  </si>
  <si>
    <t>Interests Microstructure, properties, and processing of materials, Variability in materials and processing especially as related to biomaterials and mechanics, Experimental design/robust design</t>
  </si>
  <si>
    <t>Microstructure, properties, processing of materials, Variability in materials , processing especially as related to biomaterials , mechanics, Experimental design/robust design</t>
  </si>
  <si>
    <t>Genberg, Victor L.</t>
  </si>
  <si>
    <t>genberg@sigmadyne.com | (585) 235-7460</t>
  </si>
  <si>
    <t>Interests Finite element analysis, Optimum structural design using nonlinear programming, Structural analysis of precision optical structures, Integrated opto-mechanical analysis and design</t>
  </si>
  <si>
    <t>Finite element analysis, Optimum structural design using nonlinear programming, Structural analysis of precision optical structures, Integrated opto-mechanical analysis , design</t>
  </si>
  <si>
    <t>Goncharov, Valeri</t>
  </si>
  <si>
    <t>vgon@lle.rochester.edu | (585) 275-5877</t>
  </si>
  <si>
    <t>Interests Computational physics, Fluid mechanics, Partial differential equations with applications in fluid mechanics, Hydrodynamic instabilities, Plasma physics</t>
  </si>
  <si>
    <t>Computational physics, Fluid mechanics, Partial differential equations with applications in fluid mechanics, Hydrodynamic instabilities, Plasma physics</t>
  </si>
  <si>
    <t>Hu, Suxing</t>
  </si>
  <si>
    <t>shu@lle.rochester.edu | (585) 273-3794</t>
  </si>
  <si>
    <t>Interests Theoretical/Computational High-Energy-Density Physics, Inertial Confinement Fusion, Warm-/Hot-Dense Matter, Intense Laser-Matter Interactions, Ultrafast Dynamics, Attosecond Physics, Computational Atomic, Molecular, Optical Physics</t>
  </si>
  <si>
    <t>Theoretical/Computational High-Energy-Density Physics, Inertial Confinement Fusion, Warm-/Hot-Dense Matter, Intense Laser-Matter Interactions, Ultrafast Dynamics, Attosecond Physics, Computational Atomic, Molecular, Optical Physics</t>
  </si>
  <si>
    <t>Kelley, Douglas H.</t>
  </si>
  <si>
    <t>d.h.kelley@rochester.edu</t>
  </si>
  <si>
    <t>Interests Fluid dynamics of the brain’s waste removal system, Mixing in the inner ear, Liquid metal batteries and grid-scale energy storage, Mixing in metals casting, Coherent structures in reactive mixing</t>
  </si>
  <si>
    <t>Fluid dynamics of the brain’s waste removal system, Mixing in the inner ear, Liquid metal batteries , grid-scale energy storage, Mixing in metals casting, Coherent structures in reactive mixing</t>
  </si>
  <si>
    <t>Lambropoulos, John</t>
  </si>
  <si>
    <t>john.lambropoulos@rochester.edu</t>
  </si>
  <si>
    <t>Interests Micromechanics, Mechanics &amp; Materials Issues in Optics Manufacturing, Defect Generation During Crystal Growth</t>
  </si>
  <si>
    <t>Micromechanics, Mechanics &amp; Materials Issues in Optics Manufacturing, Defect Generation During Crystal Growth</t>
  </si>
  <si>
    <t>Lerner, Amy L.</t>
  </si>
  <si>
    <t>amlerner@me.rochester.edu | (585) 275-7847</t>
  </si>
  <si>
    <t>Interests Orthopaedic biomechanics, Biomechanics of bone growth and development, Medical image based modeling of knee mechanics</t>
  </si>
  <si>
    <t>Orthopaedic biomechanics, Biomechanics of bone growth , development, Medical image based modeling of knee mechanics</t>
  </si>
  <si>
    <t>Muir, Christopher</t>
  </si>
  <si>
    <t>christopher.muir@rochester.edu</t>
  </si>
  <si>
    <t>Nam, Jong Hoon</t>
  </si>
  <si>
    <t>nam@me.rochester.edu | (585) 273-4555</t>
  </si>
  <si>
    <t>Interests Biophysics of inner ear sensory cells, Cell and tissue mechanics</t>
  </si>
  <si>
    <t>Biophysics of inner ear sensory cells, Cell , tissue mechanics</t>
  </si>
  <si>
    <t>Palastro, John</t>
  </si>
  <si>
    <t>jpal@lle.rochester.edu</t>
  </si>
  <si>
    <t>Interests Laser matter interactions, nonlinear optics, plasma-based accelerators and radiation sources</t>
  </si>
  <si>
    <t>Laser matter interactions, nonlinear optics, plasma-based accelerators , radiation sources</t>
  </si>
  <si>
    <r>
      <rPr>
        <u/>
        <sz val="10"/>
        <color rgb="FF000000"/>
        <rFont val="Arial"/>
        <family val="2"/>
      </rPr>
      <t>Perucchio, Renato</t>
    </r>
    <r>
      <rPr>
        <sz val="10"/>
        <color rgb="FF000000"/>
        <rFont val="Arial"/>
        <family val="2"/>
      </rPr>
      <t xml:space="preserve"> (Chair)</t>
    </r>
  </si>
  <si>
    <t>rlp@me.rochester.edu | (585) 275-4071</t>
  </si>
  <si>
    <t>Interests Computational solid and structural mechanics, Engineering practices in Classical Antiquity</t>
  </si>
  <si>
    <t>Computational solid , structural mechanics, Engineering practices in Classical Antiquity</t>
  </si>
  <si>
    <t>Pickel, Andrea</t>
  </si>
  <si>
    <t>apickel@ur.rochester.edu | (585) 275-9142</t>
  </si>
  <si>
    <t>Interests Nanoscale heat transfer, luminescence nanothermometry, single-nanoparticle imaging and spectroscopy, high-temperature thermal metrology, electrothermal measurements</t>
  </si>
  <si>
    <t>Nanoscale heat transfer, luminescence nanothermometry, single-nanoparticle imaging , spectroscopy, high-temperature thermal metrology, electrothermal measurements</t>
  </si>
  <si>
    <t>Polsin, Danae</t>
  </si>
  <si>
    <t>dpolsin@ur.rochester.edu</t>
  </si>
  <si>
    <t>Interests x-ray diffraction and crystallography, shock waves, inertial confinement fusion, high-energy-density physics</t>
  </si>
  <si>
    <t>x-ray diffraction , crystallography, shock waves, inertial confinement fusion, high-energy-density physics</t>
  </si>
  <si>
    <t>Regan, Sean</t>
  </si>
  <si>
    <t>sreg@lle.rochester.edu</t>
  </si>
  <si>
    <t>Interests Inertial Confinement Fusion, High Energy Density Physics, Novel Diagnostic Development, X-ray spectroscopy and imaging, Neutron and Charged Particle Spectroscopy and Imaging, 3-D Diagnostics</t>
  </si>
  <si>
    <t>Inertial Confinement Fusion, High Energy Density Physics, Novel Diagnostic Development, X-ray spectroscopy , imaging, Neutron , Charged Particle Spectroscopy , Imaging, 3-D Diagnostics</t>
  </si>
  <si>
    <t>Ren, Chuang</t>
  </si>
  <si>
    <t>chuang.ren@rochester.edu | (585) 275-2048</t>
  </si>
  <si>
    <t>Interests High energy density physics (HEDP), Plasma astrophysics, High performance computing</t>
  </si>
  <si>
    <t>High energy density physics (HEDP), Plasma astrophysics, High performance computing</t>
  </si>
  <si>
    <t>Rygg, J. Ryan</t>
  </si>
  <si>
    <t>j.r.rygg@rochester.edu | (585) 475-1549</t>
  </si>
  <si>
    <t>Interests Experimental high-energy-density physics, shock waves, inertial confinement fusion</t>
  </si>
  <si>
    <t>Experimental high-energy-density physics, shock waves, inertial confinement fusion</t>
  </si>
  <si>
    <t>Sefkow, Adam</t>
  </si>
  <si>
    <t>asef@lle.rochester.edu | (585) 276-4130</t>
  </si>
  <si>
    <t>Interests Inertial confinement fusion, magneto-inertial fusion, high energy density physics, laser-plasma interaction, computational physics, magnetohydrodynamics, particle-in-cell simulations</t>
  </si>
  <si>
    <t>Inertial confinement fusion, magneto-inertial fusion, high energy density physics, laser-plasma interaction, computational physics, magnetohydrodynamics, particle-in-cell simulations</t>
  </si>
  <si>
    <t>Shang, Jessica</t>
  </si>
  <si>
    <t>j.k.shang@rochester.edu | (585) 275-2730</t>
  </si>
  <si>
    <t>Interests Experimental fluid mechanics, biological fluid systems, fluid-structure interactions, vortex dynamics, HED hydrodynamics and transport</t>
  </si>
  <si>
    <t>Experimental fluid mechanics, biological fluid systems, fluid-structure interactions, vortex dynamics, HED hydrodynamics , transport</t>
  </si>
  <si>
    <t>Singh, Sobhit</t>
  </si>
  <si>
    <t>s.singh@rochester.edu</t>
  </si>
  <si>
    <t>Interests Novel quantum materials (bulk and 2D), Theoretical condensed matter physics, Density-functional theory, Polar metals, Ferroelectrics, Magnetism, Superconductivity, Topological phases of quantum matter</t>
  </si>
  <si>
    <t>Novel quantum materials (bulk , 2D), Theoretical condensed matter physics, Density-functional theory, Polar metals, Ferroelectrics, Magnetism, Superconductivity, Topological phases of quantum matter</t>
  </si>
  <si>
    <t>Slane, Laura</t>
  </si>
  <si>
    <t>lslane@ur.rochester.edu | (585) 276-6872</t>
  </si>
  <si>
    <t>Interests Soft tissue mechanics, Quantitative ultrasound, Orthopaedic biomechanics, Injury and rehabilitation, ScholarshiCP and learning</t>
  </si>
  <si>
    <t>Soft tissue mechanics, Quantitative ultrasound, Orthopaedic biomechanics, Injury , rehabilitation, ScholarshiCP , learning</t>
  </si>
  <si>
    <t>Theobald, Wolfgang</t>
  </si>
  <si>
    <t>wthe@lle.rochester.edu</t>
  </si>
  <si>
    <t>Interests Inertial Confinement Fusion, Diagnostic Development for High Energy Density Physics, High-Intensity Short-Pulse Laser-Matter Interaction</t>
  </si>
  <si>
    <t>Inertial Confinement Fusion, Diagnostic Development for High Energy Density Physics, High-Intensity Short-Pulse Laser-Matter Interaction</t>
  </si>
  <si>
    <t>University of South Carolina</t>
  </si>
  <si>
    <t>Ahmed A. Alshareef</t>
  </si>
  <si>
    <t>alshareef@sc.edu</t>
  </si>
  <si>
    <t>Dr. Alshareef's s include injury biomechanics, experimental characterization of biological tissue, computational biomechanics, and magnetic resonance imaging (MRI).</t>
  </si>
  <si>
    <t>injury biomechanics, experimental characterization of biological tissue, computational biomechanics, magnetic resonance imaging (MRI),</t>
  </si>
  <si>
    <t>Sourav Banerjee</t>
  </si>
  <si>
    <t>banerjes@cec.sc.edu</t>
  </si>
  <si>
    <t>Dr. Banerjee's expertise and  include Computational NDE/SHM, Material State Awareness, Smart Structure/Energy Harvesting, Mechatronics/Robotics, Biomimetic, and Metamaterials.</t>
  </si>
  <si>
    <t>Computational NDE/SHM, Material State Awareness, Smart Structure/Energy Harvesting, Mechatronics/Robotics, Biomimetic, Metamaterials,</t>
  </si>
  <si>
    <t>Abdel-Moez E. Bayoumi</t>
  </si>
  <si>
    <t>bayoumi@sc.edu</t>
  </si>
  <si>
    <t>Dr. Bayoumi's current areas of interest are (1) study of Condition-Based Maintenance (CBM) on military aircraft, (2) Micro-Electro Mechanical Systems (MEMS) and Mechatronics, and (3) design and applications of efficient energy resources and systems.</t>
  </si>
  <si>
    <t>study of Condition-Based Maintenance (CBM) on military aircraft, Micro-Electro Mechanical Systems (MEMS) , Mechatronics, (3) design , applications of efficient energy resources , systems,</t>
  </si>
  <si>
    <t>Theodore M. Besmann</t>
  </si>
  <si>
    <t>besmann@cec.sc.edu</t>
  </si>
  <si>
    <t>Dr. Besmann is a Pof Mechanical Engineering. His s are related to thermochemical experiment and modeling for nuclear fuel development and in-reactor behavior, and development of advanced nuclear waste forms.</t>
  </si>
  <si>
    <t xml:space="preserve"> thermochemical experiment , modeling for nuclear fuel development , in-reactor behavior, development of advanced nuclear waste forms,</t>
  </si>
  <si>
    <t>Dan Gabriel Cacuci</t>
  </si>
  <si>
    <t>cacuci@cec.sc.edu</t>
  </si>
  <si>
    <t>Director, Center of Economic Excellence in Nuclear Science and Energy.</t>
  </si>
  <si>
    <t>Center of Economic Excellence in Nuclear Science , Energy</t>
  </si>
  <si>
    <t>Fanglin (Frank) Chen</t>
  </si>
  <si>
    <t>chenfa@cec.sc.edu</t>
  </si>
  <si>
    <t>Dr. Chen’s s include synthesis and characterization of materials for energy conversion and storage, catalysis and electrocatalysis, composition, structure &amp; property relationship, ionic and electronic conducting ceramics, solid oxide fuel cells, solid oxide electrolysis cells, and gas separation membranes.</t>
  </si>
  <si>
    <t>synthesis , characterization of materials for energy conversion , storage, catalysis , electrocatalysis, composition, structure &amp; property relationship, ionic , electronic conducting ceramics, solid oxide fuel cells, solid oxide electrolysis cells, gas separation membranes</t>
  </si>
  <si>
    <t>Wout De Backer</t>
  </si>
  <si>
    <t>wdbacker@cec.sc.edu</t>
  </si>
  <si>
    <t>Wout De Backer is anAssistant Pat the Thermoplastics 3D Printing Laboratory and SmartState Center for Multi-functional Materials and Structures.</t>
  </si>
  <si>
    <t>Thermoplastics 3D Printing Laboratory , SmartState Center for Multi-functional Materials , Structures,</t>
  </si>
  <si>
    <t>Xiaomin Deng</t>
  </si>
  <si>
    <t>deng@cec.sc.edu</t>
  </si>
  <si>
    <t>Dr. Deng's research and interests include nanomechanics/atomistic simulation, fracture mechanics/crack-growth simulation, manufacturing process modeling/simulation (friction stir welding, metal cutting, GMA welding).</t>
  </si>
  <si>
    <t>nanomechanics/atomistic simulation, fracture mechanics/crack-growth simulation, manufacturing process modeling/simulation (friction stir welding, metal cutting, GMA welding)</t>
  </si>
  <si>
    <t>Austin Downey</t>
  </si>
  <si>
    <t>austindowney@sc.edu</t>
  </si>
  <si>
    <t>Dr. Downey's research focuses on enhancing the safety and serviceability of structures through structural health monitoring and control. Topics include the investigation of algorithms enabling condition assessment, characterization of sensors, and design and development of structural control systems.</t>
  </si>
  <si>
    <t>enhancing the safety , serviceability of structures through structural health monitoring , control, Topics include the investigation of algorithms enabling condition assessment, characterization of sensors, design , development of structural control systems</t>
  </si>
  <si>
    <t>Frederick L. Dryer</t>
  </si>
  <si>
    <t>dryerf@mailbox.sc.edu</t>
  </si>
  <si>
    <t>Dr. Dryer has over 45 years of applications-driven fundamental research experience in thermal sciences relevant to space and air-breathing propulsion, fossil and renewable energy conversion related to ground transportation and stationary power generation, combustion-related pollutant mitigation, and fire safety.</t>
  </si>
  <si>
    <t>thermal sciences relevant to space , air-breathing propulsion, fossil , renewable energy conversion related to ground transportation , stationary power generation, combustion-related pollutant mitigation, fire safety</t>
  </si>
  <si>
    <t>Ruixian Fang</t>
  </si>
  <si>
    <t>fangr@cec.sc.edu</t>
  </si>
  <si>
    <t>Dr. Fang's research and interests are in the areas of Thermal-hydraulic safety analysis of advanced small modular reactor, Predictive modeling, sensitivity/uncertainty method for critical/subcritical nuclear systems, Heat transfer and fluid flow with phase changes, Applied Computational Fluid Dynamic (CFD), Thermal management of power electronics, Micro-channels and synthetic jets, and System-level thermal modeling and simulation.</t>
  </si>
  <si>
    <t>Thermal-hydraulic safety analysis of advanced small modular reactor, Predictive modeling, sensitivity/uncertainty method for critical/subcritical nuclear systems, Heat transfer , fluid flow with phase changes, Applied Computational Fluid Dynamic (CFD), Thermal management of power electronics, Micro-channels , synthetic jets, System-level thermal modeling , simulation</t>
  </si>
  <si>
    <t>Tanvir I. Farouk</t>
  </si>
  <si>
    <t>farouk@cec.sc.edu</t>
  </si>
  <si>
    <t>Dr. Farouk’s expertise is in the general area of Reacting Thermal Fluid Sciences involving plasma, combustion multiphase reacting flow, chemical-kinetics-turbulence interaction and energy systems. His s are in multi-scale, multi-physics computational model development for studying complex phenomena e.g. plasma discharge, micro-nano scale systems.</t>
  </si>
  <si>
    <t>Reacting Thermal Fluid Sciences involving plasma, combustion multiphase reacting flow, chemical-kinetics-turbulence interaction , energy systems, His s are in multi-scale, multi-physics computational model development for studying complex phenomena e,g, plasma discharge, micro-nano scale systems</t>
  </si>
  <si>
    <t>$15,709 per year (in-state, full-time)</t>
  </si>
  <si>
    <t>Victor Giurgiutiu (Jurjutzu)</t>
  </si>
  <si>
    <t>victorg@sc.edu</t>
  </si>
  <si>
    <t>Dr. Giurgiutiu's s span active materials, smart structures, structural health monitoring, mechatronics, and other multi-physics applied mechanics topics. Dr. Giurgiutiu has published several books and book chapters and many journal articles and conference papers. He is Fellow of the Royal Aeronautical Society (RAeS) and of the American Society of Mechanical Engineers (ASME). He is Associate Editor of the Aeronautical Journal of RAeS.</t>
  </si>
  <si>
    <t>active materials, smart structures, structural health monitoring, mechatronics, other multi-physics applied mechanics topics, Dr, Giurgiutiu has published several books , book chapters , many journal articles , conference papers, He is Fellow of the Royal Aeronautical Society (RAeS) , of the American Society of Mechanical Engineers (ASME), He is Associate Editor of the Aeronautical Journal of RAeS,</t>
  </si>
  <si>
    <t>Odell Glenn Jr.</t>
  </si>
  <si>
    <t>glennjro@email.sc.edu</t>
  </si>
  <si>
    <t>Dr. Glenn’s technical research involved developing a novel approach to potentially reducing the potency of asthma triggers produced in indoor environments. In any environment, allergens are bound to dry dust particles. The effectiveness of using dry ice, essential oils with CO2 through CFD modeling and an ELISA assay was investigated. Dr. Glenn’s present passion is S.T.E.M education along with engineering education research.</t>
  </si>
  <si>
    <t>developing a novel approach to potentially reducing the potency of asthma triggers produced in indoor environments, In any environment, allergens are bound to dry dust particles</t>
  </si>
  <si>
    <t>Joshua Gray</t>
  </si>
  <si>
    <t>jgray@mailbox.sc.edu</t>
  </si>
  <si>
    <t>Joshua Gray is an experienced engineer with a diverse background ranging from educational instruction and mentoring roles, extensive experience in research and development environments, entrepreneurial start-ups and community-based non-profit social work.</t>
  </si>
  <si>
    <t>educational instruction , mentoring roles, extensive experience in research , development environments, entrepreneurial start-ups , community-based non-profit social work,</t>
  </si>
  <si>
    <t>Andrew J. Gross</t>
  </si>
  <si>
    <t>andrewgross@sc.edu</t>
  </si>
  <si>
    <t>With a background in solid mechanics, interests are centered on the mechanical properties of materials. Specific topics of interest include Design, fabrication, and characterization of architected materials, especially those with nanoscale constituents, the use of full field experimental data for the calibration of material models, plasticity and fracture behaviors of materials.</t>
  </si>
  <si>
    <t>Design, fabrication, characterization of architected materials, especially those with nanoscale constituents, the use of full field experimental data for the calibration of material models, plasticity , fracture behaviors of materials</t>
  </si>
  <si>
    <t>Zafer Gürdal</t>
  </si>
  <si>
    <t>gurdal@cec.sc.edu</t>
  </si>
  <si>
    <t>Dr. Gürdal’s s are in structural and multidisciplinary design and optimization, design and optimization of composite materials and structures, and computational methods for design with manufacturing emphasis. His research has largely been funded by NASA Langley Research Center and Air Force Office of Scientific Research (AFOSR) in the US, and EU Research Frame work programs in Europe.</t>
  </si>
  <si>
    <t>structural , multidisciplinary design , optimization, design , optimization of composite materials , structures, computational methods for design with manufacturing emphasis</t>
  </si>
  <si>
    <t>Ramy Harik</t>
  </si>
  <si>
    <t>harik@cec.sc.edu</t>
  </si>
  <si>
    <t>Dr. Harik’s expertise and fundamental s is in Advanced and Smart Manufacturing. In Advanced Manufacturing, Dr. Harik is concentrated on Automated Fiber Placement and Additive Manufacturing. Topics like Automation of Process Planning, Optimization of Build Orientation and toolpath trajectories, Design for Manufacturing and Inspection constitutes the essence of his interest. In Smart Manufacturing,</t>
  </si>
  <si>
    <t xml:space="preserve"> Advanced , Smart Manufacturing, Additive Manufacturing, Topics like Automation of Process Planning, Optimization of Build Orientation , toolpath trajectories, Design for Manufacturing , Inspection constitutes the essence of his interest</t>
  </si>
  <si>
    <t>Ming Hu</t>
  </si>
  <si>
    <t>hu@sc.edu</t>
  </si>
  <si>
    <t>Dr. Hu's s include modeling and simulation of micro-/nano-scale thermal transport in novel energy systems, in particular low-dimensional materials and nanostructures, and energy nanotechnology, interfacial heat transfer for advanced thermal management, and multi-scale and multiphysics modeling of complex energy transport process.</t>
  </si>
  <si>
    <t>modeling , simulation of micro-/nano-scale thermal transport in novel energy systems, in particular low-dimensional materials , nanostructures, energy nanotechnology, interfacial heat transfer for advanced thermal management, multi-scale , multiphysics modeling of complex energy transport process</t>
  </si>
  <si>
    <r>
      <rPr>
        <u/>
        <sz val="10"/>
        <color rgb="FF000000"/>
        <rFont val="Arial"/>
        <family val="2"/>
      </rPr>
      <t>Kevin Huang</t>
    </r>
    <r>
      <rPr>
        <sz val="10"/>
        <color rgb="FF000000"/>
        <rFont val="Arial"/>
        <family val="2"/>
      </rPr>
      <t xml:space="preserve"> (Chair)</t>
    </r>
  </si>
  <si>
    <t>huang46@cec.sc.edu</t>
  </si>
  <si>
    <t>Dr. Huang's s include solid oxide electrochemical cells, storage batteries, gas separation membranes, solid state defect chemistry and electrochemistry.</t>
  </si>
  <si>
    <t>solid oxide electrochemical cells, storage batteries, gas separation membranes, solid state defect chemistry , electrochemistry</t>
  </si>
  <si>
    <t>Xinyu Huang</t>
  </si>
  <si>
    <t>huangxin@cec.sc.edu</t>
  </si>
  <si>
    <t>Dr. Huang's s include mechanics and durability of functional and structural composite materials, in particular, composite materials in polymer electrolyte membrane fuel cells, solid oxide fuel cells, structural composites, and coatings.</t>
  </si>
  <si>
    <t xml:space="preserve"> mechanics , durability of functional , structural composite materials, in particular, composite materials in polymer electrolyte membrane fuel cells, solid oxide fuel cells, structural composites, coatings</t>
  </si>
  <si>
    <t>Jamil A. Khan</t>
  </si>
  <si>
    <t>khan@cec.sc.edu</t>
  </si>
  <si>
    <t>Dr. Khan's  include modeling of manufacturing processes, temperature distribution during machining, heat transfer and fluid flow with phase change, computational and experimental fluid dynamics related to contaminants transport in rooms, heat transfer in porous media, micro-channel heat transfer, thermodynamic analysis of IC Engines, CFD analysis of combustion processes etc.</t>
  </si>
  <si>
    <t>modeling of manufacturing processes, temperature distribution during machining, heat transfer , fluid flow with phase change, computational , experimental fluid dynamics related to contaminants transport in rooms, heat transfer in porous media, micro-channel heat transfer, thermodynamic analysis of IC Engines, CFD analysis of combustion processes</t>
  </si>
  <si>
    <r>
      <rPr>
        <u/>
        <sz val="10"/>
        <color rgb="FF000000"/>
        <rFont val="Arial"/>
        <family val="2"/>
      </rPr>
      <t>Travis W. Knight</t>
    </r>
    <r>
      <rPr>
        <sz val="10"/>
        <color rgb="FF000000"/>
        <rFont val="Arial"/>
        <family val="2"/>
      </rPr>
      <t xml:space="preserve"> (CHair)</t>
    </r>
  </si>
  <si>
    <t>twknight@sc.edu</t>
  </si>
  <si>
    <t>Dr. Knight's research and interests are in the areas of advanced nuclear fuels and materials, nuclear safeguards, nuclear fuel cycle, alternative uses of nuclear power including hydrogen, space nuclear power and propulsion.</t>
  </si>
  <si>
    <t>advanced nuclear fuels , materials, nuclear safeguards, nuclear fuel cycle, alternative uses of nuclear power including hydrogen, space nuclear power , propulsion</t>
  </si>
  <si>
    <t>Dongkyu Lee</t>
  </si>
  <si>
    <t>dongkyu@cec.sc.edu</t>
  </si>
  <si>
    <t>Dr. Lee's s lie at the intersection of synthesizing functional oxide materials by atomic control, understanding energy conversion and storage mechanisms as well as the physicochemical properties of materials, and applying a fundamental understanding to design advanced energy conversion and storage devices including solid oxide fuel cells, solid-state batteries, solar thermoelectric generators, and solar to fuel energy conversion devices.</t>
  </si>
  <si>
    <t>synthesizing functional oxide materials by atomic control, underst,ing energy conversion , storage mechanisms as well as the physicochemical properties of materials, applying a fundamental underst,ing to design advanced energy conversion , storage devices including solid oxide fuel cells, solid-state batteries, solar thermoelectric generators, solar to fuel energy conversion devices</t>
  </si>
  <si>
    <t>Junsoo Lee</t>
  </si>
  <si>
    <t>junsoo.lee@sc.edu</t>
  </si>
  <si>
    <t>Dr. Lee is anAssistant Pin the department of Mechanical Engineering at the University of South Carolina. His expertise and s include stability theory, optimal control, multiagent systems, network control, and stochastic systems and control.</t>
  </si>
  <si>
    <t>stability theory, optimal control, multiagent systems, network control, stochastic systems , control</t>
  </si>
  <si>
    <t>li01@cec.sc.edu</t>
  </si>
  <si>
    <t>Dr. Li's  are micro/nano-scale two-phase heat and flow physics, prediction, control and modeling. Aim at basic research in developing and verifying theories for two-phase transport behaviors and the application of these theories towards controlling two-phase heat and flows at micro/nano-scale.</t>
  </si>
  <si>
    <t>flow physics, prediction, control , modeling, Aim at basic research in developing , verifying theories for two-phase transport behaviors , the application of these theories towards controlling two-phase heat , flows at micro/nano-scale</t>
  </si>
  <si>
    <t>Yue (Stanley) Ling</t>
  </si>
  <si>
    <t>stanley_ling@sc.edu</t>
  </si>
  <si>
    <t>Jed Lyons</t>
  </si>
  <si>
    <t>lyons@cec.sc.edu</t>
  </si>
  <si>
    <t>PLyons is our college's Senior Associate Dean for Academic Affairs. His s include engineering materials and engineering education.</t>
  </si>
  <si>
    <t>engineering materials , engineering education,</t>
  </si>
  <si>
    <t>Dale McCants</t>
  </si>
  <si>
    <t>mccants@cec.sc.edu</t>
  </si>
  <si>
    <t>Dr. McCants s include nanofluids heat transfer mechanics, electronics thermal management, experimental and computational fluid dynamics with heat transfer.</t>
  </si>
  <si>
    <t>nanofluids heat transfer mechanics, electronics thermal management, experimental , computational fluid dynamics with heat transfer</t>
  </si>
  <si>
    <t>Mostafa Mobli</t>
  </si>
  <si>
    <t>mobli@cec.sc.edu</t>
  </si>
  <si>
    <t>Dr. Mostafa Mobli is Interested in numerical solutions to problems involving reactive flows and heat transfer.</t>
  </si>
  <si>
    <t>numerical solutions to problems involving reactive flows , heat transfer</t>
  </si>
  <si>
    <t>Cyrus Riahi Nezhad</t>
  </si>
  <si>
    <t>riahinez@cec.sc.edu</t>
  </si>
  <si>
    <t>Dr. Riahi-Nezhad’s broad areas of specialization are based on innovative combinations of fluid mechanics, separation science, and heterogeneous catalysis.</t>
  </si>
  <si>
    <t>innovative combinations of fluid mechanics, separation science, heterogeneous catalysis,</t>
  </si>
  <si>
    <t>Titan C. Paul</t>
  </si>
  <si>
    <t>paultc@mailbox.sc.edu</t>
  </si>
  <si>
    <t>Dr. Paul’s  includes Energy storage liquid for solar technologies, Heat transfer with phase change, Numerical methods in conjugate heat and mass transfer problem,Thermal management of microelectronics, and Heat transfer and moisture migration problems in building environment.</t>
  </si>
  <si>
    <t>Energy storage liquid for solar technologies, Heat transfer with phase change, Numerical methods in conjugate heat , mass transfer problem,Thermal management of microelectronics, Heat transfer , moisture migration problems in building environment,</t>
  </si>
  <si>
    <t>Tony Reynolds</t>
  </si>
  <si>
    <t>reynolds@cec.sc.edu</t>
  </si>
  <si>
    <t>Dr. Reynolds' research and interests include friction stir welding, fatigue and fracture, experimental micro-mechanics, quantitative fractographic analysis.</t>
  </si>
  <si>
    <t>friction stir welding, fatigue , fracture, experimental micro-mechanics, quantitative fractographic analysis,</t>
  </si>
  <si>
    <t>David Rocheleau</t>
  </si>
  <si>
    <t>rocheleau@cec.sc.edu</t>
  </si>
  <si>
    <t>Dr. Rocheleau’s grouPhas interest in machine design and machine component design. His grouPhas done work in optimizing the design of epicyclic gear trains to ensure long life and reduced noise. Work has also been done in helping small to medium size companies in a wide area of product design issues.</t>
  </si>
  <si>
    <t>machine design , machine component design</t>
  </si>
  <si>
    <t>Andrew Sabalowsky</t>
  </si>
  <si>
    <t>sabalows@mailbox.sc.edu</t>
  </si>
  <si>
    <t>Dr. Sabalowsky’s expertise is in project based design and computational method. His research involves Environmental Engineering</t>
  </si>
  <si>
    <t>project based design , computational method</t>
  </si>
  <si>
    <t>Tarek Shazly</t>
  </si>
  <si>
    <t>shazly@cec.sc.edu</t>
  </si>
  <si>
    <t>Dr. Shazly is the Graduate Director of the Biomedical Engineering Program at the University of South Carolina. His research is focused on defining and characterizing relevant tissue properties for CP applications and rationally designing polymeric biomaterials that leverage local biology to enhance therapeutic gain.</t>
  </si>
  <si>
    <t>characterizing relevant tissue properties for CP applications , rationally designing polymeric biomaterials that leverage local biology to enhance therapeutic gain</t>
  </si>
  <si>
    <t>Subramani Sockalingam</t>
  </si>
  <si>
    <t>sockalin@cec.sc.edu</t>
  </si>
  <si>
    <t>Dr. Sockalingam’s s include development of advanced composite materials that are light weight and stronger through a multiscale experimental and computational approach for aerospace, automotive and defense applications.</t>
  </si>
  <si>
    <t>advanced composite materials that are light weight , stronger through a multiscale experimental , computational approach for aerospace, automotive , defense applications</t>
  </si>
  <si>
    <t>Michael Sutton</t>
  </si>
  <si>
    <t>sutton@cec.sc.edu</t>
  </si>
  <si>
    <t>Dr. Sutton's research and interests include coherent and incoherent optics applications, experimental mechanics, digital image processing, computer vision, applications of integral methods and experimental mechanics, boundary valve problems, plastic fracture mechanics, and finite elements modeling of cracked bodies.</t>
  </si>
  <si>
    <t>incoherent optics applications, experimental mechanics, digital image processing, computer vision, applications of integral methods , experimental mechanics, boundary valve problems, plastic fracture mechanics, finite elements modeling of cracked bodies</t>
  </si>
  <si>
    <t>Brian Tatting</t>
  </si>
  <si>
    <t>tatting@cec.sc.edu</t>
  </si>
  <si>
    <t>Dr. Tatting joined the research team at the McNAIR Center in 2016 to perform research and mentor graduate students, focusing on composite design and manufacture. His main topics included variable stiffness designs for cylinders, novel 3D optimization techniques for composites, and physics-based modeling of automated fiber placement (AFP), funded by The Boeing Company. Further work under NASA's ACC program investigated effects of defects formed during the AFPprocess on part reliability.</t>
  </si>
  <si>
    <t>variable stiffness designs for cylinders, novel 3D optimization techniques for composites, physics-based modeling of automated fiber placement (AFP)</t>
  </si>
  <si>
    <t>Nikolaos (Nikos) Vitzilaios</t>
  </si>
  <si>
    <t>vitzilaios@sc.edu</t>
  </si>
  <si>
    <t>Dr. Vitzilaios’ s are in the broad area of Autonomous Unmanned Systems and include Robotics, Intelligent Systems, Mechatronics, Unmanned Aircraft Systems (UAS), perception and autonomous navigation of mobile robots, operational autonomy, field robotics, robot teams, automation, control systems, and machine learning.</t>
  </si>
  <si>
    <t>Autonomous Unmanned Systems , include Robotics, Intelligent Systems, Mechatronics, Unmanned Aircraft Systems (UAS), perception , autonomous navigation of mobile robots, operational autonomy, field robotics, robot teams, automation, control systems, machine learning</t>
  </si>
  <si>
    <t>Guiren Wang</t>
  </si>
  <si>
    <t>guirenwang@sc.edu</t>
  </si>
  <si>
    <t>Dr. Wang's research and interests include micro/nanofluidics, lab-on-a-chip, far field optical nanoscopy, super-resolution imaging, cancer detection, fluorescence spectroscopy, tissue engineering, fluid dynamics, turbulence and mixing.</t>
  </si>
  <si>
    <t>micro/nanofluidics, lab-on-a-chip, far field optical nanoscopy, super-resolution imaging, cancer detection, fluorescence spectroscopy, tissue engineering, fluid dynamics, turbulence , mixing</t>
  </si>
  <si>
    <t>Yi Wang</t>
  </si>
  <si>
    <t>yiwang@cec.sc.edu</t>
  </si>
  <si>
    <t>Dr. Wang’s s include Computational and data-enabled science and engineering (CDS&amp;E) and its applications in multiphysics and multiscale systems engineering, including fluid structural interaction, microfluidics/nanofluidics, thermal and energy management, additive manufacturing, among others.</t>
  </si>
  <si>
    <t>Computational , data-enabled science , engineering (CDS&amp;E) , its applications in multiphysics , multiscale systems engineering, including fluid structural interaction, microfluidics/nanofluidics, thermal , energy management, additive manufacturing</t>
  </si>
  <si>
    <t>Sang Hee Won</t>
  </si>
  <si>
    <t>sanghee@mailbox.sc.edu</t>
  </si>
  <si>
    <t>Dr. Won's interest are experimental and numerical energy conversion physics, including experimental characterization of chemical kinetic behaviors for conventional and alternative fuels, development of predictive chemical kinetic models for real fuel combustion, plasma-assisted combustion, fundamental combustion physics, and quantitative laser diagnostic techniques.</t>
  </si>
  <si>
    <t>numerical energy conversion physics, including experimental characterization of chemical kinetic behaviors for conventional , alternative fuels, development of predictive chemical kinetic models for real fuel combustion, plasma-assisted combustion, fundamental combustion physics, quantitative laser diagnostic techniques</t>
  </si>
  <si>
    <t>Xingjian (Chris) Xue</t>
  </si>
  <si>
    <t>xue@cec.sc.edu</t>
  </si>
  <si>
    <t>Dr. Xue’s s include Solid Oxide Fuel Cells, Solid Oxide Electrolysis Cells, Gas Separation Membranes, Materials for Electrochemical Energy Conversion and Storage, Reliability and Durability of Functional and Structural Materials, Transport Phenomena and Electrochemical Kinetics.</t>
  </si>
  <si>
    <t>Solid Oxide Fuel Cells, Solid Oxide Electrolysis Cells, Gas Separation Membranes, Materials for Electrochemical Energy Conversion , Storage, Reliability , Durability of Functional , Structural Materials, Transport Phenomena , Electrochemical Kinetics</t>
  </si>
  <si>
    <t>Lingyu Yu</t>
  </si>
  <si>
    <t>yu3@cec.sc.edu</t>
  </si>
  <si>
    <t>Dr. Lingyu Yu’s s include structural health monitoring (SHM) and nondestructive evaluation (NDE) using ultrasonic guided waves supported by active sensor technology, theoretical modeling, advanced signal processing and data analysis, damage diagnosis in complicated structures, scanning laser vibrometry for guided wave propagation, and mechatronics.</t>
  </si>
  <si>
    <t>structural health monitoring (SHM) , nondestructive evaluation (NDE) using ultrasonic guided waves supported by active sensor technology, theoretical modeling, advanced signal processing , data analysis, damage diagnosis in complicated structures, scanning laser vibrometry for guided wave propagation, mechatronics</t>
  </si>
  <si>
    <t>Lang Yuan</t>
  </si>
  <si>
    <t>langyuan@cec.sc.edu</t>
  </si>
  <si>
    <t>Dr. Yuan’s research focuses on microstructure and defect formation during alloy solidification for Additive Manufacturing, casting and remelting technologies. His s also include Integrated Computational Materials Engineering, discrete element modeling, process development and optimization for additive, nucleation, X-Ray imaging and diffraction of solidification phenomena and data sciences.</t>
  </si>
  <si>
    <t xml:space="preserve"> microstructure , defect formation during alloy solidification for Additive Manufacturing, casting , remelting technologies</t>
  </si>
  <si>
    <t>Caizhi Zhou</t>
  </si>
  <si>
    <t>caizhi@mailbox.sc.edu</t>
  </si>
  <si>
    <t>Dr. Zhou's research focuses on understanding the fundamental strengthening, deformation and failure mechanisms of advanced structural materials, by integrating both experimental and computational approaches, and provide a scientific basis for design and processing advanced materials with superior properties.</t>
  </si>
  <si>
    <t>the fundamental strengthening, deformation , failure mechanisms of advanced structural materials, by integrating both experimental , computational approaches, provide a scientific basis for design , processing advanced materials with superior properties</t>
  </si>
  <si>
    <t>Binghamton University--SUNY (Watson)</t>
  </si>
  <si>
    <t>Paul R. Chiarot</t>
  </si>
  <si>
    <t>pchiarot@binghamton.edu</t>
  </si>
  <si>
    <t>s
Microfluidics
Multiphase Flows
Electrohydrodynamics
Fluid Mechanics
Energy</t>
  </si>
  <si>
    <t>Microfluidics,
Multiphase Flows,
Electrohydrodynamics,
Fluid Mechanics,
Energy,</t>
  </si>
  <si>
    <t>Junghyun Cho</t>
  </si>
  <si>
    <t>jcho@binghamton.edu</t>
  </si>
  <si>
    <t>s
Materials
Ceramic films
Metals and alloys
Microstructure design of advanced materials
Mechanical property</t>
  </si>
  <si>
    <t>Materials,
Ceramic films,
Metals , alloys,
Microstructure design of advanced materials,
Mechanical property</t>
  </si>
  <si>
    <t>Cosan (Joe-Sean) Daskiran</t>
  </si>
  <si>
    <t>cdaskiran@binghamton.edu</t>
  </si>
  <si>
    <t>s
Computational fluid dynamics (CFD)
Multiphase flows
Turbulent flows
Renewable energy
Transport phenomena</t>
  </si>
  <si>
    <t>Computational fluid dynamics (CFD),
Multiphase flows,
Turbulent flows,
Renewable energy,
Transport phenomena</t>
  </si>
  <si>
    <t>#97 - Mechanical Engineering</t>
  </si>
  <si>
    <t>Pong-Yu (Peter) Huang</t>
  </si>
  <si>
    <t>phuang@binghamton.edu</t>
  </si>
  <si>
    <t>s
Microfluidics
Transport phenomena
Optical diagnostics
Computational modeling</t>
  </si>
  <si>
    <t>Microfluidics,
Transport phenomena,
Optical diagnostics,
Computational modeling</t>
  </si>
  <si>
    <t>Changhong Ke</t>
  </si>
  <si>
    <t>cke@binghamton.edu</t>
  </si>
  <si>
    <t>s
Experimental mechanics of 1D and 2D nanostructures
Nanoscale adhesion and interfaces
Nanocomposites
Bio-inspired complex and hybrid nano-systems
And NEMS</t>
  </si>
  <si>
    <t>Experimental mechanics of 1D , 2D nanostructures,
Nanoscale adhesion , interfaces,
Nanocomposites,
Bio-inspired complex , hybrid nano-systems,
NEMS</t>
  </si>
  <si>
    <t>Jaeho Lee</t>
  </si>
  <si>
    <t>jaeholee@binghamton.edu</t>
  </si>
  <si>
    <t>s
Contact mechanics
Fundamental mechanism of friction, wear and lubrication
Multiscale mechanics of thin films
Dynamic adhesion</t>
  </si>
  <si>
    <t>Contact mechanics,
Fundamental mechanism of friction, wear , lubrication,
Multiscale mechanics of thin films,
Dynamic adhesion</t>
  </si>
  <si>
    <t>Dehao Liu</t>
  </si>
  <si>
    <t>dehaoliu@binghamton.edu</t>
  </si>
  <si>
    <t>s
Multiscale multiphysics modeling and simulation
Physics-informed machine learning
Optimization and uncertainty quantification
Process monitoring and control</t>
  </si>
  <si>
    <t>Multiscale multiphysics modeling , simulation,
Physics-informed machine learning,
Optimization , uncertainty quantification,
Process monitoring , control</t>
  </si>
  <si>
    <t>Ronald N. Miles</t>
  </si>
  <si>
    <t>miles@binghamton.edu</t>
  </si>
  <si>
    <t>s
Mechanical vibrations
Acoustics</t>
  </si>
  <si>
    <t>Mechanical vibrations,
Acoustics</t>
  </si>
  <si>
    <t>Bruce T. Murray</t>
  </si>
  <si>
    <t>bmurray@binghamton.edu</t>
  </si>
  <si>
    <t>s
Computational modeling
Heat and mass transfer
Mechanobiology
Materials processing</t>
  </si>
  <si>
    <t>Computational modeling,
Heat , mass transfer,
Mechanobiology,
Materials processing</t>
  </si>
  <si>
    <t>James M. Pitarresi</t>
  </si>
  <si>
    <t>jmp@binghamton.edu</t>
  </si>
  <si>
    <t>s
Computational mechanics
Vibration modeling and testing
Opto-mechanical techniques
Electronic packaging</t>
  </si>
  <si>
    <t>Computational mechanics,
Vibration modeling , testing,
Opto-mechanical techniques,
Electronic packaging</t>
  </si>
  <si>
    <t>Mir Jalil Razavi</t>
  </si>
  <si>
    <t>mrazavi@binghamton.edu</t>
  </si>
  <si>
    <t>s
Solid/bio mechanics
Mechanics of soft/bio materials
Finite element modeling
Fracture and fatigue mechanics</t>
  </si>
  <si>
    <t>Solid/bio mechanics,
Mechanics of soft/bio materials,
Finite element modeling,
Fracture , fatigue mechanics</t>
  </si>
  <si>
    <t>Bahgat G. Sammakia</t>
  </si>
  <si>
    <t>bahgat@binghamton.edu</t>
  </si>
  <si>
    <t>s
Heat Transfer
Electronics Packaging
Thermal Management of Data Centers
Heterogeneous Integration Research</t>
  </si>
  <si>
    <t>Heat Transfer,
Electronics Packaging,
Thermal Management of Data Centers,
Heterogeneous Integration Research</t>
  </si>
  <si>
    <t>ScoTTSchiffres</t>
  </si>
  <si>
    <t>sschiffr@binghamton.edu</t>
  </si>
  <si>
    <t>s
Nanoscale and microscale energy transport
Thermal properties of nanomaterials
Thermal processes of additive manufacturing
Sustainability engineering</t>
  </si>
  <si>
    <t>Nanoscale , microscale energy transport,
Thermal properties of nanomaterials,
Thermal processes of additive manufacturing,
Sustainability engineering</t>
  </si>
  <si>
    <t>Colin B. Selleck</t>
  </si>
  <si>
    <t>cselleck@binghamton.edu</t>
  </si>
  <si>
    <t>s
Robotics</t>
  </si>
  <si>
    <t>Timothy J. Singler</t>
  </si>
  <si>
    <t>singler@binghamton.edu</t>
  </si>
  <si>
    <t>s
Fluid dynamics
High temperature capillarity
Wetting
Reactive wetting
Physics of interfaces
Functional materials</t>
  </si>
  <si>
    <t>Fluid dynamics,
High temperature capillarity,
Wetting,
Reactive wetting,
Physics of interfaces,
Functional materials</t>
  </si>
  <si>
    <t>Shahrzad Towfighian</t>
  </si>
  <si>
    <t>stowfigh@binghamton.edu</t>
  </si>
  <si>
    <t>s
Mems actuators and sensors
Mechanical vibration
Linear and nonlinear dynamics
Energy harvesting</t>
  </si>
  <si>
    <t>Mems actuators , sensors,
Mechanical vibration,
Linear , nonlinear dynamics,
Energy harvesting</t>
  </si>
  <si>
    <t>Xin Yong</t>
  </si>
  <si>
    <t>xyong@binghamton.edu</t>
  </si>
  <si>
    <t>s
Computational modeling and simulations
Micro-/nanofluidics
Soft materials
Transport and interfacial phenomena</t>
  </si>
  <si>
    <t>Computational modeling , simulations,
Micro-/nanofluidics,
Soft materials,
Transport , interfacial phenomena</t>
  </si>
  <si>
    <t>Mohammad Younis</t>
  </si>
  <si>
    <t>myounis@binghamton.edu</t>
  </si>
  <si>
    <t>s
Nonlinear dynamics of micro and nano systems (MEMS/NEMS)</t>
  </si>
  <si>
    <t>Nonlinear dynamics of micro , nano systems (MEMS/NEMS)</t>
  </si>
  <si>
    <t>Kaiyan Yu</t>
  </si>
  <si>
    <t>kyu@binghamton.edu</t>
  </si>
  <si>
    <t>s
Autonomous robotic systems
Nano/micro particles control and manipulation
Dynamic systems and control
Motion planning and motion control</t>
  </si>
  <si>
    <t>Autonomous robotic systems,
Nano/micro particles control , manipulation,
Dynamic systems , control,
Motion planning , motion control</t>
  </si>
  <si>
    <t>Kirill Zaychik</t>
  </si>
  <si>
    <t>kzaychik@binghamton.edu</t>
  </si>
  <si>
    <t>s
Flight and ground vehicle simulation
Man-machine systems control systems (theory and application)
Human operator modeling
Parameter identification
Micro-macro system dynamics analysis</t>
  </si>
  <si>
    <t>Flight , ground vehicle simulation,
Man-machine systems control systems (theory , application),
Human operator modeling,
Parameter identification,
Micro-macro system dynamics analysis</t>
  </si>
  <si>
    <t>Pu Zhang</t>
  </si>
  <si>
    <t>pzhang@binghamton.edu</t>
  </si>
  <si>
    <t>s
Composite and architected material
Constitutive modeling
Multiscale and multiphysics simulation
Additive and hybrid manufacturing</t>
  </si>
  <si>
    <t>Composite , architected material,
Constitutive modeling,
Multiscale , multiphysics simulation,
Additive , hybrid manufacturing</t>
  </si>
  <si>
    <t>Guangwen Zhou</t>
  </si>
  <si>
    <t>gzhou@binghamton.edu</t>
  </si>
  <si>
    <t>s
Materials Science
Atomistic mechanisms of surface and interface phenomena
In situ electron microscopy in materials research
Materials modeling</t>
  </si>
  <si>
    <t>Materials Science,
Atomistic mechanisms of surface , interface phenomena,
In situ electron microscopy in materials research,
Materials modeling</t>
  </si>
  <si>
    <t>Clarkson University (Coulter)</t>
  </si>
  <si>
    <t>Brian Helenbrook</t>
  </si>
  <si>
    <t>bhelenbr@clarkson.edu</t>
  </si>
  <si>
    <t>My s are mainly in the development and application of numerical simulation techniques for fluid flows and heat transfer.  Most of my recent work has been developing adaptive, arbitrary-Lagrangian-Eulerian (ALE), hp-finite element methods, which enable efficient high-order of accuracy simulations of single and multi-phase flows. Recent application areas include solidification modeling of silicon and aluminum manufacturing processes, droplet and spray modeling, as well as more classical aerodynamic optimization applications such as optimization of luge sleds for the US Olympic Luge Association (USLA) and optimal design of ducted wind turbines.</t>
  </si>
  <si>
    <t>My s are mainly in the development , application of numerical simulation techniques for fluid flows , heat transferMost of my recent work has been developing adaptive, arbitrary-Lagrangian-Eulerian (ALE), hp-finite element methods, which enable efficient high-order of accuracy simulations of single , multi-phase flows, Recent application areas include solidification modeling of silicon , aluminum manufacturing processes, droplet , spray modeling, as well as more classical aerodynamic optimization applications such as optimization of luge sleds for the US Olympic Luge Association (USLA) , optimal design of ducted wind turbines</t>
  </si>
  <si>
    <t>Ajit Achuthan</t>
  </si>
  <si>
    <t>aachutha@clarkson.edu</t>
  </si>
  <si>
    <t>Dr Achuthan’s expertise is in the areas of solid mechanics and advanced materials. His grouPapplies the principles of solid mechanics to address critical challenges in various technological applications by developing innovative solutions. Currently, his  is primarily in the area of the additive manufacturing of metals. He is particularly interested in studying the mechanism of microstructure evolution, the role of the evolved microstructure on mechanical properties, and various micro-scale deformation mechanisms. The insight gained from these studies is then used to develoPappropriate constitutive models. Advanced experimental and computational tools are used/developed to helPthe investigation. These tools include 1) material characterization techniques such as optical imaging, SEM and nanoindentation, 2) continuum based computational models such as crystal plasticity based constitutive models, finite element analysis (FEA) models, and 3) molecular dynamics (MD) models.</t>
  </si>
  <si>
    <t>Dr Achuthan’s expertise is in the areas of solid mechanics , advanced materials, additive manufacturing of metals, mechanism of microstructure evolution, the role of the evolved microstructure on mechanical properties, various micro-scale deformation mechanisms</t>
  </si>
  <si>
    <t>Goodarz Ahmadi</t>
  </si>
  <si>
    <t>gahmadi@clarkson.edu</t>
  </si>
  <si>
    <t>Current s include the following Evaluation of particle transport and deposition in microelectronic manufacturing and xerographic environment, in a related project, removal and re-suspension of particles and elongated fibers from smooth and rough surfaces in turbulent air flows are being studied, a major effort is also underway to quantify particle transport and deposition processes in coal energy systems, this project also includes developing physically sound models for dense and dilute two-phase and granular (particulate) flows, in a related project, the formation of fuel spray for application in racket engines is being studied, effective techniques for vibration control of various structures are being developed, in an earlier project, passive control of structures under earthquake excitations was studied, and new frictional systems for damping the structural vibrations was developed, in a related project, vibration control of aero space structures, including Space Shuttle during lift-off and on orbit, as well as avionic equipment, are being studied.</t>
  </si>
  <si>
    <t>Evaluation of particle transport , deposition in microelectronic manufacturing , xerographic environment, in a related project, removal , re-suspension of particles , elongated fibers from smooth , rough surfaces in turbulent air flows are being studied, a major effort is also underway to quantify particle transport , deposition processes in coal energy systems</t>
  </si>
  <si>
    <t>Daryush Aidun</t>
  </si>
  <si>
    <t>daidun@clarkson.edu</t>
  </si>
  <si>
    <t>Welding metallurgy &amp; process modeling
Corrosion &amp; mechanical properties of weldment
Reliability &amp; life assessment of engineering components/systems</t>
  </si>
  <si>
    <t>Welding metallurgy &amp; process modeling,
Corrosion &amp; mechanical properties of weldment,
Reliability &amp; life assessment of engineering components/systems</t>
  </si>
  <si>
    <t>#168 - Best Engineering Schools</t>
  </si>
  <si>
    <t>Michael Bazzocchi</t>
  </si>
  <si>
    <t>mbazzocc@clarkson.edu</t>
  </si>
  <si>
    <t>Dr. Bazzocchi’s s can be broadly categorized into the fields of astronautics and robotics. Within the realm of astronautics, Dr. Bazzocchi has expertise in the areas of asteroid science and engineering, orbital dynamics and control, mission and systems design, as well as satellites, spacecraft formations, and space debris. He has s within several application areas of robotics, including space, terrestrial, industrial, and personal and assistive robotics. Dr. Bazzocchi is also exploring applications of artificial intelligence and machine learning to develoPinnovative solutions to research challenges in these areas.</t>
  </si>
  <si>
    <t>astronautics , robotics, Within the realm of astronautics, Dr, Bazzocchi has expertise in the areas of asteroid science , engineering, orbital dynamics , control, mission , systems design, as well as satellites, spacecraft formations, space debris, He has s within several application areas of robotics, including space, terrestrial, industrial, personal , assistive robotics</t>
  </si>
  <si>
    <t>Doug Bohl</t>
  </si>
  <si>
    <t>dbohl@clarkson.edu</t>
  </si>
  <si>
    <t>Dr. Bohl's s are in the development and application of new diagnostic techniques for measurement of fluid flows. His technical interests include unsteady aerodynamics, vortex dynamics, multiphase flow fields, and the release and dispersion of volatile/hazardous chemicals.</t>
  </si>
  <si>
    <t>application of new diagnostic techniques for measurement of fluid flows, unsteady aerodynamics, vortex dynamics, multiphase flow fields, the release , dispersion of volatile/hazardous chemicals</t>
  </si>
  <si>
    <t>Cetin Cetinkaya</t>
  </si>
  <si>
    <t>ccetinka@clarkson.edu</t>
  </si>
  <si>
    <t>His area of s include solid mechanics, mechanical vibration, thermo-elastic wave propagation, mechanics of nano/micro-scale systems, transient finite element analysis and symbolic computing.</t>
  </si>
  <si>
    <t>solid mechanics, mechanical vibration, thermo-elastic wave propagation, mechanics of nano/micro-scale systems, transient finite element analysis , symbolic computing</t>
  </si>
  <si>
    <t>Suresh Dhaniyala</t>
  </si>
  <si>
    <t>sdhaniya@clarkson.edu</t>
  </si>
  <si>
    <t xml:space="preserve">PDhaniyala's s are in developing techniques for accurate characterization of airborne particle properties and understanding the fate of aerosol particles in the environment.
</t>
  </si>
  <si>
    <t>developing techniques for accurate characterization of airborne particle properties , underst,ing the fate of aerosol particles in the environment,</t>
  </si>
  <si>
    <t>Byron Erath</t>
  </si>
  <si>
    <t>berath@clarkson.edu</t>
  </si>
  <si>
    <t xml:space="preserve">Dr. Erath’s s encompass the field of fluid mechanics, with a particular focus on the laryngeal aerodynamics of voiced speech. Voiced speech is produced by complex fluid-structure-acoustic interactions within the larynx. A more complete understanding of this nonlinear problem is critical for accurate diagnosis and treatment of vocal pathologies that disrupt the normal speech process. Dr. Erath’s work is focused on both experimental investigations and computational modeling of the speech process.
</t>
  </si>
  <si>
    <t>the field of fluid mechanics, with a particular focus on the laryngeal aerodynamics of voiced speech, Voiced speech is produced by complex fluid-structure-acoustic interactions within the larynx, A more complete underst,ing of this nonlinear problem is critical for accurate diagnosis , treatment of vocal pathologies that disrupt the normal speech process</t>
  </si>
  <si>
    <t>Kevin Fite</t>
  </si>
  <si>
    <t>kfite@clarkson.edu</t>
  </si>
  <si>
    <t xml:space="preserve">Dr. Fite’s s lie in the area of dynamic systems and control, with specific focus in the design and control of electromechanical and fluid power systems. A major thrust of this work is in the development of self-powered human-scale robotic systems.
</t>
  </si>
  <si>
    <t xml:space="preserve">dynamic systems , control, with specific focus in the design , control of electromechanical , fluid power systems,self-powered human-scale robotic systems,
</t>
  </si>
  <si>
    <r>
      <rPr>
        <u/>
        <sz val="10"/>
        <color rgb="FF000000"/>
        <rFont val="Arial"/>
        <family val="2"/>
      </rPr>
      <t>Brian Helenbrook</t>
    </r>
    <r>
      <rPr>
        <sz val="10"/>
        <color rgb="FF000000"/>
        <rFont val="Arial"/>
        <family val="2"/>
      </rPr>
      <t xml:space="preserve"> (Chair)</t>
    </r>
  </si>
  <si>
    <t xml:space="preserve">My s are mainly in the development and application of numerical simulation techniques for fluid flows and heat transfer.  Most of my recent work has been developing adaptive, arbitrary-Lagrangian-Eulerian (ALE), hp-finite element methods, which enable efficient high-order of accuracy simulations of single and multi-phase flows. Recent application areas include solidification modeling of silicon and aluminum manufacturing processes, droplet and spray modeling, as well as more classical aerodynamic optimization applications such as optimization of luge sleds for the US Olympic Luge Association (USLA) and optimal design of ducted wind turbines.
</t>
  </si>
  <si>
    <t xml:space="preserve">application of numerical simulation techniques for fluid flows , heat transferMost of my recent work has been developing adaptive, arbitrary-Lagrangian-Eulerian (ALE), hp-finite element methods, which enable efficient high-order of accuracy simulations of single , multi-phase flows
</t>
  </si>
  <si>
    <t>Carl Hoover</t>
  </si>
  <si>
    <t>choover@clarkson.edu</t>
  </si>
  <si>
    <t>My s are in machine learning and experimental testing. Current projects include AI machine design automation with bond graph deePlearning, aeroelastic impedance control, temporal relational dependence modeling in STEM, predicting mood from posture and gait, and aerospace virtual twin engineering.</t>
  </si>
  <si>
    <t xml:space="preserve"> machine learning , experimental testing, AI machine design automation with bond graph deePlearning, aeroelastic impedance control, temporal relational dependence modeling in STEM, predicting mood from posture , gait, aerospace virtual twin engineering</t>
  </si>
  <si>
    <t>Kathleen Issen</t>
  </si>
  <si>
    <t>kissen@clarkson.edu</t>
  </si>
  <si>
    <t>Dr Issen’s s fall within the field of solid mechanics, and materials and include 1) Constitutive modeling of natural and manufactured heterogeneous and/or anisotropic materials and 2) Investigation of bifurcation phenomena and instability problems. Research currently focuses on high porosity materials sandstone, metal foam, honeycombs and cancellous bone. Theoretical, experimental and computational approaches are employed to develoPa fundamental understanding of the deformation behaviors of each material individually and of porous materials in general. Current work includes characterization and modeling of the onset, interaction and propagation of localized and diffuse instabilities. Research goals are to 1) establish connections between material micro/mesostructure and macrostructural behavior and express these connections in constitutive models, and 2) develoPtheoretical frameworks to model the instability behaviors observed in porous materials with diverse micro/mesostructures.</t>
  </si>
  <si>
    <t>solid mechanics, materials ,  Constitutive modeling of natural , manufactured heterogeneous ,/or anisotropic materials,  Investigation of bifurcation phenomena , instability problems, Research currently focuses on high porosity materials s,stone, metal foam, honeycombs , cancellous bone, Theoretical, experimental , computational approaches are employed to develoPa fundamental underst,ing of the deformation behaviors of each material individually , of porous materials in general, characterization , modeling of the onset, interaction , propagation of localized , diffuse instabilitie</t>
  </si>
  <si>
    <t>Laurel Kuxhaus</t>
  </si>
  <si>
    <t>lkuxhaus@clarkson.edu</t>
  </si>
  <si>
    <t>Dr. Kuxhaus's research in the broad field of orthopaedic biomechanics includes both ex-vivo models of orthopaedic trauma and repair, and measurements of upper extremity function during common and specialized activities of daily living. Past work has focused on the upper extremity with particular emphasis on the elbow and its joint stiffness. Other past projects included measurements and models of thumb force production capabilities in impaired and unimpaired individuals, quantification of ankle proprioception, and a comparison of the performance of two different hiPimplant designs. Her current research includes both experiments and theoretical models using the principles of solid mechanics to investigate orthopedics. A novel intramedullary nail has been designed in her laboratory. Vertebral ring apophysis fractures have been created using a cervine ex-vivo model, with the goal of preventing these debilitating injuries. Ongoing work also quantifies the material and microarchitectural properties of cancellous bone. Dr. Kuxhaus also studies the pedagogy of biomechanics within an active learning environment.</t>
  </si>
  <si>
    <t>ex-vivo models of orthopaedic trauma , repair, measurements of upper extremity function during common , specialized activities of daily living</t>
  </si>
  <si>
    <t>Chunlei Liang</t>
  </si>
  <si>
    <t>cliang@clarkson.edu</t>
  </si>
  <si>
    <t xml:space="preserve">Computational Fluid Dynamics,  Marine Propulsion, Magnetohydrodynamics, Fluid-Structure Interaction, Heat Transfer.
</t>
  </si>
  <si>
    <t xml:space="preserve">Computational Fluid DynamicsMarine Propulsion, Magnetohydrodynamics, Fluid-Structure Interaction, Heat Transfer,
</t>
  </si>
  <si>
    <t>Marcias Martinez</t>
  </si>
  <si>
    <t>mmartine@clarkson.edu</t>
  </si>
  <si>
    <t>Dr. Martinez is working on the development of a Holistic Structural Integrity Process, known as HolSIP. This process is physics based and founded upon the primary idea that all failure mechanisms involved in the degradation of the structure are interconnected and should not be analyzed as merely the sum of individual mechanisms. In reality, many failure mechanisms interact synergistically and are much more complex and challenging to understand, and thus the requirement for a holistic physics based analysis and design approach to structural integrity problems. The final goal of this holistic approach is to more accurately assess the reliability and structural integrity of mechanical and aerospace structures and whenever possible assist in extending their life. HolSIPrequires many inputs to be able to provide the required outputs that structural integrity engineers need in order to assess the remaining useful life of an aerospace structure relative to its original certification. In order to achieve such a goal, HolSIPcombines research fields such as Health Usage Monitoring (HUMS), Structural Health Monitoring (SHM), Adaptive Structures, Machine Learning Algorithms, initial and current structural conditions, Flight Load and Condition Monitoring. As part of his research, Dr. Martinez, focuses on advancements in the field of SHM, Load Monitoring and fatigue of metallic and composites structures.</t>
  </si>
  <si>
    <t>Holistic Structural Integrity Process</t>
  </si>
  <si>
    <t>Ioannis Mastorakos</t>
  </si>
  <si>
    <t>imastora@clarkson.edu</t>
  </si>
  <si>
    <t>My s span the areas of mechanical properties of nanomaterials and new materials design driven by computer simulations. A common thread in this research is the understanding of the underlining mechanisms at the nanoscale, responsible for the deformation and fracture of metallic materials. For that purpose, computer simulation techniques that span various length scales, ranging from the nanoscale to the microscale are used. These techniques include methods such as Molecular Dynamics, Monte Carlo, Dislocation Dynamics and Finite Elements.</t>
  </si>
  <si>
    <t>nanomaterials , new materials design driven by computer simulations, responsible for the deformation , fracture of metallic materials</t>
  </si>
  <si>
    <t>Craig Merrett</t>
  </si>
  <si>
    <t>cmerrett@clarkson.edu</t>
  </si>
  <si>
    <t>Dr. MerreTThas a diverse RPortfolio within the field of aero-servo-viscoelasticity that includes research on aircraft instability, flight data recorders, optimization, fracture of composites, and vehicle tracking. The core of the RPortfolio is the effects of a viscoelastic material on structural dynamics, in particular the critical time necessary for an instability to occur. Dr. Merrett’s current RProgram investigates polymer composite materials and metals exposed to elevated temperatures that appear in aerospace and nuclear engineering applications. Dr. MerreTTalso conducts research in unsteady aerodynamics for subsonic and supersonic panel flutter, and for off-shore wind farm wakes.</t>
  </si>
  <si>
    <t xml:space="preserve">aero-servo-viscoelasticity that includes research on aircraft instability, flight data recorders, optimization, fracture of composites, vehicle tracking, </t>
  </si>
  <si>
    <t>Arthur Michalek</t>
  </si>
  <si>
    <t>ajmichal@clarkson.edu</t>
  </si>
  <si>
    <t xml:space="preserve">Dr. Michalek's research focuses on biomechanics of low back pain, with a particular focus on injury and repair of the intervertebral disc. This soft connective tissue structure is responsible for the dual roles of maintaining stability and connectivity of the spinal column while also allowing it to bend. The disc is composed of a complex, hierarchical fiber reinforced composite, which is extremely strong but slow to heal from injuries.
</t>
  </si>
  <si>
    <t>biomechanics of low back pain, with a particular focus on injury , repair of the intervertebral disc</t>
  </si>
  <si>
    <t>John Moosbrugger</t>
  </si>
  <si>
    <t>jmoosbru@clarkson.edu</t>
  </si>
  <si>
    <t xml:space="preserve">Dr Moosbrugger's research focuses on plasticity and viscoplasticity of materials, including analytical/phenomenological modeling of nonproportional (biaxial), cyclic loading experiments, performing complex biaxial experiments, nonisothermal viscoplasticity model development for metals and thermomechanical behavior of semiconductor materials. Interests lie in macroscopic continuum mechanics, continuum micromechanics, and microstructural kinetics applied to constitutive equation development, fatigue life prediction and computational solid mechanics. This includes theoretical modeling using internal variable approaches at the micro- and macro-continuum levels as well as the interpretation and analysis of experimental results. Some projects are summarized below.
</t>
  </si>
  <si>
    <t xml:space="preserve">plasticity , viscoplasticity of materials, including analytical/phenomenological modeling of nonproportional (biaxial), cyclic loading experiments, performing complex biaxial experiments, nonisothermal viscoplasticity model development for metals , thermomechanical behavior of semiconductor materials, Interests lie in macroscopic continuum mechanics, continuum micromechanics, microstructural kinetics applied to constitutive equation development, fatigue life prediction
</t>
  </si>
  <si>
    <t>Liya Regel</t>
  </si>
  <si>
    <t>lregel@clarkson.edu</t>
  </si>
  <si>
    <t>Dr. Regel has pioneered research on high-energy, heavy-ion implantation in III-V semiconductors, magnetic semiconductors and rare-earth materials using the nuclear particles accelerators, and the heavy-ion accelerators.</t>
  </si>
  <si>
    <t xml:space="preserve"> high-energy, heavy-ion implantation in III-V semiconductors, magnetic semiconductors , rare-earth materials using the nuclear particles accelerators, the heavy-ion accelerators</t>
  </si>
  <si>
    <t>Kenneth Visser</t>
  </si>
  <si>
    <t>kvisser@clarkson.edu</t>
  </si>
  <si>
    <t xml:space="preserve">Ken’s s focus primarily on applied aerodynamics, including areas such as wind turbine design, drag reduction on ground vehicles, and aircraft wing design methodology. His current focus is on developing ducted wind turbine technology, a prototype of which has been built on the Clarkson campus.  More information can be found on his research web site.
</t>
  </si>
  <si>
    <t>aerodynamics, including areas such as wind turbine design, drag reduction on ground vehicles, aircraft wing design methodology</t>
  </si>
  <si>
    <t>Kenneth Willmert</t>
  </si>
  <si>
    <t>kwillmer@clarkson.edu</t>
  </si>
  <si>
    <t xml:space="preserve">Dr. Willmert is presently involved in the large amplitude vibrational analysis of mechanical mechanisms and their optimal design. The analysis includes both material and geometric nonlinearities, and the results are displayed on a high resolution color workstation. New optimization techniques are being developed, based on optimality criterion methods, which are highly efficient when applied to large systems.
</t>
  </si>
  <si>
    <t>large amplitude vibrational analysis of mechanical mechanisms , their optimal design, geometric nonlinearities, New optimization techniques are being developed, based on optimality criterion methods, which are highly efficient when applied to large systems</t>
  </si>
  <si>
    <t>PhiliPYuya</t>
  </si>
  <si>
    <t>pyuya@clarkson.edu</t>
  </si>
  <si>
    <t xml:space="preserve">My research is focused on structure-property relationships with special emphasis on biomaterials, nanofibers and polymers. I am particularly interested in nanoscale materials property characterization using techniques such as contact resonance force microscopy (CR-FM) and Nanoindentation. For this research, I develoPtheoretical constitutive models and perform experiments to validate the models.
</t>
  </si>
  <si>
    <t>structure-property relationships with special emphasis on biomaterials, nanofibers , polymers, I am particularly interested in nanoscale materials property characterization using techniques such as contact resonance force microscopy (CR-FM) , Nanoindentation</t>
  </si>
  <si>
    <t>Embry-Riddle Aeronautical University</t>
  </si>
  <si>
    <t>Carolina Barriento</t>
  </si>
  <si>
    <t>Fady Barsoum</t>
  </si>
  <si>
    <t xml:space="preserve">His research experience covers a wide scope of problems from applied engineering to fundamental aspects. He received funding from serval funding agencies. His  include structural health monitoring, fatigue, computational methods for simulation, structural dynamics and vibration, and signal processing. His research has been published in several respected journals and professional societies conferences. In particular, his research has been instrumental in addressing several real-life problems.
</t>
  </si>
  <si>
    <t>health monitoring, fatigue, computational methods for simulation, structural dynamics , vibration, signal processing,</t>
  </si>
  <si>
    <t>Sandra Boetcher</t>
  </si>
  <si>
    <t>Her research and teaching interests include phase-change materials and additive manufacturing, thermal behavior of supercritical carbon dioxide, thermal extraction of carbon dioxide from the environment, natural convection, computational fluid mechanics, and energy-related fields.</t>
  </si>
  <si>
    <t>teaching interests include phase-change materials , additive manufacturing, thermal behavior of supercritical carbon dioxide, thermal extraction of carbon dioxide from the environment, natural convection, computational fluid mechanics, energy-related fields</t>
  </si>
  <si>
    <t>Marc Compere</t>
  </si>
  <si>
    <t>- physical systems modeling, dynamics, nonlinear controls
- instrumentation, sensing, computing, data acquisition, wireless telemetry
- sustainable design, solar power system design, off-grid water purification, sustainability</t>
  </si>
  <si>
    <t>physical systems modeling, dynamics, nonlinear controls,
instrumentation, sensing, computing, data acquisition, wireless telemetry,
sustainable design, solar power system design, off-grid water purification, sustainability</t>
  </si>
  <si>
    <t>Eric Coyle</t>
  </si>
  <si>
    <t xml:space="preserve">His research focuses on perception, machine learning, control, and guidance of autonomous vehicles. His current RProjects include the design of maritime perception systems and autonomous vehicle path planning. </t>
  </si>
  <si>
    <t>perception, machine learning, control, guidance of autonomous vehicles, His current RProjects include the design of maritime perception systems , autonomous vehicle path planning</t>
  </si>
  <si>
    <t>Paul Crittenden</t>
  </si>
  <si>
    <t>Patrick Currier</t>
  </si>
  <si>
    <t xml:space="preserve">His areas of expertise include unmanned systems development, hybrid systems development, system integration, and dynamic modeling and control.
</t>
  </si>
  <si>
    <t xml:space="preserve">unmanned systems development, hybrid systems development, system integration, dynamic modeling , control
</t>
  </si>
  <si>
    <t>Arka Das</t>
  </si>
  <si>
    <t>Jean-Michel Dhainaut</t>
  </si>
  <si>
    <t>Birce Dikici</t>
  </si>
  <si>
    <t>Combustion, Energy generation from nanocomposite energetic materials, Aluminum nanoparticle combustion</t>
  </si>
  <si>
    <t>Eduardo Divo</t>
  </si>
  <si>
    <t>His fundamental research concentrates on the development of Mesh-Reduction techniques such as Meshless Methods and the Boundary Element Method aiming at generating automated numerical solutions of field problems in the areas of Fluid Dynamics, Heat and Mass Transfer, Porosity, and Elasticity, as well as the multi-physics interaction of these phenomena in a number of ensuing applications in the Biomedical field.</t>
  </si>
  <si>
    <t>Mesh-Reduction techniques such as Meshless Methods , the Boundary Element Method aiming at generating automated numerical solutions of field problems in the areas of Fluid Dynamics, Heat , Mass Transfer, Porosity, Elasticity, as well as the multi-physics interaction of these phenomena in a number of ensuing applications in the Biomedical field</t>
  </si>
  <si>
    <t>Sathya Gangadharan</t>
  </si>
  <si>
    <t>Composite Wind Turbine Blade
Fuel Slosh
Blue Origin’s Suborbital Research MESSI/McXIMUS
Blue Origin’s Suborbital Research CRExIM
NASA/ZeroG Microgravity Research
Rocketry as Testing Platforms for Payloads
NASA’s Embry-Riddle High-Altitude Science Experiment Rig (ERHASER)</t>
  </si>
  <si>
    <t>Composite Wind Turbine Blade,
Fuel Slosh,
Blue Origin’s Suborbital Research MESSI/McXIMUS,
Blue Origin’s Suborbital Research CRExIM,
NASA/ZeroG Microgravity Research,
Rocketry as Testing Platforms for Payloads,
NASA’s Embry-Riddle High-Altitude Science Experiment Rig</t>
  </si>
  <si>
    <t>$19,488 per year (full-time)</t>
  </si>
  <si>
    <t>Monica Garcia</t>
  </si>
  <si>
    <t>Christopher Hockley</t>
  </si>
  <si>
    <t>Victor Huayamave</t>
  </si>
  <si>
    <t>Biomechanics, Structural Mechanics, Finite Element Analysis, Computational Modeling, Mechanical Design, Computational Fluid Dynamics and Heat Transfer.</t>
  </si>
  <si>
    <t>Biomechanics, Structural Mechanics, Finite Element Analysis, Computational Modeling, Mechanical Design, Computational Fluid Dynamics , Heat Transfer</t>
  </si>
  <si>
    <t>Yongho Lee</t>
  </si>
  <si>
    <t xml:space="preserve">Thermo-Fluid Mechanics, CFD, Propulsion, Wind Turbine, Magnetic Fluids
</t>
  </si>
  <si>
    <t>Thermo-Fluid Mechanics, CFD, Propulsion, Wind Turbine, Magnetic Fluids</t>
  </si>
  <si>
    <t>Rafael Rodriguez</t>
  </si>
  <si>
    <t>SubhradeePRoy</t>
  </si>
  <si>
    <t>Complex Dynamical Systems</t>
  </si>
  <si>
    <t>Gaetano Sterlacci</t>
  </si>
  <si>
    <t>Yan Tang</t>
  </si>
  <si>
    <t>Cognitive Load Theory, Deliberate Practice, Problem Solving</t>
  </si>
  <si>
    <t>Christine Walck</t>
  </si>
  <si>
    <t>Darris White</t>
  </si>
  <si>
    <t xml:space="preserve">DeveloPa Dual Axis Fatigue Test System for Multi-MegawaTTWind Turbine Blades (PHLEX)
</t>
  </si>
  <si>
    <t>DeveloPa Dual Axis Fatigue Test System for Multi-MegawaTTWind Turbine Blades (PHLEX)</t>
  </si>
  <si>
    <t>Kansas State University</t>
  </si>
  <si>
    <t xml:space="preserve">Steven J. Eckels (Department head)
</t>
  </si>
  <si>
    <t>eckels@k-state.edu</t>
  </si>
  <si>
    <t>His research focuses on multi-phase flows, heat transfer and design and analysis of thermal.</t>
  </si>
  <si>
    <t>multi-phase flows, heat transfer , design , analysis of thermal</t>
  </si>
  <si>
    <t>Mechanical and Nuclear Engineering</t>
  </si>
  <si>
    <r>
      <rPr>
        <u/>
        <sz val="10"/>
        <color rgb="FF000000"/>
        <rFont val="Arial"/>
        <family val="2"/>
      </rPr>
      <t>Amir Bahadori</t>
    </r>
    <r>
      <rPr>
        <u/>
        <sz val="10"/>
        <color rgb="FF000000"/>
        <rFont val="Arial"/>
        <family val="2"/>
      </rPr>
      <t xml:space="preserve">
</t>
    </r>
  </si>
  <si>
    <t>bahadori@k-state.edu</t>
  </si>
  <si>
    <t xml:space="preserve">His research is focused on the characterization of radiation environments, understanding the response of humans and electronics to radiation exposure using both experimental and computational techniques, and radiation imaging. </t>
  </si>
  <si>
    <t>the characterization of radiation environments, underst,ing the response of humans , electronics to radiation exposure using both experimental , computational techniques, radiation imaging</t>
  </si>
  <si>
    <r>
      <rPr>
        <u/>
        <sz val="10"/>
        <color rgb="FF000000"/>
        <rFont val="Arial"/>
        <family val="2"/>
      </rPr>
      <t>B. Terry Beck</t>
    </r>
    <r>
      <rPr>
        <u/>
        <sz val="10"/>
        <color rgb="FF000000"/>
        <rFont val="Arial"/>
        <family val="2"/>
      </rPr>
      <t xml:space="preserve">
</t>
    </r>
  </si>
  <si>
    <t>tbeck@k-state.edu</t>
  </si>
  <si>
    <t>His research includes the development and application of optical measurement techniques, and laser-based diagnostic testing for industrial applications.</t>
  </si>
  <si>
    <t>application of optical measurement techniques, laser-based diagnostic testing for industrial applications</t>
  </si>
  <si>
    <r>
      <rPr>
        <u/>
        <sz val="10"/>
        <color rgb="FF000000"/>
        <rFont val="Arial"/>
        <family val="2"/>
      </rPr>
      <t>Amy Betz</t>
    </r>
    <r>
      <rPr>
        <u/>
        <sz val="10"/>
        <color rgb="FF000000"/>
        <rFont val="Arial"/>
        <family val="2"/>
      </rPr>
      <t xml:space="preserve">
</t>
    </r>
  </si>
  <si>
    <t>arbetz@k-state.edu</t>
  </si>
  <si>
    <t>Betz's research focuses on the microscale, including phenomena such as nucleation.</t>
  </si>
  <si>
    <t>microscale, nucleation</t>
  </si>
  <si>
    <r>
      <rPr>
        <u/>
        <sz val="10"/>
        <color rgb="FF000000"/>
        <rFont val="Arial"/>
        <family val="2"/>
      </rPr>
      <t>Ron Brockhoff</t>
    </r>
    <r>
      <rPr>
        <u/>
        <sz val="10"/>
        <color rgb="FF000000"/>
        <rFont val="Arial"/>
        <family val="2"/>
      </rPr>
      <t xml:space="preserve">
</t>
    </r>
  </si>
  <si>
    <t>rcb7777@k-state.edu</t>
  </si>
  <si>
    <t>publications focused on the use of MCNPfor radiation transport calculations as well as its use for medical imaging analysis.</t>
  </si>
  <si>
    <t>medical imaging analysis</t>
  </si>
  <si>
    <r>
      <rPr>
        <u/>
        <sz val="10"/>
        <color rgb="FF000000"/>
        <rFont val="Arial"/>
        <family val="2"/>
      </rPr>
      <t>Liang-Wu Cai</t>
    </r>
    <r>
      <rPr>
        <u/>
        <sz val="10"/>
        <color rgb="FF000000"/>
        <rFont val="Arial"/>
        <family val="2"/>
      </rPr>
      <t xml:space="preserve">
</t>
    </r>
  </si>
  <si>
    <t>cai@k-state.edu</t>
  </si>
  <si>
    <t>Cai’s research has in recent years been focused in the wave propagation in various media using both analytical and computational approaches</t>
  </si>
  <si>
    <t>wave propagation, computational approaches</t>
  </si>
  <si>
    <r>
      <rPr>
        <u/>
        <sz val="10"/>
        <color rgb="FF000000"/>
        <rFont val="Arial"/>
        <family val="2"/>
      </rPr>
      <t>Melanie Derby</t>
    </r>
    <r>
      <rPr>
        <u/>
        <sz val="10"/>
        <color rgb="FF000000"/>
        <rFont val="Arial"/>
        <family val="2"/>
      </rPr>
      <t xml:space="preserve">
</t>
    </r>
  </si>
  <si>
    <t>derbym@k-state.edu</t>
  </si>
  <si>
    <t>Dr. Derby's runs the Cooling and Heating Innovation Lab. Her research focuses on technical problems in the thermal fluid sciences which have unanswered fundamental problems and applications to industry.</t>
  </si>
  <si>
    <t xml:space="preserve">Cooling , Heating Innovation Lab, unanswered fundamental problems </t>
  </si>
  <si>
    <r>
      <rPr>
        <u/>
        <sz val="10"/>
        <color rgb="FF000000"/>
        <rFont val="Arial"/>
        <family val="2"/>
      </rPr>
      <t>Shih-Kang "Scott" Fan</t>
    </r>
    <r>
      <rPr>
        <u/>
        <sz val="10"/>
        <color rgb="FF000000"/>
        <rFont val="Arial"/>
        <family val="2"/>
      </rPr>
      <t xml:space="preserve">
</t>
    </r>
  </si>
  <si>
    <t>skfan@k-state.edu</t>
  </si>
  <si>
    <t>Fan’s research involves an electromicrofluidic (EMF) platform that bridges gaps and demonstrates novel microfluidics on a single chiPwith electrowetting-on-dielectric (EWOD) and dielectrophoresis (DEP) to manipulate unlike objects</t>
  </si>
  <si>
    <t>electromicrofluidic (EMF) platform that bridges gaps , demonstrates novel microfluidics on a single chiPwith electrowetting-on-dielectric (EWOD) , dielectrophoresis (DEP) to manipulate unlike objects</t>
  </si>
  <si>
    <r>
      <rPr>
        <u/>
        <sz val="10"/>
        <color rgb="FF000000"/>
        <rFont val="Arial"/>
        <family val="2"/>
      </rPr>
      <t>M. Hosein Ghasemi Baboly</t>
    </r>
    <r>
      <rPr>
        <u/>
        <sz val="10"/>
        <color rgb="FF000000"/>
        <rFont val="Arial"/>
        <family val="2"/>
      </rPr>
      <t xml:space="preserve">
</t>
    </r>
  </si>
  <si>
    <t>mghasemi@k-state.edu</t>
  </si>
  <si>
    <t>simulation, fabrication and characterization of acoustic metamaterials, also called phononic crystals</t>
  </si>
  <si>
    <t>simulation, fabrication , characterization of acoustic metamaterials, also called phononic crystals</t>
  </si>
  <si>
    <t xml:space="preserve">Alexander Gibson
</t>
  </si>
  <si>
    <t>aogibson@k-state.edu</t>
  </si>
  <si>
    <r>
      <rPr>
        <u/>
        <sz val="10"/>
        <color rgb="FF000000"/>
        <rFont val="Arial"/>
        <family val="2"/>
      </rPr>
      <t>Mohammad H. Hosni</t>
    </r>
    <r>
      <rPr>
        <u/>
        <sz val="10"/>
        <color rgb="FF000000"/>
        <rFont val="Arial"/>
        <family val="2"/>
      </rPr>
      <t xml:space="preserve">
</t>
    </r>
  </si>
  <si>
    <t>hosni@k-state.edu</t>
  </si>
  <si>
    <t>Dr. Hosni's area of expertise is thermal and fluid sciences. He has extensive experience in both experimental and computational evaluation of indoor air distribution, human thermal comfort, uncertainty analysis, and design of experiments.</t>
  </si>
  <si>
    <t>fluid sciences, He has extensive experience in both experimental , computational evaluation of indoor air distribution, human thermal comfort, uncertainty analysis, design of experiments</t>
  </si>
  <si>
    <r>
      <rPr>
        <u/>
        <sz val="10"/>
        <color rgb="FF000000"/>
        <rFont val="Arial"/>
        <family val="2"/>
      </rPr>
      <t>Byron W. Jones</t>
    </r>
    <r>
      <rPr>
        <u/>
        <sz val="10"/>
        <color rgb="FF000000"/>
        <rFont val="Arial"/>
        <family val="2"/>
      </rPr>
      <t xml:space="preserve">
</t>
    </r>
  </si>
  <si>
    <t>jones@k-state.edu</t>
  </si>
  <si>
    <t xml:space="preserve">conducted research on a variety of topics including human thermal engineering, evaluation and modeling of heat and moisture transport in clothing, transportation vehicle environmental control systems, turbo machinery and thermal storage, and has been principal investigator or co-principal investigator for more than 50 RProjects. His current research addresses detection of contamination in bleed air on aircraft. Bleed air is air provided by the aircraft engines for use in cabin pressurization and ventilation. </t>
  </si>
  <si>
    <t>conducted research on a variety of topics including human thermal engineering, evaluation , modeling of heat , moisture transport in clothing, transportation vehicle environmental control systems, turbo machinery , thermal storage, has been principal investigator or co-principal investigator for more than 50 RProjects, His current research addresses detection of contamination in bleed air on aircraft, Bleed air is air provided by the aircraft engines for use in cabin pressurization , ventilation</t>
  </si>
  <si>
    <t>$429 per credit (in-state, full-time)</t>
  </si>
  <si>
    <r>
      <rPr>
        <u/>
        <sz val="10"/>
        <color rgb="FF000000"/>
        <rFont val="Arial"/>
        <family val="2"/>
      </rPr>
      <t>Constance A. Lare</t>
    </r>
    <r>
      <rPr>
        <u/>
        <sz val="10"/>
        <color rgb="FF000000"/>
        <rFont val="Arial"/>
        <family val="2"/>
      </rPr>
      <t xml:space="preserve">
</t>
    </r>
  </si>
  <si>
    <t>cthooft@k-state.edu</t>
  </si>
  <si>
    <r>
      <rPr>
        <u/>
        <sz val="10"/>
        <color rgb="FF000000"/>
        <rFont val="Arial"/>
        <family val="2"/>
      </rPr>
      <t>Douglas McGregor</t>
    </r>
    <r>
      <rPr>
        <u/>
        <sz val="10"/>
        <color rgb="FF000000"/>
        <rFont val="Arial"/>
        <family val="2"/>
      </rPr>
      <t xml:space="preserve">
</t>
    </r>
  </si>
  <si>
    <t>mcgregor@k-state.edu</t>
  </si>
  <si>
    <t>Prof. McGregor's research is focused on the design, development and deployment of novel radiation detectors and detector systems</t>
  </si>
  <si>
    <t>design, development , deployment of novel radiation detectors , detector systems</t>
  </si>
  <si>
    <r>
      <rPr>
        <u/>
        <sz val="10"/>
        <color rgb="FF000000"/>
        <rFont val="Arial"/>
        <family val="2"/>
      </rPr>
      <t>Walter McNeil</t>
    </r>
    <r>
      <rPr>
        <u/>
        <sz val="10"/>
        <color rgb="FF000000"/>
        <rFont val="Arial"/>
        <family val="2"/>
      </rPr>
      <t xml:space="preserve">
</t>
    </r>
  </si>
  <si>
    <t>wmcneil@k-state.edu</t>
  </si>
  <si>
    <t xml:space="preserve">McNeil has more than 30 publications on radiation sensing technology including semiconductor neutron sensors, CdZnTe gamma-ray spectrometers, silicon device fabrication, neutron sensing with optical crystal properties, MEMS fabrication and material purification processes. </t>
  </si>
  <si>
    <t>radiation sensing technology including semiconductor neutron sensors, CdZnTe gamma-ray spectrometers, silicon device fabrication, neutron sensing with optical crystal properties, MEMS fabrication , material purification processes,</t>
  </si>
  <si>
    <r>
      <rPr>
        <u/>
        <sz val="10"/>
        <color rgb="FF000000"/>
        <rFont val="Arial"/>
        <family val="2"/>
      </rPr>
      <t>Raj Kumar Pal</t>
    </r>
    <r>
      <rPr>
        <u/>
        <sz val="10"/>
        <color rgb="FF000000"/>
        <rFont val="Arial"/>
        <family val="2"/>
      </rPr>
      <t xml:space="preserve">
</t>
    </r>
  </si>
  <si>
    <t>rkpal@k-state.edu</t>
  </si>
  <si>
    <t xml:space="preserve">Vibrations, metamaterials, dynamics, wave propagation, solid mechanics, continuum mechanics, finite element methods
</t>
  </si>
  <si>
    <r>
      <rPr>
        <u/>
        <sz val="10"/>
        <color rgb="FF000000"/>
        <rFont val="Arial"/>
        <family val="2"/>
      </rPr>
      <t>Gennifer Riley</t>
    </r>
    <r>
      <rPr>
        <u/>
        <sz val="10"/>
        <color rgb="FF000000"/>
        <rFont val="Arial"/>
        <family val="2"/>
      </rPr>
      <t xml:space="preserve">
</t>
    </r>
  </si>
  <si>
    <t>gariley@k-state.edu</t>
  </si>
  <si>
    <r>
      <rPr>
        <u/>
        <sz val="10"/>
        <color rgb="FF000000"/>
        <rFont val="Arial"/>
        <family val="2"/>
      </rPr>
      <t>Jeremy Roberts</t>
    </r>
    <r>
      <rPr>
        <u/>
        <sz val="10"/>
        <color rgb="FF000000"/>
        <rFont val="Arial"/>
        <family val="2"/>
      </rPr>
      <t xml:space="preserve">
</t>
    </r>
  </si>
  <si>
    <t>jaroberts@k-state.edu</t>
  </si>
  <si>
    <t>PRoberts and his Computation and Optimization for Reactor Physics Simulation (CORPS) GrouPperform research in computational reactor physics.</t>
  </si>
  <si>
    <t>Optimization for Reactor Physics Simulation (CORPS) GrouPperform research in computational reactor physics</t>
  </si>
  <si>
    <r>
      <rPr>
        <u/>
        <sz val="10"/>
        <color rgb="FF000000"/>
        <rFont val="Arial"/>
        <family val="2"/>
      </rPr>
      <t>Gurpreet Singh</t>
    </r>
    <r>
      <rPr>
        <u/>
        <sz val="10"/>
        <color rgb="FF000000"/>
        <rFont val="Arial"/>
        <family val="2"/>
      </rPr>
      <t xml:space="preserve">
</t>
    </r>
  </si>
  <si>
    <t>gurpreet@k-state.edu</t>
  </si>
  <si>
    <t>Singh runs the NanoScience and Engineering Lab. He works in the area of nanotechnology with a focus on processing-structure-property characterization of two-dimensional materials and molecular precursor derived ceramics for energy-based devices.</t>
  </si>
  <si>
    <t>NanoScience , Engineering Lab, nanotechnology with a focus on processing-structure-property characterization of two-dimensional materials , molecular precursor derived ceramics for energy-based devices</t>
  </si>
  <si>
    <r>
      <rPr>
        <u/>
        <sz val="10"/>
        <color rgb="FF000000"/>
        <rFont val="Arial"/>
        <family val="2"/>
      </rPr>
      <t>Greg Spaulding</t>
    </r>
    <r>
      <rPr>
        <u/>
        <sz val="10"/>
        <color rgb="FF000000"/>
        <rFont val="Arial"/>
        <family val="2"/>
      </rPr>
      <t xml:space="preserve">
</t>
    </r>
  </si>
  <si>
    <t>gspauld@k-state.edu</t>
  </si>
  <si>
    <t>Spaulding’s research targeted the applied research with application to Industry.</t>
  </si>
  <si>
    <t>the applied research with application to Industry</t>
  </si>
  <si>
    <r>
      <rPr>
        <u/>
        <sz val="10"/>
        <color rgb="FF000000"/>
        <rFont val="Arial"/>
        <family val="2"/>
      </rPr>
      <t>Youqi Wang</t>
    </r>
    <r>
      <rPr>
        <u/>
        <sz val="10"/>
        <color rgb="FF000000"/>
        <rFont val="Arial"/>
        <family val="2"/>
      </rPr>
      <t xml:space="preserve">
</t>
    </r>
  </si>
  <si>
    <t>youqi@k-state.edu</t>
  </si>
  <si>
    <t xml:space="preserve">Wang’s research focused on 1) composite mechanics, 2) composite manufacturing, 3) micro-geometry of 3-D fiber reinforced composites and 4) ballistic strength of soft armors. </t>
  </si>
  <si>
    <t xml:space="preserve">composite mechanics, composite manufacturing,micro-geometry of 3-D fiber reinforced composites , ballistic strength of soft armors </t>
  </si>
  <si>
    <r>
      <rPr>
        <u/>
        <sz val="10"/>
        <color rgb="FF000000"/>
        <rFont val="Arial"/>
        <family val="2"/>
      </rPr>
      <t>Kevin Wanklyn</t>
    </r>
    <r>
      <rPr>
        <u/>
        <sz val="10"/>
        <color rgb="FF000000"/>
        <rFont val="Arial"/>
        <family val="2"/>
      </rPr>
      <t xml:space="preserve">
</t>
    </r>
  </si>
  <si>
    <t>kwanklyn@k-state.edu</t>
  </si>
  <si>
    <r>
      <rPr>
        <u/>
        <sz val="10"/>
        <color rgb="FF000000"/>
        <rFont val="Arial"/>
        <family val="2"/>
      </rPr>
      <t>Mingjun Wei</t>
    </r>
    <r>
      <rPr>
        <u/>
        <sz val="10"/>
        <color rgb="FF000000"/>
        <rFont val="Arial"/>
        <family val="2"/>
      </rPr>
      <t xml:space="preserve">
</t>
    </r>
  </si>
  <si>
    <t>mjwei@k-state.edu</t>
  </si>
  <si>
    <t xml:space="preserve">Mingjun Wei runs the Computation Science for Fluids and Acoustics Lab. His s are broadly defined, but centered on applying computational science for simulation, modeling, control and optimization in fluid mechanics. His current research efforts include high-performance computation for the simulation of incompressible and compressible flows involving the interaction with solid structures, developing model order reduction methods to apply on complex fluid-solid systems to achieve low order models for real-time computation and autonomous control, and developing adjoint-based approach for sensitivity study and optimization of fluid problems with large control space and moving/morphing solid boundaries. </t>
  </si>
  <si>
    <t>simulation, modeling, control , optimization in fluid mechanics, His current research efforts include high-performance computation for the simulation of incompressible , compressible flows involving the interaction with solid structures, developing model order reduction methods to apply on complex fluid-solid systems to achieve low order models for real-time computation , autonomous control, developing adjoint-based approach for sensitivity study , optimization of fluid problems with large control space , moving/morphing solid boundaries</t>
  </si>
  <si>
    <r>
      <rPr>
        <u/>
        <sz val="10"/>
        <color rgb="FF000000"/>
        <rFont val="Arial"/>
        <family val="2"/>
      </rPr>
      <t>Jack Xin</t>
    </r>
    <r>
      <rPr>
        <u/>
        <sz val="10"/>
        <color rgb="FF000000"/>
        <rFont val="Arial"/>
        <family val="2"/>
      </rPr>
      <t xml:space="preserve">
</t>
    </r>
  </si>
  <si>
    <t>xin@k-state.edu</t>
  </si>
  <si>
    <t xml:space="preserve">Xin’s research is focused on computational mechanics, micromechanics, and materials. </t>
  </si>
  <si>
    <t>computational mechanics, micromechanics, materials</t>
  </si>
  <si>
    <t>San Diego State University</t>
  </si>
  <si>
    <t>DR. JOHN ABRAHAM</t>
  </si>
  <si>
    <t>Chairjabraham@sdsu.edu</t>
  </si>
  <si>
    <t xml:space="preserve">Multiphase Flows, Sprays, Combustion, Internal Combustion Engines, Fuel Chemistry, Computational Fluid Dynamics, High Performance Computing
</t>
  </si>
  <si>
    <t>Multiphase Flows, Sprays, Combustion, Internal Combustion Engines, Fuel Chemistry, Computational Fluid Dynamics, High Performance Computing</t>
  </si>
  <si>
    <t>DR. SARA ADIBI</t>
  </si>
  <si>
    <t>sadibi@sdsu.edu</t>
  </si>
  <si>
    <t xml:space="preserve">Computational Mechanics, Multiscale Modeling of Materials
</t>
  </si>
  <si>
    <t>DR. ASFAW BEYENE</t>
  </si>
  <si>
    <t>abeyene@sdsu.edu</t>
  </si>
  <si>
    <t xml:space="preserve">Renewable Energy, Thermodynamic Cycles, Energy Analysis, Mathematical Modeling, Simulation of Thermal Systems
</t>
  </si>
  <si>
    <t>DR. AMNEET BHALLA</t>
  </si>
  <si>
    <t>asbhalla@sdsu.edu</t>
  </si>
  <si>
    <t xml:space="preserve">Fluid-Structure Interaction, Multiphase Flows, Aquatic Locomotion, Renewable Energy Device Modeling, Numerical Methods, High Performance Computing, Scientific Software Design
</t>
  </si>
  <si>
    <t>#167 - Best Engineering Schools</t>
  </si>
  <si>
    <t>DR. SUBRATA BHATTACHARJEE</t>
  </si>
  <si>
    <t>sbhattacharjee@sdsu.edu</t>
  </si>
  <si>
    <t xml:space="preserve">Computational Thermodynamics, Combustion
</t>
  </si>
  <si>
    <t>Computational Thermodynamics, Combustion</t>
  </si>
  <si>
    <t>DR. JOAQUIN CAMACHO</t>
  </si>
  <si>
    <t>jcamacho@sdsu.edu</t>
  </si>
  <si>
    <t xml:space="preserve">Multiphase Flows, Sustainable Energy, Nanomaterial Theory and Fabrication, Combustion, Aerosol Dynamics, Carbon Materials
</t>
  </si>
  <si>
    <t xml:space="preserve">Multiphase Flows, Sustainable Energy, Nanomaterial Theory , Fabrication, Combustion, Aerosol Dynamics, Carbon Materials
</t>
  </si>
  <si>
    <t>DR. MEYSAM HEYDARI-GHARAHCHESHMEH</t>
  </si>
  <si>
    <t>mheydari@sdsu.edu</t>
  </si>
  <si>
    <t xml:space="preserve">Advanced manufacturing, chemical vapor deposition methods, texture and nanostructural engineering, energy harvesting and storage materials, polymers and thin film deposition.
</t>
  </si>
  <si>
    <t xml:space="preserve">Advanced manufacturing, chemical vapor deposition methods, texture , nanostructural engineering, energy harvesting , storage materials, polymers , thin film deposition,
</t>
  </si>
  <si>
    <t>DR. SUNGBUM (JOHN) KANG</t>
  </si>
  <si>
    <t>jkang4@sdsu.edu</t>
  </si>
  <si>
    <t xml:space="preserve">Smart Manufacturing, Machine Learning, Machine Vision, Cyber Physical Systems, Additive Manufacturing, Optical Metrology, Mechatronics/Robotics, Materials Characterization
</t>
  </si>
  <si>
    <t>DR. SAMUEL KASSEGNE</t>
  </si>
  <si>
    <t>kassegne@sdsu.edu</t>
  </si>
  <si>
    <t xml:space="preserve">MEMS/NEMS, Nanotechnology, Bioengineering and Computational Sciences
</t>
  </si>
  <si>
    <t xml:space="preserve">MEMS/NEMS, Nanotechnology, Bioengineering , Computational Sciences
</t>
  </si>
  <si>
    <t>DR. PARAG KATIRA</t>
  </si>
  <si>
    <t>pkatira@sdsu.edu</t>
  </si>
  <si>
    <t xml:space="preserve">Biomolecular Motors, Cell Mechanics, Mechanosensing, Tissue Dynamics, Soft Matter Interactions, Design of Active Materials
</t>
  </si>
  <si>
    <t>DR. KAREN MAY-NEWMAN</t>
  </si>
  <si>
    <t>kmaynewm@sdsu.edu</t>
  </si>
  <si>
    <t xml:space="preserve">Biomechanics, Biomaterials, Medical Device Design
</t>
  </si>
  <si>
    <t>DR. FLETCHER MILLER</t>
  </si>
  <si>
    <t>fmiller@sdsu.edu</t>
  </si>
  <si>
    <t xml:space="preserve">Combustion, Fire, Sustainable Energy, Solar Thermal Power
</t>
  </si>
  <si>
    <t>$7,176 per year (in-state, full-time)</t>
  </si>
  <si>
    <t>DR. KEE MOON</t>
  </si>
  <si>
    <t>kmoon@sdsu.edu</t>
  </si>
  <si>
    <t xml:space="preserve">Mechatronics, Precision Engineering, Machine Design
</t>
  </si>
  <si>
    <t>DR. KHALED MORSI</t>
  </si>
  <si>
    <t>kmorsi@sdsu.edu</t>
  </si>
  <si>
    <t xml:space="preserve">Nanomaterials, Powder Metallurgy, Engineering Materials, Advanced Materials Processing and Thermodynamics.
</t>
  </si>
  <si>
    <t xml:space="preserve">Nanomaterials, Powder Metallurgy, Engineering Materials, Advanced Materials Processing , Thermodynamics,
</t>
  </si>
  <si>
    <t>DR. PEIMAN NASERADINMOUSAVI</t>
  </si>
  <si>
    <t>pnaseradinmousavi@sdsu.edu</t>
  </si>
  <si>
    <t xml:space="preserve">Smart Flow Distribution Network, Robotics, Nonlinear Dynamics, Control Theory, Optimization, Magnetic Bearings, Mathematical Modeling
</t>
  </si>
  <si>
    <t>DR. ZAHRA NILI AHMADABADI</t>
  </si>
  <si>
    <t>zniliahmadabadi@sdsu.edu</t>
  </si>
  <si>
    <t xml:space="preserve">Cooperative Robotics, Acoustic Perception, Robot Learning, Motion Planning, Nonlinear Dynamical Systems, Dynamic Systems and Control, DeePLearning and Sequence Modeling, Autonomy, and Autonomous Fault Detection
</t>
  </si>
  <si>
    <t xml:space="preserve">Cooperative Robotics, Acoustic Perception, Robot Learning, Motion Planning, Nonlinear Dynamical Systems, Dynamic Systems , Control, DeePLearning , Sequence Modeling, Autonomy, Autonomous Fault Detection
</t>
  </si>
  <si>
    <t>DR. SUNG-YONG (SEAN) PARK</t>
  </si>
  <si>
    <t>spark10@sdsu.edu</t>
  </si>
  <si>
    <t xml:space="preserve">Microfluidics, Optofluidics, Interfacial Science, Biofluidics, Biophotonics, Biological Sensors, Water/Air Quality Detection, Lab on a Chip, Energy Harvesting, Solar Energy Collection and Indoor Lighting, Multi-Physics Computational Simulation, and Micro/Nano Fabrication
</t>
  </si>
  <si>
    <t>Microfluidics, Optofluidics, Interfacial Science, Biofluidics, Biophotonics, Biological Sensors, Water/Air Quality Detection, Lab on a Chip, Energy Harvesting, Solar Energy Collection , Indoor Lighting, Multi-Physics Computational Simulation, Micro/Nano Fabrication</t>
  </si>
  <si>
    <t>DR. ELISA TORRESANI</t>
  </si>
  <si>
    <t>etorresani@sdsu.edu</t>
  </si>
  <si>
    <t>Dr. Torresani’s research is focused on understanding the fundamentals of sintering and developing con-stitutive models of sintering which enable the prediction of the macroscopic and microscopic behavior of po-rous bodies (shape distortion, density distribution, grain growth, etc.) Her current research emphasizes the coupling of experimental and theoretical investigations for a better understanding of the chemical and physi-cal phenomena that drive and influence sintering-assisted additive manufacturing and field-assisted sinter-ing processes.</t>
  </si>
  <si>
    <t>understing the fundamentals of sintering , developing con-stitutive models of sintering which enable the prediction of the macroscopic , microscopic behavior of po-rous bodies, theoretical investigations for a better underst,ing of the chemical , physi-cal phenomena that drive , influence sintering-assisted additive manufacturing , field-assisted sinter-ing processes</t>
  </si>
  <si>
    <t>DR. WENWU XU</t>
  </si>
  <si>
    <t>wenwu.xu@sdsu.edu</t>
  </si>
  <si>
    <t>Multiscale Modeling of Materials, Molecular Dynamics,
Quantum Mechanics, Electron Microscopy, X-ray Microscopy</t>
  </si>
  <si>
    <t>DR. YANG YANG</t>
  </si>
  <si>
    <t>yyang10@sdsu.edu</t>
  </si>
  <si>
    <t>Additive Manufacturing, Micro and Nano Fabrication, Nanocomposites, Renewable Energy, Self-Healing Materials</t>
  </si>
  <si>
    <t>Additive Manufacturing, Micro , Nano Fabrication, Nanocomposites, Renewable Energy, Self-Healing Materials</t>
  </si>
  <si>
    <t>DR. GEORGE YOUSSEF</t>
  </si>
  <si>
    <t>gyoussef@sdsu.edu</t>
  </si>
  <si>
    <t>Mechanics of Nontraditional Materials, Polymers, Composites,
Multiferroic, Experimental Mechanics</t>
  </si>
  <si>
    <t>RICHARD AYALA</t>
  </si>
  <si>
    <t>rayala@sdsu.edu</t>
  </si>
  <si>
    <t xml:space="preserve">Mechanics, Thermal Sciences
</t>
  </si>
  <si>
    <t>Mechanics, Thermal Sciences</t>
  </si>
  <si>
    <t>LUIS ESCALONA, PH.D</t>
  </si>
  <si>
    <t>lwescalonagalvis@sdsu.edu</t>
  </si>
  <si>
    <t xml:space="preserve">Mechatronics, Instrumentation, Computational Science
</t>
  </si>
  <si>
    <t>Mechatronics, Instrumentation, Computational Science</t>
  </si>
  <si>
    <t>ALEX LEE</t>
  </si>
  <si>
    <t>alee9@sdsu.edu</t>
  </si>
  <si>
    <t xml:space="preserve">Computer aided design
</t>
  </si>
  <si>
    <t>Computer aided design</t>
  </si>
  <si>
    <t>ALEXANDER LEHMAN, PH.D</t>
  </si>
  <si>
    <t>atlehman@sdsu.edu</t>
  </si>
  <si>
    <t>VANITA MURTHY</t>
  </si>
  <si>
    <t>vmurthy@sdsu.edu</t>
  </si>
  <si>
    <t>Design</t>
  </si>
  <si>
    <t>SOMAR NACY, PH.D</t>
  </si>
  <si>
    <t>snacy@sdsu.edu</t>
  </si>
  <si>
    <t>Mechanics</t>
  </si>
  <si>
    <t>HAMID NOUROLLAHI</t>
  </si>
  <si>
    <t>hnourollahi@sdsu.edu</t>
  </si>
  <si>
    <t xml:space="preserve">Mechanics, Materials
</t>
  </si>
  <si>
    <t>ALIREZA PAKRAVAN, PH.D</t>
  </si>
  <si>
    <t>apakravan@sdsu.edu</t>
  </si>
  <si>
    <t xml:space="preserve">Statics, Structural Design
</t>
  </si>
  <si>
    <t>CYRUS SAGHAFI, PH.D.</t>
  </si>
  <si>
    <t>csaghafi@sdsu.edu</t>
  </si>
  <si>
    <t xml:space="preserve">Computer Aided Design
</t>
  </si>
  <si>
    <t>SCOTTSHAFFAR, PH.D.</t>
  </si>
  <si>
    <t>sshaffar@sdsu.edu</t>
  </si>
  <si>
    <t xml:space="preserve">Senior Design
</t>
  </si>
  <si>
    <t>VUK USKOKOVIC, PH.D.</t>
  </si>
  <si>
    <t xml:space="preserve">Biomedical Devices
</t>
  </si>
  <si>
    <t>GREGORY VECA</t>
  </si>
  <si>
    <t>gveca@sdsu.edu</t>
  </si>
  <si>
    <t xml:space="preserve">HVAC, Thermal Systems
</t>
  </si>
  <si>
    <t>JEFF WIELD</t>
  </si>
  <si>
    <t>pwield@sdsu.edu</t>
  </si>
  <si>
    <t>Manufacturing</t>
  </si>
  <si>
    <t>Texas Tech University (Whitacre)</t>
  </si>
  <si>
    <t>Ahmad, Zeeshan, Ph.D.</t>
  </si>
  <si>
    <t>zeeahmad@ttu.edu</t>
  </si>
  <si>
    <t>Lithium-ion Batteries
Solar Photovoltaics
Computational Materials Science
Machine Learning in Physical Sciences and Engineering</t>
  </si>
  <si>
    <t>Lithium-ion Batteries,
Solar Photovoltaics,
Computational Materials Science,
Machine Learning in Physical Sciences , Engineering</t>
  </si>
  <si>
    <t>Aksak, Burak, Ph.D.</t>
  </si>
  <si>
    <t>burak.aksak@ttu.edu</t>
  </si>
  <si>
    <t>Development of bio−inspired devices for adhesion, sensing, actuation and energy harvesting.
Multi−functional, self−sufficient systems which exploit the increased surface−to−volume ratio and the high sensitivity of micro/nano structures.</t>
  </si>
  <si>
    <t>Development of bio−inspired devices for adhesion, sensing, actuation , energy harvesting,
Multi−functional, self−sufficient systems which exploit the increased surface−to−volume ratio , the high sensitivity of micro/nano structures,</t>
  </si>
  <si>
    <t>BaturalP(Batu), Turgut B., Ph.D.</t>
  </si>
  <si>
    <t>b.baturalp@ttu.edu</t>
  </si>
  <si>
    <t>Cardiovascular mechanics
Biomedical device design
Robotics
Space structures
Transdisciplinary research and education.</t>
  </si>
  <si>
    <t>Cardiovascular mechanics,
Biomedical device design,
Robotics,
Space structures,
Transdisciplinary research , education,</t>
  </si>
  <si>
    <t>Bhattacharya, Sonal</t>
  </si>
  <si>
    <t>sonal.bhattacharya@ttu.edu</t>
  </si>
  <si>
    <t>Bhattacharya, Sukalyan, Ph.D.</t>
  </si>
  <si>
    <t>s.bhattacharya@ttu.edu</t>
  </si>
  <si>
    <t xml:space="preserve">Low Reynold's Number Hydrodynamics
Turbulence and Turbulent Scalar Transport
Statistical Mechanics
</t>
  </si>
  <si>
    <t xml:space="preserve">Low Reynold's Number Hydrodynamics,
Turbulence , Turbulent Scalar Transport,
Statistical Mechanics
</t>
  </si>
  <si>
    <t>Blawzdziewicz, Jerzy, Ph.D.</t>
  </si>
  <si>
    <t>jerzy.blawzdziewicz@ttu.edu</t>
  </si>
  <si>
    <t>Colloidal Suspensions
Functional Nanocomposite Membranes
Metallic Glasses
Soft Biological Matter</t>
  </si>
  <si>
    <t>Colloidal Suspensions,
Functional Nanocomposite Membranes,
Metallic Glasses,
Soft Biological Matter</t>
  </si>
  <si>
    <t>Christopher, Gordon, Ph.D.</t>
  </si>
  <si>
    <t>gordon.christopher@ttu.edu</t>
  </si>
  <si>
    <t>Interfacial and bulk rheology using microfluidics and other novel techniques</t>
  </si>
  <si>
    <t>Interfacial , bulk rheology using microfluidics</t>
  </si>
  <si>
    <t>Chyu, Ming, Ph.D., P.E.</t>
  </si>
  <si>
    <t>m.chyu@ttu.edu</t>
  </si>
  <si>
    <t>Healthcare Engineering
Thermal Fluid Sciences
Energy Systems</t>
  </si>
  <si>
    <t>Healthcare Engineering,
Thermal Fluid Sciences,
Energy Systems</t>
  </si>
  <si>
    <t>Docimo, Donald, Ph.D.</t>
  </si>
  <si>
    <t>donald.docimo@ttu.edu</t>
  </si>
  <si>
    <t>Control Systems
Design Optimization
Application Areas Include
Battery Systems
Electrified Vehicles (Automotive, Aerial, etc.)
Renewable Energy Systems
Building Energy Systems Connected to the Grid</t>
  </si>
  <si>
    <t>Control Systems,
Design Optimization,
Application Areas Include,
Battery Systems,
Electrified Vehicles,
Renewable Energy Systems,
Building Energy Systems Connected to the Grid</t>
  </si>
  <si>
    <t>Egan, Paul, Ph.D.</t>
  </si>
  <si>
    <t>paul.egan@ttu.edu</t>
  </si>
  <si>
    <t>Design
Medicine
3D Printing
Computing
Cognition</t>
  </si>
  <si>
    <t>Design,
Medicine,
3D Printing,
Computing,
Cognition</t>
  </si>
  <si>
    <t>Ekwaro-Osire, Stephen, Ph.D.,</t>
  </si>
  <si>
    <t>stephen.ekwaro-osire@ttu.edu</t>
  </si>
  <si>
    <t xml:space="preserve">Uncertainty Quantification
Structural Health Diagnosis and Prognosis
Engineering Design
Orthopedic Biomechanics
</t>
  </si>
  <si>
    <t xml:space="preserve">Uncertainty Quantification,
Structural Health Diagnosis , Prognosis,
Engineering Design,
Orthopedic Biomechanics
</t>
  </si>
  <si>
    <t>Ertas, Atila, Ph.D.</t>
  </si>
  <si>
    <t>atila.ertas@ttu.edu</t>
  </si>
  <si>
    <t>Transdisciplinary design and related research topics
Material galling and coating (Tribology)
Nonlinear dynamics and acoustic
Test method development
3D printing technology</t>
  </si>
  <si>
    <t>Transdisciplinary design , related research topics,
Material galling , coating,
Nonlinear dynamics , acoustic,
Test method development,
3D printing technology</t>
  </si>
  <si>
    <t>$8,347 per year (in-state, full-time)</t>
  </si>
  <si>
    <t>Han, Seon, Ph.D.</t>
  </si>
  <si>
    <t>seon.han@ttu.edu</t>
  </si>
  <si>
    <t>Mechanics of Offshore Platforms and Marine Structures
Fluid−Induced Vibration
Random Vibrations</t>
  </si>
  <si>
    <t>Mechanics of Offshore Platforms , Marine Structures,
Fluid−Induced Vibration,
Random Vibrations</t>
  </si>
  <si>
    <t>Hanson, Jeff, Ph.D.</t>
  </si>
  <si>
    <t>j.hanson@ttu.edu</t>
  </si>
  <si>
    <t>Engineering Education
Developing New Learning Models that Adapt to New Student Ways of Learning
Innovative Design Engineering</t>
  </si>
  <si>
    <t>Engineering Education,
Developing New Learning Models that Adapt to New Student Ways of Learning,
Innovative Design Engineering</t>
  </si>
  <si>
    <t>He, Zhaoming, Ph.D.</t>
  </si>
  <si>
    <t>zhaoming.he@ttu.edu</t>
  </si>
  <si>
    <t>Heart−Valve Tissue Mechanics
Cardiovascular Mechano−Biology
Cardiovascular Medical Devices</t>
  </si>
  <si>
    <t>Heart−Valve Tissue Mechanics,
Cardiovascular Mechano−Biology,
Cardiovascular Medical Devices</t>
  </si>
  <si>
    <t>Hong, Zhongkui, Ph.D.</t>
  </si>
  <si>
    <t>Zhongkui.hong@ttu.edu</t>
  </si>
  <si>
    <t xml:space="preserve">Biomechanics in cardiovascular diseases and cancer metastasis
Mechanics in biomaterial design and tissue engineering
Stem cell-derived tissue engineering
Nanomaterials for tissue engineering and drug delivery
</t>
  </si>
  <si>
    <t xml:space="preserve">Biomechanics in cardiovascular diseases , cancer metastasis,
Mechanics in biomaterial design , tissue engineering,
Stem cell-derived tissue engineering,
Nanomaterials for tissue engineering , drug delivery
</t>
  </si>
  <si>
    <t>Hussain, Fazle, Ph.D.</t>
  </si>
  <si>
    <t>fazle.hussain@ttu.edu</t>
  </si>
  <si>
    <t>Vortex dynamics, turbulence, and measurement techniques
Coherent structures in fluid turbulence
Holography
Flow noise and flow control
Cardiovascular dynamics
Modeling cancer growth
Nanomedicine and nanotechnology</t>
  </si>
  <si>
    <t>Vortex dynamics, turbulence, measurement techniques,
Coherent structures in fluid turbulence,
Holography,
Flow noise , flow control,
Cardiovascular dynamics,
Modeling cancer growth,
Nanomedicine , nanotechnology</t>
  </si>
  <si>
    <t>Idesman, Alexander, Ph.D.</t>
  </si>
  <si>
    <t>alexander.idesman@ttu.edu</t>
  </si>
  <si>
    <t>Development of New High-Order Numerical Methods with Optimal Accuracy for Partial Differential Equations
New Finite Element Algorithms for Wave Propagation, Structural Dynamics and Heat Transfer Problems
Time−Integration Methods for Elastodynamics Including Impact Problems
Nonlinear Problems with Finite Thermal, Elastic and Plastic Strains, Nonlinear Problems with Martensitic Phase Transitions (Steels, Shape Memory Alloys)
Numerical Simulation of Different Engineering Problems</t>
  </si>
  <si>
    <t>Development of New High-Order Numerical Methods with Optimal Accuracy for Partial Differential Equations,
New Finite Element Algorithms for Wave Propagation, Structural Dynamics , Heat Transfer Problems,
Time−Integration Methods for Elastodynamics Including Impact Problems,
Nonlinear Problems with Finite Thermal, Elastic , Plastic Strains, Nonlinear Problems with Martensitic Phase Transitions,
Numerical Simulation of Different Engineering Problems</t>
  </si>
  <si>
    <t>Kong, Song-Charng, Ph.D.</t>
  </si>
  <si>
    <t>sokong@ttu.edu</t>
  </si>
  <si>
    <t>Spray combustion
Spray dynamics and wall interactions
Engine performance optimization algorithms
Biomass particle fast pyrolysis
Unmanned aerial system propulsion for military application</t>
  </si>
  <si>
    <t>Spray combustion,
Spray dynamics , wall interactions,
Engine performance optimization algorithms,
Biomass particle fast pyrolysis,
Unmanned aerial system propulsion for military application</t>
  </si>
  <si>
    <t>Liu, Jingfei, PhD</t>
  </si>
  <si>
    <t>Jingfei.Liu@ttu.edu</t>
  </si>
  <si>
    <t>Acoustics/ultrasonics
Biomedical ultrasound imaging
Biomedical ultrasound therapy
Medical devices
Biomechanics
Signal &amp; imaging processing
Ultrasound nondestructive testing/evaluation</t>
  </si>
  <si>
    <t>Acoustics/ultrasonics,
Biomedical ultrasound imaging,
Biomedical ultrasound therapy,
Medical devices,
Biomechanics,
Signal &amp; imaging processing,
Ultrasound nondestructive testing/evaluation</t>
  </si>
  <si>
    <t>Ma, Yanzhang, Ph.D.</t>
  </si>
  <si>
    <t>y.ma@ttu.edu</t>
  </si>
  <si>
    <t>Diamond Anvil Cell High−Pressure Techniques
Laser−Heating High−Temperature Technique
Stress &amp; Strain Under High−Pressure
Synchrotron X−Ray Measurement
High−Pressure Spectroscopy Measurements
High−Pressure &amp; High−Temperature Phase Transformation
High−Pressure Synthesis
High−Pressure Electronic Properties
Nano−Materials
Energy &amp; Superhard Materials
Behavior of Minerals Under High−Pressure &amp; Temperature</t>
  </si>
  <si>
    <t>Diamond Anvil Cell High−Pressure Techniques,
Laser−Heating High−Temperature Technique,
Stress &amp; Strain Under High−Pressure,
Synchrotron X−Ray Measurement,
High−Pressure Spectroscopy Measurements,
High−Pressure &amp; High−Temperature Phase Transformation,
High−Pressure Synthesis,
High−Pressure Electronic Properties,
Nano−Materials,
Energy &amp; Superhard Materials,
Behavior of Minerals Under High−Pressure &amp; Temperature</t>
  </si>
  <si>
    <t>Maldonado, Victor, Ph.D.</t>
  </si>
  <si>
    <t>victor.maldonado@ttu.edu</t>
  </si>
  <si>
    <t xml:space="preserve">High Energy Fluid Mechanics  
Breakdown and Control of Vortex Structures
Fixed-Wing and Rotating Blade Aerodynamics 
Fluid Mixing and Combustion Control
Hybrid and Reconfigurable Unmanned Aerial Vehicle Design </t>
  </si>
  <si>
    <t xml:space="preserve">High Energy Fluid Mechanics,
Breakdown , Control of Vortex Structures,
Fixed-Wing , Rotating Blade Aerodynamics,
Fluid Mixing , Combustion Control,
Hybrid , Reconfigurable Unmanned Aerial Vehicle Design </t>
  </si>
  <si>
    <t>Mosedale, Andrew, M.S.</t>
  </si>
  <si>
    <t>andrew.mosedale@ttu.edu</t>
  </si>
  <si>
    <t xml:space="preserve">Fluid Mechanics
Aerodynamics
History of Science and Technology
</t>
  </si>
  <si>
    <t xml:space="preserve">Fluid Mechanics,
Aerodynamics,
History of Science , Technology
</t>
  </si>
  <si>
    <t>Moussa, Hanna, Ph.D.</t>
  </si>
  <si>
    <t>hanna.moussa@ttu.edu</t>
  </si>
  <si>
    <t>Radiation safety and control
Dose and risk assessment
Radiation protection and detection
Radiation transport and modeling
Radiation shielding
Space radiation
Nuclear and radiological instrumentations</t>
  </si>
  <si>
    <t>Radiation safety , control,
Dose , risk assessment,
Radiation protection , detection,
Radiation transport , modeling,
Radiation shielding,
Space radiation,
Nuclear , radiological instrumentations</t>
  </si>
  <si>
    <t>Pantoya, Michelle, Ph.D.</t>
  </si>
  <si>
    <t>michelle.pantoya@ttu.edu</t>
  </si>
  <si>
    <t>Energetic Materials
Combustion
Experimental Heat Transfer</t>
  </si>
  <si>
    <t>Energetic Materials,
Combustion,
Experimental Heat Transfer</t>
  </si>
  <si>
    <t>Parameswaran, Siva, Ph.D.</t>
  </si>
  <si>
    <t>siva.parameswaran@ttu.edu</t>
  </si>
  <si>
    <t>Pothuvila Kankanamge, Kalana Lakshitha</t>
  </si>
  <si>
    <t>Kalana.Pothuvila@ttu.edu</t>
  </si>
  <si>
    <t>Robot visual navigation, Robot perception,
Embodied Question Answering,
Industrial control systems
Practical robot applications
Cyber security for control systems and robots</t>
  </si>
  <si>
    <t>Robot visual navigation, Robot perception,
Embodied Question Answering,
Industrial control systems,
Practical robot applications,
Cyber security for control systems , robots</t>
  </si>
  <si>
    <t>Rasty, Jahan, Ph.D.,</t>
  </si>
  <si>
    <t>jahan.rasty@ttu.edu</t>
  </si>
  <si>
    <t>Materials Performance &amp; Behavior Characterization
Component Failure Analysis &amp; Investigation
Manufacturing
Mechanical Metallurgy
Numerical Modeling of Large−Strain Manufacturing Processes Tube Drawing, Extrusion, Rolling, &amp; Forging
High Strain−Rate and High Heating−Rate Characterization of Materials
Characterization of Materials Behavior Subject to Explosives Detonation
Effect of High−Velocity Impact on Materials Behavior &amp; Performance
Friction &amp; Slip−Resistance of Walkway Surfaces for Reduction of Slip−and−Fall Incidents</t>
  </si>
  <si>
    <t>Materials Performance, Behavior Characterization,
Component Failure Analysis &amp; Investigation,
Manufacturing,
Mechanical Metallurgy,
Numerical Modeling of Large−Strain Manufacturing Processes Tube Drawing, Extrusion, Rolling, &amp; Forging,
High Strain−Rate , High Heating−Rate Characterization of Materials,
Characterization of Materials Behavior Subject to Explosives Detonation,
Effect of High−Velocity Impact on Materials Behavior &amp; Performance</t>
  </si>
  <si>
    <t>Ren, Beibei, Ph.D.</t>
  </si>
  <si>
    <t>beibei.ren@ttu.edu</t>
  </si>
  <si>
    <t>Nonlinear System Control Methods and Algorithm Design
Robust Control
Adaptive Control
Neural Networks
Boundary Control of Systems Modeled by PDEs
Real-time Optimization Using Extremum Seeking
Applications
Renewable Energy Systems (solar, wind) and Grid Integration
Microgrids
Unmanned Aerial Vehicles
Smart Material (e.g., piezoelectric, vanadium oxide)-Based Actuators</t>
  </si>
  <si>
    <t>Nonlinear System Control Methods , Algorithm Design,
Robust Control,
Adaptive Control,
Neural Networks,
Boundary Control of Systems Modeled by PDEs,
Real-time Optimization Using Extremum Seeking,
Applications,
Renewable Energy Systems (solar, wind) , Grid Integration,
Microgrids,
Unmanned Aerial Vehicles,
Smart Material</t>
  </si>
  <si>
    <t>Roy, Tanushree, Ph.D.</t>
  </si>
  <si>
    <t>tanushree.roy@ttu.edu</t>
  </si>
  <si>
    <t>Fault diagnostics
Cybersecurity
Socio-technical systems
Application areas smart transportation systems, battery energy storage systems</t>
  </si>
  <si>
    <t>Fault diagnostics,
Cybersecurity,
Socio-technical systems,
Application areas smart transportation systems, battery energy storage systems</t>
  </si>
  <si>
    <t>Shturman, Leon, M. Eng.</t>
  </si>
  <si>
    <t>leon.shturman@ttu.edu</t>
  </si>
  <si>
    <t>Tang, Shu-Xia, Ph.D.</t>
  </si>
  <si>
    <t>shuxia.tang@ttu.edu</t>
  </si>
  <si>
    <t>Control Theory
PDE Stability Analysis &amp; Control
PDE Optimal Actuator &amp; Sensor Designs 
Control Applications
Swarm Robotic Systems
Deployment and formation tracking 
Collision and obstacle avoidance
Energy Systems 
Li-ion battery systems
Oil drilling systems    
Flow Systems 
Water management systems
Traffic management systems</t>
  </si>
  <si>
    <t>Control Theory,
PDE Stability Analysis &amp; Control,
PDE Optimal Actuator &amp; Sensor Designs,
Control Applications,
Swarm Robotic Systems,
Deployment , formation tracking,
Collision , obstacle avoidance,
Energy Systems,
Li-ion battery systems,
Oil drilling systems,    
Flow Systems,
Water management systems,
Traffic management systems</t>
  </si>
  <si>
    <t>Yang, James, Ph.D.</t>
  </si>
  <si>
    <t>james.yang@ttu.edu</t>
  </si>
  <si>
    <t>Biomechanics and bio-inspired systems
Robotics and multibody dynamic systems
Human modeling and simulation
Human locomotion
Slips and falls
Spine biomechanics
Human-centric design
Healthcare engineering</t>
  </si>
  <si>
    <t>Biomechanics , bio-inspired systems,
Robotics , multibody dynamic systems,
Human modeling , simulation,
Human locomotion,
Slips , falls,
Spine biomechanics,
Human-centric design,
Healthcare engineering</t>
  </si>
  <si>
    <t>Yeo, Changdong, Ph.D.</t>
  </si>
  <si>
    <t>changdong.yeo@ttu.edu</t>
  </si>
  <si>
    <t>Multi-scale Material Behaviors
Electrical/Magnetic Properties of Advanced Materials
Contact Mechanics
Surface and Interface Mechanics</t>
  </si>
  <si>
    <t>Multi-scale Material Behaviors
Electrical/Magnetic Properties of Advanced Materials
Contact Mechanics
Surface , Interface Mechanics</t>
  </si>
  <si>
    <t>Zhang, Yanyan</t>
  </si>
  <si>
    <t>Yanyan.Zhang@ttu.edu</t>
  </si>
  <si>
    <t>Nano Materials and Device Applications TiO2, ZnO, Cu2O, SnO2 and other semiconducting nano-structures (nanotubes, nanorods, nanoparticles and etc.) and their applications in solar cells, sensors.
Materials Properties under High Pressure Carbon materials and semiconducting nano-materials phase transition and property changes under high pressure by using DAC (Diamond Anvil Cells).</t>
  </si>
  <si>
    <t>Nano Materials , Device Applications TiO2, ZnO, Cu2O, SnO2 , other semiconducting nano-structures (nanotubes, nanorods, nanoparticles , etc,) , their applications in solar cells, sensors,
Materials Properties under High Pressure Carbon materials , semiconducting nano-materials phase transition , property changes under high pressure by using DAC (Diamond Anvil Cells),</t>
  </si>
  <si>
    <t>University of Georgia</t>
  </si>
  <si>
    <t>Robert Baffour, Ph.D.</t>
  </si>
  <si>
    <t>rbaffour@uga.edu</t>
  </si>
  <si>
    <t xml:space="preserve">Civil and Geomatic Engineering
Transportation Engineering,
Transportation Design,
Transportation Planning
Geographic Information Systems
Global Positioning Systems
Engineering Surveying </t>
  </si>
  <si>
    <t xml:space="preserve">Civil , Geomatic Engineering,
Transportation Engineering,
Transportation Design,
Transportation Planning
Geographic Information Systems,
Global Positioning Systems,
Engineering Surveying </t>
  </si>
  <si>
    <t>School of Environmental, Civil, Agricultural, and Mechanical Engineering</t>
  </si>
  <si>
    <t>Eliza Banu, Ph.D.</t>
  </si>
  <si>
    <t>eab43235@uga.edu</t>
  </si>
  <si>
    <t xml:space="preserve">Biomechanics
Engineering Education
</t>
  </si>
  <si>
    <t xml:space="preserve">Biomechanics,Engineering Education
</t>
  </si>
  <si>
    <t>Matthew V. Bilskie, Ph.D.</t>
  </si>
  <si>
    <t>mbilskie@uga.edu</t>
  </si>
  <si>
    <t xml:space="preserve">Climate Change and Sea Level Rise
Coastal Resiliency
Coastal Engineering
Natural and Nature-Based Infrastructure
Compound Flooding
Hurricane Storm Surge
Stakeholder Engagement
</t>
  </si>
  <si>
    <t xml:space="preserve">Climate Change , Sea Level Rise,
Coastal Resiliency,
Coastal Engineering,
Natural , Nature-Based Infrastructure,
Compound Flooding,
Hurricane Storm Surge,
Stakeholder Engagement
</t>
  </si>
  <si>
    <t>Bjorn Birgisson, Ph.D., P.E.</t>
  </si>
  <si>
    <t>Bjorn.Birgisson@uga.edu</t>
  </si>
  <si>
    <t>Brian Bledsoe, Ph.D., P.E.</t>
  </si>
  <si>
    <t>bbledsoe@uga.edu</t>
  </si>
  <si>
    <t xml:space="preserve">Hydrology, hydraulics, and fluvial geomorphology
Ecological engineering and ecosystem restoration
Urban streams, stormwater, and floodplain networks
Water-centered planning for sustainability and resilience
Watershed management
Water quality / quantity interface
</t>
  </si>
  <si>
    <t xml:space="preserve">Hydrology, hydraulics, fluvial geomorphology,
Ecological engineering , ecosystem restoration,
Urban streams, stormwater, floodplain networks,
Water-centered planning for sustainability , resilience,
Watershed management,
Water quality / quantity interface
</t>
  </si>
  <si>
    <t>Jaime Camelio, Ph.D.</t>
  </si>
  <si>
    <t>jcamelio@uga.edu</t>
  </si>
  <si>
    <t xml:space="preserve">Intelligent manufacturing systems - design, modeling, analysis, and control of complex systems
Cyber physical security for manufacturing systems – vulnerability mapping, mitigation technologies.
Data mining and statistical learning applications for manufacturing processes and systems, process monitoring, diagnosis, prognosis, and control.
</t>
  </si>
  <si>
    <t xml:space="preserve">Intelligent manufacturing systems - design, modeling, analysis, control of complex systems,
Cyber physical security for manufacturing systems – vulnerability mapping, mitigation technologies,
Data mining , statistical learning applications for manufacturing processes , systems, process monitoring, diagnosis, prognosis, control,
</t>
  </si>
  <si>
    <t>Mi Geum Chorzepa, Ph.D., P.E., LEED AP</t>
  </si>
  <si>
    <t>chorzepa@uga.edu</t>
  </si>
  <si>
    <t>Structural Analysis &amp; Design
Nonlinear Finite Element Analysis
Nuclear Safety Related Structures
Containment Structures
Steel Plate Structures
Cryogenic Structures
Sustainable Building Design
Progressive Collapse Analysis
Materials Modeling
Forensic Engineering
Structural Repair
Composite Materials
Earthquake Engineering</t>
  </si>
  <si>
    <t>Structural Analysis &amp; Design,
Nonlinear Finite Element Analysis,
Nuclear Safety Related Structures,
Containment Structures,
Steel Plate Structures,
Cryogenic Structures,
Sustainable Building Design,
Progressive Collapse Analysis,
Materials Modeling,
Forensic Engineering,
Structural Repair,
Composite Materials,
Earthquake Engineering</t>
  </si>
  <si>
    <t>K.C. Das, Ph.D.</t>
  </si>
  <si>
    <t>kdas@engr.uga.edu</t>
  </si>
  <si>
    <t>Biomass Conversion – Thermal and Biological
Bioenergy
Anaerobic digestion
Carbon Cycling</t>
  </si>
  <si>
    <t>Biomass Conversion – Thermal , Biological,
Bioenergy,
Anaerobic digestion,
Carbon Cycling</t>
  </si>
  <si>
    <t>R. Benjamin Davis, Ph.D.</t>
  </si>
  <si>
    <t>ben.davis@uga.edu</t>
  </si>
  <si>
    <t>Structural Vibration
Acoustics
Acoustic-Structure Interaction
Nonlinear Dynamics
Flow-Induced Vibration
Fluid-Structure Interaction
Elastic Stability</t>
  </si>
  <si>
    <t>Structural Vibration,
Acoustics,
Acoustic-Structure Interaction,
Nonlinear Dynamics,
Flow-Induced Vibration,
Fluid-Structure Interaction,
Elastic Stability</t>
  </si>
  <si>
    <t>Stephan Durham, Ph.D., P.E.</t>
  </si>
  <si>
    <t>sdurham@uga.edu</t>
  </si>
  <si>
    <t>Structural Materials
Structural Concrete
Concrete Materials Properties
Optimization of Concrete Mixtures for Performance
Structural Evaluation
Sustainability through Concrete Materials and Construction
Beneficial Use of Waste-Stream Materials
Pervious Concrete Pavements
Bridge Engineering
Structural Evaluation</t>
  </si>
  <si>
    <t>Structural Materials,
Structural Concrete,
Concrete Materials Properties,
Optimization of Concrete Mixtures for Performance,
Structural Evaluation,
Sustainability through Concrete Materials , Construction,
Beneficial Use of Waste-Stream Materials,
Pervious Concrete Pavements,
Bridge Engineering,
Structural Evaluation</t>
  </si>
  <si>
    <t>Benjamin Fahrman, Ph.D.</t>
  </si>
  <si>
    <t>bf08985@uga.edu</t>
  </si>
  <si>
    <t>Tim Foutz, Ph.D., P.E.Meigs</t>
  </si>
  <si>
    <t>tfoutz@uga.edu</t>
  </si>
  <si>
    <t>Biomechanics a research and education program dedicated to discovering and disseminating knowledge related the biomechanics of human and animal movement
S.T.E.M./Engineering Education Outreach a research and service program dedicated to the improvement of education</t>
  </si>
  <si>
    <t>Biomechanics a research , education program dedicated to discovering , disseminating knowledge related the biomechanics of human , animal movement,
S,T,E,M,/Engineering Education Outreach a research , service program dedicated to the improvement of education</t>
  </si>
  <si>
    <t>$13,317 per year (in-state, full-time)</t>
  </si>
  <si>
    <t>Eric Freeman, Ph.D.</t>
  </si>
  <si>
    <t>ecfreema@uga.edu</t>
  </si>
  <si>
    <t>Smart materials
Biologically-inspired materials
Electrophysiology
Model membranes
Drug delivery
Numerical methods
Computational mechanics</t>
  </si>
  <si>
    <t>Smart materials,
Biologically-inspired materials,
Electrophysiology,
Model membranes,
Drug delivery,
Numerical methods,
Computational mechanics</t>
  </si>
  <si>
    <t>Christina H. Fuller, Sc.D.</t>
  </si>
  <si>
    <t>Christina.Fuller@uga.edu</t>
  </si>
  <si>
    <t>Environmental health and justice 
Air pollution
Community-engaged research
Green infrastructure</t>
  </si>
  <si>
    <t>Environmental health , justice ,
Air pollution,
Community-engaged research,
Green infrastructure</t>
  </si>
  <si>
    <t>David Gattie, Ph.D.</t>
  </si>
  <si>
    <t>dgattie@engr.uga.edu</t>
  </si>
  <si>
    <t>Energy systems and environmental issues
Power generation
Energy policy</t>
  </si>
  <si>
    <t>Energy systems , environmental issues,
Power generation,
Energy policy</t>
  </si>
  <si>
    <t>Alysha Helmrich, Ph.D.</t>
  </si>
  <si>
    <t>ah06984@uga.edu</t>
  </si>
  <si>
    <t xml:space="preserve">Dr. Helmrich's research is focused on urban resilience and navigating periods of stability and instability. She has expertise in infrastructure systems, systems-thinking (specifically, complexity and social-ecological-technological systems (SETS) perspectives), and decision-making under uncertainty. She is the lead coordinator and a co-host of the Future Cities Podcast, a podcast that aims to increase awareness of, and to catalyze action on, urban resilience.
</t>
  </si>
  <si>
    <t xml:space="preserve">urban resilience , navigating periods of stability , instability, infrastructure systems, systems-thinking (specifically, complexity , social-ecological-technological systems (SETS) perspectives), decision-making under uncertainty
</t>
  </si>
  <si>
    <t>S. Jack Hu, Ph.D.</t>
  </si>
  <si>
    <t>provost@uga.edu</t>
  </si>
  <si>
    <t>Manufacturing Systems
Assembly and materials joining
Smart manufacturing</t>
  </si>
  <si>
    <t>Manufacturing Systems,
Assembly , materials joining,
Smart manufacturing</t>
  </si>
  <si>
    <t>Jenna Jambeck, Ph.D.</t>
  </si>
  <si>
    <t>jjambeck@uga.edu</t>
  </si>
  <si>
    <t>Environmental Engineering
Solid and Hazardous Waste
Marine Debris</t>
  </si>
  <si>
    <t>Environmental Engineering,
Solid , Hazardous Waste,
Marine Debris</t>
  </si>
  <si>
    <t>Wayne Johnson, Ph.D.</t>
  </si>
  <si>
    <t>wmj27425@uga.edu</t>
  </si>
  <si>
    <t>Caner Kazanci, Ph.D.</t>
  </si>
  <si>
    <t>caner@uga.edu</t>
  </si>
  <si>
    <t>Biological and ecological modeling, simulation and analysis. 
Numerical analysis, dynamical systems. 
Ecological network analysis (ENA), ecological thermodynamics. 
Stochastic modeling tools, individual based modeling. 
Collective behavior of large biochemical reaction networks, the relation between network structure and system dynamics.</t>
  </si>
  <si>
    <t>Biological , ecological modeling, simulation , analysis, 
Numerical analysis, dynamical systems, 
Ecological network analysis (ENA), ecological thermodynamics, 
Stochastic modeling tools, individual based modeling, 
Collective behavior of large biochemical reaction networks, the relation between network structure , system dynamics,</t>
  </si>
  <si>
    <t>Sung-Hee “Sonny” Kim, Ph.D., P.E.</t>
  </si>
  <si>
    <t>kims@uga.edu</t>
  </si>
  <si>
    <t>Use of Nondestructive Testing, Remote Sensing, and Machine Learning for Resilient/Sustainable Infrastructure Health Monitoring
Climate Resilient Infrastructure | Saltmarsh Restoration
Transportation Geotechnics | Mechanistic-Empirical Pavement Design</t>
  </si>
  <si>
    <t>Use of Nondestructive Testing, Remote Sensing, Machine Learning for Resilient/Sustainable Infrastructure Health Monitoring,
Climate Resilient Infrastructure , Saltmarsh Restoration,
Transportation Geotechnics , Mechanistic-Empirical Pavement Design</t>
  </si>
  <si>
    <t>Donald J. Leo, Ph.D.</t>
  </si>
  <si>
    <t>donleo@engr.uga.edu</t>
  </si>
  <si>
    <t xml:space="preserve">Smart Materials 
</t>
  </si>
  <si>
    <t xml:space="preserve">Smart Materials </t>
  </si>
  <si>
    <t>Ke (Luke) Li, Ph.D.</t>
  </si>
  <si>
    <t>keli@engr.uga.edu</t>
  </si>
  <si>
    <t>Environmental engineering
Water/wastewater treatment and sustainability</t>
  </si>
  <si>
    <t>Environmental engineering, Water/wastewater treatment , sustainability</t>
  </si>
  <si>
    <t>Edwin Lim, Ph.D.</t>
  </si>
  <si>
    <t>el95602@uga.edu</t>
  </si>
  <si>
    <t>Earthquake engineering
Reduced order computational modeling
Engineering education</t>
  </si>
  <si>
    <t>Earthquake engineering,
Reduced order computational modeling,
Engineering education</t>
  </si>
  <si>
    <t>Whitney Lisenbee, Ph.D.</t>
  </si>
  <si>
    <t>whitney.lisenbee@uga.edu</t>
  </si>
  <si>
    <t xml:space="preserve">Urban hydrology, agricultural water availability and quality, stormwater mitigation, green infrastructure, and circular agricultural systems
</t>
  </si>
  <si>
    <t>Urban hydrology, agricultural water availability , quality, stormwater mitigation, green infrastructure, circular agricultural systems</t>
  </si>
  <si>
    <t>John Mativo, Ph.D.</t>
  </si>
  <si>
    <t>jmativo@uga.edu</t>
  </si>
  <si>
    <t>Alternative Energy Systems
Engineering Design
Practice in Teaching and Learning</t>
  </si>
  <si>
    <t>Alternative Energy Systems,
Engineering Design,
Practice in Teaching , Learning</t>
  </si>
  <si>
    <t>Dominik May, Ph.D.</t>
  </si>
  <si>
    <t>dominik.may@uga.edu</t>
  </si>
  <si>
    <t>Online engineering Remote engineering and virtual instrumentation
Intercultural engineering education Transnational CP concepts and global professional competences
Digital CP design Online instruction and virtual environments</t>
  </si>
  <si>
    <t>Online engineering Remote engineering , virtual instrumentation,
Intercultural engineering education Transnational, global professional competences</t>
  </si>
  <si>
    <t>Barbara McCord, Ph.D., P.E.</t>
  </si>
  <si>
    <t>bnmccord@uga.edu</t>
  </si>
  <si>
    <t>Beshoy Morkos, Ph.D.</t>
  </si>
  <si>
    <t>bmorkos@uga.edu</t>
  </si>
  <si>
    <t>The goal of Dr. Morkos’ research is to fundamentally reframe our understanding and utilization of system representations and computational reasoning capabilities to support the development of system models which helPengineers and project planners more intelligently allocate resources, configure development teams, and make informed decisions at earlier stages of engineering design.</t>
  </si>
  <si>
    <t>reframe our underst,ing , utilization of system representations , computational reasoning capabilities to support the development of system models, project planners more intelligently allocate resources, configure development teams, make informed decisions at earlier stages of engineering design</t>
  </si>
  <si>
    <t>Ramana M. Pidaparti, Ph.D.</t>
  </si>
  <si>
    <t>rmparti@uga.edu</t>
  </si>
  <si>
    <t>Design engineering and innovation
Computational mechanics
Drug delivery devices
STEM education</t>
  </si>
  <si>
    <t>Design engineering , innovation,
Computational mechanics,
Drug delivery devices,
STEM education</t>
  </si>
  <si>
    <t>Brandon Rotavera, Ph.D.</t>
  </si>
  <si>
    <t>rotavera@uga.edu</t>
  </si>
  <si>
    <t>Biofuels
Sustainable Energy
Combustion
Thermodynamics,
Lasers/Optics
Physical Chemistry
Chemical Kinetics
Fluid Dynamics
Spectroscopy
Gas Chromatography
Mass Spectrometry</t>
  </si>
  <si>
    <t>Biofuels,
Sustainable Energy,
Combustion,
Thermodynamics,
Lasers/Optics,
Physical Chemistry,
Chemical Kinetics,
Fluid Dynamics,
Spectroscopy,
Gas Chromatography,
Mass Spectrometry</t>
  </si>
  <si>
    <t>Rawad Saleh, Ph.D.</t>
  </si>
  <si>
    <t>rawad@engr.uga.edu</t>
  </si>
  <si>
    <t xml:space="preserve">Our grouPstudies the effect of atmospheric particulate matter (aerosols) on air quality and the climate. Our current focus is on the climate warming due to light-absorbing aerosols emitted by combustion sources. We employ techniques based in laboratory experiments as well as large-scale chemical transport and radiative transfer modeling. 
</t>
  </si>
  <si>
    <t xml:space="preserve">climate warming due to light-absorbing aerosols emitted by combustion sources, We employ techniques based in laboratory experiments as well as large-scale chemical transport , radiative transfer modeling
</t>
  </si>
  <si>
    <t>Félix Santiago-Collazo, Ph.D., P.E.</t>
  </si>
  <si>
    <t>fsantiago@uga.edu</t>
  </si>
  <si>
    <t>Multi-flood hazard assessments
Hybrid infrastructure solutions and smar water systems
Water equity and flood resilience
Outreach and education</t>
  </si>
  <si>
    <t>Multi-flood hazard assessments,
Hybrid infrastructure solutions , smar water systems,
Water equity , flood resilience,
Outreach , education</t>
  </si>
  <si>
    <t>Siddharth Savadatti, Ph.D.</t>
  </si>
  <si>
    <t>sidsavad@uga.edu</t>
  </si>
  <si>
    <t xml:space="preserve">Computational Mechanics
Structural Engineering </t>
  </si>
  <si>
    <t xml:space="preserve">Computational Mechanics,
Structural Engineering </t>
  </si>
  <si>
    <t>John R. Schramski, Ph.D.</t>
  </si>
  <si>
    <t>jschrams@uga.edu</t>
  </si>
  <si>
    <t xml:space="preserve">Energy systems
Ecosystem energetics
Thermodynamics
Theoretical ecology
Complex network analysis
Ecological network theory
Energy Supply and Demand
Environmental Energy Systems
Sustainable Use of Global Ecosystems
Food Security
Natural Resources Engineering </t>
  </si>
  <si>
    <t xml:space="preserve">Energy systems,
Ecosystem energetics,
Thermodynamics,
Theoretical ecology,
Complex network analysis,
Ecological network theory,
Energy Supply ,
Environmental Energy Systems,
Sustainable Use of Global Ecosystems,
Food Security,
Natural Resources Engineering </t>
  </si>
  <si>
    <t>David Stooksbury, Ph.D.</t>
  </si>
  <si>
    <t>stooks@engr.uga.edu</t>
  </si>
  <si>
    <t xml:space="preserve">Climate
Coastal systems
Wind and solar energy resource assessment
Statistical modeling of systems impacted by weather and climate </t>
  </si>
  <si>
    <t xml:space="preserve">Climate,
Coastal systems,
Wind , solar energy resource assessment,
Statistical modeling of systems impacted by weather , climate </t>
  </si>
  <si>
    <t>Hillary Tanner</t>
  </si>
  <si>
    <t>hstanner@engr.uga.edu</t>
  </si>
  <si>
    <t>ABET Assessments
Student Retention in STEM Fields
Watershed Monitoring, Assessment and Protection</t>
  </si>
  <si>
    <t>ABET Assessments,
Student Retention in STEM Fields,
Watershed Monitoring, Assessment , Protection</t>
  </si>
  <si>
    <t>Benjamin Thomas, PH.D.</t>
  </si>
  <si>
    <t>bent83@uga.edu</t>
  </si>
  <si>
    <t>Sidney Thompson, Ph.D.U.H.</t>
  </si>
  <si>
    <t>sidt@engr.uga.edu</t>
  </si>
  <si>
    <t xml:space="preserve">Structural Design
Storage of Particulate Materials </t>
  </si>
  <si>
    <t xml:space="preserve">Structural Design, Storage of Particulate Materials </t>
  </si>
  <si>
    <t>E.W. “Bill” Tollner, Ph.D.</t>
  </si>
  <si>
    <t>btollner@engr.uga.edu</t>
  </si>
  <si>
    <t xml:space="preserve">The overall area of research is to discover system descriptions of hydrologic systems with the overall goal of improving water resource management and watershed ecological health. Applications of control theory and advanced sensing techniques toward the improvement of post harvest quality of fruits and vegetables.
</t>
  </si>
  <si>
    <t>hydrologic systems with the overall goal of improving water resource management , watershed ecological health, Applications of control theory , advanced sensing techniques toward the improvement of post harvest quality of fruits , vegetables</t>
  </si>
  <si>
    <t>Gokul Dev Vasudevan, Ph.D.</t>
  </si>
  <si>
    <t>gv19240@uga.edu</t>
  </si>
  <si>
    <t>Infrastructure materials
Low carbon concrete</t>
  </si>
  <si>
    <t>Infrastructure materials, Low carbon concrete</t>
  </si>
  <si>
    <t>Ben Wagner Ph.D., P.E.</t>
  </si>
  <si>
    <t>wagner@uga.edu</t>
  </si>
  <si>
    <t>Xianqiao Wang, Ph.D.</t>
  </si>
  <si>
    <t>xqwang@uga.edu</t>
  </si>
  <si>
    <t>Brain mechanics
Mechanics of architectured materials and structures
Materials design by machine learning and AI
Mechanics of cell and nanoparticle interactions
2D materials
Multiscale modeling and simulations</t>
  </si>
  <si>
    <t>Brain mechanics,
Mechanics of architectured materials , structures,
Materials design by machine learning , AI,
Mechanics of cell , nanoparticle interactions,
2D materials,
Multiscale modeling , simulations</t>
  </si>
  <si>
    <t>Linbing Wang, Ph.D., P.E., F.ASCE, F.EMI</t>
  </si>
  <si>
    <t>Linbing.Wang@uga.edu</t>
  </si>
  <si>
    <t>Smart, sustainable, and resilient infrastructures
Material genome for multifunctional materials
Sensing and perception for safety and security
Digital twin and mix reality
Pavement testing and design
Data analytics and asset management</t>
  </si>
  <si>
    <t>Smart, sustainable, resilient infrastructures,
Material genome for multifunctional materials,
Sensing , perception for safety , security,
Digital twin , mix reality,
Pavement testing , design,
Data analytics , asset management</t>
  </si>
  <si>
    <t>Timothy Whitmoyer, Ph.D.</t>
  </si>
  <si>
    <t>Timothy.Whitmoyer@uga.edu</t>
  </si>
  <si>
    <t>Water access and purification in developing countries
Engineering education in areas of mechanics, design, and computational methods
ABET assessment</t>
  </si>
  <si>
    <t>Water access , purification in developing countries,
Engineering education in areas of mechanics, design, computational methods,
ABET assessment</t>
  </si>
  <si>
    <t>Adam Wineland</t>
  </si>
  <si>
    <t>adwine@uga.edu</t>
  </si>
  <si>
    <t>Computer-aided design
Rapid prototyping</t>
  </si>
  <si>
    <t>Computer-aided design,
Rapid prototyping</t>
  </si>
  <si>
    <t>C. Brock Woodson, Ph.D.</t>
  </si>
  <si>
    <t>bwoodson@uga.edu</t>
  </si>
  <si>
    <t xml:space="preserve">Environmental Fluid Mechanics,
Mixing and Transport Processes
Coastal Oceanography
Biophysical Interactions in the Ocean
Fisheries
Climate Change
Sustainable Use of Marine Ecosystems </t>
  </si>
  <si>
    <t xml:space="preserve">Environmental Fluid Mechanics,
Mixing , Transport Processes
Coastal Oceanography
Biophysical Interactions in the Ocean
Fisheries
Climate Change
Sustainable Use of Marine Ecosystems </t>
  </si>
  <si>
    <t>Jidong Yang, Ph.D.</t>
  </si>
  <si>
    <t>Sustainable and Resilient Infrastructure Systems
Smart Mobility Systems
Statistical and Econometric Models
Data Mining and Machine Learning Methods
Computer Vision and Artificial Intelligence Applications</t>
  </si>
  <si>
    <t>Sustainable , Resilient Infrastructure Systems,
Smart Mobility Systems,
Statistical , Econometric Models,
Data Mining , Machine Learning Methods,
Computer Vision , Artificial Intelligence Applications</t>
  </si>
  <si>
    <t>University of Kansas</t>
  </si>
  <si>
    <r>
      <rPr>
        <u/>
        <sz val="10"/>
        <color rgb="FF000000"/>
        <rFont val="Arial"/>
        <family val="2"/>
      </rPr>
      <t>Elizabeth A. Friis</t>
    </r>
    <r>
      <rPr>
        <sz val="10"/>
        <color rgb="FF000000"/>
        <rFont val="Arial"/>
        <family val="2"/>
      </rPr>
      <t xml:space="preserve"> (Department chair)</t>
    </r>
  </si>
  <si>
    <t>lfriis@ku.edu</t>
  </si>
  <si>
    <t xml:space="preserve">Biomaterials, Biomedical Product Design and Testing
</t>
  </si>
  <si>
    <t>Biomaterials, Biomedical Product Design , Testing</t>
  </si>
  <si>
    <t>Theodore L. Bergman</t>
  </si>
  <si>
    <t>tlbergman@ku.edu</t>
  </si>
  <si>
    <t xml:space="preserve">Heat Transfer, Energy, Thermal Manufacturing
</t>
  </si>
  <si>
    <t>Christopher Depcik</t>
  </si>
  <si>
    <t>depcik@ku.edu</t>
  </si>
  <si>
    <t xml:space="preserve">Automotive Engineering, Internal Combustion Engines, Alternative Fuels and Energy
</t>
  </si>
  <si>
    <t xml:space="preserve">Automotive Engineering, Internal Combustion Engines, Alternative Fuels , Energy
</t>
  </si>
  <si>
    <t>Huazhen Fang</t>
  </si>
  <si>
    <t>fang@ku.edu</t>
  </si>
  <si>
    <t>Control Systems, Energy Management, Environmental Monitoring, Mechatronics</t>
  </si>
  <si>
    <t>Ken Fischer</t>
  </si>
  <si>
    <t>fischer@ku.edu</t>
  </si>
  <si>
    <t>Biomechanics, Dynamics, Statics, Mechanics of Materials, Computational Mechanics</t>
  </si>
  <si>
    <r>
      <rPr>
        <u/>
        <sz val="10"/>
        <color rgb="FF000000"/>
        <rFont val="Arial"/>
        <family val="2"/>
      </rPr>
      <t>Elizabeth A. Friis</t>
    </r>
    <r>
      <rPr>
        <sz val="10"/>
        <color rgb="FF000000"/>
        <rFont val="Arial"/>
        <family val="2"/>
      </rPr>
      <t xml:space="preserve"> (Department chair)</t>
    </r>
  </si>
  <si>
    <t xml:space="preserve">Biomaterials, Biomedical Product Design , Testing
</t>
  </si>
  <si>
    <t>Gibum Kwon</t>
  </si>
  <si>
    <t>gbkwon@ku.edu</t>
  </si>
  <si>
    <t xml:space="preserve">Superomniphobic Surfaces, Liquid-liquid Separations, Self-healable Coatings, Patterned Surfaces
</t>
  </si>
  <si>
    <t>Lin Liu</t>
  </si>
  <si>
    <t>linliu@ku.edu</t>
  </si>
  <si>
    <t xml:space="preserve">Energy Storage, Energy Conversion, Multi-Scale and Multi-Physics Modeling, Mechanics of Manufacturing Processes, Advanced Manufacturing
</t>
  </si>
  <si>
    <t xml:space="preserve">Energy Storage, Energy Conversion, Multi-Scale , Multi-Physics Modeling, Mechanics of Manufacturing Processes, Advanced Manufacturing
</t>
  </si>
  <si>
    <t>Carl W. Luchies</t>
  </si>
  <si>
    <t>luchies@ku.edu</t>
  </si>
  <si>
    <t xml:space="preserve">Biomechanics, Mechanical Measurements and Experimentation, Advanced Dynamics, Statics
</t>
  </si>
  <si>
    <t xml:space="preserve">Biomechanics, Mechanical Measurements , Experimentation, Advanced Dynamics, Statics
</t>
  </si>
  <si>
    <t>Lorin P. Maletsky</t>
  </si>
  <si>
    <t>maletsky@ku.edu</t>
  </si>
  <si>
    <t xml:space="preserve">Statics, Dynamics, Strength of Materials, Kinematics, Introduction to Design, Machine Design, Senior Level Design, Design for Manufacturability, Biomechanics, Project Classes
</t>
  </si>
  <si>
    <t>Steven A. Soper</t>
  </si>
  <si>
    <t>ssoper@ku.edu</t>
  </si>
  <si>
    <t xml:space="preserve">Biomodular Multi-Scale Systems, Advanced Diagnostic Devices, Biofluids
</t>
  </si>
  <si>
    <t>Robert M. Sorem</t>
  </si>
  <si>
    <t>sorem@ku.edu</t>
  </si>
  <si>
    <t xml:space="preserve">Mechanical Design, Computational Mechanics, Finite Element Formation and Application, Mechanics of Materials, Composite Material Mechanics
</t>
  </si>
  <si>
    <t xml:space="preserve">Mechanical Design, Computational Mechanics, Finite Element Formation , Application, Mechanics of Materials, Composite Material Mechanics
</t>
  </si>
  <si>
    <t>$12,269 per year (in-state, full-time)</t>
  </si>
  <si>
    <t>Paulette Spencer</t>
  </si>
  <si>
    <t>pspencer@ku.edu</t>
  </si>
  <si>
    <t xml:space="preserve">Biomaterials, Structure/Property Characterization of Material/Tissue Interfaces
</t>
  </si>
  <si>
    <t>Karan S. Surana</t>
  </si>
  <si>
    <t>kssurana@ku.edu</t>
  </si>
  <si>
    <t xml:space="preserve">Continuum Mechanics, Computational Mathematics, Computational Mechanics, Finite Element Methods and Software
</t>
  </si>
  <si>
    <t xml:space="preserve">Continuum Mechanics, Computational Mathematics, Computational Mechanics, Finite Element Methods , Software
</t>
  </si>
  <si>
    <t>Candan Tamerler</t>
  </si>
  <si>
    <t>ctamerler@ku.edu</t>
  </si>
  <si>
    <t xml:space="preserve">Molecular Biomimetics, Bio-nanotechnology, Nanotechnology, Bio-enabled Materials Science, Biomaterials
</t>
  </si>
  <si>
    <t>Peter W. TenPas</t>
  </si>
  <si>
    <t>tenpas@ku.edu</t>
  </si>
  <si>
    <t xml:space="preserve">Computational Fluid Dynamics, Computer Aided Thermal Design
</t>
  </si>
  <si>
    <t>Sara E. Wilson</t>
  </si>
  <si>
    <t>sewilson@ku.edu</t>
  </si>
  <si>
    <t xml:space="preserve">Control Systems, Biomechanical Systems
</t>
  </si>
  <si>
    <t>Xinmai Yang</t>
  </si>
  <si>
    <t>xmyang@ku.edu</t>
  </si>
  <si>
    <t xml:space="preserve">Photoacoustic Imaging, Biomedical Ultrasound
</t>
  </si>
  <si>
    <t>University of Maryland--Baltimore County</t>
  </si>
  <si>
    <t>Dr. Keith Bowman</t>
  </si>
  <si>
    <t xml:space="preserve"> kjb@umbc.edu</t>
  </si>
  <si>
    <t>Mr. Adam Bridendolph</t>
  </si>
  <si>
    <t xml:space="preserve"> abriden1@umbc.edu</t>
  </si>
  <si>
    <t>s Automation, Mechatronic System Design, Robotics, Design for Manufacturing, Manufacturing for the future, Engineering Education, Instrumentation and Process Control, Control Systems.</t>
  </si>
  <si>
    <t>Automation, Mechatronic System Design, Robotics, Design for Manufacturing, Manufacturing for the future, Engineering Education, Instrumentation , Process Control, Control Systems,</t>
  </si>
  <si>
    <t>Dr. Panos Charalambides</t>
  </si>
  <si>
    <t xml:space="preserve"> panos@umbc.edu</t>
  </si>
  <si>
    <t>s  Mechanics of materials and micromechanics modeling, nonlinear material behavior, finite elements and computational mechanics in material research, theoretical  and numerical considerations of the failure process in  brittle and ductile materials, and fracture mechanics.  Fiber composites, thin film decohesion and mechanics of interfaces.  Laminated composites and delamination cracking.  Biomechanics, Manufacturing processes and Fixturing.</t>
  </si>
  <si>
    <t>Mechanics of materials , micromechanics modeling, nonlinear material behavior, finite elements , computational mechanics in material research, theoretical  , numerical considerations of the failure process in  brittle , ductile materials, fracture mechanics,Fiber composites, thin film decohesion , mechanics of interfacesLaminated composites , delamination crackingBiomechanics, Manufacturing processes , Fixturing,</t>
  </si>
  <si>
    <t>Dr. Ruey-Hung Chen (Chair)</t>
  </si>
  <si>
    <t>chenrh@umbc.edu</t>
  </si>
  <si>
    <t>s combustion, propulsion, pollutant emissions of combustion systems, heat and mass transfer, and fire retardation for composite materials.</t>
  </si>
  <si>
    <t>combustion, propulsion, pollutant emissions of combustion systems, heat , mass transfer, fire retardation for composite materials,</t>
  </si>
  <si>
    <t>Dr. Charles Eggleton</t>
  </si>
  <si>
    <t xml:space="preserve"> eggleton@umbc.edu</t>
  </si>
  <si>
    <t>s  mechanical behavior of deformable particles including biological cells, the influence of hydrodynamic forces and applied external forces on cell behavior, effect of cell compliance on adhesion –detachment to substrates and other cells, kinetic properties of single intermolecular bonds at the nanoscale, and high throughput measurements of cell mechanical properties.</t>
  </si>
  <si>
    <t>mechanical behavior of deformable particles including biological cells, the influence of hydrodynamic forces , applied external forces on cell behavior, effect of cell compliance on adhesion –detachment to substrates , other cells, kinetic properties of single intermolecular bonds at the nanoscale, high throughput measurements of cell mechanical properties,</t>
  </si>
  <si>
    <t>Dr. Ankit Goel</t>
  </si>
  <si>
    <t>ankgoel@umbc.edu</t>
  </si>
  <si>
    <t>s developing learning- and model-based techniques for control and estimation problems in cyber-physical systems using theoretical- and numerical simulation- based methods. Applications include inertial navigation, flight control of quadcopter and aircrafts, combustion control in hypersonic vehicles, control of unsteady flow, parameter estimation in dynamical systems, image reconstruction etc.</t>
  </si>
  <si>
    <t>developing learning- , model-based techniques for control , estimation problems in cyber-physical systems using theoretical- , numerical simulation- based methods, Applications include inertial navigation, flight control of quadcopter , aircrafts, combustion control in hypersonic vehicles, control of unsteady flow, parameter estimation in dynamical systems, image reconstruction etc,</t>
  </si>
  <si>
    <t>Dr. Jamie Gurganus</t>
  </si>
  <si>
    <t xml:space="preserve"> jgurganus@umbc.edu</t>
  </si>
  <si>
    <t>s Engineering and Design Education, Additive Manufacturing, Design conceptualization, Spatial Reasoning in engineering, Mentoring and mentoring programs in engineering, Service learning in engineering, P-12 &amp; Post-secondary engineering education, Retention of Mechanical Engineering students, engineering learning technologies, diversity in engineering, best practices in educating engineering students, teachers and the community.</t>
  </si>
  <si>
    <t>Engineering , Design Education, Additive Manufacturing, Design conceptualization, Spatial Reasoning in engineering, Mentoring , mentoring programs in engineering, Service learning in engineering, P-12 &amp; Post-secondary engineering education, Retention of Mechanical Engineering students, engineering learning technologies, diversity in engineering, best practices in educating engineering students, teachers , the community,</t>
  </si>
  <si>
    <t>Dr. Soobum Lee</t>
  </si>
  <si>
    <t xml:space="preserve"> sblee@umbc.edu</t>
  </si>
  <si>
    <t>s  energy harvesting (EH) device design, topology optimization, robust design, and reliability based design optimization.</t>
  </si>
  <si>
    <t>energy harvesting (EH) device design, topology optimization, robust design, reliability based design optimization,</t>
  </si>
  <si>
    <t>Dr. Ye Lu, Assistant</t>
  </si>
  <si>
    <t xml:space="preserve"> yelu@umbc.edu</t>
  </si>
  <si>
    <t>s  My current research focuses on the development of advanced numerical methods for predictive and fast modeling of multi-physics and multi-scale systems. I have strong interests in developing novel reduced order modeling and scientific data-driven modeling techniques with application to multi-physics and multi-scale coupled manufacturing processes, such as welding and additive manufacturing (AM). I am also interested in detailed microstructural modeling of materials and AM-oriented topology optimization.</t>
  </si>
  <si>
    <t>numerical methods for predictive , fast modeling of multi-physics , multi-scale systems, I have strong interests in developing novel reduced order modeling , scientific data-driven modeling techniques with application to multi-physics , multi-scale coupled manufacturing processes, such as welding , additive manufacturing (AM)</t>
  </si>
  <si>
    <t>Dr. Ronghui Ma</t>
  </si>
  <si>
    <t xml:space="preserve"> roma@umbc.edu</t>
  </si>
  <si>
    <t>s  heat, mass, and momentum transport in a wide range of applications including film growth for energy-efficient electronic devices, novel material processing for photovoltaic applications, and nanomaterials for treatment of cancer, material processing for energy-efficient electronic devices and low-cost photovoltaic facilities.</t>
  </si>
  <si>
    <t>heat, mass, momentum transport in a wide range of applications including film growth for energy-efficient electronic devices, novel material processing for photovoltaic applications, nanomaterials for treatment of cancer, material processing for energy-efficient electronic devices , low-cost photovoltaic facilities,</t>
  </si>
  <si>
    <t>Dr. Deepa Madan</t>
  </si>
  <si>
    <t>deemadan@umbc.edu</t>
  </si>
  <si>
    <t>s  composite and polymer thermoelectric materials and devices, rechargeable batteries, and additive manufacturing techniques.</t>
  </si>
  <si>
    <t>composite , polymer thermoelectric materials , devices, rechargeable batteries, additive manufacturing techniques,</t>
  </si>
  <si>
    <t>Dr. Carlos Romero-Talamas</t>
  </si>
  <si>
    <t xml:space="preserve"> romero@umbc.edu</t>
  </si>
  <si>
    <t>s  interactions between materials, charged particles, and electromagnetic radiation, dusty plasmas and their applications in astrophysics to materials processing.</t>
  </si>
  <si>
    <t>interactions between materials, charged particles, electromagnetic radiation, dusty plasmas , their applications in astrophysics to materials processing,</t>
  </si>
  <si>
    <t>$699 per credit (in-state, full-time)</t>
  </si>
  <si>
    <t>Dr. Karl V Steiner</t>
  </si>
  <si>
    <t xml:space="preserve"> steinerk@umbc.edu</t>
  </si>
  <si>
    <t>s  Computer Visualization, Image Analysis Methodologies, Robotic Haptic Simulations, Nondestructive Evaluation and Manufacturing Science, Composite Materials, Robotic Fiber Placement, Filament Winding, Resin Transfer Molding, Vacuum Assisted RTM, Ultrasonic NDE, Magnetic Resonance Imaging and Computer-Aided Tomography.</t>
  </si>
  <si>
    <t>Computer Visualization, Image Analysis Methodologies, Robotic Haptic Simulations, Nondestructive Evaluation , Manufacturing Science, Composite Materials, Robotic Fiber Placement, Filament Winding, Resin Transfer Molding, Vacuum Assisted RTM, Ultrasonic NDE, Magnetic Resonance Imaging , Computer-Aided Tomography,</t>
  </si>
  <si>
    <t>Dr. L. D. Timmie Topoleski</t>
  </si>
  <si>
    <t xml:space="preserve"> topoleski@umbc.edu</t>
  </si>
  <si>
    <t>s  fundamental mechanisms of material behavior, creation and manufacture of new biomaterials, material surface modifications to prevent wear and corrosion, micro- and nano-structural modifications to increase fatigue and fracture resistance, structural and functional changes in human arteries resulting from aging.</t>
  </si>
  <si>
    <t>fundamental mechanisms of material behavior, creation , manufacture of new biomaterials, material surface modifications to prevent wear , corrosion, micro- , nano-structural modifications to increase fatigue , fracture resistance, structural , functional changes in human arteries resulting from aging,</t>
  </si>
  <si>
    <t>Dr. Joseph Washington</t>
  </si>
  <si>
    <t>jwashi2@umbc.edu</t>
  </si>
  <si>
    <t>s fundamental mechanisms of material behavior of biomaterials, structural and functional changes in human arteries due to aging or disease, fatigue modelling of elastin, injury consistency biomechanics and vehicle accident reconstruction.</t>
  </si>
  <si>
    <t>fundamental mechanisms of material behavior of biomaterials, structural , functional changes in human arteries due to aging or disease, fatigue modelling of elastin, injury consistency biomechanics , vehicle accident reconstruction,</t>
  </si>
  <si>
    <t>Dr. Meilin Yu</t>
  </si>
  <si>
    <t xml:space="preserve"> mlyu@umbc.edu</t>
  </si>
  <si>
    <t>s Computational fluid dynamics, renewable energy harvesting, flapping wing aerodynamics, fluid-structure interaction, turbulent flow simulation, numerical optimization, transonic/supersonic flow, shock/flow discontinuity capturing techniques, non-hydrostatic atmospheric flow, biological flow, high-order methods, high performance computing, particle image velocimetry (PIV).</t>
  </si>
  <si>
    <t>Computational fluid dynamics, renewable energy harvesting, flapping wing aerodynamics, fluid-structure interaction, turbulent flow simulation, numerical optimization, transonic/supersonic flow, shock/flow discontinuity capturing techniques, non-hydrostatic atmospheric flow, biological flow, high-order methods, high performance computing, particle image velocimetry (PIV),</t>
  </si>
  <si>
    <t>Dr. Liang Zhu</t>
  </si>
  <si>
    <t xml:space="preserve"> zliang@umbc.edu</t>
  </si>
  <si>
    <t>s magnetic nanoparticle hyperthermia, photothermal therapy using gold nanoshells/nanorods in cancer therapy, targeted brain cooling using an interstitial cooling device, using laser or heating catheters in bacterial disinfection in endodontics.</t>
  </si>
  <si>
    <t>magnetic nanoparticle hyperthermia, photothermal therapy using gold nanoshells/nanorods in cancer therapy, targeted brain cooling using an interstitial cooling device, using laser or heating catheters in bacterial disinfection in endodontics,</t>
  </si>
  <si>
    <t>Dr. Weidong Zhu</t>
  </si>
  <si>
    <t xml:space="preserve"> wzhu@umbc.edu</t>
  </si>
  <si>
    <t>s dynamics, vibration, control, applied mechanics, structural health monitoring, and wind energy.</t>
  </si>
  <si>
    <t>dynamics, vibration, control, applied mechanics, structural health monitoring, wind energy,</t>
  </si>
  <si>
    <t>University of Massachusetts--Lowell (Francis)</t>
  </si>
  <si>
    <t>MECHANICAL &amp; INDUSTRIAL ENGINEERING</t>
  </si>
  <si>
    <t>$15,676 per year (in-state, full-time)</t>
  </si>
  <si>
    <t>University of Missouri</t>
  </si>
  <si>
    <t>Chung-Lung “C.L.” Chen</t>
  </si>
  <si>
    <t>chencl@missouri.edu</t>
  </si>
  <si>
    <t xml:space="preserve">Multidisciplinary modeling and integration
Renewable energy
Thermal management flow control and microfluidics
</t>
  </si>
  <si>
    <t>Multidisciplinary modeling , integration,
Renewable energy,
Thermal management flow control , microfluidics</t>
  </si>
  <si>
    <t>Frank Feng</t>
  </si>
  <si>
    <t>fengf@missouri.edu</t>
  </si>
  <si>
    <t xml:space="preserve">Dynamics and vibration
Micro electrico-mechanical systems (MEMS)
</t>
  </si>
  <si>
    <t xml:space="preserve">Dynamics , vibration,
Micro electrico-mechanical systems (MEMS)
</t>
  </si>
  <si>
    <t>Guoliang Huang</t>
  </si>
  <si>
    <t>huangg@missouri.edu</t>
  </si>
  <si>
    <t xml:space="preserve">Huang’s s include design and modeling of acoustic/elastic metamaterials, bio-inspired materials, and smart materials, structural health monitoring of composite and civil infrastructures, materials fabrication and dynamic testing (vibration and wave propagation), micro- and nano-mechanics, mechanical and dynamical behaviors of thin films, microstructures and composites.
</t>
  </si>
  <si>
    <t xml:space="preserve">modeling of acoustic/elastic metamaterials, bio-inspired materials, smart materials, structural health monitoring of composite , civil infrastructures, materials fabrication , dynamic testing (vibration , wave propagation), micro- , nano-mechanics, mechanical , dynamical behaviors of thin films, microstructures , composites
</t>
  </si>
  <si>
    <t>Yue Jin</t>
  </si>
  <si>
    <t>yj5cy@missouri.edu</t>
  </si>
  <si>
    <t>Fluid flow mass and heat transfer
High-temperature thermal-fluids in energy systems
Multi-scale multi-physics numerical analysis tool development and validation
Reactor thermal-hydraulics and safety
Two-phase flow experimentation and modeling</t>
  </si>
  <si>
    <t>Fluid flow mass , heat transfer,
High-temperature thermal-fluids in energy systems,
Multi-scale multi-physics numerical analysis tool development , validation,
Reactor thermal-hydraulics , safety,
Two-phase flow experimentation , modeling</t>
  </si>
  <si>
    <t>Sanjeev Khanna</t>
  </si>
  <si>
    <t>khannas@missouri.edu</t>
  </si>
  <si>
    <t>Energy efficiency in manufacturing
Experimental mechanics and dynamic mechanical behavior of materials
Introducing problem-based learning (PBL) and innovation in engineering curriculum</t>
  </si>
  <si>
    <t>Energy efficiency in manufacturing,
Experimental mechanics , dynamic mechanical behavior of materials,
Introducing problem-based learning (PBL) , innovation in engineering curriculum</t>
  </si>
  <si>
    <t>Jaewon Lee</t>
  </si>
  <si>
    <t>j.lee@missouri.edu</t>
  </si>
  <si>
    <t>Lee’s s are focused on mechanistic understanding of self-assembly and crystal growth and its application to photonics, thermoelectrics, energy storages and bio-medical applications.</t>
  </si>
  <si>
    <t>Lee’s s are focused on mechanistic underst,ing of self-assembly , crystal growth , its application to photonics, thermoelectrics, energy storages , bio-medical applications,</t>
  </si>
  <si>
    <t>Jian Lin</t>
  </si>
  <si>
    <t>linjian@missouri.edu</t>
  </si>
  <si>
    <t xml:space="preserve">3D/4D printing
Smart manufacturing
Soft materials
</t>
  </si>
  <si>
    <t>3D/4D printing,
Smart manufacturing,
Soft materials</t>
  </si>
  <si>
    <t>Yuyi Lin</t>
  </si>
  <si>
    <t>liny@missouri.edu</t>
  </si>
  <si>
    <t>Adsorbent natural gas process and equipment
High-pressure/high-temperature manufacturing
Machine design, mechanical spring and valve train dynamics</t>
  </si>
  <si>
    <t>Adsorbent natural gas process , equipment,
High-pressure/high-temperature manufacturing,
Machine design, mechanical spring , valve train dynamics</t>
  </si>
  <si>
    <t>Mushuang Liu</t>
  </si>
  <si>
    <t>ml529@missouri.edu</t>
  </si>
  <si>
    <t>Control systems
Game theory
Machine learning
Robotics and robotic vision</t>
  </si>
  <si>
    <t>Control systems,
Game theory,
Machine learning,
Robotics , robotic vision,</t>
  </si>
  <si>
    <t>J. Erik Loehr</t>
  </si>
  <si>
    <t>eloehr@missouri.edu</t>
  </si>
  <si>
    <t>Geotechnical engineering
Reliability-based design</t>
  </si>
  <si>
    <t>Geotechnical engineering,
Reliability-based design</t>
  </si>
  <si>
    <t>Stephen Lombardo</t>
  </si>
  <si>
    <t>lombardos@missouri.edu</t>
  </si>
  <si>
    <t>Ceramic materials and ceramic processing
Electronic ceramics
Transport phenomena and kinetics</t>
  </si>
  <si>
    <t>Ceramic materials , ceramic processing,
Electronic ceramics,
Transport phenomena , kinetics</t>
  </si>
  <si>
    <t>Noah D. Manring</t>
  </si>
  <si>
    <t>manringn@missouri.edu</t>
  </si>
  <si>
    <t>Cardiovascular mechanics
Fluid Power
Machine design</t>
  </si>
  <si>
    <t>Cardiovascular mechanics,
Fluid Power,
Machine design</t>
  </si>
  <si>
    <t>$7,835 per year (in-state, full-time)</t>
  </si>
  <si>
    <t>MaTTMaschmann</t>
  </si>
  <si>
    <t>maschmannm@missouri.edu</t>
  </si>
  <si>
    <t>Nanoscale materials
Thermal transport</t>
  </si>
  <si>
    <t>Nanoscale materials,
Thermal transport</t>
  </si>
  <si>
    <t>Hussein Nassar</t>
  </si>
  <si>
    <t>nassarh@missouri.edu</t>
  </si>
  <si>
    <t>Elasticity
Geometry
Solid mechanics
Waves</t>
  </si>
  <si>
    <t>Elasticity,
Geometry,
Solid mechanics,
Waves</t>
  </si>
  <si>
    <t>Huy Nguyen</t>
  </si>
  <si>
    <t>hqn6d8@mail.missouri.edu</t>
  </si>
  <si>
    <t>Acoustic metamaterials
Energy harvesting
Sound control</t>
  </si>
  <si>
    <t>Acoustic metamaterials,
Energy harvesting,
Sound control</t>
  </si>
  <si>
    <t>Christopher O’Bryan</t>
  </si>
  <si>
    <t>csobryan@missouri.edu</t>
  </si>
  <si>
    <t>Contact mechanics
Interfacial instabilities
Polymer physics
Soft matter manufacturing</t>
  </si>
  <si>
    <t>Contact mechanics,
Interfacial instabilities,
Polymer physics,
Soft matter manufacturing</t>
  </si>
  <si>
    <t>Chanwoo Park</t>
  </si>
  <si>
    <t>parkchanw@missouri.edu</t>
  </si>
  <si>
    <t xml:space="preserve">Boiling and condensation
Desalination
Energy conversion
Heat transfer
Thermal management
</t>
  </si>
  <si>
    <t xml:space="preserve">Boiling , condensation,
Desalination,
Energy conversion,
Heat transfer,
Thermal management
</t>
  </si>
  <si>
    <t>Gary Solbrekken</t>
  </si>
  <si>
    <t>solbrekkeng@missouri.edu</t>
  </si>
  <si>
    <t>Thermal management of energy and biological systems</t>
  </si>
  <si>
    <t>Thermal management of energy , biological systems</t>
  </si>
  <si>
    <t>Ming Xin</t>
  </si>
  <si>
    <t>xin@missouri.edu</t>
  </si>
  <si>
    <t>Guidance, navigation and control of aerospace vehicles</t>
  </si>
  <si>
    <t>Guidance, navigation , control of aerospace vehicles</t>
  </si>
  <si>
    <t>Zheng Yan</t>
  </si>
  <si>
    <t>yanzheng@missouri.edu</t>
  </si>
  <si>
    <t>Advanced manufacturing
Bioelectronics
Soft materials</t>
  </si>
  <si>
    <t>Advanced manufacturing,
Bioelectronics,
Soft materials</t>
  </si>
  <si>
    <t>Qingsong Yu</t>
  </si>
  <si>
    <t>yuq@missouri.edu</t>
  </si>
  <si>
    <t>Biomedical materials and devices
Plasma medicine and plasma dentistry
Plasma technology and its applications</t>
  </si>
  <si>
    <t>Biomedical materials , devices,
Plasma medicine , plasma dentistry,
Plasma technology , its applications</t>
  </si>
  <si>
    <t>Yao Zhai</t>
  </si>
  <si>
    <t>yzc33@missouri.edu</t>
  </si>
  <si>
    <t>Advanced manufacturing
Radiative cooling materials</t>
  </si>
  <si>
    <t>Advanced manufacturing,
Radiative cooling materials</t>
  </si>
  <si>
    <t>Yuwen Zhang</t>
  </si>
  <si>
    <t>zhangyu@missouri.edu</t>
  </si>
  <si>
    <t>Energy storage and conversion
Heat and mass transfer
Thermal management</t>
  </si>
  <si>
    <t>Energy storage , conversion,
Heat , mass transfer,
Thermal management</t>
  </si>
  <si>
    <t>Roseanna N. Zia</t>
  </si>
  <si>
    <t>rzia@missouri.edu</t>
  </si>
  <si>
    <t xml:space="preserve"> she developed micro-continuum theory for structure-property relationships of flowing suspensions, elucidating the mechanistic origins of the colloidal glass transition, and multi-scale computational modeling of reversibly bonded colloidal gels. Her grouPnow combines these areas of research to shed light on the matter/life nexus, building the first physics-based model of the minimal biological cell</t>
  </si>
  <si>
    <t>micro-continuum theory for structure-property relationships of flowing suspensions, elucidating the mechanistic origins of the colloidal glass transition, multi-scale computational modeling of reversibly bonded colloidal gels</t>
  </si>
  <si>
    <r>
      <rPr>
        <u/>
        <sz val="10"/>
        <color rgb="FF000000"/>
        <rFont val="Arial"/>
        <family val="2"/>
      </rPr>
      <t>Hongbin “Bill” Ma</t>
    </r>
    <r>
      <rPr>
        <sz val="10"/>
        <color rgb="FF000000"/>
        <rFont val="Arial"/>
        <family val="2"/>
      </rPr>
      <t xml:space="preserve"> (Chair)</t>
    </r>
  </si>
  <si>
    <t>mah@missouri.edu</t>
  </si>
  <si>
    <t>Ejector refrigeration
Heat pipes
Phase-change heat transfer
Thermal management</t>
  </si>
  <si>
    <t>Ejector refrigeration,
Heat pipes,
Phase-change heat transfer,
Thermal management</t>
  </si>
  <si>
    <t>Villanova University</t>
  </si>
  <si>
    <r>
      <rPr>
        <u/>
        <sz val="10"/>
        <color rgb="FF000000"/>
        <rFont val="Arial"/>
        <family val="2"/>
      </rPr>
      <t>Sridhar Santhanam, Ph.D.</t>
    </r>
    <r>
      <rPr>
        <sz val="10"/>
        <color rgb="FF000000"/>
        <rFont val="Arial"/>
        <family val="2"/>
      </rPr>
      <t xml:space="preserve"> (Chair)</t>
    </r>
  </si>
  <si>
    <t>sridhar.santhanam@villanova.edu</t>
  </si>
  <si>
    <t>Structural Health Monitoring
Smart Materials
Refractory Materials</t>
  </si>
  <si>
    <t>Structural Health Monitoring,
Smart Materials,
Refractory Materials</t>
  </si>
  <si>
    <t>Hashem Ashrafiuon, Ph.D.</t>
  </si>
  <si>
    <t>hashem.ashrafiuon@villanova.edu</t>
  </si>
  <si>
    <t>Unmanned Surface and Underwater Vehicles
Heterogeneous Autonomous Vehicles Laboratory (HAVLab)
Center for Nonlinear Dynamics and Control
Autnomous Surface Vessels
Nonlinear Dynamics of EEG Signal
Sliding Mode Control
Control of Underactuated Systems
Nonlinear Control of Vehicle Networks
Modeling, Design, and Control of Assistive Robots</t>
  </si>
  <si>
    <t>Unmanned Surface , Underwater Vehicles,
Heterogeneous Autonomous Vehicles Laboratory (HAVLab),
Center for Nonlinear Dynamics , Control,
Autnomous Surface Vessels,
Nonlinear Dynamics of EEG Signal,
Sliding Mode Control,
Control of Underactuated Systems,
Nonlinear Control of Vehicle Networks,
Modeling, Design, Control of Assistive Robots</t>
  </si>
  <si>
    <t>David Cereceda, Ph.D.</t>
  </si>
  <si>
    <t>david.cereceda@villanova.edu</t>
  </si>
  <si>
    <t>Computational Mechanics
Multiscale Modeling of Materials
Machine Learning
Materials Genome Initiative
Materials Under Extreme Conditions
Nuclear Fusion Materials
Multiscale Modeling of Materials and Machine Learning Laboratory (M4L Lab)</t>
  </si>
  <si>
    <t>Computational Mechanics,
Multiscale Modeling of Materials,
Machine Learning,
Materials Genome Initiative,
Materials Under Extreme Conditions,
Nuclear Fusion Materials,
Multiscale Modeling of Materials , Machine Learning Laboratory</t>
  </si>
  <si>
    <t>GarreTTM. Clayton, Ph.D.</t>
  </si>
  <si>
    <t>garrett.clayton@villanova.edu</t>
  </si>
  <si>
    <t>Center for Nonlinear Dynamics and Control
Instrumentation and Control for Nanotechnologies
Image-based Control of Scanning Probe Microscopes
High-speed Scanning Probe Microscopy for Bio/Nanotechnologies</t>
  </si>
  <si>
    <t>Center for Nonlinear Dynamics , Control,
Instrumentation , Control for Nanotechnologies,
Image-based Control of Scanning Probe Microscopes,
High-speed Scanning Probe Microscopy for Bio/Nanotechnologies</t>
  </si>
  <si>
    <t>#171 - Best Engineering Schools</t>
  </si>
  <si>
    <t>Gang Feng, Ph.D.</t>
  </si>
  <si>
    <t>gang.feng@villanova.edu</t>
  </si>
  <si>
    <t>Nano-Bio-Mechanical Characterization Laboratory</t>
  </si>
  <si>
    <t>Gerard F. "Jerry" Jones, Ph.D.</t>
  </si>
  <si>
    <t>gerard.jones@villanova.edu</t>
  </si>
  <si>
    <t>High-Performance, Homogeneous &amp; Composite Heat Exchangers for Heat Transfer in High-Power Density Systems
Optimization of Gravity-Driven Water Networks with Smart, Passive Control</t>
  </si>
  <si>
    <t>High-Performance, Homogeneous &amp; Composite Heat Exchangers for Heat Transfer in High-Power Density Systems,
Optimization of Gravity-Driven Water Networks with Smart, Passive Control</t>
  </si>
  <si>
    <t>Jens O.M. Karlsson, Ph.D.</t>
  </si>
  <si>
    <t>jens.karlsson@villanova.edu</t>
  </si>
  <si>
    <t>Cryopreservation of tissue-engineered constructs
Biophysical mechanisms of intracellular ice formation and cell damage during freezing and thawing
Cryopreservation of cell lines &amp; gametes
Cryosurgery
Hyperthermic processes, including burn injury, thermal ablation, heat shock response, fever</t>
  </si>
  <si>
    <t>Cryopreservation of tissue-engineered constructs,
Biophysical mechanisms of intracellular ice formation , cell damage during freezing , thawing,
Cryopreservation of cell lines &amp; gametes,
Cryosurgery,
Hyperthermic processes, including burn injury, thermal ablation, heat shock response, fever</t>
  </si>
  <si>
    <t>Bo Li, Ph.D.</t>
  </si>
  <si>
    <t>bo.li@villanova.edu</t>
  </si>
  <si>
    <t>Hybrid Nano-Architectures and Advanced Manufacturing Laboratory</t>
  </si>
  <si>
    <t>Hybrid Nano-Architectures , Advanced Manufacturing Laboratory</t>
  </si>
  <si>
    <t>Calvin Hong Li, Ph.D.</t>
  </si>
  <si>
    <t>calvin.li@villanova.edu</t>
  </si>
  <si>
    <t>Nano-to-millimeter Multiscale Structures guided by biomimetic theory
Two Phase Change and Multiphase Flow and Heat Transfer
Renewable Energy Conversion and Storage (PEM Fuel Cell and Concentrating Solar Power)
NanoAdditives for Biofuel Combustion
Nanoparticle Engineered Drug Delivery and Thermotherapy</t>
  </si>
  <si>
    <t>Nano-to-millimeter Multiscale Structures guided by biomimetic theory,
Two Phase Change , Multiphase Flow , Heat Transfer,
Renewable Energy Conversion , Storage,
NanoAdditives for Biofuel Combustion,
Nanoparticle Engineered Drug Delivery , Thermotherapy</t>
  </si>
  <si>
    <t>Chengyu Li, Ph.D.</t>
  </si>
  <si>
    <t>chengyu.li@villanova.edu</t>
  </si>
  <si>
    <t>Computational Fluid Dynamics
Biomimetic and Bioinspired Flows
Biomedical Flows
Fluid-Structure Interaction
Reduced Order Modeling
High-Performance Computing</t>
  </si>
  <si>
    <t>Computational Fluid Dynamics,
Biomimetic , Bioinspired Flows,
Biomedical Flows,
Fluid-Structure Interaction,
Reduced Order Modeling,
High-Performance Computing</t>
  </si>
  <si>
    <t>Leila Malekmotiei</t>
  </si>
  <si>
    <t>leila.malekmotiei@villanova.edu</t>
  </si>
  <si>
    <t>Mechanics of Materials
Solid Mechanics
Nanomechanics of Polymers</t>
  </si>
  <si>
    <t>Mechanics of Materials,
Solid Mechanics,
Nanomechanics of Polymers</t>
  </si>
  <si>
    <t>Rebecca McGill, Ph.D.</t>
  </si>
  <si>
    <t>rebecca.mcgill@villanova.edu</t>
  </si>
  <si>
    <t>Robotics
Vehicle design, modeling, and control
Flapping-wing propulsion</t>
  </si>
  <si>
    <t>Robotics,
Vehicle design, modeling, control,
Flapping-wing propulsion</t>
  </si>
  <si>
    <t>$1,541 per credit (full-time)</t>
  </si>
  <si>
    <t>Stephen McGill, Ph.D.</t>
  </si>
  <si>
    <t>stephen.mcgill@villanova.edu</t>
  </si>
  <si>
    <t>C. Nataraj, Ph.D.</t>
  </si>
  <si>
    <t>c.nataraj@villanova.edu</t>
  </si>
  <si>
    <t>Villanova Center for Analytics of dynamic Systems
"Nonlinear Modeling and Control of Smart Valve Systems," Office of Naval Research, May 2009-May 2011.
"Introducing Undergraduates to Complex Systems Through Rapid-Prototyping of Low-cost Networked Mobile Robots," National Science Foundation, February 2009-December 2011.
"Autonomous Systems Research," Office of Naval Research, February 2009-May 2010.
"Unmanned Sailboat," Unmanned Ocean Vehicles, August 2008-December 2009.
"Nonlinear Modeling and Control of Smart Valve Systems," Office of Naval Research, May 2009-May 2011.</t>
  </si>
  <si>
    <t>Villanova Center for Analytics of dynamic Systems,
Nonlinear Modeling , Control of Smart Valve Systems,
Introducing Undergraduates to Complex Systems Through Rapid-Prototyping of Low-cost Networked Mobile Robots,
Autonomous Systems Research,
Unmanned Sailboat</t>
  </si>
  <si>
    <t>Sergey G. Nersesov, Ph.D.</t>
  </si>
  <si>
    <t>sergey.nersesov@villanova.edu</t>
  </si>
  <si>
    <t>Center for Nonlinear Dynamics and Control
Hybrid and Impulsive Systems
Large-Scale Systems
System Thermodynamics
Thermodynamic Modeling of Aerospace Systems
Biological/Physiological Systems</t>
  </si>
  <si>
    <t>Center for Nonlinear Dynamics , Control,
Hybrid , Impulsive Systems,
Large-Scale Systems,
System Thermodynamics,
Thermodynamic Modeling of Aerospace Systems,
Biological/Physiological Systems</t>
  </si>
  <si>
    <t>James O'Brien</t>
  </si>
  <si>
    <t>james.obrien@villanova.edu</t>
  </si>
  <si>
    <t>Alfonso Ortega, Ph.D.</t>
  </si>
  <si>
    <t>alfonso.ortega@villanova.edu</t>
  </si>
  <si>
    <t>The Laboratory for Advanced Thermal and Fluid Systems</t>
  </si>
  <si>
    <t>The Laboratory for Advanced Thermal , Fluid Systems</t>
  </si>
  <si>
    <t>T Radhakrishnan, Ph.D.</t>
  </si>
  <si>
    <t>t.radhakrishnan@villanova.edu</t>
  </si>
  <si>
    <t>Manufacturing Processes &amp; Assembly
Automation, Computer Integrated Manufacturing</t>
  </si>
  <si>
    <t>Manufacturing Processes &amp; Assembly,Automation, Computer Integrated Manufacturing</t>
  </si>
  <si>
    <t>Deeksha Seth, Ph.D.</t>
  </si>
  <si>
    <t>deeksha.seth@villanova.edu</t>
  </si>
  <si>
    <t>Efficacy of engineering design in undergraduate curriculum
Integration of core disciplines for education
Qualitative and quantitative educational assessment
Bio-inspired design
Educational robotics - design and assessment of robotic devices for integrated STEM education</t>
  </si>
  <si>
    <t>Efficacy of engineering design in undergraduate curriculum,
Integration of core disciplines for education,
Qualitative , quantitative educational assessment,
Bio-inspired design,
Educational robotics - design , assessment of robotic devices for integrated STEM education</t>
  </si>
  <si>
    <t>Ani Ural, Ph.D.</t>
  </si>
  <si>
    <t>ani.ural@villanova.edu</t>
  </si>
  <si>
    <t>Computational Biomechanics and Solid Mechanics Laboratory
Orthopaedic Biomechanics
Computational Bone Mechanics
Fracture Mechanics
Solid Mechanics</t>
  </si>
  <si>
    <t>Computational Biomechanics , Solid Mechanics Laboratory,
Orthopaedic Biomechanics,
Computational Bone Mechanics,
Fracture Mechanics,
Solid Mechanics</t>
  </si>
  <si>
    <t>Aaron P. Wemhoff, Ph.D.</t>
  </si>
  <si>
    <t>aaron.wemhoff@villanova.edu</t>
  </si>
  <si>
    <t>Methods for Systems Analysis Laboratory (MSAL)
Center for Energy-Smart Electronic Systems (ES2)
Computational analysis of heat and mass transfer in nanoscale and microscale systems
Development of new methods in computational heat and mass transfer
Analysis and improvement of system energy efficiency and environmental sustainability</t>
  </si>
  <si>
    <t>Methods for Systems Analysis Laboratory (MSAL),
Center for Energy-Smart Electronic Systems (ES2),
Computational analysis of heat , mass transfer in nanoscale , microscale systems,
Development of new methods in computational heat , mass transfer,
Analysis , improvement of system energy efficiency , environmental sustainability</t>
  </si>
  <si>
    <t>Qianhong Wu, Ph.D.</t>
  </si>
  <si>
    <t>qianhong.wu@villanova.edu</t>
  </si>
  <si>
    <r>
      <rPr>
        <sz val="10"/>
        <rFont val="Arial"/>
        <family val="2"/>
      </rPr>
      <t xml:space="preserve">Cellular Biomechanics and Sports Science Laboratory (CBMSS)
Biomechanics
Biomimetics
Soft Matter
Fluid-Assisted Manufacturing
Fluid Dynamics
Heat and Mass Transfer
LAB </t>
    </r>
    <r>
      <rPr>
        <u/>
        <sz val="10"/>
        <color rgb="FF1155CC"/>
        <rFont val="Arial"/>
        <family val="2"/>
      </rPr>
      <t>http//www1.villanova.edu/villanova/engineering/research/Faculty/cbmss.html</t>
    </r>
  </si>
  <si>
    <t>Cellular Biomechanics , Sports Science Laboratory (CBMSS),
Biomechanics
Biomimetics,
Soft Matter
Fluid-Assisted Manufacturing,
Fluid Dynamics,
Heat , Mass Transfer</t>
  </si>
  <si>
    <t>Virginia Commonwealth University</t>
  </si>
  <si>
    <t>Jayasimha Atulasimha, Ph.D.</t>
  </si>
  <si>
    <t>jatulasimha@vcu.edu</t>
  </si>
  <si>
    <t>PAtulasimha researches nanomagnetic/spintronic memory and neuromorphic computing devices.</t>
  </si>
  <si>
    <t>nanomagnetic/spintronic memory , neuromorphic computing devices</t>
  </si>
  <si>
    <t>Radhika Barua, Ph.D.</t>
  </si>
  <si>
    <t>rbarua@vcu.edu</t>
  </si>
  <si>
    <t>Dr. Barua specializes in developing multifunctional magnetic materials systems for diverse applications in the power &amp; energy sector.</t>
  </si>
  <si>
    <t>developing multifunctional magnetic materials systems for diverse applications in the power &amp; energy sector,</t>
  </si>
  <si>
    <t>Lane Carasik, Ph.D.</t>
  </si>
  <si>
    <t>lbcarasik@vcu.edu</t>
  </si>
  <si>
    <t>Dr. Carasik researches computational and experimental thermal hydraulics and is the Director of the FAST Research Group.</t>
  </si>
  <si>
    <t>researches computational , experimental thermal hydraulics , is the Director of the FAST Research Group,</t>
  </si>
  <si>
    <t>Charles Cartin, Ph.D.</t>
  </si>
  <si>
    <t>cartincp@vcu.edu</t>
  </si>
  <si>
    <t>Carlos Castano, Ph.D.</t>
  </si>
  <si>
    <t>cecastanolond@vcu.edu</t>
  </si>
  <si>
    <t>PCastano specializes in tailoring surface properties of materials for applications in energy, transportation, and manufacturing.</t>
  </si>
  <si>
    <t>tailoring surface properties of materials for applications in energy, transportation, manufacturing</t>
  </si>
  <si>
    <t>Daren Chen, Ph.D.</t>
  </si>
  <si>
    <t>dchen3@vcu.edu</t>
  </si>
  <si>
    <t>PD. Chen researches particle sceinece and technology with emphasis on aerosol particles.</t>
  </si>
  <si>
    <t>particle sceinece , technology with emphasis on aerosol particles</t>
  </si>
  <si>
    <t>Shawn (Sheng-Chieh) Chen, Ph.D.</t>
  </si>
  <si>
    <t>scchen@vcu.edu</t>
  </si>
  <si>
    <t>Shawn's s include airborne and liquid-borne nanoparticle filtration, NanoEHS, and indoor and urban air pollution control.</t>
  </si>
  <si>
    <t>airborne , liquid-borne nanoparticle filtration, NanoEHS, indoor , urban air pollution control,</t>
  </si>
  <si>
    <t>Braden Goddard, Ph.D.</t>
  </si>
  <si>
    <t>bgoddard@vcu.edu</t>
  </si>
  <si>
    <t>PGoddard is a nuclear engineer specializing in nuclear security and nonproliferation.</t>
  </si>
  <si>
    <t>uclear engineer specializing in nuclear security , nonproliferation,</t>
  </si>
  <si>
    <t>Laleh Golshahi, Ph.D.</t>
  </si>
  <si>
    <t>lgolshahi@vcu.edu</t>
  </si>
  <si>
    <t>Dr. Golshahi specializes in aerosol science and in vitro-in vivo correlations for respiratory support, diagnosis and inhalation therapy.</t>
  </si>
  <si>
    <t xml:space="preserve"> aerosol science , in vitro-in vivo correlations for respiratory support, diagnosis , inhalation therapy,</t>
  </si>
  <si>
    <t>Frank A. Gulla</t>
  </si>
  <si>
    <t>fagulla@vcu.edu</t>
  </si>
  <si>
    <t>Ibrahim Guven, Ph.D.</t>
  </si>
  <si>
    <t>iguven@vcu.edu</t>
  </si>
  <si>
    <t>PGuven specializes in fracture and failure analysis using peridynamics.</t>
  </si>
  <si>
    <t>fracture and failure analysis using peridynamics,</t>
  </si>
  <si>
    <t>Ravi Hadimani</t>
  </si>
  <si>
    <t>rhadimani@vcu.edu</t>
  </si>
  <si>
    <t>PHadimani specializes in non-invasive brain stimulation, biomagnetics, magnetocalorics and energy harvesting research.</t>
  </si>
  <si>
    <t>non-invasive brain stimulation, biomagnetics, magnetocalorics , energy harvesting research</t>
  </si>
  <si>
    <t>$13,014 per year (in-state, full-time)</t>
  </si>
  <si>
    <t>Worth Longest, Ph.D.</t>
  </si>
  <si>
    <t>pwlongest@vcu.edu</t>
  </si>
  <si>
    <t>PLongest works to address significant current challenges in the field of medical aerosols</t>
  </si>
  <si>
    <t>medical aerosols</t>
  </si>
  <si>
    <t>Gennady Miloshevsky, Ph.D.</t>
  </si>
  <si>
    <t>gennady@vcu.edu</t>
  </si>
  <si>
    <t>PMiloshevsky researches computational physics with emphasis on effects of plasma, laser and particle beams on materials.</t>
  </si>
  <si>
    <t>computational physics with emphasis on effects of plasma, laser , particle beams on materials,</t>
  </si>
  <si>
    <t>Reza Mohammadi, Ph.D.</t>
  </si>
  <si>
    <t>rmohammadi@vcu.edu</t>
  </si>
  <si>
    <t>PMohammadi researches Materials Science and Engineering, Surface Engineering, Wetting Phenomena, Metal Forming, Materials Chemistry</t>
  </si>
  <si>
    <t>Materials Science , Engineering, Surface Engineering, Wetting Phenomena, Metal Forming, Materials Chemistry</t>
  </si>
  <si>
    <t>Karla Mossi, Ph.D.</t>
  </si>
  <si>
    <t>kmmossi@vcu.edu</t>
  </si>
  <si>
    <t>Bradley Nichols, Ph.D</t>
  </si>
  <si>
    <t>brnichols@vcu.edu</t>
  </si>
  <si>
    <t>Bradley Nichols is anAssistant Pin the Department of Mechanical and Nuclear Engineering.</t>
  </si>
  <si>
    <t>Department of Mechanical , Nuclear Engineering</t>
  </si>
  <si>
    <t>Supathorn Phongikaroon, Ph.D.</t>
  </si>
  <si>
    <t>sphongikaroon@vcu.edu</t>
  </si>
  <si>
    <t>PPhongikaroon's research focuses on pedagogy and experimental studies in used nuclear fuel reprocessing.</t>
  </si>
  <si>
    <t>pedagogy , experimental studies in used nuclear fuel reprocessing</t>
  </si>
  <si>
    <t>Jessika Rojas, Ph.D.</t>
  </si>
  <si>
    <t>jvrojas@vcu.edu</t>
  </si>
  <si>
    <t>PRojas is a nuclear engineering expert specializing in nuclear materials, nanomaterials, and radiation processing.</t>
  </si>
  <si>
    <t>nuclear engineering expert specializing in nuclear materials, nanomaterials, radiation processing</t>
  </si>
  <si>
    <t>Robert M. Sexton, Ph.D.</t>
  </si>
  <si>
    <t>rmsexton@vcu.edu</t>
  </si>
  <si>
    <t>Engineering mechanics expert exploring the response dynamics and vibrations of offshore drilling</t>
  </si>
  <si>
    <t>vibrations of offshore drilling</t>
  </si>
  <si>
    <t>Joao S. Soares, Ph.D.</t>
  </si>
  <si>
    <t>jsoares@vcu.edu</t>
  </si>
  <si>
    <t>Engineered Tissue Multiscale Mechanics &amp; Modeling Laboratory (ETM3)</t>
  </si>
  <si>
    <t>Engineered Tissue Multiscale Mechanics, Modeling Laboratory</t>
  </si>
  <si>
    <t>Fotis Sotiropoulos, Ph.D.</t>
  </si>
  <si>
    <t>sotiropoulosf@vcu.edu</t>
  </si>
  <si>
    <r>
      <rPr>
        <u/>
        <sz val="10"/>
        <color rgb="FF000000"/>
        <rFont val="Arial"/>
        <family val="2"/>
      </rPr>
      <t>John E. Speich, Ph.D.</t>
    </r>
    <r>
      <rPr>
        <sz val="10"/>
        <color rgb="FF000000"/>
        <rFont val="Arial"/>
        <family val="2"/>
      </rPr>
      <t xml:space="preserve"> (Chair)</t>
    </r>
  </si>
  <si>
    <t>jespeich@vcu.edu</t>
  </si>
  <si>
    <t>Engineering and program development expert with research focused on bladder biomechanics and robotics</t>
  </si>
  <si>
    <t>Engineering , program development expert with research focused on bladder biomechanics, robotics</t>
  </si>
  <si>
    <t>Wei-Ning Wang, Ph.D.</t>
  </si>
  <si>
    <t>wnwang@vcu.edu</t>
  </si>
  <si>
    <t>Aerosol-enabled technologies towards addressing critical challenges in the sectors of energy, the environment, and human health.</t>
  </si>
  <si>
    <t>Aerosol-enabled technologies towards addressing critical challenges in the sectors of energy, the environment, human health,</t>
  </si>
  <si>
    <t>Zeyun Wu, Ph.D.</t>
  </si>
  <si>
    <t>zwu@vcu.edu</t>
  </si>
  <si>
    <t xml:space="preserve"> include nuclear reactor physics, computational methods, sensitivity and uncertainty analysis, advanced data analytics.</t>
  </si>
  <si>
    <t>nuclear reactor physics, computational methods, sensitivity , uncertainty analysis, advanced data analytics,</t>
  </si>
  <si>
    <t>Hong Zhao, Ph.D.</t>
  </si>
  <si>
    <t>hzhao2@vcu.edu</t>
  </si>
  <si>
    <t>Specializing in solid-liquid interactions, self-assembly of colloidal nano particles, and development of various printing processes</t>
  </si>
  <si>
    <t>Specializing in solid-liquid interactions, self-assembly of colloidal nano particles, development of various printing processes</t>
  </si>
  <si>
    <t>West Virginia University (Statler)</t>
  </si>
  <si>
    <t>V'yacheslav Akkerman</t>
  </si>
  <si>
    <t>vyacheslav.akkerman@mail.wvu.edu</t>
  </si>
  <si>
    <t xml:space="preserve">s lie in the hydrodynamics of laminar and turbulent reacting flows.
</t>
  </si>
  <si>
    <t xml:space="preserve">hydrodynamics of laminar , turbulent reacting flows
</t>
  </si>
  <si>
    <t>Omid Askari</t>
  </si>
  <si>
    <t>omid.askari@mail.wvu.edu</t>
  </si>
  <si>
    <t>Askari's research focuses on the development of advanced technologies for the next generation of less-emission combustion devices and a secure and sustainable energy future, with emphasis on complex reacting flows at extreme conditions, non-equilibrium plasma, propulsion, jet flame, thermal and non-thermal ignition, high-pressure spray, chemical kinetic and advanced laser-based diagnostics.</t>
  </si>
  <si>
    <t>development of advanced technologies for the next generation of less-emission combustion devices , a secure , sustainable energy future, with emphasis on complex reacting flows at extreme conditions, non-equilibrium plasma, propulsion, jet flame, thermal , non-thermal ignition, high-pressure spray, chemical kinetic , advanced laser-based diagnostics</t>
  </si>
  <si>
    <t>Ever J. Barbero</t>
  </si>
  <si>
    <t>ever.barbero@mail.wvu.edu</t>
  </si>
  <si>
    <t>material models for composite materials.</t>
  </si>
  <si>
    <t>material models for composite materials</t>
  </si>
  <si>
    <t>Cosmin Dumitrescu</t>
  </si>
  <si>
    <t>cedumitrescu@mail.wvu.edu</t>
  </si>
  <si>
    <r>
      <rPr>
        <u/>
        <sz val="10"/>
        <color rgb="FF000000"/>
        <rFont val="Arial"/>
        <family val="2"/>
      </rPr>
      <t>Jason Gross</t>
    </r>
    <r>
      <rPr>
        <sz val="10"/>
        <color rgb="FF000000"/>
        <rFont val="Arial"/>
        <family val="2"/>
      </rPr>
      <t xml:space="preserve"> (Chair)</t>
    </r>
  </si>
  <si>
    <t>jason.gross@mail.wvu.edu</t>
  </si>
  <si>
    <t>His research focuses on robotic systems and unmanned aerial system with an emphasis on perception and localization.</t>
  </si>
  <si>
    <t>robotic systems , unmanned aerial system with an emphasis on perception , localization</t>
  </si>
  <si>
    <t>Yu Gu</t>
  </si>
  <si>
    <t>yu.gu@mail.wvu.edu</t>
  </si>
  <si>
    <t>Dr. Yu Gu’s main  is to improve robots’ ability to function in increasingly complex environments and situations.</t>
  </si>
  <si>
    <t xml:space="preserve"> robots’ ability to function in increasingly complex environments</t>
  </si>
  <si>
    <t>Wade W. Huebsch</t>
  </si>
  <si>
    <t>wade.huebsch@mail.wvu.edu</t>
  </si>
  <si>
    <t>Derek R. Johnson</t>
  </si>
  <si>
    <t>derek.johnson@mail.wvu.edu</t>
  </si>
  <si>
    <t>He continues to lead research on the use of natural gas as a fuel for engines ranging from 1 hPto over 1000 hp. He also conducts research aimed at improving the understanding of methane emissions from across the entire natural gas supply chain.</t>
  </si>
  <si>
    <t>improving the understanding of methane emissions from across the entire natural gas supply chain</t>
  </si>
  <si>
    <t>Bruce Kang</t>
  </si>
  <si>
    <t>bruce.kang@mail.wvu.edu</t>
  </si>
  <si>
    <t>Dr. Kang has also acted as a Summer Faculty RParticipant in the High Temperature Materials Lab</t>
  </si>
  <si>
    <t>Summer Faculty RParticipant in the High Temperature Materials Lab</t>
  </si>
  <si>
    <t>Cagri Kilic</t>
  </si>
  <si>
    <t>cagri.kilic@mail.wvu.edu</t>
  </si>
  <si>
    <t>Kilic's primary research focus lies in advancing the field of space robotics, emphasizing the development of computationally efficient state estimation techniques.</t>
  </si>
  <si>
    <t>advancing the field of space robotics, emphasizing the development of computationally efficient state estimation techniques</t>
  </si>
  <si>
    <t>Hang Woon Lee</t>
  </si>
  <si>
    <t>hangwoon.lee@mail.wvu.edu</t>
  </si>
  <si>
    <t>Lee's s lie at the intersection of space system engineering, operations research, and astrodynamics. Specifically, his research grouPconducts research in the domain of distributed satellite systems, space traffic management, space domain awareness, on-orbit servicing, and space logistics.</t>
  </si>
  <si>
    <t>space system engineering, operations research, astrodynamics, Specifically, his research grouPconducts research in the domain of distributed satellite systems, space traffic management, space domain awareness, on-orbit servicing, space logistics</t>
  </si>
  <si>
    <t>Hailin Li</t>
  </si>
  <si>
    <t>hailin.li@mail.wvu.edu</t>
  </si>
  <si>
    <t>Li's expertise is in the area of advanced combustion concepts, the combustion and exhaust emissions of I.C. engines and the application of alternative fuels including both liquid and gaseous fuels.</t>
  </si>
  <si>
    <t>advanced combustion concepts, the combustion , exhaust emissions of I,C, engines , the application of alternative fuels including both liquid , gaseous fuels</t>
  </si>
  <si>
    <t>$12,132 per year (in-state, full-time)</t>
  </si>
  <si>
    <t>Xingbo Liu</t>
  </si>
  <si>
    <t>xingbo.liu@mail.wvu.edu</t>
  </si>
  <si>
    <t xml:space="preserve">Our multidisciplinary team uses sound science to build practical engineering solutions to create advanced materials to modernize the energy, transportation and industrial sectors.   
</t>
  </si>
  <si>
    <t>sound science to build practical engineering solutions to create advanced materials to modernize the energy, transportation , industrial sectors</t>
  </si>
  <si>
    <t>Pedro J. Mago</t>
  </si>
  <si>
    <t>pedro.mago@mail.wvu.edu</t>
  </si>
  <si>
    <t>Mago's research and teaching interests have been focused on energy systems and are currently concentrated on combined heat and power systems, building energy simulation, and waste heat recovery technologies.</t>
  </si>
  <si>
    <t>teaching interests have been focused on energy systems ,combined heat , power systems, building energy simulation, waste heat recovery technologies</t>
  </si>
  <si>
    <t>David Mebane</t>
  </si>
  <si>
    <t>david.mebane@mail.wvu.edu</t>
  </si>
  <si>
    <t>Energy Systems and Materials Simulation</t>
  </si>
  <si>
    <t>Energy Systems , Materials Simulation</t>
  </si>
  <si>
    <t>Victor H. Mucino</t>
  </si>
  <si>
    <t>victor.mucino@mail.wvu.edu</t>
  </si>
  <si>
    <t>His areas of research include mechanical engineering design, dynamics of mechanical systems, finite element analysis and mechanics of materials.</t>
  </si>
  <si>
    <t>mechanical engineering design, dynamics of mechanical systems, finite element analysis , mechanics of materials</t>
  </si>
  <si>
    <t>Terence Musho</t>
  </si>
  <si>
    <t>terence.musho@mail.wvu.edu</t>
  </si>
  <si>
    <t xml:space="preserve">His research grouPat WVU is focused on the development and application of first principle materials modeling techniques. </t>
  </si>
  <si>
    <t>the development , application of first principle materials modeling techniques</t>
  </si>
  <si>
    <t>Marcello R. Napolitano</t>
  </si>
  <si>
    <t>marcello.napolitano@mail.wvu.edu</t>
  </si>
  <si>
    <t>Andrew C. Nix</t>
  </si>
  <si>
    <t>andrew.nix@mail.wvu.edu</t>
  </si>
  <si>
    <t>He is continuing research in heat transfer and advanced combustion in gas turbines for propulsion and power, as well as research in natural gas and dual fuel engines, emissions measurements from transit buses and hybrid-electric vehicle systems.</t>
  </si>
  <si>
    <t>heat transfer , advanced combustion in gas turbines for propulsion , power, natural gas , dual fuel engines, emissions measurements from transit buses , hybrid-electric vehicle systems,</t>
  </si>
  <si>
    <t>Mario Perhinschi</t>
  </si>
  <si>
    <t>mario.perhinschi@mail.wvu.edu</t>
  </si>
  <si>
    <t>Fluid Mechanics and Flight Dynamics</t>
  </si>
  <si>
    <t>Fluid Mechanics , Flight Dynamics</t>
  </si>
  <si>
    <t>Songgang Qiu</t>
  </si>
  <si>
    <t>songgang.qiu@mail.wvu.edu</t>
  </si>
  <si>
    <t xml:space="preserve">Dr. Qiu has extensive experiences in the analysis and design of power generator, gas and liquid fuel burners, and heat exchangers. </t>
  </si>
  <si>
    <t xml:space="preserve"> design of power generator, gas , liquid fuel burners, heat exchangers</t>
  </si>
  <si>
    <t>Loren Rieth</t>
  </si>
  <si>
    <t>loren.rieth@mail.wvu.edu</t>
  </si>
  <si>
    <t xml:space="preserve"> His research focuses on basic and translational neural interfaces, (Bio)MEMS, harsh environment sensors, thin film materials, microfabrication, materials characterization, applied surface science, electronic materials, and solar cells. Prof.</t>
  </si>
  <si>
    <t>translational neural interfaces, (Bio)MEMS, harsh environment sensors, thin film materials, microfabrication, materials characterization, applied surface science, electronic materials, solar cells</t>
  </si>
  <si>
    <t>Edward Sabolsky</t>
  </si>
  <si>
    <t>ed.sabolsky@mail.wvu.edu</t>
  </si>
  <si>
    <t xml:space="preserve">Edward Sabolsky's research focuses on the development of piezoelectric/dielectric materials, chemical sensors, reforming catalyst, battery materials, supercapacitors, solid-oxide and direct-carbon fuel cells, and ceramic separation membranes. This research includes the synthesis and electrochemical testing of complex oxide powders, ceramic nanomaterials, and novel ceramic monolithic structures to improve performance. Sabolsky has authored more than 45 papers in technical literature, and has received two patents.
</t>
  </si>
  <si>
    <t xml:space="preserve">development of piezoelectric/dielectric materials, chemical sensors, reforming catalyst, battery materials, supercapacitors, solid-oxide , direct-carbon fuel cells, ceramic separation membranes
</t>
  </si>
  <si>
    <t>Konstantinos Sierros</t>
  </si>
  <si>
    <t>kostas.sierros@mail.wvu.edu</t>
  </si>
  <si>
    <t xml:space="preserve">Kostas' current research is focused on the design, development and characterization of optoelectronic devices for sustainable applications. Applications include energy harvesting, biodegradable electronics, and contact-based sensors.
</t>
  </si>
  <si>
    <t xml:space="preserve">characterization of optoelectronic devices for sustainable applications, Applications include energy harvesting, biodegradable electronics, contact-based sensors
</t>
  </si>
  <si>
    <t>Nithi Sivaneri</t>
  </si>
  <si>
    <t>nithi.sivaneri@mail.wvu.edu</t>
  </si>
  <si>
    <t>Xueyan Song</t>
  </si>
  <si>
    <t>xueyan.song@mail.wvu.edu</t>
  </si>
  <si>
    <t xml:space="preserve">advanced transmission electron microscopy, physical metallurgy and electroceramics. </t>
  </si>
  <si>
    <t>advanced transmission electron microscopy, physical metallurgy , electroceramics</t>
  </si>
  <si>
    <t>Nicholas Szczecinski</t>
  </si>
  <si>
    <t>nicholas.szczecinski@mail.wvu.edu</t>
  </si>
  <si>
    <t>In his research, he collaborates with neuroscientists to building and control robots by applying what is known about animals’ mechanics and nervous systems.</t>
  </si>
  <si>
    <t>neuroscientists to building , control robots by applying what is known about animals’ mechanics , nervous systems</t>
  </si>
  <si>
    <t>Gregory Thompson</t>
  </si>
  <si>
    <t>gregory.thompson@mail.wvu.edu</t>
  </si>
  <si>
    <t>Thompson performs research ranging from internal combustion engine design, control, and emissions measurements to development of an rf plasma ignition system to antenna design.</t>
  </si>
  <si>
    <t>internal combustion engine design, control, emissions measurements to development of an rf plasma ignition system to antenna design</t>
  </si>
  <si>
    <t>ScoTTWayne</t>
  </si>
  <si>
    <t>scott.wayne@mail.wvu.edu</t>
  </si>
  <si>
    <t>Xi Yu</t>
  </si>
  <si>
    <t>xi.yu1@mail.wvu.edu</t>
  </si>
  <si>
    <t>Multi-robot systems,resilient robotic systems,optimal control</t>
  </si>
  <si>
    <t>Omar Hazbon Alvarez</t>
  </si>
  <si>
    <t>automatic flight control tolerant to air data sensor failures</t>
  </si>
  <si>
    <t>Patrick Browning</t>
  </si>
  <si>
    <t>patrick.browning@mail.wvu.edu</t>
  </si>
  <si>
    <t>fixed-wing and coaxial rotorcraft UAV design and performance analysis, low speed wind tunnel testing, NG pipeline acoustics, gas ejector systems, wing circulation and boundary layer control, transient flow characterization of high speed valves, controlled autoignition combustion, small scale heavy fuel engine development, and hot-diPsteel galvanizing airknife design.</t>
  </si>
  <si>
    <t>fixed-wing , coaxial rotorcraft UAV design , performance analysis, low speed wind tunnel testing, NG pipeline acoustics, gas ejector systems, wing circulation , boundary layer control, transient flow characterization of high speed valves, controlled autoignition combustion, small scale heavy fuel engine development, hot-diPsteel galvanizing airknife design,</t>
  </si>
  <si>
    <t>Dimas Abreu Archanjo Dutra</t>
  </si>
  <si>
    <t>dimas.dutra@mail.wvu.edu</t>
  </si>
  <si>
    <t>Robotics, Mechatronics and Unmanned Aerial Vehicles.</t>
  </si>
  <si>
    <t>Robotics, Mechatronics , Unmanned Aerial Vehicles</t>
  </si>
  <si>
    <t>Christopher D. Griffin</t>
  </si>
  <si>
    <t>cgriffin@mail.wvu.edu</t>
  </si>
  <si>
    <t>Dr. Griffin’s current research involves statistical approaches to understanding the behavior of unstable aerodynamic bodies and autonomous UAS.</t>
  </si>
  <si>
    <t>statistical approaches to underst,ing the behavior of unstable aerodynamic bodies , autonomous UAS</t>
  </si>
  <si>
    <t>Andrew Rhodes</t>
  </si>
  <si>
    <t>andrew.rhodes@mail.wvu.edu</t>
  </si>
  <si>
    <t>computer vision topics including object detection and description in 3D point clouds.</t>
  </si>
  <si>
    <t>computer vision topics including object detection , description in 3D point clouds</t>
  </si>
  <si>
    <t>Emily Spayde</t>
  </si>
  <si>
    <t>emily.spayde@mail.wvu.edu</t>
  </si>
  <si>
    <t>Emily Spayde's s include engineering education, energy sustainability and organic Rankine cycles while she focuses on thermodynamics and heat transfer for her teaching interests.</t>
  </si>
  <si>
    <t xml:space="preserve"> engineering education, energy sustainability , organic Rankine cycles while she focuses on thermodynamics , heat transfer for her teaching interests</t>
  </si>
  <si>
    <t>yun.chen@mail.wvu.edu</t>
  </si>
  <si>
    <t>Solid Oxide Cells,Energy Conversion,Energy Materials</t>
  </si>
  <si>
    <t>Shanshan Hu</t>
  </si>
  <si>
    <t>shhu@mail.wvu.edu</t>
  </si>
  <si>
    <t>high temperature corrosion, molten salt, anti-corrosion coating and electrophoretic deposition.</t>
  </si>
  <si>
    <t>high temperature corrosion, molten salt, anti-corrosion coating , electrophoretic deposition,</t>
  </si>
  <si>
    <t>wei.li@mail.wvu.edu</t>
  </si>
  <si>
    <t>He has been working on electrochemical energy storage and conversion (Li-ion, Li-S, Li-air, Zn-air and Zn-ion batteries, fuel cells and water electrolysis for hydrogen production), thermochemical looping, CO2 capture and catalytic conversion, heterogeneous catalysis, water treatment and gas sensing.</t>
  </si>
  <si>
    <t>electrochemical energy storage , conversion, thermochemical looping, CO2 capture , catalytic conversion, heterogeneous catalysis, water treatment , gas sensing</t>
  </si>
  <si>
    <t>Eduardo Sosa</t>
  </si>
  <si>
    <t>eduardo.sosa@mail.wvu.edu</t>
  </si>
  <si>
    <t>Dr. Sosa conducted research on the stability of thin-walled structures subjected to extreme loads. He also collaborates with researchers of the Department of Mining and Industrial Extension at WVU on the development of different projects related to miner’s safety and training.</t>
  </si>
  <si>
    <t>the stability of thin-walled structures subjected to extreme loads</t>
  </si>
  <si>
    <t>tao.sun@mail.wvu.edu</t>
  </si>
  <si>
    <t>Dr. Tao Sun's academic endeavor spans from flexible electronics to neural engineering, with the focus on advanced microelectromechanical system (MEMS) technologies.</t>
  </si>
  <si>
    <t>flexible electronics to neural engineering, with the focus on advanced microelectromechanical system (MEMS) technologies</t>
  </si>
  <si>
    <t>Baylor University</t>
  </si>
  <si>
    <r>
      <rPr>
        <u/>
        <sz val="10"/>
        <color rgb="FF000000"/>
        <rFont val="Arial"/>
        <family val="2"/>
      </rPr>
      <t>Dr. Paul Ro</t>
    </r>
    <r>
      <rPr>
        <sz val="10"/>
        <color rgb="FF000000"/>
        <rFont val="Arial"/>
        <family val="2"/>
      </rPr>
      <t xml:space="preserve"> (Chair)</t>
    </r>
  </si>
  <si>
    <t>Paul_Ro@baylor.edu</t>
  </si>
  <si>
    <t>Renewable Energy Harvesting and Storage
Vibro-acoustics and Control
Robotics and Automation
Ultra-precision Positioning and Microdynamics Characterization
Vehicle Dynamics and Control</t>
  </si>
  <si>
    <t>Renewable Energy Harvesting , Storage,
Vibro-acoustics , Control,
Robotics , Automation,
Ultra-precision Positioning , Microdynamics Characterization,
Vehicle Dynamics , Control</t>
  </si>
  <si>
    <t>Dr. Paul Allison</t>
  </si>
  <si>
    <t>Paul_Allison@baylor.edu</t>
  </si>
  <si>
    <t>Dr. Allison is involved in characterizing the structure-property-processing relations of a variety of material systems to support basic and applied RProjects. His research examines many different material systems, including ferrous and non-ferrous alloys, ceramics, cementitious materials, biomaterials, and bio-inspired nanocomposites across multiple-length scales under monotonic quasi-static and dynamic loading rates and cyclic loads.</t>
  </si>
  <si>
    <t>characterizing the structure-property-processing relations of a variety of material systems to support basic, non-ferrous alloys, ceramics, cementitious materials, biomaterials, bio-inspired nanocomposites across multiple-length scales under monotonic quasi-static , dynamic loading rates , cyclic loads</t>
  </si>
  <si>
    <t>Dr. Trevor Fleck</t>
  </si>
  <si>
    <t>Trevor_Fleck@baylor.edu</t>
  </si>
  <si>
    <t>Dr. Fleck's research focuses on various aspects of the additive manufacturing (AM) process, including novel materials development, in situ process monitoring and process enhancement capabilities, and AM component qualification. His experience in additive manufacturing spans multiple AM techniques, including fused filament fabrication, inkjet printing, and direct ink writing.</t>
  </si>
  <si>
    <t>the additive manufacturing (AM) process, including novel materials development, in situ process monitoring , process enhancement capabilities, AM component qualification</t>
  </si>
  <si>
    <t>#111 - Mechanical Engineering</t>
  </si>
  <si>
    <t>Dr. Brian Garner</t>
  </si>
  <si>
    <t>Brian_Garner@baylor.edu</t>
  </si>
  <si>
    <t>Computer algorithms and simulation tools to model multi-rigid-body systems, kinematic linkage mechanisms, and human musculoskeletal biomechanics, with a particular focus on muscle wrapping paths, and forces and motions in the bones, joints, and muscles of the human shoulder    
Computer algorithms to automate analysis of medical images, such as CT images, to detect risk of otherwise non-presenting injuries based on mis-alignment and mis-orientation of anatomical features, with a particular focus on the occipoto-cervical complex 
Study of electromagnetic (EM) wave propogation on and around the moving human body, particularly as it relates to the design of small, unobtrusive, power-efficient antennas suitable for continuous, remote health monitoring systems 
Mechanical devices that facilitate exercise and therapy, with a particular focus on a mechanical horse device that simulates the experience of riding by accurately recreating the complex, three-dimensional motion pattern produced by a horse and experienced by a rider, Investigating the effects of imparted natural motion patterns in children with Autism by therapy using a mechanical horse-riding simulator.</t>
  </si>
  <si>
    <t>Computer algorithms , simulation tools to model multi-rigid-body systems, kinematic linkage mechanisms, human musculoskeletal biomechanics, with a particular focus on muscle wrapping paths, forces , motions in the bones, joints, muscles of the human shoulder,
Computer algorithms to automate analysis of medical images, such as CT images, to detect risk of otherwise non-presenting injuries based on mis-alignment , mis-orientation of anatomical features, with a particular focus on the occipoto-cervical complex,
Study of electromagnetic (EM) wave propogation on , around the moving human body, particularly as it relates to the design of small, unobtrusive, power-efficient antennas suitable for continuous, remote health monitoring systems,
Mechanical devices that facilitate exercise , therapy, with a particular focus on a mechanical horse device that simulates the experience of riding by accurately recreating the complex, three-dimensional motion pattern produced by a horse , experienced by a rider, Investigating the effects of imparted natural motion patterns in children with Autism by therapy using a mechanical horse-riding simulator,</t>
  </si>
  <si>
    <t>#161 - Best Engineering Schools</t>
  </si>
  <si>
    <t>Mr. Stanton Greer</t>
  </si>
  <si>
    <t>Stanton_Greer@baylor.edu</t>
  </si>
  <si>
    <t>Dr. David Jack</t>
  </si>
  <si>
    <t>David_Jack@baylor.edu</t>
  </si>
  <si>
    <t>Constitutive Modeling of Contemporary Composite Processes
Rigid and Flexible Suspension Dynamics
Mechanics Based Modeling of Contemporary Composite Products
Conductivity Analysis of Carbon Nanotube Networks for High Current Applications
Non-destructive evaluation of composites using ultrasonic techniques
Large-scale simulations of oil well casings with spatial and temporal properties</t>
  </si>
  <si>
    <t>Constitutive Modeling of Contemporary Composite Processes,
Rigid , Flexible Suspension Dynamics,
Mechanics Based Modeling of Contemporary Composite Products,
Conductivity Analysis of Carbon Nanotube Networks for High Current Applications,
Non-destructive evaluation of composites using ultrasonic techniques,
Large-scale simulations of oil well casings with spatial , temporal properties</t>
  </si>
  <si>
    <t>Dr. Lulin Jiang</t>
  </si>
  <si>
    <t>Lulin_Jiang@baylor.edu</t>
  </si>
  <si>
    <t>Design of Thermo-fluids Systems
Combustion and Propulsion
Advanced Atomization and Sprays
Laser Diagnostics for Flow Measurements
Multiphase Flow
Renewable Energy</t>
  </si>
  <si>
    <t>Design of Thermo-fluids Systems,
Combustion , Propulsion,
Advanced Atomization , Sprays,
Laser Diagnostics for Flow Measurements,
Multiphase Flow,
Renewable Energy</t>
  </si>
  <si>
    <t>Dr. Benjamin S. Kelley</t>
  </si>
  <si>
    <t>Ben_Kelley@baylor.edu</t>
  </si>
  <si>
    <t>Orthopedic Biomechanics
Cardiovascular Dynamics
International Engineering Education
Engineering Student Success and Engagement
Engineering Entrepreneurship</t>
  </si>
  <si>
    <t>Orthopedic Biomechanics,
Cardiovascular Dynamics,
International Engineering Education,
Engineering Student Success , Engagement,
Engineering Entrepreneurship</t>
  </si>
  <si>
    <t>Dr. Taeil Kim</t>
  </si>
  <si>
    <t>Taeil_Kim@baylor.edu</t>
  </si>
  <si>
    <t>Integrated Biosensor Systems
Biomedical Technologies
Wearable Technologies
Sustainable Technologies
Appropriate Technologies</t>
  </si>
  <si>
    <t>Integrated Biosensor Systems,
Biomedical Technologies,
Wearable Technologies,
Sustainable Technologies,
Appropriate Technologies</t>
  </si>
  <si>
    <t>Dr. Stephen T. McClain</t>
  </si>
  <si>
    <t>Stephen_McClain@baylor.edu</t>
  </si>
  <si>
    <t>In-flight ICE Accretion Physics
Gas Turbine Blade Aerodynamics and Cooling
Uncertainty Analysis
Experimental Techniques</t>
  </si>
  <si>
    <t>In-flight ICE Accretion Physics,
Gas Turbine Blade Aerodynamics , Cooling,
Uncertainty Analysis,
Experimental Techniques</t>
  </si>
  <si>
    <t>Dr. Byron Newberry</t>
  </si>
  <si>
    <t>Byron_Newberry@baylor.edu</t>
  </si>
  <si>
    <t>Engineering Ethics
Philosophy of Engineering and Technology Studies
Theory and Practice of Engineering Education</t>
  </si>
  <si>
    <t>Engineering Ethics,
Philosophy of Engineering , Technology Studies,
Theory , Practice of Engineering Education</t>
  </si>
  <si>
    <t>Dr. Min Y. Pack</t>
  </si>
  <si>
    <t>Min_Pack@baylor.edu</t>
  </si>
  <si>
    <t>Interfacial science
Multiphase flows
Bioinspired fluid dynamics
Colloidal self-assembly
Advanced manufacturing
Thermal management</t>
  </si>
  <si>
    <t>Interfacial science,
Multiphase flows,
Bioinspired fluid dynamics,
Colloidal self-assembly,
Advanced manufacturing,
Thermal management</t>
  </si>
  <si>
    <t>$47,588 per year (full-time)</t>
  </si>
  <si>
    <t>Dr. Abhendra Singh</t>
  </si>
  <si>
    <t>Abhen_Singh@baylor.edu</t>
  </si>
  <si>
    <t>Ceramic Matrix Composites
Emerging Materials for Hypersonic Applications
Hybrid, Multifunctional Composite Structures
Modeling of Damage in Composite Structures</t>
  </si>
  <si>
    <t>Ceramic Matrix Composites,
Emerging Materials for Hypersonic Applications,
Hybrid, Multifunctional Composite Structures,
Modeling of Damage in Composite Structures</t>
  </si>
  <si>
    <t>Dr. Carolyn Skurla</t>
  </si>
  <si>
    <t>Carolyn_Skurla@baylor.edu</t>
  </si>
  <si>
    <t>Engineering education RPerformed in topical areas of freshmen admission requirements to improve retention, programs to ensure student success and retention to graduation. Biomedical RPerformed in topical area of biomechanics and biomaterials related to bone, cartilage, total joint replacement, motion capture &amp; biomechanics.</t>
  </si>
  <si>
    <t>biomechanics , biomaterials related to bone, cartilage, total joint replacement, motion capture &amp; biomechanics</t>
  </si>
  <si>
    <t>Dr. Douglas E. Smith</t>
  </si>
  <si>
    <t>Douglas_E_Smith@baylor.edu</t>
  </si>
  <si>
    <t>Development of finite element methods for simulation based design, inverse analyses and computational biomechanics with a focus on design sensitivity analysis, multidisciplinary analysis and optimization, and reliability-based design. Applications include polymer and composites processing, fiber orientation modeling, structural optimization, biomechanics, and thermo-mechanical response of lasers and railguns. This research includes theoretical development, computer implementation and industrial application.</t>
  </si>
  <si>
    <t>Development of finite element methods for simulation based design, inverse analyses , computational biomechanics with a focus on design sensitivity analysis, multidisciplinary analysis , optimization, reliability-based design, Applications include polymer , composites processing, fiber orientation modeling, structural optimization, biomechanics, thermo-mechanical response of lasers , railguns</t>
  </si>
  <si>
    <t>Dr. Anne Spence</t>
  </si>
  <si>
    <t>Anne_Spence@baylor.edu</t>
  </si>
  <si>
    <t>Dr. Elon Terrell</t>
  </si>
  <si>
    <t>Elon_Terrell@baylor.edu</t>
  </si>
  <si>
    <t>Fluid mechanics, computational fluid dynamics (CFD), thermodynamics, heat transfer, energy systems, and tribology (friction, lubrication, and wear between contacting/sliding surfaces).</t>
  </si>
  <si>
    <t>Fluid mechanics, computational fluid dynamics (CFD), thermodynamics, heat transfer, energy systems, tribology (friction, lubrication, wear between contacting/sliding surfaces)</t>
  </si>
  <si>
    <t>Dr. Ning Zhang</t>
  </si>
  <si>
    <t>Ning_Zhang@baylor.edu</t>
  </si>
  <si>
    <t>Multiscale computational modeling
Machine learning
Materials design
Biomaterials
Medium/high entropy alloys
Green polymer composites</t>
  </si>
  <si>
    <t>Multiscale computational modeling,
Machine learning,
Materials design,
Biomaterials,
Medium/high entropy alloys,
Green polymer composites</t>
  </si>
  <si>
    <t>Florida A&amp;M University - Florida State University</t>
  </si>
  <si>
    <t>Yousuf Ali, Ph.D.</t>
  </si>
  <si>
    <t>myali@eng.famu.fsu.edu</t>
  </si>
  <si>
    <t>Thermal-Fluid Sciences
Experimental Fluid Mechanics
Data Reduction using modal decomposition techniques</t>
  </si>
  <si>
    <t>Thermal-Fluid Sciences,
Experimental Fluid Mechanics,
Data Reduction using modal decomposition techniques</t>
  </si>
  <si>
    <t>Farrukh Alvi, Ph.D.</t>
  </si>
  <si>
    <t>alvi@eng.famu.fsu.edu</t>
  </si>
  <si>
    <t>Active-adaptive flow control
Experimental fluid-gas dynamics
Aerodynamics and propulsion
Microfluid dynamics and diagnostics
Optical diagnostics</t>
  </si>
  <si>
    <t>Active-adaptive flow control,
Experimental fluid-gas dynamics,
Aerodynamics , propulsion,
Microfluid dynamics , diagnostics,
Optical diagnostics</t>
  </si>
  <si>
    <t>Dorr Campbell, Ph.D.</t>
  </si>
  <si>
    <t>dcampbell@eng.famu.fsu.edu</t>
  </si>
  <si>
    <t>Synthesis, characterization, and application of thin-film and two-dimensional materials
Processes for optimization of the mechanical properties of metal alloys</t>
  </si>
  <si>
    <t>Synthesis, characterization, application of thin-film , two-dimensional materials,
Processes for optimization of the mechanical properties of metal alloys</t>
  </si>
  <si>
    <t>Twan Capehart, Ph.D.</t>
  </si>
  <si>
    <t>tpc09@fsu.edu</t>
  </si>
  <si>
    <t>Mauricio Chagas, Ph.D.</t>
  </si>
  <si>
    <t>m.chagas@fsu.edu</t>
  </si>
  <si>
    <t>Dr. Chagas research is focused on computational simulation of thermal systems.</t>
  </si>
  <si>
    <t>computational simulation of thermal systems,</t>
  </si>
  <si>
    <t>Jonathan Clark, Ph.D.</t>
  </si>
  <si>
    <t>clarkj@eng.famu.fsu.edu</t>
  </si>
  <si>
    <t>Robotics - legged locomotion
Dynamic system analysis
Mechanical design and fabrication</t>
  </si>
  <si>
    <t>Robotics - legged locomotion,
Dynamic system analysis,
Mechanical design , fabrication</t>
  </si>
  <si>
    <t>Lance Cooley, Ph.D.</t>
  </si>
  <si>
    <t>ldcooley@asc.magnet.fsu.edu</t>
  </si>
  <si>
    <t>Superconductor materials science and physics
Engineering applications of superconducting strands and SRF cavities for particle accelerators</t>
  </si>
  <si>
    <t>Superconductor materials science , physics,
Engineering applications of superconducting str,s , SRF cavities for particle accelerators</t>
  </si>
  <si>
    <t>Suvranu De, Sc.D.</t>
  </si>
  <si>
    <t>sde@eng.famu.fsu.edu</t>
  </si>
  <si>
    <t>Multiscale modeling
Soft tissue thermo-mechanics
Scientific quantum computing
Virtual reality for healthcare
Noninvasive neuroimaging and neuromodulation
Artificial intelligence and machine learning</t>
  </si>
  <si>
    <t>Multiscale modeling,
Soft tissue thermo-mechanics,
Scientific quantum computing,
Virtual reality for healthcare,
Noninvasive neuroimaging , neuromodulation,
Artificial intelligence , machine learning</t>
  </si>
  <si>
    <t>Murray Gibson, Ph.D.</t>
  </si>
  <si>
    <t>jmgibson@eng.famu.fsu.edu</t>
  </si>
  <si>
    <t>Advanced microscopy and diffraction techniques
Study of semiconductor interfaces and amorphous materials</t>
  </si>
  <si>
    <t>Advanced microscopy , diffraction techniques,
Study of semiconductor interfaces , amorphous materials</t>
  </si>
  <si>
    <t>Wei Guo, Ph.D.</t>
  </si>
  <si>
    <t>wguo@eng.famu.fsu.edu</t>
  </si>
  <si>
    <t>Visualization study of quantum fluid dynamics in superfluid helium-4
Cryogenic helium based high Reynolds number flow research
Cryogenic heat and mass transfer phenomenon involved in particle accelerator systems.
Helium-Based Dark Matter Detector Research and Development
Cavitation and Bubble Dynamics</t>
  </si>
  <si>
    <t>Visualization study of quantum fluid dynamics in superfluid helium,
Cryogenic helium based high Reynolds number flow research,
Cryogenic heat , mass transfer phenomenon involved in particle accelerator systems,
Helium-Based Dark Matter Detector Research , Development,
Cavitation , Bubble Dynamics</t>
  </si>
  <si>
    <t>Eric Hellstrom, Ph.D.</t>
  </si>
  <si>
    <t>hellstrom@eng.famu.fsu.edu</t>
  </si>
  <si>
    <t>High-temperature superconductors
Electronic ceramics
Fuel cell</t>
  </si>
  <si>
    <t>High-temperature superconductors,
Electronic ceramics,
Fuel cell</t>
  </si>
  <si>
    <t>Taylor Higgins, Ph.D.</t>
  </si>
  <si>
    <t>thiggins@eng.famu.fsu.edu</t>
  </si>
  <si>
    <t>Human/Robot Interactions
Human Motor Control and Biomechanics
Dynamic Systems and Control</t>
  </si>
  <si>
    <t>Human/Robot Interactions,
Human Motor Control , Biomechanics,
Dynamic Systems , Control</t>
  </si>
  <si>
    <t>$9,636 per year (in-state, full-time)</t>
  </si>
  <si>
    <t>Patrick Hollis, Ph.D.</t>
  </si>
  <si>
    <t>hollis@eng.famu.fsu.edu</t>
  </si>
  <si>
    <t>CAD design tools
Rapid prototyping
Dynamic system modeling and control</t>
  </si>
  <si>
    <t>CAD design tools,
Rapid prototyping,
Dynamic system modeling , control</t>
  </si>
  <si>
    <t>Simone Peterson Hruda, Ph.D.</t>
  </si>
  <si>
    <t>peterson@eng.famu.fsu.edu</t>
  </si>
  <si>
    <t>Ceramic processing and characterization
Engineering education</t>
  </si>
  <si>
    <t>Ceramic processing , characterization,
Engineering education</t>
  </si>
  <si>
    <t>Christian Hubicki, Ph.D.</t>
  </si>
  <si>
    <t>hubicki@eng.famu.fsu.edu</t>
  </si>
  <si>
    <t>Robotics
Bipedal locomotion
Optimal control
Biomechanical modeling</t>
  </si>
  <si>
    <t>Robotics,
Bipedal locomotion,
Optimal control,
Biomechanical modeling</t>
  </si>
  <si>
    <t>Peter Kalu, Ph.D.</t>
  </si>
  <si>
    <t>kalu@eng.famu.fsu.edu</t>
  </si>
  <si>
    <t>Processing using severe plastic deformation
Magnetic processing of materials
Micromechanism of deformation and recrystallization</t>
  </si>
  <si>
    <t>Processing using severe plastic deformation,
Magnetic processing of materials,
Micromechanism of deformation , recrystallization</t>
  </si>
  <si>
    <t>Fumitake Kametani, Ph.D.</t>
  </si>
  <si>
    <t>kametani@asc.magnet.fsu.edu</t>
  </si>
  <si>
    <t xml:space="preserve">Transmission and scanning electron microscopy
Atomic resolution electron energy loss spectrometry
X-ray diffraction analysis
Focused ion beam
</t>
  </si>
  <si>
    <t xml:space="preserve">Transmission , scanning electron microscopy,
Atomic resolution electron energy loss spectrometry,
X-ray diffraction analysis,
Focused ion beam
</t>
  </si>
  <si>
    <t>Brandon Krick, Ph.D.</t>
  </si>
  <si>
    <t>bkrick@eng.famu.fsu.edu</t>
  </si>
  <si>
    <t>Rajan Kumar, Ph.D.</t>
  </si>
  <si>
    <t>rkumar@eng.famu.fsu.edu</t>
  </si>
  <si>
    <t>Experimental Aerodynamics
Supersonic and Hypersonic Flows
Advanced Flow Diagnostics
Active Flow &amp; Noise Control
High-Speed Test Facilities</t>
  </si>
  <si>
    <t>Experimental Aerodynamics,
Supersonic , Hypersonic Flows
Advanced Flow Diagnostics,
Active Flow &amp; Noise Control,
High-Speed Test Facilities</t>
  </si>
  <si>
    <t>David Larbalestier, Ph.D.</t>
  </si>
  <si>
    <t>dlarbalestier@eng.famu.fsu.edu</t>
  </si>
  <si>
    <t>The structure-property relationships of superconducting materials and their applications to superconducting magnets</t>
  </si>
  <si>
    <t>superconducting materials , their applications to superconducting magnets</t>
  </si>
  <si>
    <t>Keith Larson</t>
  </si>
  <si>
    <t>larson@eng.famu.fsu.edu</t>
  </si>
  <si>
    <t>Shayne McConomy, Ph.D.</t>
  </si>
  <si>
    <t>smcconomy@eng.famu.fsu.edu</t>
  </si>
  <si>
    <t>Product development and design
Exact constraint theory
Principles of mechanical self-helPwith emphasis on automotive design
Systems integration
Human factors engineering</t>
  </si>
  <si>
    <t>Product development , design,
Exact constraint theory,
Principles of mechanical self-helPwith emphasis on automotive design,
Systems integration,
Human factors engineering</t>
  </si>
  <si>
    <t>Carl Moore, Ph.D.</t>
  </si>
  <si>
    <t>camoore@eng.famu.fsu.edu</t>
  </si>
  <si>
    <t>Human/Robot interaction
Robot assisted manufacturing and design
Mobile robotics
Intelligent machine design</t>
  </si>
  <si>
    <t>Human/Robot interaction,
Robot assisted manufacturing , design,
Mobile robotics,
Intelligent machine design</t>
  </si>
  <si>
    <t>Unnikrishnan Sasidharan Nair, Ph.D.</t>
  </si>
  <si>
    <t>usasidharannair@eng.famu.fsu.edu</t>
  </si>
  <si>
    <t>Compressible flows
Hydrodynamic stability
Aero-acoustics
Computational fluid dynamics</t>
  </si>
  <si>
    <t>Compressible flows,
Hydrodynamic stability,
Aero-acoustics,
Computational fluid dynamics</t>
  </si>
  <si>
    <r>
      <rPr>
        <u/>
        <sz val="10"/>
        <color rgb="FF000000"/>
        <rFont val="Arial"/>
        <family val="2"/>
      </rPr>
      <t>William Oates, Ph.D., P.E.</t>
    </r>
    <r>
      <rPr>
        <sz val="10"/>
        <color rgb="FF000000"/>
        <rFont val="Arial"/>
        <family val="2"/>
      </rPr>
      <t xml:space="preserve"> (Chair)</t>
    </r>
  </si>
  <si>
    <t>woates@eng.famu.fsu.edu</t>
  </si>
  <si>
    <t>Solid mechanics of active materials
Smart material device design
Nonlinear control</t>
  </si>
  <si>
    <t>Solid mechanics of active materials,
Smart material device design,
Nonlinear control</t>
  </si>
  <si>
    <t>Camilo Ordóñez, Ph.D.</t>
  </si>
  <si>
    <t>cordonez@eng.famu.fsu.edu</t>
  </si>
  <si>
    <t>Dynamic modeling of legged and wheeled vehicles
Terrain identification
Motion planning
Control</t>
  </si>
  <si>
    <t>Dynamic modeling of legged , wheeled vehicles,
Terrain identification,
Motion planning,
Control</t>
  </si>
  <si>
    <t>Juan Ordóñez, Ph.D.</t>
  </si>
  <si>
    <t>ordonez@eng.famu.fsu.edu</t>
  </si>
  <si>
    <t>Thermodynamics heat transfer
Thermodynamic optimization
Computational heat transfer
Advanced power systems
Fuel cells
Heat exchanger design cooling of electronics
Micro-channels</t>
  </si>
  <si>
    <t>Thermodynamics heat transfer,
Thermodynamic optimization,
Computational heat transfer,
Advanced power systems,
Fuel cells,
Heat exchanger design cooling of electronics,
Micro-channels</t>
  </si>
  <si>
    <t>Chiang Shih, Ph.D.</t>
  </si>
  <si>
    <t>shih@eng.famu.fsu.edu</t>
  </si>
  <si>
    <t>Experimental fluid mechanics
Steady and unsteady aerodynamics
Active flow and noise control</t>
  </si>
  <si>
    <t>Experimental fluid mechanics,
Steady , unsteady aerodynamics,
Active flow , noise control</t>
  </si>
  <si>
    <t>Kourosh Shoele, Ph.D.</t>
  </si>
  <si>
    <t>kshoele@eng.famu.fsu.edu</t>
  </si>
  <si>
    <t>Fluid-structure interaction
Computational mechanics
Electromechanical energy harvesting
Thermal management of electronics
Bioinspired engineering</t>
  </si>
  <si>
    <t>Fluid-structure interaction,
Computational mechanics,
Electromechanical energy harvesting,
Thermal management of electronics,
Bioinspired engineering</t>
  </si>
  <si>
    <t>Yvonne Traynham, Ph.D.</t>
  </si>
  <si>
    <t>ytraynham@fsu.edu</t>
  </si>
  <si>
    <t>Steven Van Sciver, Ph.D.</t>
  </si>
  <si>
    <t>Mark Vanderlaan</t>
  </si>
  <si>
    <t>vanderlaan@magnet.fsu.edu</t>
  </si>
  <si>
    <t>Applications for liquid helium in superconducting magnets
MLI insulation for space applications
Micro-gravity fluid dynamics</t>
  </si>
  <si>
    <t>liquid helium in superconducting magnets,
MLI insulation for space applications,
Micro-gravity fluid dynamics</t>
  </si>
  <si>
    <t>Neda Yaghoobian, Ph.D.</t>
  </si>
  <si>
    <t>nyaghoobian@eng.famu.fsu.edu</t>
  </si>
  <si>
    <t>Land atmosphere interaction
Boundary layer meteorology
Computational fluid dynamics
Urban microclimate
Energy efficiency
Sustainability in buildings</t>
  </si>
  <si>
    <t>atmosphere interaction,
Boundary layer meteorology,
Computational fluid dynamics,
Urban microclimate,
Energy efficiency,
Sustainability in buildings</t>
  </si>
  <si>
    <t>Louisiana State University--Baton Rouge</t>
  </si>
  <si>
    <t>Barbalata, Corina</t>
  </si>
  <si>
    <t>cbarbalata@lsu.edu</t>
  </si>
  <si>
    <t>Marine robotic systems
Autonomous mobile-manipulation
Cooperative robotics
Multi-body control and planning theory
Underwater perception systems and algorithms</t>
  </si>
  <si>
    <t>Marine robotic systems,
Autonomous mobile-manipulation,
Cooperative robotics,
Multi-body control , planning theory,
Underwater perception systems , algorithms</t>
  </si>
  <si>
    <t>Industrial and Mechanical Engineering</t>
  </si>
  <si>
    <t>Becnel, Andrew</t>
  </si>
  <si>
    <t>abecne10@lsu.edu</t>
  </si>
  <si>
    <t xml:space="preserve">Smart composite material systems for occupant protection and wearable augmentation
Semi-Active Energy Absorbers for Occupant Protection
Advanced manufacturing of functionalized materials and structures
Wide-ranging Nondimensional Modeling and Characterization of Fluid Composites
Applications for improving human-device interfaces
</t>
  </si>
  <si>
    <t xml:space="preserve">Smart composite material systems for occupant protection , wearable augmentation,
Semi-Active Energy Absorbers for Occupant Protection,
Advanced manufacturing of functionalized materials , structures,
Wide-ranging Nondimensional Modeling , Characterization of Fluid Composites,
Applications for improving human-device interfaces
</t>
  </si>
  <si>
    <t>De Queiroz, Marcio</t>
  </si>
  <si>
    <t>mdeque1@lsu.edu</t>
  </si>
  <si>
    <t xml:space="preserve">My general area of expertise is dynamic systems and control. Within this general area, my primary focus is on the theory and application of nonlinear control systems. On the theory side, I am interested in the development of new nonlinear control algorithms as well as new stability analysis tools for nonlinear systems. Since control is fundamentally an application‐driven discipline, I am equally interested in pursuing real‐world uses for these design and analysis tools. Throughout my career, I have worked on a variety of control engineering applications, including robotic systems, biological/biomedical systems, active bearings, and aerospace systems.
I am currently interested in the concept of formation control of multi-agent systems using tools from rigid graph theory. We have developed a control design framework that is applicable to different agent models (single integrator, double integrator, and dynamic) and different formation problems (static and dynamic formation acquisition, formation maneuvering, and target interception). Our formation control algorithms were recently tested on UGVs in collaboration with Dr. Matthew Feemster of United States Naval Academy. Efforts are also underway to test them on UAVs for the purpose of creating mobile, remote sensing networks for agricultural and environmental applications.
</t>
  </si>
  <si>
    <t>dynamic systems , control, Within this general area,  application of nonlinear control systems, On the theory side, I am interested in the development of new nonlinear control algorithms as well as new stability analysis tools for nonlinear systems, Since control is fundamentally an application‐driven discipline, I am equally interested in pursuing real‐world uses for these design , analysis tools</t>
  </si>
  <si>
    <t>Devireddy, Ram</t>
  </si>
  <si>
    <t>rdevir1@lsu.edu</t>
  </si>
  <si>
    <t xml:space="preserve">Dr. Devireddy has a broad background in Mechanical Engineering and Tissue Engineering. The multidisciplinary breadth of his research in heat and mass transport in biological systems is reflected in the diversity of his , tissue freezing (experimental and numerical), mammalian and aquatic sperm cell cryopreservation, modeling of chemical diffusion at macro- and micro-scales, nano- and micro-scale heat transfer phenomena, and adult stem cell preservation/differentiation in uni- and bi-phasic scaffolds.
</t>
  </si>
  <si>
    <t>Tissue Engineering, The multidisciplinary breadth of his research in heat , mass transport in biological systems is reflected in the diversity of his , tissue freezing, mammalian , aquatic sperm cell cryopreservation, modeling of chemical diffusion at macro- , micro-scales, nano- , micro-scale heat transfer phenomena, adult stem cell preservation/differentiation, bi-phasic scaffolds</t>
  </si>
  <si>
    <t>Gartia, Manas</t>
  </si>
  <si>
    <t>mgartia@lsu.edu</t>
  </si>
  <si>
    <t>Integration of external sensors (e.g. electrochemical, impedance, plasmonic) to smartphone for application in Translational Health, Biotechnology, mobile Health (mHealth), and Agriculture
Surface Enhanced Raman Spectroscopy (SERS)
Novel nanomaterial interaction with plasmonics (e.g. graphene, BN, Chalcogenide, MoS2, carbon nanotubes, GeSbTe, etc.)
New design for flexible transistors, supercapacitors, and battery
Nuclear detector technology for Homeland Security, and Agriculture applications
3D printing, Nanomanufacturing, and additive manufacturing for supporting continuous monitoring of biofluids, and environmental sensing applications
Microfluidics
Microscopy (e.g. Fluorescence imaging of cells and nanomaterials, Second Harmonic Generation (SHG) imaging, Fluorescence Lifetime Imaging (FLIM))
Computational Nanophotonics [Density Functional Theory (DFT) for Quantum Chemistry calculation, Finite Difference Time Domain (FDTD) methods for optics and photonics, Finite Element Method (FEM) for Multiphysics]</t>
  </si>
  <si>
    <t>Integration of external sensors,
Novel nanomaterial interaction with plasmonics,
New design for flexible transistors, supercapacitors, battery,
Nuclear detector technology for Homel, Security, Agriculture applications,
3D printing, Nanomanufacturing, additive manufacturing for supporting continuous monitoring of biofluids, environmental sensing applications,
Microfluidics,
Microscopy,
Computational Nanophotonics</t>
  </si>
  <si>
    <t>Gilbert, Hunter</t>
  </si>
  <si>
    <t>hbgilbert@lsu.edu</t>
  </si>
  <si>
    <t>Robotics and autonomous systems
Medical devices
Flexible and soft robots</t>
  </si>
  <si>
    <t>Robotics , autonomous systems,
Medical devices,
Flexible , soft robots</t>
  </si>
  <si>
    <t>Gonthier, Keith A.</t>
  </si>
  <si>
    <t>kgonth1@lsu.edu</t>
  </si>
  <si>
    <t xml:space="preserve">Computational Characterization of Impact Induced Multi-Scale Dissipation in Reactive Solids
</t>
  </si>
  <si>
    <t>Computational Characterization of Impact Induced Multi-Scale Dissipation in Reactive Solids</t>
  </si>
  <si>
    <t>Guo, Shengmin</t>
  </si>
  <si>
    <t>sguo2@lsu.edu</t>
  </si>
  <si>
    <t>Dr. Guo has established a track-record on gas turbine aerodynamics and heat transfer, fuel cells, plasma spray coatings, high temperature ceramics and alloys, and advanced manufacturing.</t>
  </si>
  <si>
    <t>gas turbine aerodynamics , heat transfer, fuel cells, plasma spray coatings, high temperature ceramics , alloys, advanced manufacturing,</t>
  </si>
  <si>
    <t>Khonsari, Michael M.</t>
  </si>
  <si>
    <t>khonsari@lsu.edu</t>
  </si>
  <si>
    <t xml:space="preserve">Tribology (friction, lubrication, &amp; wear)
Machinery Performance Analysis
Numerical Analysis
Heat Transfer
</t>
  </si>
  <si>
    <t>Tribology,
Machinery Performance Analysis,
Numerical Analysis,
Heat Transfer</t>
  </si>
  <si>
    <t>Li, Guoqiang</t>
  </si>
  <si>
    <t>lguoqi1@lsu.edu</t>
  </si>
  <si>
    <t xml:space="preserve">My research goal is to advance knowledge and develoPenabling technology in stimuli-responsive polymers and polymer composites related to engineering structures and devices.
</t>
  </si>
  <si>
    <t>advance knowledge , develoPenabling technology in stimuli-responsive polymers , polymer composites related to engineering structures , devices</t>
  </si>
  <si>
    <t>Marvel, Christopher</t>
  </si>
  <si>
    <t>cmarvel@lsu.edu</t>
  </si>
  <si>
    <t>Grain Boundary Complexions
High Entropy Alloys
Structural Ceramics
Nanocrystalline Metals
Additive Manufacturing
Atomic Resolution Electron Microscopy
Grain Growth Simulations</t>
  </si>
  <si>
    <t>Grain Boundary Complexions,
High Entropy Alloys,
Structural Ceramics,
Nanocrystalline Metals,
Additive Manufacturing,
Atomic Resolution Electron Microscopy,
Grain Growth Simulations</t>
  </si>
  <si>
    <t>Meng, Wen Jin</t>
  </si>
  <si>
    <t>wmeng1@lsu.edu</t>
  </si>
  <si>
    <t>Nanostructured thin films and coatings
Plasma-assisted vapor deposition
Micro/nano fabrication</t>
  </si>
  <si>
    <t>Nanostructured thin films , coatings,
Plasma-assisted vapor deposition,
Micro/nano fabrication</t>
  </si>
  <si>
    <t>$8,728 per year (in-state, full-time)</t>
  </si>
  <si>
    <t>Menon, Shyam</t>
  </si>
  <si>
    <t>smenon@lsu.edu</t>
  </si>
  <si>
    <t xml:space="preserve">The focus of the Energy and Propulsion laboratory is on developing fundamental knowledge regarding physical, chemical, and fluid dynamic processes in combustion based applications with the ultimate aim of improving design, operation, efficiency and emissions. </t>
  </si>
  <si>
    <t>Propulsion laboratory is on developing fundamental knowledge regarding physical, chemical, fluid dynamic processes in combustion based applications with the ultimate aim of improving design, operation, efficiency , emissions</t>
  </si>
  <si>
    <t>Moldovan, Dorel</t>
  </si>
  <si>
    <t>dmoldo1@lsu.edu</t>
  </si>
  <si>
    <t>Atomistic and mesoscale modeling and simulation of materials (interfacial materials, thin films, membranes, and biomolecules confined in nanoscale systems)</t>
  </si>
  <si>
    <t>Atomistic , mesoscale modeling , simulation of materials</t>
  </si>
  <si>
    <t>Nikitopoulos, Dimitris E., PE</t>
  </si>
  <si>
    <t>medimi@lsu.edu</t>
  </si>
  <si>
    <t xml:space="preserve">Experimental and Numerical Fluid Dynamics and Transport, including Multiphase Flows and Multiscale Phenomena
</t>
  </si>
  <si>
    <t>Experimental , Numerical Fluid Dynamics , Transport, including Multiphase Flows , Multiscale Phenomena</t>
  </si>
  <si>
    <t>Owoyele, Ope</t>
  </si>
  <si>
    <t>oowoyele@lsu.edu</t>
  </si>
  <si>
    <t>Computational fluid dynamics (CFD)
Turbulent combustion
Scientific machine learning (SciML)
Engineering design optimization
Reduced-order modeling and digital twinning
High-performance computing (HPC)
Biofluid dynamics</t>
  </si>
  <si>
    <t>Computational fluid dynamics,
Turbulent combustion,
Scientific machine learning,
Engineering design optimization,
Reduced-order modeling , digital twinning,
High-performance computing,
Biofluid dynamics</t>
  </si>
  <si>
    <t>Palardy, Geneviève</t>
  </si>
  <si>
    <t>gpalardy@lsu.edu</t>
  </si>
  <si>
    <t>Composite materials with a focus on thermoplastic matrices
Manufacturing, characterization and joining of composites
Repair and recycling mechanisms
Experimental and computational techniques
Additive manufacturing of composites</t>
  </si>
  <si>
    <t>Composite materials with a focus on thermoplastic matrices,
Manufacturing, characterization , joining of composites,
Repair , recycling mechanisms,
Experimental , computational techniques,
Additive manufacturing of composites</t>
  </si>
  <si>
    <t>Park, Sunggook</t>
  </si>
  <si>
    <t>sunggook@lsu.edu</t>
  </si>
  <si>
    <t>Nanofabrication technology and applications
Nanoimprint lithography
BioMEMS/NEMS
Bioengineering
Polymer photonic devices, liquid crystal displays, and surface coatings</t>
  </si>
  <si>
    <t>Nanofabrication technology , applications,
Nanoimprint lithography,
BioMEMS/NEMS,
Bioengineering,
Polymer photonic devices, liquid crystal displays, surface coatings</t>
  </si>
  <si>
    <t>Pettrey, Katherine</t>
  </si>
  <si>
    <t>kpettr1@lsu.edu</t>
  </si>
  <si>
    <t>Schoegl, Ingmar</t>
  </si>
  <si>
    <t>ischoegl@lsu.edu</t>
  </si>
  <si>
    <t>Premixed combustion and ignition phenomena (theory, experiments and simulations),
Computational diagnostics for detailed reacting flow simulations (CEMA),
Combustion with conjugate heat transfer and microcombustion,
Limited view tomography in optical combustion diagnostics,
Tunable diode laser absorption spectroscopy, focusing Schlieren imaging,
Thermochemical energy conversion of alternative fuel sources (fuel reforming, gasification).</t>
  </si>
  <si>
    <t>Premixed combustion , ignition phenomena (theory, experiments , simulations),
Computational diagnostics for detailed reacting flow simulations (CEMA),
Combustion with conjugate heat transfer , microcombustion,
Limited view tomography in optical combustion diagnostics,
Tunable diode laser absorption spectroscopy, focusing Schlieren imaging,
Thermochemical energy conversion of alternative fuel sources (fuel reforming, gasification),</t>
  </si>
  <si>
    <t>Upadhyay, Kshitiz</t>
  </si>
  <si>
    <t>kshitizu@lsu.edu</t>
  </si>
  <si>
    <t>Mechanics of soft materials
Constitutive modeling
High strain rate characterization
Scientific machine learning
Brain biomechanics</t>
  </si>
  <si>
    <t>Mechanics of soft materials,
Constitutive modeling,
High strain rate characterization,
Scientific machine learning,
Brain biomechanics</t>
  </si>
  <si>
    <t>Wahab, Muhammad A.</t>
  </si>
  <si>
    <t>mwahab1@lsu.edu</t>
  </si>
  <si>
    <t>Fatigue and Fracture Mechanics
Composite Materials
Computational Weld Mechanics
Structural Stability
Stress Analysis</t>
  </si>
  <si>
    <t>Fatigue , Fracture Mechanics,
Composite Materials,
Computational Weld Mechanics,
Structural Stability,
Stress Analysis</t>
  </si>
  <si>
    <t>Walker, Eamonn</t>
  </si>
  <si>
    <t>ewalke1@lsu.edu</t>
  </si>
  <si>
    <t>Wang, Wanjun</t>
  </si>
  <si>
    <t>wang@lsu.edu</t>
  </si>
  <si>
    <t>Microelectromechanical Systems (MEMS)
UV-LIGA Microfabrication Technology
Micro-Fluidic Systems
Micro-Relays
Micro-Optics</t>
  </si>
  <si>
    <t>Microelectromechanical Systems (MEMS),
UV-LIGA Microfabrication Technology,
Micro-Fluidic Systems,
Micro-Relays,
Micro-Optics</t>
  </si>
  <si>
    <t>Wang, Ying</t>
  </si>
  <si>
    <t>ywang@lsu.edu</t>
  </si>
  <si>
    <t>To develoPnovel materials at nano- and subnanometer-scale for energy and environmental applications, such as in high-performance rechargeable batteries, solar cells, electrocatalysts, and photocatalysts.</t>
  </si>
  <si>
    <t>subnanometer-scale for energy , environmental applications, such as in high-performance rechargeable batteries, solar cells, electrocatalysts, photocatalysts</t>
  </si>
  <si>
    <t>Wong, Harris</t>
  </si>
  <si>
    <t>hwong@lsu.edu</t>
  </si>
  <si>
    <t xml:space="preserve">Currently, we are investigating heat and mass transfer in micro heat pipes and giant heat pipes. We are also studying morphological stability of micro and nano wires.
</t>
  </si>
  <si>
    <t xml:space="preserve">heat , mass transfer in micro heat pipes , giant heat pipes, studying morphological stability of micro , nano wires
</t>
  </si>
  <si>
    <t>Tribology (friction, lubrication, &amp; wear)
Machinery Performance Analysis
Numerical Analysis
Heat Transfer</t>
  </si>
  <si>
    <t>Tribology (friction, lubrication, &amp; wear),
Machinery Performance Analysis,
Numerical Analysis,
Heat Transfer,</t>
  </si>
  <si>
    <t>Mississippi State University (Bagley)</t>
  </si>
  <si>
    <t>Douglas Bammann</t>
  </si>
  <si>
    <t>bammann@me.msstate.edu</t>
  </si>
  <si>
    <t xml:space="preserve">Coupled physics theoretical modeling, finite deformation inelasticity, damage evolution, fracture, penetration, and impact, numerical modeling of nano- and microstructural mechanics, finite element analyses of manufacturing methods such as forming, forging, and other metal processing methods, crashworthiness, and high-rate deformation.
</t>
  </si>
  <si>
    <t xml:space="preserve">Coupled physics theoretical modeling, finite deformation inelasticity, damage evolution, fracture, penetration, impact, numerical modeling of nano- , microstructural mechanics, finite element analyses of manufacturing methods such as forming, forging, other metal processing methods, crashworthiness, high-rate deformation,
</t>
  </si>
  <si>
    <t>Christopher Barrett</t>
  </si>
  <si>
    <t>barrett@me.msstate.edu</t>
  </si>
  <si>
    <t>Solid Mechanics
Molecular Dynamics
SliPand Twinning
Multiscale Modeling</t>
  </si>
  <si>
    <t>Solid Mechanics,
Molecular Dynamics,
SliP, Twinning,
Multiscale Modeling</t>
  </si>
  <si>
    <t>Shanti Bhushan</t>
  </si>
  <si>
    <t>bhushan@me.msstate.edu</t>
  </si>
  <si>
    <t>Computational Fluid Dynamics
Transition and Turbulence modeling
Immersed Boundary and Overset Grid Methods
Numerical/Modeling Uncertainty Quantification
High Performance Computing
Applications Aerospace, ShiPHydrodynamics, Atmospheric flows, Biofluids</t>
  </si>
  <si>
    <t>Computational Fluid Dynamics,
Transition , Turbulence modeling,
Immersed Boundary , Overset Grid Methods,
Numerical/Modeling Uncertainty Quantification,
High Performance Computing,
Applications Aerospace, ShiPHydrodynamics, Atmospheric flows, Biofluids</t>
  </si>
  <si>
    <t>Shane Brauer</t>
  </si>
  <si>
    <t>brauer@me.msstate.edu</t>
  </si>
  <si>
    <t>Integrated Computational Materials Engineering (ICME)
Process-Microstructure-Property-Performance Relationships
Damage/Fracture Mechanics and Materials
Finite Element Analysis
High-Rate Deformation
Thermal Storage Systems</t>
  </si>
  <si>
    <t>Integrated Computational Materials Engineering (ICME),
Process-Microstructure-Property-Performance Relationships,
Damage/Fracture Mechanics , Materials,
Finite Element Analysis,
High-Rate Deformation,
Thermal Storage Systems</t>
  </si>
  <si>
    <t>Heejin Cho</t>
  </si>
  <si>
    <t>cho@me.msstate.edu</t>
  </si>
  <si>
    <t>Energy System Modeling and Optimization
Advanced Sensor and Control System
Sensitivity and Uncertainty Analysis
Renewable Energy Systems
Combined Heat and Power (CHP) System
Heating, Ventilation, and Air-Conditioning (HVAC) Systems
Integrated &amp; Smart Building System
Nuclear Air Filtration Systems
Aerosol Measurement Technology.</t>
  </si>
  <si>
    <t>Energy System Modeling , Optimization,
Advanced Sensor , Control System,
Sensitivity , Uncertainty Analysis,
Renewable Energy Systems,
Combined Heat , Power (CHP) System,
Heating, Ventilation, Air-Conditioning (HVAC) Systems,
Integrated &amp; Smart Building System,
Nuclear Air Filtration Systems,
Aerosol Measurement Technology</t>
  </si>
  <si>
    <t>Jennie Daigler</t>
  </si>
  <si>
    <t>daigler@me.msstate.edu</t>
  </si>
  <si>
    <t>Doyl E. Dickel</t>
  </si>
  <si>
    <t>doyle@me.msstate.edu</t>
  </si>
  <si>
    <t>Materials Science
Molecular Dynamics
Machine Learning
Density Functional Theory</t>
  </si>
  <si>
    <t>Materials Science,
Molecular Dynamics,
Machine Learning,
Density Functional Theory</t>
  </si>
  <si>
    <t>Trace "Aidan" Duncan</t>
  </si>
  <si>
    <r>
      <rPr>
        <u/>
        <sz val="10"/>
        <color rgb="FF000000"/>
        <rFont val="Arial"/>
        <family val="2"/>
      </rPr>
      <t>Haitham El Kadiri</t>
    </r>
    <r>
      <rPr>
        <sz val="10"/>
        <color rgb="FF000000"/>
        <rFont val="Arial"/>
        <family val="2"/>
      </rPr>
      <t xml:space="preserve"> (Department Chair)</t>
    </r>
  </si>
  <si>
    <t>elkadiri@me.msstate.edu</t>
  </si>
  <si>
    <t>A passion to use applied mathematics to model a natural evolving system after a fundamental understanding supported by experimentation and small-scale simulations. Led several teams in the area of multiscale modeling applied to several contemporary industrial issues, with a down-toPparadigm. Developed interest in both the sharPinterface and di_x000B_usive interface approaches. Current work includes twinning and sliPin HCPstructures, crystal plastic- ity, damage, multiphysics involved in oxidation, interdi_x000B_usion, growth stresses, fatigue crack growth, phase transformations, grain growth, precipitation, and interfacial instability.</t>
  </si>
  <si>
    <t>crystal plastic- ity, damage, multiphysics involved in oxidation, growth stresses, fatigue crack growth, phase transformations, grain growth, precipitation, interfacial instability,</t>
  </si>
  <si>
    <t>Omar Es-Sahli</t>
  </si>
  <si>
    <t>essahli@me.msstate.edu</t>
  </si>
  <si>
    <t>Computational fluid dynamics
Compressible boundary layer flow control
Unmanned aircraft systems (UAS) aeroacousitcs</t>
  </si>
  <si>
    <t>Computational fluid dynamics,
Compressible boundary layer flow control,
Unmanned aircraft systems (UAS) aeroacousitcs</t>
  </si>
  <si>
    <t>Morgan Green</t>
  </si>
  <si>
    <t>green@me.msstate.edu</t>
  </si>
  <si>
    <t>Currently I am studying improving and assessing professional skills in engineering students and employing more hands-on learning in the classroom."</t>
  </si>
  <si>
    <t>Currently I am studying improving , assessing professional skills in engineering students , employing more h,s-on learning in the classroom,"</t>
  </si>
  <si>
    <t>Youssef Hammi</t>
  </si>
  <si>
    <t>yhammi@me.msstate.edu</t>
  </si>
  <si>
    <t>Material Development
Nonlinear Finite Element Analysis
Computational and Structural Mechanics
Continuum and Fracture Mechanics
Damage Mechanics
Finite Element Analysis of Metal Forming Processes
Coupled Eulerian Lagrangian (CEL)
eXtended Finite Element (XFEM)
Fluid Structure Interaction</t>
  </si>
  <si>
    <t>Material Development,
Nonlinear Finite Element Analysis,
Computational , Structural Mechanics,
Continuum , Fracture Mechanics,
Damage Mechanics,
Finite Element Analysis of Metal Forming Processes,
Coupled Eulerian Lagrangian (CEL),
eXtended Finite Element (XFEM),
Fluid Structure Interaction</t>
  </si>
  <si>
    <t>$9,248 per year (in-state, full-time)</t>
  </si>
  <si>
    <t>Joonsik Hwang</t>
  </si>
  <si>
    <t>hwang@me.msstate.edu</t>
  </si>
  <si>
    <t>Compression/Spark ignition engines
Alternative fuels (biodiesel, JP-8, natural gas…)
Advanced combustion (plasma-assisted ignition, low-temperature combustion)
Soot particle morphology by transmission electron microscopy (TEM)
High-speed optical diagnostics and 3D tomographic reconstruction of turbulent spray flame
Computational fluid dynamics (CFD) simulation of for internal/external fuel flow</t>
  </si>
  <si>
    <t>Compression/Spark ignition engines,
Alternative fuels,
Advanced combustion (plasma-assisted ignition, low-temperature combustion),
Soot particle morphology by transmission electron microscopy (TEM),
High-speed optical diagnostics , 3D tomographic reconstruction of turbulent spray flame,
Computational fluid dynamics (CFD) simulation of for internal/external fuel flow</t>
  </si>
  <si>
    <t>Alta Knizley</t>
  </si>
  <si>
    <t>knizley@me.msstate.edu</t>
  </si>
  <si>
    <t xml:space="preserve">Thermodynamics, Combined Heat and Power Systems, Energy Sustainability, Engineering Education
</t>
  </si>
  <si>
    <t>Thermodynamics, Combined Heat , Power Systems, Energy Sustainability, Engineering Education</t>
  </si>
  <si>
    <t>Like Li</t>
  </si>
  <si>
    <t>likeli@me.msstate.edu</t>
  </si>
  <si>
    <t>"I study fluid flow and heat and mass transfer in microscale materials/structures and macroscale chemical reactors. Current work in my grouPincludes solar reactor design, modeling and testing for solar thermal energy storage, multiscale modeling of solidification and additive manufacturing processes. I has developed a lattice Boltzmann method (LBM)-based framework for transport phenomena simulations. I lead the Thermal Fluids &amp; Energy Conversion GrouPat MSU and my grouPuses MSU’s HPC resources."</t>
  </si>
  <si>
    <t>fluid flow , heat , mass transfer in microscale materials/structures , macroscale chemical reactor</t>
  </si>
  <si>
    <t>Alejandro Martinez-Castellon</t>
  </si>
  <si>
    <t>martinez@me.msstate.edu</t>
  </si>
  <si>
    <t>"My research focuses on computational molecular dynamics of phase transformations in steels. Phase transformations are modeled through the implementation of a mathematical model which describes the deformation gradients and boundary mechanics in between two phases. Here we can study the micro-mechanics of atom-to-atom interaction. Areas of interest within this research are Elastic behavior, crystal plasticity, magnetization effects, alloying, dislocation networks, and relation to experimental results."</t>
  </si>
  <si>
    <t>computational molecular dynamics of phase transformations in steels, Phase transformations are modeled through the implementation of a mathematical model which describes the deformation gradients , boundary mechanics in between two phases,</t>
  </si>
  <si>
    <t>Matthew Priddy</t>
  </si>
  <si>
    <t>mwpriddy@me.msstate.edu</t>
  </si>
  <si>
    <t>Solid Mechanics
Finite Element Analysis
Microstructure-Property Constitutive Modeling
Thermo-Mechanical Modeling
Additive Manufacturing</t>
  </si>
  <si>
    <t>Solid Mechanics,
Finite Element Analysis,
Microstructure-Property Constitutive Modeling,
Thermo-Mechanical Modeling,
Additive Manufacturing</t>
  </si>
  <si>
    <t>Hongjoo Rhee</t>
  </si>
  <si>
    <t>hrhee@me.msstate.edu</t>
  </si>
  <si>
    <t>Steel alloy design and manufacturing process optimization
Next generation advanced high strength steels (AHSS) development
Bio-inspired materials design
Novel metal matrix metallic composites design
Multiscale chemistry-process-structure-property-performance relations characterization
Additive manufacturing
Lead-free solder joints characterization</t>
  </si>
  <si>
    <t>Steel alloy design , manufacturing process optimization
Next generation advanced high strength steels (AHSS) development
Bio-inspired materials design
Novel metal matrix metallic composites design
Multiscale chemistry-process-structure-property-performance relations characterization
Additive manufacturing
Lead-free solder joints characterization</t>
  </si>
  <si>
    <t>Aaron Smith</t>
  </si>
  <si>
    <t>smith@me.msstate.edu</t>
  </si>
  <si>
    <t>Energy System Modeling and Optimization
Combined Cooling Heating and Power Systems
Uncertainty Analysis
Engineering Education
System Design and Control
Renewable Energy Systems</t>
  </si>
  <si>
    <t>Energy System Modeling , Optimization,
Combined Cooling Heating , Power Systems,
Uncertainty Analysis,
Engineering Education,
System Design , Control,
Renewable Energy Systems</t>
  </si>
  <si>
    <t>Ross Smith</t>
  </si>
  <si>
    <t>rsmith@me.msstate.edu</t>
  </si>
  <si>
    <t>Lean/Six Sigma
Facility Design
Root Cause Analysis
Manufacturing &amp; Logistics
Engineering Education
Legal Engineering</t>
  </si>
  <si>
    <t>Lean/Six Sigma,
Facility Design,
Root Cause Analysis,
Manufacturing &amp; Logistics,
Engineering Education,
Legal Engineering</t>
  </si>
  <si>
    <t>Tonya W. Stone</t>
  </si>
  <si>
    <t>tstone@me.msstate.edu</t>
  </si>
  <si>
    <t>Atomistic simulations of materials, microstructure-property constitutive modeling, modeling and simulation of powder metal consolidation.</t>
  </si>
  <si>
    <t>Atomistic simulations of materials, microstructure-property constitutive modeling, modeling , simulation of powder metal consolidation</t>
  </si>
  <si>
    <t>Wil Whittington</t>
  </si>
  <si>
    <t>whittington@me.msstate.edu</t>
  </si>
  <si>
    <t>Mechanical Testing
High Strain Rate Material Characterization
Hopkinson Bar Methods
Digital Image Correlation
Intermediate Strain Rate Experimentation
High Temperature Deformation Experiments
Experimental Design</t>
  </si>
  <si>
    <t>Mechanical Testing,
High Strain Rate Material Characterization,
Hopkinson Bar Methods,
Digital Image Correlation,
Intermediate Strain Rate Experimentation,
High Temperature Deformation Experiments,
Experimental Design</t>
  </si>
  <si>
    <t>SMU (Lyle)</t>
  </si>
  <si>
    <t>Ali Beskok</t>
  </si>
  <si>
    <t>abeskok@lyle.smu.edu</t>
  </si>
  <si>
    <t>Thermal Science and Fluid Mechanics
Micro- and nano-scale thermal/fluidic transport processes
Bio-microfluidics, nanotechnology and energy systems</t>
  </si>
  <si>
    <t>Thermal Science , Fluid Mechanics,
Micro- , nano-scale thermal/fluidic transport processes,
Bio-microfluidics, nanotechnology , energy systems</t>
  </si>
  <si>
    <t>Elena Borzova</t>
  </si>
  <si>
    <t>eborzova@smu.edu</t>
  </si>
  <si>
    <t>Xin-Lin Gao</t>
  </si>
  <si>
    <t>xlgao@smu.edu</t>
  </si>
  <si>
    <t>Solid Mechanics and Mechanics of Materials
Solid and structural mechanics, higher-order continuum theories
Multi-scale materials modeling and micro- and nano-mechanics
Traumatic brain injury, biomechanics, mechanics of soft materials
3-D printed materials, nanocomposites, cellular and porous materials, textile and ballistic materials</t>
  </si>
  <si>
    <t>Solid Mechanics , Mechanics of Materials,
Solid , structural mechanics, higher-order continuum theories,
Multi-scale materials modeling , micro- , nano-mechanics,
Traumatic brain injury, biomechanics, mechanics of soft materials,
3-D printed materials, nanocomposites, cellular , porous materials, textile , ballistic materials</t>
  </si>
  <si>
    <t>Bruce Gnade</t>
  </si>
  <si>
    <t>bgnade@smu.edu</t>
  </si>
  <si>
    <t>Flexible electronics with applications ranging from radiation sensors to microelectronic arrays for cellular recording.</t>
  </si>
  <si>
    <t>Flexible electronics with applications ranging from radiation sensors to microelectronic arrays for cellular recording</t>
  </si>
  <si>
    <t>Yildirim Hurmuzlu</t>
  </si>
  <si>
    <t>hurmuzlu@lyle.smu.edu</t>
  </si>
  <si>
    <t>Dynamics and Control
Dynamic systems
Control/Biomechanics
Robotics, medical visualization, and vibration suppression</t>
  </si>
  <si>
    <t>Dynamics , Control,
Dynamic systems,
Control/Biomechanics,
Robotics, medical visualization, vibration suppression</t>
  </si>
  <si>
    <t>MinJun Kim</t>
  </si>
  <si>
    <t>mjkim@smu.edu</t>
  </si>
  <si>
    <t>Thermal Science and Fluid Mechanics, Dynamics and Control
Microbiorobotics
Soft robotics
Single molecule biophysics
Single cell analysis
Micro/nanofluidics</t>
  </si>
  <si>
    <t>Thermal Science , Fluid Mechanics, Dynamics , Control,
Microbiorobotics,
Soft robotics,
Single molecule biophysics,
Single cell analysis,
Micro/nanofluidics</t>
  </si>
  <si>
    <t>Lage José</t>
  </si>
  <si>
    <t>jll@lyle.smu.edu</t>
  </si>
  <si>
    <t>Thermal Science and Fluid Mechanics
Analysis and design of heat and mass transfer processes and equipment.</t>
  </si>
  <si>
    <t>Thermal Science , Fluid Mechanics,Analysis , design of heat , mass transfer processes , equipment</t>
  </si>
  <si>
    <t>Elizabeth Loboa</t>
  </si>
  <si>
    <t>egloboa@smu.edu</t>
  </si>
  <si>
    <t>Xu Nie</t>
  </si>
  <si>
    <t>xnie@lyle.smu.edu</t>
  </si>
  <si>
    <t>Solid Mechanics and Mechanics of Materials
Dynamic behavior of materials and structures
Novel Kolsky bar-based high-strain rate characterization techniques
Non-destructive damage characterization in heterogeneous materials, and X-ray computed micro-tomography</t>
  </si>
  <si>
    <t>Solid Mechanics , Mechanics of Materials,
Dynamic behavior of materials , structures,
Novel Kolsky bar-based high-strain rate characterization techniques,
Non-destructive damage characterization in heterogeneous materials, X-ray computed micro-tomography</t>
  </si>
  <si>
    <t>Volkan Otugen</t>
  </si>
  <si>
    <t>otugen@lyle.smu.edu</t>
  </si>
  <si>
    <t>Thermal Science and Fluid Mechanics, Solid Mechanics and Mechanics of Materials
Experimental and theoretical fluid mechanics
Plasma applications to aerodynamics
Micro-optical sensor technology</t>
  </si>
  <si>
    <t>Thermal Science , Fluid Mechanics, Solid Mechanics , Mechanics of Materials,
Experimental , theoretical fluid mechanics,
Plasma applications to aerodynamics,
Micro-optical sensor technology</t>
  </si>
  <si>
    <t>Peter Raad</t>
  </si>
  <si>
    <t>praad@smu.edu</t>
  </si>
  <si>
    <t>Thermal Science and Fluid Mechanics
Adaptive thermal modeling and laser-based measurements of deep-submicron electronic devices.</t>
  </si>
  <si>
    <t>Thermal Science , Fluid Mechanics,
Adaptive thermal modeling , laser-based measurements of deep-submicron electronic devices,</t>
  </si>
  <si>
    <t>Edmond Richer</t>
  </si>
  <si>
    <t>richer@lyle.smu.edu</t>
  </si>
  <si>
    <t>Dynamics and Control
Robotics
Haptic interfaces
Bio-Instrumentation
Soft and wearable robotics
Additive Biomaterials</t>
  </si>
  <si>
    <t>Dynamics , Control,
Robotics,
Haptic interfaces,
Bio-Instrumentation,
Soft , wearable robotics,
Additive Biomaterials</t>
  </si>
  <si>
    <t>$1,200 per credit (full-time)</t>
  </si>
  <si>
    <t>Wei Tong</t>
  </si>
  <si>
    <t>wtong@lyle.smu.edu</t>
  </si>
  <si>
    <t>Solid Mechanics and Mechanics of Materials
Plasticity and its engineering applications
Micromechanics study of materials
Digital image correlation strain mapping techniques
Biomechanics and biomaterials</t>
  </si>
  <si>
    <t>Solid Mechanics , Mechanics of Materials,
Plasticity , its engineering applications,
Micromechanics study of materials,
Digital image correlation strain mapping techniques,
Biomechanics , biomaterials</t>
  </si>
  <si>
    <t>Sheila Williams</t>
  </si>
  <si>
    <t>shooman@mail.smu.edu</t>
  </si>
  <si>
    <t>Fluid Dynamics
Complex flow
Quantitative flow visualization and analysis
Data analysis
Bio-locomotion
Heat transfer
Porous media</t>
  </si>
  <si>
    <t>Fluid Dynamics,
Complex flow,
Quantitative flow visualization , analysis,
Data analysis
Bio-locomotion
Heat transfer
Porous media</t>
  </si>
  <si>
    <t>David Willis</t>
  </si>
  <si>
    <t>dwillis@lyle.smu.edu</t>
  </si>
  <si>
    <t xml:space="preserve">Thermal Science and Fluid Mechanics
</t>
  </si>
  <si>
    <t xml:space="preserve">Thermal Science , Fluid Mechanics
</t>
  </si>
  <si>
    <t>University of California--Merced</t>
  </si>
  <si>
    <t>Venkattraman (Venkatt) Ayyaswamy</t>
  </si>
  <si>
    <t>vayyaswamy@ucmerced.edu</t>
  </si>
  <si>
    <t>Computational Fluid Dynamics
Computational Plasma Science and Engineering
Plasma-surface interaction
Plasmas for food, water and energy systems</t>
  </si>
  <si>
    <t>Computational Fluid Dynamics,
Computational Plasma Science , Engineering,
Plasma-surface interaction,
Plasmas for food, water , energy systems</t>
  </si>
  <si>
    <t>Mehmet Baykara</t>
  </si>
  <si>
    <t>mehmet.baykara@ucmerced.edu</t>
  </si>
  <si>
    <t xml:space="preserve">Nanomechanics, Nanotribology, Scanning Probe Microscopy, Surface Science
</t>
  </si>
  <si>
    <t>Nanomechanics, Nanotribology, Scanning Probe Microscopy, Surface Science</t>
  </si>
  <si>
    <t>YangQuan Chen</t>
  </si>
  <si>
    <t>ychen53@ucmerced.edu</t>
  </si>
  <si>
    <t xml:space="preserve">Unmanned Aircraft Systems (UAS or scientific data drones)
Mechatronics 
Renewable Energy Systems
Cyber-Physical Systems (CPS)
Applied Fractional Calculus (AFC)
</t>
  </si>
  <si>
    <t xml:space="preserve">Unmanned Aircraft Systems,
Mechatronics,
Renewable Energy Systems,
Cyber-Physical Systems (CPS),
Applied Fractional Calculus (AFC)
</t>
  </si>
  <si>
    <t>Abel Chuang</t>
  </si>
  <si>
    <t>achuang5@ucmerced.edu</t>
  </si>
  <si>
    <t>fuel cells
Electrolysis
Hydrogen Energy
Electrochemical Method
Thermal Management
Two-Phase Heat Transfer and Fluid Flow
Porous Media
Carbon Fiber Paper.</t>
  </si>
  <si>
    <t>fuel cells,
Electrolysis,
Hydrogen Energy,
Electrochemical Method,
Thermal Management,
Two-Phase Heat Transfer , Fluid Flow,
Porous Media,
Carbon Fiber Paper,</t>
  </si>
  <si>
    <t>Jeanette Cobian-Iñiguez</t>
  </si>
  <si>
    <t>jcobian3@ucmerced.edu</t>
  </si>
  <si>
    <t>Wildfire and WUI Fire
Air Quality
Data Science</t>
  </si>
  <si>
    <t>Wildfire , WUI Fire,
Air Quality,
Data Science</t>
  </si>
  <si>
    <t>Francesco Danzi</t>
  </si>
  <si>
    <t>fdanzi@ucmerced.edu</t>
  </si>
  <si>
    <t xml:space="preserve">Structural Design and Optimization 
Fluid-Structure Interaction 
Smart Materials and Structures 
Nonlinear Dynamics and Vibrations 
Metamaterials </t>
  </si>
  <si>
    <t xml:space="preserve">Structural Design , Optimization ,
Fluid-Structure Interaction, 
Smart Materials , Structures, 
Nonlinear Dynamics , Vibrations ,
Metamaterials </t>
  </si>
  <si>
    <t>Gerardo Diaz</t>
  </si>
  <si>
    <t>gdiaz@ucmerced.edu</t>
  </si>
  <si>
    <t>Energy conversion systems
Dynamic simulation and control of thermal systems
Adaptive thermal networks
Absorption chillers and heat pumps
Vapor compression systems with alternate refrigerants
Microchannel heat exchangers
Artificial neural networks and genetic algorithm for optimization of thermal components</t>
  </si>
  <si>
    <t>Energy conversion systems,
Dynamic simulation , control of thermal systems,
Adaptive thermal networks,
Absorption chillers , heat pumps,
Vapor compression systems with alternate refrigerants,
Microchannel heat exchangers,
Artificial neural networks , genetic algorithm for optimization of thermal components</t>
  </si>
  <si>
    <t>Reza Ehsani</t>
  </si>
  <si>
    <t>rehsani@ucmerced.edu</t>
  </si>
  <si>
    <t>Sachin Goyal</t>
  </si>
  <si>
    <t>sachin.goyal@ucmerced.edu</t>
  </si>
  <si>
    <t>Computational dynamics, solid mechanics and controls</t>
  </si>
  <si>
    <t>Computational dynamics, solid mechanics , controls</t>
  </si>
  <si>
    <t>Alejandro Gutierrez</t>
  </si>
  <si>
    <t>agutierrez78@ucmerced.edu</t>
  </si>
  <si>
    <t>Marcus Lee</t>
  </si>
  <si>
    <t>mlee406@ucmerced.edu</t>
  </si>
  <si>
    <t>Min Hwan Lee</t>
  </si>
  <si>
    <t>mlee49@ucmerced.edu</t>
  </si>
  <si>
    <t xml:space="preserve">Electrochemical energy conversion and storage (e.g., fuel cells and batteries)
Next generation non-volatile memory (e.g., resistive switching memory)
Electrochemical nano-patterning
Nanoscale electrochemistry
Nanoscale material interface and surface phenomena
Scanning probe microscopy based observations
</t>
  </si>
  <si>
    <t xml:space="preserve">Electrochemical energy conversion , storage (e,g,, fuel cells , batteries),
Next generation non-volatile memory (e,g,, resistive switching memory),
Electrochemical nano-patterning,
Nanoscale electrochemistry,
Nanoscale material interface , surface phenomena,
Scanning probe microscopy based observations,
</t>
  </si>
  <si>
    <t>$11,442 per year (in-state, full-time)</t>
  </si>
  <si>
    <t>Yanbao Ma</t>
  </si>
  <si>
    <t>yma5@ucmerced.edu</t>
  </si>
  <si>
    <t>Fluid mechanics, solar energy and thermal sciences</t>
  </si>
  <si>
    <t>Fluid mechanics, solar energy , thermal sciences</t>
  </si>
  <si>
    <r>
      <rPr>
        <u/>
        <sz val="10"/>
        <color rgb="FF000000"/>
        <rFont val="Arial"/>
        <family val="2"/>
      </rPr>
      <t>Ashlie Martini</t>
    </r>
    <r>
      <rPr>
        <sz val="10"/>
        <color rgb="FF000000"/>
        <rFont val="Arial"/>
        <family val="2"/>
      </rPr>
      <t xml:space="preserve"> (Department Chair)</t>
    </r>
  </si>
  <si>
    <t>amartini@ucmerced.edu</t>
  </si>
  <si>
    <t>Tribology Friction, wear and lubrication</t>
  </si>
  <si>
    <t>Tribology Friction, wear , lubrication</t>
  </si>
  <si>
    <t>James Palko</t>
  </si>
  <si>
    <t>jpalko@ucmerced.edu</t>
  </si>
  <si>
    <t>Thermal and electrokinetic transport processes with applications in
Thermal management
Energy storage
Water purification
Advanced manufacturing</t>
  </si>
  <si>
    <t>Thermal management,
Energy storage,
Water purification,
Advanced manufacturing</t>
  </si>
  <si>
    <t>Ricardo Pinto de Castro</t>
  </si>
  <si>
    <t>rpintodecastro@ucmerced.edu</t>
  </si>
  <si>
    <t xml:space="preserve">My research focuses on electric and robotic vehicles. I am interested in combining power conversion with advanced control and optimization methods as a means of achieving high energy efficiency, durability and reliability of energy storage systems. Vehicle automation is another area of my research, with particular emphasis on safe motion planning and resilient control. 
</t>
  </si>
  <si>
    <t xml:space="preserve">electric , robotic vehicles, advanced control , optimization methods as a means of achieving high energy efficiency, durability , reliability of energy storage systems, Vehicle automation is another area of my research, with particular emphasis on safe motion planning , resilient control
</t>
  </si>
  <si>
    <t>Jian-Qiao Sun</t>
  </si>
  <si>
    <t>jsun3@ucmerced.edu</t>
  </si>
  <si>
    <t>Vibrations, controls and mechanical systems</t>
  </si>
  <si>
    <t>Vibrations, controls , mechanical systems</t>
  </si>
  <si>
    <t>Roland Winston</t>
  </si>
  <si>
    <t>rwinston@ucmerced.edu</t>
  </si>
  <si>
    <t>Solar power and renewable energy
Elementary particle physics
Non-imaging optics</t>
  </si>
  <si>
    <t>Solar power , renewable energy,
Elementary particle physics,
Non-imaging optics</t>
  </si>
  <si>
    <t>University of Dayton</t>
  </si>
  <si>
    <t>Andrew Chiasson</t>
  </si>
  <si>
    <t>aChiasson1@udayton.edu</t>
  </si>
  <si>
    <t>Thermal systems simulation and optimization
Energy efficient buildings
Geothermal heat pumps and geothermal energy
Solar energy utilization
District/community energy systems</t>
  </si>
  <si>
    <t>Thermal systems simulation , optimization,
Energy efficient buildings,
Geothermal heat pumps , geothermal energy,
Solar energy utilization,
District/community energy systems</t>
  </si>
  <si>
    <t>Jun-Ki Choi</t>
  </si>
  <si>
    <t>jchoi1@udayton.edu</t>
  </si>
  <si>
    <t>PChoi developed a RProgram in sustainable design and manufacturing, energy and resource efficiency, life cycle management, circular economy, and macroeconomic modeling for energy/environmental policies.</t>
  </si>
  <si>
    <t>sustainable design , manufacturing, energy , resource efficiency, life cycle management, circular economy, macroeconomic modeling for energy/environmental policies</t>
  </si>
  <si>
    <t>Sidaard Gunasekaran</t>
  </si>
  <si>
    <t>SGunasekaran1@udayton.edu</t>
  </si>
  <si>
    <t>Low Reynolds number flows
Unsteady fluid dynamics
Wake Energy Harvesting
Lensed Turbines
WingtiPvortex
Wing design
Propeller performance</t>
  </si>
  <si>
    <t>Low Reynolds number flows,
Unsteady fluid dynamics,
Wake Energy Harvesting,
Lensed Turbines,
WingtiPvortex,
Wing design,
Propeller performance</t>
  </si>
  <si>
    <t>Kevin Hallinan</t>
  </si>
  <si>
    <r>
      <rPr>
        <sz val="10"/>
        <color rgb="FF000000"/>
        <rFont val="Arial"/>
        <family val="2"/>
      </rPr>
      <t>KHallinan</t>
    </r>
    <r>
      <rPr>
        <sz val="10"/>
        <color theme="1"/>
        <rFont val="Arial"/>
        <family val="2"/>
      </rPr>
      <t>1@udayton.edu</t>
    </r>
  </si>
  <si>
    <t>Energy efficiency, renewable energy, energy data analytics, local clean energy and sustainability, local abundance</t>
  </si>
  <si>
    <t>Energy efficiency, renewable energy, energy data analytics, local clean energy , sustainability, local abundance</t>
  </si>
  <si>
    <t>Reza Kashani</t>
  </si>
  <si>
    <r>
      <rPr>
        <sz val="10"/>
        <color rgb="FF000000"/>
        <rFont val="Arial"/>
        <family val="2"/>
      </rPr>
      <t>RKashani</t>
    </r>
    <r>
      <rPr>
        <sz val="10"/>
        <color rgb="FF000000"/>
        <rFont val="Arial"/>
        <family val="2"/>
      </rPr>
      <t>1</t>
    </r>
    <r>
      <rPr>
        <sz val="10"/>
        <color rgb="FF000000"/>
        <rFont val="Arial"/>
        <family val="2"/>
      </rPr>
      <t>@udayton.edu</t>
    </r>
  </si>
  <si>
    <t>Control of dynamic systems with special interest in sound and vibration control, as well as Control of Manufacturing Processes.</t>
  </si>
  <si>
    <t>Control of dynamic systems with special interest in sound , vibration control, as well as Control of Manufacturing Processes</t>
  </si>
  <si>
    <t>Krishna Kidambi</t>
  </si>
  <si>
    <r>
      <rPr>
        <sz val="10"/>
        <color rgb="FF000000"/>
        <rFont val="Arial"/>
        <family val="2"/>
      </rPr>
      <t>KKidambi</t>
    </r>
    <r>
      <rPr>
        <sz val="10"/>
        <color rgb="FF000000"/>
        <rFont val="Arial"/>
        <family val="2"/>
      </rPr>
      <t>1</t>
    </r>
    <r>
      <rPr>
        <sz val="10"/>
        <color rgb="FF000000"/>
        <rFont val="Arial"/>
        <family val="2"/>
      </rPr>
      <t>@udayton.edu</t>
    </r>
  </si>
  <si>
    <t>Nonlinear Dynamics
Control
Robotics
Uncertainty and Constraint-based Learning</t>
  </si>
  <si>
    <t>Nonlinear Dynamics,
Control,
Robotics,
Uncertainty , Constraint-based Learning</t>
  </si>
  <si>
    <t>Allison Kinney</t>
  </si>
  <si>
    <r>
      <rPr>
        <sz val="10"/>
        <color rgb="FF000000"/>
        <rFont val="Arial"/>
        <family val="2"/>
      </rPr>
      <t>AKinney</t>
    </r>
    <r>
      <rPr>
        <sz val="10"/>
        <color rgb="FF000000"/>
        <rFont val="Arial"/>
        <family val="2"/>
      </rPr>
      <t>1</t>
    </r>
    <r>
      <rPr>
        <sz val="10"/>
        <color rgb="FF000000"/>
        <rFont val="Arial"/>
        <family val="2"/>
      </rPr>
      <t>@udayton.edu</t>
    </r>
  </si>
  <si>
    <t>Biomechanical analysis of human movement
Neuromuscular biomechanics
Musculoskeletal modeling and simulation</t>
  </si>
  <si>
    <t>Biomechanical analysis of human movement,
Neuromuscular biomechanics,
Musculoskeletal modeling , simulation</t>
  </si>
  <si>
    <t>Robert Lowe</t>
  </si>
  <si>
    <r>
      <rPr>
        <sz val="10"/>
        <color rgb="FF000000"/>
        <rFont val="Arial"/>
        <family val="2"/>
      </rPr>
      <t>RLowe</t>
    </r>
    <r>
      <rPr>
        <sz val="10"/>
        <color rgb="FF000000"/>
        <rFont val="Arial"/>
        <family val="2"/>
      </rPr>
      <t>1</t>
    </r>
    <r>
      <rPr>
        <sz val="10"/>
        <color rgb="FF000000"/>
        <rFont val="Arial"/>
        <family val="2"/>
      </rPr>
      <t>@udayton.edu</t>
    </r>
  </si>
  <si>
    <t>Mechanics of soft functional materials
Mechanics of additively manufactured materials, from metals to hydrogels
Plastic deformation and ductile fracture of aerospace metals
Multi-scale, multi-physics topology optimization
Constitutive modeling
Computational mechanics and the finite-element method
Structural analysis and vibrations/wave propagation</t>
  </si>
  <si>
    <t>Mechanics of soft functional materials,
Mechanics of additively manufactured materials, from metals to hydrogels,
Plastic deformation , ductile fracture of aerospace metals,
Multi-scale, multi-physics topology optimization,
Constitutive modeling,
Computational mechanics , the finite-element method,
Structural analysis , vibrations/wave propagation</t>
  </si>
  <si>
    <t>Rydge B. Mulford</t>
  </si>
  <si>
    <r>
      <rPr>
        <sz val="10"/>
        <color rgb="FF000000"/>
        <rFont val="Arial"/>
        <family val="2"/>
      </rPr>
      <t>RMulford</t>
    </r>
    <r>
      <rPr>
        <sz val="10"/>
        <color rgb="FF000000"/>
        <rFont val="Arial"/>
        <family val="2"/>
      </rPr>
      <t>1</t>
    </r>
    <r>
      <rPr>
        <sz val="10"/>
        <color rgb="FF000000"/>
        <rFont val="Arial"/>
        <family val="2"/>
      </rPr>
      <t>@udayton.edu</t>
    </r>
  </si>
  <si>
    <t>Thermal control through geometric manipulation
Heat transfer for sustainability</t>
  </si>
  <si>
    <t>Thermal control through geometric manipulation, Heat transfer for sustainability</t>
  </si>
  <si>
    <t>Andrew Murray</t>
  </si>
  <si>
    <r>
      <rPr>
        <sz val="10"/>
        <color rgb="FF000000"/>
        <rFont val="Arial"/>
        <family val="2"/>
      </rPr>
      <t>AMurray</t>
    </r>
    <r>
      <rPr>
        <sz val="10"/>
        <color rgb="FF000000"/>
        <rFont val="Arial"/>
        <family val="2"/>
      </rPr>
      <t>1</t>
    </r>
    <r>
      <rPr>
        <sz val="10"/>
        <color rgb="FF000000"/>
        <rFont val="Arial"/>
        <family val="2"/>
      </rPr>
      <t>@udayton.edu</t>
    </r>
  </si>
  <si>
    <t xml:space="preserve">kinematic synthesis theory and machine design includes shape-changing mechanisms with applications in variable geometry extrusion dies and accurate estimation and tracking of the center of mass of complex systems. Murray is a fellow of ASME. </t>
  </si>
  <si>
    <t>kinematic synthesis theory , machine design includes shape-changing mechanisms with applications in variable geometry extrusion dies , accurate estimation , tracking of the center of mass of complex systems, Murray is a fellow of ASME</t>
  </si>
  <si>
    <t>David Myszka</t>
  </si>
  <si>
    <r>
      <rPr>
        <sz val="10"/>
        <color rgb="FF000000"/>
        <rFont val="Arial"/>
        <family val="2"/>
      </rPr>
      <t>DMyszka</t>
    </r>
    <r>
      <rPr>
        <sz val="10"/>
        <color rgb="FF000000"/>
        <rFont val="Arial"/>
        <family val="2"/>
      </rPr>
      <t>1</t>
    </r>
    <r>
      <rPr>
        <sz val="10"/>
        <color rgb="FF000000"/>
        <rFont val="Arial"/>
        <family val="2"/>
      </rPr>
      <t>@udayton.edu</t>
    </r>
  </si>
  <si>
    <t>Machine Design
Simulation of Mechanical Systems
Kinematic Synthesis of Automation Devices</t>
  </si>
  <si>
    <t>Machine Design,
Simulation of Mechanical Systems,
Kinematic Synthesis of Automation Devices</t>
  </si>
  <si>
    <t>Javier Narvaez</t>
  </si>
  <si>
    <r>
      <rPr>
        <sz val="10"/>
        <color rgb="FF000000"/>
        <rFont val="Arial"/>
        <family val="2"/>
      </rPr>
      <t>JNarvaez</t>
    </r>
    <r>
      <rPr>
        <sz val="10"/>
        <color rgb="FF000000"/>
        <rFont val="Arial"/>
        <family val="2"/>
      </rPr>
      <t>1</t>
    </r>
    <r>
      <rPr>
        <sz val="10"/>
        <color rgb="FF000000"/>
        <rFont val="Arial"/>
        <family val="2"/>
      </rPr>
      <t>@udayton.edu</t>
    </r>
  </si>
  <si>
    <t xml:space="preserve">Surfactant drag-reducing agents and effects on multiphase flow
</t>
  </si>
  <si>
    <t>Surfactant drag-reducing agents , effects on multiphase flow</t>
  </si>
  <si>
    <t>$1,030 per credit (full-time)</t>
  </si>
  <si>
    <t>David Perkins</t>
  </si>
  <si>
    <r>
      <rPr>
        <sz val="10"/>
        <color rgb="FF000000"/>
        <rFont val="Arial"/>
        <family val="2"/>
      </rPr>
      <t>DPerkins</t>
    </r>
    <r>
      <rPr>
        <sz val="10"/>
        <color rgb="FF000000"/>
        <rFont val="Arial"/>
        <family val="2"/>
      </rPr>
      <t>1</t>
    </r>
    <r>
      <rPr>
        <sz val="10"/>
        <color rgb="FF000000"/>
        <rFont val="Arial"/>
        <family val="2"/>
      </rPr>
      <t>@udayton.edu</t>
    </r>
  </si>
  <si>
    <t>Mechatronics
Robotics
Autonomous Systems
Machine Learning</t>
  </si>
  <si>
    <t>Mechatronics,
Robotics,
Autonomous Systems,
Machine Learning</t>
  </si>
  <si>
    <t>Margaret Pinnell</t>
  </si>
  <si>
    <r>
      <rPr>
        <sz val="10"/>
        <color rgb="FF000000"/>
        <rFont val="Arial"/>
        <family val="2"/>
      </rPr>
      <t>MPinnell</t>
    </r>
    <r>
      <rPr>
        <sz val="10"/>
        <color rgb="FF000000"/>
        <rFont val="Arial"/>
        <family val="2"/>
      </rPr>
      <t>1</t>
    </r>
    <r>
      <rPr>
        <sz val="10"/>
        <color rgb="FF000000"/>
        <rFont val="Arial"/>
        <family val="2"/>
      </rPr>
      <t>@udayton.edu</t>
    </r>
  </si>
  <si>
    <t>Mechanical testing of materials
Biological materials
Service-learning</t>
  </si>
  <si>
    <t>Mechanical testing of materials,
Biological materials,
Service-learning</t>
  </si>
  <si>
    <t>Subramanian Ramakrishnan</t>
  </si>
  <si>
    <r>
      <rPr>
        <sz val="10"/>
        <color rgb="FF000000"/>
        <rFont val="Arial"/>
        <family val="2"/>
      </rPr>
      <t>SRamakrishnan</t>
    </r>
    <r>
      <rPr>
        <sz val="10"/>
        <color rgb="FF000000"/>
        <rFont val="Arial"/>
        <family val="2"/>
      </rPr>
      <t>1</t>
    </r>
    <r>
      <rPr>
        <sz val="10"/>
        <color rgb="FF000000"/>
        <rFont val="Arial"/>
        <family val="2"/>
      </rPr>
      <t>@udayton.edu</t>
    </r>
  </si>
  <si>
    <t xml:space="preserve">nonlinear, stochastic dynamics and control with applications in areas including robotics, dynamics of nanoelectromechanical systems, energy localization and epidemiological modeling.
</t>
  </si>
  <si>
    <t>nonlinear, stochastic dynamics , control with applications in areas including robotics, dynamics of nanoelectromechanical systems, energy localization , epidemiological modeling</t>
  </si>
  <si>
    <t>Megan Reissman</t>
  </si>
  <si>
    <r>
      <rPr>
        <sz val="10"/>
        <color rgb="FF000000"/>
        <rFont val="Arial"/>
        <family val="2"/>
      </rPr>
      <t>MReissman</t>
    </r>
    <r>
      <rPr>
        <sz val="10"/>
        <color rgb="FF000000"/>
        <rFont val="Arial"/>
        <family val="2"/>
      </rPr>
      <t>1</t>
    </r>
    <r>
      <rPr>
        <sz val="10"/>
        <color rgb="FF000000"/>
        <rFont val="Arial"/>
        <family val="2"/>
      </rPr>
      <t>@udayton.edu</t>
    </r>
  </si>
  <si>
    <t>My research focus is on understanding and improving the movement abilities of people with impairments using experimental biomechanics methods. I seek to develoPdevices that generate targeted challenges particularly for walking and balance and that provide visual feedback using standard and virtual reality Headset displays. My recent work has focused on the advancement of methods to identify underlying impairments in movement ability, to improve abnormal movement patterns through challenge-induced learning and to investigate biomechanics outside the laboratory through the integration of custom smart technology into personal devices.</t>
  </si>
  <si>
    <t>My research focus is on underst,ing , improving the movement abilities of people with impairments using experimental biomechanics methods, I seek to develoPdevices that generate targeted challenges particularly for walking , balance , that provide visual feedback using st,ard , virtual reality Headset displays</t>
  </si>
  <si>
    <t>Timothy Reissman</t>
  </si>
  <si>
    <r>
      <rPr>
        <sz val="10"/>
        <color rgb="FF000000"/>
        <rFont val="Arial"/>
        <family val="2"/>
      </rPr>
      <t>TReissman</t>
    </r>
    <r>
      <rPr>
        <sz val="10"/>
        <color rgb="FF000000"/>
        <rFont val="Arial"/>
        <family val="2"/>
      </rPr>
      <t>1</t>
    </r>
    <r>
      <rPr>
        <sz val="10"/>
        <color rgb="FF000000"/>
        <rFont val="Arial"/>
        <family val="2"/>
      </rPr>
      <t>@udayton.edu</t>
    </r>
  </si>
  <si>
    <t>Dr. Reissman's primary focus is aimed at developing solutions to helPpeople in need. His research grouPspecializes in the advancement of human-machine interfaces to improve medical and assistive technology. Recent projects include design of mechatronic systems to improve the efficacy of rollator walkers, canes, prostheses and exoskeletons. Likewise, CP relevance is maintained through collaborations with physical therapy faculty at the University of Dayton, physicians within the Greater Dayton Area Hospital Association and medical device designers within local industry. Other research includes the study of coupled systems – whether they be human-machine interfaces or electromechanical / control systems.</t>
  </si>
  <si>
    <t>advancement of human-machine interfaces to improve medical , assistive technology, Recent projects include design of mechatronic systems to improve the efficacy of rollator walkers, canes, prostheses, exoskeletons</t>
  </si>
  <si>
    <t>Diqian Ren</t>
  </si>
  <si>
    <r>
      <rPr>
        <sz val="10"/>
        <color rgb="FF000000"/>
        <rFont val="Arial"/>
        <family val="2"/>
      </rPr>
      <t>DRen</t>
    </r>
    <r>
      <rPr>
        <sz val="10"/>
        <color rgb="FF000000"/>
        <rFont val="Arial"/>
        <family val="2"/>
      </rPr>
      <t>1</t>
    </r>
    <r>
      <rPr>
        <sz val="10"/>
        <color rgb="FF000000"/>
        <rFont val="Arial"/>
        <family val="2"/>
      </rPr>
      <t>@udayton.edu</t>
    </r>
  </si>
  <si>
    <t>Markus Rumpfkeil</t>
  </si>
  <si>
    <r>
      <rPr>
        <sz val="10"/>
        <color rgb="FF000000"/>
        <rFont val="Arial"/>
        <family val="2"/>
      </rPr>
      <t>MRumpfkeil</t>
    </r>
    <r>
      <rPr>
        <sz val="10"/>
        <color rgb="FF000000"/>
        <rFont val="Arial"/>
        <family val="2"/>
      </rPr>
      <t>1</t>
    </r>
    <r>
      <rPr>
        <sz val="10"/>
        <color rgb="FF000000"/>
        <rFont val="Arial"/>
        <family val="2"/>
      </rPr>
      <t>@udayton.edu</t>
    </r>
  </si>
  <si>
    <t>Computational fluid dynamics
Uncertainty quantification
Deterministic PDE constrained optimization
Optimization under uncertainty
Multidisciplinary design optimization</t>
  </si>
  <si>
    <t>Computational fluid dynamics,
Uncertainty quantification,
Deterministic PDE constrained optimization,
Optimization under uncertainty,
Multidisciplinary design optimization</t>
  </si>
  <si>
    <t>Carson Running</t>
  </si>
  <si>
    <r>
      <rPr>
        <sz val="10"/>
        <color rgb="FF000000"/>
        <rFont val="Arial"/>
        <family val="2"/>
      </rPr>
      <t>CRunning</t>
    </r>
    <r>
      <rPr>
        <sz val="10"/>
        <color rgb="FF000000"/>
        <rFont val="Arial"/>
        <family val="2"/>
      </rPr>
      <t>1</t>
    </r>
    <r>
      <rPr>
        <sz val="10"/>
        <color rgb="FF000000"/>
        <rFont val="Arial"/>
        <family val="2"/>
      </rPr>
      <t>@udayton.edu</t>
    </r>
  </si>
  <si>
    <t>Shock-wave/boundary-layer interactions
Boundary-layer transition and instability mechanisms
Boundary-layer separation and reattachment
Global surface pressure and temperature measurement techniques
Hypersonic facility design and characterization
Learning sciences and analytics
CPedagogy</t>
  </si>
  <si>
    <t>Shock-wave/boundary-layer interactions,
Boundary-layer transition , instability mechanisms,
Boundary-layer separation , reattachment,
Global surface pressure , temperature measurement techniques,
Hypersonic facility design , characterization,
Learning sciences , analytics,
CPedagogy</t>
  </si>
  <si>
    <t>Andrew Schrader</t>
  </si>
  <si>
    <r>
      <rPr>
        <sz val="10"/>
        <color rgb="FF000000"/>
        <rFont val="Arial"/>
        <family val="2"/>
      </rPr>
      <t>ASchrader</t>
    </r>
    <r>
      <rPr>
        <sz val="10"/>
        <color rgb="FF000000"/>
        <rFont val="Arial"/>
        <family val="2"/>
      </rPr>
      <t>1</t>
    </r>
    <r>
      <rPr>
        <sz val="10"/>
        <color rgb="FF000000"/>
        <rFont val="Arial"/>
        <family val="2"/>
      </rPr>
      <t>@udayton.edu</t>
    </r>
  </si>
  <si>
    <t>Solar-Thermal Energy Systems
Control of Thermal Energy Systems
Engineering Education
Granular Flows
Thermochemical Energy Storage</t>
  </si>
  <si>
    <t>Solar-Thermal Energy Systems,
Control of Thermal Energy Systems,
Engineering Education,
Granular Flows,
Thermochemical Energy Storage</t>
  </si>
  <si>
    <t>Vinayak Vijayan</t>
  </si>
  <si>
    <r>
      <rPr>
        <sz val="10"/>
        <color rgb="FF000000"/>
        <rFont val="Arial"/>
        <family val="2"/>
      </rPr>
      <t>VVijayan</t>
    </r>
    <r>
      <rPr>
        <sz val="10"/>
        <color rgb="FF000000"/>
        <rFont val="Arial"/>
        <family val="2"/>
      </rPr>
      <t>1</t>
    </r>
    <r>
      <rPr>
        <sz val="10"/>
        <color rgb="FF000000"/>
        <rFont val="Arial"/>
        <family val="2"/>
      </rPr>
      <t>@udayton.edu</t>
    </r>
  </si>
  <si>
    <t>Biomechanics
Gait analysis
Muscle activity analysis</t>
  </si>
  <si>
    <t>Biomechanics,
Gait analysis,
Muscle activity analysis</t>
  </si>
  <si>
    <t>C. Taber Wanstall</t>
  </si>
  <si>
    <r>
      <rPr>
        <sz val="10"/>
        <color rgb="FF000000"/>
        <rFont val="Arial"/>
        <family val="2"/>
      </rPr>
      <t>CWanstall</t>
    </r>
    <r>
      <rPr>
        <sz val="10"/>
        <color rgb="FF000000"/>
        <rFont val="Arial"/>
        <family val="2"/>
      </rPr>
      <t>1</t>
    </r>
    <r>
      <rPr>
        <sz val="10"/>
        <color rgb="FF000000"/>
        <rFont val="Arial"/>
        <family val="2"/>
      </rPr>
      <t>@udayton.edu</t>
    </r>
  </si>
  <si>
    <t>Fuel sprays and combustion
Real-fluid mixture thermodynamics and supercritical mixing behavior
High-speed, spatially resolved optical diagnostics for fluid flow applications
Two-phase flow
Hydrodynamic stability</t>
  </si>
  <si>
    <t>Fuel sprays , combustion,
Real-fluid mixture thermodynamics , supercritical mixing behavior
High-speed, spatially resolved optical diagnostics for fluid flow applications,
Two-phase flow,
Hydrodynamic stability</t>
  </si>
  <si>
    <r>
      <rPr>
        <u/>
        <sz val="10"/>
        <color rgb="FF000000"/>
        <rFont val="Arial"/>
        <family val="2"/>
      </rPr>
      <t>Jamie Ervin</t>
    </r>
    <r>
      <rPr>
        <sz val="10"/>
        <color rgb="FF000000"/>
        <rFont val="Arial"/>
        <family val="2"/>
      </rPr>
      <t xml:space="preserve"> (Department chair)</t>
    </r>
  </si>
  <si>
    <r>
      <rPr>
        <sz val="10"/>
        <color rgb="FF000000"/>
        <rFont val="Arial"/>
        <family val="2"/>
      </rPr>
      <t>JErvin</t>
    </r>
    <r>
      <rPr>
        <sz val="10"/>
        <color theme="1"/>
        <rFont val="Arial"/>
        <family val="2"/>
      </rPr>
      <t>1@udayton.edu</t>
    </r>
  </si>
  <si>
    <t>Aircraft Thermal Management
Aviation Fuels
Two Phase Flow and Heat Transfer</t>
  </si>
  <si>
    <t>Aircraft Thermal Management,
Aviation Fuels,
Two Phase Flow , Heat Transfer</t>
  </si>
  <si>
    <t>University of Miami</t>
  </si>
  <si>
    <t>Qingda Yang</t>
  </si>
  <si>
    <t>qdyang@miami.edu</t>
  </si>
  <si>
    <t xml:space="preserve">Mechanics of Materials, Computational Solid Mechanics, Fiber Reinforced Polymer Composites (FRPCs), Ultra-high Temperature Ceramic Matrix Composites (CMCs).
</t>
  </si>
  <si>
    <t xml:space="preserve">Mechanics of Materials, Computational Solid Mechanics, Fiber Reinforced Polymer Composites (FRPCs), Ultra-high Temperature Ceramic Matrix Composites (CMCs),
</t>
  </si>
  <si>
    <t>Francesco Travascio, Ph.D.</t>
  </si>
  <si>
    <t>f.travascio@miami.edu</t>
  </si>
  <si>
    <t xml:space="preserve">Biomechanics, Orthopaedics, Robot Assisted Orthopaedic Surgery, Musculoskeletal Modeling, Biomedical Imaging, Biotransport
</t>
  </si>
  <si>
    <t>Biomechanics, Orthopaedics, Robot Assisted Orthopaedic Surgery, Musculoskeletal Modeling, Biomedical Imaging, Biotransport</t>
  </si>
  <si>
    <t>Weiyong Gu</t>
  </si>
  <si>
    <t>wgu@miami.edu</t>
  </si>
  <si>
    <t xml:space="preserve">Tissue Biomechanics, Transport Phenomena, Continuum Mixture Theory, Computational Biomechanics, Mechanobiology of Intervertebral Disc, Bioreactor Technology
</t>
  </si>
  <si>
    <t>Tissue Biomechanics, Transport Phenomena, Continuum Mixture Theory, Computational Biomechanics, Mechanobiology of Intervertebral Disc, Bioreactor Technology</t>
  </si>
  <si>
    <t>Emrah Celik</t>
  </si>
  <si>
    <t>e.celik@miami.edu</t>
  </si>
  <si>
    <t xml:space="preserve">Thermoelectricity, Additive Manufacturing, Nanotechnology, Microfluidics, Solid Mechanics and Numerical Simulation.
</t>
  </si>
  <si>
    <t>Thermoelectricity, Additive Manufacturing, Nanotechnology, Microfluidics, Solid Mechanics , Numerical Simulation</t>
  </si>
  <si>
    <t>#138 - Best Engineering Schools</t>
  </si>
  <si>
    <t>Hongtan Liu</t>
  </si>
  <si>
    <t>hliu@miami.edu</t>
  </si>
  <si>
    <t xml:space="preserve">PEM Fuel Cells, Direct Methanol Fuel Cells, Solar Energy, Hydrogen Energy, Storage Energy, Clean Energy
</t>
  </si>
  <si>
    <t>PEM Fuel Cells, Direct Methanol Fuel Cells, Solar Energy, Hydrogen Energy, Storage Energy, Clean Energy</t>
  </si>
  <si>
    <t>Giacomo Po</t>
  </si>
  <si>
    <t>gxp496@miami.edu</t>
  </si>
  <si>
    <t xml:space="preserve">Computational mechanics of materials. Mechanics and physics of crystalline defects in solids. High-temperature materials.
</t>
  </si>
  <si>
    <t>Computational mechanics of materials, Mechanics , physics of crystalline defects in solids, High-temperature materials</t>
  </si>
  <si>
    <t>Michael R. Swain</t>
  </si>
  <si>
    <t>mswain@miami.edu</t>
  </si>
  <si>
    <t xml:space="preserve">Design, Fabrication and Testing of Prototype Internal Combustion Engines, Measurement, Analysis and Modeling of Heat Transfer in the Everglades, Safety Analysis of Gaseous Fuels
</t>
  </si>
  <si>
    <t>Design, Fabrication , Testing of Prototype Internal Combustion Engines, Measurement, Analysis , Modeling of Heat Transfer in the Everglades, Safety Analysis of Gaseous Fuels</t>
  </si>
  <si>
    <t>GeCheng Zha</t>
  </si>
  <si>
    <t>gzha@miami.edu</t>
  </si>
  <si>
    <t xml:space="preserve">Aerodynamics, Aircraft Design, Flow Control, Co-Flow Jet Airfoil, Computational Fluid Dynamics (CFD), Fluid-Structural Interactions, Supersonic Inlets, Turbomachinery, Design Optimization, Propeller Design
</t>
  </si>
  <si>
    <t>Aerodynamics, Aircraft Design, Flow Control, Co-Flow Jet Airfoil, Computational Fluid Dynamics (CFD), Fluid-Structural Interactions, Supersonic Inlets, Turbomachinery, Design Optimization, Propeller Design</t>
  </si>
  <si>
    <t>Xiangyang Zhou</t>
  </si>
  <si>
    <t>xzhou@miami.edu</t>
  </si>
  <si>
    <t xml:space="preserve">Materials Science and Engineering, Nano-Catalysts/nano-materials, Atomistic Simulation, Fuel Cell, Supercapacitors, Interfaces in Eelectrochemical Power Sources, and Electrochemical Sensors.
</t>
  </si>
  <si>
    <t>Materials Science , Engineering, Nano-Catalysts/nano-materials, Atomistic Simulation, Fuel Cell, Supercapacitors, Interfaces in Eelectrochemical Power Sources, Electrochemical Sensors</t>
  </si>
  <si>
    <t>Jiayu Li</t>
  </si>
  <si>
    <t>jxl3106@miami.edu</t>
  </si>
  <si>
    <t>$2,310 per credit (full-time)</t>
  </si>
  <si>
    <t>University of New Mexico</t>
  </si>
  <si>
    <t>Sakineh Chabi</t>
  </si>
  <si>
    <t>schabi@unm.edu</t>
  </si>
  <si>
    <t>Her  include engineering multifunctional materials, mechanics of materials, polymers, ceramics, and energy-related materials.</t>
  </si>
  <si>
    <t>multifunctional materials, mechanics of materials, polymers, ceramics, energy-related materials,</t>
  </si>
  <si>
    <t>Claus Danielson</t>
  </si>
  <si>
    <t>cdanielson@unm.edu</t>
  </si>
  <si>
    <t>Optimal and Constrained Control
Machine Learning for Autonomy
Planning and Optimization</t>
  </si>
  <si>
    <t>Optimal , Constrained Control,
Machine Learning for Autonomy,
Planning , Optimization</t>
  </si>
  <si>
    <t>Ali Heydari</t>
  </si>
  <si>
    <t>heydari@unm.edu</t>
  </si>
  <si>
    <t>Nathan Jackson</t>
  </si>
  <si>
    <t>njack@unm.edu</t>
  </si>
  <si>
    <t>MEMS Fabrication
Vibration Energy Harvesting
Atomizer technology
Acoustic Resonators
Smart Material Development
Flexible/stretchable systems
Neural Interface Devices
MEMS Sensors and Biosensor Technology</t>
  </si>
  <si>
    <t>MEMS Fabrication,
Vibration Energy Harvesting,
Atomizer technology,
Acoustic Resonators,
Smart Material Development,
Flexible/stretchable systems,
Neural Interface Devices,
MEMS Sensors , Biosensor Technology</t>
  </si>
  <si>
    <t>Tariq Khraishi</t>
  </si>
  <si>
    <t>khraishi@unm.edu</t>
  </si>
  <si>
    <t>Biomechanics
Dislocation/Plasticity theory and modeling
Composite materials</t>
  </si>
  <si>
    <t>Biomechanics,
Dislocation/Plasticity theory , modeling,
Composite materials</t>
  </si>
  <si>
    <t>Pankaj Kumar</t>
  </si>
  <si>
    <t>pankaj@unm.edu</t>
  </si>
  <si>
    <t>Advanced Manufactuirng
Additive Manufacturing
Materials for Extreme Environments
Alloys and Microstructure Design
Powder Metallurgy
Materials Characterization
Mechanical Behavior of Materials
Fatigue, Creep, and Fracture
Materials Modeling</t>
  </si>
  <si>
    <t>Advanced Manufactuirng,
Additive Manufacturing,
Materials for Extreme Environments,
Alloys , Microstructure Design,
Powder Metallurgy,
Materials Characterization,
Mechanical Behavior of Materials,
Fatigue, Creep, Fracture
Materials Modeling</t>
  </si>
  <si>
    <t>Gowtham Mohan</t>
  </si>
  <si>
    <t>gowtham@unm.edu</t>
  </si>
  <si>
    <t>Concentrating solar power modelling and testing
Thermal energy storage
Desalination
Hybrid solar collector development</t>
  </si>
  <si>
    <t>Concentrating solar power modelling , testing,
Thermal energy storage,
Desalination,
Hybrid solar collector development</t>
  </si>
  <si>
    <t>Matthias Pleil</t>
  </si>
  <si>
    <t>mpleil@unm.edu</t>
  </si>
  <si>
    <t xml:space="preserve">STEM Education
</t>
  </si>
  <si>
    <t>STEM Education</t>
  </si>
  <si>
    <t>Svetlana Poroseva</t>
  </si>
  <si>
    <t>poroseva@unm.edu</t>
  </si>
  <si>
    <t xml:space="preserve">Turbulence Modeling
Computational Fluid Dynamics
Network Survivability
</t>
  </si>
  <si>
    <t xml:space="preserve">Turbulence Modeling,
Computational Fluid Dynamics,
Network Survivability
</t>
  </si>
  <si>
    <t>John Russell</t>
  </si>
  <si>
    <t>jjrussel@unm.edu</t>
  </si>
  <si>
    <t>Modeling and simulation of race car performance
Influence of chassis stiffness on race car performance
Modeling of diabetes</t>
  </si>
  <si>
    <t>Modeling , simulation of race car performance,
Influence of chassis stiffness on race car performance,
Modeling of diabetes</t>
  </si>
  <si>
    <r>
      <rPr>
        <u/>
        <sz val="10"/>
        <color rgb="FF000000"/>
        <rFont val="Arial"/>
        <family val="2"/>
      </rPr>
      <t>Yu-Lin Shen</t>
    </r>
    <r>
      <rPr>
        <sz val="10"/>
        <color rgb="FF000000"/>
        <rFont val="Arial"/>
        <family val="2"/>
      </rPr>
      <t xml:space="preserve"> (Chair)</t>
    </r>
  </si>
  <si>
    <t>shenyl@unm.edu</t>
  </si>
  <si>
    <t>Mechanical Behavior of Materials
Microelectronic Devices and Packages
Thin Films and Heterogeneous Material Systems</t>
  </si>
  <si>
    <t>Mechanical Behavior of Materials,
Microelectronic Devices , Packages,
Thin Films , Heterogeneous Material Systems</t>
  </si>
  <si>
    <t>Francesco Sorrentino</t>
  </si>
  <si>
    <t>fsorrent@unm.edu</t>
  </si>
  <si>
    <t>Dynamics and controls of complex dynamical networks
Hypernetworks
Identification of nonlinear systems
Complex distributed energy systems</t>
  </si>
  <si>
    <t>Dynamics , controls of complex dynamical networks,
Hypernetworks,
Identification of nonlinear systems,
Complex distributed energy systems</t>
  </si>
  <si>
    <t>$455 per credit (in-state, full-time)</t>
  </si>
  <si>
    <t>Peter Vorobieff</t>
  </si>
  <si>
    <t>kalmoth@unm.edu</t>
  </si>
  <si>
    <t>Fundamental hydrodynamic instabilities
Meandering flows
Multiphase flows
Shock-accelerated flows
Two-dimensional hydrodynamics
Renewable energy
Advanced flow field measurement techniques</t>
  </si>
  <si>
    <t>Fundamental hydrodynamic instabilities,
Multiphase flows,
Shock-accelerated flows,
Two-dimensional hydrodynamics,
Renewable energy,
Advanced flow field measurement techniques</t>
  </si>
  <si>
    <t>Heng E. Zuo</t>
  </si>
  <si>
    <t>zuoh@unm.edu</t>
  </si>
  <si>
    <t>Space optics development &amp; applications (high energy (UV/X-ray) astronomy mirrors, adaptive optics, free space optical communication)
Advanced laser micromachining &amp; ultrafast laser material processing
Numerical modeling of thin optics</t>
  </si>
  <si>
    <t>Space optics development &amp; applications,
Advanced laser micromachining &amp; ultrafast laser material processing,
Numerical modeling of thin optics</t>
  </si>
  <si>
    <t>University of Oklahoma (Gallogly)</t>
  </si>
  <si>
    <t>Ramkumar Parthasarathy</t>
  </si>
  <si>
    <t xml:space="preserve">  rparthasarathy@ou.edu</t>
  </si>
  <si>
    <t>s
Turbulent multiphase flows, spray and gas-jet break-uPand hydrodynamic stability.</t>
  </si>
  <si>
    <t>Turbulent multiphase flows, spray , gas-jet break-uP, hydrodynamic stability,</t>
  </si>
  <si>
    <t>Peter J. Attar</t>
  </si>
  <si>
    <t xml:space="preserve">  peter.attar@ou.edu</t>
  </si>
  <si>
    <t>s
Nonlinear Aeroelasticity
Computational Methods in Aeroelasticity
Reduced Order Modeling</t>
  </si>
  <si>
    <t>Nonlinear Aeroelasticity,
Computational Methods in Aeroelasticity,
Reduced Order Modeling</t>
  </si>
  <si>
    <t>David Baldwin</t>
  </si>
  <si>
    <t xml:space="preserve">  baldwin@ou.edu</t>
  </si>
  <si>
    <t>s
Mechanical design, fatigue and fracture mechanics and probabilistic design methods.</t>
  </si>
  <si>
    <t>Mechanical design, fatigue , fracture mechanics , probabilistic design methods</t>
  </si>
  <si>
    <t>Srikanth Bashetty</t>
  </si>
  <si>
    <t xml:space="preserve">  srikanth.bashetty@ou.edu</t>
  </si>
  <si>
    <t>s
Dynamics and control systems, Offshore wind technologies, Aircraft design, and Unmanned aerial vehicles.</t>
  </si>
  <si>
    <t>Dynamics , control systems, Offshore wind technologies, Aircraft design, Unmanned aerial vehicles</t>
  </si>
  <si>
    <t xml:space="preserve">  jcai@ou.edu</t>
  </si>
  <si>
    <t>s
Building modeling and controls HVAC and envelope data-driven modeling, building energy co-simulation, multi-agent control, grid-interactive control, economic model-based control, near-optimal heuristic control...</t>
  </si>
  <si>
    <t>Building modeling , controls HVAC , envelope data-driven modeling, building energy co-simulation, multi-agent control, grid-interactive control, economic model-based control, near-optimal heuristic control</t>
  </si>
  <si>
    <t>Kuang-Hua Chang</t>
  </si>
  <si>
    <t xml:space="preserve">  khchang@ou.edu</t>
  </si>
  <si>
    <t>s
Computational Mechanics, Multi-scale Modeling, 3D Printing</t>
  </si>
  <si>
    <t>Computational Mechanics, Multi-scale Modeling, 3D Printing</t>
  </si>
  <si>
    <t>Chenkai Dai</t>
  </si>
  <si>
    <t xml:space="preserve">  chenkaidai@ou.edu</t>
  </si>
  <si>
    <t>s
Medical device in Hearing and Balancing, Mechanics in aging or disorder ear, Computational modeling of ear, and Testing and 3D printing medical material</t>
  </si>
  <si>
    <t>Medical device in Hearing , Balancing, Mechanics in aging or disorder ear, Computational modeling of ear, Testing , 3D printing medical material</t>
  </si>
  <si>
    <t>Christopher Dalton</t>
  </si>
  <si>
    <t xml:space="preserve">  cdalton@ou.edu</t>
  </si>
  <si>
    <t>s
Active learning, experiential learning, K-12 STEM Outreach, design pedagogy, first-year experiences, engineering education.</t>
  </si>
  <si>
    <t>Active learning, experiential learning, K-12 STEM Outreach, design pedagogy, first-year experiences, engineering education,</t>
  </si>
  <si>
    <t>Hanping Ding</t>
  </si>
  <si>
    <t xml:space="preserve">  hding@ou.edu</t>
  </si>
  <si>
    <t>s
Advanced energy materials (hydrogen production, fuel cell, battery), Electrochemical processing, Integrated energy systems, Additive manufacturing, Solid state ionics, Electrochemistry, and Computational modeling.</t>
  </si>
  <si>
    <t>Advanced energy materials (hydrogen production, fuel cell, battery), Electrochemical processing, Integrated energy systems, Additive manufacturing, Solid state ionics, Electrochemistry, Computational modeling,</t>
  </si>
  <si>
    <t>Rong Zhu Gan</t>
  </si>
  <si>
    <t xml:space="preserve">  rgan@ou.edu</t>
  </si>
  <si>
    <t>s
Biomechanics of soft and hard tissues, implantable devices and middle ear mechanics and transfer functions.</t>
  </si>
  <si>
    <t>Biomechanics of soft , hard tissues, implantable devices , middle ear mechanics , transfer functions,</t>
  </si>
  <si>
    <t>Jivtesh Garg</t>
  </si>
  <si>
    <t xml:space="preserve">  garg@ou.edu</t>
  </si>
  <si>
    <t>s
First-principles prediction of transport properties of materials, Thermoelectrics, Coupled conduction and radiation heat transfer across nanoscale gaps, Thermal properties and rheology of nanofluids</t>
  </si>
  <si>
    <t>First-principles prediction of transport properties of materials, Thermoelectrics, Coupled conduction , radiation heat transfer across nanoscale gaps, Thermal properties , rheology of nanofluids</t>
  </si>
  <si>
    <t>Iman Ghamarian</t>
  </si>
  <si>
    <t xml:space="preserve">  iman@ou.edu</t>
  </si>
  <si>
    <t>s
Additive manufacturing of metals, machine learning, and electron microscopy</t>
  </si>
  <si>
    <t>Additive manufacturing of metals, machine learning, electron microscopy</t>
  </si>
  <si>
    <t>$335 per credit (in-state, full-time)</t>
  </si>
  <si>
    <t>Erkan Kayacan</t>
  </si>
  <si>
    <t xml:space="preserve">  erkan@ou.edu</t>
  </si>
  <si>
    <t>s
Real-time optimization-based control and estimation methods, nonlinear control, and machine learning, with special emphasis on foundational theory and experimental realization on robotic and autonomous systems.</t>
  </si>
  <si>
    <t>Real-time optimization-based control , estimation methods, nonlinear control, machine learning, with special emphasis on foundational theory , experimental realization on robotic , autonomous systems,</t>
  </si>
  <si>
    <t>Pejman Kazempoor</t>
  </si>
  <si>
    <t xml:space="preserve">  pkazempoor@ou.edu</t>
  </si>
  <si>
    <t>s
Sustainable Energy Technologies, Greenhouse Gas Management, Carbon Capture and Utilization, Energy Storage, Electrochemical Energy Systems (Fuel Cells and Batteries), and Process Design and Modeling</t>
  </si>
  <si>
    <t>Sustainable Energy Technologies, Greenhouse Gas Management, Carbon Capture , Utilization, Energy Storage, Electrochemical Energy Systems (Fuel Cells , Batteries), Process Design , Modeling</t>
  </si>
  <si>
    <t>Feng C. Lai</t>
  </si>
  <si>
    <t xml:space="preserve">  flai@ou.edu</t>
  </si>
  <si>
    <t>s
Heat and mass transfer in porous media, Enhanced heat and mass transfer
microfluidics and electronic cooling.</t>
  </si>
  <si>
    <t>Heat , mass transfer in porous media, Enhanced heat , mass transfer
microfluidics , electronic cooling,</t>
  </si>
  <si>
    <t>Chung-Hao Lee</t>
  </si>
  <si>
    <t xml:space="preserve">  ch.lee@ou.edu</t>
  </si>
  <si>
    <t>s
Cardiovascular multiscale biomechanical modeling, characterization of structural and mechanical properties of soft biological tissues, patient-specific modeling for improved diagnosis and prophylactic disease management, cell mechanics and mechanobiology and advanced finite element and meshfree methods for image-based computational biomechanics</t>
  </si>
  <si>
    <t>Gardiovascular multiscale biomechanical modeling, characterization of structural , mechanical properties of soft biological tissues, patient-specific modeling for improved diagnosis , prophylactic disease management, cell mechanics , mechanobiology , advanced finite element , meshfree methods for image-based computational biomechanics</t>
  </si>
  <si>
    <t>Yingtao Liu</t>
  </si>
  <si>
    <t xml:space="preserve">  yingtao@ou.edu</t>
  </si>
  <si>
    <t>s
Advanced composites and multifunctional materials, intelligent sensors and structures, nondestructive inspection, structural health monitoring and prognostics</t>
  </si>
  <si>
    <t>Advanced composites , multifunctional materials, intelligent sensors , structures, nondestructive inspection, structural health monitoring , prognostics</t>
  </si>
  <si>
    <t>Wilson Merchán-Merchán</t>
  </si>
  <si>
    <t xml:space="preserve">  wmerchan-merchan@ou.edu</t>
  </si>
  <si>
    <t>s
Flame synthesis of transition metal oxide nanostructures for energy storage devices and medical applications, flame synthesis and characterization of CNTs and fullerenes and morphological studies and measurements of soot particulates and other combustion emissions from traditional and biofuels.</t>
  </si>
  <si>
    <t>Flame synthesis of transition metal oxide nanostructures for energy storage devices , medical applications, flame synthesis , characterization of CNTs , fullerenes , morphological studies , measurements of soot particulates , other combustion emissions from traditional , biofuels,</t>
  </si>
  <si>
    <t>Farrokh Mistree</t>
  </si>
  <si>
    <t xml:space="preserve">  farrokh.mistree@ou.edu</t>
  </si>
  <si>
    <t>s
Strategic systems engineering, integrated design of materials and products and product and process families.</t>
  </si>
  <si>
    <t>Strategic systems engineering, integrated design of materials , products , product , process families</t>
  </si>
  <si>
    <t>Hiroshi Ozawa</t>
  </si>
  <si>
    <t xml:space="preserve">  hiroshi.ozawa@ou.edu</t>
  </si>
  <si>
    <t>s
Unsteady High-Speed Aerothermodynamics, Temperature/Pressure Sensitive Paints, Hypersonic Boundary-Layer Transition, Transient High-Speed Wind Tunnel Experiments, Optical Flow Diagnostics for Transient High-Speed Flows, Shock-Shock/Shock-Boundary-Layer Interactions</t>
  </si>
  <si>
    <t>Unsteady High-Speed Aerothermodynamics, Temperature/Pressure Sensitive Paints, Hypersonic Boundary-Layer Transition, Transient High-Speed Wind Tunnel Experiments, Optical Flow Diagnostics for Transient High-Speed Flows, Shock-Shock/Shock-Boundary-Layer Interactions</t>
  </si>
  <si>
    <t>Mrinal Saha</t>
  </si>
  <si>
    <t xml:space="preserve">  msaha@ou.edu</t>
  </si>
  <si>
    <t>s
Processing of advanced materials, materials characterization and high strain rate testing.</t>
  </si>
  <si>
    <t>Processing of advanced materials, materials characterization , high strain rate testing,</t>
  </si>
  <si>
    <t>Diogo Merguizo Sanchez</t>
  </si>
  <si>
    <t xml:space="preserve">  dmsanchez@ou.edu</t>
  </si>
  <si>
    <t>s
Design of trajectories and orbital maneuvers for missions to explore asteroids and non-Earth objects, orbital debris mitigation, CubeSat and SmallSat missions, small body dynamics.</t>
  </si>
  <si>
    <t>Design of trajectories , orbital maneuvers for missions to explore asteroids , non-Earth objects, orbital debris mitigation, CubeSat , SmallSat missions, small body dynamics,</t>
  </si>
  <si>
    <t>Hamidreza Shabgard</t>
  </si>
  <si>
    <t xml:space="preserve">  shabgard@ou.edu</t>
  </si>
  <si>
    <t>s
Multiphase flow and heat transfer, particulate flow, computational fluid dynamics, thermal energy storage and heat pipes.</t>
  </si>
  <si>
    <t>Multiphase flow , heat transfer, particulate flow, computational fluid dynamics, thermal energy storage , heat pipes,</t>
  </si>
  <si>
    <t>Zahed Siddique</t>
  </si>
  <si>
    <t xml:space="preserve">  zsiddique@ou.edu</t>
  </si>
  <si>
    <t>s
Development of tools and framework to enhance engineering design education and Internet based product design to increase collaboration among designers, and to manage product and process information.</t>
  </si>
  <si>
    <t>Development of tools , framework to enhance engineering design education , Internet based product design to increase collaboration among designers, to manage product , process information,</t>
  </si>
  <si>
    <t>Li Song</t>
  </si>
  <si>
    <t xml:space="preserve">  lsong@ou.edu</t>
  </si>
  <si>
    <t>s
Building energy system optimization and control, centralized HVAC system fault detection and energy efficiency technology developments.</t>
  </si>
  <si>
    <t>Building energy system optimization , control, centralized HVAC system fault detection , energy efficiency technology developments,</t>
  </si>
  <si>
    <t>Harold L. Stalford</t>
  </si>
  <si>
    <t xml:space="preserve">  stalford@ou.edu</t>
  </si>
  <si>
    <t>s
MEMS, BioMEMS, microfluidic, micro-robotics and acoustic sensors.</t>
  </si>
  <si>
    <t>MEMS, BioMEMS, microfluidic, micro-robotics , acoustic sensors,</t>
  </si>
  <si>
    <t>Wei Sun</t>
  </si>
  <si>
    <t xml:space="preserve">  wsun@ou.edu</t>
  </si>
  <si>
    <t>s
Control systems, differential games, multiplayer pursuit-evasion games, reinforcement learning, trajectory optimization, and stochastic dynamical systems.</t>
  </si>
  <si>
    <t>Control systems, differential games, multiplayer pursuit-evasion games, reinforcement learning, trajectory optimization, stochastic dynamical systems,</t>
  </si>
  <si>
    <t>Prakash Vedula</t>
  </si>
  <si>
    <t xml:space="preserve">  pvedula@ou.edu</t>
  </si>
  <si>
    <t>s
Turbulence, multi-phase flows, computational fluid dynamics and stochastic modeling and optimization.</t>
  </si>
  <si>
    <t>Turbulence, multi-phase flows, computational fluid dynamics , stochastic modeling , optimization,</t>
  </si>
  <si>
    <t>Bin Xu</t>
  </si>
  <si>
    <t xml:space="preserve">  binxu@ou.edu</t>
  </si>
  <si>
    <t>s
Dynamics and Control, Propulsion and Energy System, Propulsion Electrification, Reinforcement Learning, Data-Driven Modeling and Control, Data Analytics and Visualization</t>
  </si>
  <si>
    <t>Dynamics , Control, Propulsion , Energy System, Propulsion Electrification, Reinforcement Learning, Data-Driven Modeling , Control, Data Analytics , Visualization</t>
  </si>
  <si>
    <t>Shuozhi Xu</t>
  </si>
  <si>
    <t xml:space="preserve">  shuozhixu@ou.edu</t>
  </si>
  <si>
    <t>s
Advance multi-physics and data-driven materials modeling methods from subatomic to macro scale, Apply those methods to structure-property relation in chemically and structurally complex materials, DeveloPnumerical models for additive manufacturing of materials</t>
  </si>
  <si>
    <t>Advance multi-physics , data-driven materials modeling methods from subatomic to macro scale, Apply those methods to structure-property relation in chemically , structurally complex materials, DeveloPnumerical models for additive manufacturing of materials</t>
  </si>
  <si>
    <t>Dong Zhang</t>
  </si>
  <si>
    <t xml:space="preserve">  dzhang@ou.edu</t>
  </si>
  <si>
    <t>s
Energy storage systems, dynamic systems and control, electrified transportation, data-driven decision making.</t>
  </si>
  <si>
    <t>Energy storage systems, dynamic systems , control, electrified transportation, data-driven decision making,</t>
  </si>
  <si>
    <t>University of Rhode Island</t>
  </si>
  <si>
    <t>Mechanical, Industrial, and Systems Engineering</t>
  </si>
  <si>
    <t>#152 - Best Engineering Schools</t>
  </si>
  <si>
    <t>$14,822 per year (in-state, full-time)</t>
  </si>
  <si>
    <t>University of Vermont</t>
  </si>
  <si>
    <t>Zach Ballard</t>
  </si>
  <si>
    <t>Zach.Ballard@uvm.edu</t>
  </si>
  <si>
    <t>Nonlinear dynamics, system dynamics, renewable energy and energy harvesting</t>
  </si>
  <si>
    <t>Nonlinear dynamics, system dynamics, renewable energy , energy harvesting</t>
  </si>
  <si>
    <t>Yves Dubief</t>
  </si>
  <si>
    <t>Yves.Dubief@uvm.edu</t>
  </si>
  <si>
    <t>Fluid mechanics, turbulence, incompressible and compressible flows, non-Newtonian flows, numerical simulation</t>
  </si>
  <si>
    <t>Fluid mechanics, turbulence, incompressible , compressible flows, non-Newtonian flows, numerical simulation</t>
  </si>
  <si>
    <t>Douglas Fletcher</t>
  </si>
  <si>
    <t>Douglas.Fletcher@uvm.edu</t>
  </si>
  <si>
    <t>Laser diagnostics of compressible flows, reacting flows, and plasmas. Aerothermodynamics of planetary entry</t>
  </si>
  <si>
    <t>Laser diagnostics of compressible flows, reacting flows, plasmas, Aerothermodynamics of planetary entry</t>
  </si>
  <si>
    <t>Nic Fiorentino</t>
  </si>
  <si>
    <t>niccolo.fiorentino@uvm.edu</t>
  </si>
  <si>
    <t>Biomechanics, orthopaedics, human motion, motion capture, multibody dynamic modeling, finite element modeling, biological tissue mechanics</t>
  </si>
  <si>
    <t>#132 - Best Engineering Schools</t>
  </si>
  <si>
    <t>Rachael Floreani</t>
  </si>
  <si>
    <t>floreani@uvm.edu</t>
  </si>
  <si>
    <t>Biomaterials, Polymer Chemistry, Tissue Engineering, Drug Delivery, Regenerative Medicine</t>
  </si>
  <si>
    <t>Suresh V. Garimella</t>
  </si>
  <si>
    <t>President@uvm.edu</t>
  </si>
  <si>
    <t>Micro- and nano-scale transport phenomena, thermal management and energy efficiency in electronics systems, renewable/sustainable energy systems technology and policy, and materials processing</t>
  </si>
  <si>
    <t>Micro-nano scale transport phenomena, thermal management , energy efficiency in electronics systems, renewable/sustainable energy systems technology , policy, materials processing</t>
  </si>
  <si>
    <r>
      <rPr>
        <u/>
        <sz val="10"/>
        <color rgb="FF000000"/>
        <rFont val="Arial"/>
        <family val="2"/>
      </rPr>
      <t>Dryver Husto</t>
    </r>
    <r>
      <rPr>
        <sz val="10"/>
        <color rgb="FF000000"/>
        <rFont val="Arial"/>
        <family val="2"/>
      </rPr>
      <t>n</t>
    </r>
  </si>
  <si>
    <t>Dryver.Huston@uvm.edu</t>
  </si>
  <si>
    <t>Smart structures, structural health monitoring, whole body vibration, spine mechanics, precision machines</t>
  </si>
  <si>
    <t>William Louisos</t>
  </si>
  <si>
    <t>William.Louisos@uvm.edu</t>
  </si>
  <si>
    <t>Thermal fluid sciences, fluid dynamics, microfluidics, compressible flow gas dynamics, supersonic micronozzles</t>
  </si>
  <si>
    <t>Jihong Ma</t>
  </si>
  <si>
    <t>maxxx552@umn.edu</t>
  </si>
  <si>
    <t>Nanomaterials, Metamaterials and Polymers</t>
  </si>
  <si>
    <t>Nanomaterials, Metamaterials , Polymers</t>
  </si>
  <si>
    <t>Jason Meyers</t>
  </si>
  <si>
    <t>Jason.Meyers@uvm.edu</t>
  </si>
  <si>
    <t>Hypersonic Aerothermodynamics, Laser Diagnostics, Non-Intrusive Sensors, Constant Volume Combustion</t>
  </si>
  <si>
    <t>Dustin Rand</t>
  </si>
  <si>
    <t>Dustin.Rand@uvm.edu</t>
  </si>
  <si>
    <t>Power electronics, power systems and renewable energy</t>
  </si>
  <si>
    <t>Power electronics, power systems , renewable energy</t>
  </si>
  <si>
    <t>Frederic Sansoz</t>
  </si>
  <si>
    <t>Frederic.Sansoz@uvm.edu</t>
  </si>
  <si>
    <t>Computational and experimental materials science in the areas of nanomaterials, nanomechanics, and nano-energy</t>
  </si>
  <si>
    <t>Computational , experimental materials science in the areas of nanomaterials, nanomechanics, nano-energy</t>
  </si>
  <si>
    <t>$678 per credit (in-state, full-time)</t>
  </si>
  <si>
    <t>Linda Schadler</t>
  </si>
  <si>
    <t>Linda.Schadler@uvm.edu</t>
  </si>
  <si>
    <t>Mechanical, Optical, and Electrical Behavior of Nanofilled Polymer Composites</t>
  </si>
  <si>
    <t>Mechanical, Optical, Electrical Behavior of Nanofilled Polymer Composites</t>
  </si>
  <si>
    <t>University of Wisconsin--Milwaukee</t>
  </si>
  <si>
    <t>Alqam, Hana'a</t>
  </si>
  <si>
    <t>hmalqam@uwm.edu</t>
  </si>
  <si>
    <t>Amano, Ryoichi</t>
  </si>
  <si>
    <t>amano@uwm.edu</t>
  </si>
  <si>
    <t>Turbomachinery
Wind Energy
Hydro turbines
Combustion and Biomass/Pyrolysis Gasification
Wastewater Treatment</t>
  </si>
  <si>
    <t>Turbomachinery,
Wind Energy,
Hydro turbines,
Combustion , Biomass/Pyrolysis Gasification,
Wastewater Treatment</t>
  </si>
  <si>
    <t>Armstrong, Brian</t>
  </si>
  <si>
    <t>bsra@uwm.edu</t>
  </si>
  <si>
    <t>Image metrology and six degree of freedom spatial sensing from images.
Medical imaging applications of spatial sensing from images.
Human motion analysis applications of spatial sensing from images.</t>
  </si>
  <si>
    <t>Image metrology , six degree of freedom spatial sensing from images,
Medical imaging applications of spatial sensing from images,
Human motion analysis applications of spatial sensing from images,</t>
  </si>
  <si>
    <t>Avdeev, Ilya</t>
  </si>
  <si>
    <t>avdeev@uwm.edu</t>
  </si>
  <si>
    <t>Real-time and reduced-order modeling (Digital Twin)
Design of energy storage systems
Design thinking in engineering education</t>
  </si>
  <si>
    <t>Real-time , reduced-order modeling,
Design of energy storage systems,
Design thinking in engineering education</t>
  </si>
  <si>
    <t>#177 - Best Engineering Schools</t>
  </si>
  <si>
    <t>Chang, Woo Jin</t>
  </si>
  <si>
    <t>wjchang@uwm.edu</t>
  </si>
  <si>
    <t>Bionanotechnology
BioMEMS and Biosensor
Environmental and Biomedical Monitoring
Point-Of-Care Device
Bioseparations</t>
  </si>
  <si>
    <t>Bionanotechnology,
BioMEMS , Biosensor,
Environmental , Biomedical Monitoring,
Point-Of-Care Device,
Bioseparations</t>
  </si>
  <si>
    <t>D'Souza, Roshan</t>
  </si>
  <si>
    <t>dsouza@uwm.edu</t>
  </si>
  <si>
    <t>Complex systems simulation
Data-parallel algorithms
Computational biology
CAD/CAM</t>
  </si>
  <si>
    <t>Complex systems simulation,
Data-parallel algorithms,
Computational biology,
CAD/CAM</t>
  </si>
  <si>
    <t>Musinski, William</t>
  </si>
  <si>
    <t>musinski@uwm.edu</t>
  </si>
  <si>
    <t xml:space="preserve">Microstructure-Based Modeling
Fatigue
Additive Manufacturing
Micromechanics
</t>
  </si>
  <si>
    <t xml:space="preserve">Microstructure-Based Modeling,
Fatigue,
Additive Manufacturing,
Micromechanics
</t>
  </si>
  <si>
    <t>Nosonovsky, Michael</t>
  </si>
  <si>
    <t>nosonovs@uwm.edu</t>
  </si>
  <si>
    <t>Reducing energy consumption
Improving water-repellent surfaces
Self-organization at the interface (self-healing, self-lubrication, self-cleaning)
Biomimetic surfaces, including novel applications of the Lotus effect (omniphobicity, anti-fouling)
Adhesion and capillary force
Contact mechanics and dynamic friction
Fundamentals of friction and classical mechanics
History of classical mechanics</t>
  </si>
  <si>
    <t>Reducing energy consumption,
Improving water-repellent surfaces,
Self-organization at the interface,
Biomimetic surfaces, including novel applications of the Lotus effect,
Adhesion , capillary force,
Contact mechanics , dynamic friction,
Fundamentals of friction , classical mechanics,
History of classical mechanics</t>
  </si>
  <si>
    <t>Pillai, Krishna</t>
  </si>
  <si>
    <t>krishna@uwm.edu</t>
  </si>
  <si>
    <t>Flow and transport in porous media (Modeling liquid motion through fiber bed during processing of polymer- and metal-matrix composites)
Wicking of liquids in rigid as well as swelling porous substrates
Evaporation of multicomponent liquids
Computational fluid mechanics and heat transfer
Rheology of polymers</t>
  </si>
  <si>
    <t>Flow , transport in porous media ,
Wicking of liquids in rigid as well as swelling porous substrates,
Evaporation of multicomponent liquids,
Computational fluid mechanics , heat transfer,
Rheology of polymers</t>
  </si>
  <si>
    <r>
      <rPr>
        <u/>
        <sz val="10"/>
        <color rgb="FF000000"/>
        <rFont val="Arial"/>
        <family val="2"/>
      </rPr>
      <t>Qu, Deyang</t>
    </r>
    <r>
      <rPr>
        <sz val="10"/>
        <color rgb="FF000000"/>
        <rFont val="Arial"/>
        <family val="2"/>
      </rPr>
      <t xml:space="preserve"> (Chair)</t>
    </r>
  </si>
  <si>
    <t>qud@uwm.edu</t>
  </si>
  <si>
    <t>Renewable energy
Solid-State Li Batteries.
Li-S Batteries
Li-ion Batteries
Metal air (Zn-air and Li-air) Batteries
Supercapacitors
Fuel Cells
Lead Acid
Hydrogen Storage Materials
Alkaline Batteries</t>
  </si>
  <si>
    <t>Renewable energy,
Solid-State Li Batteries,
Li-S Batteries,
Li-ion Batteries,
Metal air (Zn-air , Li-air) Batteries,
Supercapacitors,
Fuel Cells,
Lead Acid,
Hydrogen Storage Materials,
Alkaline Batteries</t>
  </si>
  <si>
    <t>Rahman, Mohammad H.</t>
  </si>
  <si>
    <t>rahmanmh@uwm.edu</t>
  </si>
  <si>
    <t>Bio-robotics wearable robots, rehabilitation robotics, exoskeleton robots (for rehabilitation &amp; motion assistance), human-assist robots, service robots, surgical robots, medical robots, human-machine interface
Collaborative Robots, Mobile Robots
Intelligent system and Control - nonlinear control, artificial intelligence, neural networks, fuzzy systems, fuzzy-neuro control, adaptive control, control using bio-logical signals such as electromyogram signals,
IIOT, Mixed-Reality, Digital Twin, Teleoperation</t>
  </si>
  <si>
    <t>Bio-robotics wearable robots, rehabilitation robotics, exoskeleton robots, human-assist robots, service robots, surgical robots, medical robots, human-machine interface,
Collaborative Robots, Mobile Robots,
Intelligent system , Control - nonlinear control, artificial intelligence, neural networks, fuzzy systems, fuzzy-neuro control, adaptive control, control using bio-logical signals such as electromyogram signals,
IIOT, Mixed-Reality, Digital Twin, Teleoperation</t>
  </si>
  <si>
    <t>Reisel, John</t>
  </si>
  <si>
    <t>reisel@uwm.edu</t>
  </si>
  <si>
    <t>Engineering Education
Air Pollutant Formation from Combustion Processes
Energy Modeling
Energy Utilization and Efficiency</t>
  </si>
  <si>
    <t>Engineering Education,
Air Pollutant Formation from Combustion Processes,
Energy Modeling,
Energy Utilization , Efficiency</t>
  </si>
  <si>
    <t>$12,229 per year (in-state, full-time)</t>
  </si>
  <si>
    <t>Renken, Kevin</t>
  </si>
  <si>
    <t>renken@uwm.edu</t>
  </si>
  <si>
    <t>Computational and Experimental Methods in Heat and Mass Transfer
Radon Entry Dynamics, Transport and Innovative Mitigation Techniques
Convective Transport in Porous Media
Multiphase Flow and Heat transfer
Energy Conservation
Heat Transfer Augmentation
Compact Heat Exchanger Fin Design
Data Acquisition and Instrumentation
Aerosol Science
Indoor Air Quality and Pollution Control
Engineering Education
Academic Freedom and Due Process Issues</t>
  </si>
  <si>
    <t>Computational , Experimental Methods in Heat , Mass Transfer,
Radon Entry Dynamics, Transport , Innovative Mitigation Techniques,
Convective Transport in Porous Media,
Multiphase Flow , Heat transfer,
Energy Conservation,
Heat Transfer Augmentation,
Compact Heat Exchanger Fin Design
Data Acquisition , Instrumentation
Aerosol Science
Indoor Air Quality , Pollution Control
Engineering Education
Academic Freedom , Due Process Issues</t>
  </si>
  <si>
    <t>Rohatgi, Pradeep</t>
  </si>
  <si>
    <t>prohatgi@uwm.edu</t>
  </si>
  <si>
    <t xml:space="preserve">Processing, manufacturing, and characterization of advanced materials
Self-healing, self-lubricating and self-cleaning materials research
Energy conservation and sustainability
Solidification Processing and Alloy Development
Materials Policy
</t>
  </si>
  <si>
    <t xml:space="preserve">Processing, manufacturing, characterization of advanced materials,
Self-healing, self-lubricating , self-cleaning materials research,
Energy conservation , sustainability,
Solidification Processing , Alloy Development,
Materials Policy
</t>
  </si>
  <si>
    <t>Salowitz, Nathan</t>
  </si>
  <si>
    <t>salowitz@uwm.edu</t>
  </si>
  <si>
    <t>Sensing and actuation with active materials like piezoelectric ceramics and shape memory alloys
Structural Health Monitoring of composite and hybrid structures.
Self-healing materials
Sensing with micro and nano-materials</t>
  </si>
  <si>
    <t>Sensing , actuation with active materials like piezoelectric ceramics , shape memory alloys,
Structural Health Monitoring of composite , hybrid structures,
Self-healing materials,
Sensing with micro , nano-materials</t>
  </si>
  <si>
    <t>Slavens, Brooke</t>
  </si>
  <si>
    <t>slavens@uwm.edu</t>
  </si>
  <si>
    <t xml:space="preserve">Dynamics of human movement
Musculoskeletal modeling
MRI and ultrasound musculoskeletal imaging
Rehabilitation engineering
Orthopaedic biomechanics
</t>
  </si>
  <si>
    <t xml:space="preserve">Dynamics of human movement,
Musculoskeletal modeling,
MRI , ultrasound musculoskeletal imaging,
Rehabilitation engineering,
Orthopaedic biomechanics
</t>
  </si>
  <si>
    <t>Stern, Nathaniel</t>
  </si>
  <si>
    <t>sternn@uwm.edu</t>
  </si>
  <si>
    <t>Innovation and Entrepreneurship
Product Design and Development
Computer Vision
Interactive Art
Art and Technology
Aesthetics
Affect and Embodiment theory
Sustainable Technologies
Waste and reuse</t>
  </si>
  <si>
    <t>Innovation , Entrepreneurship,
Product Design , Development,
Computer Vision,
Interactive Art,
Art , Technology,
Aesthetics,
Affect , Embodiment theory,
Sustainable Technologies,
Waste , reuse</t>
  </si>
  <si>
    <t>Sung, Yongjin</t>
  </si>
  <si>
    <t>ysung4@uwm.edu</t>
  </si>
  <si>
    <t xml:space="preserve">3-D imaging flow cytometry
Near-infrared chemical imaging
X-ray phase-contrast imaging
Radioluminescence imaging
Noninvasive diagnostics of complex (multi-species, multi-phase, multi-physics) transport phenomena
In situ monitoring of high-speed manufacturing process
</t>
  </si>
  <si>
    <t xml:space="preserve">3-D imaging flow cytometry,
Near-infrared chemical imaging,
X-ray phase-contrast imaging,
Radioluminescence imaging,
Noninvasive diagnostics of complex transport phenomena,
In situ monitoring of high-speed manufacturing process
</t>
  </si>
  <si>
    <t>Yahiaoui, Mohamed</t>
  </si>
  <si>
    <t>yahiaoui@uwm.edu</t>
  </si>
  <si>
    <t>CUNY--City College (Grove)</t>
  </si>
  <si>
    <r>
      <rPr>
        <u/>
        <sz val="10"/>
        <color rgb="FF000000"/>
        <rFont val="Arial"/>
        <family val="2"/>
      </rPr>
      <t>Feridun Delale</t>
    </r>
    <r>
      <rPr>
        <sz val="10"/>
        <color rgb="FF000000"/>
        <rFont val="Arial"/>
        <family val="2"/>
      </rPr>
      <t xml:space="preserve"> (Chair)</t>
    </r>
  </si>
  <si>
    <t>delale@ccny.cuny.edu</t>
  </si>
  <si>
    <t xml:space="preserve"> Fracture Mechanics, Hybrid Composites, Adhesive Bonding</t>
  </si>
  <si>
    <t>Niell Elvin</t>
  </si>
  <si>
    <t>nelvin@ccny.cuny.edu</t>
  </si>
  <si>
    <t xml:space="preserve"> Smart Materials, Sensing, Energy Harvesting, Biomechanics</t>
  </si>
  <si>
    <t>Jing Fan</t>
  </si>
  <si>
    <t>jfan1@ccny.cuny.edu</t>
  </si>
  <si>
    <t xml:space="preserve"> Microfluidics, Porous Media, Soft Materials</t>
  </si>
  <si>
    <t>#124 - Mechanical Engineering</t>
  </si>
  <si>
    <t>Peter Ganatos</t>
  </si>
  <si>
    <t>ganatos@ccny.cuny.edu</t>
  </si>
  <si>
    <t xml:space="preserve"> Hydrodynamics, Heat Transfer</t>
  </si>
  <si>
    <t>Jorge Gonzalez</t>
  </si>
  <si>
    <t>jgonzalezcruz@ccny.cuny.edu</t>
  </si>
  <si>
    <t xml:space="preserve"> Heat Transfer, Convection, Renewables, Building Energy</t>
  </si>
  <si>
    <t>Masahiro Kawaji</t>
  </si>
  <si>
    <t>kawaji@ccny.cuny.edu</t>
  </si>
  <si>
    <t xml:space="preserve"> Heat Transfer, Fluid Dynamics, Nuclear Engineering</t>
  </si>
  <si>
    <t>Taehun Lee</t>
  </si>
  <si>
    <t>thlee@ccny.cuny.edu</t>
  </si>
  <si>
    <t xml:space="preserve"> Lattice Boltzmann Method, CFD, Heat Transfer, Two-phase Flows</t>
  </si>
  <si>
    <t>Jackie Li</t>
  </si>
  <si>
    <t>j.li@ccny.cuny.edu</t>
  </si>
  <si>
    <t xml:space="preserve"> Micro/Nano Mechanics, Smart Materials</t>
  </si>
  <si>
    <t>Yang Liu</t>
  </si>
  <si>
    <t>yliu7@ccny.cuny.edu</t>
  </si>
  <si>
    <t>Experimental Fluid Dynamics, Multiphase flow, Heat Transfer</t>
  </si>
  <si>
    <t>PrathaPRamamurthy</t>
  </si>
  <si>
    <t>pramamurthy@ccny.cuny.edu</t>
  </si>
  <si>
    <t xml:space="preserve"> Environmental Fluid Mechanics, Building Energy, Urban Climate</t>
  </si>
  <si>
    <t>Ali Sadegh</t>
  </si>
  <si>
    <t>sadegh@ccny.cuny.edu</t>
  </si>
  <si>
    <t xml:space="preserve"> Solid Mechanics, BioMechanics, Design &amp; Manufacturing</t>
  </si>
  <si>
    <t>Cost (Type)</t>
  </si>
  <si>
    <t>Ioana Voiculescu</t>
  </si>
  <si>
    <t>voicules@ccny.cuny.edu</t>
  </si>
  <si>
    <t xml:space="preserve"> MEMS, Biosensors, Chemical Sensors</t>
  </si>
  <si>
    <t>$12,970 per year (in-state, full-time)</t>
  </si>
  <si>
    <t>Honghui Yu</t>
  </si>
  <si>
    <t>yu@ccny.cuny.edu</t>
  </si>
  <si>
    <t xml:space="preserve"> Materials Engineering, Mechanics of Materials, Fracture Mechanics</t>
  </si>
  <si>
    <t>Howard University</t>
  </si>
  <si>
    <r>
      <rPr>
        <u/>
        <sz val="10"/>
        <color rgb="FF000000"/>
        <rFont val="Arial"/>
        <family val="2"/>
      </rPr>
      <t>Nadir Yilmaz</t>
    </r>
    <r>
      <rPr>
        <sz val="10"/>
        <color rgb="FF000000"/>
        <rFont val="Arial"/>
        <family val="2"/>
      </rPr>
      <t xml:space="preserve"> (Chair)</t>
    </r>
  </si>
  <si>
    <t>nadir.yilmaz@Howard.edu</t>
  </si>
  <si>
    <t>Hyung D. Bae</t>
  </si>
  <si>
    <t>hyung.bae@Howard.edu</t>
  </si>
  <si>
    <t>Micro/nano fabrication, chip-scale optofluidics, and multi-functional fiber optic sensors (temperature, pressure, strain, and chemical sensing for biomedical applications)</t>
  </si>
  <si>
    <t>Micro/nano fabrication, chip-scale optofluidics, multi-functional fiber optic sensors</t>
  </si>
  <si>
    <t>Emmanuel Kobla Glakpe</t>
  </si>
  <si>
    <t>eglakpe@Howard.edu</t>
  </si>
  <si>
    <t xml:space="preserve">Convective (Free, Forced and Mixed) Heat Transfer, Numerical Methods for Computational Fluid Dynamics, Renewable &amp;Non-Renewable Energy Applications, Efficient Energy Utilization, Thermal State of Charge in Solar Heat Receivers.
</t>
  </si>
  <si>
    <t xml:space="preserve">Convective Heat Transfer, Numerical Methods for Computational Fluid Dynamics, Renewable &amp; Non-Renewable Energy Applications, Efficient Energy Utilization, Thermal State of Charge in Solar Heat Receivers
</t>
  </si>
  <si>
    <t>Achille Messac</t>
  </si>
  <si>
    <t>messac@howard.edu</t>
  </si>
  <si>
    <t>led research in the areas of multibody dynamics, structural optimization, and Control Structure Integrated Design, the latter of which he was a pioneer in the early eighties. He led or participated in programs that include the dynamics and control simulations development for the Space Shuttle and Space Station, and the Space Shuttle Stabilized Payload Deployment System for which he received an award. He develops technologies in engineering design and optimization, and wind energy systems.</t>
  </si>
  <si>
    <t>multibody dynamics, structural optimization, Control Structure Integrated Design, dynamics , control simulations development for the Space Shuttle , Space Station, Space Shuttle Stabilized Payload Deployment</t>
  </si>
  <si>
    <t>#148 - Best Engineering Schools</t>
  </si>
  <si>
    <t>Mohsen Mosleh</t>
  </si>
  <si>
    <t>mmosleh@Howard.edu</t>
  </si>
  <si>
    <t>Gbadebo Owolabi</t>
  </si>
  <si>
    <t>gbadebo.owolabi@Howard.edu</t>
  </si>
  <si>
    <t>His recent research focuses on developing novel simulation-based strategies for predicting the formation and growth of small cracks in advanced materials and structures for numerous applications in large-scale industries including aerospace, ship/marine structures, pressure vessels, and other applications where fatigue is a critical issue in reliability analysis.</t>
  </si>
  <si>
    <t>novel simulation-based strategies for predicting the formation , growth of small cracks in advanced materials , structures for numerous applications in large-scale industries including aerospace, ship/marine structures, pressure vessels, other applications where fatigue is a critical issue in reliability analysis</t>
  </si>
  <si>
    <t>Sonya T. Smith</t>
  </si>
  <si>
    <t>ssmith@Howard.edu</t>
  </si>
  <si>
    <t>Dr. Smith has established an interdisciplinary theoretical and computational research laboratory entitled the Applied Fluids-Thermal Research Laboratory (@FTERLab).  Her expertise is in developing customized simulations for a variety of engineering applications. Current projects include thermal management of electronic packaging in fixed-wing, UAV and space vehicles, as well as modeling and simulation of biomechanical systems. She has received support for her research from NSF, NIH, NASA, DOD and industry.</t>
  </si>
  <si>
    <t>interdisciplinary theoretical , computational research laboratory entitled the Applied Fluids-Thermal Research Laboratory, electronic packaging in fixed-wing, UAV , space vehicles, as well as modeling , simulation of biomechanical systems</t>
  </si>
  <si>
    <t>Naren Vira</t>
  </si>
  <si>
    <t>nvira@Howard.edu</t>
  </si>
  <si>
    <t>H A. Whitworth</t>
  </si>
  <si>
    <t>hwhitworth@Howard.edu</t>
  </si>
  <si>
    <t>$35,206 per year (full-time)</t>
  </si>
  <si>
    <t>New Mexico State University</t>
  </si>
  <si>
    <r>
      <rPr>
        <u/>
        <sz val="10"/>
        <color rgb="FF000000"/>
        <rFont val="Arial"/>
        <family val="2"/>
      </rPr>
      <t>Frankel, Jay</t>
    </r>
    <r>
      <rPr>
        <sz val="10"/>
        <color rgb="FF000000"/>
        <rFont val="Arial"/>
        <family val="2"/>
      </rPr>
      <t xml:space="preserve"> (Department head)</t>
    </r>
  </si>
  <si>
    <t xml:space="preserve">jfrankel@nmsu.edu
</t>
  </si>
  <si>
    <t xml:space="preserve">Heat Transfer in Hypersonics, Slug Calorimentry and Thin-Film Gauges, Inverse Heat Transfer Problems, Thermal Measurements, Calibration Mathematics, Uncertainty Analysis, Sensitivity Analysis, Parameter Estimation, Applied Mathematics, Vibrations
</t>
  </si>
  <si>
    <t>Heat Transfer in Hypersonics, Slug Calorimentry , Thin-Film Gauges, Inverse Heat Transfer Problems, Thermal Measurements, Calibration Mathematics, Uncertainty Analysis, Sensitivity Analysis, Parameter Estimation, Applied Mathematics, Vibrations</t>
  </si>
  <si>
    <r>
      <rPr>
        <u/>
        <sz val="10"/>
        <color rgb="FF000000"/>
        <rFont val="Arial"/>
        <family val="2"/>
      </rPr>
      <t>Lee, Young S.</t>
    </r>
    <r>
      <rPr>
        <sz val="10"/>
        <color rgb="FF000000"/>
        <rFont val="Arial"/>
        <family val="2"/>
      </rPr>
      <t xml:space="preserve"> (Department head)</t>
    </r>
  </si>
  <si>
    <t>younglee@nmsu.edu</t>
  </si>
  <si>
    <t xml:space="preserve">Nonlinear System Identification, Aeroelasticity / Fluid-Structure Interactions, Nonlinear Dynamics
</t>
  </si>
  <si>
    <t xml:space="preserve">Nonlinear System Identification, Aeroelasticity, Fluid-Structure Interactions, Nonlinear Dynamics
</t>
  </si>
  <si>
    <t>Chaitanya, Vimal</t>
  </si>
  <si>
    <t>vimalc@nmsu.edu</t>
  </si>
  <si>
    <t xml:space="preserve">Materials Science and Engineering, Energy Materials, Food-Energy-Water Nexus, Electrochemistry, Materials Characterization, Materials Degradation, Corrosion, Failure Analysis
</t>
  </si>
  <si>
    <t>Materials Science , Engineering, Energy Materials, Food-Energy-Water Nexus, Electrochemistry, Materials Characterization, Materials Degradation, Corrosion, Failure Analysis</t>
  </si>
  <si>
    <t>Park, Young Ho</t>
  </si>
  <si>
    <t>ypark@nmsu.edu</t>
  </si>
  <si>
    <t>Computational mechanics, engineering design and optimization, fiber-reinforced composite materials, structural damage diagnosis and prognosis, fatigue life prediction and reliability analysis, atomistic and multiscale modeling of nanosystems</t>
  </si>
  <si>
    <t>Computational mechanics, engineering design , optimization, fiber-reinforced composite materials, structural damage diagnosis , prognosis, fatigue life prediction , reliability analysis, atomistic , multiscale modeling of nanosystems</t>
  </si>
  <si>
    <t>Abdelkefi, Abdessattar</t>
  </si>
  <si>
    <t>abdu@nmsu.edu</t>
  </si>
  <si>
    <t>Dynamical systems, Drones MAV/UAV, Vibration and control, Energy harvesting, Smart structures, MEMS &amp; NEMS, Nonlinear dynamics, Structural mechanics, Flight dynamics, Experimental identification, Reduced-order modeling, Fluid-structure interactions, Renewable energy (wind turbines).</t>
  </si>
  <si>
    <t>Dynamical systems, Drones MAV/UAV, Vibration , control, Energy harvesting, Smart structures, MEMS &amp; NEMS, Nonlinear dynamics, Structural mechanics, Flight dynamics, Experimental identification, Reduced-order modeling, Fluid-structure interactions, Renewable energy (wind turbines)</t>
  </si>
  <si>
    <t>Drach, Borys</t>
  </si>
  <si>
    <t xml:space="preserve">borys@nmsu.edu
</t>
  </si>
  <si>
    <t>Composite materials modeling and characterization
Computational solid mechanics. Finite element analysis
Mechanics of materials multiscale analytical modeling and characterization
Micromechanics
Additive manufacturing
Experimental solid mechanics</t>
  </si>
  <si>
    <t>Composite materials modeling , characterization,
Computational solid mechanics, Finite element analysis,
Mechanics of materials multiscale analytical modeling , characterization,
Micromechanics,
Additive manufacturing,
Experimental solid mechanics</t>
  </si>
  <si>
    <t>Garcia, Gabe</t>
  </si>
  <si>
    <t>gabegarc@nmsu.edu</t>
  </si>
  <si>
    <t xml:space="preserve">Alternate and renewable energy, modeling and simulation
</t>
  </si>
  <si>
    <t>Alternate , renewable energy, modeling , simulation</t>
  </si>
  <si>
    <t>Gross, Andreas</t>
  </si>
  <si>
    <t xml:space="preserve">agross@nmsu.edu
</t>
  </si>
  <si>
    <t xml:space="preserve">Computational Fluid Dynamics, Direct Numerical Simulations, Large Eddy Simulations, Hybrid Turbulence Modeling, Flow Control, Chemical Non-Equilibrium Flows, High-Performance Computing, Unmanned Aerial Vehicles, Renewable Energy
</t>
  </si>
  <si>
    <t>Computational Fluid Dynamics, Direct Numerical Simulations, Large Eddy Simulations, Hybrid Turbulence Modeling, Flow Control, Chemical Non-Equilibrium Flows, High-Performance Computing, Unmanned Aerial Vehicles, Renewable Energy</t>
  </si>
  <si>
    <t>Kota, Krishna</t>
  </si>
  <si>
    <t xml:space="preserve">kkota@nmsu.edu
</t>
  </si>
  <si>
    <t>Interdisciplinary research on studying the physical, chemical, and biological interactions between tailored and engineered surfaces and their surrounding thermal, fluidic, and particulate environments
Energy, water, and health sustainability
Energy systems and thermal management
Public health
Long-duration space transportation</t>
  </si>
  <si>
    <t>Interdisciplinary research on studying the physical, chemical, biological interactions between tailored , engineered surfaces , their surrounding thermal, fluidic, particulate environments
Energy, water, health sustainability,
Energy systems , thermal management,
Public health,
Long-duration space transportation</t>
  </si>
  <si>
    <t>Kuravi, Sarada</t>
  </si>
  <si>
    <t>skuravi@nmsu.edu</t>
  </si>
  <si>
    <t xml:space="preserve">Renewable and Alternative Energy Clean and sustainable energy, concentrating solar power (CSP), geothermal energy, concentrating photovoltaics (CPV), combined heat and power (CHP), building energy, renewable-powered automobiles for clean transportation, thermal and thermochemical/hydrogen storage for energy and fuel-cell applications, novel thermodynamic and clean energy cycles
Water Desalination Solar energy and low-grade heat for in-land and seawater water desalination with zero liquid discharge, energy recovery and recuperation
Particulate Media Particulate suspensions in energy and water, transport physics in slurries, powder beds, packed and fluidized beds, suspension flow dynamics, particulates for heat transfer enhancement
</t>
  </si>
  <si>
    <t xml:space="preserve">Renewable , Alternative Energy Clean , sustainable energy, concentrating solar power (CSP), geothermal energy, concentrating photovoltaics (CPV), combined heat , power (CHP), building energy, renewable-powered automobiles for clean transportation, thermal , thermochemical/hydrogen storage for energy , fuel-cell applications, novel thermodynamic , clean energy cycles
</t>
  </si>
  <si>
    <t>Shashikanth, Banavara</t>
  </si>
  <si>
    <t>shashi@nmsu.edu</t>
  </si>
  <si>
    <t xml:space="preserve">Theoretical Fluid Mechanics (vortex dynamics, specifically the dynamics of singular coherent vortical structures such as point vortices, vortex filaments and vortex patches), Dynamical Systems (geometric mechanics, the study of Lagrangian and Hamiltonian systems and of the role that geometry plays in the behavior of nonlinear systems), Nonlinear Control Theory (optimal control theory and geometric control theory and their applications to finite-dimensional systems)
</t>
  </si>
  <si>
    <t>Theoretical Fluid Mechanics (vortex dynamics, specifically the dynamics of singular coherent vortical structures such as point vortices, vortex filaments , vortex patches), Dynamical Systems (geometric mechanics, the study of Lagrangian , Hamiltonian systems , of the role that geometry plays in the behavior of nonlinear systems), Nonlinear Control Theory (optimal control theory , geometric control theory , their applications to finite-dimensional systems)</t>
  </si>
  <si>
    <t>Shu, Fangjun</t>
  </si>
  <si>
    <t xml:space="preserve">shu@nmsu.edu
</t>
  </si>
  <si>
    <t xml:space="preserve">Experimental fluid dynamics, hypersonics, bio-inspired flow, biofluidics, microfluidics, turbulent flow, optical metrology and development of flow diagnostic methods.
</t>
  </si>
  <si>
    <t>Experimental fluid dynamics, hypersonics, bio-inspired flow, biofluidics, microfluidics, turbulent flow, optical metrology , development of flow diagnostic methods</t>
  </si>
  <si>
    <t>$5,882 per year (in-state, full-time)</t>
  </si>
  <si>
    <t>Sun, Liang</t>
  </si>
  <si>
    <t>lsun@nmsu.edu</t>
  </si>
  <si>
    <t xml:space="preserve">Drones, Unmanned Aerial/Ground Vehicles, Tethered UAV Systems, Task Allocation, Sound Source Localization, Optimal Sensor Management, Cooperative Control and Estimation.
</t>
  </si>
  <si>
    <t>Drones, Unmanned Aerial/Ground Vehicles, Tethered UAV Systems, Task Allocation, Sound Source Localization, Optimal Sensor Management, Cooperative Control , Estimation</t>
  </si>
  <si>
    <t>Alaie, Seyedhamidreza</t>
  </si>
  <si>
    <t>alaie@nmsu.edu</t>
  </si>
  <si>
    <t xml:space="preserve">Advanced Manufacturing, Medical Devices, Advanced Materials, Phononic Crystals
</t>
  </si>
  <si>
    <t>Advanced Manufacturing, Medical Devices, Advanced Materials, Phononic Crystals</t>
  </si>
  <si>
    <t>Haghshenas-Jaryani, Mahdi</t>
  </si>
  <si>
    <t>mahdihj@nmsu.edu</t>
  </si>
  <si>
    <t xml:space="preserve">Soft Robotics, Bio-inspired and Bio-mimetic Robotics, Dynamics and Control of Soft-bodied and Hybrid Soft-and-Rigid Bodied Systems, Physical Human-Robot Interaction for Wearable Robotics and Soft Exoskeletons
</t>
  </si>
  <si>
    <t>Soft Robotics, Bio-inspired , Bio-mimetic Robotics, Dynamics , Control of Soft-bodied , Hybrid Soft-,-Rigid Bodied Systems, Physical Human-Robot Interaction for Wearable Robotics , Soft Exoskeletons</t>
  </si>
  <si>
    <t>Liu, Qiong</t>
  </si>
  <si>
    <t>qliu@nmsu.edu</t>
  </si>
  <si>
    <t>Computational fluid mechanics
Modal analysis and Data-driven Methodologies
Flow control
Data science
Multiphase flow
Rarefied gas dynamics</t>
  </si>
  <si>
    <t>Computational fluid mechanics,
Modal analysis , Data-driven Methodologies,
Flow control,
Data science,
Multiphase flow,
Rarefied gas dynamics</t>
  </si>
  <si>
    <t>Park, Hyeongjun</t>
  </si>
  <si>
    <t>hjpark@nmsu.edu</t>
  </si>
  <si>
    <t>Small satellite missions
Guidance, navigation, and control of space systems
Robust guidance and control of hypersonic vehicles
Real-time optimal control and machine learning for autonomous vehicles</t>
  </si>
  <si>
    <t>Small satellite missions,
Guidance, navigation, control of space systems,
Robust guidance , control of hypersonic vehicles,
Real-time optimal control , machine learning for autonomous vehicles</t>
  </si>
  <si>
    <t>Wang, Yangxing</t>
  </si>
  <si>
    <t>yxwang@nmsu.edu</t>
  </si>
  <si>
    <t>Computational fluid dynamics, lattice Boltzmann method, finite element method, finite volume method
Multi-phase flows, multi-scale flows, reacting flows
Aerospace propulsion, bio-fluid mechanics, micro-fluidics, drug delivery technologies</t>
  </si>
  <si>
    <t>Computational fluid dynamics, lattice Boltzmann method, finite element method, finite volume method,
Multi-phase flows, multi-scale flows, reacting flows,
Aerospace propulsion, bio-fluid mechanics, micro-fluidics, drug delivery technologies</t>
  </si>
  <si>
    <t>South Dakota School of Mines and Technology</t>
  </si>
  <si>
    <r>
      <rPr>
        <u/>
        <sz val="10"/>
        <color rgb="FF000000"/>
        <rFont val="Arial"/>
        <family val="2"/>
      </rPr>
      <t>Pierre M Larochelle</t>
    </r>
    <r>
      <rPr>
        <sz val="10"/>
        <color rgb="FF000000"/>
        <rFont val="Arial"/>
        <family val="2"/>
      </rPr>
      <t xml:space="preserve"> (Department head)</t>
    </r>
  </si>
  <si>
    <t xml:space="preserve"> Pierre.Larochelle@sdsmt.edu</t>
  </si>
  <si>
    <t xml:space="preserve">Dr. Larochelle’s s are centered on the study of open and closed spatial kinematic chains. These kinematic chains are the functional basis of robots, parallel kinematic machines, mechanisms and linkages. Specific areas of interest currently being investigated include autonomous walking machines, mobile robots, synthesis and analysis of spatial mechanisms for rigid body guidance, design of robotic mechanical systems for increased dynamic performance, optimal control of robotic mechanical systems, computer-aided design of spatial and spherical mechanisms, virtual reality as applied to the design of robotic mechanical systems, theoretical kinematics, and mechatronics. In addition, Dr. Larochelle is an expert in creativity &amp; innovation within the engineering design process. 
</t>
  </si>
  <si>
    <t xml:space="preserve">the study of open , closed spatial kinematic chains, robots, parallel kinematic machines, mechanisms , linkages
</t>
  </si>
  <si>
    <t>Jason T Ash</t>
  </si>
  <si>
    <t xml:space="preserve"> Jason.Ash@sdsmt.edu</t>
  </si>
  <si>
    <t>Cassandra M Birrenkott</t>
  </si>
  <si>
    <t xml:space="preserve"> cassandra.Birrenkott@sdsmt.edu</t>
  </si>
  <si>
    <t>polymer mechanics and materials joining, ii) novel materials and their applications for security printing, and iii) STEM education research.
For more information on the on-going projects in the JMPLaboratory, see our projects page.</t>
  </si>
  <si>
    <t>polymer mechanics , materials joining, novel materials , their applications for security printing, STEM education research</t>
  </si>
  <si>
    <t>Nickolaus M Bruno</t>
  </si>
  <si>
    <t xml:space="preserve"> Nickolaus.Bruno@sdsmt.edu</t>
  </si>
  <si>
    <t xml:space="preserve">Dr. Bruno has been studying the behaviors and application of active materials for over a decade. His main interest is in the thermodynamic behavior of meta-magnetic shape memory alloys (MSMAs). MSMAs exhibit reversible martensitic phase transformations that can be driven by temperature, magnetic field, and mechanical stress. Martensitic transformations in MSMA exhibit macroscopic reversible strains uPto 6%, accompanied by a change in magnetic order and temperature. Dr. Bruno has studied MSMAs for their application in magnetocaloric regenerative heat cycles and energy harvesting through magnetic-field-driven martensite variant reorientation and has studied the “transformation mechanism” and those that interrupt the transition in some specially annealed alloys. Aside from metallurgy and the thermodynamics of materials, Dr. Bruno enjoys employing mechanical engineering design principles for the development of novel multi-field magneto-thermo-mechanical systems useful for characterizing the couplings of active materials. 
</t>
  </si>
  <si>
    <t xml:space="preserve">thermodynamic behavior of meta-magnetic shape memory alloys,  exhibit reversible martensitic phase transformations that can be driven by temperature, magnetic field, mechanical stress, Martensitic transformations in MSMA exhibit macroscopic reversible strains, temperature
</t>
  </si>
  <si>
    <t>Prasoon K Diwakar</t>
  </si>
  <si>
    <t xml:space="preserve"> Prasoon.Diwakar@sdsmt.edu</t>
  </si>
  <si>
    <t xml:space="preserve">Dr. Diwakar's work involves fundamental and applied studies for understanding and applying plasma in various fields of study including remote sensing, chemical characterization and biomedical applications. Dr. Diwakar's experimental and collaborative research work includes understanding laser material interaction, fundamentals of plasma formation, plasma evolution and plasma hydrodynamics, ultrafast laser ablation, analytical applications of laser produced plasma like LIBS, LA-ICP-MS, LA-ICP-OES, aerosol instrumentation, atmospheric cold plasma for biomedical applications, electroporation, laser and ion beam irradiation effects on materials. Dr. Diwakar's strengths lie in applications of plasmas for analytical applications as well as instrument development. of plasma using various experimental diagnostic tools.
</t>
  </si>
  <si>
    <t xml:space="preserve">applied studies for understing , applying plasma in various fields of study including remote sensing, chemical characterization , biomedical applications
</t>
  </si>
  <si>
    <t>Joseph John Thalakkottor</t>
  </si>
  <si>
    <t xml:space="preserve"> Joseph.JohnThalakkottor@sdsmt.edu</t>
  </si>
  <si>
    <t xml:space="preserve">My  is focused on gaining a deeper understanding of the nature, behavior, and effects of features existing at the limits of continuum field theory. Common examples of these features, which are represented as discontinuities, are material interface, vortex sheet, shock front, and combustion front. Problems related to them are intriguing as it is accompanied by rapid changes in scales, multi-physics, geometrical complexities, and fascinating chemical phenomena. We use and develoPtheoretical and computational tools to study them. Our fundamental work finds its way into several applications. For example, obtaining the correct boundary conditions is essential for accurately predicting the vehicle speed, total drag, and even acoustic noise. Or if we are considering electronic devices, it is essential in developing effective thermal management systems. Applications to our work is not just limited to engineering, it also finds use in biomedical applications and helps with our understanding of environmental phenomena.
</t>
  </si>
  <si>
    <t>deeper understanding of the nature, behavior, effects of features existing at the limits of continuum field theory,</t>
  </si>
  <si>
    <t>Ardell M Knudson</t>
  </si>
  <si>
    <t xml:space="preserve"> Ardell.Knudson@sdsmt.edu</t>
  </si>
  <si>
    <t>Aaron J Lalley</t>
  </si>
  <si>
    <t xml:space="preserve"> aaron.lalley@sdsmt.edu</t>
  </si>
  <si>
    <t>Current research includes chatter modeling in a VMC machining process. Previous research includes Manufacturing process development for advanced solar cell production Ion implantation for enhanced tooling performance Nano-fiber composite modeling Novel tooling methods for thin metal coining Laser weld process control Novel part handling.</t>
  </si>
  <si>
    <t>chatter modeling in a VMC machining process</t>
  </si>
  <si>
    <t>Micah Lande</t>
  </si>
  <si>
    <t xml:space="preserve"> Micah.Lande@sdsmt.edu</t>
  </si>
  <si>
    <t xml:space="preserve">Dr. Lande's research expertise is focused in these main areas
Design Thinking and Making How might we understand what happens when people do design and making? How might we broaden participation by a human-centered perspective?
Design Education How might we helPpeople learn design, making, &amp; prototyping?
Engineering Education How might we explore larger educational systems?
</t>
  </si>
  <si>
    <t xml:space="preserve">Design Thinking,
Design Education,
Engineering Education
</t>
  </si>
  <si>
    <t>Mario L Lento</t>
  </si>
  <si>
    <t xml:space="preserve"> Mario.Lento@sdsmt.edu</t>
  </si>
  <si>
    <t>Peter McKeon</t>
  </si>
  <si>
    <t xml:space="preserve"> Peter.McKeon@sdsmt.edu</t>
  </si>
  <si>
    <t>Joseph C Musto</t>
  </si>
  <si>
    <t xml:space="preserve"> Joseph.Musto@sdsmt.edu</t>
  </si>
  <si>
    <t>$339 per credit (in-state, full-time)</t>
  </si>
  <si>
    <t>Navaneethaa Krishnan Pollachi Veluswamy</t>
  </si>
  <si>
    <t xml:space="preserve"> Krishnan.Veluswamy@sdsmt.edu</t>
  </si>
  <si>
    <t xml:space="preserve"> Dr. Veluswamy specializes in polymer extrusion compounding, extruder screw design, process-structure-property relationships in composites and nanocomposites, polymer rheology studies, and composite molding techniques. </t>
  </si>
  <si>
    <t>polymer extrusion compounding, extruder screw design, process-structure-property relationships in composites , nanocomposites, polymer rheology studies, composite molding techniques</t>
  </si>
  <si>
    <t>Daniel G Rederth</t>
  </si>
  <si>
    <t xml:space="preserve"> Daniel.Rederth@sdsmt.edu</t>
  </si>
  <si>
    <t>Juan I Rodriguez</t>
  </si>
  <si>
    <t xml:space="preserve"> Juan.Rodriguez@sdsmt.edu</t>
  </si>
  <si>
    <t>Albert Romkes</t>
  </si>
  <si>
    <t xml:space="preserve"> Albert.Romkes@sdsmt.edu</t>
  </si>
  <si>
    <t>Khosro Shahbazi</t>
  </si>
  <si>
    <t xml:space="preserve"> Khosro.Shahbazi@sdsmt.edu</t>
  </si>
  <si>
    <t>Design, analysis and implementation of novel numerical methods focusing on efficiency (both in serial and parallel computations), stability, accuracy and simplicity for multi-phase flows with phase change, wave-dominated flows and turbulence with applications in renewable energy, inertial confinement fusion, deflagration to detonation, ejector-based cooling, cryocoolers, cryogenics and medicine
Intersection of optics, acoustics and nanophysics optoacoustics of gold nanoparticles, nanodroplets and microbubble with applications in medicine and energy efficiency (analytical, computational and experimental approaches).
Synergy of theory, computation and experiment for model parameter extraction and physical property estimation in laser-induced violent phase change, and ultrasound-meditated phase change.</t>
  </si>
  <si>
    <t>Design, analysis , implementation of novel numerical methods focusing on efficiency (both in serial , parallel computations), stability, accuracy , simplicity for multi-phase flows with phase change, wave-dominated, flows , turbulence with applications in renewable energy, inertial confinement fusion, deflagration to detonation, ejector-based cooling, cryocoolers, cryogenics , medicine,
Intersection of optics, acoustics , nanophysics optoacoustics of gold nanoparticles, nanodroplets , microbubble with applications in medicine , energy efficiency (analytical, computational , experimental approaches),
Synergy of theory, computation , experiment for model parameter extraction , physical property estimation in laser-induced violent phase change, ultrasound-meditated phase change,</t>
  </si>
  <si>
    <t>Weibing Xing</t>
  </si>
  <si>
    <t xml:space="preserve"> Weibing.Xing@sdsmt.edu</t>
  </si>
  <si>
    <t xml:space="preserve">High energy density anode active materials
ALD/MLD on active materials and separators
Advanced cathode active materials
Nanoporous separators with enhanced safety
High voltage, nonflammable, wide temperature range electrolytes
Composite solid electrolyte based all-solid-state battery
High energy/power density zero volt storage capable batteries
Extremely long life Li primary batteries
Electrocatalysts for Li-air batteries 
Material’s engineered LI-S batteries 
High energy density symmetric and asymmetric supercapacitors </t>
  </si>
  <si>
    <t xml:space="preserve">High energy density anode active materials,
ALD/MLD on active materials , separators,
Advanced cathode active materials,
Nanoporous separators with enhanced safety,
High voltage, nonflammable, wide temperature range electrolytes,
Composite solid electrolyte based all-solid-state battery,
High energy/power density zero volt storage capable batteries,
Extremely long life Li primary batteries,
Electrocatalysts for Li-air batteries,
Material’s engineered LI-S batteries ,
High energy density symmetric , asymmetric supercapacitors </t>
  </si>
  <si>
    <t>Temple University</t>
  </si>
  <si>
    <t>Jim Shih-Jiun Chen</t>
  </si>
  <si>
    <t>shih-jiun.chen@temple.edu</t>
  </si>
  <si>
    <t>Heat Transfer
Energy Efficiency
Aerodynamics
Wind Power</t>
  </si>
  <si>
    <t>Heat Transfer,
Energy Efficiency,
Aerodynamics,
Wind Power</t>
  </si>
  <si>
    <t>Harsh DeePChopra</t>
  </si>
  <si>
    <t>chopra@temple.edu</t>
  </si>
  <si>
    <t>mechanics of (Magnetic) Materials Across Length Scales
Magneto-elastic Effects and the Modulus-Defect
Non-Destructive Testing of Mechanical Properties of Materials</t>
  </si>
  <si>
    <t>mechanics of (Magnetic) Materials Across Length Scales,
Magneto-elastic Effects , the Modulus-Defect,
Non-Destructive Testing of Mechanical Properties of Materials,</t>
  </si>
  <si>
    <t>Richard S. Cohen</t>
  </si>
  <si>
    <t>richard.cohen@temple.edu</t>
  </si>
  <si>
    <t>Automotive Engine
Combustion
Pollution
Engines</t>
  </si>
  <si>
    <t>Automotive Engine,
Combustion,
Pollution,
Engines</t>
  </si>
  <si>
    <t>PhiliPDames</t>
  </si>
  <si>
    <t>pdames@temple.edu</t>
  </si>
  <si>
    <t>Robotics
Active Sensing
Multi-Robot Coordination
Mapping &amp; Target Tracking.</t>
  </si>
  <si>
    <t>Robotics,
Active Sensing,
Multi-Robot Coordination,
Mapping &amp; Target Tracking,</t>
  </si>
  <si>
    <t>#157 - Best Engineering Schools</t>
  </si>
  <si>
    <t>Kurosh Darvish (Department chair)</t>
  </si>
  <si>
    <t>kurosh.darvish@temple.edu</t>
  </si>
  <si>
    <t>Parsaoran Hutapea</t>
  </si>
  <si>
    <t>parsaoran.hutapea@temple.edu</t>
  </si>
  <si>
    <t>Applied Mechanics
Mechanics of Materials
Design of Medical Devices</t>
  </si>
  <si>
    <t>Applied Mechanics,
Mechanics of Materials,
Design of Medical Devices</t>
  </si>
  <si>
    <t xml:space="preserve">Daniel A. Jacobs
</t>
  </si>
  <si>
    <t>dajacobs@temple.edu</t>
  </si>
  <si>
    <t>Robotics (Exoskeletons and Prosthetic devices)
Rehabilitation
Human-Robot Interfaces
Biomechanics
Neuromechanics of Movement</t>
  </si>
  <si>
    <t>Robotics,
Rehabilitation,
Human-Robot Interfaces,
Biomechanics,
Neuromechanics of Movement</t>
  </si>
  <si>
    <t>Mohammad Kiani</t>
  </si>
  <si>
    <t>mohammad.kiani@temple.edu</t>
  </si>
  <si>
    <t>Microfluidic Systems
Targeted Drug Delivery
Leukocyte Biology</t>
  </si>
  <si>
    <t>Microfluidic Systems,
Targeted Drug Delivery,
Leukocyte Biology</t>
  </si>
  <si>
    <t xml:space="preserve">Haijun Liu
</t>
  </si>
  <si>
    <t>haijun@temple.edu</t>
  </si>
  <si>
    <t>Bio-Inspired Sensing &amp; Bio-Mechanics
Acoustic Metamaterials
Theoretical &amp; Experimental Mechanics
Shock Wave &amp; Dynamic Pressure Measurement
Fiber Optic &amp; MEMS Sensors for Various Applications</t>
  </si>
  <si>
    <t>Bio-Inspired Sensing &amp; Bio-Mechanics,
Acoustic Metamaterials,
Theoretical &amp; Experimental Mechanics,
Shock Wave &amp; Dynamic Pressure Measurement,
Fiber Optic &amp; MEMS Sensors for Various Applications</t>
  </si>
  <si>
    <t>Ling Liu</t>
  </si>
  <si>
    <t>ling.liu@temple.edu</t>
  </si>
  <si>
    <t>Multi-scale computation for fundamental understanding and accelerated design of energy storage, healthcare, nuclear, and composite materials with extraordinary mechanical thermal, and electrochemical properties.</t>
  </si>
  <si>
    <t>Multi-scale computation for fundamental understanding , accelerated design of energy storage, healthcare, nuclear, composite materials with extraordinary mechanical thermal, electrochemical properties,</t>
  </si>
  <si>
    <t>Vallorie J. Peridier</t>
  </si>
  <si>
    <t>vallorie.peridier@temple.edu</t>
  </si>
  <si>
    <t>Inverse problems
numerical methods for engineering applications
heat transfer</t>
  </si>
  <si>
    <t>Inverse problems,
numerical methods for engineering applications,
heat transfer</t>
  </si>
  <si>
    <t xml:space="preserve">Fei Ren
</t>
  </si>
  <si>
    <t>renfei@temple.edu</t>
  </si>
  <si>
    <t>Materials Processing
Mechanical Testing, Energy Materials
Composite Materials
Microstructural Analysis
Failure Analysis</t>
  </si>
  <si>
    <t>Materials Processing,
Mechanical Testing, Energy Materials,
Composite Materials,
Microstructural Analysis,
Failure Analysis</t>
  </si>
  <si>
    <t>$22,158 per year (in-state, full-time)</t>
  </si>
  <si>
    <t>Elham Sahraei</t>
  </si>
  <si>
    <t>elham.sahraei@temple.edu</t>
  </si>
  <si>
    <t>Lithium-ion Batteries
Crashworthiness
Structural Mechanics
Occupant Protection
Finite Element Modeling</t>
  </si>
  <si>
    <t>Lithium-ion Batteries,
Crashworthiness,
Structural Mechanics,
Occupant Protection,
Finite Element Modeling</t>
  </si>
  <si>
    <t>Damoon Soudbakhsh</t>
  </si>
  <si>
    <t>damoon.soudbakhsh@temple.edu</t>
  </si>
  <si>
    <t>Data driven and Physics-informed Machine Learning of Energy Storage Systems
Health monitoring of energy systems
Autonomous and semi-autonomous systems
Cyber-Physical Systems
Linear and nonlinear control
Optimization
Intelligent transportation systems</t>
  </si>
  <si>
    <t>Data driven , Physics-informed Machine Learning of Energy Storage Systems,
Health monitoring of energy systems,
Autonomous , semi-autonomous systems,
Cyber-Physical Systems,
Linear , nonlinear control,
Optimization,
Intelligent transportation systems</t>
  </si>
  <si>
    <t>University of Arkansas--Fayetteville</t>
  </si>
  <si>
    <t>Mohamed Almahakeri</t>
  </si>
  <si>
    <t>malmahak@uark.edu</t>
  </si>
  <si>
    <t>Jason Bailey</t>
  </si>
  <si>
    <t>tjbaile@uark.edu</t>
  </si>
  <si>
    <t>Jenn Campbell</t>
  </si>
  <si>
    <t>jennc@uark.edu</t>
  </si>
  <si>
    <t>James Allen Davis</t>
  </si>
  <si>
    <t>jad03@uark.edu</t>
  </si>
  <si>
    <t>John H. Hamilton</t>
  </si>
  <si>
    <t>jhhamil@uark.edu</t>
  </si>
  <si>
    <t>Han Hu</t>
  </si>
  <si>
    <t>hanhu@uark.edu</t>
  </si>
  <si>
    <t xml:space="preserve">Han’s research covers a broad span of areas including microstructure-enhanced boiling, wetting kinetics of liquid droplets, evaporation from thin liquid films, long-term robustness of surface structures, and machine-learning-aided atomistic modeling. </t>
  </si>
  <si>
    <t>microstructure-enhanced boiling, wetting kinetics of liquid droplets, evaporation from thin liquid films, long-term robustness of surface structures, machine-learning-aided atomistic modeling</t>
  </si>
  <si>
    <t>Po-Hao Adam Huang</t>
  </si>
  <si>
    <t>phuang@uark.edu</t>
  </si>
  <si>
    <t>Nano/micro-electro-mechanical systems (N/MEMS)
Miniaturization technologies for aerospace systems
Biologically-inspired artificial systems
Pico/nano-satellites</t>
  </si>
  <si>
    <t>Nano/micro-electro-mechanical systems (N/MEMS),
Miniaturization technologies for aerospace systems,
Biologically-inspired artificial systems,
Pico/nano-satellites</t>
  </si>
  <si>
    <t>David Huitink</t>
  </si>
  <si>
    <t>dhuitin@uark.edu</t>
  </si>
  <si>
    <t>PHuitink's RPortfolio spans the intersection of materials and thermal sciences, where fundamental thermophysical material behaviors can be leveraged for engineered applications. Herein, the interplay between atomic bonding, polymorphism, &amp; nanoscale interactions with thermal transport, generation and storage have important implications in energy sciences, thermally active and functional materials, and materials processing. In particular, the Huitink lab works closely with Electrical Engineering collaborators in developing next generation, high density power electronics for electrified transportation and power conversion systems, and leverages advances in materials and thermal technologies for enabling High-Reliability electronics packaging.</t>
  </si>
  <si>
    <t>thermal sciences, where fundamental thermophysical material behaviors, atomic bonding, polymorphism, nanoscale interactions with thermal transport, generation , storage have important implications in energy sciences, thermally active , functional materials, materials processing, next generation, high density power electronics for electrified transportation , power conversion systems, leverages advances in materials , thermal technologies for enabling High-Reliability electronics packaging</t>
  </si>
  <si>
    <t>David C. Jensen</t>
  </si>
  <si>
    <t>dcjensen@uark.edu</t>
  </si>
  <si>
    <t>Generally focused on how models helPsystem designers understand the potential effect of failure in a system and design more robust, resilient, and adaptive systems. This work builds on design theory, modeling languages, and machine learning. Second focus is on advancing engineering education with a focus on situated cognition techniques to develoPsystems-thinking engineers. Key terms Complex Systems Design, Model-Based Design, Adaptive Systems, Resilient Systems, Biologically-Inspired Design, Design Education</t>
  </si>
  <si>
    <t>Complex Systems Design, Model-Based Design, Adaptive Systems, Resilient Systems, Biologically-Inspired Design, Design Education</t>
  </si>
  <si>
    <t>Jim Leylek</t>
  </si>
  <si>
    <t>jleylek@uark.edu</t>
  </si>
  <si>
    <t>Neelakshi Majumdar</t>
  </si>
  <si>
    <t>neelm@uark.edu</t>
  </si>
  <si>
    <t>Xiangbo Meng</t>
  </si>
  <si>
    <t>xbmeng@uark.edu</t>
  </si>
  <si>
    <t>Dr. Xiangbo Meng's interests lie in smartly designing novel nanostructured materials for a wide range of applications such as energy, catalysis, semiconductors, surface engineering, and biomedical. Currently, Dr. Meng's research focuses on synthesis of new inorganic, organic, and hybrid nanomaterials in precisely controllable modes at the atomic and molecular level, and development of high-performance energy-storage battery systems. Dr. Meng's team commits innovative research with the missions to provide feasible solutions to scientific and technical challenges facing our society.</t>
  </si>
  <si>
    <t>smartly designing novel nanostructured materials for a wide range of applications such as energy, catalysis, semiconductors, surface engineering, biomedical</t>
  </si>
  <si>
    <t>$12,428 per year (in-state, full-time)</t>
  </si>
  <si>
    <t>Paul Millett</t>
  </si>
  <si>
    <t>pmillett@uark.edu</t>
  </si>
  <si>
    <t>Computational design of advanced membrane nanostructures
Nanoparticle self-assembly in multi-phase liquids
Low-density, nanoporous materials and membranes.
Computational materials science and design</t>
  </si>
  <si>
    <t>Computational design of advanced membrane nanostructures,
Nanoparticle self-assembly in multi-phase liquids
Low-density, nanoporous materials , membranes,
Computational materials science , design</t>
  </si>
  <si>
    <t>Arun Nair</t>
  </si>
  <si>
    <t>nair@uark.edu</t>
  </si>
  <si>
    <t>Multiscale materials modeling
Bio-inspired materials
Mechanical properties of biomaterials</t>
  </si>
  <si>
    <t>Multiscale materials modeling,
Bio-inspired materials,
Mechanical properties of biomaterials</t>
  </si>
  <si>
    <r>
      <rPr>
        <u/>
        <sz val="10"/>
        <color rgb="FF000000"/>
        <rFont val="Arial"/>
        <family val="2"/>
      </rPr>
      <t>Darin W. Nutter</t>
    </r>
    <r>
      <rPr>
        <sz val="10"/>
        <color rgb="FF000000"/>
        <rFont val="Arial"/>
        <family val="2"/>
      </rPr>
      <t xml:space="preserve"> (Department head)</t>
    </r>
  </si>
  <si>
    <t>dnutter@uark.edu</t>
  </si>
  <si>
    <t>Heat transfer
Thermodynamics
Liquid-vapor phase change
HVAC&amp;R systems
Residential/commercial/industrial energy systems and energy conservation
Building systems
Building performance
Utility analysis
Life-cycle-assessment (LCA) and sustainability</t>
  </si>
  <si>
    <t>Heat transfer,
Thermodynamics,
Liquid-vapor phase change,
HVAC&amp;R systems,
Residential/commercial/industrial energy systems , energy conservation,
Building systems,
Building performance,
Utility analysis,
Life-cycle-assessment (LCA) , sustainability</t>
  </si>
  <si>
    <t>Monty Roberts</t>
  </si>
  <si>
    <t>tmr003@uark.edu</t>
  </si>
  <si>
    <t>Larry Roe</t>
  </si>
  <si>
    <t>lar@uark.edu</t>
  </si>
  <si>
    <t>Combustion
Fluid dynamics
Propulsion
Spacecraft systems</t>
  </si>
  <si>
    <t>Combustion,
Fluid dynamics,
Propulsion,
Spacecraft systems</t>
  </si>
  <si>
    <t>Wan Shou</t>
  </si>
  <si>
    <t>wshou@uark.edu</t>
  </si>
  <si>
    <t>Multiscale manufacturing Laser-based manufacturing and materials processing, novel manufacturing processes, nanomanufacturing, electronics manufacturing, machine learning assisted smart manufacturing, computational design
Advanced materials electronic materials, composites, energy materials, functional textiles, crystallization
Functional devices and applications wearable sensors, soft robotics, clean water and energy</t>
  </si>
  <si>
    <t>Multiscale manufacturing Laser-based manufacturing , materials processing, novel manufacturing processes, nanomanufacturing, electronics manufacturing, machine learning assisted smart manufacturing, computational design,
Advanced materials electronic materials, composites, energy materials, functional textiles, crystallization,
Functional devices , applications wearable sensors, soft robotics, clean water, energy</t>
  </si>
  <si>
    <r>
      <rPr>
        <u/>
        <sz val="10"/>
        <color rgb="FF000000"/>
        <rFont val="Arial"/>
        <family val="2"/>
      </rPr>
      <t>Steve Tung</t>
    </r>
    <r>
      <rPr>
        <sz val="10"/>
        <color rgb="FF000000"/>
        <rFont val="Arial"/>
        <family val="2"/>
      </rPr>
      <t xml:space="preserve"> (Associate department head)</t>
    </r>
  </si>
  <si>
    <t>chstung@uark.edu</t>
  </si>
  <si>
    <t>Micro Electromechanical Systems (MEMS)
Micro &amp; nano fluidics
Carbon nanotubes
Electroactive polymer (EAP)
Space inflatable structures</t>
  </si>
  <si>
    <t>Micro Electromechanical Systems (MEMS),
Micro &amp; nano fluidics,
Carbon nanotubes,
Electroactive polymer (EAP),
Space inflatable structures</t>
  </si>
  <si>
    <t>Keith Walters</t>
  </si>
  <si>
    <t>keithw@uark.edu</t>
  </si>
  <si>
    <t>Computational Fluid Dynamics
Turbulence Modeling
Numerical Methods
High-Performance Computing</t>
  </si>
  <si>
    <t>Computational Fluid Dynamics,
Turbulence Modeling,
Numerical Methods,
High-Performance Computing</t>
  </si>
  <si>
    <t>Uche Wejinya</t>
  </si>
  <si>
    <t>uwejinya@uark.edu</t>
  </si>
  <si>
    <t>Uche Wejinya's s include mechatronics with emphasis on nanotechnology - nanomaterials for nanosensors including biosensors, chemical sensors, nanoelectronics, control systems design and application, robotics, biomechanics, batteries &amp; energy storage devices, micro-tools for handling and manufacturing of micro and nano devices, and modeling and simulation of micro and nano structures. Dr. Wejinya has provided technical advice to many companies and a huge advocate of undergraduate research.</t>
  </si>
  <si>
    <t>mechatronics with emphasis on nanotechnology - nanomaterials for nanosensors including biosensors, chemical sensors, nanoelectronics, control systems design , application, robotics, biomechanics, batteries &amp; energy storage devices, micro-tools for healing , manufacturing of micro , nano devices, modeling , simulation of micro , nano structures</t>
  </si>
  <si>
    <t>Wenchao Zhou</t>
  </si>
  <si>
    <t>zhouw@uark.edu</t>
  </si>
  <si>
    <t>Superfast 3D Printer 
Megahertz Inkjet Printing
Microheater Array Powder Sintering (MAPS)
Cooperative 3D Printing
4D Printing
Robotics</t>
  </si>
  <si>
    <t>Superfast 3D Printer,
Megahertz Inkjet Printing,
Microheater Array Powder Sintering,
Cooperative 3D Printing,
4D Printing,
Robotics</t>
  </si>
  <si>
    <t>Min Zou</t>
  </si>
  <si>
    <t>mzou@uark.edu</t>
  </si>
  <si>
    <t>Nano-surface-engineering
Nanomechanics
Nanotribolog</t>
  </si>
  <si>
    <t>Nano-surface-engineering,
Nanomechanics,
Nanotribolog</t>
  </si>
  <si>
    <t>University of Colorado--Colorado Springs</t>
  </si>
  <si>
    <t>Dr. Ahmad Amiri</t>
  </si>
  <si>
    <t>ahm.amiri@gmail.com</t>
  </si>
  <si>
    <t>Musculoskeletal biomechanics, fragility fracture</t>
  </si>
  <si>
    <t>DEPARTMENT OF MECHANICAL AND AEROSPACE ENGINEERING</t>
  </si>
  <si>
    <t>Dr. Todd Bredbenner</t>
  </si>
  <si>
    <t>todd.bredbenner@uccs.edu</t>
  </si>
  <si>
    <t>Dr. Michael Calvisi</t>
  </si>
  <si>
    <t>mcalvisi@uccs.edu</t>
  </si>
  <si>
    <t xml:space="preserve"> Theoretical and computational fluid dynamics</t>
  </si>
  <si>
    <t>Theoretical , computational fluid dynamics</t>
  </si>
  <si>
    <r>
      <rPr>
        <u/>
        <sz val="10"/>
        <color rgb="FF000000"/>
        <rFont val="Arial"/>
        <family val="2"/>
      </rPr>
      <t>Dr. Peter Gorder</t>
    </r>
    <r>
      <rPr>
        <sz val="10"/>
        <color rgb="FF000000"/>
        <rFont val="Arial"/>
        <family val="2"/>
      </rPr>
      <t xml:space="preserve"> (Chair)</t>
    </r>
  </si>
  <si>
    <t>pgorder@uccs.edu</t>
  </si>
  <si>
    <t>Dynamic systems and control, engineering design</t>
  </si>
  <si>
    <t>Dynamic systems , control, engineering design</t>
  </si>
  <si>
    <t>#179 - Best Engineering Schools</t>
  </si>
  <si>
    <t>Dr. Michael Larson</t>
  </si>
  <si>
    <t>mlarson@uccs.edu</t>
  </si>
  <si>
    <t xml:space="preserve"> Solid mechanics and design</t>
  </si>
  <si>
    <t xml:space="preserve"> Solid mechanics , design</t>
  </si>
  <si>
    <t>Dr. Leal K. Lauderbaugh</t>
  </si>
  <si>
    <t>llauderb@uccs.edu</t>
  </si>
  <si>
    <t>Systems biology, dynamics, and control of mechanical systems</t>
  </si>
  <si>
    <t>Systems biology, dynamics, control of mechanical systems</t>
  </si>
  <si>
    <t>Dr. Jena McCollum</t>
  </si>
  <si>
    <t>jmccollu@uccs.edu</t>
  </si>
  <si>
    <t>Additive manufacturing, polymers and energetic materials</t>
  </si>
  <si>
    <t>Additive manufacturing, polymers , energetic materials</t>
  </si>
  <si>
    <t>Dr. MaTTQuinlan</t>
  </si>
  <si>
    <t>jquinlan@uccs.edu</t>
  </si>
  <si>
    <t>Dr. Brandon Runnels</t>
  </si>
  <si>
    <t>brandon.runnels@uccs.edu</t>
  </si>
  <si>
    <t>Computational solid mechanics</t>
  </si>
  <si>
    <t>Dr. James Stevens</t>
  </si>
  <si>
    <t>jstevens@uccs.edu</t>
  </si>
  <si>
    <t>Heat transfer, applied thermodynamics</t>
  </si>
  <si>
    <t>Dr. Steven Tragesser</t>
  </si>
  <si>
    <t>stragess@uccs.edu</t>
  </si>
  <si>
    <t>Spacecraft dynamics and control, biomechanics</t>
  </si>
  <si>
    <t>Spacecraft dynamics , control, biomechanics</t>
  </si>
  <si>
    <t>Dr. Hui Wan</t>
  </si>
  <si>
    <t>hwan@uccs.edu</t>
  </si>
  <si>
    <t>Aerodynamics, CFD, Heat Transfer</t>
  </si>
  <si>
    <t>Dr. Xin (Cindy) Yee</t>
  </si>
  <si>
    <t>xyee@uccs.edu</t>
  </si>
  <si>
    <t>Machine learning, Solid mechanics</t>
  </si>
  <si>
    <t>Dr. Julie Albertson</t>
  </si>
  <si>
    <t>jalberts@uccs.edu</t>
  </si>
  <si>
    <t>Experimental aerodynamics, engineering education</t>
  </si>
  <si>
    <t>Dr. Thomas Amundson</t>
  </si>
  <si>
    <t>tamundso@uccs.edu</t>
  </si>
  <si>
    <t>CFD, Radiative heat transfer</t>
  </si>
  <si>
    <t>Dr. Christopher Foley</t>
  </si>
  <si>
    <t>cfoley4@uccs.edu</t>
  </si>
  <si>
    <t>Combustion and premixed flame stability</t>
  </si>
  <si>
    <t>Combustion , premixed flame stability</t>
  </si>
  <si>
    <t>Dr. Lynnane George</t>
  </si>
  <si>
    <t>lgeorge2@uccs.edu</t>
  </si>
  <si>
    <t>Space Systems, STEM Education, Robotics</t>
  </si>
  <si>
    <t>Dr. Benjamin Wilcox</t>
  </si>
  <si>
    <t>bwilcox2@uccs.edu</t>
  </si>
  <si>
    <t>Fluid mechanics, wind turbine performance</t>
  </si>
  <si>
    <t>University of Hawaii--Manoa</t>
  </si>
  <si>
    <r>
      <rPr>
        <u/>
        <sz val="10"/>
        <color rgb="FF000000"/>
        <rFont val="Arial"/>
        <family val="2"/>
      </rPr>
      <t>JOHN S. ALLEN,</t>
    </r>
    <r>
      <rPr>
        <u/>
        <sz val="10"/>
        <color rgb="FF000000"/>
        <rFont val="Arial"/>
        <family val="2"/>
      </rPr>
      <t xml:space="preserve"> PhD</t>
    </r>
  </si>
  <si>
    <t>alleniii@hawaii.edu</t>
  </si>
  <si>
    <t>Acoustics, multiphase fluid dynamics, micro-biomechanics</t>
  </si>
  <si>
    <r>
      <rPr>
        <u/>
        <sz val="10"/>
        <color rgb="FF000000"/>
        <rFont val="Arial"/>
        <family val="2"/>
      </rPr>
      <t xml:space="preserve">JOSEPH J. BROWN, </t>
    </r>
    <r>
      <rPr>
        <u/>
        <sz val="10"/>
        <color rgb="FF000000"/>
        <rFont val="Arial"/>
        <family val="2"/>
      </rPr>
      <t xml:space="preserve">PhD
</t>
    </r>
  </si>
  <si>
    <t>jjbrown@hawaii.edu</t>
  </si>
  <si>
    <t>Nanomaterials, micro/nano devices, experimental mechanics, nanomanufacturing</t>
  </si>
  <si>
    <r>
      <rPr>
        <u/>
        <sz val="10"/>
        <color rgb="FF000000"/>
        <rFont val="Arial"/>
        <family val="2"/>
      </rPr>
      <t xml:space="preserve">REZA GHORBANI, </t>
    </r>
    <r>
      <rPr>
        <u/>
        <sz val="10"/>
        <color rgb="FF000000"/>
        <rFont val="Arial"/>
        <family val="2"/>
      </rPr>
      <t xml:space="preserve">PhD
</t>
    </r>
  </si>
  <si>
    <t>rezag@hawaii.edu</t>
  </si>
  <si>
    <t>Renewable energy, dynamics, controls, design</t>
  </si>
  <si>
    <r>
      <rPr>
        <u/>
        <sz val="10"/>
        <color rgb="FF000000"/>
        <rFont val="Arial"/>
        <family val="2"/>
      </rPr>
      <t xml:space="preserve">BARDIA KONH, </t>
    </r>
    <r>
      <rPr>
        <u/>
        <sz val="10"/>
        <color rgb="FF000000"/>
        <rFont val="Arial"/>
        <family val="2"/>
      </rPr>
      <t xml:space="preserve">PhD
</t>
    </r>
  </si>
  <si>
    <t>konh@hawaii.edu</t>
  </si>
  <si>
    <t>Modeling and control of smart materials, medical instruments, surgical robotics</t>
  </si>
  <si>
    <t>Modeling , control of smart materials, medical instruments, surgical robotics</t>
  </si>
  <si>
    <r>
      <rPr>
        <u/>
        <sz val="10"/>
        <color rgb="FF000000"/>
        <rFont val="Arial"/>
        <family val="2"/>
      </rPr>
      <t xml:space="preserve">WEILIN QU, </t>
    </r>
    <r>
      <rPr>
        <u/>
        <sz val="10"/>
        <color rgb="FF000000"/>
        <rFont val="Arial"/>
        <family val="2"/>
      </rPr>
      <t xml:space="preserve">PhD
</t>
    </r>
  </si>
  <si>
    <t>qu@hawaii.edu</t>
  </si>
  <si>
    <t>Boiling and two-phase flow, microscale thermofluid transport phenomena</t>
  </si>
  <si>
    <t>Boiling , two-phase flow, microscale thermofluid transport phenomena</t>
  </si>
  <si>
    <r>
      <rPr>
        <u/>
        <sz val="10"/>
        <color rgb="FF000000"/>
        <rFont val="Arial"/>
        <family val="2"/>
      </rPr>
      <t xml:space="preserve">WILLIAM E. USPAL, </t>
    </r>
    <r>
      <rPr>
        <u/>
        <sz val="10"/>
        <color rgb="FF000000"/>
        <rFont val="Arial"/>
        <family val="2"/>
      </rPr>
      <t xml:space="preserve">PhD
</t>
    </r>
  </si>
  <si>
    <t>uspal@hawaii.edu</t>
  </si>
  <si>
    <t>Microhydrodynamics, statistical mechanics, active matter, self-organization, soft matter simulation</t>
  </si>
  <si>
    <r>
      <rPr>
        <u/>
        <sz val="10"/>
        <color rgb="FF000000"/>
        <rFont val="Arial"/>
        <family val="2"/>
      </rPr>
      <t xml:space="preserve">DILMURAT M. AZIMOV, </t>
    </r>
    <r>
      <rPr>
        <u/>
        <sz val="10"/>
        <color rgb="FF000000"/>
        <rFont val="Arial"/>
        <family val="2"/>
      </rPr>
      <t xml:space="preserve">PhD
</t>
    </r>
  </si>
  <si>
    <t>azimov@hawaii.edu</t>
  </si>
  <si>
    <t>Guidance and control, autonomous space systems, space flight dynamics, optimal control</t>
  </si>
  <si>
    <t>Guidance , control, autonomous space systems, space flight dynamics, optimal control</t>
  </si>
  <si>
    <r>
      <rPr>
        <u/>
        <sz val="10"/>
        <color rgb="FF000000"/>
        <rFont val="Arial"/>
        <family val="2"/>
      </rPr>
      <t>Chrisy Xiyu Du</t>
    </r>
    <r>
      <rPr>
        <u/>
        <sz val="10"/>
        <color rgb="FF000000"/>
        <rFont val="Arial"/>
        <family val="2"/>
      </rPr>
      <t xml:space="preserve">, PhD
</t>
    </r>
  </si>
  <si>
    <t>xiyudu@hawaii.edu</t>
  </si>
  <si>
    <t>Soft Materials, Molecular Dynamics, Statistical Mechanics, Collective Behaviors, Machine Learning/Artificial Intelligence for Materials Design</t>
  </si>
  <si>
    <r>
      <rPr>
        <u/>
        <sz val="10"/>
        <color rgb="FF000000"/>
        <rFont val="Arial"/>
        <family val="2"/>
      </rPr>
      <t xml:space="preserve">LLOYD H. HIHARA, </t>
    </r>
    <r>
      <rPr>
        <u/>
        <sz val="10"/>
        <color rgb="FF000000"/>
        <rFont val="Arial"/>
        <family val="2"/>
      </rPr>
      <t xml:space="preserve">PhD
</t>
    </r>
  </si>
  <si>
    <t>hihara@eng.hawaii.edu</t>
  </si>
  <si>
    <t>Corrosion, materials, mechanical behavior of materials</t>
  </si>
  <si>
    <r>
      <rPr>
        <u/>
        <sz val="10"/>
        <color rgb="FF000000"/>
        <rFont val="Arial"/>
        <family val="2"/>
      </rPr>
      <t xml:space="preserve">WOOCHUL LEE, </t>
    </r>
    <r>
      <rPr>
        <u/>
        <sz val="10"/>
        <color rgb="FF000000"/>
        <rFont val="Arial"/>
        <family val="2"/>
      </rPr>
      <t xml:space="preserve">PhD
</t>
    </r>
  </si>
  <si>
    <t>woochull@hawaii.edu</t>
  </si>
  <si>
    <t>Nanoscale thermal transport, nanotechnology and nanomaterials, quantum transport, energy conversion</t>
  </si>
  <si>
    <t>Nanoscale thermal transport, nanotechnology , nanomaterials, quantum transport, energy conversion</t>
  </si>
  <si>
    <r>
      <rPr>
        <u/>
        <sz val="10"/>
        <color rgb="FF000000"/>
        <rFont val="Arial"/>
        <family val="2"/>
      </rPr>
      <t xml:space="preserve">TYLER RAY, </t>
    </r>
    <r>
      <rPr>
        <u/>
        <sz val="10"/>
        <color rgb="FF000000"/>
        <rFont val="Arial"/>
        <family val="2"/>
      </rPr>
      <t xml:space="preserve">PhD
</t>
    </r>
  </si>
  <si>
    <t>raytyler@hawaii.edu</t>
  </si>
  <si>
    <t>Bio-integrated sensors, microfluidics, additive manufacturing, multiscale / nanoscale materials, MEMS / NEMS fabrication</t>
  </si>
  <si>
    <r>
      <rPr>
        <u/>
        <sz val="10"/>
        <color rgb="FF000000"/>
        <rFont val="Arial"/>
        <family val="2"/>
      </rPr>
      <t xml:space="preserve">YI ZUO, </t>
    </r>
    <r>
      <rPr>
        <u/>
        <sz val="10"/>
        <color rgb="FF000000"/>
        <rFont val="Arial"/>
        <family val="2"/>
      </rPr>
      <t xml:space="preserve">PhD
</t>
    </r>
  </si>
  <si>
    <t>yzuo@hawaii.edu</t>
  </si>
  <si>
    <t>Colloids and surfaces, lung surfactants, AFM, biomedical applications</t>
  </si>
  <si>
    <t>Colloids , surfaces, lung surfactants, AFM, biomedical applications</t>
  </si>
  <si>
    <t>$10,400 per year (in-state, full-time)</t>
  </si>
  <si>
    <r>
      <rPr>
        <u/>
        <sz val="10"/>
        <color rgb="FF000000"/>
        <rFont val="Arial"/>
        <family val="2"/>
      </rPr>
      <t xml:space="preserve">PETER J. BERKELMAN, </t>
    </r>
    <r>
      <rPr>
        <u/>
        <sz val="10"/>
        <color rgb="FF000000"/>
        <rFont val="Arial"/>
        <family val="2"/>
      </rPr>
      <t xml:space="preserve">PhD
</t>
    </r>
  </si>
  <si>
    <t>peterb@hawaii.edu</t>
  </si>
  <si>
    <t>Haptic interfaces, surgical robotics, magnetic levitation</t>
  </si>
  <si>
    <r>
      <rPr>
        <u/>
        <sz val="10"/>
        <color rgb="FF000000"/>
        <rFont val="Arial"/>
        <family val="2"/>
      </rPr>
      <t xml:space="preserve">MEHRDAD N. GHASEMI-NEJHAD, </t>
    </r>
    <r>
      <rPr>
        <u/>
        <sz val="10"/>
        <color rgb="FF000000"/>
        <rFont val="Arial"/>
        <family val="2"/>
      </rPr>
      <t xml:space="preserve">PhD
</t>
    </r>
  </si>
  <si>
    <t>nejhad@hawaii.edu</t>
  </si>
  <si>
    <t>Nanotechnology, composites, renewable energy, smart structures</t>
  </si>
  <si>
    <r>
      <rPr>
        <u/>
        <sz val="10"/>
        <color rgb="FF000000"/>
        <rFont val="Arial"/>
        <family val="2"/>
      </rPr>
      <t xml:space="preserve">MARCELO H. KOBAYASHI, </t>
    </r>
    <r>
      <rPr>
        <u/>
        <sz val="10"/>
        <color rgb="FF000000"/>
        <rFont val="Arial"/>
        <family val="2"/>
      </rPr>
      <t xml:space="preserve">PhD
</t>
    </r>
  </si>
  <si>
    <t>marcelok@hawaii.edu%20</t>
  </si>
  <si>
    <t>Computational fluid dynamics, fluid dynamics, multidisciplinary design optimization</t>
  </si>
  <si>
    <r>
      <rPr>
        <u/>
        <sz val="10"/>
        <color rgb="FF000000"/>
        <rFont val="Arial"/>
        <family val="2"/>
      </rPr>
      <t xml:space="preserve">SCOTTF. MILLER, </t>
    </r>
    <r>
      <rPr>
        <u/>
        <sz val="10"/>
        <color rgb="FF000000"/>
        <rFont val="Arial"/>
        <family val="2"/>
      </rPr>
      <t xml:space="preserve">PhD
</t>
    </r>
  </si>
  <si>
    <t>scott20@hawaii.edu</t>
  </si>
  <si>
    <t>Manufacturing, design of medical devices, tribology</t>
  </si>
  <si>
    <r>
      <rPr>
        <u/>
        <sz val="10"/>
        <color rgb="FF000000"/>
        <rFont val="Arial"/>
        <family val="2"/>
      </rPr>
      <t xml:space="preserve">A. ZACHARY TRIMBLE, </t>
    </r>
    <r>
      <rPr>
        <u/>
        <sz val="10"/>
        <color rgb="FF000000"/>
        <rFont val="Arial"/>
        <family val="2"/>
      </rPr>
      <t xml:space="preserve">PhD
</t>
    </r>
  </si>
  <si>
    <t>atrimble@hawaii.edu</t>
  </si>
  <si>
    <t>Renewable energy, industrial automation, precision engineering</t>
  </si>
  <si>
    <t>University of Michigan--Dearborn</t>
  </si>
  <si>
    <t>Oleg Zikanov</t>
  </si>
  <si>
    <t>zikanov@umich.edu</t>
  </si>
  <si>
    <t>Heat Mass Transfer in Energy Technology</t>
  </si>
  <si>
    <t>Alan Argento</t>
  </si>
  <si>
    <t>aargento@umich.edu</t>
  </si>
  <si>
    <t>Bioengineering, Vibrations and Mechanics</t>
  </si>
  <si>
    <t>Bioengineering, Vibrations , Mechanics</t>
  </si>
  <si>
    <t>Hugo Casquero</t>
  </si>
  <si>
    <t>casquero@umich.edu</t>
  </si>
  <si>
    <t>Automotive Engineering, Heat Mass Transfer in Energy Technology, Vibrations and Mechanics</t>
  </si>
  <si>
    <t>Automotive Engineering, Heat Mass Transfer in Energy Technology, Vibrations , Mechanics</t>
  </si>
  <si>
    <t>Lei Chen</t>
  </si>
  <si>
    <t>leichn@umich.edu</t>
  </si>
  <si>
    <t>Amanda Esquivel</t>
  </si>
  <si>
    <t>aoe@umich.edu</t>
  </si>
  <si>
    <t>Hugh Huntley</t>
  </si>
  <si>
    <t>huntley@umich.edu</t>
  </si>
  <si>
    <t>Dewey Dohoy Jung</t>
  </si>
  <si>
    <t>dohoy@umich.edu</t>
  </si>
  <si>
    <t>Automotive Engineering, Heat Mass Transfer in Energy Technology</t>
  </si>
  <si>
    <t>Mathumai Kanapathipillai</t>
  </si>
  <si>
    <t>mathumai@umich.edu</t>
  </si>
  <si>
    <t>HongTae Kang</t>
  </si>
  <si>
    <t>htkang@umich.edu</t>
  </si>
  <si>
    <t>Automotive Engineering, Materials and Material Processing</t>
  </si>
  <si>
    <t>Automotive Engineering, Materials , Material Processing</t>
  </si>
  <si>
    <t>Doohyun Kim</t>
  </si>
  <si>
    <t>gogum@umich.edu</t>
  </si>
  <si>
    <t>Youngki Kim</t>
  </si>
  <si>
    <t>youngki@umich.edu</t>
  </si>
  <si>
    <t>Automotive Engineering, Integrated Design and Manufacturing, Machine Learning, Optimization, and Intelligent Systems</t>
  </si>
  <si>
    <t>Automotive Engineering, Integrated Design , Manufacturing, Machine Learning, Optimization, Intelligent Systems</t>
  </si>
  <si>
    <t>Byungchan Lee</t>
  </si>
  <si>
    <t>garam@umich.edu</t>
  </si>
  <si>
    <t>Ben Q. Li</t>
  </si>
  <si>
    <t>benqli@umich.edu</t>
  </si>
  <si>
    <t>$1,070 per credit (in-state, full-time)</t>
  </si>
  <si>
    <t>Joe Fujiou Lo</t>
  </si>
  <si>
    <t>jfjlo@umich.edu</t>
  </si>
  <si>
    <t>Bioengineering, Nano Electronic and Photonic Materials and Devices</t>
  </si>
  <si>
    <t>Bioengineering, Nano Electronic , Photonic Materials , Devices</t>
  </si>
  <si>
    <t>Pankaj Mallick</t>
  </si>
  <si>
    <t>pkm@umich.edu</t>
  </si>
  <si>
    <t xml:space="preserve"> Automotive Engineering, Materials and Material Processing</t>
  </si>
  <si>
    <t xml:space="preserve"> Automotive Engineering, Materials , Material Processing</t>
  </si>
  <si>
    <t>Chunhui Mei</t>
  </si>
  <si>
    <t>cmei@umich.edu</t>
  </si>
  <si>
    <t>Vibrations and Mechanics</t>
  </si>
  <si>
    <t>Vibrations , Mechanics</t>
  </si>
  <si>
    <t>Pravansu Mohanty</t>
  </si>
  <si>
    <t>pmohanty@umich.edu</t>
  </si>
  <si>
    <t>Christopher Pannier</t>
  </si>
  <si>
    <t>pannier@umich.edu</t>
  </si>
  <si>
    <t>Eric Ratts</t>
  </si>
  <si>
    <t>ratts@umich.edu</t>
  </si>
  <si>
    <t>Automotive Engineering, Heat Mass Transfer in Energy Technology, Power Electronics and Energy Systems</t>
  </si>
  <si>
    <t>Automotive Engineering, Heat Mass Transfer in Energy Technology, Power Electronics , Energy Systems</t>
  </si>
  <si>
    <t>German Reyes-Villanueva</t>
  </si>
  <si>
    <t>greyesv@umich.edu</t>
  </si>
  <si>
    <t>Rafael Ruiz</t>
  </si>
  <si>
    <t>rafaruiz@umich.edu</t>
  </si>
  <si>
    <t>Subrata Sengupta</t>
  </si>
  <si>
    <t>razal@umich.edu</t>
  </si>
  <si>
    <t>Taehyun Shim</t>
  </si>
  <si>
    <t>tshim@umich.edu</t>
  </si>
  <si>
    <t>Automotive Engineering</t>
  </si>
  <si>
    <t>Yi Zhang</t>
  </si>
  <si>
    <t>anding@umich.edu</t>
  </si>
  <si>
    <t>University of New Hampshire</t>
  </si>
  <si>
    <r>
      <rPr>
        <u/>
        <sz val="10"/>
        <color rgb="FF000000"/>
        <rFont val="Arial"/>
        <family val="2"/>
      </rPr>
      <t>CHRISTOPHER WHITE</t>
    </r>
    <r>
      <rPr>
        <sz val="10"/>
        <color rgb="FF000000"/>
        <rFont val="Arial"/>
        <family val="2"/>
      </rPr>
      <t xml:space="preserve"> (Department head)</t>
    </r>
  </si>
  <si>
    <t>Chris.White@unh.edu</t>
  </si>
  <si>
    <t>Advanced Hydrogen Fueled Engine</t>
  </si>
  <si>
    <t>GREGORY CHINI</t>
  </si>
  <si>
    <t>Greg.Chini@unh.edu</t>
  </si>
  <si>
    <t>Geophysical (especially Oceanographic), Environmental, Biological and Industrial Fluid Dynamics
Mathematical Modeling, Asymptotic and Variational Analysis, Bifurcation Theory, Physical Applied Mathematics, Numerical Solution of PDEs
Nonlinear Dynamics, Optimal Transport, and Mixing in Turbulent Convection and Boundary Layers
Elasto-Capillary Phenomena in Biology and Soft Matter, Pulmonary Alveolar Mechanics.</t>
  </si>
  <si>
    <t>Geophysical (especially Oceanographic), Environmental, Biological , Industrial Fluid Dynamics,
Mathematical Modeling, Asymptotic , Variational Analysis, Bifurcation Theory, Physical Applied Mathematics, Numerical Solution of PDEs,
Nonlinear Dynamics, Optimal Transport, Mixing in Turbulent Convection , Boundary Layers,
Elasto-Capillary Phenomena in Biology , Soft Matter, Pulmonary Alveolar Mechanics,</t>
  </si>
  <si>
    <t>JUAN CARLOS CUEVAS BAUTISTA</t>
  </si>
  <si>
    <t>JuanCarlos.CuevasBautista@unh.edu</t>
  </si>
  <si>
    <t>DAVID FREDRIKSSON</t>
  </si>
  <si>
    <t>David.Fredriksson@unh.edu</t>
  </si>
  <si>
    <t xml:space="preserve">Dr. Fredriksson brings over two decades of experience developing ocean engineering methodologies for the farming of finfish, shellfish and macroalgae, with the goal of supporting seafood security for both the United States and abroad. His underlying passion is to grow new sustainable production methods and educational programs that will enhance both local maritime communities and the ocean environment. </t>
  </si>
  <si>
    <t>ocean engineering methodologies for the farming of finfish, shellfish , macroalgae, with the goal of supporting seafood security for both the United States , abroad</t>
  </si>
  <si>
    <t>JINJIN HA</t>
  </si>
  <si>
    <t>Jinjin.Ha@unh.edu</t>
  </si>
  <si>
    <t>EPSCoR RII-Track 1 NH Center for Multiscale Modeling and Manufacturing</t>
  </si>
  <si>
    <t>Multiscale Modeling , Manufacturing</t>
  </si>
  <si>
    <t>MARKO KNEZEVIC</t>
  </si>
  <si>
    <t>Marko.Knezevic@unh.edu</t>
  </si>
  <si>
    <t>Prof. Knezevic’s research is focused on understanding of materials behavior under complex loading using a combination of computational methods and experiments, development of constitutive material models, design and manufacturing at component levels, materials design at microstructural length scales, as well as the development of high-performance computational applications integrating multi-scale material models for predicting materials behavior.</t>
  </si>
  <si>
    <t>materials behavior under complex loading using a combination of computational methods , experiments, development of constitutive material models, design , manufacturing at component levels, materials design at microstructural length scales, the development of high-performance computational applications integrating multi-scale material models for predicting materials behavior</t>
  </si>
  <si>
    <t>MRITYUNJAY KOTHARI</t>
  </si>
  <si>
    <t>Mrityunjay.Kothari@unh.edu</t>
  </si>
  <si>
    <t>NATHAN LAXAGUE</t>
  </si>
  <si>
    <t>Nathan.Laxague@unh.edu</t>
  </si>
  <si>
    <t>Prof. Laxague makes field and laboratory measurements to explore the fundamental physical interactions between the Earth’s atmosphere and oceans. He is particularly interested in ocean surface waves and their mediation of air-sea fluxes, looking to leverage the best-available engineering solutions in order to improve in-situ observational techniques.</t>
  </si>
  <si>
    <t>ocean surface waves , their mediation of air-sea fluxes, looking to leverage the best-available engineering solutions in order to improve in-situ observational techniques</t>
  </si>
  <si>
    <t>TRACY MANDEL</t>
  </si>
  <si>
    <t>Tracy.Mandel@unh.edu</t>
  </si>
  <si>
    <t>Prof. Mandel's research explores several problems in environmental fluid mechanics, focusing on turbulent flow at ocean margins. This includes topics from coastal flow through seagrass meadows and salt marshes to the surfacing dynamics of meltwater plumes discharged from marine-terminating glaciers. Her research is primarily experimental and observational, making use of the lab facilities in the Chase Ocean Engineering Lab at UNH and beautiful field sites in the New Hampshire Seacoast.</t>
  </si>
  <si>
    <t>seagrass meadows , salt marshes to the surfacing dynamics of meltwater plumes discharged from marine-terminating glaciers</t>
  </si>
  <si>
    <t>JOHN MCHUGH</t>
  </si>
  <si>
    <t>John.McHugh@unh.edu</t>
  </si>
  <si>
    <t>His current research topics include internal waves in the atmosphere of earth and other planets, origins of the deePocean circulations, and non-linear waves on the surface of a fluid.</t>
  </si>
  <si>
    <t>internal waves in the atmosphere of earth, origins of the deep ocean circulations, non-linear waves on the surface of a fluid</t>
  </si>
  <si>
    <t>BINGXIAN MU</t>
  </si>
  <si>
    <t>Bingxian.Mu@unh.edu</t>
  </si>
  <si>
    <t>His research explores several problems 1. Ground/Aerial/Underwater Robotics and autonomous system design, modelling, identification, state estimation, control and analysis, 2. Theoretical development of Multi-agent Systems (MASs) and its applications, 3. Mechatronics device development for smart home, smart city and health care.</t>
  </si>
  <si>
    <t>Ground/Aerial/Underwater Robotics , autonomous system design, modelling, identification, state estimation, control , analysis, Theoretical development of Multi-agent Systems (MASs), Mechatronics device development for smart home, smart city , health care,</t>
  </si>
  <si>
    <t>IVAYLO NEDYALKOV</t>
  </si>
  <si>
    <t>Ivo.Nedyalkov@unh.edu</t>
  </si>
  <si>
    <t>Ivo worked on the design of components and overhaul of the high speed water tunnel (HiCaT), developed a code for automating airfoil/hydrofoil simulations using OpenFOAM, and studied bi-directional hydrofoils for tidal turbines.</t>
  </si>
  <si>
    <t>design of components , overhaul of the high speed water tunnel (HiCaT), developed a code for automating airfoil/hydrofoil simulations using OpenFOAM, studied bi-directional hydrofoils for tidal turbines,</t>
  </si>
  <si>
    <t>$15,604 per year (in-state, full-time)</t>
  </si>
  <si>
    <t>JOHN ROTH</t>
  </si>
  <si>
    <t>John.Roth@unh.edu</t>
  </si>
  <si>
    <t>MAY-WIN THEIN</t>
  </si>
  <si>
    <t>May-Win.Thein@unh.edu</t>
  </si>
  <si>
    <t>Dr. Thein's field of specialization is in the area of System Dynamics and Control. Her studies involve nonlinear estimation and control with particular emphasis on ocean and space applications.</t>
  </si>
  <si>
    <t>System Dynamics , Control, Her studies involve nonlinear estimation , control with particular emphasis on ocean , space applications,</t>
  </si>
  <si>
    <t>IGOR TSUKROV</t>
  </si>
  <si>
    <t>Igor.Tsukrov@unh.edu</t>
  </si>
  <si>
    <t>Prof. Tsukrov's areas of expertise include Micromechanics and Fracture of Composite Materials, Modeling of Marine Aquaculture and Ocean Energy Installations, Computational Solid Mechanics and Finite Element Method.</t>
  </si>
  <si>
    <t>Micromechanics , Fracture of Composite Materials, Modeling of Marine Aquaculture , Ocean Energy Installations, Computational Solid Mechanics , Finite Element Method,</t>
  </si>
  <si>
    <t>MARTIN WOSNIK</t>
  </si>
  <si>
    <t>Martin.Wosnik@unh.edu</t>
  </si>
  <si>
    <t xml:space="preserve">Prof. Wosnik’s s are in the area of fluid and thermal sciences with an emphasis on renewable energy applications, including ocean renewable energy (tidal, wave, wind), turbulent flows, high-speed hydrodynamics, cavitation, flow measurement and hydraulic modeling.
</t>
  </si>
  <si>
    <t xml:space="preserve">thermal sciences with an emphasis on renewable energy applications, including ocean renewable energy (tidal, wave, wind), turbulent flows, high-speed hydrodynamics, cavitation, flow measurement , hydraulic modeling
</t>
  </si>
  <si>
    <t>University of South Florida</t>
  </si>
  <si>
    <t>Glen Besterfield</t>
  </si>
  <si>
    <t>besterfi@usf.edu</t>
  </si>
  <si>
    <t>Research Area Finite Element Analysis, Computational Mechanics, Mechanical Design, Bascule bridges</t>
  </si>
  <si>
    <t>Finite Element Analysis, Computational Mechanics, Mechanical Design, Bascule bridges</t>
  </si>
  <si>
    <t>Redwan Alqasemi</t>
  </si>
  <si>
    <t>alqasemi@usf.edu</t>
  </si>
  <si>
    <t xml:space="preserve"> Robotics, Assistive Technology, Virtual/Augmented Reality, Prosthetics, Controls</t>
  </si>
  <si>
    <t>Robotics, Assistive Technology, Virtual/Augmented Reality, Prosthetics, Controls</t>
  </si>
  <si>
    <t>Stephanie Carey</t>
  </si>
  <si>
    <t>scarey3@usf.edu</t>
  </si>
  <si>
    <t>Research Area Applied Biomechanics, Rehabilitation Engineering, Prosthetics</t>
  </si>
  <si>
    <t>Applied Biomechanics, Rehabilitation Engineering, Prosthetics</t>
  </si>
  <si>
    <t>Rajiv Dubey (Department Chair)</t>
  </si>
  <si>
    <t>dubey@usf.edu</t>
  </si>
  <si>
    <t>Research Area Rehabilitation Robotics, Prosthetics and Orthotics, Dynamic Systems and Controls</t>
  </si>
  <si>
    <t>Rehabilitation Robotics, Prosthetics , Orthotics, Dynamic Systems , Controls</t>
  </si>
  <si>
    <t>Nancy Diaz-Elsayed</t>
  </si>
  <si>
    <t>nancyd1@usf.edu</t>
  </si>
  <si>
    <t>Research Area Manufacturing, Smart and Sustainable Systems, Data-Driven Modeling</t>
  </si>
  <si>
    <t>Manufacturing, Smart , Sustainable Systems, Data-Driven Modeling</t>
  </si>
  <si>
    <t>Nathan Gallant</t>
  </si>
  <si>
    <t>ngallant@usf.edu</t>
  </si>
  <si>
    <t>Research Area Biomaterials and Tissue Engineering</t>
  </si>
  <si>
    <t>Biomaterials , Tissue Engineering</t>
  </si>
  <si>
    <t>Rasim Guldiken</t>
  </si>
  <si>
    <t>guldiken@usf.edu</t>
  </si>
  <si>
    <t>Research Area Microfluidics, Acoustics, MEMS, Engineering Education Research</t>
  </si>
  <si>
    <t>Microfluidics, Acoustics, MEMS, Engineering Education Research</t>
  </si>
  <si>
    <t>Daniel Hess</t>
  </si>
  <si>
    <t>hess@usf.edu</t>
  </si>
  <si>
    <t>Research Area Vibrations, Friction, Fasteners</t>
  </si>
  <si>
    <t>Vibrations, Friction, Fasteners</t>
  </si>
  <si>
    <t>Autar Kaw</t>
  </si>
  <si>
    <t>kaw@usf.edu</t>
  </si>
  <si>
    <t>Research Area Engineering Education Research, Mechanics</t>
  </si>
  <si>
    <t>Engineering Education Research, Mechanics</t>
  </si>
  <si>
    <t>Ashok Kumar</t>
  </si>
  <si>
    <t>kumar@usf.edu</t>
  </si>
  <si>
    <t>Research Area Nanomaterials, Microelectronics, Thin Film Technology</t>
  </si>
  <si>
    <t>Nanomaterials, Microelectronics, Thin Film Technology</t>
  </si>
  <si>
    <t>Craig Lusk</t>
  </si>
  <si>
    <t>clusk2@usf.edu</t>
  </si>
  <si>
    <t>Research Area Compliant Mechanisms and Biomechanics</t>
  </si>
  <si>
    <t>Compliant Mechanisms , Biomechanics</t>
  </si>
  <si>
    <t>Wenbin Mao</t>
  </si>
  <si>
    <t>wmao@usf.edu</t>
  </si>
  <si>
    <t>Research Area Computational Fluid Dynamics and Cardiovascular Biomechanics</t>
  </si>
  <si>
    <t>Computational Fluid Dynamics , Cardiovascular Biomechanics</t>
  </si>
  <si>
    <t>$467 per credit (in-state, full-time)</t>
  </si>
  <si>
    <t>David Murphy</t>
  </si>
  <si>
    <t>davidmurphy@usf.edu</t>
  </si>
  <si>
    <t>Research Area Fluid Mechanics, Animal Biomechanics, Oil Spills</t>
  </si>
  <si>
    <t>Fluid Mechanics, Animal Biomechanics, Oil Spills</t>
  </si>
  <si>
    <t>Kyle Reed</t>
  </si>
  <si>
    <t>kylereed@usf.edu</t>
  </si>
  <si>
    <t>Research Area Rehabilitation Engineering and Haptics</t>
  </si>
  <si>
    <t>Rehabilitation Engineering , Haptics</t>
  </si>
  <si>
    <t>Arman Sargolzaei</t>
  </si>
  <si>
    <t>armans@usf.edu</t>
  </si>
  <si>
    <t>Research Area Linear and Non-linear Control Theory, Security of Networked Control Systems, Safety and Security of Connected and Autonomous Vehicles, Electric Vehicle Control and Optimization, Control of Unmanned Aerial Vehicles</t>
  </si>
  <si>
    <t>Linear , Non-linear Control Theory, Security of Networked Control Systems, Safety , Security of Connected , Autonomous Vehicles, Electric Vehicle Control , Optimization, Control of Unmanned Aerial Vehicles</t>
  </si>
  <si>
    <t>Alex Volinsky</t>
  </si>
  <si>
    <t>volinsky@usf.edu</t>
  </si>
  <si>
    <t>Research Area Thin Films Processing, Mechanical Properties and Characterization</t>
  </si>
  <si>
    <t>Thin Films Processing, Mechanical Properties , Characterization</t>
  </si>
  <si>
    <t>Michael Cai Wang</t>
  </si>
  <si>
    <t>mcwang@usf.edu</t>
  </si>
  <si>
    <t>Research Area Nano-science/nano-manufacturing, Interfacial/surface phenomena</t>
  </si>
  <si>
    <t>Nano-science/nano-manufacturing, Interfacial/surface phenomena</t>
  </si>
  <si>
    <t>Stuart Wilkinson</t>
  </si>
  <si>
    <t>wilkinso@usf.edu</t>
  </si>
  <si>
    <t>Research Area Energy Systems Design, Bionomic Engineering</t>
  </si>
  <si>
    <t>Energy Systems Design, Bionomic Engineering</t>
  </si>
  <si>
    <t>Tansel Yucelen</t>
  </si>
  <si>
    <t>yucelen@usf.edu</t>
  </si>
  <si>
    <t>Research Area Systems and Control</t>
  </si>
  <si>
    <t>Systems , Control</t>
  </si>
  <si>
    <t>University of Texas--San Antonio (Klesse)</t>
  </si>
  <si>
    <t>Omar Abbaas, Ph.D.</t>
  </si>
  <si>
    <t>omar.abbaas@utsa.edu</t>
  </si>
  <si>
    <t>His s include smart manufacturing, smart supply chain, cyber-physical systems, scheduling, network optimization, transportation, logistics, inventory management, facility layout and material handling, revenue management, alternative fuel distribution, quality and reliability, agent-based optimization, and combinatorial auctions.</t>
  </si>
  <si>
    <t>smart manufacturing, smart supply chain, cyber-physical systems, scheduling, network optimization, transportation, logistics, inventory management, facility layout , material h,ling, revenue management, alternative fuel distribution, quality , reliability, agent-based optimization, combinatorial auctions</t>
  </si>
  <si>
    <t>Adel Alaeddini, Ph.D.</t>
  </si>
  <si>
    <t>adel.alaeddini@utsa.edu</t>
  </si>
  <si>
    <t>Advanced-Data, Advanced Manufacturing, Flexible Manufacturing and Lean System</t>
  </si>
  <si>
    <t>Advanced-Data, Advanced Manufacturing, Flexible Manufacturing , Lean System</t>
  </si>
  <si>
    <t>Guillermo Araya, Ph.D.</t>
  </si>
  <si>
    <t>juan.araya@utsa.edu</t>
  </si>
  <si>
    <t xml:space="preserve">Computational turbulence and visualization </t>
  </si>
  <si>
    <t xml:space="preserve">Computational turbulence , visualization </t>
  </si>
  <si>
    <t>Keith M. Axler, Ph.D., PMP</t>
  </si>
  <si>
    <t>keith.axler@utsa.edu</t>
  </si>
  <si>
    <t>Kiran Bhaganagar, Ph.D.</t>
  </si>
  <si>
    <t>kiran.bhaganagar@utsa.edu</t>
  </si>
  <si>
    <t>Tanveer Hossain Bhuiyan, Ph.D.</t>
  </si>
  <si>
    <t>TanveerHossain.Bhuiyan@utsa.edu</t>
  </si>
  <si>
    <t>His research methodology also includes big data analytics utilizing high-performance computing and statistical-learning-based optimization. His research has been applied to the areas of critical infrastructure protection, electrified and sustainable transportation network design, disaster mitigation, supply chain risk mitigation, cyber and information security, wireless network security, and power system expansion and operations planning with renewable energy integration.</t>
  </si>
  <si>
    <t>big data analytics utilizing high-performance computing , statistical-learning-based optimization, critical infrastructure protection, electrified , sustainable transportation network design, disaster mitigation, supply chain risk mitigation, cyber , information security, wireless network security, power system expansion , operations planning with renewable energy integration</t>
  </si>
  <si>
    <t>Krystel K. Castillo, Ph.D.</t>
  </si>
  <si>
    <t>krystel.castillo@utsa.edu</t>
  </si>
  <si>
    <t xml:space="preserve">My main s are mathematical modeling of supply chains, logistics, optimization of large-scale scenarios (meta-heuristics), statistical quality control and reliability. In summary, the application of Operations Research as well as statistical methods to model, analyze, and solve complex decision problems.
</t>
  </si>
  <si>
    <t xml:space="preserve">mathematical modeling of supply chains, logistics, optimization of large-scale scenarios (meta-heuristics), statistical quality control , reliability, In summary, the application of Operations Research
</t>
  </si>
  <si>
    <t>F. Frank Chen, Ph.D.</t>
  </si>
  <si>
    <t>ff.chen@utsa.edu</t>
  </si>
  <si>
    <t>Advanced Manufacturing, Flexible Manufacturing and Lean System</t>
  </si>
  <si>
    <t>Advanced Manufacturing, Flexible Manufacturing , Lean System</t>
  </si>
  <si>
    <t>Christopher S. Combs, Ph.D.</t>
  </si>
  <si>
    <t>ccombs@utsa.edu</t>
  </si>
  <si>
    <t>Compressible Flows,Turbulence,Laser Diagnostics,Ablation</t>
  </si>
  <si>
    <t>Alifer Crom, Ph.D.</t>
  </si>
  <si>
    <t>alifer.crom@utsa.edu</t>
  </si>
  <si>
    <t>Zhi-Gang Feng, Ph.D.</t>
  </si>
  <si>
    <t>zhigang.feng@utsa.edu</t>
  </si>
  <si>
    <t>Multiphase flow</t>
  </si>
  <si>
    <t>Ender Finol, Ph.D.</t>
  </si>
  <si>
    <t>ender.finol@utsa.edu</t>
  </si>
  <si>
    <t>fluid mechanics as related to medical applications, computational mechanics for cardiovascular diseases, design and optimization of medical devices, soft tissue mechanics, algorithm development for 3D segmentation and reconstruction of medical images.</t>
  </si>
  <si>
    <t>fluid mechanics as related to medical applications, computational mechanics for cardiovascular diseases, design , optimization of medical devices, soft tissue mechanics, algorithm development for 3D segmentation , reconstruction of medical images</t>
  </si>
  <si>
    <t>$7,246 per year (in-state, full-time)</t>
  </si>
  <si>
    <t>Cody Gonzalez, Ph.D.</t>
  </si>
  <si>
    <t>cody.gonzalez@utsa.edu</t>
  </si>
  <si>
    <t xml:space="preserve">Dr. Gonzalez’s research centers on the intersection of soft robotics, multifunctional materials, and design optimization. His dissertation concentrated on investigating how novel, multifunctional materials can enable the use of lithium-ion batteries as smart actuators. He focuses on using design optimization based on novel analytical models and simulations to inform optimal experimental designs.
</t>
  </si>
  <si>
    <t xml:space="preserve">soft robotics, multifunctional materials, design optimization
</t>
  </si>
  <si>
    <t>Madhavrao “Rao” Govindaraju, Ph.D.</t>
  </si>
  <si>
    <t>madhavrao.govindaraju@utsa.edu</t>
  </si>
  <si>
    <t>Hai-Chao Han, Ph.D.</t>
  </si>
  <si>
    <t>hchan@utsa.edu</t>
  </si>
  <si>
    <t xml:space="preserve">Cardiovascular biomechanics </t>
  </si>
  <si>
    <t>Francisco Herbert, Ph.D.</t>
  </si>
  <si>
    <t>Francisco.Herbert@utsa.edu</t>
  </si>
  <si>
    <t>Areas of expertise renewable energy, computer science &amp; data analytics, thermo-fluids, measurements and instrumentation, advanced engineering mathematics, and interdisciplinary/multiphysics simulation &amp; optimization. Twelve years of professional experience in the wind energy field. Five years of teaching experience at undergraduate and graduate levels.</t>
  </si>
  <si>
    <t>renewable energy, computer science &amp; data analytics, thermo-fluids, measurements , instrumentation, advanced engineering mathematics, interdisciplinary/multiphysics simulation,optimization</t>
  </si>
  <si>
    <t>R. Lyle Hood, Ph.D.</t>
  </si>
  <si>
    <t>robert.hood@utsa.edu</t>
  </si>
  <si>
    <t>Medical Design Innovations</t>
  </si>
  <si>
    <t>Amir Karimi, Ph.D.</t>
  </si>
  <si>
    <t>amir.karimi@utsa.edu</t>
  </si>
  <si>
    <t>Randall D. Manteufel, Ph.D.</t>
  </si>
  <si>
    <t>rmanteufel@utsa.edu</t>
  </si>
  <si>
    <t>Harry Millwater, Ph.D.</t>
  </si>
  <si>
    <t>harry.millwater@utsa.edu</t>
  </si>
  <si>
    <t>fatigue,fracture mechanics,structures,sensitivities,probability</t>
  </si>
  <si>
    <t>Arturo Montoya, Ph.D.</t>
  </si>
  <si>
    <t>arturo.montoya@utsa.edu</t>
  </si>
  <si>
    <t>Computational Modeling in Civil Engineering Applications
Advances in Computational Methods for Solid Mechanics
Deterioration of Materials under Corrosive Environments</t>
  </si>
  <si>
    <t>Computational Modeling in Civil Engineering Applications,
Advances in Computational Methods for Solid Mechanics,
Deterioration of Materials under Corrosive Environments</t>
  </si>
  <si>
    <t>Morteza Seidi, Ph.D., P.E.</t>
  </si>
  <si>
    <t>morteza.seidi@utsa.edu</t>
  </si>
  <si>
    <t>Ashok Nedungadi, Ph.D.</t>
  </si>
  <si>
    <t>ashok.nedungadi@utsa.edu</t>
  </si>
  <si>
    <t>Daniel I. Pineda, Ph.D.</t>
  </si>
  <si>
    <t>daniel.pineda@utsa.edu</t>
  </si>
  <si>
    <t>LASER SPECTROSCOPY AND CHEMICAL PROPULSION</t>
  </si>
  <si>
    <t>LASER SPECTROSCOPY , CHEMICAL PROPULSION</t>
  </si>
  <si>
    <t>David Restrepo, Ph.D.</t>
  </si>
  <si>
    <t>david.restrepo@utsa.edu</t>
  </si>
  <si>
    <t>Advanced Materials and Mechanical Systems</t>
  </si>
  <si>
    <t>Advanced Materials , Mechanical Systems</t>
  </si>
  <si>
    <t>Elizabeth S. Sooby, Ph.D.</t>
  </si>
  <si>
    <t>elizabeth.soobywood@utsa.edu</t>
  </si>
  <si>
    <t>Nuclear Materials,Thermal Analysis,High Temperature Materials,Nuclear Fuel,Uranium</t>
  </si>
  <si>
    <t>Firat Y. Testik, Ph.D.</t>
  </si>
  <si>
    <t>firat.testik@utsa.edu</t>
  </si>
  <si>
    <t>Precipitation microphysics
In-situ and remote sensing of rainfall
Coastal sediment transport
Gravity/Turbidity current dynamics
Water wave mechanics
Wave-structure interactions
Coastal morphodynamics
Natural Hazards (hurricanes, tsunamis)</t>
  </si>
  <si>
    <t>Precipitation microphysics,
In-situ , remote sensing of rainfall,
Coastal sediment transport,
Gravity/Turbidity current dynamics,
Water wave mechanics,
Wave-structure interactions,
Coastal morphodynamics,
Natural Hazards (hurricanes, tsunamis)</t>
  </si>
  <si>
    <t>Brendy Rincon Troconis, Ph.D.</t>
  </si>
  <si>
    <t>brendy.rincon@utsa.edu</t>
  </si>
  <si>
    <t>Xiaodu Wang, Ph.D.</t>
  </si>
  <si>
    <t>xiaodu.wang@utsa.edu</t>
  </si>
  <si>
    <t>relationshiPbetween structures and mechanical behavior of hard tissues at all length scales from nano to macro and from molecules to the whole organ. Based on the understanding, we intend to develoPeffective strategies for prediction and prevention of aging/disease related failure of the tissues. CPly, our interests are focused on the treatment of osteoporotic, fatigue, and age-related bone fractures.</t>
  </si>
  <si>
    <t>relationship between structures , mechanical behavior of hard tissues at all length scales from nano to macro , from molecules to the whole organ</t>
  </si>
  <si>
    <t>Hung-da Wan, Ph.D.</t>
  </si>
  <si>
    <t>hungda.wan@utsa.edu</t>
  </si>
  <si>
    <t xml:space="preserve">Advanced Manufacturing Systems effective and efficient integration and synthesis of automation technologies, human resources, and decision-making models for design, planning, scheduling, and control of production of goods and delivery of services.
Lean Enterprise Systems systematic elimination of waste (anything that does not add value) across the enterprise by using various lean and six-sigma tools and methodologies to continuously improve value creating processes in manufacturing and service sectors. </t>
  </si>
  <si>
    <t>Advanced Manufacturing Systems effective , efficient integration , synthesis of automation technologies, human resources, decision-making models for design, planning, scheduling, control of production of goods , delivery of services</t>
  </si>
  <si>
    <t>Xiaowei Zeng, Ph.D.</t>
  </si>
  <si>
    <t>xiaowei.zeng@utsa.edu</t>
  </si>
  <si>
    <t>Finite Element Method (FEM)
Cohesive FEM
Meshfree Methods
Molecular Dynamics Simulation</t>
  </si>
  <si>
    <t>Finite Element Method (FEM),
Cohesive FEM,
Meshfree Methods,
Molecular Dynamics Simulation</t>
  </si>
  <si>
    <t>Xuan Zhou, Ph.D.</t>
  </si>
  <si>
    <t>Xuan.Zhou@utsa.edu</t>
  </si>
  <si>
    <t>optics &amp; photonics, materials science, physical chemistry, and mechanical engineering.</t>
  </si>
  <si>
    <t>optics ,photonics, materials science, physical chemistry, mechanical engineering,</t>
  </si>
  <si>
    <t>Utah State University</t>
  </si>
  <si>
    <t>Tim Berk</t>
  </si>
  <si>
    <t>tim.berk@usu.edu</t>
  </si>
  <si>
    <t>Ryan Berke</t>
  </si>
  <si>
    <t>ryan.berke@usu.edu</t>
  </si>
  <si>
    <t>Som Dutta</t>
  </si>
  <si>
    <t>som.dutta@usu.edu</t>
  </si>
  <si>
    <t xml:space="preserve">Turbulent Multiphase Flows, Environmental Fluid Mechanics, Computational Fluid Dynamics, River and Coastal Mechanics, High Performance Computing
</t>
  </si>
  <si>
    <t xml:space="preserve">Turbulent Multiphase Flows, Environmental Fluid Mechanics, Computational Fluid Dynamics, River , Coastal Mechanics, High Performance Computing
</t>
  </si>
  <si>
    <t>MaTTHarris</t>
  </si>
  <si>
    <t>matthew.harris@usu.edu</t>
  </si>
  <si>
    <t>D4. Woodford, Spherically Constrained Relative Motion Trajectory Analysis, USU, PhD, 2023.
D3. Jansson, Convexity Applications in Single and Multi-agent Control, USU, PhD, 2023.
D2. Kunhippurayil, Exact and Approximate Relaxation Techniques for Computational Guidance, USU, PhD, 2021.
D1. Harris, Lossless Convexification of Optimal Control Problems, UT Austin, PhD,</t>
  </si>
  <si>
    <t>Spherically Constrained Relative Motion Trajectory Analysis,
Convexity Applications in Single , Multi-agent Control,
Approximate Relaxation Techniques for Computational Guidance,
Lossless Convexification of Optimal Control Problems,</t>
  </si>
  <si>
    <t>Tianyi He</t>
  </si>
  <si>
    <t>tianyi.he@usu.edu</t>
  </si>
  <si>
    <t xml:space="preserve">Dr. Tianyi He's s include robust control, learning-based control, linear parameter varying (LPV) modeling and control, and broad applications to robotics and aerospace systems (UAVs/eVTOL).
</t>
  </si>
  <si>
    <t xml:space="preserve">robust control, learning-based control, linear parameter varying (LPV) modeling , control, broad applications to robotics , aerospace systems (UAVs/eVTOL),
</t>
  </si>
  <si>
    <t>Douglas Hunsaker</t>
  </si>
  <si>
    <t>doug.hunsaker@usu.edu</t>
  </si>
  <si>
    <t xml:space="preserve"> His  focus on computational methods ranging from potential flow to full RANS CFD for both 2D and 3D modeling and optimization.</t>
  </si>
  <si>
    <t>computational methods ranging from potential flow to full RANS CFD for both 2D , 3D modeling , optimization,</t>
  </si>
  <si>
    <t>Nadia Kouraytem</t>
  </si>
  <si>
    <t>nadia.kouraytem@usu.edu</t>
  </si>
  <si>
    <t xml:space="preserve">Dr. Kouraytem’s s are in the broad area of the characterization of the process-structure-property relationships in laser-based metal additive manufacturing for structural applications using advanced experimental techniques and in-situ measurements.
</t>
  </si>
  <si>
    <t xml:space="preserve">broad area of the characterization of the process-structure-property relationships in laser-based metal additive manufacturing for structural applications using advanced experimental techniques , in-situ measurements,
</t>
  </si>
  <si>
    <t>Juhyeong Lee</t>
  </si>
  <si>
    <t>juhyeong.lee@usu.edu</t>
  </si>
  <si>
    <t xml:space="preserve">Solid Mechanics, Composites under Extreme Conditions, Multiphysics Finite Element Modeling, Carbon Fibers and Composites Manufacturing, Multifunctional Composites
</t>
  </si>
  <si>
    <t>Solid Mechanics, Composites under Extreme Conditions, Multiphysics Finite Element Modeling, Carbon Fibers , Composites Manufacturing, Multifunctional Composites</t>
  </si>
  <si>
    <t>Nick Roberts</t>
  </si>
  <si>
    <t>nick.roberts@usu.edu</t>
  </si>
  <si>
    <t xml:space="preserve">Thermal energy conversion, Thermal energy storage, Thin film solar cells, Phase change materials, nanofluids, nanofabrication
</t>
  </si>
  <si>
    <t>Thermal energy conversion, Thermal energy storage, Thin film solar cells, Phase change materials, nanofluids, nanofabrication</t>
  </si>
  <si>
    <t>Barton Smith</t>
  </si>
  <si>
    <t>barton.smith@usu.edu</t>
  </si>
  <si>
    <t>Yanqing Su</t>
  </si>
  <si>
    <t>yanqing.su@usu.edu</t>
  </si>
  <si>
    <t>Her s are unraveling physical processes underlying advanced materials via computational tools at a different time/spatial scale, thus improving material properties.</t>
  </si>
  <si>
    <t>physical processes underlying advanced materials via computational tools at a different time/spatial scale, thus improving material properties,</t>
  </si>
  <si>
    <t>Hailei Wang</t>
  </si>
  <si>
    <t>hailei.wang@usu.edu</t>
  </si>
  <si>
    <t xml:space="preserve">Dr. Wang has broad s, including 1) advanced power cycles using supercritical fluids, 2) microchannel heat exchangers for process intensification, 3) integrated energy systems to optimize various clean energy resources, 4) heating, ventilation and air-conditioning (HVAC) in grid-interactive efficient buildings (GEB), 5) a unique thermal energy storage and freeze desalination using supercooling phenomenon, 6) boiling and condensation enhancement, 7) heat transfer and anti-icing on superhydrophobic surfaces.
</t>
  </si>
  <si>
    <t xml:space="preserve">advanced power cycles using supercritical fluids, microchannel heat exchangers for process intensification, integrated energy systems to optimize various clean energy resources, heating, ventilation , air-conditioning (HVAC) in grid-interactive efficient buildings (GEB), a unique thermal energy storage , freeze desalination using supercooling phenomenon,  boiling , condensation enhancement,  heat transfer , anti-icing on superhydrophobic surfaces
</t>
  </si>
  <si>
    <t>$7,594 per year (in-state, full-time)</t>
  </si>
  <si>
    <t>Haoran Wang</t>
  </si>
  <si>
    <t>haoran.wang@usu.edu</t>
  </si>
  <si>
    <t xml:space="preserve">Solid mechanics and materials, Multiscale computations, Uncertainty quantification, Data-driven modeling
</t>
  </si>
  <si>
    <t xml:space="preserve">Solid mechanics , materials, Multiscale computations, Uncertainty quantification, Data-driven modeling
</t>
  </si>
  <si>
    <r>
      <rPr>
        <u/>
        <sz val="10"/>
        <color rgb="FF000000"/>
        <rFont val="Arial"/>
        <family val="2"/>
      </rPr>
      <t>Zhongquan (Charlie) Zheng</t>
    </r>
    <r>
      <rPr>
        <sz val="10"/>
        <color rgb="FF000000"/>
        <rFont val="Arial"/>
        <family val="2"/>
      </rPr>
      <t xml:space="preserve"> (Department head)</t>
    </r>
  </si>
  <si>
    <t>zzheng@usu.edu</t>
  </si>
  <si>
    <t>Wayne State University</t>
  </si>
  <si>
    <t>Gbemeho Agbaglah</t>
  </si>
  <si>
    <t>gilou.agbaglah@wayne.edu</t>
  </si>
  <si>
    <t>Hydrodynamic instabilities
Computational Fluid Dynamics (CFD)
Atomization
Drops and bubbles
Flow past bluff bodies</t>
  </si>
  <si>
    <t>Hydrodynamic instabilities,
Computational Fluid Dynamics (CFD),
Atomization,
Drops , bubbles,
Flow past bluff bodies</t>
  </si>
  <si>
    <t>Yara Almubarak</t>
  </si>
  <si>
    <t>YaraAlmubarak@wayne.edu</t>
  </si>
  <si>
    <t>Biomimetic Soft Robots
Underwater Robots
Artificial Muscles
Smart Materials and Structures
3D Printing/Material Characterization</t>
  </si>
  <si>
    <t>Biomimetic Soft Robots,
Underwater Robots,
Artificial Muscles,
Smart Materials , Structures,
3D Printing/Material Characterization</t>
  </si>
  <si>
    <t>Leela Mohana Reddy Arava</t>
  </si>
  <si>
    <t>fl8799@wayne.edu</t>
  </si>
  <si>
    <t>Lithium-ion, Lithium-sulfur and Lithium-air chemistries using novel electrolytes
Growth and applications of 2D and 3D nanostructures
Lightweight nanocomposite materials
Flexible integrated energy devices
Smart coatings</t>
  </si>
  <si>
    <t>Lithium-ion, Lithium-sulfur , Lithium-air chemistries using novel electrolytes,
Growth , applications of 2D , 3D nanostructures,
Lightweight nanocomposite materials,
Flexible integrated energy devices,
Smart coatings</t>
  </si>
  <si>
    <r>
      <rPr>
        <u/>
        <sz val="10"/>
        <color rgb="FF000000"/>
        <rFont val="Arial"/>
        <family val="2"/>
      </rPr>
      <t>Nabil Chalhoub</t>
    </r>
    <r>
      <rPr>
        <sz val="10"/>
        <color rgb="FF000000"/>
        <rFont val="Arial"/>
        <family val="2"/>
      </rPr>
      <t xml:space="preserve"> (Chair)</t>
    </r>
  </si>
  <si>
    <t>ab9714@wayne.edu</t>
  </si>
  <si>
    <t>Modeling and active control of flexible structures, robotics, solid-fluid interaction problems, internal combustion (IC) engines cycle simulations, IC engine dynamics and tribology, guidance and control of marine vessels, nonlinear robust controllers and observers, self-tuning fuzzy controllers.</t>
  </si>
  <si>
    <t>Modeling , active control of flexible structures, robotics, solid-fluid interaction problems, internal combustion (IC) engines cycle simulations, IC engine dynamics , tribology, guidance , control of marine vessels, nonlinear robust controllers , observers, self-tuning fuzzy controllers</t>
  </si>
  <si>
    <t>Azad Ghaffari</t>
  </si>
  <si>
    <t>aghaffari@wayne.edu</t>
  </si>
  <si>
    <t xml:space="preserve"> s include control design for safety critical cyber-physical systems, distributed supervisory controller design for swapping modularity over smart networks, control of state-dependent sampled rate systems, high-precision motion control of servo-systems, aggregate demand response in power systems, extremum seeking and its application to maximum power point tracking in photovoltaic and wind energy conversion systems, sliding mode control, and linear matrix inequalities.</t>
  </si>
  <si>
    <t xml:space="preserve"> s include control design for safety critical cyber-physical systems, distributed supervisory controller design for swapping modularity over smart networks, control of state-dependent sampled rate systems, high-precision motion control of servo-systems, aggregate dem, response in power systems, extremum seeking , its application to maximum power point tracking in photovoltaic , wind energy conversion systems, sliding mode control, linear matrix inequalities</t>
  </si>
  <si>
    <t>M Arif Hasan</t>
  </si>
  <si>
    <t>Hasan.Arif@Wayne.Edu</t>
  </si>
  <si>
    <t xml:space="preserve">Topological Acoustics, Quantum-Classical Analogies, Mechanical Metamaterials, Nonlinear Waves, Vibrations
</t>
  </si>
  <si>
    <t>Topological Acoustics, Quantum-Classical Analogies, Mechanical Metamaterials, Nonlinear Waves, Vibrations</t>
  </si>
  <si>
    <t>Mahbub Islam</t>
  </si>
  <si>
    <t>gy5553@wayne.edu</t>
  </si>
  <si>
    <t>First-principles, ReaxFF, and eReaxFF molecular dynamics (MD) simulations on reactive and nonreactive systems for
 Understanding interfacial chemistry of Li-ion, and Li-S, Na-S batteries
 Exploring physics and chemistry of enegetic materials
 Thermo-mechanical characterization of 2D materials</t>
  </si>
  <si>
    <t>Underst,ing interfacial chemistry of Li-ion, Li-S, Na-S batteries,Exploring physics , chemistry of enegetic materials,Thermo-mechanical characterization of 2D materials</t>
  </si>
  <si>
    <t>Marcis Jansons</t>
  </si>
  <si>
    <t>mjansons@wayne.edu</t>
  </si>
  <si>
    <t>Engine technology
Combustion
Optical diagnostics
Propulsion systems</t>
  </si>
  <si>
    <t>Engine technology,
Combustion,
Optical diagnostics,
Propulsion systems</t>
  </si>
  <si>
    <t>Jerry Ku</t>
  </si>
  <si>
    <t>aa1898@wayne.edu</t>
  </si>
  <si>
    <t>Connected and automated vehicle controls development and testing
Electric and hybrid vehicle modeling, simulation, controls, testing, and optimization
Experimental and numerical analysis of electric-drive vehicle battery pack thermal management</t>
  </si>
  <si>
    <t>Connected , automated vehicle controls development , testing,
Electric , hybrid vehicle modeling, simulation, controls, testing, optimization,
Experimental , numerical analysis of electric-drive vehicle battery pack thermal management</t>
  </si>
  <si>
    <t>Ming-Chia Lai</t>
  </si>
  <si>
    <t>aa0008@wayne.edu</t>
  </si>
  <si>
    <t>Dr. Lai's primary skills and interests are in the fields of Thermal Fluid Engineering, Engine Combustion and Emissions, Energy Conversion, Alternative Energy Technology, Optical diagnostics and Computational Fluid Dynamics Applications.</t>
  </si>
  <si>
    <t>fields of Thermal Fluid Engineering, Engine Combustion , Emissions, Energy Conversion, Alternative Energy Technology, Optical diagnostics , Computational Fluid Dynamics Applications,</t>
  </si>
  <si>
    <t>Golam Newaz</t>
  </si>
  <si>
    <t>ad5874@wayne.edu</t>
  </si>
  <si>
    <t>Advanced materials and composites, deformation and failure mechanisms, fatigue and fracture
Design and development of miniaturized devices for optolelectronicand biomedical applications.
Thermal wave imaging and Sonic IR
Transmission laser welding of dissimilar materials</t>
  </si>
  <si>
    <t>Advanced materials , composites, deformation , failure mechanisms, fatigue , fracture,
Design , development of miniaturized devices for optolelectronic, biomedical applications,
Thermal wave imaging , Sonic IR,
Transmission laser welding of dissimilar materials</t>
  </si>
  <si>
    <t>Ali Ozbeki</t>
  </si>
  <si>
    <t>Ozbeki@wayne.edu</t>
  </si>
  <si>
    <t>$19,789 per year (in-state, full-time)</t>
  </si>
  <si>
    <t>Valery Pylypchuk</t>
  </si>
  <si>
    <t>pilipchuk@wayne.edu</t>
  </si>
  <si>
    <t>Omid Samimi Abianeh</t>
  </si>
  <si>
    <t>eg8067@wayne.edu</t>
  </si>
  <si>
    <t>His s include model development of multi-component fuel surrogates, spray evaporation and droplet breakup, large-eddy simulations of turbulence, combustion kinetics, combustion simulations of internal combustion engines, and turbulent sprays.</t>
  </si>
  <si>
    <t>multi-component fuel surrogates, spray evaporation , droplet breakup, large-eddy simulations of turbulence, combustion kinetics, combustion simulations of internal combustion engines, turbulent sprays</t>
  </si>
  <si>
    <t>Chin-An Tan</t>
  </si>
  <si>
    <t>tan@wayne.edu</t>
  </si>
  <si>
    <t>His current research is in advanced vehicle mobility solutions and autonomous/intelligent robotic systems.</t>
  </si>
  <si>
    <t>advanced vehicle mobility solutions , autonomous/intelligent robotic systems,</t>
  </si>
  <si>
    <t>Xin Wu</t>
  </si>
  <si>
    <t>xin.wu@wayne.edu</t>
  </si>
  <si>
    <t>Material processing and manufacturing, metal forming
Material behavior and plasticity metals, ceramics, composites.</t>
  </si>
  <si>
    <t>Material processing , manufacturing, metal forming,
Material behavior , plasticity metals, ceramics, composites,</t>
  </si>
  <si>
    <t>Sean Wu</t>
  </si>
  <si>
    <t>sean_wu@wayne.edu</t>
  </si>
  <si>
    <t xml:space="preserve">Acoustics, Vibration, Noise Control and Signal Processing
</t>
  </si>
  <si>
    <t>Acoustics, Vibration, Noise Control , Signal Processing</t>
  </si>
  <si>
    <t>Florida Institute of Technology</t>
  </si>
  <si>
    <t>Bleakley, Albert</t>
  </si>
  <si>
    <t>ableakley@fit.edu</t>
  </si>
  <si>
    <t>Reclaimed asphalt pavement (RAP) in base course applications.
Ground tire rubber (GTR) in pavement subgrade</t>
  </si>
  <si>
    <t>Reclaimed asphalt pavement (RAP) in base course applications,Ground tire rubber (GTR) in pavement subgrade</t>
  </si>
  <si>
    <t>Cosentino, Paul</t>
  </si>
  <si>
    <t>cosentin@fit.edu</t>
  </si>
  <si>
    <t>Dr. Cosentino's s include
Evaluating the Dynamic Reposne of Piles The Rebound Driven in Florida Fine silty Sands
Automating the Pressuremeter for Predicting the Soil Response to Lateral Loads
Evaluating the Variability and CreePCharacteristics of Recycled Asphalt Pavement (RAP)
Developing Re-use Applications and Economic Benefits for Waste Concrete
Developing Re-Use Applications and Improving the Economic Benefits of Florida’s Waste Materials
Developing Geotechnical Applications for the Fiber Optic Pore Water Pressure Sensor
Developing Specifications for Using Recycled Asphalt Pavement as Base, Sub-base or General Fill Materials</t>
  </si>
  <si>
    <t>Evaluating the Dynamic Reposne of Piles The Rebound Driven,
Automating the Pressuremeter for Predicting the Soil Response to Lateral Loads,
Evaluating the Variability , CreePCharacteristics of Recycled Asphalt Pavement (RAP),
Developing Re-use Applications , Economic Benefits for Waste Concrete,
Developing Re-Use Applications , Improving the Economic Benefits of Florida’s Waste Materials,
Developing Geotechnical Applications for the Fiber Optic Pore Water Pressure Sensor,
Developing Specifications for Using Recycled Asphalt Pavement as Base, Sub-base or General Fill Materials</t>
  </si>
  <si>
    <t>Gaal, Mary Ann</t>
  </si>
  <si>
    <t>mgaal@fit.edu</t>
  </si>
  <si>
    <t>Supply chain management issues
Measurement and assessment of creativity within the classroom.
Enhancing student creative self-efficacy
Attributed leadershiPdifferences and similarities among European, American and Asian cultures.
Communication across cultures, nonverbal cultural influences and perceptions by cultures.
Corporate social responsibility and the influences of manager values and institutions within countries</t>
  </si>
  <si>
    <t>Supply chain management issues,
Measurement , assessment of creativity within the classroom,
Enhancing student creative self-efficacy,
Attributed leadershiPdifferences , similarities among European, American , Asian cultures,
Communication across cultures, nonverbal cultural influences , perceptions by cultures,
Corporate social responsibility , the influences of manager values , institutions within countries</t>
  </si>
  <si>
    <t>#138 - Mechanical Engineering</t>
  </si>
  <si>
    <t>Gutierrez, Hector</t>
  </si>
  <si>
    <t xml:space="preserve"> hgutier@fit.edu</t>
  </si>
  <si>
    <t>Precision Landing of a Hexacopter Drone by Smartphone Video Guidance Sensor, NASA Marshall Space Flight Center. Phase 1 Indoor landing, Phase 2 High altitude landing.
Vision-Based Navigation for Formation Flight onboard ISS. NASA Ames Research Center. STTR Phase I, Phase II.
A Parallel Computing Engine for Simulation of Complex Multi-scale Systems. National Science Foundation, Partnerships for Innovation
Smartphone Video Guidance Sensor for Navigation of RINGS on-board ISS. NASA Marshall Space Flight Center.
Redeployment of SVGS for Rendezvous and Docking in Space Applications. NASA Marshall Space Flight Center.
Real-time Monitoring and Control of Flexible Aerospace Structures using Fiber-Bragg Sensor Arrays. NASA Launch Services Program, Phase I, II, III, IV.
Acquisition of Long-Duration, Low-Gravity Slosh Data in existing ISS Equipment for Calibration of CFD Models of Coupled Fluid-Vehicle Behavior. NASA Advanced Exploration Systems.
NSF-CAREER Award A Mechatronic Framework for Magnetic Suspension Technology. 
ONR-Young Investigator Award Control of the Vertical Dynamics of Electrodynamic Maglev Systems for Launching
Electromagnetic Launch for Affordable, Agile Access to Space. Air Force Office of Scientific Research. Phase I, II.
NSF-SGER Smart Structures Control of Structural Vibrations with Magneto-Rheological Tuned Mass Dampers.</t>
  </si>
  <si>
    <t>Acquisition of Long-Duration, Low-Gravity Slosh Data in existing ISS Equipment for Calibration of CFD Models of Coupled Fluid-Vehicle Behavior, NASA Advanced Exploration Systems,
NSF-CAREER Award A Mechatronic Framework for Magnetic Suspension Technology, 
ONR-Young Investigator Award Control of the Vertical Dynamics of Electrodynamic Maglev Systems for Launching,
Electromagnetic Launch for Affordable, Agile Access to Space, Air Force Office of Scientific Research,
NSF-SGER Smart Structures Control of Structural Vibrations with Magneto-Rheological Tuned Mass Dampers</t>
  </si>
  <si>
    <t>He, Xiang</t>
  </si>
  <si>
    <t>xhe@fit.edu</t>
  </si>
  <si>
    <t>Metal-Organic Frameworks
Nanotechnology
Gas Adsorption and Conversion
Water Remediation
Resource Recovery</t>
  </si>
  <si>
    <t>Metal-Organic Frameworks,
Nanotechnology,
Gas Adsorption , Conversion,
Water Remediation,
Resource Recovery</t>
  </si>
  <si>
    <t>Hong, Seong Hyeon</t>
  </si>
  <si>
    <t xml:space="preserve"> shhong@fit.edu</t>
  </si>
  <si>
    <t xml:space="preserve">Dr. Hong’s research focuses on robotics, machine learning, optimization and data analytics that involve surrogate modeling, intelligent control, design optimization, visual servoing, and GPU/edge computing. </t>
  </si>
  <si>
    <t>robotics, machine learning, optimization , data analytics that involve surrogate modeling, intelligent control, design optimization, visual servoing, GPU/edge computing</t>
  </si>
  <si>
    <t>Hsu, Pei-feng</t>
  </si>
  <si>
    <t xml:space="preserve"> phsu@fit.edu</t>
  </si>
  <si>
    <t xml:space="preserve">Thermal barrier coating thermal gradient testing and finite element analysis of fracture failures.  Multidimensional radiation heat transfer in flames, combustion systems, and radiating gases with spectrally dependent properties, combined mode heat transfer, premixed combustion with detailed multistePchemistry kinetics, electromagnetic wave scattering of small particles, directional and wavelength-selective radiative properties of micro- and nano-scale devices, reflection from random roughness surfaces with and without coating, transient radiation processes for optical imaging using ultra-fast light pulses, and HVAC systems.
</t>
  </si>
  <si>
    <t xml:space="preserve">Thermal barrier coating thermal gradient testing , finite element analysis of fracture failuresMultidimensional radiation heat transfer in flames, combustion systems, radiating gases with spectrally dependent properties, combined mode heat transfer, premixed combustion with detailed multistePchemistry kinetics, electromagnetic wave scattering of small particles, directional , wavelength-selective radiative properties of micro- , nano-scale devices, reflection from r,om roughness surfaces with , without coating, transient radiation processes for optical imaging using ultra-fast light pulses, HVAC systems
</t>
  </si>
  <si>
    <t>McCay, Mary Helen</t>
  </si>
  <si>
    <t>mmccay@fit.edu</t>
  </si>
  <si>
    <t xml:space="preserve">Current research is interdisciplinary, focused on integrating computational and laboratory methodologies for the improvement of the design, engineering, testing and manufacturing of advanced coatings for use in extreme environments. Work is being conducted on catalysts, sensors and storage mediums. A high energy laser is being used to produce materials with desirable surface properties related to these topics.
</t>
  </si>
  <si>
    <t xml:space="preserve">integrating computational , laboratory methodologies for the improvement of the design, engineering, testing , manufacturing of advanced coatings for use in extreme environments
</t>
  </si>
  <si>
    <t>Mingareev, Ilya</t>
  </si>
  <si>
    <t xml:space="preserve"> imingareev@fit.edu</t>
  </si>
  <si>
    <t>Laser-assisted processing of materials
Fundamentals of laser-matter interactions using ultrashort-pulsed lasers
Micro- and nano-processing of advanced materials with ultrafast lasers
Laser Additive Manufacturing of metals, ceramics and high-temperature compounds</t>
  </si>
  <si>
    <t>Laser-assisted processing of materials,
Fundamentals of laser-matter interactions using ultrashort-pulsed lasers,
Micro- , nano-processing of advanced materials with ultrafast lasers,
Laser Additive Manufacturing of metals, ceramics , high-temperature compounds</t>
  </si>
  <si>
    <t>Najafi, Hamidreza</t>
  </si>
  <si>
    <t xml:space="preserve"> hnajafi@fit.edu</t>
  </si>
  <si>
    <t xml:space="preserve">Dr. Najafi is the director of the Heat Transfer Lab and Innovations in Sustainable Energy and Thermal Systems (ISETS) Lab. His current s include Designing and Optimization of Thermal/Energy Systems, Zero-Energy Buildings, Renewable and Sustainable Energy, Computational Heat Transfer and Inverse Heat Conduction Problems (IHCPs).
</t>
  </si>
  <si>
    <t xml:space="preserve">Heat Transfer Lab , Innovations in Sustainable Energy , Thermal Systems (ISETS) Lab, His current s include Designing , Optimization of Thermal/Energy Systems, Zero-Energy Buildings, Renewable , Sustainable Energy, Computational Heat Transfer , Inverse Heat Conduction Problems (IHCPs)
</t>
  </si>
  <si>
    <t>Nellippallil, Anand Balu</t>
  </si>
  <si>
    <t>anellippallil@fit.edu</t>
  </si>
  <si>
    <t>Area Systems-Based Robust Co-Design of Complex Engineered Systems Under Uncertainty
Topics Systems design, robust co-design, uncertainty management, integrated design of materials, products and Associated manufacturing processes, cloud-based design decision support</t>
  </si>
  <si>
    <t>Area Systems-Based Robust Co-Design of Complex Engineered Systems Under Uncertainty,
Topics Systems design, robust co-design, uncertainty management, integrated design of materials, products , Associated manufacturing processes, cloud-based design decision support</t>
  </si>
  <si>
    <t>Nguyen , Troy</t>
  </si>
  <si>
    <t xml:space="preserve"> tnguyen@fit.edu</t>
  </si>
  <si>
    <t>$1,241 per credit (full-time)</t>
  </si>
  <si>
    <t>Nguyen, Kim-Doang</t>
  </si>
  <si>
    <t>knguyen@fit.edu</t>
  </si>
  <si>
    <t>PI Research/ScholarshiPSupport Fund FY17
PI Scholarly Excellence Fund FY18
Co-PI Raven Industries, Testbed Grant 2019-2020
PI SDBoR Competitive Research Grant 2019-2020
PI SDBoR Competitive Research Grant 2020-2021
PI USDA NIFA Food and Agriculture Cyber informatics Tools (FACT), Artificial Intelligence (AI) for Precision Agriculture grant 2021-2023, NIFA link
PI General Mills, Collaborative Robotics Grant, 2021-2022
PI USDA NIFA Data Science for Food and Agricultural Systems (DSFAS), Artificial Intelligence (AI) for Precision Agriculture grant 2022-2024, NIFA link
PI NSF Engineering Education and Centers (EEC) grant, 2022-2024, NSF link</t>
  </si>
  <si>
    <t>Agriculture Cyber informatics Tools (FACT), Artificial Intelligence (AI)</t>
  </si>
  <si>
    <t>Pahinkar, Darshan G.</t>
  </si>
  <si>
    <t xml:space="preserve"> dpahinkar@fit.edu</t>
  </si>
  <si>
    <t>Thermally Driven Scalable Heat Pumps
Coating of Adsorbents on Substrates 
Rheology of Adsorbent Slurries
Carbon dioxide Capture
Simultaneous Interaction of Gases and Liquids with Adsorbents
Advanced Materials and Techniques for Electronics Thermal Management</t>
  </si>
  <si>
    <t>Thermally Driven Scalable Heat Pumps,
Coating of Adsorbents on Substrates,
Rheology of Adsorbent Slurries,
Carbon dioxide Capture,
Simultaneous Interaction of Gases , Liquids with Adsorbents,
Advanced Materials , Techniques for Electronics Thermal Management</t>
  </si>
  <si>
    <r>
      <rPr>
        <u/>
        <sz val="10"/>
        <color rgb="FF000000"/>
        <rFont val="Arial"/>
        <family val="2"/>
      </rPr>
      <t>Pandit, Ashok</t>
    </r>
    <r>
      <rPr>
        <sz val="10"/>
        <color rgb="FF000000"/>
        <rFont val="Arial"/>
        <family val="2"/>
      </rPr>
      <t xml:space="preserve"> (Department head)</t>
    </r>
  </si>
  <si>
    <t xml:space="preserve"> apandit@fit.edu</t>
  </si>
  <si>
    <t>Groundwater
Nutrient Transport to the Indian River Lagoon Recently I have been conducting research to determine the nutrient loads into the Northern Indian River lagoon (NIRL) transported via groundwater that originated from the mainland and barrier islands, or leaked through the confined aquifer. These results are significant as they will allow the St. Johns River Water Management District (SJRWMD) to better manage the NIRL to prevent phenomena such as algal blooms and red tides. A key element of this research was that we designed and employed a unique system of nestled piezometers to be able to calibrate and validate the numerical model.
Salt Transport from an Unstable Source This research is an offshoot of the Indian River lagoon (IRL) research. While conducting our field measurements, we noticed that there was a significant amount of salt within the aquifer below the IRL, i.e., there was salt being transferred from the IRL into the underlying aquifer. Currently, this salt transport is not accounted for in hydrodynamic models used to conduct salt balance within the estuary. Through meticulous experiments, we have been able to develoPa methodology that can very accurately predict, for experimental domains (approximately one m2), the rate of salt mass transfer from an unstable salt source to the underlying porous media. We have determined that this salt transport can be fairly significant and should be accounted for when conducting a salt balance of the estuaries. Our recent results have shown that numerical models indeed do duplicate the results measured in our experiments and predicted by the equations developed by us. The calibrated numerical models could therefore be used to estimate salt mass transfers from unstable source like estuaries.</t>
  </si>
  <si>
    <t>Nutrient Transport to the Indian River Lagoon, Salt Transport from an Unstable Source</t>
  </si>
  <si>
    <t>Pinelli, Jean-Paul</t>
  </si>
  <si>
    <t xml:space="preserve"> pinelli@fit.edu</t>
  </si>
  <si>
    <t>Dr. Pinelli’s s have focused on structural dynamics, and earthquake and wind engineering.</t>
  </si>
  <si>
    <t>structural dynamics, earthquake , wind engineering,</t>
  </si>
  <si>
    <t>Saedi, Soheil</t>
  </si>
  <si>
    <t xml:space="preserve"> ssaedi@fit.edu</t>
  </si>
  <si>
    <t>Multifunctional and High Entropy Alloys
Additive Manufacturing
Microstructure-Properties-Processing Relationships
Smart Material Design</t>
  </si>
  <si>
    <t>Multifunctional , High Entropy Alloys,
Additive Manufacturing,
Microstructure-Properties-Processing Relationships,
Smart Material Design</t>
  </si>
  <si>
    <t>Saghaian, Sayed Ehsan</t>
  </si>
  <si>
    <t xml:space="preserve"> ssaghaian@fit.edu</t>
  </si>
  <si>
    <t>Additive Manufacturing
Composition-Process-Microstructure-Performance relationship
Advanced Material Characterization
Shape Memory Alloys
Computational Analysis</t>
  </si>
  <si>
    <t>Additive Manufacturing,
Composition-Process-Microstructure-Performance relationship,
Advanced Material Characterization,
Shape Memory Alloys,
Computational Analysis</t>
  </si>
  <si>
    <t>Sen, Chiradeep</t>
  </si>
  <si>
    <t xml:space="preserve"> csen@fit.edu</t>
  </si>
  <si>
    <t xml:space="preserve">Dr. Sen directs the Research in Information Science for Engineering Lab (RiSE Lab).  His research is in the broad area of design and manufacturing. </t>
  </si>
  <si>
    <t>design , manufacturing</t>
  </si>
  <si>
    <t>Shaw, Steven</t>
  </si>
  <si>
    <t xml:space="preserve"> sshaw@fit.edu</t>
  </si>
  <si>
    <t>Dr. Shaw’s s are centered on the development of physics-based, predictive models for vibrational systems, and the use of these models for design. Special emphases are on models that account for nonlinear behavior and noise.  His RProjects involve close collaboration with experimental and/or industrial research groups that guide and confirm these modeling efforts.  Specific applications include resonant micro-electro-mechanical-systems used for sensing and time-keeping, and centrifugal pendulum vibration absorbers used for attenuating torsional vibration in automotive powertrain components. His recent work has been funded by NSF, BSF, Stellantis, and Valeo.</t>
  </si>
  <si>
    <t>the development of physics-based, predictive models for vibrational systems, the use of these models for design</t>
  </si>
  <si>
    <t>Suksawang, Nakin</t>
  </si>
  <si>
    <t xml:space="preserve"> nsuksawang@fit.edu</t>
  </si>
  <si>
    <t>Concrete Materials
Structural Health Monitoring and NDE
Adhesive Anchors and Connections
Structural Performance and Service Life Evaluation
Advanced Infrastructure Materials
Structural Reliability and Safety
Double Composite Steel Box Girder Bridge</t>
  </si>
  <si>
    <t>Concrete Materials,
Structural Health Monitoring , NDE,
Adhesive Anchors , Connections,
Structural Performance , Service Life Evaluation,
Advanced Infrastructure Materials,
Structural Reliability , Safety,
Double Composite Steel Box Girder Bridge</t>
  </si>
  <si>
    <t>Wang, Kegang</t>
  </si>
  <si>
    <t xml:space="preserve"> kwang@fit.edu</t>
  </si>
  <si>
    <t>PWang's  covers theoretical, computational, and experimental materials science, condensed matter physics, statistical mechanics, and nanotechnology. One of goals is to understand nucleation and growth mechanisms, and evolution of microstructures and nanostructures in materials, to optimize these structures, and finally to design new structures. Another goal is to link processing and structures to various properties of materials, and to predict properties of materials by multiscale modeling. Materials include hard and soft materials such as alloys, nanocomposites, colloids, and polymers. One of his interests is on study of materials for solar cells. His interests also include statistical description of anomalous diffusion and relaxation processes in heterogeneous materials and biological systems.</t>
  </si>
  <si>
    <t>¿materials science, condensed matter physics, statistical mechanics, nanotechnology, nucleation , growth mechanisms, evolution of microstructures , nanostructures in materials</t>
  </si>
  <si>
    <t>North Carolina A&amp;T State University</t>
  </si>
  <si>
    <t>Acree, Daniel</t>
  </si>
  <si>
    <t>dacree@ncat.edu</t>
  </si>
  <si>
    <t>Manufacturing, Vehicle Dynamics, Off-Road Vehicle Traction &amp; Handling, CAD/CAM</t>
  </si>
  <si>
    <t>Manufacturing, Vehicle Dynamics, Off-Road Vehicle Traction &amp; H,ling, CAD/CAM</t>
  </si>
  <si>
    <t>Akangah, Paul</t>
  </si>
  <si>
    <t>pmakanga@ncat.edu</t>
  </si>
  <si>
    <t>engineering education, additive manufacturing, composite materials, metal foams for thermal and structural applications</t>
  </si>
  <si>
    <t>engineering education, additive manufacturing, composite materials, metal foams for thermal , structural applications</t>
  </si>
  <si>
    <t>Dhanasar, Mookesh</t>
  </si>
  <si>
    <t>mdhanasa@ncat.edu</t>
  </si>
  <si>
    <t>Main areas of research include (1) Hypersonics, Scramjet Combustion, (2) Small satellite (cube-sat) propulsion, power, and science payload sub-systems, (3) Heat transfer modeling and simulations, (4) Nuclear Space Systems (power &amp;/ propulsion), (5) Renewable energy and energy conversion systems, and (6) Engineering Education.</t>
  </si>
  <si>
    <t>Hypersonics, Scramjet Combustion,  Small satellite (cube-sat) propulsion, power, science payload sub-systems, Heat transfer modeling , simulations, Nuclear Space Systems (power &amp;/ propulsion), Renewable energy , energy conversion systems,Engineering Education,</t>
  </si>
  <si>
    <t>Dunn, DeRome</t>
  </si>
  <si>
    <t>derome@ncat.edu</t>
  </si>
  <si>
    <t>(1) Developing numerical computation processes that apply to analyzing Micro x-ray CT data of the ERC. (2) Strategies and how to carry out practices to impact/improve student learning in the classroom. (3) Programming to expose k-12 and current undergraduate students to STEM to improve their interest in STEM and also their persistence to pursue STEM if they enter STEM studies.</t>
  </si>
  <si>
    <t>Developing numerical computation processes that apply to analyzing Micro x-ray CT data of the ERC, Strategies , how to carry out practices to impact/improve student learning in the classroom, Programming to expose k-12</t>
  </si>
  <si>
    <r>
      <rPr>
        <u/>
        <sz val="10"/>
        <color rgb="FF000000"/>
        <rFont val="Arial"/>
        <family val="2"/>
      </rPr>
      <t>Ferguson, Frederick</t>
    </r>
    <r>
      <rPr>
        <sz val="10"/>
        <color rgb="FF000000"/>
        <rFont val="Arial"/>
        <family val="2"/>
      </rPr>
      <t xml:space="preserve"> (Chair)</t>
    </r>
  </si>
  <si>
    <t>fferguso@ncat.edu</t>
  </si>
  <si>
    <t>Aerothermodynamics for Space Vehicle Accent and Re-entry, Hypersonic Vehicle and Space Propulsion Systems Design, GUI Designs, Algorithms and Grid-Generation for Computational Fluid Dynamics, Weakly Ionized Plasma &amp; Magnetohydronamics, Soft Computing, Expert Systems and Extended Fuzzy Logics, Software Safety-Critical Systems Analysis, Expert Systems and Neural Networks. Heat transfer in Biological Tissues with Applications to Hyperthermia.</t>
  </si>
  <si>
    <t>Aerothermodynamics for Space Vehicle Accent , Re-entry, Hypersonic Vehicle , Space Propulsion Systems Design, GUI Designs, Algorithms , Grid-Generation for Computational Fluid Dynamics, Weakly Ionized Plasma &amp; Magnetohydronamics, Soft Computing, Expert Systems , Extended Fuzzy Logics, Software Safety-Critical Systems Analysis, Expert Systems , Neural Networks, Heat transfer in Biological Tissues with Applications to Hyperthermia</t>
  </si>
  <si>
    <t>Jeon, Sae Il</t>
  </si>
  <si>
    <t>sjeon@ncat.edu</t>
  </si>
  <si>
    <t>Kelkar, Ajit</t>
  </si>
  <si>
    <t>kelkar@ncat.edu</t>
  </si>
  <si>
    <t>Atomistic Modeling , Nano Engineered Materials, Eletrospinning, Molecular Dynamic Simulations, Nanotechnology, Multifunctional Materials, Crashworthiness, Low Cost Composite Manufacturing (VARTM Processing), Mechanical Characterization of Materials including Metals, Polymeric Composites (Tape and Textile), Ceramics and Ceramic Composites, Computer Aided Design and Modeling, Finite Element and Finite Difference Modeling, Numerical Analysis, Fatigue and Impact Modeling and Testing of Polymeric Composites, Ceramic Composites, Textile Composites, Micromechanics Modeling and Testing, Single Fiber Modeling and Testing</t>
  </si>
  <si>
    <t>Atomistic Modeling , Nano Engineered Materials, Eletrospinning, Molecular Dynamic Simulations, Nanotechnology, Multifunctional Materials, Crashworthiness, Low Cost Composite Manufacturing (VARTM Processing), Mechanical Characterization of Materials including Metals, Polymeric Composites (Tape , Textile), Ceramics , Ceramic Composites, Computer Aided Design , Modeling, Finite Element , Finite Difference Modeling, Numerical Analysis, Fatigue , Impact Modeling , Testing of Polymeric Composites, Ceramic Composites, Textile Composites, Micromechanics Modeling , Testing, Single Fiber Modeling , Testing</t>
  </si>
  <si>
    <t>Kizito, John</t>
  </si>
  <si>
    <t>jpkizito@ncat.edu</t>
  </si>
  <si>
    <t>Fluid and Thermal Engineering, Bio-physicochemical hydrodynamics, Aerospace, Computational Fluid Dynamics</t>
  </si>
  <si>
    <t>Fluid , Thermal Engineering, Bio-physicochemical hydrodynamics, Aerospace, Computational Fluid Dynamics</t>
  </si>
  <si>
    <t>Kumar, Dhananjay</t>
  </si>
  <si>
    <t>dkumar@ncat.edu</t>
  </si>
  <si>
    <t xml:space="preserve">Thin films, Condensed matters, Nanoscale materials, Alternative Energy
</t>
  </si>
  <si>
    <t>Okore Hanson, Theophilus</t>
  </si>
  <si>
    <t>tokoreha@ncat.edu</t>
  </si>
  <si>
    <t>Sankar, Jagannathan</t>
  </si>
  <si>
    <t>sankar@ncat.edu</t>
  </si>
  <si>
    <t xml:space="preserve">Broad-based materials innovation and translation
</t>
  </si>
  <si>
    <t xml:space="preserve">Broad-based materials innovation , translation
</t>
  </si>
  <si>
    <t>Schall, James</t>
  </si>
  <si>
    <t>jschall@ncat.edu</t>
  </si>
  <si>
    <t>$4,745 per year (in-state, full-time)</t>
  </si>
  <si>
    <t>Shivakumar, Kunigal</t>
  </si>
  <si>
    <t>kunigal@ncat.edu</t>
  </si>
  <si>
    <t>Development of Innovative Composite Materials for Multifunctional Applications Development of Damage Tolerance Models for Composite Materials and Metals Carbon/Carbon Composites</t>
  </si>
  <si>
    <t>Development of Innovative Composite Materials for Multifunctional Applications Development of Damage Tolerance Models for Composite Materials , Metals Carbon/Carbon Composites</t>
  </si>
  <si>
    <t>Sundaresan, Mannur</t>
  </si>
  <si>
    <t>mannur@ncat.edu</t>
  </si>
  <si>
    <t>Structural Health Monitoring, Acoustic Emission, Nondestructive Evaluation, composite materials, wave propagation</t>
  </si>
  <si>
    <t>Yi, Sun</t>
  </si>
  <si>
    <t>syi@ncat.edu</t>
  </si>
  <si>
    <t>Sun Yi's current s include analysis and control of dynamic systems with application to robots, vehicles, and aircraft.</t>
  </si>
  <si>
    <t>Sun Yi's current s include analysis , control of dynamic systems with application to robots, vehicles, aircraft,</t>
  </si>
  <si>
    <t>Old Dominion University (Batten)</t>
  </si>
  <si>
    <t>Thomas Alberts</t>
  </si>
  <si>
    <t>talberts@odu.edu</t>
  </si>
  <si>
    <t>Talley, W. K., Alberts, T. E., Britcher, C. P., Bawab, S., Karande, K., Gopinath, M. and Creedon, J. "Demonstrate Maglev M3 on ODU Guideway" $387,010. 2008 - 2009
Alberts, T. E. and Cowen, B. "Demonstrate Maglev M3 on ODU Guideway Phase I" $387,010. Local. May 1, 2008 - October 31, 2009
Alberts, T. E. " The Urban Maglev Project at Old Dominion University" $1,990,000. Federal. January 1, 2002 - April 1, 2005
Alberts, T. E. "Electromagnetic Rotational Power Harvester" $44,809. Local. January 1, 2002 - July 31, 2002
Alberts, T. E. " Sensor Assembly Automation" $83,821. Local. March 15, 2001 - February 28, 2002</t>
  </si>
  <si>
    <t>Electromagnetic Rotational Power Harvester, Sensor Assembly Automation</t>
  </si>
  <si>
    <t>Sharan Asundi</t>
  </si>
  <si>
    <t>sasundi@odu.edu</t>
  </si>
  <si>
    <t>Asundi, S. "IRAD Development and Fabrication of Custom Designed Systems of ODU/USCGAOdu/Uscga" $15,000. Local. May 16, 2022 - December 31, 2022
Asundi, S. and Popescu, D. C. "Design and Development of Flight Software for the Mission SeaLion – A 3U CubeSat Mission for On-orbit Validation of Multiple Payloads from ODU, USCGA, and AFIT" $10,000. State. April 1, 2022 - December 1, 2022
Asundi, S. "Magnetic Field Mapping of Pico/Nano/Micro-Satellites to Facilitate Refinement of their Guidance/Navigation Systems and Magnetic Cleanliness" $201,637. Federal. September 3, 2019 - August 31, 2022
Asundi, S. "IRAD Development of a Novel Remote Sensing Receiver" $10,000. Local. April 1, 2021 - March 31, 2022
Asundi, S. and Popescu, D. C. "Development of a Novel Remote Sensing Receiver (DiBAR), an Impedance Probe, and a Visual+NIR Sensor for a 3U CubeSat Technology Demonstration of In-Situ Space Measurement and Earth Remote Sensing" $10,000. State. March 1, 2021 - December 31, 2021
Popescu, D. C., Asundi, S. and Popescu, O. "STEM Outreach Activities Using the ODU Satellite Ground Station" $6,900. State. March 1, 2021 - December 31, 2021</t>
  </si>
  <si>
    <t xml:space="preserve">IRAD Development , Fabrication of Custom Designed Systems of ODU/USCGAOdu/Uscga, Design , Development of Flight Software for the Mission SeaLion </t>
  </si>
  <si>
    <t>Sebastian Bawab</t>
  </si>
  <si>
    <t>sbawab@odu.edu</t>
  </si>
  <si>
    <t>Kinematics and Dynamics, Design, CAD, Product Development, Stress Analysis, bioengineering, and Simulations.</t>
  </si>
  <si>
    <t>Kinematics , Dynamics, Design, CAD, Product Development, Stress Analysis, bioengineering, Simulations,</t>
  </si>
  <si>
    <t>Oktay Baysal Ph.D, P.E., F.ASME</t>
  </si>
  <si>
    <t>obaysal@odu.edu</t>
  </si>
  <si>
    <t>computational fluid dynamics
design optimization and sensitivity analysis
micro-fluidic transport
unsteady aerodynamics and high-speed flows
computational aeroacoustics.</t>
  </si>
  <si>
    <t>computational fluid dynamics,
design optimization , sensitivity analysis,
micro-fluidic transport,
unsteady aerodynamics , high-speed flows,
computational aeroacoustics,</t>
  </si>
  <si>
    <t>Colin Britcher</t>
  </si>
  <si>
    <t>cbritche@odu.edu</t>
  </si>
  <si>
    <t>Wind tunnel design and test techniques, experimental aerodynamics, magnetic suspension and levitation</t>
  </si>
  <si>
    <t>Wind tunnel design , test techniques, experimental aerodynamics, magnetic suspension , levitation</t>
  </si>
  <si>
    <t>Ayodeji Demuren</t>
  </si>
  <si>
    <t>ademuren@odu.edu</t>
  </si>
  <si>
    <t>Demuren, A. O. and Diawara, N. "Impaired Insulin Delivery During Continuous Insulin Infusion" $77,650. - 2009
Demuren, A. O. "Insulin PumPDelivery System Occlusion Study" $20,000. February 1, 2008 - December 31, 2008
Demuren, A. O. and Hou, G. J.W.. "High Performance Planning Hulls" $40,000. October 1, 2007 - December 31, 2008
Demuren, A. O. "CAT Machine Dust Minimization CFD Analysis. January 1, 2005 - December 30, 2008</t>
  </si>
  <si>
    <t>Insulin PumPDelivery System Occlusion Study, CAT Machine Dust Minimization CFD Analysis</t>
  </si>
  <si>
    <t>Abdelmageed Elmustafa</t>
  </si>
  <si>
    <t>aelmusta@odu.edu</t>
  </si>
  <si>
    <t>RF Accelerators Breakdown, Nanoscale Mechanical Behavior of Materials, Nanoindentation (Metals, Polymers, Alloys, Interconnects), Dislocation and Strain Gradient Plasticity, Thin Films (Mechanical Properties and Characterization), Modeling and Simulation (Nanoindentation CreePand Contact Mechanics), Nanopositioners (Precision Machining and Precision Motion), Friction Stir Welding, Corrosion and Corrosion Prevention</t>
  </si>
  <si>
    <t>RF Accelerators Breakdown, Nanoscale Mechanical Behavior of Materials, Nanoindentation (Metals, Polymers, Alloys, Interconnects), Dislocation , Strain Gradient Plasticity, Thin Films (Mechanical Properties , Characterization), Modeling , Simulation (Nanoindentation CreeP, Contact Mechanics), Nanopositioners (Precision Machining , Precision Motion), Friction Stir Welding, Corrosion , Corrosion Prevention</t>
  </si>
  <si>
    <t>Dipankar Ghosh</t>
  </si>
  <si>
    <t>dghosh@odu.edu</t>
  </si>
  <si>
    <t>External forces for particle manipulation in ceramic suspensions
Anisometric particles in the synthesis of ice-templated ceramics
Synthesis of ice-templated ceramics for Li-ion battery application
Dynamic behavior of ice-templated ceramics and composites</t>
  </si>
  <si>
    <t>External forces for particle manipulation in ceramic suspensions,
Anisometric particles in the synthesis of ice-templated ceramics,
Synthesis of ice-templated ceramics for Li-ion battery application,
Dynamic behavior of ice-templated ceramics , composites</t>
  </si>
  <si>
    <t>Julie Z. Hao</t>
  </si>
  <si>
    <t>zlhao@odu.edu</t>
  </si>
  <si>
    <t>Hao, J. Z. "A Learning Community for Engineers and Biologists At the Bio-Micro/Nano Interface" $175,000. - 2012
Hao, J. Z. "MRI Acquisition of Four-Probe MultiView 4000 AFM, NSOM, and SPM System " $310,401. - 2012
Hao, J. Z. "Project-Based Modeling &amp; Simulation and Experimental Modules for MEMS Undergraduate Education" $149,455. - 2012
Qian, S., Beskok, A., Gauthier, D. and Hao, J. Z. "A learning community for engineers and biologists at the bio-micro/nano interface" $175,000. Federal. 2010 - 2012</t>
  </si>
  <si>
    <t>A Learning Community for Engineers , Biologists At the Bio-Micro/Nano Interface,
MRI Acquisition of Four-Probe MultiView 4000 AFM, NSOM, SPM System,
Project-Based Modeling &amp; Simulation , Experimental Modules for MEMS Undergraduate Education,
A learning community for engineers , biologists at the bio-micro/nano interface</t>
  </si>
  <si>
    <t>Gene Hou</t>
  </si>
  <si>
    <t>ghou@odu.edu</t>
  </si>
  <si>
    <t xml:space="preserve">His research area is computational mechanics, multibody dynamics and design under uncertainty, emphasizing on multidisciplinary applications.
</t>
  </si>
  <si>
    <t>His research area is computational mechanics, multibody dynamics , design under uncertainty, emphasizing on multidisciplinary applications</t>
  </si>
  <si>
    <t>Krishnanand Kaipa</t>
  </si>
  <si>
    <t>kkaipa@odu.edu</t>
  </si>
  <si>
    <r>
      <rPr>
        <u/>
        <sz val="10"/>
        <color rgb="FF000000"/>
        <rFont val="Arial"/>
        <family val="2"/>
      </rPr>
      <t>Miltos Kotinis</t>
    </r>
    <r>
      <rPr>
        <sz val="10"/>
        <color rgb="FF000000"/>
        <rFont val="Arial"/>
        <family val="2"/>
      </rPr>
      <t xml:space="preserve"> (Chair)</t>
    </r>
  </si>
  <si>
    <t>mkotinis@odu.edu</t>
  </si>
  <si>
    <t xml:space="preserve">ShiPHydrodynamicsNumerical methods for computation of shiPresistance, turbulence modeling, marine propeller cavitation. Computational IntelligenceApplication of particle swarm optimization algorithms to multiobjective engineering optimization problems, hybrid evolutionary algorithms.
</t>
  </si>
  <si>
    <t xml:space="preserve">Hydrodynamics, Numerical methods for computation, resistance, turbulence modeling, marine propeller cavitation, Computational Intelligence,Application of particle swarm optimization algorithms to multiobjective engineering optimization problems, hybrid evolutionary algorithms
</t>
  </si>
  <si>
    <t>$571 per credit (in-state, full-time)</t>
  </si>
  <si>
    <t>Oleksandr Kravchenko</t>
  </si>
  <si>
    <t>okravche@odu.edu</t>
  </si>
  <si>
    <t>Drew Landman PhD, PE</t>
  </si>
  <si>
    <t>dlandman@odu.edu</t>
  </si>
  <si>
    <t>Wind Tunnel Testing/ Aerospace and Ground Vehicle Low Speed Aerodynamics/Design of Experiments as applied to Wind Tunnel Testing and Balance Calibration</t>
  </si>
  <si>
    <t>Wind Tunnel Testing/ Aerospace , Ground Vehicle Low Speed Aerodynamics/Design of Experiments as applied to Wind Tunnel Testing , Balance Calibration</t>
  </si>
  <si>
    <t>Venkat Maruthamuthu</t>
  </si>
  <si>
    <t>vmarutha@odu.edu</t>
  </si>
  <si>
    <t xml:space="preserve">Cellular Biomechanics,Engineered Cell Micro-environments,Multi-cellular Interactions
</t>
  </si>
  <si>
    <t>BreTTNewman</t>
  </si>
  <si>
    <t>bnewman@odu.edu</t>
  </si>
  <si>
    <t>Newman, B. A. "Space Vehicle Guidance, Navigation, Control, And Estimation Operations Technologies" $22,852. Federal. August 28, 2015 - December 30, 2017</t>
  </si>
  <si>
    <t>Space Vehicle Guidance, Navigation, Control, Estimation Operations Technologies</t>
  </si>
  <si>
    <t>Arthur Taylor</t>
  </si>
  <si>
    <t>ataylor@odu.edu</t>
  </si>
  <si>
    <t>Taylor, A. "Advanced Applications of ADIFOR 3.0 for Efficient Calculation of First- and Second-Order CFD Sensitivity Derivatives" $62,562. January 1, 2001 - September 30, 2002
Taylor, A. "Aerodynamic Sensitivity Analysis and Design Optimization on Parallel Computers Using Automatic Differentiations" $38,047. January 1998 - June 1998
Taylor, A. and Newman, J. "Multidisciplinary Design Optimization for Fluid/Structure Interaction" $66,000. July 1, 1994 - June 30, 1997
Taylor, A. and Hou, G. "Methodology For Sensitivity Analysis, Approximate Analysis, and Design Optimization in CFD For Multidisciplinary Applications" $306,360. April 15, 1991 - December 31, 1995</t>
  </si>
  <si>
    <t>Advanced Applications of ADIFOR 3,0 for Efficient Calculation of First- , Second-Order CFD Sensitivity Derivatives,
Aerodynamic Sensitivity Analysis , Design Optimization on Parallel Computers Using Automatic Differentiations,
Multidisciplinary Design Optimization for Fluid/Structure Interaction,
Methodology For Sensitivity Analysis, Approximate Analysis, Design Optimization in CFD For Multidisciplinary Applications</t>
  </si>
  <si>
    <t>Willy Wriggers</t>
  </si>
  <si>
    <t>wwrigger@odu.edu</t>
  </si>
  <si>
    <t xml:space="preserve">Wriggers, W. R. and He, J. "Multi-Resolution Docking Methods For Electron Microscopy" $214,728. Federal. July 1, 2016 - June 30, 2017
</t>
  </si>
  <si>
    <t xml:space="preserve">Multi-Resolution Docking Methods For Electron Microscopy
</t>
  </si>
  <si>
    <t>Tian-Bing Xu</t>
  </si>
  <si>
    <t>txxu@odu.edu</t>
  </si>
  <si>
    <t>Xiaoyu Zhang</t>
  </si>
  <si>
    <t>x1zhang@odu.edu</t>
  </si>
  <si>
    <t xml:space="preserve">Fuel Cell (SOFC, PEMFC), Photoelectrochemical Water Splitting, High Temperature Electrolysis, Nuclear fuel rod cladding materials
</t>
  </si>
  <si>
    <t>Fuel Cell (SOFC, PEMFC), Photoelectrochemical Water Splitting, High Temperature Electrolysis, Nuclear fuel rod cladding materials</t>
  </si>
  <si>
    <t>University of Akron</t>
  </si>
  <si>
    <t>Alper Buldum , Ph.D.</t>
  </si>
  <si>
    <t xml:space="preserve"> buldum@uakron.edu</t>
  </si>
  <si>
    <t xml:space="preserve">Computational materials science, mechanical, electronic and transport properties of nanomaterials, nanotechnology, nanotribology and modeling of advanced materials for energy storage and energy conversion
</t>
  </si>
  <si>
    <t xml:space="preserve">Computational materials science, mechanical, electronic , transport properties of nanomaterials, nanotechnology, nanotribology , modeling of advanced materials for energy storage , energy conversion
</t>
  </si>
  <si>
    <t>Dr. Wesley Carpenter</t>
  </si>
  <si>
    <t xml:space="preserve"> wac1@uakron.edu</t>
  </si>
  <si>
    <t xml:space="preserve">Creativity and Divergent Thinking in Engineering Design, Teaching Creativity and Innovation in the Engineering Curriculum, Creativity and Innovation, Engineering Design Education, Design Cognition, Neuroscience of Creativity
</t>
  </si>
  <si>
    <t xml:space="preserve">Creativity , Divergent Thinking in Engineering Design, Teaching Creativity , Innovation in the Engineering Curriculum, Creativity , Innovation, Engineering Design Education, Design Cognition, Neuroscience of Creativity
</t>
  </si>
  <si>
    <t>Dr. Jae-Won Choi</t>
  </si>
  <si>
    <t xml:space="preserve"> jchoi1@uakron.edu</t>
  </si>
  <si>
    <t xml:space="preserve">3D Printing and Additive Manufacturing, 3D Printed Smart Structures and Batteries, 3D Printing of Rubbers, Metals, and Ceramics
</t>
  </si>
  <si>
    <t xml:space="preserve">3D Printing , Additive Manufacturing, 3D Printed Smart Structures , Batteries, 3D Printing of Rubbers, Metals, Ceramics
</t>
  </si>
  <si>
    <t>Dr. Daniel C. Deckler</t>
  </si>
  <si>
    <t xml:space="preserve"> dcd@uakron.edu</t>
  </si>
  <si>
    <t xml:space="preserve">Control Systems, Mechatronics, Controllable Bearings, Deformable Robotics
</t>
  </si>
  <si>
    <t>Dr. Yalin Dong</t>
  </si>
  <si>
    <t xml:space="preserve"> ydong@uakron.edu</t>
  </si>
  <si>
    <t xml:space="preserve">Surface Engineering, tribology and lubrication, advanced manufacturing, laser matter interaction
</t>
  </si>
  <si>
    <t xml:space="preserve">Surface Engineering, tribology , lubrication, advanced manufacturing, laser matter interaction
</t>
  </si>
  <si>
    <t>Dr. Siamak Farhad</t>
  </si>
  <si>
    <t xml:space="preserve"> sfarhad@uakron.edu</t>
  </si>
  <si>
    <t xml:space="preserve">Energy Storage (Batteries), Energy Conversion (Fuel Cells and Piezoelectric), Energy Materials, Thermal Management, Electric Vehicles, AI/Machine Learning, Precision Manufacturing, Recycling
</t>
  </si>
  <si>
    <t xml:space="preserve">Energy Storage (Batteries), Energy Conversion (Fuel Cells , Piezoelectric), Energy Materials, Thermal Management, Electric Vehicles, AI/Machine Learning, Precision Manufacturing, Recycling
</t>
  </si>
  <si>
    <r>
      <rPr>
        <u/>
        <sz val="10"/>
        <color rgb="FF000000"/>
        <rFont val="Arial"/>
        <family val="2"/>
      </rPr>
      <t>Dr. Sergio Felicelli</t>
    </r>
    <r>
      <rPr>
        <sz val="10"/>
        <color rgb="FF000000"/>
        <rFont val="Arial"/>
        <family val="2"/>
      </rPr>
      <t xml:space="preserve"> (CHair)</t>
    </r>
  </si>
  <si>
    <t xml:space="preserve"> sergio@uakron.edu</t>
  </si>
  <si>
    <t xml:space="preserve">Solidification Modeling, Transport Phenomena, Computational Mechanics
</t>
  </si>
  <si>
    <t>Dr. Xiaosheng Gao</t>
  </si>
  <si>
    <t xml:space="preserve"> xgao@uakron.edu</t>
  </si>
  <si>
    <t xml:space="preserve">Mechanics of materials and structures, constitutive modeling of advanced materials, computational mechanics, fatigue and fracture mechanics, micromechanics, multi-scale modeling of damage &amp; failure and material characterization with microstructure
</t>
  </si>
  <si>
    <t xml:space="preserve">Mechanics of materials , structures, constitutive modeling of advanced materials, computational mechanics, fatigue , fracture mechanics, micromechanics, multi-scale modeling of damage &amp; failure , material characterization with microstructure
</t>
  </si>
  <si>
    <t>Dr. Nicholas Garafolo</t>
  </si>
  <si>
    <t xml:space="preserve"> ngarafo@uakron.edu</t>
  </si>
  <si>
    <t xml:space="preserve">Thermo-fluid sciences, fluid-material interaction, advanced aerospace seals, near-hermetic fluid flows
</t>
  </si>
  <si>
    <t>Dr. Michelle S. Hoo Fatt</t>
  </si>
  <si>
    <t xml:space="preserve"> hoofatt@uakron.edu</t>
  </si>
  <si>
    <t xml:space="preserve">Impact and Blast Mechanics, Composite Structures, Sandwich Structures and Materials, Elastomer Mechanics
</t>
  </si>
  <si>
    <t xml:space="preserve">Impact , Blast Mechanics, Composite Structures, S,wich Structures , Materials, Elastomer Mechanics
</t>
  </si>
  <si>
    <t>Daniel E. Kandray, M.T., P.E.</t>
  </si>
  <si>
    <t xml:space="preserve"> kandray@uakron.edu</t>
  </si>
  <si>
    <t>Dr. Chen Ling</t>
  </si>
  <si>
    <t xml:space="preserve"> cl99@uakron.edu</t>
  </si>
  <si>
    <t xml:space="preserve">Cognitive systems engineering of complex systems to enhance system safety and efficiency, human decision makings in aviation systems and weather systems
</t>
  </si>
  <si>
    <t xml:space="preserve">Cognitive systems engineering of complex systems to enhance system safety , efficiency, human decision makings in aviation systems , weather systems
</t>
  </si>
  <si>
    <t>$10,610 per year (in-state, full-time)</t>
  </si>
  <si>
    <t>Dr. Ajay Mahajan</t>
  </si>
  <si>
    <t xml:space="preserve"> majay@uakron.edu</t>
  </si>
  <si>
    <t xml:space="preserve">Intelligent systems, robotics, controls, biomedical devices, data analytics, smart genomics
</t>
  </si>
  <si>
    <t>Dr. Gregory Morscher</t>
  </si>
  <si>
    <t xml:space="preserve"> gm33@uakron.edu</t>
  </si>
  <si>
    <t xml:space="preserve">Microstructure/property relationships of ceramic matrix composites, Process development of ceramic matrix composites including all aspects of constituent materials and fiber architecture,  Acoustic emission for damage determination and general monitoring of composites, structures, and machines, Other structural health monitoring techniques, e.g., electrical resistivity, Integration technologies for dissimilar materials
</t>
  </si>
  <si>
    <t xml:space="preserve">Microstructure/property relationships of ceramic matrix composites, Process development of ceramic matrix composites including all aspects of constituent materials , fiber architectureAcoustic emission for damage determination , general monitoring of composites, structures, machines, Other structural health monitoring techniques, e,g,, electrical resistivity, Integration technologies for dissimilar materials
</t>
  </si>
  <si>
    <t>Dr. Gopal Nadkarni</t>
  </si>
  <si>
    <t xml:space="preserve"> gnadkarni1@uakron.edu</t>
  </si>
  <si>
    <t xml:space="preserve">Manufacturing and Materials, Product / Design Engineering, Technology Based Startups
</t>
  </si>
  <si>
    <t xml:space="preserve">Manufacturing , Materials, Product / Design Engineering, Technology Based Startups
</t>
  </si>
  <si>
    <t>Dr. Amir Nourhani</t>
  </si>
  <si>
    <t xml:space="preserve"> nourhani@uakron.edu</t>
  </si>
  <si>
    <t xml:space="preserve">Microscale fluid flow, Stochastic dynamics, Trajectory classification, Electrokinetics, Acoustofluidics, External actuation, Bio-fluid dynamics
</t>
  </si>
  <si>
    <t>Dr. Heather Oravec</t>
  </si>
  <si>
    <t xml:space="preserve"> horavec@uakron.edu</t>
  </si>
  <si>
    <t xml:space="preserve">Advanced aerospace seals, low-leakage seal technologies, high temperature seals, extraterrestrial soil mechanics, extraterrestrial surface mobility
</t>
  </si>
  <si>
    <t>Dr. Alex Povitsky</t>
  </si>
  <si>
    <t xml:space="preserve"> povitsky@uakron.edu</t>
  </si>
  <si>
    <t xml:space="preserve">Computational aerodynamics, computational fluid dynamics, computational heat transfer, aeroacoustics, aerospace engineering, micro-fluidics dynamics
</t>
  </si>
  <si>
    <t>Dr. D. Dane Quinn</t>
  </si>
  <si>
    <t xml:space="preserve"> quinn@uakron.edu</t>
  </si>
  <si>
    <t xml:space="preserve">Structural dynamics, mechanics, dynamical systems
</t>
  </si>
  <si>
    <t>Dr. Susan E. Ramlo</t>
  </si>
  <si>
    <t xml:space="preserve"> sramlo@uakron.edu</t>
  </si>
  <si>
    <t xml:space="preserve">Physics Education, Engineering Education, Cybersecurity Education, Higher Education including the impact of COVID-19, Health Science Education, Research Methodologies in social science research.
</t>
  </si>
  <si>
    <t xml:space="preserve">Physics Education, Engineering Education, Cybersecurity Education, Higher Education including the impact of COVID-19, Health Science Education, Research Methodologies in social science research,
</t>
  </si>
  <si>
    <t>Dr. ScoTTSawyer</t>
  </si>
  <si>
    <t xml:space="preserve"> ssawyer@uakron.edu</t>
  </si>
  <si>
    <t>Dr. Yogesh PrataPSingh</t>
  </si>
  <si>
    <t xml:space="preserve"> ysingh@uakron.edu</t>
  </si>
  <si>
    <t xml:space="preserve">Ceramic Matrix Composites, Polymer Matrix Composites, Structural Health Monitoring and Non-Destructive Evaluation Techniques
</t>
  </si>
  <si>
    <t xml:space="preserve">Ceramic Matrix Composites, Polymer Matrix Composites, Structural Health Monitoring , Non-Destructive Evaluation Techniques
</t>
  </si>
  <si>
    <t>Dr. Saikishan Suryanarayanan</t>
  </si>
  <si>
    <t xml:space="preserve"> ssuryanarayanan@uakron.edu</t>
  </si>
  <si>
    <t xml:space="preserve">Thermal-Fluid Sciences, Computational Fluid Dynamics, Transition and Turbulence, Flow Control
</t>
  </si>
  <si>
    <t xml:space="preserve">Thermal-Fluid Sciences, Computational Fluid Dynamics, Transition , Turbulence, Flow Control
</t>
  </si>
  <si>
    <t>Dr. Kwek-Tze Tan</t>
  </si>
  <si>
    <t xml:space="preserve"> ktan@uakron.edu</t>
  </si>
  <si>
    <t xml:space="preserve">Impact, damage and fracture of composite materials, wave propagation in acoustic metamaterials, unique behavior of mechanical metamaterials, bioinspired structures and materials.
</t>
  </si>
  <si>
    <t xml:space="preserve">Impact, damage , fracture of composite materials, wave propagation in acoustic metamaterials, unique behavior of mechanical metamaterials, bioinspired structures , materials,
</t>
  </si>
  <si>
    <t>Dr. Guo-Xiang Wang</t>
  </si>
  <si>
    <t xml:space="preserve"> gwang@uakron.edu</t>
  </si>
  <si>
    <t>Dr. Shengyong Wang</t>
  </si>
  <si>
    <t xml:space="preserve"> wangs@uakron.edu</t>
  </si>
  <si>
    <t xml:space="preserve">Application of Systems Engineering in a variety of domains, including aerospace systems, manufacturing systems, and health care delivery systems. 
</t>
  </si>
  <si>
    <t xml:space="preserve">Application of Systems Engineering in a variety of domains, including aerospace systems, manufacturing systems, health care delivery systems, 
</t>
  </si>
  <si>
    <t>Dr. Shing-Chung "Josh" Wong</t>
  </si>
  <si>
    <t xml:space="preserve"> swong@uakron.edu</t>
  </si>
  <si>
    <t xml:space="preserve">Composite and Adhesion Sciences, Fracture Mechanics and Fatigue, Composites and Soft Materials, Bio-inspired Advanced Manufacturing, Materials Science and Engineering, Biomaterials
</t>
  </si>
  <si>
    <t xml:space="preserve">Composite , Adhesion Sciences, Fracture Mechanics , Fatigue, Composites , Soft Materials, Bio-inspired Advanced Manufacturing, Materials Science , Engineering, Biomaterials
</t>
  </si>
  <si>
    <t>Dr. Jiang Zhe</t>
  </si>
  <si>
    <t xml:space="preserve"> jzhe@uakron.edu</t>
  </si>
  <si>
    <t xml:space="preserve">Micro and Nano Sensors, Biosensors and Bioinstrument, Lab on a chip, Microfluidic and Nanofluidic Devices, Machine Health Monitoring, Artificial Neural Network for Sensor Network
</t>
  </si>
  <si>
    <t xml:space="preserve">Micro , Nano Sensors, Biosensors , Bioinstrument, Lab on a chip, Microfluidic , Nanofluidic Devices, Machine Health Monitoring, Artificial Neural Network for Sensor Network
</t>
  </si>
  <si>
    <t>University of Alabama--Birmingham</t>
  </si>
  <si>
    <t>Kathy Lu (Department chair)</t>
  </si>
  <si>
    <t>raesposi@uab.edu</t>
  </si>
  <si>
    <t xml:space="preserve">Geological engineering and the nexus between energy production and the environment, compression and injection of fluids into the subsurface, greenhouse gas emission mitigation technologies, enhanced energy recovery, carbon capture and storage, compressed air energy storage, deep-well disposal of fluids, and deep-well isolation of low-level radioactive solids.
</t>
  </si>
  <si>
    <t>Geological engineering , the nexus between energy production , the environment, compression , injection of fluids into the subsurface, greenhouse gas emission mitigation technologies, enhanced energy recovery, carbon capture , storage, compressed air energy storage, deep-well disposal of fluids, deep-well isolation of low-level radioactive solids</t>
  </si>
  <si>
    <t>Department of Mechanical and Materials Engineering</t>
  </si>
  <si>
    <t>Robin D. Foley</t>
  </si>
  <si>
    <t>rfoley@uab.edu</t>
  </si>
  <si>
    <t>Robin Foley is part of the Materials Engineering metals research group. She works collaboratively with Ps John Griffin and Charlie Monroe working to enhance the production of metals in American manufacturing. She enjoys doing research on practical engineering problems.</t>
  </si>
  <si>
    <t xml:space="preserve"> production of metals in American manufacturing</t>
  </si>
  <si>
    <t>Amber Genau</t>
  </si>
  <si>
    <t>genau@uab.edu</t>
  </si>
  <si>
    <t>Metallurgy, alloy solidification, microstructure characterization</t>
  </si>
  <si>
    <t>John A. Griffin</t>
  </si>
  <si>
    <t>jagrif@uab.edu</t>
  </si>
  <si>
    <t>Ferrous and non-ferrous metal casting and forming</t>
  </si>
  <si>
    <t>Ferrous , non-ferrous metal casting , forming</t>
  </si>
  <si>
    <t>Mark Banaszak Holl</t>
  </si>
  <si>
    <t>mmbanasz@uab.edu</t>
  </si>
  <si>
    <t>He is passionate about engineering education, sustainable design, and the interface of engineering with social justice and human rights.</t>
  </si>
  <si>
    <t xml:space="preserve"> education, sustainable design, the interface of engineering with social justice , human rights,</t>
  </si>
  <si>
    <t>Gregg M. Janowski</t>
  </si>
  <si>
    <t>janowski@uab.edu</t>
  </si>
  <si>
    <t>My current research focuses on ceramic materials for dental applications, including zirconia and porcelain. Topics include effects of roughness and roughing process on bond strength, correlation of materials strength to the strength of a model tooth system, phase transformations in the oral environment, and CAD/CAM processing.</t>
  </si>
  <si>
    <t>ceramic materials for dental applications, including zirconia , porcelain,roughness , roughing process on bond strength, correlation of materials strength to the strength of a model tooth system, phase transformations in the oral environment, CAD/CAM processing</t>
  </si>
  <si>
    <t>Roy P. Koomullil</t>
  </si>
  <si>
    <t>rkoomul@uab.edu</t>
  </si>
  <si>
    <t xml:space="preserve"> Computational Fluid Dynamics, High Performance Computing, Fluid Mechanics, Aerodynamics, Numerical Methods, and Biomedical Flow Simulation</t>
  </si>
  <si>
    <t xml:space="preserve"> Computational Fluid Dynamics, High Performance Computing, Fluid Mechanics, Aerodynamics, Numerical Methods, Biomedical Flow Simulation</t>
  </si>
  <si>
    <t>Shannon Lisenbee</t>
  </si>
  <si>
    <t>slisenb@uab.edu</t>
  </si>
  <si>
    <t>David Littlefield</t>
  </si>
  <si>
    <t>littlefield@uab.edu</t>
  </si>
  <si>
    <t xml:space="preserve">Computational Mechanics, Mechanics of Materials, Shock Physics, High Performance Computing, Electromagnetics
</t>
  </si>
  <si>
    <t>Manoj K. Mahapatra</t>
  </si>
  <si>
    <t>mkmanoj@uab.edu</t>
  </si>
  <si>
    <t>Ceramics and Glass, Energy and Environmental Sustainability, Materials Degradation</t>
  </si>
  <si>
    <t>Ceramics , Glass, Energy , Environmental Sustainability, Materials Degradation</t>
  </si>
  <si>
    <t>David McDaniel</t>
  </si>
  <si>
    <t>drmcd@uab.edu</t>
  </si>
  <si>
    <t>Dr. McDaniel currently serves as the lead developer for the Kestrel fixed-wing product of the CREATE effort managed by the DoD High Performance Computing Modernization Program.</t>
  </si>
  <si>
    <t>Dr, McDaniel currently serves as the lead developer for the Kestrel fixed-wing product of the CREATE effort managed by the DoD High Performance Computing Modernization Program,</t>
  </si>
  <si>
    <t>Robert Nichols</t>
  </si>
  <si>
    <t>bnichols@uab.edu</t>
  </si>
  <si>
    <t>$482 per credit (in-state, full-time)</t>
  </si>
  <si>
    <t>Haibin Ning</t>
  </si>
  <si>
    <t>ning@uab.edu</t>
  </si>
  <si>
    <t>High performance lightweight composite materials, hybrid materials</t>
  </si>
  <si>
    <t>Selvum "Brian" Pillay</t>
  </si>
  <si>
    <t>pillay@uab.edu</t>
  </si>
  <si>
    <t>Composite Materials, Manufacturing, Quality, Engineering Design</t>
  </si>
  <si>
    <t>Vinoy Thomas</t>
  </si>
  <si>
    <t>vthomas@uab.edu</t>
  </si>
  <si>
    <t>Polymers/composites, Biomaterials/Nanomaterials, Tissue Engineering &amp; Drug Delivery, Nanospinning &amp; 3D Printing of Scaffolds and Thermal &amp; Rheological Characterization</t>
  </si>
  <si>
    <t>Polymers/composites, Biomaterials/Nanomaterials, Tissue Engineering &amp; Drug Delivery, Nanospinning &amp; 3D Printing of Scaffolds , Thermal &amp; Rheological Characterization</t>
  </si>
  <si>
    <t>University of Colorado--Denver</t>
  </si>
  <si>
    <t>R. Dana Carpenter, PhD</t>
  </si>
  <si>
    <t xml:space="preserve"> dana.carpenter@ucdenver.edu</t>
  </si>
  <si>
    <t xml:space="preserve">RProjects include developing finite-element models from patient specific data, determining the mechanical effects of exercise and pharmaceuticals on bone, the synthesis and characterization of shape-changing polymers, and the design and testing of biomedical devices.
</t>
  </si>
  <si>
    <t>developing finite-element models from patient specific data, determining the mechanical effects of exercise , pharmaceuticals on bone, the synthesis , characterization of shape-changing polymers, the design , testing of biomedical devices</t>
  </si>
  <si>
    <t>Joseph Cullen, MS</t>
  </si>
  <si>
    <t xml:space="preserve"> joseph.cullen@ucdenver.edu</t>
  </si>
  <si>
    <t>Maryam Darbeheshti, PhD</t>
  </si>
  <si>
    <t xml:space="preserve"> maryam.darbeheshti@ucdenver.edu</t>
  </si>
  <si>
    <t>Guoying Dong, PhD</t>
  </si>
  <si>
    <t xml:space="preserve"> guoying.dong@ucdenver.edu</t>
  </si>
  <si>
    <t>Design For Additive Manufacturing
Optimization For Lattice Structures
Design for Biomedical Applications
Conformal Cooling Channel Design
Voxel Printing for Digitalized Materials</t>
  </si>
  <si>
    <t>Design For Additive Manufacturing,
Optimization For Lattice Structures,
Design for Biomedical Applications,
Conformal Cooling Channel Design,
Voxel Printing for Digitalized Materials</t>
  </si>
  <si>
    <t>Martin Dunn, PhD</t>
  </si>
  <si>
    <t xml:space="preserve"> martin.dunn@ucdenver.edu</t>
  </si>
  <si>
    <t>Brecca Gaffney, PhD</t>
  </si>
  <si>
    <t xml:space="preserve"> brecca.gaffney@ucdenver.edu</t>
  </si>
  <si>
    <t>Utilizing musculoskeletal biomechanics to improve diagnostics and efficacy of surgical and non-surgical interventions to prevent secondary pain conditions.</t>
  </si>
  <si>
    <t>Utilizing musculoskeletal biomechanics to improve diagnostics , efficacy of surgical , non-surgical interventions to prevent secondary pain conditions,</t>
  </si>
  <si>
    <t>Douglas Gallagher</t>
  </si>
  <si>
    <t xml:space="preserve"> douglas.gallagher@ucdenver.edu</t>
  </si>
  <si>
    <t>Linyue Gao, PhD</t>
  </si>
  <si>
    <t xml:space="preserve"> linyue.gao@ucdenver.edu</t>
  </si>
  <si>
    <t>focuses on developing and optimizing advanced flow diagnostics and instrumentations and applying our flow imaging knowledge and skills to reveal fundamental principles in thermal fluid and energy systems. Our goal is to achieve efficient, reliable, and affordable renewable and low-carbon energy systems. We are also interested in investigating the influence of extreme weather on renewable energy systems with laboratory experiments, field measurements, and numerical simulations.</t>
  </si>
  <si>
    <t>focuses on developing , optimizing advanced flow diagnostics , instrumentations , applying our flow imaging knowledge , skills to reveal fundamental principles in thermal fluid , energy systems, Our goal is to achieve efficient, reliable, affordable renewable , low-carbon energy systems, We are also interested in investigating the influence of extreme weather on renewable energy systems with laboratory experiments, field measurements, numerical simulations,</t>
  </si>
  <si>
    <t>Marc Ingber, PhD</t>
  </si>
  <si>
    <t xml:space="preserve"> marc.ingber@ucdenver.edu</t>
  </si>
  <si>
    <t>Kannan Premnath, PhD</t>
  </si>
  <si>
    <t xml:space="preserve"> kannan.premnath@ucdenver.edu</t>
  </si>
  <si>
    <t>Ron Rorrer, PhD, PE (Chair)</t>
  </si>
  <si>
    <t xml:space="preserve"> ronald.rorrer@ucdenver.edu</t>
  </si>
  <si>
    <t>Sam Welch, PhD</t>
  </si>
  <si>
    <t xml:space="preserve"> sam.welch@ucdenver.edu</t>
  </si>
  <si>
    <t>$12,006 per year (in-state, full-time)</t>
  </si>
  <si>
    <t>Kristin Wood, PhD</t>
  </si>
  <si>
    <t xml:space="preserve"> kristin.wood@ucdenver.edu</t>
  </si>
  <si>
    <t>Christopher Yakacki, PhD</t>
  </si>
  <si>
    <t xml:space="preserve"> chris.yakacki@ucdenver.edu</t>
  </si>
  <si>
    <t>Kai Yu, PhD</t>
  </si>
  <si>
    <t xml:space="preserve"> kai.2.yu@ucdenver.edu</t>
  </si>
  <si>
    <t xml:space="preserve">Our research focuses on the mechanical and physical behavior of contemporary active polymers that are important to the nation, such as the reprocessible and recyclable plastics, liquid crystal elastomers, and shape-changing polymers. </t>
  </si>
  <si>
    <t xml:space="preserve">Our research focuses on the mechanical , physical behavior of contemporary active polymers that are important to the nation, such as the reprocessible , recyclable plastics, liquid crystal elastomers, shape-changing polymers, </t>
  </si>
  <si>
    <t>University of Denver (Ritchie)</t>
  </si>
  <si>
    <t>Ali Azadani</t>
  </si>
  <si>
    <t>ali.azadani@du.edu</t>
  </si>
  <si>
    <t>Biofluid Mechanics
Soft Tissue Mechanics
Biotransport
Transcatheter Heart Valve Replacement
Valve-in-Valve Implantation
Valve Thrombosis
and Left Atrial Appendage Closure Devices.</t>
  </si>
  <si>
    <t>Biofluid Mechanics,
Soft Tissue Mechanics,
Biotransport,
Transcatheter Heart Valve Replacement,
Valve-in-Valve Implantation,
Valve Thrombosis,
, Left Atrial Appendage Closure Devices,</t>
  </si>
  <si>
    <t>Chadd W. Clary</t>
  </si>
  <si>
    <t>chadd.clary@du.edu</t>
  </si>
  <si>
    <t>Orthopaedic Biomechanics
Total Joint Replacement</t>
  </si>
  <si>
    <t>MaTTHoward Gordon</t>
  </si>
  <si>
    <t>matthew.gordon@du.edu</t>
  </si>
  <si>
    <t>Engineering Education, Chemical Vapor Deposition, Electronic Packaging</t>
  </si>
  <si>
    <t>Joe D Hoffman</t>
  </si>
  <si>
    <t>joe.hoffman@du.edu</t>
  </si>
  <si>
    <t>#173 - Best Engineering Schools</t>
  </si>
  <si>
    <t>Rachel E Horenstein</t>
  </si>
  <si>
    <t>rachel.horenstein@du.edu</t>
  </si>
  <si>
    <t>Maciej Kumosa</t>
  </si>
  <si>
    <t>maciej.kumosa@du.edu</t>
  </si>
  <si>
    <t>Peter Laz</t>
  </si>
  <si>
    <t>peter.laz@du.edu</t>
  </si>
  <si>
    <t xml:space="preserve">Peter Laz's research is focused in orthopaedic biomechanics and materials, and involves the application of probabilistic methods to assess the contributions of uncertainty. </t>
  </si>
  <si>
    <t xml:space="preserve">rthopaedic biomechanics , materials, involves the application of probabilistic methods to assess the contributions of uncertainty, </t>
  </si>
  <si>
    <t>Casey Myers</t>
  </si>
  <si>
    <t>casey.myers@du.edu</t>
  </si>
  <si>
    <t>Siavash Rezazadeh</t>
  </si>
  <si>
    <t>siavash.rezazadeh@du.edu</t>
  </si>
  <si>
    <t>Design and Control of Legged Robots
Wearable Robots
Actuators</t>
  </si>
  <si>
    <t>Design , Control of Legged Robots,
Wearable Robots,
Actuators</t>
  </si>
  <si>
    <t>Jason A Roney</t>
  </si>
  <si>
    <t>jason.roney@du.edu</t>
  </si>
  <si>
    <t>Environmental Fluid Dynamics
Atmospheric Modeling
Air Quality Modeling
Multiphase Flows
Aerosols
Planetary Atmospheres including Near Space Environments
Wind and Renewable Energy
Learning and Teaching Styles in Engineering Education</t>
  </si>
  <si>
    <t>Environmental Fluid Dynamics,
Atmospheric Modeling,
Air Quality Modeling,
Multiphase Flows,
Aerosols,
Planetary Atmospheres including Near Space Environments,
Wind , Renewable Energy,
Learning , Teaching Styles in Engineering Education</t>
  </si>
  <si>
    <r>
      <rPr>
        <u/>
        <sz val="10"/>
        <color rgb="FF000000"/>
        <rFont val="Arial"/>
        <family val="2"/>
      </rPr>
      <t>Breigh N. Roszelle</t>
    </r>
    <r>
      <rPr>
        <sz val="10"/>
        <color rgb="FF000000"/>
        <rFont val="Arial"/>
        <family val="2"/>
      </rPr>
      <t xml:space="preserve"> (Chair)</t>
    </r>
  </si>
  <si>
    <t>breigh.roszelle@du.edu</t>
  </si>
  <si>
    <t>Her educational s include first-year engineering experiences, assessment, inclusive excellence, and active learning pedagogy, including project-based learning. Along with teaching Dr. Roszelle strives to mentor students and advocate for those underrepresented in the STEM fields.</t>
  </si>
  <si>
    <t>first-year engineering experiences, assessment, inclusive excellence, active learning pedagogy, project-based learning</t>
  </si>
  <si>
    <t>Paul J. Rullkoetter</t>
  </si>
  <si>
    <t>paul.rullkoetter@du.edu</t>
  </si>
  <si>
    <t>$41,445 per year (full-time)</t>
  </si>
  <si>
    <t>Kevin B. Shelburne</t>
  </si>
  <si>
    <t>kevin.shelburne@du.edu</t>
  </si>
  <si>
    <t>My research utilizes novel methodologies for measuring and simulating musculoskeletal injury and treatment.</t>
  </si>
  <si>
    <t>novel methodologies for measuring , simulating musculoskeletal injury , treatment,</t>
  </si>
  <si>
    <t>Yun-Bo Yi</t>
  </si>
  <si>
    <t>yun-bo.yi@du.edu</t>
  </si>
  <si>
    <t>University of Louisville (Speed)</t>
  </si>
  <si>
    <t>Sundar Atre</t>
  </si>
  <si>
    <t>svatre01@louisville.edu</t>
  </si>
  <si>
    <t>Dr. Atre's current research in advanced materials and multi-scale manufacturing focus on additive manufacturing and powder injection molding of metal and ceramics.</t>
  </si>
  <si>
    <t>advanced materials , multi-scale manufacturing focus on additive manufacturing , powder injection molding of metal , ceramics,</t>
  </si>
  <si>
    <t>Thomas Berfield</t>
  </si>
  <si>
    <t>taberf01@louisville.edu</t>
  </si>
  <si>
    <t>Momenzadeh, N., Miyanaji, H. &amp; Berfield, T., A. (2019). Influences of zirconium tungstate additives on characteristics of polyvinylidene fluoride (PVDF) components fabricated via material extrusion additive manufacturing process. The International Journal of Advanced Manufacturing Technology
Momenzadeh, N., Nath, S., D., Berfield, T., A. &amp; Atre, S., V. (2019). In Situ Measurement of Thermal Strain Development in 420 Stainless Steel Additive Manufactured Metals. Experimental Mechanics
Derakhshani, M., Berfield, T., A. &amp; Murphy, K., D. (2019). A component coupling approach to dynamic analysis of a buckled, bistable vibration energy harvester structure. Nonlinear Dynamics</t>
  </si>
  <si>
    <t>Influences of zirconium tungstate additives on characteristics of polyvinylidene fluoride (PVDF) components fabricated via material extrusion additive manufacturing process, The International Journal of Advanced Manufacturing Technology,
Measurement of Thermal Strain Development in 420 Stainless Steel Additive Manufactured Metals, Experimental Mechanics,
A component coupling approach to dynamic analysis of a buckled, bistable vibration energy harvester structure, Nonlinear Dynamics</t>
  </si>
  <si>
    <t>Bikram Bhatia</t>
  </si>
  <si>
    <t>b0bhat05@louisville.edu</t>
  </si>
  <si>
    <t>His research focuses on heat transfer, nanotechnology, advanced materials, and energy systems.</t>
  </si>
  <si>
    <t>heat transfer, nanotechnology, advanced materials, energy systems</t>
  </si>
  <si>
    <t>Roger Bradshaw</t>
  </si>
  <si>
    <t>rdbrad04@louisville.edu</t>
  </si>
  <si>
    <t>Xu, P., Loomis, J., Bradshaw, R., D. &amp; Panchapakesan, B. (2012). Load transfer and mechanical properties of chemically reduced graphene reinforcements in polymer composites. Nanotechnology, 23(50)</t>
  </si>
  <si>
    <t>Load transfer , mechanical properties of chemically reduced graphene reinforcements in polymer composites, Nanotechnology</t>
  </si>
  <si>
    <t>Ellen Brehob</t>
  </si>
  <si>
    <t>egbreh01@louisville.edu</t>
  </si>
  <si>
    <t>Schroeder, M., G., Brehob, E., G. &amp; , . (2016). A Flexible Numerical Model of a Multistage Active Magnetocaloric Regenerator. International Journal of Refrigeration, 65, 250-257
Albanese, M., V., Robinson, B., S., Brehob, E., G. &amp; Sharp, M., K. (2013). Simulated and Experimental Performance of a Heat Pipe Assisted Solar Wall. Solar Energy, 86(5), 1552-1562
Zwanzig, S., Lian, Y. &amp; 215434, B. (2013). Numerical simulation of phase change material composite wallboard in a multi-layered building envelope. ENERGY CONVERSION AND MANAGEMENT, 69, 27-40</t>
  </si>
  <si>
    <t>A Flexible Numerical Model of a Multistage Active Magnetocaloric Regenerator,
Simulated and Experimental Performance of a Heat Pipe Assisted Solar Wall,
Numerical simulation of phase change material composite wallboard in a multi-layered building envelope</t>
  </si>
  <si>
    <t>Yanyu Chen</t>
  </si>
  <si>
    <t>y0chen50@louisville.edu</t>
  </si>
  <si>
    <t>Jiang, H., ., Le, B., L., Bednarcyk, B., A., Scarpa, F., . &amp; Chen, Y., . (2020). Bioinspired multilayered cellular composites with enhanced energy absorption and shape recovery. ADDITIVE MANUFACTURING, 36
Meng, H., ., Bailey, N., ., Chen, Y., ., Wang, L., ., Ciampa, F., ., Fabro, A., ., Chronopoulos, D., . &amp; Elmadih, W., . (2020). 3D rainbow phononic crystals for extended vibration attenuation bands. SCIENTIFIC REPORTS, 10(1)
Jiang, H., ., Ziegler, H., ., Zhang, Z., ., Meng, H., ., Chronopoulos, D., . &amp; Chen, Y., . (2020). Mechanical properties of 3D printed architected polymer foams under large deformation. MATERIALS &amp; DESIGN, 194</t>
  </si>
  <si>
    <t>Bioinspired multilayered cellular composites with enhanced energy absorption , shape recovery, 3D rainbow phononic crystals for extended vibration attenuation, Mechanical properties of 3D printed architected polymer foams under large deformation</t>
  </si>
  <si>
    <t>Yash Chitalia</t>
  </si>
  <si>
    <t>ycchit01@louisville.edu</t>
  </si>
  <si>
    <t>Arinan Dourado</t>
  </si>
  <si>
    <t>arinan.dourado@louisville.edu</t>
  </si>
  <si>
    <t>working on developing and applying physics-informed neural networks for anomaly detection and prediction in the health management of large industrial equipment.</t>
  </si>
  <si>
    <t>working on developing , applying physics-informed neural networks for anomaly detection , prediction in the health management of large industrial equipment,</t>
  </si>
  <si>
    <t>Kunal Kate</t>
  </si>
  <si>
    <t>khkate01@louisville.edu</t>
  </si>
  <si>
    <t>Dr. Kate’s research is centered on advancing manufacturing technology such as 3D printing and powder injection molding (PIM) by conducting research on high-performance materials such as ceramics, metals and polymer composites to design and develoPproducts for electronic, defense, medical, aerospace and transportation sectors.</t>
  </si>
  <si>
    <t>advancing manufacturing technology such as 3D printing , powder injection molding (PIM) by conducting research on high-performance materials, ceramics, metals , polymer composites to design, defense, medical, aerospace , transportation sectors,</t>
  </si>
  <si>
    <t>Yongsheng Lian</t>
  </si>
  <si>
    <t>y0lian05@louisville.edu</t>
  </si>
  <si>
    <t>Guo, Y. &amp; Lian, Y. (2018). Calculation of Water Collection Efficiency Using a Multiphase Flow Solver Read More https//arc.aiaa.org/doi/abs/10.2514/1.C034793. Journal of Aircraft
Chen, Y. &amp; Lian, Y. (2018). Numerical investigation of coalescence-induced self-propelled behavior of droplets on non-wetting surfaces. Physics of Fluids
Guo, Y. &amp; Lian, Y. (2018). Guo, Yisen, and Yongsheng Lian. "Numerical investigation of oblique impact of multiple drops on thin liquid film. Journal of colloid and interface science</t>
  </si>
  <si>
    <t>Calculation of Water Collection Efficiency Using a Multiphase Flow Solver,
Numerical investigation of coalescence-induced self-propelled behavior of droplets on non-wetting surfaces,
Numerical investigation of oblique impact of multiple drops on thin liquid film</t>
  </si>
  <si>
    <r>
      <rPr>
        <u/>
        <sz val="10"/>
        <color rgb="FF000000"/>
        <rFont val="Arial"/>
        <family val="2"/>
      </rPr>
      <t>Kevin Murphy</t>
    </r>
    <r>
      <rPr>
        <sz val="10"/>
        <color rgb="FF000000"/>
        <rFont val="Arial"/>
        <family val="2"/>
      </rPr>
      <t xml:space="preserve"> (Chairperson)</t>
    </r>
  </si>
  <si>
    <t>kdmurp03@louisville.edu</t>
  </si>
  <si>
    <t>His research focuses on nonlinear dynamics, vibrations and stability. But his work also touches on solid mechanics, fracture mechanics, and signal processing.</t>
  </si>
  <si>
    <t>nonlinear dynamics, vibrations , stability, solid mechanics, fracture mechanics, signal processing</t>
  </si>
  <si>
    <t>Badri Narayanan</t>
  </si>
  <si>
    <t>b0nara03@louisville.edu</t>
  </si>
  <si>
    <t>His research grouP(Predictive Materials Modeling Laboratory) is interested in gaining accurate molecular-level understanding of structure-property-processing relationships in functional materials, and reactive interfaces relevant for energy applications.</t>
  </si>
  <si>
    <t>accurate molecular-level underst,ing of structure-property-processing relationships in functional materials, reactive interfaces relevant for energy applications</t>
  </si>
  <si>
    <t>$13,944 per year (in-state, full-time)</t>
  </si>
  <si>
    <t>Gary Osborne</t>
  </si>
  <si>
    <t>gmosbo01@louisville.edu</t>
  </si>
  <si>
    <t>Osborne, G., M. &amp; Prater, Glen, Jr., . (2010). Finite element concept modelling methodologies for pickuPtruck boxes. INTERNATIONAL JOURNAL OF HEAVY VEHICLE SYSTEMS, 17(1), 1-17
Prater, Glen, Jr., ., Shahhosseini, A., M., Osborne, G., M. &amp; Zhang, S. (2010). Simulation studies for determining the response characteristics of a hydraulic hybrid powertrain subframe. INTERNATIONAL JOURNAL OF HEAVY VEHICLE SYSTEMS, 17(2), 99-118</t>
  </si>
  <si>
    <t>Finite element concept modelling methodologies for pickup truck boxes,
Simulation studies for determining the response characteristics of a hydraulic hybrid powertrain subframe</t>
  </si>
  <si>
    <t>Sam Park</t>
  </si>
  <si>
    <t>yhpark02@louisville.edu</t>
  </si>
  <si>
    <t>Park, S., D. (2018). Modeling and Simulation of a PEM Fuel Cell/Battery Hybrid Vehicle,. Jounral of System Simulation, 30(12)
Mukherjee, S., Schuppert, N., Bates, A., Lee, S., C. &amp; Park, S., D. (2017). Novel mesoporous microspheres of Al and Ni doped LMO spinels and their performance as cathodes in secondary lithium ion batteries. International Journal of Green Energy, 14(7), 656-664
Bates, A., Zickel, B., Krebs, S., Mukherjee, S., Schuppert, N., Choi, M. &amp; Park, S., D. (2017). Analytical Study and Experimental Validation of Copper II Sulfate and Potassium Ferri/Ferrocyanide Thermocells Using Onsager Flux Equations. Journal of Energy Resource Technology, 139(4), 12 pages</t>
  </si>
  <si>
    <t>Simulation of a PEM Fuel Cell/Battery Hybrid Vehicle,
Novel mesoporous microspheres of Al,
Experimental Validation of Copper II Sulfate</t>
  </si>
  <si>
    <t>Glen Prater</t>
  </si>
  <si>
    <t>g0prat01@louisville.edu</t>
  </si>
  <si>
    <t>Peter Quesada</t>
  </si>
  <si>
    <t>pmques01@louisville.edu</t>
  </si>
  <si>
    <t>Quesada, P., M. &amp; Geiger, J., T. (2017). Effects of Cognitive Task Execution on Stable and Unstable Surface Balance. Cogent Engineering, 4, 11
Burnett, D., R., Campbell-Kyureghyan, N., H., Topp, R., V. &amp; Quesada, P., M. (2015). Biomechanics of lower limbs during walking among candidates for total knee arthoplasty with and without low back pain. BioMed Research International, 2015, 8
Burnett, D., R., Campbell-Kyureghyan, N., H., Topp, R., V. &amp; Quesada, P., M. (2015). Biomechanics of Lower Limbs during Walking among Candidates for Total Knee Arthroplasty with and without Low Back Pain. BioMed Research International, 2015(142562), 8</t>
  </si>
  <si>
    <t xml:space="preserve">Effects of Cognitive Task Execution on Stable,
Biomechanics of lower limbs during walking among candidates for total knee arthoplasty
</t>
  </si>
  <si>
    <t>Md Jahidur Rahman</t>
  </si>
  <si>
    <t>mdjahidur.rahman@louisville.edu</t>
  </si>
  <si>
    <t>Christopher Richards</t>
  </si>
  <si>
    <t>cmrich02@louisville.edu</t>
  </si>
  <si>
    <t>Turner, M., C. &amp; Richards, C. (2021). Constrained Rigid Body Attitude Stabilization An Anti-WinduPApproach. IEEE Control System Letters, 5(5), 1663 - 1668
Richards, C. &amp; Turner, M., C. (2020). Combined static and dynamic anti-winduPcompensation for quadcopters experiencing large disturbances. AIAA Journal of Guidance, Control, and Dynamics
Buccieri, B., M. &amp; Richards, C., M. (2016). Application of the aeroacoustic analogy to a shrouded, subsonic, radial fan. Journal of Sound and Vibration, 385, 125-137</t>
  </si>
  <si>
    <t>Constrained Rigid Body Attitude Stabilization An Anti-Windup Approach,
Combined static , dynamic anti-winduPcompensation for quadcopters experiencing large disturbances,
Buccieri, B,, M, &amp; Richards, C,, M, (2016), Application of the aeroacoustic analogy</t>
  </si>
  <si>
    <t>Hui Wang</t>
  </si>
  <si>
    <t>h0wang33@louisville.edu</t>
  </si>
  <si>
    <t>Gupta, M., K., Ding, J., Osti, N., C., Abernathy, D., L., Arnold, W., Wang, H., Hood, Z. &amp; Delaire, O. (2021). Fast Na diffusion and anharmonic phonon dynamics in superionic Na3PS4. Energy Environmental Science , 14(12), 6554
Li, Y., Arnold, W., Jasinski, J., B., Thapa, A., Sumanasekera, G., Sunkara, M., Narayanan, B., Druffel, T. &amp; Wang, H. (2020). Interface stability of LiCl-rich argyrodite Li6PS5Cl with propylene carbonate boosts high-performance lithium batteries. Electrochimica Acta, 363, 137128
Arnold, W., Buchberger, D., A., Li, Y., Sunkara, M., Druffel, T. &amp; Wang, H. (2020). Halide doping effect on solvent-synthesized lithium argyrodites Li6PS5X (X= Cl, Br, I) superionic conductors. Journal of Power Sources, 464, 228158</t>
  </si>
  <si>
    <t>Fast Na diffusion , anharmonic phonon dynamics in superionic Na3PS4,
Interface stability of LiCl-rich argyrodite Li6PS5Cl with propylene carbonate boosts high-performance lithium batteries,
Halide doping effect on solvent-synthesized lithium argyrodites</t>
  </si>
  <si>
    <t>Stuart Williams</t>
  </si>
  <si>
    <t>sjwill04@louisville.edu</t>
  </si>
  <si>
    <t>Gupta, K., Chen, Z., Williams, S., J. &amp; Wereley, S., T. (2022). Time-resolved particle image velocimetry analysis and computational modeling of transient optically induced electrothermal micro vortex. ELECTROPHORESIS, 42(23), 2483-2489
Rashed, M., Z., Belott, C., J., Janis, B., R., Menze, M., A. &amp; Williams, S., J. (2019). New insights into anhydrobiosis using cellular dielectrophoresis-based characterization. BIOMICROFLUIDICS, 13(6)
Velasco, V., ., Soucy, P., ., Keynton, R., . &amp; Williams, S., J. (2022). A microfluidic impedance platform for real-time, in vitro characterization of endothelial cells undergoing fluid shear stress. LAB ON A CHIP, 22(23), 4705-4716</t>
  </si>
  <si>
    <t>Time-resolved particle image velocimetry analysis , computational modeling of transient optically induced electrothermal micro vortex,
New insights into anhydrobiosis using cellular dielectrophoresis-based characterization,
A microfluidic impedance platform for real-time, in vitro characterization of endothelial cells undergoing fluid shear stress</t>
  </si>
  <si>
    <t>University of Maine</t>
  </si>
  <si>
    <t>Vincent Caccese</t>
  </si>
  <si>
    <t>vincent.caccese@maine.edu</t>
  </si>
  <si>
    <t xml:space="preserve">Design, Testing and Analysis of Impact Attenuating Materials
Design and Monitoring Systems for Assistive Devices
Structural Testing, and Finite Element Analysis Computer Modeling
Dynamic Systems Modeling and Testing
Fatigue Response of Connections
</t>
  </si>
  <si>
    <t xml:space="preserve">Design, Testing , Analysis of Impact Attenuating Materials,
Design , Monitoring Systems for Assistive Devices,
Structural Testing, Finite Element Analysis Computer Modeling,
Dynamic Systems Modeling , Testing,
Fatigue Response of Connections
</t>
  </si>
  <si>
    <t>Sheila Edalatpour</t>
  </si>
  <si>
    <t>sheila.edalatpour@maine.edu</t>
  </si>
  <si>
    <t>Near- and far-field radiative energy transfer
Computational heat transfer
Electromagnetic light scattering
High performance computing
Thermal energy transport at micro/nanoscale</t>
  </si>
  <si>
    <t>Computational heat transfer,
Electromagnetic light scattering,
High performance computing,
Thermal energy transport at micro/nanoscale</t>
  </si>
  <si>
    <t>Wilhelm “Alex” Friess</t>
  </si>
  <si>
    <t>wilhelm.friess@maine.edu</t>
  </si>
  <si>
    <t>Unmanned Aerial Vehicles, with focus on lighter-than-air vehicles
Engineering Education
Energy Efficiency in the build environment (extreme climates) and advanced infiltration diagnostics
Principal Sponsors</t>
  </si>
  <si>
    <t>Unmanned Aerial Vehicles, with focus on lighter-than-air vehicles,
Engineering Education,
Energy Efficiency in the build environment (extreme climates) , advanced infiltration diagnostics,
Principal Sponsors</t>
  </si>
  <si>
    <t>Andrew J. Goupee</t>
  </si>
  <si>
    <t>agoupe91@maine.edu</t>
  </si>
  <si>
    <t>Numerical methods in floating offshore structures
Model testing of floating offshore structures
Experimental techniques
Structural optimization
Aquaculture technology</t>
  </si>
  <si>
    <t>Numerical methods in floating offshore structures,
Model testing of floating offshore structures,
Experimental techniques,
Structural optimization,
Aquaculture technology</t>
  </si>
  <si>
    <t>Babak Hejrati</t>
  </si>
  <si>
    <t>babak.hejrati@maine.edu</t>
  </si>
  <si>
    <t>Robotics and Robot-Assisted Gait Rehabilitation
Controls and Dynamic systems
Biomechanics and Motion Analysis
Haptics and Virtual Reality
Mechanical Design and Manufacturing</t>
  </si>
  <si>
    <t>Robotics , Robot-Assisted Gait Rehabilitation,
Controls , Dynamic systems,
Biomechanics , Motion Analysis,
Haptics , Virtual Reality,
Mechanical Design , Manufacturing</t>
  </si>
  <si>
    <t>Zhihe Jin</t>
  </si>
  <si>
    <t>zhihe.jin@maine.edu</t>
  </si>
  <si>
    <t>Fracture of engineering materials and structures.
Thermal stresses and thermal shock failure of advanced ceramics and composites.
Fluid migration through fracture propagation in geological materials.
Thermo-poroelasticity.
Continuum theory of thermoelectric energy conversion materials.</t>
  </si>
  <si>
    <t>Fracture of engineering materials , structures,
Thermal stresses , thermal shock failure of advanced ceramics , composites,
Fluid migration through fracture propagation in geological materials,
Thermo-poroelasticity,
Continuum theory of thermoelectric energy conversion materials,</t>
  </si>
  <si>
    <t>Bashir Khoda</t>
  </si>
  <si>
    <t>bashir.khoda@maine.edu</t>
  </si>
  <si>
    <t>Digital Manufacturing
CAD/CAM/CAE
Additive Manufacturing/ 3D Printing
Bio-Manufacturing</t>
  </si>
  <si>
    <t>Digital Manufacturing,
CAD/CAM/CAE,
Additive Manufacturing/ 3D Printing,
Bio-Manufacturing</t>
  </si>
  <si>
    <t>Richard Kimball</t>
  </si>
  <si>
    <t>richard.w.kimball@maine.edu</t>
  </si>
  <si>
    <t>Offshore Wind Energy Floating systems development and testing
Marine diesel engine performance testing and emissions reduction research
Low emissions fuel development
Computer design of propellers and turbines
Tidal energy systems</t>
  </si>
  <si>
    <t>Offshore Wind Energy Floating systems development , testing,
Marine diesel engine performance testing , emissions reduction research,
Low emissions fuel development,
Computer design of propellers , turbines,
Tidal energy systems</t>
  </si>
  <si>
    <t>Justin Lapp</t>
  </si>
  <si>
    <t>justin.lapp@maine.edu</t>
  </si>
  <si>
    <t xml:space="preserve">Solar Thermal Energy and Thermochemistry
Numerical Heat Transfer Modeling for High Temperature Systems
Thermal Radiation
Material Behavior Under Solar Thermal Cycling
Determination of Optical and Thermal Properties of Materials
</t>
  </si>
  <si>
    <t xml:space="preserve">Solar Thermal Energy , Thermochemistry,
Numerical Heat Transfer Modeling for High Temperature Systems,
Thermal Radiation,
Material Behavior Under Solar Thermal Cycling,
Determination of Optical , Thermal Properties of Materials
</t>
  </si>
  <si>
    <t>Eric Martin</t>
  </si>
  <si>
    <t>eric.martin@maine.edu</t>
  </si>
  <si>
    <t xml:space="preserve">CP methods to improve student visualization skills
CP methods for distant and multi-campus learning
</t>
  </si>
  <si>
    <t xml:space="preserve">CP methods to improve student visualization skills,
CP methods for distant , multi-campus learning
</t>
  </si>
  <si>
    <t>Sharmila Mukhopadhyay</t>
  </si>
  <si>
    <t>sharmila.mukhopadhyay@maine.edu</t>
  </si>
  <si>
    <t>Multifunctional nanomaterials design, synthesis, characterization and testing
Compact lightweight components for energy, environment, and biomedical applications
Surface and interface phenomena</t>
  </si>
  <si>
    <t>Multifunctional nanomaterials design, synthesis, characterization , testing,
Compact lightweight components for energy, environment, biomedical applications,
Surface , interface phenomena</t>
  </si>
  <si>
    <t>Olivier Putzeys</t>
  </si>
  <si>
    <t>olivier.putzeys@maine.edu</t>
  </si>
  <si>
    <t xml:space="preserve">Combustion and fire science
Smoldering combustion and the transition to flaming
Combustion in oxygen-enriched atmospheres
Thermal modeling of animals using infrared thermography
</t>
  </si>
  <si>
    <t xml:space="preserve">Combustion , fire science,
Smoldering combustion , the transition to flaming,
Combustion in oxygen-enriched atmospheres,
Thermal modeling of animals using infrared thermography
</t>
  </si>
  <si>
    <t>$541 per credit (in-state, full-time)</t>
  </si>
  <si>
    <t>Masoud Rais-Rohani</t>
  </si>
  <si>
    <t>masoud.raisrohani@maine.edu</t>
  </si>
  <si>
    <t xml:space="preserve">Structural and Multidisciplinary Design Optimization
Design Optimization of Multiscale Systems
Mechanics of Thin-Walled (Aircraft, Automobile, and Composite) Structures
Probabilistic and Non-Probabilistic Approaches for Uncertainty Quantification
Reduced Order and Surrogate Modeling
</t>
  </si>
  <si>
    <t xml:space="preserve">Structural , Multidisciplinary Design Optimization,
Design Optimization of Multiscale Systems,
Mechanics of Thin-Walled (Aircraft, Automobile, Composite) Structures,
Probabilistic , Non-Probabilistic Approaches for Uncertainty Quantification,
Reduced Order , Surrogate Modeling
</t>
  </si>
  <si>
    <t>Senthil S. Vel</t>
  </si>
  <si>
    <t>senthil.vel@maine.edu</t>
  </si>
  <si>
    <t>Mechanics of Composite Materials
Computational Solid Mechanics
Micromechanical Modeling of Heterogeneous Materials
Multiscale Modeling
Thermoelastic properties, seismic anisotropy and creePof rocks, ice and polycrystalline materials</t>
  </si>
  <si>
    <t>Mechanics of Composite Materials,
Computational Solid Mechanics,
Micromechanical Modeling of Heterogeneous Materials,
Multiscale Modeling,
Thermoelastic properties, seismic anisotropy , creePof rocks, ice , polycrystalline materials</t>
  </si>
  <si>
    <t>Amrit Verma</t>
  </si>
  <si>
    <t>amrit.verma@maine.edu</t>
  </si>
  <si>
    <t>Offshore Wind Turbine Technology Installation, Operation and Maintenance
Structural Testing and Finite Element Analysis of Composite and Sandwich Structures
Leading Edge Erosion of Wind Turbine Blades
Probabilistic Methods and Analysis
Structural Response to Impact Loads</t>
  </si>
  <si>
    <t>Offshore Wind Turbine Technology Installation, Operation , Maintenance,
Structural Testing , Finite Element Analysis of Composite , Swich Structures,
Leading Edge Erosion of Wind Turbine Blades,
Probabilistic Methods , Analysis,
Structural Response to Impact Loads</t>
  </si>
  <si>
    <t>Yingchao Yang</t>
  </si>
  <si>
    <t>yingchao.yang@maine.edu</t>
  </si>
  <si>
    <t>Structural and Multifunctional Nanocomposites
Hierarchical Structures
Biomass for Energy Materials
Mechanics of Low-Dimensional Nanomaterials
Design and Fabrication of Micro-/Nano-Devices</t>
  </si>
  <si>
    <t>Structural , Multifunctional Nanocomposites,
Hierarchical Structures,
Biomass for Energy Materials,
Mechanics of Low-Dimensional Nanomaterials,
Design , Fabrication of Micro-/Nano-Devices</t>
  </si>
  <si>
    <t>University of Nevada--Reno</t>
  </si>
  <si>
    <t>Matteo Aureli</t>
  </si>
  <si>
    <t>maureli@unr.edu</t>
  </si>
  <si>
    <t>Smart materials and systems
Multiphysics modeling
Fluid-structure interactions
Vibrations and dynamics</t>
  </si>
  <si>
    <t>Smart materials , systems,
Multiphysics modeling,
Fluid-structure interactions,
Vibrations , dynamics</t>
  </si>
  <si>
    <t>Lei Cao</t>
  </si>
  <si>
    <t>leicao@unr.edu</t>
  </si>
  <si>
    <t>Microstructure evolution
Dislocation dynamics
Fracture modeling and simulation
Deformation in nanocrystalline materials
Computational solid mechanics</t>
  </si>
  <si>
    <t>Microstructure evolution,
Dislocation dynamics,
Fracture modeling , simulation,
Deformation in nanocrystalline materials,
Computational solid mechanics</t>
  </si>
  <si>
    <t>Cahit Evrensel</t>
  </si>
  <si>
    <t>cahit@unr.edu</t>
  </si>
  <si>
    <t>Field controllable fluids with applications in cancer therapy, vibration control
Experimental, computational fluid dynamics, viscoelasticity with applications in lung clearance, snowplowing visibility</t>
  </si>
  <si>
    <t>Field controllable fluids with applications in cancer therapy, vibration control,
Experimental, computational fluid dynamics, viscoelasticity with applications in lung clearance, snowplowing visibility</t>
  </si>
  <si>
    <t>Feifei Fan</t>
  </si>
  <si>
    <t>ffan@unr.edu</t>
  </si>
  <si>
    <t>Mechanics of materials
Nanomechanics
Energy storage materials</t>
  </si>
  <si>
    <t>Mechanics of materials,
Nanomechanics,
Energy storage materials</t>
  </si>
  <si>
    <t>Daichi Fujioka</t>
  </si>
  <si>
    <t>dfujioka@unr.edu</t>
  </si>
  <si>
    <t>Intelligent command design
Flexible system dynamics and control
Vibration reduction</t>
  </si>
  <si>
    <t>Intelligent comm, design,
Flexible system dynamics , control,
Vibration reduction</t>
  </si>
  <si>
    <t>Miles Greiner</t>
  </si>
  <si>
    <t>greiner@unr.edu</t>
  </si>
  <si>
    <t>US Department of Energy, Nuclear Energy RProgram (NEUP), “Development and Experimental Benchmark of Computational Models to Predict Cladding Temperature and Vapor Removal from UNF Canisters during Drying Operations,” 10/1/2017 to 12/31/2020, $399,753, PI Miles Greiner ($250,000), Co-PI Mustafa Hadj Nacer ($149,753), (peer reviewed).
National Aeronautics and Space Administration, “Advanced Transport Technologies for NASA Thermal Management/Control Systems,” 7/1/2015 to 6/30/2018, PI Fenstermaker, Lead Science Investigator M. Greiner (UNR), Co-Investigators K. Kim (UNLV), T. Plaggemeyer (TMCC), C, Robbins (DRI), $1,125,000 (Federal Funds $750,000, NSHE Match $375,000). Greiner portion $445,646 (peer reviewed).
US Department of Energy, Nuclear Energy RProgram (NEUP), “Development and Experimental Benchmark of Simulations to Predict Used Nuclear Fuel Cladding Temperatures during Drying and Transfer Operations,” 9/1/2012 to 12/31/2016, PI Miles Greiner, $745,000 (peer reviewed).</t>
  </si>
  <si>
    <t>Development , Experimental Benchmark of Computational Models to Predict Cladding Temperature , Vapor Removal from UNF Canisters during Drying Operations,
Advanced Transport Technologies for NASA Thermal Management/Control Systems,
Development , Experimental Benchmark of Simulations to Predict Used Nuclear Fuel Cladding Temperatures during Drying , Transfer Operations</t>
  </si>
  <si>
    <t>Mustafa Hadj-Nacer</t>
  </si>
  <si>
    <t>mhadjnacer@unr.edu</t>
  </si>
  <si>
    <t>Two-phase heat transfer
Nuclear waste transportation safety
Rarefied gas flow
Micro-Electro-Mechanical-System (MEMS)
Fluid-structure interaction
Thermal refrigeration</t>
  </si>
  <si>
    <t>Two-phase heat transfer,
Nuclear waste transportation safety,
Rarefied gas flow,
Micro-Electro-Mechanical-System (MEMS),
Fluid-structure interaction,
Thermal refrigeration</t>
  </si>
  <si>
    <t>James Hanna</t>
  </si>
  <si>
    <t>jhanna@unr.edu</t>
  </si>
  <si>
    <t xml:space="preserve">Classical mechanics, particularly flexible structures
</t>
  </si>
  <si>
    <t>Yanyao Jiang</t>
  </si>
  <si>
    <t>yjiang@unr.edu</t>
  </si>
  <si>
    <t>Cyclic plasticity, elastic-plastic finite element analysis
Fatigue and fracture of materials and structures
Inelastic constitutive relations
Rolling contact analysis
Thermo-mechanical behavior, durability of bolted joints</t>
  </si>
  <si>
    <t>Cyclic plasticity, elastic-plastic finite element analysis,
Fatigue , fracture of materials , structures,
Inelastic constitutive relations,
Rolling contact analysis,
Thermo-mechanical behavior, durability of bolted joints</t>
  </si>
  <si>
    <t>Yifei Jin</t>
  </si>
  <si>
    <t>yifeij@unr.edu</t>
  </si>
  <si>
    <t>3D bioprinting
Development of new additive manufacturing techniques
Yield-stress fluid and rheology
Metal 3D printing
Polymer processing</t>
  </si>
  <si>
    <t>3D bioprinting,
Development of new additive manufacturing techniques,
Yield-stress fluid , rheology,
Metal 3D printing,
Polymer processing</t>
  </si>
  <si>
    <t>PradeePMenezes</t>
  </si>
  <si>
    <t>pmenezes@unr.edu</t>
  </si>
  <si>
    <t>Tribology
Surface engineering
Additive manufacturing
Multi-functional lubricants
Smart shoe design
Self-lubricating composites
Metal cutting
Metal forming and rock drilling
Bio-medical and dental tribology
Materials testing and characterization
Physical and mechanical metallurgy
Machine design
Self-cleaning and self-healing materials
Explicit finite element modeling</t>
  </si>
  <si>
    <t>Tribology,
Surface engineering,
Additive manufacturing,
Multi-functional lubricants,
Smart shoe design,
Self-lubricating composites,
Metal cutting,
Metal forming , rock drilling,
Bio-medical , dental tribology
Materials testing , characterization,
Physical , mechanical metallurgy,
Machine design,
Self-cleaning , self-healing materials,
Explicit finite element modeling</t>
  </si>
  <si>
    <t>Aditya G. Nair</t>
  </si>
  <si>
    <t>adityan@unr.edu</t>
  </si>
  <si>
    <t>Computational fluid dynamics,
Unsteady aerodynamics,
Fluid-structure interaction,
Data-driven modeling and control.</t>
  </si>
  <si>
    <t>Computational fluid dynamics,
Unsteady aerodynamics,
Fluid-structure interaction,
Data-driven modeling , control,</t>
  </si>
  <si>
    <t>$11,820 per year (in-state, full-time)</t>
  </si>
  <si>
    <t>Angelina Padilla</t>
  </si>
  <si>
    <t>angelinapadilla@unr.edu</t>
  </si>
  <si>
    <t>Michelle R. Ramirez</t>
  </si>
  <si>
    <t>mrramirez@unr.edu</t>
  </si>
  <si>
    <t>Ryan Tung</t>
  </si>
  <si>
    <t>rtung@unr.edu</t>
  </si>
  <si>
    <t>Vibrations and dynamics
Microsystems
Fluid-structure interactions
Atomic force microscopy</t>
  </si>
  <si>
    <t>Vibrations , dynamics,
Microsystems,
Fluid-structure interactions,
Atomic force microscopy</t>
  </si>
  <si>
    <t>Floris van Breugel</t>
  </si>
  <si>
    <t>fvanbreugel@unr.edu</t>
  </si>
  <si>
    <t xml:space="preserve">We study insects for inspiration in designing robust and novel control systems for robots. Our lab uses real-time tracking, high speed video, and virtual reality to study freely moving animals. Then, aided by modern machine learning tools and control theory, we analyze the behavior, and implement the principles on robotic systems. Along the way, we use genetic tools available in the fruit fly to gain insight into how brains function.
</t>
  </si>
  <si>
    <t xml:space="preserve">designing robust , novel control systems for robots, real-time tracking, high speed video, virtual reality to study freely moving animals, modern machine learning tools , control theory
</t>
  </si>
  <si>
    <r>
      <rPr>
        <u/>
        <sz val="10"/>
        <color rgb="FF000000"/>
        <rFont val="Arial"/>
        <family val="2"/>
      </rPr>
      <t>Petros Voulgaris</t>
    </r>
    <r>
      <rPr>
        <sz val="10"/>
        <color rgb="FF000000"/>
        <rFont val="Arial"/>
        <family val="2"/>
      </rPr>
      <t xml:space="preserve"> (Chair)</t>
    </r>
  </si>
  <si>
    <t>pvoulgaris@unr.edu</t>
  </si>
  <si>
    <t>optimal, robust and distributed control and estimation, networked control, autonomous systems, cyberphysical systems, cybersecurity, applications of advanced control methods to engineering practice including, air-vehicle, power, nano-scale, robotic, and structural control systems</t>
  </si>
  <si>
    <t>optimal, robust , distributed control , estimation, networked control, autonomous systems, cyberphysical systems, cybersecurity, applications of advanced control methods to engineering practice including, air-vehicle, power, nano-scale, robotic, structural control systems</t>
  </si>
  <si>
    <t>Eric Wang</t>
  </si>
  <si>
    <t>elwang@unr.edu</t>
  </si>
  <si>
    <t>yanwang@unr.edu</t>
  </si>
  <si>
    <t>Micro-/nano-scale heat and mass transfer
Thermal-mechanical properties of materials
Thermal characterization and measurement
Energy conversion and storage materials and processes
Thermal management and thermoelectrics
Theoretical and computational analysis of processes relevant to laser-based advanced manufacturing
Behaviors of energy carriers, e.g., phonon, photon, magnon, and electron</t>
  </si>
  <si>
    <t>Micro-/nano-scale heat , mass transfer,
Thermal-mechanical properties of materials,
Thermal characterization , measurement,
Energy conversion , storage materials , processes,
Thermal management , thermoelectrics,
Theoretical , computational analysis of processes relevant to laser-based advanced manufacturing,
Behaviors of energy carriers, e,g,, phonon, photon, magnon, electron</t>
  </si>
  <si>
    <t>Jun Zhang</t>
  </si>
  <si>
    <t>jun@unr.edu</t>
  </si>
  <si>
    <t>Control systems
Robotics
Smart materials
Artificial muscles</t>
  </si>
  <si>
    <t>Control systems,
Robotics,
Smart materials,
Artificial muscles</t>
  </si>
  <si>
    <t>University of Toledo</t>
  </si>
  <si>
    <t>MECHANICAL, INDUSTRIAL AND MANUFACTURING ENGINEERING</t>
  </si>
  <si>
    <t>$627 per credit (in-state, full-time)</t>
  </si>
  <si>
    <t>University of Wyoming</t>
  </si>
  <si>
    <t>Erica L. Belmont</t>
  </si>
  <si>
    <t>ebelmont@uwyo.edu</t>
  </si>
  <si>
    <t xml:space="preserve">Combustion, solid fuels (coal, biomass), alternative fuels, renewable energy, experimentation
</t>
  </si>
  <si>
    <t>MECHANICAL &amp; ENERGY SYSTEMS ENGINEERING</t>
  </si>
  <si>
    <t>Ray Fertig</t>
  </si>
  <si>
    <t>rfertig@uwyo.edu</t>
  </si>
  <si>
    <t>Dislocation dynamics simulations, multiscale constitutive modeling, physics-based modeling of composite fatigue and failure, failure and durability of ceramics and ceramic matrix composites.</t>
  </si>
  <si>
    <t>Dislocation dynamics simulations, multiscale constitutive modeling, physics-based modeling of composite fatigue , failure, failure , durability of ceramics , ceramic matrix composites,</t>
  </si>
  <si>
    <t>Dimitri Mavriplis</t>
  </si>
  <si>
    <t>mavripl@uwyo.edu</t>
  </si>
  <si>
    <t>Our research is concerned with the development of unstructured mesh methods for computational fluid dynamics. These include discretization methods, solution methods such as multigrid and implicit methods for steady-state and time-accurate simulations, unstructured grid generation techniques and adaptive and moving mesh strategies. We are also interested in design optimization methods, and the efficient solution of coupled fluid-structural problems. All these efforts are performed in a parallel computing environment. The application areas include aerodynamics of commercial aircraft and business jets, and unsteady aeroelastic effects.</t>
  </si>
  <si>
    <t>development of unstructured mesh methods for computational fluid dynamics, discretization methods, solution methods such as multigrid , implicit methods for steady-state , time-accurate simulations, unstructured grid generation techniques , adaptive , moving mesh strategies, design optimization methods, the efficient solution of coupled fluid-structural problems, parallel computing environment,  aerodynamics of commercial aircraft , business jets, unsteady aeroelastic effects</t>
  </si>
  <si>
    <t>Jonathan Naughton</t>
  </si>
  <si>
    <t>naughton@uwyo.edu</t>
  </si>
  <si>
    <t>Experimental fluid dynamics and aerodynamics
Characterization of turbulent flows
Control of turbulence flows
Instrumentation
Wall shear stress measurement techniques in aerodynamic flows.
Wind Energy
Atmospheric inflow modeling
Blade aerodynamics</t>
  </si>
  <si>
    <t>Experimental fluid dynamics , aerodynamics,
Characterization of turbulent flows,
Control of turbulence flows,
Instrumentation,
Wall shear stress measurement techniques in aerodynamic flows,
Wind Energy,
Atmospheric inflow modeling,
Blade aerodynamics</t>
  </si>
  <si>
    <t>Michael Stoellinger</t>
  </si>
  <si>
    <t>mstoell@uwyo.edu</t>
  </si>
  <si>
    <t>s Research is focused in the areas of modeling and simulation of turbulent and reactive flows. Methods include probability density function (PDF) models for Reynolds Averaged Navier-Stokes (RANS) and Large Eddy Simulation (LES) approaches and their coupling with radiative heat transfer. Applications include premixed gaseous combustion, clean combustion concepts such as flameless combustion and oxy-fuel combustion of alternative fuels, coal combustion and gasification, and soot formation in ultra rich combustion. Hybrid LES/RANS methods which allow to extend LES to high Re-number wall bounded flows are also of interest and applied to predict performance of wind turbine blades. The models and methods are implemented in in-house codes or in a open source CFD code (OpenFOAM).</t>
  </si>
  <si>
    <t>modeling , simulation of turbulent , reactive flows, Methods include probability density function (PDF) models for Reynolds Averaged Navier-Stokes (RANS) , Large Eddy Simulation (LES) approaches,radiative heat transfer, gaseous combustion, clean combustion concepts such as flameless combustion , oxy-fuel combustion of alternative fuels, coal combustion , gasification, soot formation in ultra rich combustion, Hybrid LES/RANS methods which allow to extend LES to high Re-number wall bounded flows are also of interest , applied to predict performance of wind turbine blades</t>
  </si>
  <si>
    <t>Kari Strube</t>
  </si>
  <si>
    <t>kfuller@uwyo.edu</t>
  </si>
  <si>
    <t>Ramsankar Veerakumar</t>
  </si>
  <si>
    <t>rveeraku@uwyo.edu</t>
  </si>
  <si>
    <t>Xiang Zhang</t>
  </si>
  <si>
    <t>xiang.zhang@uwyo.edu</t>
  </si>
  <si>
    <t>My current research efforts focus on multiphysics and multiscale modeling of high-performance materials (including metals and composites) and advanced manufacturing process. My long-term goal for research is to establish the microstructure-processing-performance relationshiPfor material design and manufacturing through the development of advanced computation models and active interactions with experiments. Current projects primary focus on 1) modeling the deformation and damage in metals and fiber-reinforced composites, at both material microscale and structural scale, 2) modeling polymer and polymeric composites manufacturing process with its application in frontal polymerization and 3D printing.</t>
  </si>
  <si>
    <t>multiphysics , multiscale modeling of high-performance materials (including metals , composites) , advanced manufacturing process,microstructure-processing-performance relationshiPfor material design , manufacturing through the development of advanced computation models , active interactions with experiments, modeling the deformation , damage in metals , fiber-reinforced composites, , structural scale, modeling polymer , polymeric composites manufacturing process with its application in frontal polymerization , 3D printing</t>
  </si>
  <si>
    <t>$311 per credit (in-state, full-time)</t>
  </si>
  <si>
    <t>Wichita State University</t>
  </si>
  <si>
    <r>
      <rPr>
        <u/>
        <sz val="10"/>
        <color rgb="FF000000"/>
        <rFont val="Arial"/>
        <family val="2"/>
      </rPr>
      <t>Dr. T.S. Ravi</t>
    </r>
    <r>
      <rPr>
        <sz val="10"/>
        <color rgb="FF000000"/>
        <rFont val="Arial"/>
        <family val="2"/>
      </rPr>
      <t xml:space="preserve"> (Department chair)</t>
    </r>
  </si>
  <si>
    <t>ts.ravi@wichita.edu</t>
  </si>
  <si>
    <t>s are primarily in the areas of heat transfer enhancement, microscale heat transfer, and biothermal applications</t>
  </si>
  <si>
    <t xml:space="preserve"> heat transfer enhancement, microscale heat transfer, biothermal applications</t>
  </si>
  <si>
    <t>Dr. Ikram Ahmed</t>
  </si>
  <si>
    <t>ikram.ahmed@wichita.edu</t>
  </si>
  <si>
    <t>Large Scale Modeling of the Atmospheric Boundary Layer,  Wind Farms,  Transport of Atmospheric Pollutants
Sustainability,  Renewable Energy
Ground-Source Assisted (Geothermal) Cooling/Refrigerant-Free Air Conditioning
Open Source Software on High Performance Computing Platforms (BeoShock)</t>
  </si>
  <si>
    <t>Large Scale Modeling of the Atmospheric Boundary LayerWind FarmsTransport of Atmospheric Pollutants,
SustainabilityRenewable Energy,
Ground-Source Assisted (Geothermal) Cooling/Refrigerant-Free Air Conditioning,
Open Source Software on High Performance Computing Platforms (BeoShock)</t>
  </si>
  <si>
    <t>Dr. Davood Askari Ph.D</t>
  </si>
  <si>
    <t>davood.askari@wichita.edu</t>
  </si>
  <si>
    <t>Properties improvement of potting paste materials for processing and repair of laminated and sandwich composites for applications in aerospace structures and wind turbine blades 
Properties improvement of laminated UHMWPE composites for impact resistant applications 
Growth of carbon nanotubes and nanostructures on different materials and micro-fibers
Chemical Functionalization, characterization, and applications of carbon nanostructures in nanocomposites 
Design, analysis, fabrication and testing of composite materials and structures
Processing, fabrication, and characterization 3-D reinforced nanocomposites 
Design and analysis of composite bolted joints and adhesive bonds
Design and analysis of composite pressure vessels with different geometry configurations and loading conditions
Design and optimization of room temperature metallic bonding.
Analytical and finite element modeling of composite materials, carbon nanotubes, nanocomposites, smart materials and smart structures
Fabrication of individual and arrays of aligned and suspended single crystalline Gallium-Silver Nanoneedles
Self-assembly of micro droplets of Gallium over micro pillar arrays for nano-device fabrication
Growth optimization of one-dimensional metallic nanostructures for atomic force and probe microscopy 
Synthesis of hydrophobic and super-hydrophobic coatings for the enhancement of fluid flow inside micro-channels and around bluff bodies
Design and fabrication of nano-bio-devices using nanomaterials and nanostructures 
Hardness testing of metallic materials 
Finite element modeling of nanoindentation of thin films and nanowires-like structures
Experimental characterization of thin-films and composite materials using a nanoindenter 
Design and manufacturing of robotic cells, mechanical systems, clamping devices, and robotic grippers and end-effectors
Virtual Reality modeling and simulation, CIM, CAD/CAM, Industrial automation, Robotics, and automated machines</t>
  </si>
  <si>
    <t>Properties improvement of potting paste materials for processing , repair of laminated ,composites for applications in aerospace structures , wind turbine blades,
Properties improvement of laminated UHMWPE composites for impact resistant applications ,
Growth of carbon nanotubes , nanostructures on different materials , micro-fibers,
Chemical Functionalization, characterization, applications of carbon nanostructures in nanocomposites, 
Design, analysis, fabrication , testing of composite materials , structures,
Processing, fabrication, characterization 3-D reinforced nanocomposites, 
Design , analysis of composite bolted joints , adhesive bonds,
Design , analysis of composite pressure vessels with different geometry configurations , loading conditions,
Design , optimization of room temperature metallic bonding,
Analytical , finite element modeling of composite materials, carbon nanotubes, nanocomposites, smart materials , smart structures,
Fabrication of individual , arrays of aligned , suspended single crystalline Gallium-Silver Nanoneedles,
Self-assembly of micro droplets of Gallium over micro pillar arrays for nano-device fabrication,
Growth optimization of one-dimensional metallic nanostructures for atomic force , probe microscopy, 
Synthesis of hydrophobic , super-hydrophobic coatings for the enhancement of fluid flow inside micro-channels , around bluff bodies,
Design , fabrication of nano-bio-devices using nanomaterials , nanostructures, 
Hardness testing of metallic materials, 
Finite element modeling of nanoindentation of thin films , nanowires-like structures,
Experimental characterization of thin-films , composite materials using a nanoindenter, 
Design , manufacturing of robotic cells, mechanical systems, clamping devices, robotic grippers , end-effectors,
Virtual Reality modeling , simulation, CIM, CAD/CAM, Industrial automation, Robotics, automated machines</t>
  </si>
  <si>
    <t>Dr. Eylem Asmatulu Ph.D.</t>
  </si>
  <si>
    <t>e.asmatulu@wichita.edu</t>
  </si>
  <si>
    <t>Dr. Eylem Asmatulu’s s include wound healing systems, flame retardant materials, 3D and 4D additive manufacturing, design of sustainable manufacturing systems, lean manufacturing, composite manufacturing, composite repairing, nanomanufacturing, and aircraft manufacturing. Also, mechanical, electrical and thermal properties of nanomaterials, composite materials, biomaterials, advanced materials, and aircraft materials, sustainable energy systems, nanomaterials for energy systems, green algae for CO2 capture, algae-based biodiesel, energy and environment, and energy storage, converting organic wastes into fuels, briquetting for activated carbon production, life cycle assessment, recycling of engineering materials, wastewater treatment, and environmental health and safety.</t>
  </si>
  <si>
    <t>healing systems, flame retardant materials, 3D , 4D additive manufacturing, design of sustainable manufacturing systems, lean manufacturing, composite manufacturing, composite repairing, nanomanufacturing, aircraft manufacturing, Also, mechanical, electrical , thermal properties of nanomaterials, composite materials, biomaterials, advanced materials, aircraft materials, sustainable energy systems, nanomaterials for energy systems, green algae for CO2 capture, algae-based biodiesel, energy , environment, energy storage, converting organic wastes into fuels, briquetting for activated carbon production, life cycle assessment, recycling of engineering materials, wastewater treatment, environmental health , safety</t>
  </si>
  <si>
    <t>Dr. Ramazan Asmatulu Ph.D</t>
  </si>
  <si>
    <t>ramazan.asmatulu@wichita.edu</t>
  </si>
  <si>
    <t xml:space="preserve">Dr. Asmatulu’s s include both theoretical and experimental understanding of nanoparticles for solar cells, fuel cells, supercapacitors, and biodiesel production, laminated and sandwich composites for aircraft and wind turbine manufacturing, functionalization and crosslinking of CNT wires, modeling and simulation of solid structures, highly durable nanocomposite thin films for lightning strike prevention, EMI shielding and fire retardancy, electrospun nanofibers for scaffolding, biosensors, structural health monitoring and water splitting, nanocomposite coatings against corrosion, moisture and UV degradation, nanomembranes for waste water filtration, and nanoemulsion and hydrogel-based targeted drug delivery systems.
</t>
  </si>
  <si>
    <t xml:space="preserve">experimental underst,ing of nanoparticles for solar cells, fuel cells, supercapacitors, biodiesel production, laminated, composites for aircraft , wind turbine manufacturing, functionalization , crosslinking of CNT wires, modeling , simulation of solid structures, highly durable nanocomposite thin films for lightning strike prevention, EMI shielding , fire retardancy, electrospun nanofibers for scaffolding, biosensors, structural health monitoring , water splitting, nanocomposite coatings against corrosion, moisture , UV degradation, nanomembranes for waste water filtration, nanoemulsion , hydrogel-based targeted drug delivery systems
</t>
  </si>
  <si>
    <t>Dr. Brian Driessen PhD</t>
  </si>
  <si>
    <t>brian.driessen@wichita.edu</t>
  </si>
  <si>
    <t>Dynamics, controls, modeling, optimization, and scalability and robustness aspects of controls implementation (embedding) in distributed (and mobile) systems. Nonlinear controls, optimal control, guidance and optimal trajectory generation, chatter-free variable structure controls, adaptive control. Application areas of interest -- many, including robotic systems, ground vehicles, aircraft, rotorcraft, satellites.</t>
  </si>
  <si>
    <t>Dynamics, controls, modeling, optimization, scalability , robustness aspects of controls implementation (embedding) in distributed (, mobile) systems, Nonlinear controls, optimal control, guidance , optimal trajectory generation, chatter-free variable structure controls, adaptive control, Application areas of interest -- many, including robotic systems, ground vehicles, aircraft, rotorcraft, satellites</t>
  </si>
  <si>
    <t>Dr. Shuang Gu Ph.D.</t>
  </si>
  <si>
    <t>shuang.gu@wichita.edu</t>
  </si>
  <si>
    <t>Advanced ion-conducting polymer electrolytes for electrochemical applications
Novel cell designs for high-performance and low-cost redox-flow batteries
Nonaqueous anion-exchange membranes and nonaqueous redox-flow batteries
Electrochemical activation of natural gas for liquid-fuel production
Electrochemical reduction of nitrogen gas for green and sustainable agriculture
Anion-specific polymer membranes for water treatment and chemical upcycling</t>
  </si>
  <si>
    <t>Advanced ion-conducting polymer electrolytes for electrochemical applications,
Novel cell designs for high-performance , low-cost redox-flow batteries,
Nonaqueous anion-exchange membranes , nonaqueous redox-flow batteries,
Electrochemical activation of natural gas for liquid-fuel production,
Electrochemical reduction of nitrogen gas for green , sustainable agriculture,
Anion-specific polymer membranes for water treatment , chemical upcycling</t>
  </si>
  <si>
    <t>Dr. Gisuk Hwang PhD.</t>
  </si>
  <si>
    <t>gisuk.hwang@wichita.edu</t>
  </si>
  <si>
    <t>Phase-change heat transfer in micro-/nanoscale porous media
Thermal and water management
Additive manufacturing
Machine learning and transfer learning
X-ray image-based pore-scale modeling
Computational fluids dynamics
Molecular dynamics simulation</t>
  </si>
  <si>
    <t>Phase-change heat transfer in micro-/nanoscale porous media,
Thermal , water management,
Additive manufacturing,
Machine learning , transfer learning,
X-ray image-based pore-scale modeling,
Computational fluids dynamics,
Molecular dynamics simulation</t>
  </si>
  <si>
    <t>Dr. Yang-Seon Kim</t>
  </si>
  <si>
    <t>yang-seon.kim@wichita.edu</t>
  </si>
  <si>
    <t xml:space="preserve">Residential &amp; Commercial building indoor air quality and ventilation study
Campus building energy analysis with occupants’ behavior
Dormitory building energy challenges
</t>
  </si>
  <si>
    <t xml:space="preserve">Residential &amp; Commercial building indoor air quality , ventilation study,
Campus building energy analysis with occupants’ behavior,
Dormitory building energy challenges,
</t>
  </si>
  <si>
    <t>Dr. Hamid Lankarani</t>
  </si>
  <si>
    <t>hamid.lankarani@wichita.edu</t>
  </si>
  <si>
    <t>Automotive and Aircraft Crashworthiness, Occupant Protection of Transportation Systems, Biodynamics, Injury Biomechanics, Multibody Dynamics, Structures, Impact Dynamics, Mechanical Systems Analysis and Design, Computer-Aided Design</t>
  </si>
  <si>
    <t>Automotive , Aircraft Crashworthiness, Occupant Protection of Transportation Systems, Biodynamics, Injury Biomechanics, Multibody Dynamics, Structures, Impact Dynamics, Mechanical Systems Analysis , Design, Computer-Aided Design</t>
  </si>
  <si>
    <t>Dr. Bin Li</t>
  </si>
  <si>
    <t>bin.li@wichita.edu</t>
  </si>
  <si>
    <t>Multifunctional polymer nanocomposites 
Plant protein-based functional materials 
Dielectric relaxation of polymers and polymer nancomposites
Applied Polymer Rheology</t>
  </si>
  <si>
    <t>Multifunctional polymer nanocomposites ,
Plant protein-based functional materials, 
Dielectric relaxation of polymers , polymer nancomposites,
Applied Polymer Rheology</t>
  </si>
  <si>
    <t>Dr. Rajeev Nair</t>
  </si>
  <si>
    <t>rajeev.nair@wichita.edu</t>
  </si>
  <si>
    <t>Flexible fabrication
Laser surface texturing
Design and mechanical analysis of stents/orthopedic devices</t>
  </si>
  <si>
    <t>Flexible fabrication,
Laser surface texturing,
Design , mechanical analysis of stents/orthopedic devices</t>
  </si>
  <si>
    <t>$5,544 per year (in-state, full-time)</t>
  </si>
  <si>
    <t>Dr. Muhammad Rahman</t>
  </si>
  <si>
    <t>muhammad.rahman@wichita,edu</t>
  </si>
  <si>
    <t>Phase change heat transfer, thermal management, renewable power generation, energy storage, modeling and simulation, refrigeration and air conditioning.</t>
  </si>
  <si>
    <t>Phase change heat transfer, thermal management, renewable power generation, energy storage, modeling , simulation, refrigeration , air conditioning,</t>
  </si>
  <si>
    <t>Dr. Wei Wei</t>
  </si>
  <si>
    <t>wei.wei@wichita.edu</t>
  </si>
  <si>
    <t>Advanced materials synthesizing
Renewable energy conversion and storage devices
Photocatalytic processes for fuel generation
Water/waster water treatment
Solid waste management
Mechanical properties of composite materials</t>
  </si>
  <si>
    <t>Advanced materials synthesizing,
Renewable energy conversion , storage devices,
Photocatalytic processes for fuel generation,
Water/waster water treatment,
Solid waste management,
Mechanical properties of composite materials</t>
  </si>
  <si>
    <t>Dr. Yimesker Yihun</t>
  </si>
  <si>
    <t>yimesker.yihun@wichita.edu</t>
  </si>
  <si>
    <t>Robot kinematics, Control System Design, Human-Robot Interaction (HRI) in physiotherapeutic applications, Applied Mechanics,and Spatial Mechanism Syntheses applied to multi-fingered robotic hands and exoskeletons for rehabilitation.</t>
  </si>
  <si>
    <t>Robot kinematics, Control System Design, Human-Robot Interaction (HRI) in physiotherapeutic applications, Applied Mechanics,, Spatial Mechanism Syntheses applied to multi-fingered robotic h,s , exoskeletons for rehabilitation,</t>
  </si>
  <si>
    <t>Cleveland State University (Washkewicz)</t>
  </si>
  <si>
    <r>
      <rPr>
        <u/>
        <sz val="10"/>
        <color rgb="FF000000"/>
        <rFont val="Arial"/>
        <family val="2"/>
      </rPr>
      <t>Yongxin (Yong) Tao</t>
    </r>
    <r>
      <rPr>
        <sz val="10"/>
        <color rgb="FF000000"/>
        <rFont val="Arial"/>
        <family val="2"/>
      </rPr>
      <t xml:space="preserve"> (Department head)</t>
    </r>
  </si>
  <si>
    <t>y.tao19@csuohio.edu</t>
  </si>
  <si>
    <t>Renewable Energy &amp; Energy Efficiency in Buildings, Heat and Mass Transfer with Multiphase Flow, Sustainable Human-Building Ecosystems.</t>
  </si>
  <si>
    <t>Renewable Energy &amp; Energy Efficiency in Buildings, Heat , Mass Transfer with Multiphase Flow, Sustainable Human-Building Ecosystems,</t>
  </si>
  <si>
    <t>Tushar Borkar</t>
  </si>
  <si>
    <t>t.borkar@csuohio.edu</t>
  </si>
  <si>
    <t>Additive Manufacturing, Advanced metallic and functionally, Graded composite (hybrid), Materials for Aerospace</t>
  </si>
  <si>
    <t>Additive Manufacturing, Advanced metallic , functionally, Graded composite (hybrid), Materials for Aerospace</t>
  </si>
  <si>
    <t>Brian L. Davis</t>
  </si>
  <si>
    <t>B.L.Davis@csuohio.edu</t>
  </si>
  <si>
    <t>Orthopedic biomechanics, medical device design, rehabilitation engineering, gait analysis, pediatric biomedical engineering</t>
  </si>
  <si>
    <t>#151 - Mechanical Engineering</t>
  </si>
  <si>
    <t>Asuquo B. Ebiana</t>
  </si>
  <si>
    <t>a.ebiana@csuohio.edu</t>
  </si>
  <si>
    <t>Thermal Sciences, Fluid Dynamics, Computational Fluid Dynamics.</t>
  </si>
  <si>
    <t>Thermal Sciences, Fluid Dynamics, Computational Fluid Dynamics,</t>
  </si>
  <si>
    <t>#183-202 - Best Engineering Schools</t>
  </si>
  <si>
    <t>Saeed Farahani</t>
  </si>
  <si>
    <t>s.farahani@csuohio.edu</t>
  </si>
  <si>
    <t>Smart and Integrative Manufacturing, Industrial IoT and SCADA Systems, Additive and Hybrid Manufacturing Processes, Advanced Manufacturing and Tooling for Plastic, Composite, and Multi-Material Parts</t>
  </si>
  <si>
    <t>Smart , Integrative Manufacturing, Industrial IoT , SCADA Systems, Additive , Hybrid Manufacturing Processes, Advanced Manufacturing , Tooling for Plastic, Composite, Multi-Material Parts</t>
  </si>
  <si>
    <t>Navid Goudarzi</t>
  </si>
  <si>
    <t>n.goudarzi@csuohio.edu</t>
  </si>
  <si>
    <t>Thermal-Fluid Sciences, Data Science and Machine Learning in Energy Systems and Fluid Dynamics, Computational and Experimental Fluid Dynamics, Contract Engineering. Applications include Renewable wind, ocean, and solar energy technologies, Built-environment interdisciplinary energy efficiency solutions, and Smart infrastructure development practices</t>
  </si>
  <si>
    <t>Thermal-Fluid Sciences, Data Science , Machine Learning in Energy Systems , Fluid Dynamics, Computational , Experimental Fluid Dynamics, Contract Engineering, Applications include Renewable wind, ocean, solar energy technologies, Built-environment interdisciplinary energy efficiency solutions, Smart infrastructure development practices</t>
  </si>
  <si>
    <t>Bottom 25%</t>
  </si>
  <si>
    <t>Hanz Richter</t>
  </si>
  <si>
    <t>h.richter@csuohio.edu</t>
  </si>
  <si>
    <t xml:space="preserve">Dynamic Systems, Modeling, Simulation, Control Theory, Applied Nonlinear Control, Industrial and Biomedical Robotics, Mechatronic Systems. </t>
  </si>
  <si>
    <t xml:space="preserve">Dynamic Systems, Modeling, Simulation, Control Theory, Applied Nonlinear Control, Industrial , Biomedical Robotics, Mechatronic Systems, </t>
  </si>
  <si>
    <t>Jerzy T. Sawicki</t>
  </si>
  <si>
    <t>j.sawicki@csuohio.edu</t>
  </si>
  <si>
    <t xml:space="preserve">Rotordynamics, Magnetic Bearings, Control
</t>
  </si>
  <si>
    <t>Eric M. Schearer</t>
  </si>
  <si>
    <t>e.schearer@csuohio.edu</t>
  </si>
  <si>
    <t>Robotics, Human Motion Control.</t>
  </si>
  <si>
    <t>Robotics, Human Motion Control</t>
  </si>
  <si>
    <t>Mustafa Usta</t>
  </si>
  <si>
    <t>m.usta@csuohio.edu</t>
  </si>
  <si>
    <t>Computational fluid dynamics, scientific machine learning and graph theory, heat and mass transport phenomena, multiphase-multiscale-multiphysics flows, biological flows</t>
  </si>
  <si>
    <t>Computational fluid dynamics, scientific machine learning , graph theory, heat , mass transport phenomena, multiphase-multiscale-multiphysics flows, biological flows</t>
  </si>
  <si>
    <t>Antonie J. (Ton) van den Bogert</t>
  </si>
  <si>
    <t>a.vandenbogert@csuohio.edu</t>
  </si>
  <si>
    <t>Musculoskeletal Modeling and Simulation, Sports Biomechanics, Rehabilitation, Prosthetics, and Orthotics.</t>
  </si>
  <si>
    <t>Musculoskeletal Modeling , Simulation, Sports Biomechanics, Rehabilitation, Prosthetics, Orthotics,</t>
  </si>
  <si>
    <t>Wei Zhang</t>
  </si>
  <si>
    <t>w.zhang13@csuohio.edu</t>
  </si>
  <si>
    <t xml:space="preserve">Fluid Mechanics, Flow Control and Wind Engineering
</t>
  </si>
  <si>
    <t xml:space="preserve">Fluid Mechanics, Flow Control , Wind Engineering
</t>
  </si>
  <si>
    <t>$590 per credit (in-state, full-time)</t>
  </si>
  <si>
    <t>Florida International University</t>
  </si>
  <si>
    <r>
      <rPr>
        <u/>
        <sz val="10"/>
        <color rgb="FF000000"/>
        <rFont val="Arial"/>
        <family val="2"/>
      </rPr>
      <t>Arvind Agarwal</t>
    </r>
    <r>
      <rPr>
        <sz val="10"/>
        <color rgb="FF000000"/>
        <rFont val="Arial"/>
        <family val="2"/>
      </rPr>
      <t xml:space="preserve"> (Chair)</t>
    </r>
  </si>
  <si>
    <t xml:space="preserve"> agarwala@fiu.edu</t>
  </si>
  <si>
    <t>s Carbon nanotube reinforced composites and coatings, plasma spray, surface engineering, nanomechanics and nanotribology, bioceramic coatings, nanomechanics of biological cells and spark plasma sintering.</t>
  </si>
  <si>
    <t>Carbon nanotube reinforced composites , coatings, plasma spray, surface engineering, nanomechanics , nanotribology, bioceramic coatings, nanomechanics of biological cells , spark plasma sintering,</t>
  </si>
  <si>
    <t>Yiding Cao</t>
  </si>
  <si>
    <t xml:space="preserve"> caoy@fiu.edu</t>
  </si>
  <si>
    <t>s Aerospace Applications, Heat Transfer/Heat Pipes, Electronics Cooling, Gas Turbine Cooling, Internal Combustion Engines/ Heat Engines, Energy Recovery and Renewable Energy Systems, Refrigerators, and Solar Energy.</t>
  </si>
  <si>
    <t>Aerospace Applications, Heat Transfer/Heat Pipes, Electronics Cooling, Gas Turbine Cooling, Internal Combustion Engines/ Heat Engines, Energy Recovery , Renewable Energy Systems, Refrigerators, Solar Energy,</t>
  </si>
  <si>
    <t>Jiuhua Chen</t>
  </si>
  <si>
    <t xml:space="preserve"> chenj@fiu.edu</t>
  </si>
  <si>
    <t>s Materials Science and Engineering, Mineral Physics.</t>
  </si>
  <si>
    <t>Materials Science , Engineering, Mineral Physics,</t>
  </si>
  <si>
    <t>Norman D. H. Munroe</t>
  </si>
  <si>
    <t xml:space="preserve"> munroen@fiu.edu</t>
  </si>
  <si>
    <t>Ibrahim Nur Tansel</t>
  </si>
  <si>
    <t xml:space="preserve"> tanseli@fiu.edu</t>
  </si>
  <si>
    <t>Chunlei (Peggy) Wang</t>
  </si>
  <si>
    <t xml:space="preserve"> wangc@fiu.edu</t>
  </si>
  <si>
    <t>Prof. Wang’s s are crossing the boundaries of condensed matter physics, electrochemistry, materials processing, and manufacturing. Recently her grouPis focusing on micro and nanofabrication methods for building novel micro and nanostructures and synthesizing nanomaterials that have unique structures and useful properties for various applications in electronics, energy storage, and biosensing.</t>
  </si>
  <si>
    <t>condensed matter physics, electrochemistry, materials processing, manufacturing, Recently her grouPis focusing on micro , nanofabrication methods for building novel micro , nanostructures , synthesizing nanomaterials that have unique structures , useful properties for various applications in electronics, energy storage, biosensing,</t>
  </si>
  <si>
    <t>Benjamin Boesl</t>
  </si>
  <si>
    <t xml:space="preserve"> bboesl@fiu.edu</t>
  </si>
  <si>
    <t>s solid mechanics, fracture mechanics, in situ mechanical testing, high strain rate/dynamic material response, and processing-structure-property relationships.</t>
  </si>
  <si>
    <t>solid mechanics, fracture mechanics, in situ mechanical testing, high strain rate/dynamic material response, processing-structure-property relationships,</t>
  </si>
  <si>
    <t>Zhe Cheng</t>
  </si>
  <si>
    <t xml:space="preserve"> zhcheng@fiu.edu</t>
  </si>
  <si>
    <t>s advanced ceramic electrode and electrolyte materials for solid-state electrochemical energy conversion including solid oxide fuel cells, advanced ceramic materials and processing for electronic applications including photovoltaics (solar cells), and continued development of advanced high-temperature in situ characterizations tools for materials research.</t>
  </si>
  <si>
    <t>advanced ceramic electrode , electrolyte materials for solid-state electrochemical energy conversion including solid oxide fuel cells, advanced ceramic materials , processing for electronic applications including photovoltaics (solar cells), continued development of advanced high-temperature in situ characterizations tools for materials research,</t>
  </si>
  <si>
    <t>Bilal El-Zahab</t>
  </si>
  <si>
    <t xml:space="preserve"> belzahab@fiu.edu</t>
  </si>
  <si>
    <t>s lithium-ion batteries, electrolyte and electrolyte additives, gel-polymer electrolytes, electrolytes fillers, solid-state electrolyte glasses, reaction battery catalysis, lithium-air batteries, lithium-sulfur batteries, all-solid-state batteries, and development of in situ analytical tools for the determination of the source of capacity fade and the capacity fade mechanism in various battery systems.</t>
  </si>
  <si>
    <t>lithium-ion batteries, electrolyte , electrolyte additives, gel-polymer electrolytes, electrolytes fillers, solid-state electrolyte glasses, reaction battery catalysis, lithium-air batteries, lithium-sulfur batteries, all-solid-state batteries, development of in situ analytical tools for the determination of the source of capacity fade , the capacity fade mechanism in various battery systems,</t>
  </si>
  <si>
    <t>Cheng-Yu Lai</t>
  </si>
  <si>
    <t xml:space="preserve"> clai@fiu.edu</t>
  </si>
  <si>
    <t>s Functionalized mesostructured materials (mesoporous and hierarchical silica nanomaterials) engineered for the following applications Bionanotechnology</t>
  </si>
  <si>
    <t>Functionalized mesostructured materials (mesoporous , hierarchical silica nanomaterials) engineered for the following applications Bionanotechnology</t>
  </si>
  <si>
    <t>Pezhman Mardanpour</t>
  </si>
  <si>
    <t xml:space="preserve"> mardanpour@fiu.edu</t>
  </si>
  <si>
    <t>s aeroelasticity (experimental and theoretical), design based on constructal theory, fluid-structure interaction, structural dynamics, thermodynamics, aeroelasticity (experimental and theoretical), design based on constructal theory, fluid-structure interaction, structural dynamics, thermodynamics.</t>
  </si>
  <si>
    <t>aeroelasticity (experimental , theoretical), design based on constructal theory, fluid-structure interaction, structural dynamics, thermodynamics, aeroelasticity (experimental , theoretical), design based on constructal theory, fluid-structure interaction, structural dynamics, thermodynamics,</t>
  </si>
  <si>
    <t>Dwayne McDaniel</t>
  </si>
  <si>
    <t xml:space="preserve"> mcdaniel@fiu.edu</t>
  </si>
  <si>
    <t>s Robotics with applications to infrastructure inspection, autonomous systems, sensor systems, nondestructive evaluation, multi-body dynamics, and structural mechanics.</t>
  </si>
  <si>
    <t>Robotics with applications to infrastructure inspection, autonomous systems, sensor systems, nondestructive evaluation, multi-body dynamics, structural mechanics,</t>
  </si>
  <si>
    <t>$11,525 per year (in-state, full-time)</t>
  </si>
  <si>
    <t>Anamika Prasad</t>
  </si>
  <si>
    <t xml:space="preserve"> anprasad@fiu.edu</t>
  </si>
  <si>
    <t>s Biobased and bioinspired material design, Tissue biomechanics (bone tumor, vascular tissue in plant, cardiovascular tissue), Nano-mechanical characterization Biomedical devices for precision agriculture and healthcare.</t>
  </si>
  <si>
    <t>Biobased , bioinspired material design, Tissue biomechanics (bone tumor, vascular tissue in plant, cardiovascular tissue), Nano-mechanical characterization Biomedical devices for precision agriculture , healthcare,</t>
  </si>
  <si>
    <t>Daniela Radu</t>
  </si>
  <si>
    <t xml:space="preserve"> dradu@fiu.edu</t>
  </si>
  <si>
    <t>s Nanostructured materials for solution-processed solar photovoltaics Gen 2 PV (thin film crystalline absorbers). Advanced functional materials for optoelectronic applications 2D nanostructures and lasing materials. Chalcogenide nanoparticles for photothermal cancer therapy CuxS. Sensor design detecting heavy metals, nitrates and phosphates in water. Engineered nanoparticles toxicity evaluation.</t>
  </si>
  <si>
    <t>Nanostructured materials for solution-processed solar photovoltaics Gen 2 PV (thin film crystalline absorbers), Advanced functional materials for optoelectronic applications 2D nanostructures , lasing materials, Chalcogenide nanoparticles for photothermal cancer therapy CuxS, Sensor design detecting heavy metals, nitrates , phosphates in water, Engineered nanoparticles toxicity evaluation,</t>
  </si>
  <si>
    <t>Alicia Boymelgreen</t>
  </si>
  <si>
    <t xml:space="preserve"> aboymelg@fiu.edu</t>
  </si>
  <si>
    <t>s Micro/Nanofluidics, Lab-on-a-chip, Soft Matter, Active colloids, Micro/nanoscale cargo transport and delivery, Electrochemical sensing, Janus particles, Electrokinetics.</t>
  </si>
  <si>
    <t>Micro/Nanofluidics, Lab-on-a-chip, Soft Matter, Active colloids, Micro/nanoscale cargo transport , delivery, Electrochemical sensing, Janus particles, Electrokinetics,</t>
  </si>
  <si>
    <t>Darryl Dickerson</t>
  </si>
  <si>
    <t xml:space="preserve"> ddickers@fiu.edu</t>
  </si>
  <si>
    <t>s Mechanical characterization of biological interfaces, design of bioinspired materials, modeling of biological interfaces, natural biopolymer-metal complexation, model-informed in vivo bioreactor biomaterial design, biophysical control of induced pluripotent cells</t>
  </si>
  <si>
    <t>Mechanical characterization of biological interfaces, design of bioinspired materials, modeling of biological interfaces, natural biopolymer-metal complexation, model-informed in vivo bioreactor biomaterial design, biophysical control of induced pluripotent cells</t>
  </si>
  <si>
    <t>Abderrachid Hamrani</t>
  </si>
  <si>
    <t xml:space="preserve"> ahamrani@fiu.edu</t>
  </si>
  <si>
    <t>Vladimir A. Pozdin</t>
  </si>
  <si>
    <t xml:space="preserve"> ypozdin@fiu.edu</t>
  </si>
  <si>
    <t>s Wearable health monitoring, In-situ sensing, Flexible electronics</t>
  </si>
  <si>
    <t>Wearable health monitoring, In-situ sensing, Flexible electronics</t>
  </si>
  <si>
    <t>Stephen D. Secules</t>
  </si>
  <si>
    <t xml:space="preserve"> ssecules@fiu.edu</t>
  </si>
  <si>
    <t>s Equity, inclusion, and marginalization in education. Learning sciences, sociocultural learning theories. Ethnography and interaction analysis methodologies. Undergraduate engineering educational culture. New paradigms for co-curricular support Critical whiteness and masculinity studies.</t>
  </si>
  <si>
    <t>Equity, inclusion, marginalization in education, Learning sciences, sociocultural learning theories, Ethnography , interaction analysis methodologies, Undergraduate engineering educational culture, New paradigms for co-curricular support Critical whiteness , masculinity studies,</t>
  </si>
  <si>
    <t>Alexandra Coso Strong</t>
  </si>
  <si>
    <t xml:space="preserve"> alexandra.strong@fiu.edu</t>
  </si>
  <si>
    <t>s Human-Centered Design Methodologies, Complex Systems Design, Engineering Design Education, Faculty Development, and Graduate Student Experiences.</t>
  </si>
  <si>
    <t>Human-Centered Design Methodologies, Complex Systems Design, Engineering Design Education, Faculty Development, Graduate Student Experiences,</t>
  </si>
  <si>
    <t>Aaron Tallman</t>
  </si>
  <si>
    <t xml:space="preserve"> atallman@fiu.edu</t>
  </si>
  <si>
    <t>s Computational modeling metal mechanics at the single-crystal and polycrystalline scale, Uncertainty Quantification in computational plasticity models, with multi-scale data, Surrogate and Reduced Order Modeling of crystal plasticity and mesoscale materials models.</t>
  </si>
  <si>
    <t>Computational modeling metal mechanics at the single-crystal , polycrystalline scale, Uncertainty Quantification in computational plasticity models, with multi-scale data, Surrogate , Reduced Order Modeling of crystal plasticity , mesoscale materials models,</t>
  </si>
  <si>
    <t>Wei-Yu Bao</t>
  </si>
  <si>
    <t xml:space="preserve"> baow@fiu.edu</t>
  </si>
  <si>
    <t>Seyad Ebrahim Beladi</t>
  </si>
  <si>
    <t xml:space="preserve"> sbeladi@fiu.edu</t>
  </si>
  <si>
    <t>Kevin Boutsen</t>
  </si>
  <si>
    <t xml:space="preserve"> kboutsen@fiu.edu</t>
  </si>
  <si>
    <t>Markus Downey</t>
  </si>
  <si>
    <t xml:space="preserve"> mdowney@fiu.edu</t>
  </si>
  <si>
    <t>Andriy Durygin</t>
  </si>
  <si>
    <t>Carmen Muller-Karger</t>
  </si>
  <si>
    <t xml:space="preserve"> cmullerk@fiu.edu</t>
  </si>
  <si>
    <t>Ju Sun</t>
  </si>
  <si>
    <t xml:space="preserve"> sunju@fiu.edu</t>
  </si>
  <si>
    <t>Tony Thomas</t>
  </si>
  <si>
    <t xml:space="preserve"> tonthoma@fiu.edu</t>
  </si>
  <si>
    <t>Andres Tremante</t>
  </si>
  <si>
    <t xml:space="preserve"> tremante@fiu.edu</t>
  </si>
  <si>
    <t>Louisiana Tech University</t>
  </si>
  <si>
    <t>Dr. Prabhu Arumugam</t>
  </si>
  <si>
    <t>parumug@latech.edu</t>
  </si>
  <si>
    <t>Dr. Arumugam’s s are carbon nanomaterial synthesis and characterization, nano-bio-neuro electrochemical sensors for point-of-care diagnostics, biomedical coatings, advanced oxidation processes for water treatment, and electrodes for energy storage. Current research focus is to engineer novel electrode geometries and material compositions using micro-nanofabrication techniques and to advance the chemical neuroscience field for brain disorder treatments.</t>
  </si>
  <si>
    <t>carbon nanomaterial synthesis , characterization, nano-bio-neuro electrochemical sensors for point-of-care diagnostics, biomedical coatings, advanced oxidation processes for water treatment, electrodes for energy storage, Current research focus is to engineer novel electrode geometries , material compositions using micro-nanofabrication techniques , the chemical neuroscience field for brain disorder treatments</t>
  </si>
  <si>
    <t>Dr. Hamzeh Bardaweel</t>
  </si>
  <si>
    <t>hamzehb@latech.edu</t>
  </si>
  <si>
    <t>Vibrations, Additive Manufacturing, and Green Manufacturing</t>
  </si>
  <si>
    <t>Vibrations, Additive Manufacturing, Green Manufacturing</t>
  </si>
  <si>
    <t>Dr. Henry Cardenas</t>
  </si>
  <si>
    <t>cardenas@latech.edu</t>
  </si>
  <si>
    <t>Dr. Cardenas’ s include nanosystems particle analysis, electrokinetics and nanomanufacturing engineering.</t>
  </si>
  <si>
    <t>nanosystems particle analysis, electrokinetics , nanomanufacturing engineering,</t>
  </si>
  <si>
    <t>Dr. Xiang (Shawn) Chen</t>
  </si>
  <si>
    <t>shawnxc@latech.edu</t>
  </si>
  <si>
    <t>Multiscale, Mechanics, Materials, Defects, and Simulations</t>
  </si>
  <si>
    <t>Multiscale, Mechanics, Materials, Defects, Simulations</t>
  </si>
  <si>
    <t>Dr. Yun Chen</t>
  </si>
  <si>
    <t>chen@latech.edu</t>
  </si>
  <si>
    <t>Fluid Mechanics, Microfluidics, Interfacial Phenomena, Droplets and Particles, Surfactant Transport, Emulsions</t>
  </si>
  <si>
    <t>Fluid Mechanics, Microfluidics, Interfacial Phenomena, Droplets , Particles, Surfactant Transport, Emulsions</t>
  </si>
  <si>
    <t>Dr. Krystal CorbeTTCruse</t>
  </si>
  <si>
    <t>kcorbett@latech.edu</t>
  </si>
  <si>
    <t>Engineering Education, Retention, Project-Based Learning, First-year Programs, and Curriculum Development</t>
  </si>
  <si>
    <t>Engineering Education, Retention, Project-Based Learning, First-year Programs, Curriculum Development</t>
  </si>
  <si>
    <r>
      <rPr>
        <u/>
        <sz val="10"/>
        <color rgb="FF000000"/>
        <rFont val="Arial"/>
        <family val="2"/>
      </rPr>
      <t>Dr. Kelly Crittenden</t>
    </r>
    <r>
      <rPr>
        <sz val="10"/>
        <color rgb="FF000000"/>
        <rFont val="Arial"/>
        <family val="2"/>
      </rPr>
      <t xml:space="preserve"> (Program chair)</t>
    </r>
  </si>
  <si>
    <t>kellyc@latech.edu</t>
  </si>
  <si>
    <t>EntrepreneurshiPand Product Design</t>
  </si>
  <si>
    <t>Entrepreneurship, Product Design</t>
  </si>
  <si>
    <t>Dr. David E. Hall</t>
  </si>
  <si>
    <t>dehall@latech.edu</t>
  </si>
  <si>
    <t>Dr. Hisham Hegab</t>
  </si>
  <si>
    <t>hhegab@latech.edu</t>
  </si>
  <si>
    <t>Dr. William Long</t>
  </si>
  <si>
    <t>long@latech.edu</t>
  </si>
  <si>
    <t>Instrumentation and Control Systems Engineering Technology</t>
  </si>
  <si>
    <t>Instrumentation , Control Systems Engineering Technology</t>
  </si>
  <si>
    <t>Dr.  Arden Moore</t>
  </si>
  <si>
    <t>amoore@latech.edu</t>
  </si>
  <si>
    <t>Multiscale Materials and Energy Transport, Nano/Microscale Heat Transfer, Phase Change, Nanomaterials, and Thermal Management of Electronics</t>
  </si>
  <si>
    <t>Multiscale Materials , Energy Transport, Nano/Microscale Heat Transfer, Phase Change, Nanomaterials, Thermal Management of Electronics</t>
  </si>
  <si>
    <t>Dr. Shafiqur Rahman</t>
  </si>
  <si>
    <t>srahman@latech.edu</t>
  </si>
  <si>
    <t>$4,806 per year (in-state, full-time)</t>
  </si>
  <si>
    <t>Dr. Timothy Reeves</t>
  </si>
  <si>
    <t>treeves@latech.edu</t>
  </si>
  <si>
    <t>Dr. Louis Reis</t>
  </si>
  <si>
    <t>lgreis@latech.edu</t>
  </si>
  <si>
    <t>Dr. Michael Swanbom</t>
  </si>
  <si>
    <t>mswanbom@latech.edu</t>
  </si>
  <si>
    <t>Dr. Leland Weiss</t>
  </si>
  <si>
    <t>lweiss@latech.edu</t>
  </si>
  <si>
    <t>Thermodynamic processes and heat transfer on the micro-scale, capture and re-use of waste energy, energy conservation and system efficiency improvements, use of low-grade waste heat/untapped energy sources</t>
  </si>
  <si>
    <t>Thermodynamic processes , heat transfer on the micro-scale, capture , re-use of waste energy, energy conservation , system efficiency improvements, use of low-grade waste heat/untapped energy sources</t>
  </si>
  <si>
    <t>Marquette University (Opus)</t>
  </si>
  <si>
    <r>
      <rPr>
        <u/>
        <sz val="10"/>
        <color rgb="FF000000"/>
        <rFont val="Arial"/>
        <family val="2"/>
      </rPr>
      <t>Dr. John Borg, P.E.</t>
    </r>
    <r>
      <rPr>
        <sz val="10"/>
        <color rgb="FF000000"/>
        <rFont val="Arial"/>
        <family val="2"/>
      </rPr>
      <t xml:space="preserve"> (Chair)</t>
    </r>
  </si>
  <si>
    <t>john.borg@marquette.edu</t>
  </si>
  <si>
    <t>Shock physics
Hydrodynamic stability and turbulence
Fluid dynamics
Aerodynamics</t>
  </si>
  <si>
    <t>Shock physics,
Hydrodynamic stability , turbulence,
Fluid dynamics,
Aerodynamics</t>
  </si>
  <si>
    <t>Dr. Casey  Allen</t>
  </si>
  <si>
    <t>casey.allen@marquette.edu</t>
  </si>
  <si>
    <t>Ignition and Combustion Phenomena
Alternative Fuels
Advanced Engine Chemistry
Chemical Kinetics
Laser Diagnostics and Spectroscopy</t>
  </si>
  <si>
    <t>Ignition , Combustion Phenomena,
Alternative Fuels,
Advanced Engine Chemistry,
Chemical Kinetics,
Laser Diagnostics , Spectroscopy</t>
  </si>
  <si>
    <t>Dr. Anthony  Bowman</t>
  </si>
  <si>
    <t>anthony.bowman@marquette.edu</t>
  </si>
  <si>
    <t>Heat transfer
Thermodynamics
Fluid mechanics
Numerical modeling and simulation of thermofluid equipment processes and systems</t>
  </si>
  <si>
    <t>Heat transfer,
Thermodynamics,
Fluid mechanics,
Numerical modeling , simulation of thermofluid equipment processes , systems</t>
  </si>
  <si>
    <t>Dr. Vikram  Cariapa, P.E.</t>
  </si>
  <si>
    <t>vikram.cariapa@marquette.edu</t>
  </si>
  <si>
    <t>Mass finishing
Design of prosthesis for spinal cord injury patients
Rapid prototyping processes
Design of implements for the elderly</t>
  </si>
  <si>
    <t>Mass finishing,
Design of prosthesis for spinal cord injury patients,
Rapid prototyping processes,
Design of implements for the elderly</t>
  </si>
  <si>
    <t>Dr. Adam  Dempsey</t>
  </si>
  <si>
    <t>adam.dempsey@marquette.edu</t>
  </si>
  <si>
    <t>Fuel Injection &amp; Sprays
CFD Simulations of Turbulent Reacting Flows
Combustion &amp; Chemical Kinetics
Pollutant Emissions Formation in Combustion
Internal Combustion Engines
Advanced Combustion Strategy Development</t>
  </si>
  <si>
    <t>Fuel Injection &amp; Sprays,
CFD Simulations of Turbulent Reacting Flows,
Combustion &amp; Chemical Kinetics,
Pollutant Emissions Formation in Combustion,
Internal Combustion Engines,
Advanced Combustion Strategy Development</t>
  </si>
  <si>
    <t>Dr.  Joseph  Domblesky, P.E.</t>
  </si>
  <si>
    <t>joseph.domblesky@marquette.edu</t>
  </si>
  <si>
    <t>Process simulation
Metal forming
Material joining</t>
  </si>
  <si>
    <t>Process simulation,
Metal forming,
Material joining</t>
  </si>
  <si>
    <t>Dr. Shuguang  Huang</t>
  </si>
  <si>
    <t>huangs@marquette.edu</t>
  </si>
  <si>
    <t>Dynamic systems analysis and physical modeling of mechanical systems, stability of motion
Robotics kinematics, dynamics and control of manipulators
Mechanical design intelligent design of multi-dimensional behavior for application in dynamically interacting systems
General dynamics, classical (analytical) mechanics, rigid-body dynamics
Biomechanics design of compliant mechanisms for prosthetic ankles</t>
  </si>
  <si>
    <t>Dynamic systems analysis , physical modeling of mechanical systems, stability of motion,
Robotics kinematics, dynamics , control of manipulators,
Mechanical design intelligent design of multi-dimensional behavior for application in dynamically interacting systems,
General dynamics, classical (analytical) mechanics, rigid-body dynamics,
Biomechanics design of compliant mechanisms for prosthetic ankles</t>
  </si>
  <si>
    <t>Dr. Kyuil  Kim, P.E.</t>
  </si>
  <si>
    <t>kyuil.kim@marquette.edu</t>
  </si>
  <si>
    <t>Computer-aided manufacturing
Industrial automation
Precision engineering
Accuracy analysis of multi-axis machine tools
Sculptured surface machining</t>
  </si>
  <si>
    <t>Computer-aided manufacturing,
Industrial automation,
Precision engineering,
Accuracy analysis of multi-axis machine tools,
Sculptured surface machining</t>
  </si>
  <si>
    <t>Dr. Michael R. Lovell</t>
  </si>
  <si>
    <t>president@marquette.edu</t>
  </si>
  <si>
    <t>Design Manufacturing 
Industrial Innovation</t>
  </si>
  <si>
    <t>Design Manufacturing ,
Industrial Innovation</t>
  </si>
  <si>
    <t>Dr. John  Moore</t>
  </si>
  <si>
    <t>john.a.moore@marquette.edu</t>
  </si>
  <si>
    <t>Computational mechanics
Materials science
Engineering design
High performance computing
Alloys
Polymers
Biomedical devices</t>
  </si>
  <si>
    <t>Computational mechanics,
Materials science,
Engineering design,
High performance computing,
Alloys,
Polymers,
Biomedical devices</t>
  </si>
  <si>
    <t>Dr.  Allison  Murray</t>
  </si>
  <si>
    <t>allison.murray@marquette.edu</t>
  </si>
  <si>
    <t>3D Printing
Inkjet Printing
Dynamics and vibrations
Energetic materials
Broadening participation in engineering</t>
  </si>
  <si>
    <t>3D Printing,
Inkjet Printing,
Dynamics , vibrations,
Energetic materials,
Broadening participation in engineering</t>
  </si>
  <si>
    <t>Dr. Hyunjae  Park</t>
  </si>
  <si>
    <t>hyunjae.park@marquette.edu</t>
  </si>
  <si>
    <t>Various heat exchanging energy conversion equipment performance modeling (design and analysis)
Computational fluid dynamics (CFD) applications to energy conversion components and systems
Optimization of energy conversion equipment and systems
Interdisciplinary fluid flow and heat transfer problem analysis</t>
  </si>
  <si>
    <t>Various heat exchanging energy conversion equipment performance modeling,
Computational fluid dynamics (CFD) applications to energy conversion components,
Optimization of energy conversion equipment , systems,
Interdisciplinary fluid flow , heat transfer problem analysis</t>
  </si>
  <si>
    <t>$1,245 per credit (full-time)</t>
  </si>
  <si>
    <t>Dr. Somesh  Roy</t>
  </si>
  <si>
    <t>somesh.roy@marquette.edu</t>
  </si>
  <si>
    <t>Combustion modeling
Soot modeling
Radiative heat transfer in combustion
Interaction of turbulence, chemistry, soot and radiation in combustion
Multiphase combustion
Atmospheric soot</t>
  </si>
  <si>
    <t>Combustion modeling,
Soot modeling,
Radiative heat transfer in combustion,
Interaction of turbulence, chemistry, soot , radiation in combustion,
Multiphase combustion,
Atmospheric soot</t>
  </si>
  <si>
    <t>Dr. Simcha Singer</t>
  </si>
  <si>
    <t>simcha.singer@marquette.edu</t>
  </si>
  <si>
    <t xml:space="preserve">Multicomponent droplet vaporization and combustion
Gasification, air- and oxy-combustion and pyrolysis of solid fuels
Modeling reaction and transport in porous media
Energy conversion
</t>
  </si>
  <si>
    <t xml:space="preserve">Multicomponent droplet vaporization , combustion,
Gasification, air- , oxy-combustion , pyrolysis of solid fuels,
Modeling reaction , transport in porous media,
Energy conversion
</t>
  </si>
  <si>
    <t>Dr. PhiliPVoglewede</t>
  </si>
  <si>
    <t>philip.voglewede@marquette.edu</t>
  </si>
  <si>
    <t>Dynamics and controls
Robotics
Active lower limb prostheses
Industrial automation and assembly
Mechanism analysis and synthesis</t>
  </si>
  <si>
    <t>Dynamics , controls,
Robotics,
Active lower limb prostheses,
Industrial automation , assembly,
Mechanism analysis , synthesis</t>
  </si>
  <si>
    <t>Dr. Le  Zhou</t>
  </si>
  <si>
    <t>le.zhou@marquette.edu</t>
  </si>
  <si>
    <t xml:space="preserve">Physical Metallurgy, Solidification, Phase Transformations, Diffusion in Multicomponent Solids, Additive Manufacturing, Laser Powder Bed Fusion, Gas Atomization, Superalloys, Lightweight Alloys, Materials Characterization via Electron Microscopy, Mechanical Testing
</t>
  </si>
  <si>
    <t>Montana State University</t>
  </si>
  <si>
    <t>Ohio University (Russ)</t>
  </si>
  <si>
    <r>
      <rPr>
        <u/>
        <sz val="10"/>
        <color rgb="FF000000"/>
        <rFont val="Arial"/>
        <family val="2"/>
      </rPr>
      <t>Gregory Kremer</t>
    </r>
    <r>
      <rPr>
        <sz val="10"/>
        <color rgb="FF000000"/>
        <rFont val="Arial"/>
        <family val="2"/>
      </rPr>
      <t xml:space="preserve"> (Chair)</t>
    </r>
  </si>
  <si>
    <t>kremer@ohio.edu</t>
  </si>
  <si>
    <t>s Mechanical design and new product development, Integrative Education &amp; Community Engagement, Sustainable Energy and the Environment</t>
  </si>
  <si>
    <t>Mechanical design , new product development, Integrative Education &amp; Community Engagement, Sustainable Energy , the Environment</t>
  </si>
  <si>
    <t>Yahya Al-Majali</t>
  </si>
  <si>
    <t>almajali@ohio.edu</t>
  </si>
  <si>
    <t>Muhammad Ali</t>
  </si>
  <si>
    <t>alim1@ohio.edu</t>
  </si>
  <si>
    <t>s CAD/CAM/CAE, energy absorbing and impact protection issues, functionally graded cellular biomaterials and structures, composite materials</t>
  </si>
  <si>
    <t>CAD/CAM/CAE, energy absorbing , impact protection issues, functionally graded cellular biomaterials , structures, composite materials</t>
  </si>
  <si>
    <t>John Cotton</t>
  </si>
  <si>
    <t>cotton@ohio.edu</t>
  </si>
  <si>
    <t>s Computational mechanics, biomechanics, finite element analysis, characterization of material damage and viscoelasticity</t>
  </si>
  <si>
    <t>Computational mechanics, biomechanics, finite element analysis, characterization of material damage , viscoelasticity</t>
  </si>
  <si>
    <t>Timothy Cyders</t>
  </si>
  <si>
    <t>cyderst@ohio.edu</t>
  </si>
  <si>
    <t>s Design, Flexible/Compliant Mechanisms, Materials, Engineering Education, Sustainable Power Generation</t>
  </si>
  <si>
    <t>Design, Flexible/Compliant Mechanisms, Materials, Engineering Education, Sustainable Power Generation</t>
  </si>
  <si>
    <t>Cody Petitt</t>
  </si>
  <si>
    <t>petittc@ohio.edu</t>
  </si>
  <si>
    <t>Andrew Weems</t>
  </si>
  <si>
    <t>weemsac@ohio.edu</t>
  </si>
  <si>
    <t xml:space="preserve">s Sustainable/bioderived polymers, degradable polymers, 3D printing of polymers, design of 3D printing methods, biomaterials, biomedical devices
</t>
  </si>
  <si>
    <t>Sustainable/bioderived polymers, degradable polymers, 3D printing of polymers, design of 3D printing methods, biomaterials, biomedical devices</t>
  </si>
  <si>
    <t>Jay Wilhelm</t>
  </si>
  <si>
    <t>wilhelj1@ohio.edu</t>
  </si>
  <si>
    <t xml:space="preserve">s Aerial Robotics, Energy Neutral Sensors, UAV design and testing, flight simulation
</t>
  </si>
  <si>
    <t xml:space="preserve">Aerial Robotics, Energy Neutral Sensors, UAV design , testing, flight simulation
</t>
  </si>
  <si>
    <t>williar4@ohio.edu</t>
  </si>
  <si>
    <t>s Parallel robots, cable-suspended robots, mobile robots, and haptics for simulation, education and training.</t>
  </si>
  <si>
    <t>Parallel robots, cable-suspended robots, mobile robots, haptics for simulation, education , training,</t>
  </si>
  <si>
    <t>Brian Wisner</t>
  </si>
  <si>
    <t>bwisner@ohio.edu</t>
  </si>
  <si>
    <t xml:space="preserve">s Nondestructive Testing and Evaluation (NDT&amp;E), Mechanical Behavior of Materials, Additive Manufacturing, Composite Systems, Microstructure-Property- Performance Linkages
</t>
  </si>
  <si>
    <t xml:space="preserve">Nondestructive Testing , Evaluation (NDT&amp;E), Mechanical Behavior of Materials, Additive Manufacturing, Composite Systems, Microstructure-Property- Performance Linkages
</t>
  </si>
  <si>
    <t>Jason Trembly</t>
  </si>
  <si>
    <t>trembly@ohio.edu</t>
  </si>
  <si>
    <t>s thermocatalytic processes, supercritical fluid processes, solid oxide fuel cells, nutrient recovery</t>
  </si>
  <si>
    <t>thermocatalytic processes, supercritical fluid processes, solid oxide fuel cells, nutrient recovery</t>
  </si>
  <si>
    <t>$8,188 per year (in-state, full-time)</t>
  </si>
  <si>
    <t>Rowan University</t>
  </si>
  <si>
    <t>Melanie Amadoro</t>
  </si>
  <si>
    <t>amadoro@rowan.edu</t>
  </si>
  <si>
    <t>Francis (Mac) Haas, Ph.D.</t>
  </si>
  <si>
    <t>haas@rowan.edu</t>
  </si>
  <si>
    <t xml:space="preserve">Research Expertise Thermal-Fluid Sciences, Chemically Reacting Flows, Gas Phase Fuel and Pollutant Chemistry, Additive Manufacturing, Biomedical Device Development
</t>
  </si>
  <si>
    <t xml:space="preserve">Thermal-Fluid Sciences, Chemically Reacting Flows, Gas Phase Fuel , Pollutant Chemistry, Additive Manufacturing, Biomedical Device Development
</t>
  </si>
  <si>
    <t>Smitesh Bakrania, Ph.D.</t>
  </si>
  <si>
    <t>bakrania@rowan.edu</t>
  </si>
  <si>
    <t>Research Expertise Engineering Education Research, Combustion synthesis of nanoparticles, Material Characterization, Nanocatalytic Combustion</t>
  </si>
  <si>
    <t>Engineering Education Research, Combustion synthesis of nanoparticles, Material Characterization, Nanocatalytic Combustion</t>
  </si>
  <si>
    <t>Krishan Bhatia, Ph.D.</t>
  </si>
  <si>
    <t>bhatia@rowan.edu</t>
  </si>
  <si>
    <t xml:space="preserve">Interests Vehicle Aerodynamics, Vehicle Dynamics, Hybrid-Electric Vehicle Powertrain Simulationbio
</t>
  </si>
  <si>
    <t>Vehicle Aerodynamics, Vehicle Dynamics, Hybrid-Electric Vehicle Powertrain Simulationbio</t>
  </si>
  <si>
    <t>Behrad Koohbor, Ph.D.</t>
  </si>
  <si>
    <t>koohbor@rowan.edu</t>
  </si>
  <si>
    <t>Research Expertise
Experimental Mechanics, Multiphysics Characterization, Multifunctional Composites, Graded Structures
Dr. Koohbor is broadly interested in understanding process-structure-property-performance relations in novel materials and structures. His current  include gradient optimization in functionally graded materials (FGM) and understanding the chemo-mechanics of cold spray additive manufacturing process.</t>
  </si>
  <si>
    <t>Experimental Mechanics, Multiphysics Characterization, Multifunctional Composites, Graded Structures</t>
  </si>
  <si>
    <t>Paromita Nath, Ph.D.</t>
  </si>
  <si>
    <t>nath@rowan.edu</t>
  </si>
  <si>
    <t xml:space="preserve">Research Expertise
Uncertainty Quantification, Additive Manufacturing, Bayesian Inference, Additive Manufacturing, Process Design and Control under Uncertainty                                                                                                                                   
Dr. Nath is interested in uncertainty quantification and management with applications in additive manufacturing, health care, and power systems.  Dr. Nath’s current research focuses on building and implementing a probabilistic digital twin for additive manufacturing and also on studying the process-structure-property relationships in additive manufacturing.
</t>
  </si>
  <si>
    <t xml:space="preserve">Uncertainty Quantification, Additive Manufacturing, Bayesian Inference, Additive Manufacturing, Process Design , Control under Uncertainty                                                                                                                                   </t>
  </si>
  <si>
    <t>Sohaib Obeid, Ph.D.</t>
  </si>
  <si>
    <t>obeids@rowan.edu</t>
  </si>
  <si>
    <t>Computational Fluid Dynamics (CFD), (Simulation of external and internal flows, 1D, 2D and 3D)
Computational Aerodynamics, (Computational incompressible aerodynamics, computational compressible aerodynamics).
Aeroacoustics, (Noise generated by airfoil profiles placed in a uniform laminar flow and turbulent flows )
Turbo-machines, (Conceptual design analysis of compressors, fans, pumps, turbines).
Aerosol (Respiratory Droplet Emissions and Transport Estimates Using CFD for Closed Workstations).
Reduced Order Modelling, (Dynamic Modeling Decompositions, Optimal Modeling Decompositions, Proper Orthogonal Decomposition, etc.)
System Identification, (ARX, NARX, ARMAX, NARMAX, techniques)
Nonlinear analysis and control for flow control problems.
Fluid Structure Interactions (FSI) analysis.</t>
  </si>
  <si>
    <t>Computational Fluid Dynamics (CFD),
Computational Aerodynamics,
Aeroacoustics,
Turbo-machines,
Aerosol,
Reduced Order Modelling,
System Identification, 
Nonlinear analysis , control for flow control problems,
Fluid Structure Interactions (FSI) analysis</t>
  </si>
  <si>
    <t>Anu Osta, Ph.D.</t>
  </si>
  <si>
    <t>osta@rowan.edu</t>
  </si>
  <si>
    <t xml:space="preserve">Research Expertise Polymer Materials, Electromechanical Equipment Design, Fluid Dynamics
</t>
  </si>
  <si>
    <t xml:space="preserve">Polymer Materials, Electromechanical Equipment Design, Fluid Dynamics
</t>
  </si>
  <si>
    <t>Vinayak Ranjan, Ph.D.</t>
  </si>
  <si>
    <t>ranjan@rowan.edu</t>
  </si>
  <si>
    <t>Vibro- acoustics behaviour of structures
finite element modelling
dynamic stiffness method
Wittrick-Williams algorithm
functionally graded materials modelling
plate with piezo patches for energy harvesting
crack modelling
acoustic radiation behavior
Rayleigh Integral method
structural assessment &amp; design optimization of underground Loader
vibration analysis of structures on elastic foundation  
Material’s characterisation
friction and Wear Performance
fatigue analysis
high Strain Rate Characterization of Materials
shear thickening fluid behaviours under impact load
Railway Engineering
wheel rail contact modelling for stress, vibration and wear under friction-induced thermal load
under varied wheel sliPconditions.
rolling contact fatigue life of rail for different sliPconditions
track modelling for vibration and noise
Aero Engineering
burst Strength Analysis of Gas Turbine Disc
critical Stresses on a Gas Turbine Disc
stress analysis of disc blade assembly region of an aero engine with Finite element method
Human motion Modelling
Gait analysis-Kinematic and kinetic human motion analysis of different mechanical knee joints for trans femoral amputees
Design and analysis of prosthesis and sockets for transtibial and trans femoral amputees
Measurement of spine parameters with surface topography techniques
Design and analysis of flame proof structure
Experimental investigation of explosion parameters for mining applications
Engineering Education
Measurement and assessment of Academic Achievement using Inquiry Training Model</t>
  </si>
  <si>
    <t>Vibro- acoustics behaviour of structures,
finite element modelling,
dynamic stiffness method,
Wittrick-Williams algorithm,
functionally graded materials modelling,
plate with piezo patches for energy harvesting,
crack modelling,
acoustic radiation behavior,
Rayleigh Integral method,
structural assessment &amp; design optimization of underground Loader,
vibration analysis of structures on elastic foundation,
Material’s characterisation,
friction , Wear Performance,
fatigue analysis,
high Strain Rate Characterization of Materials,
shear thickening fluid behaviours under impact load,
Railway Engineering,
wheel rail contact modelling for stress, vibration , wear under friction-induced thermal load,
under varied wheel sliPconditions,
rolling contact fatigue life of rail for different sliPconditions,
Aero Engineering,
burst Strength Analysis of Gas Turbine Disc,
critical Stresses on a Gas Turbine Disc,
stress analysis of disc blade assembly region of an aero engine with Finite element method,
Human motion Modelling,
Gait analysis-Kinematic , kinetic human motion analysis of different mechanical knee joints for trans femoral amputees,
Design , analysis of prosthesis , sockets for transtibial , trans femoral amputees,
Measurement of spine parameters with surface topography techniques,
Design , analysis of flame proof structure,
Experimental investigation of explosion parameters for mining applications,
Engineering Education,
Measurement , assessment of Academic Achievement using Inquiry Training Model</t>
  </si>
  <si>
    <t>Chen Shen, Ph.D.</t>
  </si>
  <si>
    <t>shenc@rowan.edu</t>
  </si>
  <si>
    <t xml:space="preserve">Research Expertise 
Functional materials, Metamaterials , Noise and vibration control, Structural health monitoring, Acoustofluidics and microfluidics
Dr. Shen works on the intersection between structures and wave propagation, in particular acoustic and elastic waves. The research mainly focuses on developing novel structures to control the propagation of waves in complex media for applications in sensing, acoustics, and healthcare.
</t>
  </si>
  <si>
    <t>Functional materials, Metamaterials , Noise , vibration control, Structural health monitoring, Acoustofluidics , microfluidics</t>
  </si>
  <si>
    <t>Mitja Trkov, Ph.D.</t>
  </si>
  <si>
    <t>trkov@rowan.edu</t>
  </si>
  <si>
    <t>Research Expertise Wearable Robotics, Physical Human-Machine Interactions, Biomechanics, Ergonomics, Soft Robotics
My research focuses on robotics and human-machine interactions in biomedical applications. I use analytical and experimental approaches that integrate dynamics and control, mathematical modeling, and use of experimental platforms with human subject testing to develoPnew principles and tools. These principles are applicable for robotic applications in autonomous systems, soft robotics, rehabilitation and biomedical engineering.</t>
  </si>
  <si>
    <t xml:space="preserve">Wearable Robotics, Physical Human-Machine Interactions, Biomechanics, Ergonomics, Soft Robotics, robotics , human-machine interactions in biomedical applications, I use analytical , experimental approaches that integrate dynamics , control, mathematical modeling, use of experimental platforms with human subject testing to develop new principles </t>
  </si>
  <si>
    <t>$761 per credit (in-state, full-time)</t>
  </si>
  <si>
    <t>Wei Xue, Ph.D.</t>
  </si>
  <si>
    <t>xuew@rowan.edu</t>
  </si>
  <si>
    <t xml:space="preserve">Research Expertise 
Functional materials, nanomaterials, composites, nanotechnology, sensors and actuators, wearable electronics
My s are in the areas of functional materials, sensors, actuators, and wearable electronics. In particular, our grouPstudies materials, devices, and systems at the micro- and nano-scale. Currently we are working on composites materials, flexible electronics, and soft robotics.         </t>
  </si>
  <si>
    <t>Functional materials, nanomaterials, composites, nanotechnology, sensors , actuators, wearable electronics,
functional materials, sensors, actuators, wearable electronics</t>
  </si>
  <si>
    <t>Hong Zhang, Ph.D.</t>
  </si>
  <si>
    <t>zhang@rowan.edu</t>
  </si>
  <si>
    <t xml:space="preserve">Research Expertise Mechatronics, Unmanned vehicles, Mechanical systems, Robotics, Human-Machine Interface.
Our team develops unmanned vehicles and robotic systems to various applications such as data based intelligent or organic farming, water and soil surveillance, green energy generation, etc. We also work on electromechanical and mechanical systems to enhance human-machine interaction in office environment and to improve productivity and safety in various industries.
</t>
  </si>
  <si>
    <t xml:space="preserve">Mechatronics, Unmanned vehicles, Mechanical systems, Robotics, Human-Machine Interface,
</t>
  </si>
  <si>
    <t>Santa Clara University</t>
  </si>
  <si>
    <t>Mohammad A. Ayoubi</t>
  </si>
  <si>
    <t xml:space="preserve"> maayoubi@scu.edu</t>
  </si>
  <si>
    <t>s Multibody and Analytical Dynamics, Control of Aerospace Vehicles, Guidance and Control of Reentry Vehicles</t>
  </si>
  <si>
    <t>Multibody , Analytical Dynamics, Control of Aerospace Vehicles, Guidance , Control of Reentry Vehicles</t>
  </si>
  <si>
    <t>Drazen Fabris</t>
  </si>
  <si>
    <t xml:space="preserve"> dfabris@scu.edu
</t>
  </si>
  <si>
    <t>s Nanoscale Heat Generation and Transport, Electronics Cooling, Energy, Computational, Analytical, and Experimental Fluid Mechanics</t>
  </si>
  <si>
    <t>Nanoscale Heat Generation , Transport, Electronics Cooling, Energy, Computational, Analytical, Experimental Fluid Mechanics</t>
  </si>
  <si>
    <t>Sina Heydari</t>
  </si>
  <si>
    <t>sheydari@scu.edu</t>
  </si>
  <si>
    <t>s Dynamics and Biophysics</t>
  </si>
  <si>
    <t>Dynamics , Biophysics</t>
  </si>
  <si>
    <t>Christopher Kitts</t>
  </si>
  <si>
    <t xml:space="preserve"> ckitts@scu.edu
</t>
  </si>
  <si>
    <t>s Collaborative Multirobot Systems, Model-Based Anomaly Management, Novel Robotic Systems, and Field Missions</t>
  </si>
  <si>
    <t>Collaborative Multirobot Systems, Model-Based Anomaly Management, Novel Robotic Systems, Field Missions</t>
  </si>
  <si>
    <r>
      <rPr>
        <u/>
        <sz val="10"/>
        <color rgb="FF000000"/>
        <rFont val="Arial"/>
        <family val="2"/>
      </rPr>
      <t>Hohyun Lee</t>
    </r>
    <r>
      <rPr>
        <sz val="10"/>
        <color rgb="FF000000"/>
        <rFont val="Arial"/>
        <family val="2"/>
      </rPr>
      <t xml:space="preserve"> (Hohyun)</t>
    </r>
  </si>
  <si>
    <t>hlee@scu.edu</t>
  </si>
  <si>
    <t>s Building Energy Reduction Via Cyber Physical Systems (Internet Of Things), Thermoelectric Energy Conversion (Wearable Energy Harvester, Temperature Control), Thermal Energy Utilization and Storage, Thermal Properties Characterization, Instrumentation</t>
  </si>
  <si>
    <t>Building Energy Reduction Via Cyber Physical Systems (Internet Of Things), Thermoelectric Energy Conversion (Wearable Energy Harvester, Temperature Control), Thermal Energy Utilization , Storage, Thermal Properties Characterization, Instrumentation</t>
  </si>
  <si>
    <t>Sthanu Mahadev</t>
  </si>
  <si>
    <t>sMahadev@SCU.edu</t>
  </si>
  <si>
    <t>s Structural Mechanics, Mechanical Design, Finite Element Simulations, Composite Mechanics, and Thin-walled Structures</t>
  </si>
  <si>
    <t>Structural Mechanics, Mechanical Design, Finite Element Simulations, Composite Mechanics, Thin-walled Structures</t>
  </si>
  <si>
    <t>Robert Marks</t>
  </si>
  <si>
    <t xml:space="preserve"> rmarks@scu.edu
</t>
  </si>
  <si>
    <t>s Kinetic and Thermodynamic Behavior of the Morphology of Multi-Phase Material Systems</t>
  </si>
  <si>
    <t>Kinetic , Thermodynamic Behavior of the Morphology of Multi-Phase Material Systems</t>
  </si>
  <si>
    <t>Mark Godfrey Mungal</t>
  </si>
  <si>
    <t xml:space="preserve"> mgmungal@scu.edu
</t>
  </si>
  <si>
    <t>s Supersonic and Subsonic Mixing and Combustion, Turbulent Reacting Flows, Aerodynamics of Separated Flows</t>
  </si>
  <si>
    <t>Supersonic , Subsonic Mixing , Combustion, Turbulent Reacting Flows, Aerodynamics of Separated Flows</t>
  </si>
  <si>
    <t>On Shun Pak</t>
  </si>
  <si>
    <t xml:space="preserve"> opak@scu.edu
</t>
  </si>
  <si>
    <t>s Biological Fluid Mechanics, Complex Fluids, Low Reynolds Number Flows, Microswimmers</t>
  </si>
  <si>
    <t>Biological Fluid Mechanics, Complex Fluids, Low Reynolds Number Flows, Microswimmers</t>
  </si>
  <si>
    <t>Elaine Scott</t>
  </si>
  <si>
    <t xml:space="preserve"> epscott@scu.edu
</t>
  </si>
  <si>
    <t>s Complex Thermal Systems, including Inverse, Parameter Estimation, and Optimization Problems related to Bio-systems, Power Electronics, and Aerospace Systems</t>
  </si>
  <si>
    <t>Complex Thermal Systems, including Inverse, Parameter Estimation, Optimization Problems related to Bio-systems, Power Electronics, Aerospace Systems</t>
  </si>
  <si>
    <t>Panthea Sepehrband</t>
  </si>
  <si>
    <t xml:space="preserve"> psepehrband@scu.edu
</t>
  </si>
  <si>
    <t>s Solid-State Phase Transformations, Ultrasonic Bonding at Micro/Nano-Scale, Thermomechanical Processing and Microstructural Engineering</t>
  </si>
  <si>
    <t>Solid-State Phase Transformations, Ultrasonic Bonding at Micro/Nano-Scale, Thermomechanical Processing , Microstructural Engineering</t>
  </si>
  <si>
    <t>Michael J. Taylor</t>
  </si>
  <si>
    <t xml:space="preserve"> mjtaylor@scu.edu
</t>
  </si>
  <si>
    <t>s Computational Solid Mechanics with a Focus on Auxetic Metamaterials and the Nonlinear Elasticity of Thin Films &amp; Biomembranes.</t>
  </si>
  <si>
    <t>Computational Solid Mechanics with a Focus on Auxetic Metamaterials , the Nonlinear Elasticity of Thin Films &amp; Biomembranes,</t>
  </si>
  <si>
    <t>$1,088 per credit (full-time)</t>
  </si>
  <si>
    <t>Jun Wang</t>
  </si>
  <si>
    <t>jwang@scu.edu</t>
  </si>
  <si>
    <t>s Data-Driven Design and Manufacturing, Physics-Driven Design, Generative Design, and Design for Additive Manufacturing</t>
  </si>
  <si>
    <t>Data-Driven Design , Manufacturing, Physics-Driven Design, Generative Design, Design for Additive Manufacturing</t>
  </si>
  <si>
    <t>Pete Woytowitz</t>
  </si>
  <si>
    <t>pwoytowitz@scu.edu</t>
  </si>
  <si>
    <t>s Mechanical Design Analysis, Computational Modeling, Algorithms and Software Development including Finite Element Methods, Optimization and Multi-Physics Problems. Reliability and best practices for System Design.</t>
  </si>
  <si>
    <t>Mechanical Design Analysis, Computational Modeling, Algorithms , Software Development including Finite Element Methods, Optimization , Multi-Physics Problems, Reliability , best practices for System Design,</t>
  </si>
  <si>
    <t>Southern Illinois University--Carbondale</t>
  </si>
  <si>
    <t>FARHAN CHOWDHURY</t>
  </si>
  <si>
    <t>farhan.chowdhury@siu.edu</t>
  </si>
  <si>
    <t xml:space="preserve">The overall objective of our RProgram is to advance fundamental understanding of mechanotransduction processes in single living cells with single-molecule precision. Our transformative research, at the interface of engineering, biology, and single-molecule physics, primarily focuses to address the outstanding questions in stem cells and cancer mechanobiology. Specifically, we utilize tension gauge tethers (TGTs), FRET biosensors, smFISH, and high throughput next-generation sequencing techniques to thoroughly investigate outside-in and inside-out signaling in living cells. Our integrated approach enables us to measure dynamic changes occurring at the single molecule level under specific mechanical microenvironments. Furthermore, we are driven to translate this knowledge into clinics to improve the quality of life.
</t>
  </si>
  <si>
    <t xml:space="preserve">mechanotransduction processes in single living cells with single-molecule precision, biology, single-molecule physics, primarily focuses to address the outst,ing questions in stem cells , cancer mechanobiology, Specifically, we utilize tension gauge tethers (TGTs), inside-out signaling in living cells, Our integrated approach enables us to measure dynamic changes occurring at the single molecule level under specific mechanical microenvironments
</t>
  </si>
  <si>
    <t>TSUCHIN CHU</t>
  </si>
  <si>
    <t>tchu@siu.edu</t>
  </si>
  <si>
    <t>Non-destructive evaluation Thermography, image correlation, ultrasonics
Biomechanics testing and measurements of bone allograft and soft tissue of diabetic foot, spinal implants
Fracture mechanics short crack growth and damage zone evaluation on particulate composites
Experimental mechanics digital image correlation and laser speckle interferometry
Composite materials finite element analysis, impact damage and repair, microcracking, porosity
Composite structure for advanced spacecraft systems
Image analysis and damage assessment of materials
MEMS and Nano-technology silicon micro-machined vibratory gyroscope, strain measurement of thin film with nano-scale accuracy
CAD/CAM computer-aided modular fixture design, machine vision</t>
  </si>
  <si>
    <t>Non-destructive evaluation Thermography, image correlation, ultrasonics,
Biomechanics testing , measurements of bone allograft , soft tissue of diabetic foot, spinal implants,
Fracture mechanics short crack growth , damage zone evaluation on particulate composites,
Experimental mechanics digital image correlation , laser speckle interferometry,
Composite materials finite element analysis, impact damage , repair, microcracking, porosity,
Composite structure for advanced spacecraft systems,
Image analysis , damage assessment of materials,
MEMS , Nano-technology silicon micro-machined vibratory gyroscope, strain measurement of thin film with nano-scale accuracy,
CAD/CAM computer-aided modular fixture design, machine vision</t>
  </si>
  <si>
    <t>HOSSEIN ESLAMIAT</t>
  </si>
  <si>
    <t>hossein.eslamiat@siu.edu</t>
  </si>
  <si>
    <t xml:space="preserve">Safety and stability analysis of small unmanned aerial systems for civilian applications
</t>
  </si>
  <si>
    <t>Safety , stability analysis of small unmanned aerial systems for civilian applications</t>
  </si>
  <si>
    <t>ASGHAR ESMAEELI</t>
  </si>
  <si>
    <t>esmaeeli@engr.siu.edu</t>
  </si>
  <si>
    <t xml:space="preserve">Electrohydrodynamics of Suspension of Drops in DC/AC Electric Fields
Explosive Boiling
Film Boiling
EHD-Driven Instability of Superimposed Fluids
Equilibrium Shapes and Stability of Liquid-Liquid Interfaces in Superimposed Flows Due to Thermocapillarity-Driven Convection
</t>
  </si>
  <si>
    <t xml:space="preserve">Electrohydrodynamics of Suspension of Drops in DC/AC Electric Fields,
Explosive Boiling,
Film Boiling,
EHD-Driven Instability of Superimposed Fluids,
Equilibrium Shapes , Stability of Liquid-Liquid Interfaces in Superimposed Flows Due to Thermocapillarity-Driven Convection
</t>
  </si>
  <si>
    <t>KAMBIZ FARHANG</t>
  </si>
  <si>
    <t>farhang@siu.edu</t>
  </si>
  <si>
    <t>PETER FILIP</t>
  </si>
  <si>
    <t>filip@siu.edu</t>
  </si>
  <si>
    <t>Friction and Wear Testing Procedures for Composite Materials
Light Microscopy and Image/Quantitative Analysis (LM)
X-ray Diffraction Analysis (XRD)
Scanning Electron Microscopy + Energy Dispersive Analysis (SEM + EDAX)
Transmission Electron Microscopy + Energy Dispersive Analysis (TEM + EDAX)
X-ray Photoelectron Spectroscopy (XPS)
Auger Electron Spectroscopy (AES)
Nanoindentation and Testing of Mechanical Properties
Testing of Thermal Properties (Differential Scanning Calorimetry(DSC), Thermal Diffusivity, Dilalometry(CTE)
Carbon fiber reinforced ceramic matrix composite materials
Nanocrystalline composites for biomedical applications
Polymer matrix composite materials for frictional applications
Advanced tooling materials with intermetallic matrices
Characterization of materials</t>
  </si>
  <si>
    <t>Friction , Wear Testing Procedures for Composite Materials,
Light Microscopy , Image/Quantitative Analysis (LM),
X-ray Diffraction Analysis (XRD),
Scanning Electron Microscopy + Energy Dispersive Analysis (SEM + EDAX),
Transmission Electron Microscopy + Energy Dispersive Analysis (TEM + EDAX),
X-ray Photoelectron Spectroscopy (XPS),
Auger Electron Spectroscopy (AES),
Nanoindentation , Testing of Mechanical Properties,
Testing of Thermal Properties (Differential Scanning Calorimetry(DSC), Thermal Diffusivity, Dilalometry(CTE),
Carbon fiber reinforced ceramic matrix composite materials,
Nanocrystalline composites for biomedical applications,
Polymer matrix composite materials for frictional applications,
Advanced tooling materials with intermetallic matrices,
Characterization of materials</t>
  </si>
  <si>
    <t>SATYA HARPALANI</t>
  </si>
  <si>
    <t>satya@engr.siu.edu</t>
  </si>
  <si>
    <t>SANGJIN JUNG</t>
  </si>
  <si>
    <t>sangjin.jung@siu.edu</t>
  </si>
  <si>
    <t xml:space="preserve">Metal Additive Manufacturing
Design for Additive Manufacturing (DFAM)
Product Platform and Product Family Design
Product Architecture and Modularity
Design Optimization </t>
  </si>
  <si>
    <t xml:space="preserve">Metal Additive Manufacturing,
Design for Additive Manufacturing (DFAM),
Product Platform , Product Family Design,
Product Architecture , Modularity,
Design Optimization </t>
  </si>
  <si>
    <t>RASIT KOC</t>
  </si>
  <si>
    <t>kocr@siu.edu</t>
  </si>
  <si>
    <t xml:space="preserve">Materials for Fuel Cells [(Solid Oxide and PEM Fuel Cells (SOFC)] and sensors.
Processing and characterization of advanced ceramic materials for structural and electronic applications.
</t>
  </si>
  <si>
    <t xml:space="preserve">Materials for Fuel Cells , sensors,
Processing , characterization of advanced ceramic materials for structural , electronic applications,
</t>
  </si>
  <si>
    <t>JAMES MATHIAS</t>
  </si>
  <si>
    <t>mathias@siu.edu</t>
  </si>
  <si>
    <t>Energy conservation and management
Experimental fluid dynamics testing
Experimental and analytical thermodynamics</t>
  </si>
  <si>
    <t>Energy conservation , management,
Experimental fluid dynamics testing,
Experimental , analytical thermodynamics</t>
  </si>
  <si>
    <t>SABRINA NILUFAR</t>
  </si>
  <si>
    <t>sabrina.nilufar@siu.edu</t>
  </si>
  <si>
    <t xml:space="preserve">The current demand for lightweight and high-performance materials led to the creation of novel materials with improved properties and reduced mass and dimension. This can be achieved by developing new processing methods and controlling processing parameters. As a consequence, the microstructure of the materials will be altered leading to the improvement of material properties. The overall goal of our research is to manufacture next-generation materials and to carry out the multiscale characterization of structure, composition, and properties for application in the structural, aerospace, defense, biomedical, and other industrial applications.
</t>
  </si>
  <si>
    <t>lightweight , high-performance materials led to the creation of novel materials with improved properties , reduced mass , dimension</t>
  </si>
  <si>
    <t>EMMANUEL NSOFOR</t>
  </si>
  <si>
    <t>nsofor@siu.edu</t>
  </si>
  <si>
    <t xml:space="preserve">Advanced Energy Systems
Experimental and Computational Methods in Heat Transfer
Energy Management
HVAC Systems
Trends in Engineering Education
</t>
  </si>
  <si>
    <t xml:space="preserve">Advanced Energy Systems,
Experimental , Computational Methods in Heat Transfer,
Energy Management,
HVAC Systems,
Trends in Engineering Education
</t>
  </si>
  <si>
    <t>$470 per credit (in-state, full-time)</t>
  </si>
  <si>
    <t>GEOFF SWIFT</t>
  </si>
  <si>
    <t>geoffrey.swift@siu.edu</t>
  </si>
  <si>
    <t>Advanced Batteries and Battery Materials
Diffraction Methods in Engineering
Ceramic Powders and Materials</t>
  </si>
  <si>
    <t>Advanced Batteries , Battery Materials,
Diffraction Methods in Engineering,
Ceramic Powders , Materials</t>
  </si>
  <si>
    <r>
      <rPr>
        <u/>
        <sz val="10"/>
        <color rgb="FF000000"/>
        <rFont val="Arial"/>
        <family val="2"/>
      </rPr>
      <t>KANCHAN MONDAL</t>
    </r>
    <r>
      <rPr>
        <sz val="10"/>
        <color rgb="FF000000"/>
        <rFont val="Arial"/>
        <family val="2"/>
      </rPr>
      <t xml:space="preserve"> (Director)</t>
    </r>
  </si>
  <si>
    <t>kmondal@siu.edu</t>
  </si>
  <si>
    <t xml:space="preserve">Energy Production related processes, Energy Efficiency, Catalytic Processes, Gasification Processes, Combustion Processes, Separation Technologies, Fischer Tropsch Synthesis, Hydrogen Storage Materials, Flue Gas Cleanup, Membrane Technology, Photovoltaics, Electrocatalytic Processes, , Environmental Remediation, Nanomaterials, High Density Recording Media, Supercritical Fluid Technology
</t>
  </si>
  <si>
    <t>Energy Production related processes, Energy Efficiency, Catalytic Processes, Gasification Processes, Combustion Processes, Separation Technologies, Fischer Tropsch Synthesis, Hydrogen Storage Materials, Flue Gas Cleanup, Membrane Technology, Photovoltaics, Electrocatalytic Processes, , Environmental Remediation, Nanomaterials, High Density Recording Media, Supercritical Fluid Technology</t>
  </si>
  <si>
    <t>The University of Texas at El Paso</t>
  </si>
  <si>
    <r>
      <rPr>
        <u/>
        <sz val="10"/>
        <color rgb="FF000000"/>
        <rFont val="Arial"/>
        <family val="2"/>
      </rPr>
      <t>Jack F. Chessa, Ph.D.</t>
    </r>
    <r>
      <rPr>
        <sz val="10"/>
        <color rgb="FF000000"/>
        <rFont val="Arial"/>
        <family val="2"/>
      </rPr>
      <t xml:space="preserve"> (Chair)</t>
    </r>
  </si>
  <si>
    <t>jfchessa@utep.edu</t>
  </si>
  <si>
    <t>Yirong Lin, Ph.D.</t>
  </si>
  <si>
    <t>ylin3@utep.edu</t>
  </si>
  <si>
    <t xml:space="preserve"> Dr. Lin's s fall in design, fabrication, and characterization of advanced multifunctional material systems for embedded pressure sensing (Department of Energy), structural health monitoring (Department of Energy), wireless temperature sensing (Department of Energy vibration and energy harvesting and storage. His research encompasses micromechanics modeling, materials synthesis, structural characterization and device evaluation. Materials systems including metamateirals, piezoelectric, pyroelectric, graphene, nanocomposites, and carbon fiber composites are currently being investigated.</t>
  </si>
  <si>
    <t xml:space="preserve"> design, fabrication, characterization of advanced multifunctional material systems for embedded pressure sensing (Department of Energy), structural health monitoring (Department of Energy), wireless temperature sensing (Department of Energy vibration , energy harvesting , storage, micromechanics modeling, materials synthesis, structural characterization , device evaluation, Materials systems including metamateirals, piezoelectric, pyroelectric, graphene, nanocomposites, carbon fiber composites are currently being investigated</t>
  </si>
  <si>
    <t>Barry Benedict, Ph.D.</t>
  </si>
  <si>
    <t>babenedict@utep.edu</t>
  </si>
  <si>
    <t xml:space="preserve">strategic planning, quality management principles, organizational behavior, innovation, frugal innovation, interdisciplinary efforts, life cycle assessment, sustainability, scenario planning, policy analysis, diffusion of innovation, and energy systems. </t>
  </si>
  <si>
    <t>strategic planning, quality management principles, organizational behavior, innovation, frugal innovation, interdisciplinary efforts, life cycle assessment, sustainability, scenario planning, policy analysis, diffusion of innovation, energy systems</t>
  </si>
  <si>
    <t>John Bird, Ph.D.</t>
  </si>
  <si>
    <t>jjbird@utep.edu</t>
  </si>
  <si>
    <t>Arturo Bronson, Ph.D.</t>
  </si>
  <si>
    <t>abronson@utep.edu</t>
  </si>
  <si>
    <t>Alejandra G. Castellanos, Ph.D.</t>
  </si>
  <si>
    <t>castellanosa@utep.edu</t>
  </si>
  <si>
    <t>Dr. Alejandra Castellanos’s research area is on composite materials, additive manufacturing (AM) and materials under extreme conditions. She studies their failure mechanisms, damage mitigation techniques, and nondestructive testing. Dr. Castellanos is interested in materials for Hypersonic Flight Vehicles, specifically coatings that prevent or minimize environmental degradation and on service damage.</t>
  </si>
  <si>
    <t>composite materials, additive manufacturing (AM) , materials under extreme conditions, damage mitigation techniques, nondestructive testing, materials for Hypersonic Flight Vehicles, specifically coatings that prevent or minimize environmental degradation , on service damage</t>
  </si>
  <si>
    <t>Miguel Cedeno, Ph.D.</t>
  </si>
  <si>
    <t>macedenomor@utep.edu</t>
  </si>
  <si>
    <t>Currently, he's conducting research on Artificial Intelligence and Machine Learning applied to Aerospace Engineering.</t>
  </si>
  <si>
    <t>Currently, he's conducting research on Artificial Intelligence , Machine Learning applied to Aerospace Engineering</t>
  </si>
  <si>
    <t>Ramana Chintalapalle, Ph.D.</t>
  </si>
  <si>
    <t>rvchintalapalle@utep.edu</t>
  </si>
  <si>
    <t>Dr. Ramana's research expertise is towards developing and/or engineering advanced structural materials for application in energy production, storage and conversion, utilization, and management. Dr. Ramana's extensive contributions are towards a deeper understanding of the multifunctional materials' physical/chemical/electronic behavior, manufacturing and Associated mechanics at the reduced (micro/nano) dimensionality.</t>
  </si>
  <si>
    <t>developing ,/or engineering advanced structural materials for application in energy production, storage , conversion, utilization, management, contributions are towards a deeper underst,ing of the multifunctional materials' physical/chemical/electronic behavior, manufacturing , Associated mechanics at the reduced (micro/nano) dimensionality</t>
  </si>
  <si>
    <t>Ahsan R. Choudhuri, Ph.D.</t>
  </si>
  <si>
    <t>ahsan@utep.edu</t>
  </si>
  <si>
    <t xml:space="preserve">Aerospace and Defense Systems
</t>
  </si>
  <si>
    <t>Aerospace , Defense Systems</t>
  </si>
  <si>
    <t>David Espalin, Ph.D.</t>
  </si>
  <si>
    <t>despalin@utep.edu</t>
  </si>
  <si>
    <t>His current research is in the area of hybrid additive manufacturing, large area additive manufacturing, 3D electronics fabrication, and design software development. Through the development of custom machines at UTEP, Dr. Espalin has enabled multi-technology manufacturing that allows not only depositing thermoplastic materials, but also the use of wire embedding, machining, foil application, and robotic component placement to achieve the fabrication of multi-functional devices.</t>
  </si>
  <si>
    <t>hybrid additive manufacturing, large area additive manufacturing, 3D electronics fabrication, design software development, materials, wire embedding, machining, foil application, robotic component placement to achieve the fabrication of multi-functional devices</t>
  </si>
  <si>
    <t>Louis Everett, Ph.D., P.E.</t>
  </si>
  <si>
    <t>leverett@utep.edu</t>
  </si>
  <si>
    <t>Robotics
Automation
Machine design
Control
Embedded controllers
PLC</t>
  </si>
  <si>
    <t>Robotics,
Automation,
Machine design,
Control,
Embedded controllers,
PLC</t>
  </si>
  <si>
    <t>Angel Flores-Abad, Ph.D.</t>
  </si>
  <si>
    <t>afloresabad@utep.edu</t>
  </si>
  <si>
    <t>Robotics
Autonomous Systems Guidance
Navigation and Control</t>
  </si>
  <si>
    <t>Robotics,
Autonomous Systems Guidance,
Navigation , Control</t>
  </si>
  <si>
    <t>$3,451 per credit (in-state, full-time)</t>
  </si>
  <si>
    <t>Zhengtao Gan, Ph.D.</t>
  </si>
  <si>
    <t>zgan@utep.edu</t>
  </si>
  <si>
    <t>Multiscale Multiphysics Modeling and Reinforcement Learning to revolutionize the Advanced Manufacturing of a variety of material systems including Metals, Ceramics, and Composites.</t>
  </si>
  <si>
    <t>Multiscale Multiphysics Modeling , Reinforcement Learning to revolutionize the Advanced Manufacturing of a variety of material systems including Metals, Ceramics, Composites</t>
  </si>
  <si>
    <t>Amelia Greig, Ph.D.</t>
  </si>
  <si>
    <t>adgreig@utep.edu</t>
  </si>
  <si>
    <t>New Space
Small Satellites
Electric Propulsion
Low Temperature Plasma
In-Situ Resource Utilization
Space Environments</t>
  </si>
  <si>
    <t>New Space,
Small Satellites,
Electric Propulsion,
Low Temperature Plasma,
In-Situ Resource Utilization,
Space Environments</t>
  </si>
  <si>
    <t>Armanj Hasanyan, Ph.D.</t>
  </si>
  <si>
    <t>adhasanyan@utep.edu</t>
  </si>
  <si>
    <t>composite materials.</t>
  </si>
  <si>
    <t>composite materials</t>
  </si>
  <si>
    <t>Arifur R. Khan, Ph.D.</t>
  </si>
  <si>
    <t>arkhan@utep.edu</t>
  </si>
  <si>
    <t>Additive material for space application
Space sensor development
Space Environment interaction
Material-Energy interaction
Charge transportation through space materials
High-voltage effect in space</t>
  </si>
  <si>
    <t>Additive material for space application,
Space sensor development,
Space Environment interaction,
Material-Energy interaction,
Charge transportation through space materials,
High-voltage effect in space</t>
  </si>
  <si>
    <t>Vinod Kumar, Ph.D.</t>
  </si>
  <si>
    <t>vkumar@utep.edu</t>
  </si>
  <si>
    <t>Dr. Kumar’s research goal is to develoPand integrate cutting-edge computational tools for complex engineering and science challenges by leveraging Exascale/High Performance Computing (HPC), machine learning and artificial intelligence, data analytics/bigdata concepts, Uncertainty Quantification (UQ), and leading-edge computational capabilities.</t>
  </si>
  <si>
    <t>integrate cutting-edge computational tools for complex engineering , science challenges by leveraging Exascale/High Performance Computing (HPC), machine learning , artificial intelligence, data analytics/bigdata concepts, Uncertainty Quantification (UQ), leading-edge computational capabilities</t>
  </si>
  <si>
    <t>Eric MacDonald, Ph.D.</t>
  </si>
  <si>
    <t>emac@utep.edu</t>
  </si>
  <si>
    <t>3D Printed Electronics
Additive Manufacturing
Low Power Electronics
Process Monitoring for Additive Manufacturing</t>
  </si>
  <si>
    <t>3D Printed Electronics,
Additive Manufacturing,
Low Power Electronics,
Process Monitoring for Additive Manufacturing</t>
  </si>
  <si>
    <t>Francisco Medina, Ph.D.</t>
  </si>
  <si>
    <t>frmedina@utep.edu</t>
  </si>
  <si>
    <t>Additive Manufacturing
Material Development and Characterization
Powder Bed Fusion
Electron Beam Melting
Nickle Base Supper Alloys
Titanium Alloys</t>
  </si>
  <si>
    <t>Additive Manufacturing,
Material Development , Characterization,
Powder Bed Fusion,
Electron Beam Melting,
Nickle Base Supper Alloys,
Titanium Alloys</t>
  </si>
  <si>
    <t>Joel Quintana, Ph.D.</t>
  </si>
  <si>
    <t>jquintana@utep.edu</t>
  </si>
  <si>
    <t>Md Mahamudur Rahman, Ph.D.</t>
  </si>
  <si>
    <t>mrahman15@utep.edu</t>
  </si>
  <si>
    <t>Surface Engineering and Interfacial Phenomena
Phase Change Heat Transfer
Nuclear Energy Systems
Cryogenic Cooling
Multi-Scale Energy Systems</t>
  </si>
  <si>
    <t>Surface Engineering , Interfacial Phenomena,
Phase Change Heat Transfer,
Nuclear Energy Systems,
Cryogenic Cooling,
Multi-Scale Energy Systems</t>
  </si>
  <si>
    <t>Evgeny Shafirovich, Ph.D.</t>
  </si>
  <si>
    <t>eshafirovich2@utep.edu</t>
  </si>
  <si>
    <t>Combustion of Energetic and Gas-generating Materials
Combustion Synthesis of Advanced Materials
Utilization of Space Resources</t>
  </si>
  <si>
    <t>Combustion of Energetic , Gas-generating Materials,
Combustion Synthesis of Advanced Materials,
Utilization of Space Resources</t>
  </si>
  <si>
    <t>Afroza Shirin, Ph.D.</t>
  </si>
  <si>
    <t>ashirin@utep.edu</t>
  </si>
  <si>
    <t>Ryan Wicker, Ph.D.</t>
  </si>
  <si>
    <t>rwicker@utep.edu</t>
  </si>
  <si>
    <t>Additive Manufacturing Processes
Materials
Applications</t>
  </si>
  <si>
    <t>Additive Manufacturing Processes,
Materials,
Applications</t>
  </si>
  <si>
    <t>University of Idaho</t>
  </si>
  <si>
    <t>Gabriel Potirniche, P.E., Ph.D.</t>
  </si>
  <si>
    <t>gabrielp@uidaho.edu</t>
  </si>
  <si>
    <t xml:space="preserve"> Multiscale modeling of plasticity and damage behavior in metals, Fatigue and Fracture, Constitutive Modeling for Metallic Alloys, Atomistic Simulations, Crystal Plasticity, Anisotropic Plasticity, Finite Element Method, Solid Mechanics, Stress Analysis</t>
  </si>
  <si>
    <t xml:space="preserve"> Multiscale modeling of plasticity , damage behavior in metals, Fatigue , Fracture, Constitutive Modeling for Metallic Alloys, Atomistic Simulations, Crystal Plasticity, Anisotropic Plasticity, Finite Element Method, Solid Mechanics, Stress Analysis</t>
  </si>
  <si>
    <t>Steven W. Beyerlein, Ph.D.</t>
  </si>
  <si>
    <t>sbeyer@uidaho.edu</t>
  </si>
  <si>
    <t>Areas of Expertise Design Pedagogy, Combustion Science, Industrial Energy Conservation, Curriculum Design and Assessment</t>
  </si>
  <si>
    <t>Areas of Expertise Design Pedagogy, Combustion Science, Industrial Energy Conservation, Curriculum Design , Assessment</t>
  </si>
  <si>
    <t>Gianluca Blois, Ph.D.</t>
  </si>
  <si>
    <t>gblois@uidaho.edu</t>
  </si>
  <si>
    <t xml:space="preserve"> Environmental, geophysical, and biological systems with emphasis on complex boundaries and interfaces</t>
  </si>
  <si>
    <t xml:space="preserve"> Environmental, geophysical, biological systems with emphasis on complex boundaries , interfaces</t>
  </si>
  <si>
    <t>Dan Cordon, Ph.D.</t>
  </si>
  <si>
    <t>dcordon@uidaho.edu</t>
  </si>
  <si>
    <t xml:space="preserve"> Internal combustion engines, specifically looking at performance and emissions characteristics of various alternative fuels and non-traditional means of ignition</t>
  </si>
  <si>
    <t xml:space="preserve"> Internal combustion engines, specifically looking at performance , emissions characteristics of various alternative fuels , non-traditional means of ignition</t>
  </si>
  <si>
    <t>John C. Crepeau, Ph.D, P.E.</t>
  </si>
  <si>
    <t>crepeau@uidaho.edu</t>
  </si>
  <si>
    <t xml:space="preserve"> Solid-liquid phase change with internal heat generation, high speed aerodynamics, design pedagogy, history of science and technology</t>
  </si>
  <si>
    <t xml:space="preserve"> Solid-liquid phase change with internal heat generation, high speed aerodynamics, design pedagogy, history of science , technology</t>
  </si>
  <si>
    <t>Vibhav Durgesh, Ph.D.</t>
  </si>
  <si>
    <t>vdurgesh@uidaho.edu</t>
  </si>
  <si>
    <t xml:space="preserve"> Fluid dynamics, Thermal-fluid systems, Experimental methods, Advanced data analysis, Viscous flow, Turbulence, Aerodynamics, and Aircraft design</t>
  </si>
  <si>
    <t xml:space="preserve"> Fluid dynamics, Thermal-fluid systems, Experimental methods, Advanced data analysis, Viscous flow, Turbulence, Aerodynamics, Aircraft design</t>
  </si>
  <si>
    <t>Kamal Kumar, Ph.D., P.E.</t>
  </si>
  <si>
    <t>kkumar@uidaho.edu</t>
  </si>
  <si>
    <t xml:space="preserve"> Alternative Hydrocarbon and Biofuel Fuel Combustion Chemistry, Catalytic Combustion, Solid Fuel Combustion, Internal Combustion Engines</t>
  </si>
  <si>
    <t xml:space="preserve"> Alternative Hydrocarbon , Biofuel Fuel Combustion Chemistry, Catalytic Combustion, Solid Fuel Combustion, Internal Combustion Engines</t>
  </si>
  <si>
    <t>Michael Maughan, Ph.D.</t>
  </si>
  <si>
    <t>maughan@uidaho.edu</t>
  </si>
  <si>
    <t xml:space="preserve"> Micromechanics of Materials, Defect Behavior in Crystalline Materials, Product Design and Development, Additive Manufacturing and Material Property Manipulation</t>
  </si>
  <si>
    <t xml:space="preserve"> Micromechanics of Materials, Defect Behavior in Crystalline Materials, Product Design , Development, Additive Manufacturing , Material Property Manipulation</t>
  </si>
  <si>
    <t>Edwin Odom, Ph.D., P.E.</t>
  </si>
  <si>
    <t>eodom@uidaho.edu</t>
  </si>
  <si>
    <t xml:space="preserve"> Applied Mechanics and Manufacturing, Experimental Stress Analysis, TQM</t>
  </si>
  <si>
    <t xml:space="preserve"> Applied Mechanics , Manufacturing, Experimental Stress Analysis, TQM</t>
  </si>
  <si>
    <t>Joel Perry, Ph.D.</t>
  </si>
  <si>
    <t>jperry@uidaho.edu</t>
  </si>
  <si>
    <t xml:space="preserve"> Wearable Exoskeletons, Neurorehabilitation Research, Interdisciplinary Design, Prototype Development</t>
  </si>
  <si>
    <t>Daniel J. Robertson, Ph.D., P.E.</t>
  </si>
  <si>
    <t>danieljr@uidaho.edu</t>
  </si>
  <si>
    <t xml:space="preserve"> Biomechanics, Agricultural Engineering, Interdisciplinary Design, Product Development</t>
  </si>
  <si>
    <t>Larry Stauffer, Ph.D., P.E.</t>
  </si>
  <si>
    <t>stauffer@uidaho.edu</t>
  </si>
  <si>
    <t>$9,968 per year (in-state, full-time)</t>
  </si>
  <si>
    <t>Robert Stephens, Ph.D., P.E.</t>
  </si>
  <si>
    <t>bstephen@uidaho.edu</t>
  </si>
  <si>
    <t xml:space="preserve"> Failure Analysis, Fatigue and Fracture, Products and Liability/Expert Witness Testimony, Materials Properties Measurements and Modeling</t>
  </si>
  <si>
    <t xml:space="preserve"> Failure Analysis, Fatigue , Fracture, Products , Liability/Expert Witness Testimony, Materials Properties Measurements , Modeling</t>
  </si>
  <si>
    <t>Matthew Swenson, Ph.D., P.E.</t>
  </si>
  <si>
    <t>swenson@uidaho.edu</t>
  </si>
  <si>
    <t xml:space="preserve"> Characterize and model radiation effects in metals and alloys, correlating microstructure and mechanical properties, enabling the development and validation of metals and alloys for advanced nuclear reactor applications</t>
  </si>
  <si>
    <t xml:space="preserve"> Characterize , model radiation effects in metals , alloys, correlating microstructure , mechanical properties, enabling the development , validation of metals , alloys for advanced nuclear reactor applications</t>
  </si>
  <si>
    <r>
      <rPr>
        <u/>
        <sz val="10"/>
        <color rgb="FF000000"/>
        <rFont val="Arial"/>
        <family val="2"/>
      </rPr>
      <t>Eric Wolbrecht, Ph.D., P.E.</t>
    </r>
    <r>
      <rPr>
        <sz val="10"/>
        <color rgb="FF000000"/>
        <rFont val="Arial"/>
        <family val="2"/>
      </rPr>
      <t xml:space="preserve"> (Department head)</t>
    </r>
  </si>
  <si>
    <t>ewolbrec@uidaho.edu</t>
  </si>
  <si>
    <t xml:space="preserve"> Rehabilitation Robotics, Nonlinear and Adaptive Control, Neurorehabilitation, Mechanism Design and Synthesis, Control of Pneumatic Actuators, State Estimation, Autonomous Underwater Vehicles</t>
  </si>
  <si>
    <t xml:space="preserve"> Rehabilitation Robotics, Nonlinear , Adaptive Control, Neurorehabilitation, Mechanism Design , Synthesis, Control of Pneumatic Actuators, State Estimation, Autonomous Underwater Vehicles</t>
  </si>
  <si>
    <t>Tao Xing, Ph.D., P.E.</t>
  </si>
  <si>
    <t>xing@uidaho.edu</t>
  </si>
  <si>
    <t xml:space="preserve"> Computational fluid dynamics (CFD),</t>
  </si>
  <si>
    <t>University of Mississippi</t>
  </si>
  <si>
    <r>
      <rPr>
        <u/>
        <sz val="10"/>
        <color rgb="FF000000"/>
        <rFont val="Arial"/>
        <family val="2"/>
      </rPr>
      <t>A.M. ‘Raj’ Rajendran, Ph.D.</t>
    </r>
    <r>
      <rPr>
        <sz val="10"/>
        <color rgb="FF000000"/>
        <rFont val="Arial"/>
        <family val="2"/>
      </rPr>
      <t xml:space="preserve"> (Chair)</t>
    </r>
  </si>
  <si>
    <t>raj@olemiss.edu</t>
  </si>
  <si>
    <t xml:space="preserve">Dr. Rajendran’s work focuses on creating ultra-lightweight, resilient materials to protect systems. This could be designing anything from the material for the Space Station so it can withstand space debris to body armor and helmets that safeguard soldiers.
</t>
  </si>
  <si>
    <t>ultra-lightweight, resilient materials to protect systems</t>
  </si>
  <si>
    <t>Viola Acoff, Ph.D.</t>
  </si>
  <si>
    <t>deanengr@olemiss.edu</t>
  </si>
  <si>
    <t>Additive manufacturing
Welding metallurgy
Physical metallurgy
Titanium and nickel alloys
Materials characterization using electron microscopy</t>
  </si>
  <si>
    <t>Additive manufacturing,
Welding metallurgy,
Physical metallurgy,
Titanium , nickel alloys,
Materials characterization using electron microscopy</t>
  </si>
  <si>
    <t>Samrat Choudhury, Ph.D.</t>
  </si>
  <si>
    <t>schoudhu@olemiss.edu</t>
  </si>
  <si>
    <t>Multi-scale modeling of materials
Machine learning guided materials design
Multi-functional materials
Advanced manufacturing</t>
  </si>
  <si>
    <t>Multi-scale modeling of materials,
Machine learning guided materials design,
Multi-functional materials,
Advanced manufacturing</t>
  </si>
  <si>
    <t>Farhad Farzbod, Ph.D.</t>
  </si>
  <si>
    <t>farzbod@olemiss.edu</t>
  </si>
  <si>
    <t>Design and fabrication of novel electromechanical actuators such as flexible actuators using liquid metals, flexible pumps and omnidirectional speaker
Analysis and fabrication of active and passive acoustic metamaterials, by using electrostatic forces and applying AI in the design
Resonant ultrasound spectroscopy improving the sensitivity of the method</t>
  </si>
  <si>
    <t>Design , fabrication of novel electromechanical actuators, flexible pumps , omnidirectional speaker
Analysis , fabrication of active , passive acoustic metamaterials, by using electrostatic forces , applying AI in the design
Resonant ultrasound spectroscopy improving the sensitivity of the method</t>
  </si>
  <si>
    <t>#170 - Best Engineering Schools</t>
  </si>
  <si>
    <t>Yiwei Han, Ph.D.</t>
  </si>
  <si>
    <t>yhan2@olemiss.edu</t>
  </si>
  <si>
    <t xml:space="preserve">Additive manufacturing
Advanced manufacturing
Micro/nano fabrication
Printing electronics
Hybrid printing
</t>
  </si>
  <si>
    <t xml:space="preserve">Additive manufacturing,
Advanced manufacturing,
Micro/nano fabrication,
Printing electronics,
Hybrid printing
</t>
  </si>
  <si>
    <t>Shan Jiang, Ph.D.</t>
  </si>
  <si>
    <t>jiang@olemiss.edu</t>
  </si>
  <si>
    <t>Mechanics of materials and structures
Multiscale modeling and simulations
Thermo-mechanical response of engineering materials and structures to extreme loading conditions
Additive Manufacturing
High-performance computation for simulation-based engineering science</t>
  </si>
  <si>
    <t>Mechanics of materials , structures,
Multiscale modeling , simulations,
Thermo-mechanical response of engineering materials , structures to extreme loading conditions,
Additive Manufacturing,
High-performance computation for simulation-based engineering science</t>
  </si>
  <si>
    <t>Taiho Yeom, Ph.D.</t>
  </si>
  <si>
    <t>tyeom@olemiss.edu</t>
  </si>
  <si>
    <t>Thermal and fluid sciences
Thermal management
Convection heat transfer
Advanced active and passive cooling
Flow control and drag reduction
Flow and thermal visualizations</t>
  </si>
  <si>
    <t>Thermal , fluid sciences,
Thermal management,
Convection heat transfer,
Advanced active , passive cooling,
Flow control , drag reduction,
Flow , thermal visualizations</t>
  </si>
  <si>
    <t>Tejas Pandya, Ph.D.</t>
  </si>
  <si>
    <t>tspandya@olemiss.edu</t>
  </si>
  <si>
    <t>Bio-composites
Alternative energy systems
Sustainable design</t>
  </si>
  <si>
    <t>Bio-composites,
Alternative energy systems,
Sustainable design</t>
  </si>
  <si>
    <t>Damian Stoddard, Ph.D.</t>
  </si>
  <si>
    <t>dlstodda@go.olemiss.edu</t>
  </si>
  <si>
    <t>Composite structures and mechanics
Impact and crash-worthiness
Dynamic characterization
Metallic foams
Additive manufacturing
Armor design</t>
  </si>
  <si>
    <t>Composite structures , mechanics,
Impact , crash-worthiness,
Dynamic characterization,
Metallic foams,
Additive manufacturing,
Armor design</t>
  </si>
  <si>
    <t>Wen Wu, Ph.D.</t>
  </si>
  <si>
    <t>wu@olemiss.edu</t>
  </si>
  <si>
    <t>Dr. Wu’s interests range from understanding and modelling turbulence to complexity in fluid mechanics in general. He combines large-scale simulations and theoretical analysis for his research, with an emphasis on the multi-scale and non-equilibrium aspects of turbulence. His recent research has focused on vortex dominated flows, particle-laden flows, flow separation and turbulence past complex objects in engineering contexts.</t>
  </si>
  <si>
    <t xml:space="preserve"> modelling turbulence to complexity in fluid mechanics in general, large-scale simulations , theoretical analysis for his research, the multi-scale , non-equilibrium aspects of turbulence</t>
  </si>
  <si>
    <t>Ohood Alsmairat, Ph.D.</t>
  </si>
  <si>
    <t>oalsmair@olemiss.edu</t>
  </si>
  <si>
    <t>$9,072 per year (in-state, full-time)</t>
  </si>
  <si>
    <t>University of Nevada--Las Vegas (Hughes)</t>
  </si>
  <si>
    <r>
      <rPr>
        <u/>
        <sz val="10"/>
        <color rgb="FF000000"/>
        <rFont val="Arial"/>
        <family val="2"/>
      </rPr>
      <t>Yi-Tung Chen, Ph.D.</t>
    </r>
    <r>
      <rPr>
        <sz val="10"/>
        <color rgb="FF000000"/>
        <rFont val="Arial"/>
        <family val="2"/>
      </rPr>
      <t xml:space="preserve"> (Chair)</t>
    </r>
  </si>
  <si>
    <t>yitung.chen@unlv.edu</t>
  </si>
  <si>
    <t xml:space="preserve">Computational fluid dynamics, heat and mass transfer, nuclear and renewable energy, thermal system, hydrogen production and utilization, corrosion modeling, and fuel cells,
</t>
  </si>
  <si>
    <t xml:space="preserve">Computational fluid dynamics, heat , mass transfer, nuclear , renewable energy, thermal system, hydrogen production , utilization, corrosion modeling, fuel cells,
</t>
  </si>
  <si>
    <t>Alexander Barzilov, Ph.D.</t>
  </si>
  <si>
    <t>alexander.barzilov@unlv.edu</t>
  </si>
  <si>
    <t xml:space="preserve">Nuclear engineering, radiation applications, nondestructive assay methods
</t>
  </si>
  <si>
    <t>Huang Chen, Ph.D.</t>
  </si>
  <si>
    <t>huang.chen@unlv.edu</t>
  </si>
  <si>
    <t>Heejin Cho, Ph.D.</t>
  </si>
  <si>
    <t>heejin.cho@unlv.edu</t>
  </si>
  <si>
    <t>Jeremy Cho, Ph.D.</t>
  </si>
  <si>
    <t>jeremy.cho@unlv.edu</t>
  </si>
  <si>
    <t xml:space="preserve">Energy–water nexus, heat/mass transfer, soft materials, imaging, data science
</t>
  </si>
  <si>
    <t>Nima Ghafoorianfar, Ph.D.</t>
  </si>
  <si>
    <t>nima.ghafoorianfar@unlv.edu</t>
  </si>
  <si>
    <t>Kwang J. Kim, Ph.D.</t>
  </si>
  <si>
    <t>kwang.kim@unlv.edu</t>
  </si>
  <si>
    <t xml:space="preserve">Energy systems and Active materials
</t>
  </si>
  <si>
    <t xml:space="preserve">Energy systems , Active materials
</t>
  </si>
  <si>
    <t>Jaeyun Moon</t>
  </si>
  <si>
    <t>jaeyun.moon@unlv.edu</t>
  </si>
  <si>
    <t xml:space="preserve">Advanced materials for energy applications
</t>
  </si>
  <si>
    <t>Melissa Morris, Ph.D.</t>
  </si>
  <si>
    <t>melissa.morris@unlv.edu</t>
  </si>
  <si>
    <t>Samir Moujaes, Ph.D., P.E.</t>
  </si>
  <si>
    <t>samir.moujaes@unlv.edu</t>
  </si>
  <si>
    <t xml:space="preserve">HVAC, Thermal engineering, Renewable energy
</t>
  </si>
  <si>
    <t>Brendan O'Toole, Ph.D.</t>
  </si>
  <si>
    <t>brendan.otoole@unlv.edu</t>
  </si>
  <si>
    <t xml:space="preserve">Composites, Manufacturing, Mechanical testing, Mechanics, Stress analysis, Vehicle design
</t>
  </si>
  <si>
    <t>Paul Oh, Ph.D.</t>
  </si>
  <si>
    <t>paul.oh@unlv.edu</t>
  </si>
  <si>
    <t xml:space="preserve">Robotics, Autonomous Systems, Unmanned Aerial Vehicles (UAVs, UAS, drones), and Humanoids
</t>
  </si>
  <si>
    <t xml:space="preserve">Robotics, Autonomous Systems, Unmanned Aerial Vehicles (UAVs, UAS, drones), Humanoids
</t>
  </si>
  <si>
    <t>$5,652 per year (in-state, full-time)</t>
  </si>
  <si>
    <t>Seungman Park, Ph.D.</t>
  </si>
  <si>
    <t>seungman.park@unlv.edu</t>
  </si>
  <si>
    <t>Ronghuai Qi, Ph.D.</t>
  </si>
  <si>
    <t>ronghua.qi@unlv.edu</t>
  </si>
  <si>
    <t>Douglas Reynolds, Ph.D.</t>
  </si>
  <si>
    <t>douglas.reynolds@unlv.edu</t>
  </si>
  <si>
    <t xml:space="preserve">Acoustics, Vibration
</t>
  </si>
  <si>
    <t>Mohamed Trabia, Ph.D.</t>
  </si>
  <si>
    <t>mohamed.trabia@unlv.edu</t>
  </si>
  <si>
    <t xml:space="preserve">Mechanical Design, Optimization, Automatic Control, and Fuzzy Logic
</t>
  </si>
  <si>
    <t xml:space="preserve">Mechanical Design, Optimization, Automatic Control, Fuzzy Logic
</t>
  </si>
  <si>
    <t>Meng-Jen (Vince) Wang, Ph.D.</t>
  </si>
  <si>
    <t>vince.wang@unlv.edu</t>
  </si>
  <si>
    <t>Zhiyong Wang, Ph.D.</t>
  </si>
  <si>
    <t>zhiyong.wang@unlv.edu</t>
  </si>
  <si>
    <t xml:space="preserve">Manufacturing system, Material
</t>
  </si>
  <si>
    <t>Woosoon Yim, Ph.D.</t>
  </si>
  <si>
    <t>woosoon.yim@unlv.edu</t>
  </si>
  <si>
    <t xml:space="preserve">Dynamics, Active material control, Robotics
</t>
  </si>
  <si>
    <t>Hui Zhao, Ph.D.</t>
  </si>
  <si>
    <t>hui.zhao@unlv.edu</t>
  </si>
  <si>
    <t xml:space="preserve">Micro and nano fluidics, Lab-on-chiPtechnology, Nanotechnology and micro/nano energy conversion
</t>
  </si>
  <si>
    <t xml:space="preserve">Micro , nano fluidics, Lab-on-chiPtechnology, Nanotechnology , micro/nano energy conversion
</t>
  </si>
  <si>
    <t>University of North Texas</t>
  </si>
  <si>
    <t>Al Attah P.E.</t>
  </si>
  <si>
    <t>Aloysius.Attah@unt.edu</t>
  </si>
  <si>
    <t>Huseyin Bostanci</t>
  </si>
  <si>
    <t>Huseyin.Bostanci@unt.edu</t>
  </si>
  <si>
    <t>Phase change heat transfer, High heat flux thermal management, Spray cooling, Nucleate boiling, Enhanced surfaces,
Innovative Stirling engine development and characterization, Distributed power generation, Waste heat recovery</t>
  </si>
  <si>
    <t>Phase change heat transfer, High heat flux thermal management, Spray cooling, Nucleate boiling, Enhanced surfaces,
Innovative Stirling engine development , characterization, Distributed power generation, Waste heat recovery</t>
  </si>
  <si>
    <t>Nourredine Boubekri</t>
  </si>
  <si>
    <t>Nourredine.Boubekri@unt.edu</t>
  </si>
  <si>
    <t>Boubekri, N. (Principal), Bostanci, H. (Co-Principal), "UNT Industrial Assessment Center," Sponsored by DOE Office of Energy Efficiency and Renewable Energy (EERE), Federal, $1750000 Funded. (September 1, 2022 – August 31, 2026).
Boubekri, N. (Principal), "Research and Development in Additive manufacturing (3D Printing," Sponsored by EMERSON Corp, Private, $24000 Funded. (2014 – 2015).
Grant - Research
Boubekri, N. (Principal), "Tool and Process Design for semi-dry drilling of steel An Innovation for Green Manufacturing," Sponsored by Illinois Department of Natural Resources, State, $150000 Funded. (2005 – 2006).
Boubekri, N. (Other), ""Rock Project" contributors (Drs. N. Boubekri, S. Kuo, C. Mirman, S. Song, P. Vohra)," Sponsored by College of Engineering and Engineering Technology, Department of Defense, Federal, $2250000 Funded. (2004 – 2006).
Boubekri, N. (Principal), "The University of Miami Industrial Assessment Center, (Founding Investigator)," Sponsored by Center funded by the U.S Department of Energy, Federal, $1200000 Funded. (2000 – 2006).</t>
  </si>
  <si>
    <t>UNT Industrial Assessment Center,
Development in Additive manufacturing,
Process Design for semi-dry drilling of steel An Innovation for Green Manufacturing</t>
  </si>
  <si>
    <t>Wonbong Choi</t>
  </si>
  <si>
    <t>wonbong.choi@unt.edu</t>
  </si>
  <si>
    <t>Nanomaterials synthesis and charcaterization Carbon
nanotubes, graphene, 2D transition metal
dichalcogenides (TMDs) and alloys
• Rechargeable Batteries Electrode materials, Li-S battery,
metal-air batteries, flexible batteries.
• Advanced Electronics – Neuromorphic memory based on
2D TMDs, Piezoelectric materials and sensors</t>
  </si>
  <si>
    <t>Nanomaterials synthesis , charcaterization Carbon,
nanotubes, graphene, 2D transition metal,
dichalcogenides (TMDs) , alloys,
Rechargeable Batteries Electrode materials, Li-S battery,
metal-air batteries, flexible batteries,
Advanced Electronics</t>
  </si>
  <si>
    <t>Taeyul Theo Choi</t>
  </si>
  <si>
    <t>Tae-Youl.Choi@unt.edu</t>
  </si>
  <si>
    <t xml:space="preserve">Cellular level thermal conductivity for early cancer detection
Nanoscale thermal characterization
Interfacial thermal resistance
Nanocomposite membrane for dehumidification application
Femtosecond laser material processing
 </t>
  </si>
  <si>
    <t xml:space="preserve">Cellular level thermal conductivity for early cancer detection,
Nanoscale thermal characterization,
Interfacial thermal resistance,
Nanocomposite membrane for dehumidification application,
Femtosecond laser material processing
 </t>
  </si>
  <si>
    <t>Nandika D'Souza P.E.</t>
  </si>
  <si>
    <t>Nandika.DSouza@unt.edu</t>
  </si>
  <si>
    <t>Multifunctional
Coatings, Fibers, Meshes, Foams and
Composites</t>
  </si>
  <si>
    <t>Multifunctional,
Coatings, Fibers, Meshes, Foams,
Composites</t>
  </si>
  <si>
    <t>Ravi Sankar Haridas</t>
  </si>
  <si>
    <t>Ravisankar.Haridas@unt.edu</t>
  </si>
  <si>
    <t>Deformation mechanisms during high strain rate deformation of alloys.
Mechanical and microstructural characterization of additively manufactured alloys.
Deformation mechanisms in high entropy alloys.
Microstructure based probabilistic modeling for fatigue life estimation.
Friction stir welding/processing and solid-state processing.</t>
  </si>
  <si>
    <t>Deformation mechanisms during high strain rate deformation of alloys,
Mechanical , microstructural characterization of additively manufactured alloys,
Deformation mechanisms in high entropy alloys,
Microstructure based probabilistic modeling for fatigue life estimation,
Friction stir welding/processing , solid-state processing,</t>
  </si>
  <si>
    <t>Zhenhua Huang</t>
  </si>
  <si>
    <t>Zhenhua.Huang@unt.edu</t>
  </si>
  <si>
    <t>Huang, Z., "Synthesis and Education on U.S. Building Finishing Materials, Designs, and Constructions," Sponsored by Beijing Zeyang Fine Art Building Finishing Corporation, International, $10000 Funded. (January 1, 2015 – June 30, 2015).
Grant - Research
Huang, Z. (Principal), "Follow on Funding Development of the Big Bridge Data Across the Conterminous U.S. for Deck Condition Rating Prediction using Machine Learning Algorithms," Sponsored by Department of Homeland Security, Federal, $50000 Funded. (2023 – 2023).
Huang, Z. (Principal), Manzo, M. (Co-Principal), "TxDOT Summer Transportation Institute 2023," Sponsored by TxDOT, Federal, $50000 Funded. (December 2022 – August 2023).
Eddy, C. M. (Principal), Huang, Z. (Co-Principal), "Capacity Building Creating and Sustaining a Pathway for Engineering Students to be STEM Teachers," Sponsored by National Science Foundation, Federal, $75000 Funded. (June 1, 2022 – May 31, 2023).
Manzo, M. (Principal), Huang, Z. (Co-Principal), "DeveloPImproved Methods for Eliminating Striping on Roadway Surfaces," Sponsored by TxDOT, State, $288000 Funded. (September 2020 – February 2023).</t>
  </si>
  <si>
    <t>Synthesis , Education on U,S, Building Finishing Materials, Designs, Constructions,
Follow on Funding Development of the Big Bridge Data Across the Conterminous US for Deck Condition Rating Prediction using Machine Learning Algorithms</t>
  </si>
  <si>
    <t>Kuruvilla John</t>
  </si>
  <si>
    <t>Kuruvilla.John@unt.edu</t>
  </si>
  <si>
    <t>John, K., "Air Quality Impact Assessment of a Deepwater Port Structure in South Texas," Sponsored by Port Industries of Corpus Christi, Private, $34000 Funded. (January 4, 2019 – January 15, 2021).
Grant - Research
John, K. (Principal), "Air Quality Monitoring for Ozone in Corpus Christi," Sponsored by Port Industries of Corpus Christi, Private, $47000 Funded. (June 1, 2018 – August 31, 2019).
John, K. (Co-Principal), Crutsinger, C. A. (Principal), Reidy, R. F. (Co-Principal), Tsatsoulis, C. (Co-Principal), Wilson, A. K. (Co-Principal), "Engaging Male Colleagues as Advocates &amp; Allies for the Advanc</t>
  </si>
  <si>
    <t>Air Quality Impact Assessment of a Deepwater Port Structure in South Texas,
Air Quality Monitoring for Ozone in Corpus Christi</t>
  </si>
  <si>
    <t>Paul Krueger</t>
  </si>
  <si>
    <t>Paul.Krueger@unt.edu</t>
  </si>
  <si>
    <t>Xiaohua Li</t>
  </si>
  <si>
    <t>Xiaohua.Li@unt.edu</t>
  </si>
  <si>
    <t>Maurizio Manzo</t>
  </si>
  <si>
    <t>Maurizio.Manzo@unt.edu</t>
  </si>
  <si>
    <t>Sensor development, Instrumentation and flow diagnostics, Biomedical micro-devices</t>
  </si>
  <si>
    <t>Sensor development, Instrumentation , flow diagnostics, Biomedical micro-devices</t>
  </si>
  <si>
    <t>$487 per credit (in-state, full-time)</t>
  </si>
  <si>
    <t>Reza Mirshams P.E.</t>
  </si>
  <si>
    <t>Reza.Mirshams@unt.edu</t>
  </si>
  <si>
    <t>Structural Properties of Materials, Materials Failure Analysis, Additive Manufacturing,
Deformation Processing, Nontraditional Manufacturing, Materials Selection in Design</t>
  </si>
  <si>
    <t>Seifollah Nasrazadani</t>
  </si>
  <si>
    <t>nasr@unt.edu</t>
  </si>
  <si>
    <t>corrosion science and engineering, materials characterization, failure analysis
and Prevention, Thin film deposition and characterization, Mechanical and Electrochemical testing</t>
  </si>
  <si>
    <t>corrosion science , engineering, materials characterization, failure analysis,
, Prevention, Thin film deposition , characterization, Mechanical , Electrochemical testing</t>
  </si>
  <si>
    <t>David Nowicki</t>
  </si>
  <si>
    <t>David.Nowicki@unt.edu</t>
  </si>
  <si>
    <t>Bomba, M. S. (Co-Principal), Nowicki, D. R. (Principal), Weston, L. M. (Co-Principal), "Support for Implementation of the Texas-Mexico Border Transportation Plan, FY 2023-FY 2024," Sponsored by Texas Department of Transportation, State, $1972952 Funded. (October 11, 2022 – August 31, 2024).
Nowicki, D. (Principal), Sauser, B. (Co-Principal), "Logistics Intermodal Program Development," Sponsored by Intermodal Association of North America, Private, $120000 Funded. (2018 – 2021).
Nowicki, D. R. (Principal), Bomba, M. S. (Co-Principal), Weston, L. (Supporting), "The E-Commerce Returns and Reverse Logistics Landscape," Sponsored by Office of the Inspector General, Federal, $37500 Funded. (2018 – 2018).</t>
  </si>
  <si>
    <t>Support for Implementation of the Texas-Mexico Border Transportation Plan, The E-Commerce Returns , Reverse Logistics L,scape</t>
  </si>
  <si>
    <t>Vish Prasad</t>
  </si>
  <si>
    <t>vish.prasad@unt.edu</t>
  </si>
  <si>
    <t xml:space="preserve">An internationally recognized researcher in convective heat transfer, heat transfer in porous media, materials processing (crystal growth, plasma spray coating, and thin film processing), microelectronics, energy systems, and computational and experimental methods.
</t>
  </si>
  <si>
    <t xml:space="preserve">convective heat transfer, heat transfer in porous media, materials processing (crystal growth, plasma spray coating, thin film processing), microelectronics, energy systems, computational , experimental methods,
</t>
  </si>
  <si>
    <t>Hassan Qandil</t>
  </si>
  <si>
    <t>Hassan.Qandil@unt.edu</t>
  </si>
  <si>
    <t xml:space="preserve">Zhao, W. (Principal), Qandil, H. (Co-Principal), "Solar Lens-Based saltwater Desalination System," Sponsored by Solar Solutions, Private, $34304 Funded. (2020 – 2022).
</t>
  </si>
  <si>
    <t>Lens-Based saltwater Desalination System</t>
  </si>
  <si>
    <t>Saman Rashidyan</t>
  </si>
  <si>
    <t>Saman.Rashidyan@unt.edu</t>
  </si>
  <si>
    <t>Salar Shirkhanloo</t>
  </si>
  <si>
    <t>Salar.Shirkhanloo@unt.edu</t>
  </si>
  <si>
    <t>JN Reddy</t>
  </si>
  <si>
    <t>JN.Reddy@unt.edu</t>
  </si>
  <si>
    <t>Plates and shell, finite elements, computational mechanics, variational principles and methods, composite materials</t>
  </si>
  <si>
    <t>Plates , shell, finite elements, computational mechanics, variational principles , methods, composite materials</t>
  </si>
  <si>
    <t>Hamid Sadat</t>
  </si>
  <si>
    <t>hamid.sadat@unt.edu</t>
  </si>
  <si>
    <t xml:space="preserve">focuses on the development of numerical methods including turbulent flow modeling using large-eddy simulation and detached eddy simulation methods, two-phase free-surface flow modeling, particulate flow modeling, fluid-structure interactions, higher-order discretization methods such as spectral difference, non-traditional CFD approaches such as Lattice Boltzmann Method, deterministic and stochastic simulation-based design and optimization, uncertainty quantification (UQ), and high-performance computing methodology. The code development and models are for ocean engineering applications (shiPhydrodynamics, wave/winds, stratified flows), biomedical applications (heart flow, hemodynamics,  etc.), and energy systems (onshore and offshore wind turbines, wave energy converter etc.). </t>
  </si>
  <si>
    <t>numerical methods including turbulent flow modeling using large-eddy simulation , detached eddy simulation methods, two-phase free-surface flow modeling, particulate flow modeling, fluid-structure interactions, higher-order discretization methods such as spectral difference, non-traditional CFD approaches such as Lattice Boltzmann Method, deterministic , stochastic simulation-based design , optimization, uncertainty quantification (UQ), high-performance computing methodology</t>
  </si>
  <si>
    <r>
      <rPr>
        <u/>
        <sz val="10"/>
        <color rgb="FF000000"/>
        <rFont val="Arial"/>
        <family val="2"/>
      </rPr>
      <t>Herman Shen</t>
    </r>
    <r>
      <rPr>
        <sz val="10"/>
        <color rgb="FF000000"/>
        <rFont val="Arial"/>
        <family val="2"/>
      </rPr>
      <t xml:space="preserve"> (Department chair)</t>
    </r>
  </si>
  <si>
    <t>Herman.Shen@unt.edu</t>
  </si>
  <si>
    <t>Sheldon Q. Shi P.E.</t>
  </si>
  <si>
    <t>Sheldon.Shi@unt.edu</t>
  </si>
  <si>
    <t>Hector R. Siller</t>
  </si>
  <si>
    <t>Hector.Siller@unt.edu</t>
  </si>
  <si>
    <t>Advanced Manufacturing Additive Manufacturing, Micromechanical Processes, Metrology
and Digital Manufacturing</t>
  </si>
  <si>
    <t>Advanced Manufacturing Additive Manufacturing, Micromechanical Processes, Metrology, Digital Manufacturing</t>
  </si>
  <si>
    <t>Mark Wasikowski</t>
  </si>
  <si>
    <t>Mark.Wasikowski@unt.edu</t>
  </si>
  <si>
    <t>Wasikowski, M. (Principal), "Senior Design Letter Agreement," Sponsored by Army Research Lab, Federal, $10000 Funded. (March 1, 2021 – March 1, 2023).
Wasikowski, M. E., "Senior Design Letter Agreement," Sponsored by Eterno Ovens, Local, Funded. (January 1, 2021 – December 31, 2021).
Wasikowski, M. E., "Senior Design Letter Agreement," Sponsored by DULAMS, Local, Funded. (September 1, 2019 – September 1, 2021).
Wasikowski, M. E., "Senior Design Letter Agreement," Sponsored by Accent Holding LLC., Private, $1000 Funded. (September 1, 2020 – May 1, 2021)</t>
  </si>
  <si>
    <t>Senior Design</t>
  </si>
  <si>
    <t>Yunwei Xu</t>
  </si>
  <si>
    <t>Yunwei.Xu@unt.edu</t>
  </si>
  <si>
    <t xml:space="preserve">My research focus on multiscale computational modeling for heterogeneous materials, finite element method, solid and fracture mechanics related applications in composite materials.
</t>
  </si>
  <si>
    <t xml:space="preserve">multiscale computational modeling for heterogeneous materials, finite element method, solid , fracture mechanics related applications in composite materials
</t>
  </si>
  <si>
    <t>Rattaya Yalamanchili</t>
  </si>
  <si>
    <t>Rattaya.Yalamanchili@unt.edu</t>
  </si>
  <si>
    <t>Cheng Yu P.E., F.SEI.</t>
  </si>
  <si>
    <t>Cheng.Yu@unt.edu</t>
  </si>
  <si>
    <t>Dr. Yu’s main research
interest is in advancing
structures , materials,
construction
technology, and design
methodology for
buildings and
transportation systems.</t>
  </si>
  <si>
    <t>structures , materials,
construction.
technology, design.
methodology for buildings,
transportation systems</t>
  </si>
  <si>
    <t>Haifeng Zhang</t>
  </si>
  <si>
    <t>Haifeng.Zhang@unt.edu</t>
  </si>
  <si>
    <t>Richard Z. Zhang</t>
  </si>
  <si>
    <t>Zihao.Zhang@unt.edu</t>
  </si>
  <si>
    <t>Thermal properties of nanomaterials and optical devices/coatings
Computational thermal and electrical transport simulations
Quantum dynamics of energy carriers in nanostructures
Thermal regulation and design in aerospace systems</t>
  </si>
  <si>
    <t>Thermal properties of nanomaterials , optical devices/coatings,
Computational thermal , electrical transport simulations,
Quantum dynamics of energy carriers in nanostructures,
Thermal regulation , design in aerospace systems</t>
  </si>
  <si>
    <t>Wright State University</t>
  </si>
  <si>
    <r>
      <rPr>
        <u/>
        <sz val="10"/>
        <color rgb="FF000000"/>
        <rFont val="Arial"/>
        <family val="2"/>
      </rPr>
      <t>Raghu Srinivasan, Ph.D.</t>
    </r>
    <r>
      <rPr>
        <sz val="10"/>
        <color rgb="FF000000"/>
        <rFont val="Arial"/>
        <family val="2"/>
      </rPr>
      <t xml:space="preserve"> (Chair)</t>
    </r>
  </si>
  <si>
    <t>raghavan.srinivasan@wright.edu</t>
  </si>
  <si>
    <t xml:space="preserve">s Mechanical behavior and testing of materials, phase transformations, microstructure and texture evolution during thermomechanical processing in the domains of materials for aerospace and commerical applications, multi-principal element alloys (MPEA), thermoelectric materials, and additive manufacturing.
</t>
  </si>
  <si>
    <t xml:space="preserve">Mechanical behavior , testing of materials, phase transformations, microstructure , texture evolution during thermomechanical processing in the domains of materials for aerospace , commerical applications, multi-principal element alloys (MPEA), thermoelectric materials, additive manufacturing
</t>
  </si>
  <si>
    <t>Hamed Attariani, Ph.D.</t>
  </si>
  <si>
    <t>hamed.attariani@wright.edu</t>
  </si>
  <si>
    <t xml:space="preserve">phase-field modeling (PFM), molecular dynamics (MD), density functional theory (DFT), continuum mechanics, finite element analysis, multiscale modeling, mechano-chemistry, electrochemistry, nanomechanics, corrosion, phase transformations, 1/2D nanomaterials, nano-sized energy generators, Li-ion batteries, defect engineering, additive manufacturing, phase change material, nanocomposites.
</t>
  </si>
  <si>
    <t xml:space="preserve">phase-field modeling (PFM), molecular dynamics (MD), density functional theory (DFT), continuum mechanics, finite element analysis, multiscale modeling, mechano-chemistry, electrochemistry, nanomechanics, corrosion, phase transformations, 1/2D nanomaterials, nano-sized energy generators, Li-ion batteries, defect engineering, additive manufacturing, phase change material, nanocomposites
</t>
  </si>
  <si>
    <t>Harok Bae, Ph.D.</t>
  </si>
  <si>
    <t>harok.bae@wright.edu</t>
  </si>
  <si>
    <t>Uncertainty Quantification (Probabilistic and Non-probabilistic Approaches)
Engineering Data Analytics &amp; Physic-based Machine Learning for Mechanical and Aerospace Engineering
Multi-Fidelity Adaptive Learning with Multiple Information Sources
Multi-Disciplinary Design Optimization Hypersonic Air vehicle &amp; Heavy Machinery Equipment</t>
  </si>
  <si>
    <t>Uncertainty Quantification (Probabilistic , Non-probabilistic Approaches),
Engineering Data Analytics &amp; Physic-based Machine Learning for Mechanical , Aerospace Engineering,
Multi-Fidelity Adaptive Learning with Multiple Information Sources,
Multi-Disciplinary Design Optimization Hypersonic Air vehicle &amp; Heavy Machinery Equipment</t>
  </si>
  <si>
    <t>Craig M Baudendistel, Ph.D.</t>
  </si>
  <si>
    <t>craig.baudendistel@wright.edu</t>
  </si>
  <si>
    <t>Amir Farajian, Ph.D.</t>
  </si>
  <si>
    <t>amir.farajian@wright.edu</t>
  </si>
  <si>
    <t>Ab initio and multiscale characterization and design of materials
    Coherent and incoherent quantum electronic and thermal transports
    2D nanomaterials processing and multiscale atomic-based thermodynamics
    Nanoelectronic-based electrochemical and electromechanical sensors
    Nanostructured fluids Phase transition and electrorheology
    Ab initio diffusion in defected metals/alloys at various temperatures
    Thermoelectric and photovoltaic applications of nanostructured materials</t>
  </si>
  <si>
    <t xml:space="preserve">multiscale characterization , design of materials,
Coherent , incoherent quantum electronic , thermal transports,
2D nanomaterials processing , multiscale atomic-based thermodynamics,
Nanoelectronic-based electrochemical , electromechanical sensors,
Nanostructured fluids Phase transition , electrorheology
</t>
  </si>
  <si>
    <t>George PHuang</t>
  </si>
  <si>
    <t>george.huang@wright.edu</t>
  </si>
  <si>
    <t>Hong Huang, Ph.D.</t>
  </si>
  <si>
    <t>hong.huang@wright.edu</t>
  </si>
  <si>
    <t>fundamental and practical aspects, extends in the fields of novel nanomaterials, polymeric composites, ionic liquids, and thin films for the applications to energy, environment, health, and electronics.</t>
  </si>
  <si>
    <t>fundamental , practical aspects, extends in the fields of novel nanomaterials, polymeric composites, ionic liquids, thin films for the applications to energy, environment, health, electronics,</t>
  </si>
  <si>
    <t>Nathan W. Klingbeil, Ph.D.</t>
  </si>
  <si>
    <t>nathan.klingbeil@wright.edu</t>
  </si>
  <si>
    <t xml:space="preserve">Dr. Klingbeil’s s are in the general areas of fatigue crack growth and life prediction in aerospace materials, mechanics of materials and advanced manufacturing processes, and STEM education. </t>
  </si>
  <si>
    <t xml:space="preserve">fatigue crack growth , life prediction in aerospace materials, mechanics of materials , advanced manufacturing processes, STEM education, </t>
  </si>
  <si>
    <t>Sheng Li, Ph.D.</t>
  </si>
  <si>
    <t>sheng.li@wright.edu</t>
  </si>
  <si>
    <t xml:space="preserve">Multi-scale computational mechanics
·       Tribology and surface engineering, Tribo-dynamics
·       Power loss and efficiency
·       Contact fatigue and thermal failure
</t>
  </si>
  <si>
    <t xml:space="preserve">Multi-scale computational mechanics,
Tribology , surface engineering, Tribo-dynamics,
Power loss , efficiency,
Contact fatigue , thermal failure
</t>
  </si>
  <si>
    <t>Junghsen Lieh, Ph.D.</t>
  </si>
  <si>
    <t>junghsen.lieh@wright.edu</t>
  </si>
  <si>
    <t>green energy technology, additive and smart manufacturing, electric vehicles, hybrid electric UAV, mechatronics, nonlinear systems, control and automation, biomechanics, etc.</t>
  </si>
  <si>
    <t>green energy technology, additive , smart manufacturing, electric vehicles, hybrid electric UAV, mechatronics, nonlinear systems, control , automation, biomechanics, etc,</t>
  </si>
  <si>
    <t>James A. Menart, Ph.D.</t>
  </si>
  <si>
    <t>james.menart@wright.edu</t>
  </si>
  <si>
    <t>Ahsan Mian, Ph.D.</t>
  </si>
  <si>
    <t>ahsan.mian@wright.edu</t>
  </si>
  <si>
    <t>Application-specific lattice design (for aerospace to biomedical applications),
Process development for 3D/2.5D printed electronics,
Heterogeneous integration of electronics,
Survivable electronics, 
Thermal/mechanical reliability of AM structures.</t>
  </si>
  <si>
    <t>Application-specific lattice design (for aerospace to biomedical applications),
Process development for 3D/2,5D printed electronics,
Heterogeneous integration of electronics,
Survivable electronics, 
Thermal/mechanical reliability of AM structures,</t>
  </si>
  <si>
    <t>$14,298 per year (in-state, full-time)</t>
  </si>
  <si>
    <t>ScoTTK. Thomas, PHD</t>
  </si>
  <si>
    <t>scott.thomas@wright.edu</t>
  </si>
  <si>
    <t>Mitch Wolff, Ph.D.</t>
  </si>
  <si>
    <t>mitch.wolff@wright.edu</t>
  </si>
  <si>
    <t>1.     Schroeder, L. M., Wolff, J. M. and Fleeter, S., “Locally Analytical Prediction of the Viscous Aerodynamics of an Oscillating Flat Plate,” International Journal of Mathematical and Computer Modeling, Vol. 12, No. 6, 1989, pp. 707-719.
2.     Wolff, J. M. and Fleeter, S., “Viscous Unsteady Gust Aerodynamics of a Flat Plate Airfoil by a Locally Analytical Method,” International Journal of Computers and Mathematics with Applications, Vol. 19, No. 6, 1990, pp. 27-36.
3.     Wolff, J. M. and Fleeter, S., “Analysis of the Viscous Aerodynamics of a Thin Airfoil Cascade by a Locally Analytical Method,” International Journal of Computers and Mathematics with Applications, Vol. 21, No. 10, 1991, pp. 1-12.</t>
  </si>
  <si>
    <t>Locally Analytical Prediction of the Viscous Aerodynamics of an Oscillating Flat Plate,
Viscous Unsteady Gust Aerodynamics of a Flat Plate Airfoil by a Locally Analytical Method</t>
  </si>
  <si>
    <t>Zifeng Yang, Ph.D.</t>
  </si>
  <si>
    <t>zifeng.yang@wright.edu</t>
  </si>
  <si>
    <t>1. Blood flow velocimetry
2. Novel wind turbine technology
3. Advanced Flow Diagnostic Technologies
4. Dual-Airfoil Test Platform</t>
  </si>
  <si>
    <t>Blood flow velocimetry,
Novel wind turbine technology,
Advanced Flow Diagnostic Technologies,
Dual-Airfoil Test Platform</t>
  </si>
  <si>
    <t>Henry D. Young</t>
  </si>
  <si>
    <t>daniel.young@wright.edu</t>
  </si>
  <si>
    <t xml:space="preserve">Nanosilver composite materials for electronic packaging applications
Thermochemical enhancement of natural wood materials
Microstructure and size effects in laser powder bed fusion of Nickel alloys
Novel materials for removal of per- and polyfluoroalkyl substances
</t>
  </si>
  <si>
    <t xml:space="preserve">Nanosilver composite materials for electronic packaging applications,
Thermochemical enhancement of natural wood materials,
Microstructure , size effects in laser powder bed fusion of Nickel alloys,
Novel materials for removal of per- , polyfluoroalkyl substances
</t>
  </si>
  <si>
    <t>Florida Atlantic University</t>
  </si>
  <si>
    <t>Abtahi, Amir</t>
  </si>
  <si>
    <t>abtahi@fau.edu</t>
  </si>
  <si>
    <t>Fuel Cell Design and Optimization
Energy and Thermal Systems
Systems Dynamics
Modeling
Solar Energy</t>
  </si>
  <si>
    <t>Fuel Cell Design , Optimization,
Energy , Thermal Systems,
Systems Dynamics,
Modeling,
Solar Energy</t>
  </si>
  <si>
    <t>Mechanical and Ocean Engineering</t>
  </si>
  <si>
    <t>An, Edgar</t>
  </si>
  <si>
    <t>pan@fau.edu</t>
  </si>
  <si>
    <t>Autonomous Underwater Vehicles
Intelligent Control
Learning Theory
System Architecture
Modeling and Simulation
Underwater Navigation</t>
  </si>
  <si>
    <t>Autonomous Underwater Vehicles,
Intelligent Control,
Learning Theory,
System Architecture,
Modeling , Simulation,
Underwater Navigation</t>
  </si>
  <si>
    <r>
      <rPr>
        <u/>
        <sz val="10"/>
        <color rgb="FF000000"/>
        <rFont val="Arial"/>
        <family val="2"/>
      </rPr>
      <t>Beaujean, Pierre-Philippe</t>
    </r>
    <r>
      <rPr>
        <sz val="10"/>
        <color rgb="FF000000"/>
        <rFont val="Arial"/>
        <family val="2"/>
      </rPr>
      <t xml:space="preserve"> (Chair)</t>
    </r>
  </si>
  <si>
    <t>pbeaujea@fau.edu</t>
  </si>
  <si>
    <t>Acoustics (Underwater)
Signal Processing
Sonar Systems Design
Communication Navigation Systems
Transducer Design</t>
  </si>
  <si>
    <t>Acoustics (Underwater),
Signal Processing,
Sonar Systems Design,
Communication Navigation Systems,
Transducer Design</t>
  </si>
  <si>
    <t>#166 - Mechanical Engineering</t>
  </si>
  <si>
    <t>Cai, George Q.</t>
  </si>
  <si>
    <t>caig@fau.edu</t>
  </si>
  <si>
    <t>Structural Engineering
Stochastics
Dynamics
Reliability Analysis
Earthquake Engineering</t>
  </si>
  <si>
    <t>Structural Engineering,
Stochastics,
Dynamics,
Reliability Analysis,
Earthquake Engineering</t>
  </si>
  <si>
    <t>Carlsson, Leif A.</t>
  </si>
  <si>
    <t>carlsson@fau.edu</t>
  </si>
  <si>
    <t>Composite Material and Sandwich Structures
Solid Mechanics
Finite Element Analysis</t>
  </si>
  <si>
    <t>Composite Material , Sandwich Structures,
Solid Mechanics,
Finite Element Analysis</t>
  </si>
  <si>
    <t>Curet, Oscar M.</t>
  </si>
  <si>
    <t>ocuret@fau.edu</t>
  </si>
  <si>
    <t>Fluid Dynamics of Animal Locomotion
Biomimetics and Biological Propulsion
Hydrodynamics of Underwater Vehicles
Energy Harvesting
Direct Simulation of Freely Swimming Fish</t>
  </si>
  <si>
    <t>Fluid Dynamics of Animal Locomotion,
Biomimetics , Biological Propulsion,
Hydrodynamics of Underwater Vehicles,
Energy Harvesting,
Direct Simulation of Freely Swimming Fish</t>
  </si>
  <si>
    <t>Dhanak, Manhar R.</t>
  </si>
  <si>
    <t>dhanak@fau.edu</t>
  </si>
  <si>
    <t>Ocean Turbulence
Hydrodynamics
Physical Oceanography
Vortex Dynamics
Flow Modeling
Ocean Energy
Flow Induced EM Fields</t>
  </si>
  <si>
    <t>Ocean Turbulence,
Hydrodynamics,
Physical Oceanography,
Vortex Dynamics,
Flow Modeling,
Ocean Energy,
Flow Induced EM Fields</t>
  </si>
  <si>
    <t>Du, Sarah E.</t>
  </si>
  <si>
    <t>edu@fau.edu</t>
  </si>
  <si>
    <t xml:space="preserve">Cell Biomechanics and Biophysics
Microfluidic Biosensor
In Vitro Disease Model
</t>
  </si>
  <si>
    <t xml:space="preserve">Cell Biomechanics , Biophysics,
Microfluidic Biosensor,
In Vitro Disease Model
</t>
  </si>
  <si>
    <t>Elishakoff, Isaac E.</t>
  </si>
  <si>
    <t>elishako@fau.edu</t>
  </si>
  <si>
    <t>Mechanical Vibrations and Elastic Stability
Structural Reliability and Random Vibrations
Optimization and Anti-Optimization Under Uncertainty
Durability of Structures Under Corrosion for Renewable Energy Applications</t>
  </si>
  <si>
    <t>Mechanical Vibrations , Elastic Stability,
Structural Reliability , Random Vibrations,
Optimization , Anti-Optimization Under Uncertainty,
Durability of Structures Under Corrosion for Renewable Energy Applications</t>
  </si>
  <si>
    <t>Engeberg, Erik</t>
  </si>
  <si>
    <t>eengeberg@fau.edu</t>
  </si>
  <si>
    <t>Robotics and Prosthetics
Energy Harvesting
Sensor Design
Brain-Machine Interfaces
Bioinspiration and Biomimetics</t>
  </si>
  <si>
    <t>Robotics , Prosthetics,
Energy Harvesting,
Sensor Design,
Brain-Machine Interfaces,
Bioinspiration , Biomimetics</t>
  </si>
  <si>
    <t>Glegg, Stewart</t>
  </si>
  <si>
    <t>sglegg@fau.edu</t>
  </si>
  <si>
    <t>Aero Acoustics
Fan Noise
Turbulence
Underwater Sound Propagation
Passive Sonar
Noise Source Location</t>
  </si>
  <si>
    <t>Aero Acoustics,
Fan Noise,
Turbulence,
Underwater Sound Propagation,
Passive Sonar,
Noise Source Location</t>
  </si>
  <si>
    <t>Hashemi, Javad</t>
  </si>
  <si>
    <t>jhashemi@fau.edu</t>
  </si>
  <si>
    <t>Metal Forming and Manufacturing
Materials Synthesis and Characterization
Structural Failure
Biomechanics
Sports Medicine</t>
  </si>
  <si>
    <t>Metal Forming , Manufacturing,
Materials Synthesis , Characterization,
Structural Failure,
Biomechanics,
Sports Medicine</t>
  </si>
  <si>
    <t>$372 per credit (in-state, full-time)</t>
  </si>
  <si>
    <t>Kang, Kevin Yunqing</t>
  </si>
  <si>
    <t>kangy@fau.edu</t>
  </si>
  <si>
    <t>Biomaterials
Stem Cell and Tissue Engineering
Bone Regeneration</t>
  </si>
  <si>
    <t>Biomaterials,
Stem Cell , Tissue Engineering,
Bone Regeneration</t>
  </si>
  <si>
    <t>Kim, Myeongsub (Mike)</t>
  </si>
  <si>
    <t>kimm@fau.edu</t>
  </si>
  <si>
    <t>Microfluidic Sensors
Optical Diagnostic Techniques
Energy Systems (oil and gas)
Thermal-fluid Sciences</t>
  </si>
  <si>
    <t>Microfluidic Sensors,
Optical Diagnostic Techniques,
Energy Systems (oil , gas),
Thermal-fluid Sciences</t>
  </si>
  <si>
    <t>Mahfuz, Hassan</t>
  </si>
  <si>
    <t>hmahfuz@fau.edu</t>
  </si>
  <si>
    <t>Computational Solid Mechanics
Experimental Stress Analysis
Offshore and ShiPStructures
Composite Materials
Nanostructured Materials</t>
  </si>
  <si>
    <t>Computational Solid Mechanics,
Experimental Stress Analysis,
Offshore , ShiPStructures,
Composite Materials,
Nanostructured Materials</t>
  </si>
  <si>
    <t>Masory, Oren</t>
  </si>
  <si>
    <t>masoryo@fau.edu</t>
  </si>
  <si>
    <t>Computer Control of Manufacturing Processes
Robotics
Product Liability
Assistive Technology
Rehabilitation Engineering</t>
  </si>
  <si>
    <t>Computer Control of Manufacturing Processes,
Robotics,
Product Liability,
Assistive Technology,
Rehabilitation Engineering</t>
  </si>
  <si>
    <t>Merk, Vivian</t>
  </si>
  <si>
    <t>vmerk@fau.edu</t>
  </si>
  <si>
    <t>Biomineralization
Biocomposities
Chemical Imaging</t>
  </si>
  <si>
    <t>Biomineralization,
Biocomposities,
Chemical Imaging</t>
  </si>
  <si>
    <t>Moslemian, Davood</t>
  </si>
  <si>
    <t>moslemia@fau.edu</t>
  </si>
  <si>
    <t>Diagnostic Techniques for Heat Transfer and Flow Measurements
Computational Fluid Dynamics
Compressible Flows
Combustion
Turbomachinery
Gas Turbine Engines
Energy Efficient Building Design and Modeling</t>
  </si>
  <si>
    <t>Diagnostic Techniques for Heat Transfer , Flow Measurements,
Computational Fluid Dynamics,
Compressible Flows,
Combustion,
Turbomachinery,
Gas Turbine Engines,
Energy Efficient Building Design , Modeling</t>
  </si>
  <si>
    <t>Nayak, Aditya</t>
  </si>
  <si>
    <t>anayak@fau.edu</t>
  </si>
  <si>
    <t>Ocean Instrumentation
Coastal Processes
Turbulence
Marine Particle Dynamics
Biophysical Interactions</t>
  </si>
  <si>
    <t>Ocean Instrumentation,
Coastal Processes,
Turbulence,
Marine Particle Dynamics,
Biophysical Interactions</t>
  </si>
  <si>
    <t>Presuel-Moreno, Francisco</t>
  </si>
  <si>
    <t>fpresuel@fau.edu</t>
  </si>
  <si>
    <t>Materials and Corrosion
Modeling
Infrastructure Deterioration
Cathodic Protection
Durability of Concrete</t>
  </si>
  <si>
    <t>Materials , Corrosion,
Modeling,
Infrastructure Deterioration,
Cathodic Protection,
Durability of Concrete</t>
  </si>
  <si>
    <t>Salivar, Gary</t>
  </si>
  <si>
    <t>salivar@fau.edu</t>
  </si>
  <si>
    <t>Fatigue and Fracture Mechanics
Materials Science
Composite Materials
Manufacturing
Statistics</t>
  </si>
  <si>
    <t>Fatigue , Fracture Mechanics,
Materials Science,
Composite Materials,
Manufacturing,
Statistics</t>
  </si>
  <si>
    <t>Su, Tsung-Chow (Joe)</t>
  </si>
  <si>
    <t>su@fau.edu</t>
  </si>
  <si>
    <t>Industrial and Environmental Fluid Mechanics
Design Problems Involving Nanotechnology, Environmental Engineering and Bioengineering
Piezoelectric Shell Vibrates in Fluids with Industrial, Medical, Geophysical and Biological Applications
Fluid-Structure Interactions
Energy Related Problems and Inventions and Undergraduate Research</t>
  </si>
  <si>
    <t>Industrial , Environmental Fluid Mechanics,
Design Problems Involving Nanotechnology, Environmental Engineering , Bioengineering,
Piezoelectric Shell Vibrates in Fluids with Industrial, Medical, Geophysical , Biological Applications,Fluid-Structure Interactions
Energy Related Problems , Inventions , Undergraduate Research</t>
  </si>
  <si>
    <t>Tsai, Chi-Tay</t>
  </si>
  <si>
    <t>tsaict@fau.edu</t>
  </si>
  <si>
    <t>Computational Mechanics and Materials
Composite Materials
Dislocation Modeling of Semiconductor Crystals
Finite Element Analysis
Bioengineering</t>
  </si>
  <si>
    <t>Computational Mechanics , Materials,
Composite Materials,
Dislocation Modeling of Semiconductor Crystals,
Finite Element Analysis,
Bioengineering</t>
  </si>
  <si>
    <t>VanZwieten Jr., James H.</t>
  </si>
  <si>
    <t>jvanzwi@fau.edu</t>
  </si>
  <si>
    <t>Marine Renewable Energy
Numerical Simulation
Autonomous Controls
Oceanographic Measurements</t>
  </si>
  <si>
    <t>Marine Renewable Energy,
Numerical Simulation,
Autonomous Controls,
Oceanographic Measurements</t>
  </si>
  <si>
    <t>Verma, Siddhartha</t>
  </si>
  <si>
    <t>vermas@fau.edu</t>
  </si>
  <si>
    <t xml:space="preserve">Machine Learning in Fluid Mechanics
Turbulence Modelling and Large Eddy Simulation
Fluid Mechanics of Collective Behavior
Numerical Methods and High Performance Computing
</t>
  </si>
  <si>
    <t xml:space="preserve">Machine Learning in Fluid Mechanics,
Turbulence Modelling , Large Eddy Simulation,
Fluid Mechanics of Collective Behavior,
Numerical Methods , High Performance Computing
</t>
  </si>
  <si>
    <t>North Dakota State University</t>
  </si>
  <si>
    <t>Fardad Azarmi (PE)</t>
  </si>
  <si>
    <t>fardad.azarmi@ndsu.edu</t>
  </si>
  <si>
    <t>s Thermal Spray Coatings, Cold Spraying, High Temperature Materials, Computational and Experimental Solid Mechanics, Advanced Manufacturing.</t>
  </si>
  <si>
    <t>Thermal Spray Coatings, Cold Spraying, High Temperature Materials, Computational , Experimental Solid Mechanics, Advanced Manufacturing,</t>
  </si>
  <si>
    <t>Jordi Estevadeordal</t>
  </si>
  <si>
    <t>jordi.estevadeordal@ndsu.edu</t>
  </si>
  <si>
    <t>s Advanced laser techniques, thermo-fluid and spray diagnostics, 3D Particle Image Velocimetry, phosphorescence, infrared thermography, filtered Rayleigh scattering.</t>
  </si>
  <si>
    <t>Advanced laser techniques, thermo-fluid , spray diagnostics, 3D Particle Image Velocimetry, phosphorescence, infrared thermography, filtered Rayleigh scattering,</t>
  </si>
  <si>
    <t>Adam Gladen</t>
  </si>
  <si>
    <t>adam.c.gladen@ndsu.edu</t>
  </si>
  <si>
    <t>s Renewable Energy, Solar Thermal Energy, Energy Storage - in particular Thermochemical Energy Storage, Thermodynamics, Solar Thermochemistry, Heat Transfer, Radiative Transfer in Participating Media, Solar Reactor Design.</t>
  </si>
  <si>
    <t>Renewable Energy, Solar Thermal Energy, Energy Storage - in particular Thermochemical Energy Storage, Thermodynamics, Solar Thermochemistry, Heat Transfer, Radiative Transfer in Participating Media, Solar Reactor Design,</t>
  </si>
  <si>
    <t>Inbae Jeong</t>
  </si>
  <si>
    <t>inbae.jeong@ndsu.edu</t>
  </si>
  <si>
    <t>s Robotics and Artificial Intelligence.</t>
  </si>
  <si>
    <t>Robotics , Artificial Intelligence,</t>
  </si>
  <si>
    <t>Long Jiang</t>
  </si>
  <si>
    <t>long.jiang@ndsu.edu</t>
  </si>
  <si>
    <t>s Nanoscale Materials Synthesis and Applications, Materials from Renewable Resources, Nanocomposites, Carbonaceous Materials, Polymeric Materials Processing and Functionalization.</t>
  </si>
  <si>
    <t>Nanoscale Materials Synthesis , Applications, Materials from Renewable Resources, Nanocomposites, Carbonaceous Materials, Polymeric Materials Processing , Functionalization,</t>
  </si>
  <si>
    <t>Ghodrat Karami</t>
  </si>
  <si>
    <t>g.karami@ndsu.edu</t>
  </si>
  <si>
    <t>s Computational Solid Mechanics, Finite and Boundary Elements, Composite Micro and Nanomechanics Analysis, Continuum Mechanics, Structural Mechanics, Nonlinear and Large Deformation Analysis, Thermoelastic Analysis.</t>
  </si>
  <si>
    <t>Computational Solid Mechanics, Finite , Boundary Elements, Composite Micro , Nanomechanics Analysis, Continuum Mechanics, Structural Mechanics, Nonlinear , Large Deformation Analysis, Thermoelastic Analysis,</t>
  </si>
  <si>
    <t>Majura Selekwa</t>
  </si>
  <si>
    <t>majura.selekwa@ndsu.edu</t>
  </si>
  <si>
    <t>s Control Systems, Dynamics, Robotics &amp; Mechatronic Systems.</t>
  </si>
  <si>
    <t>Control Systems, Dynamics, Robotics &amp; Mechatronic Systems,</t>
  </si>
  <si>
    <t>Prakash Parthiban Selvakumar</t>
  </si>
  <si>
    <t>prakash.selvakumar@ndsu.edu</t>
  </si>
  <si>
    <t>s Biomaterials, Regenerative Medicine, Tissue-engineered vascular grafts, Microvasculature, Decellularized Extracellular Matrix, Bioceramics, Cancer and Vascular Biology.</t>
  </si>
  <si>
    <t>Biomaterials, Regenerative Medicine, Tissue-engineered vascular grafts, Microvasculature, Decellularized Extracellular Matrix, Bioceramics, Cancer , Vascular Biology,</t>
  </si>
  <si>
    <t>Yildirim Bora Suzen</t>
  </si>
  <si>
    <t>bora.suzen@ndsu.edu</t>
  </si>
  <si>
    <t>s Computational Fluid Dynamics, Transition and Turbulence Modeling, Turbomachinery, Active/Adaptive Flow Control, High Performance Parallel Computing.</t>
  </si>
  <si>
    <t>Computational Fluid Dynamics, Transition , Turbulence Modeling, Turbomachinery, Active/Adaptive Flow Control, High Performance Parallel Computing,</t>
  </si>
  <si>
    <t>Xiangqing Annie Tangpong</t>
  </si>
  <si>
    <t>annie.tangpong@ndsu.edu</t>
  </si>
  <si>
    <t>s Vibrations, dynamics and friction friction-vibration interaction, friction damping in rotating structures, damping in nanocomposites and biomaterials.</t>
  </si>
  <si>
    <t>Vibrations, dynamics , friction friction-vibration interaction, friction damping in rotating structures, damping in nanocomposites , biomaterials,</t>
  </si>
  <si>
    <t>Chad Ulven (Chair)</t>
  </si>
  <si>
    <t>chad.ulven@ndsu.edu</t>
  </si>
  <si>
    <t>s Polymer and Polymer Matrix Composite (PMC) Materials, PMC Processing Technologies, Response of PMCs to Dynamic Loading.</t>
  </si>
  <si>
    <t>Polymer , Polymer Matrix Composite (PMC) Materials, PMC Processing Technologies, Response of PMCs to Dynamic Loading,</t>
  </si>
  <si>
    <t>Jessica Vold</t>
  </si>
  <si>
    <t>jessica.l.vold@ndsu.edu</t>
  </si>
  <si>
    <t>s Additive Manufacturing Materials, Polymer Matrix Composites, Torrefaction of Lignocellulosic Materials, Bio-Based Composite Materials, Mechanical Testing, Material Characterization.</t>
  </si>
  <si>
    <t>Additive Manufacturing Materials, Polymer Matrix Composites, Torrefaction of Lignocellulosic Materials, Bio-Based Composite Materials, Mechanical Testing, Material Characterization,</t>
  </si>
  <si>
    <t>$464 per credit (in-state, full-time)</t>
  </si>
  <si>
    <t>Xinnan Wang</t>
  </si>
  <si>
    <t>xinnan.wang@ndsu.edu</t>
  </si>
  <si>
    <t>s Synthesis of Nanomaterials, Nanomechanical Characterization, Nanomanipulation, Biomechanics.</t>
  </si>
  <si>
    <t>Synthesis of Nanomaterials, Nanomechanical Characterization, Nanomanipulation, Biomechanics,</t>
  </si>
  <si>
    <t>Yechun Wang</t>
  </si>
  <si>
    <t>yechun.wang@ndsu.edu</t>
  </si>
  <si>
    <t>s Microfluidics, Biofluid Mechanics, Computational Fluid Dynamics, Numerical Analysis, and Characterization of Organic Coatings.</t>
  </si>
  <si>
    <t>Microfluidics, Biofluid Mechanics, Computational Fluid Dynamics, Numerical Analysis, Characterization of Organic Coatings,</t>
  </si>
  <si>
    <t>Xiangfa Wu</t>
  </si>
  <si>
    <t>xiangfa.wu@ndsu.edu</t>
  </si>
  <si>
    <t>s Multifunctional nanofibers and nanocomposites, Polymer matrix composites and adhesively bonded joints, Membrane technology for separation and electrochemical processes, Renewable energy harvesting, conversion and storage, Nanomanufacturing, process modeling and applied mechanics.</t>
  </si>
  <si>
    <t>Multifunctional nanofibers , nanocomposites, Polymer matrix composites , adhesively bonded joints, Membrane technology for separation , electrochemical processes, Renewable energy harvesting, conversion , storage, Nanomanufacturing, process modeling , applied mechanics,</t>
  </si>
  <si>
    <t>Yan Zhang</t>
  </si>
  <si>
    <t>yan.zhang.4@ndsu.edu</t>
  </si>
  <si>
    <t>s Experimental Fluid Dynamics, Advanced Flow Diagnostic Techniques, Wind Engineering and Wind Hazard Mitigation, Bio-Fluid Mechanics and Cardiovascular Hemodynamics Modeling.</t>
  </si>
  <si>
    <t>Experimental Fluid Dynamics, Advanced Flow Diagnostic Techniques, Wind Engineering , Wind Hazard Mitigation, Bio-Fluid Mechanics , Cardiovascular Hemodynamics Modeling,</t>
  </si>
  <si>
    <t>Northern Arizona University</t>
  </si>
  <si>
    <t>Kate Carroll</t>
  </si>
  <si>
    <t>Katherine.Carroll@nau.edu</t>
  </si>
  <si>
    <r>
      <rPr>
        <u/>
        <sz val="10"/>
        <color rgb="FF000000"/>
        <rFont val="Arial"/>
        <family val="2"/>
      </rPr>
      <t>Constantin Ciocanel</t>
    </r>
    <r>
      <rPr>
        <sz val="10"/>
        <color rgb="FF000000"/>
        <rFont val="Arial"/>
        <family val="2"/>
      </rPr>
      <t xml:space="preserve"> (Department chair)</t>
    </r>
  </si>
  <si>
    <t>Constantin.Ciocanel@nau.edu</t>
  </si>
  <si>
    <t>s Modeling, Multi-field Characterization and Implementation of Smart Materials, Development and characterization of multifunctional composites, Fatigue and fracture mechanics, Self-healing materials</t>
  </si>
  <si>
    <t>Modeling, Multi-field Characterization , Implementation of Smart Materials, Development , characterization of multifunctional composites, Fatigue , fracture mechanics, Self-healing materials</t>
  </si>
  <si>
    <t>Subhayan De</t>
  </si>
  <si>
    <t>SUBHAYAN.DE@nau.edu</t>
  </si>
  <si>
    <t>s Scientific Machine Learning, Topology Optimization, Uncertainty Quantification, Probabilistic Model Validation</t>
  </si>
  <si>
    <t>Scientific Machine Learning, Topology Optimization, Uncertainty Quantification, Probabilistic Model Validation</t>
  </si>
  <si>
    <t>Zhongwang Dou</t>
  </si>
  <si>
    <t>Zhongwang.Dou@nau.edu</t>
  </si>
  <si>
    <t>s Experimental Fluid Mechanics, Biofluids, Biomedical Devices, Insect Flight Dynamics, Particle-Laden Flow, Flow-Structure Interaction</t>
  </si>
  <si>
    <t>Experimental Fluid Mechanics, Biofluids, Biomedical Devices, Insect Flight Dynamics, Particle-Laden Flow, Flow-Structure Interaction</t>
  </si>
  <si>
    <t>Unranked - Best Engineering Schools</t>
  </si>
  <si>
    <t>Armin Eilaghi</t>
  </si>
  <si>
    <t>Armin.Eilaghi@nau.edu</t>
  </si>
  <si>
    <t>Heidi Feigenbaum</t>
  </si>
  <si>
    <t>Heidi.Feigenbaum@nau.edu</t>
  </si>
  <si>
    <t>s Continuum mechanics, Constitutive modeling, Solid mechanics, Plasticity, Adaptive materials and structure</t>
  </si>
  <si>
    <t>Continuum mechanics, Constitutive modeling, Solid mechanics, Plasticity, Adaptive materials , structure</t>
  </si>
  <si>
    <t>Cole Hatfield Joslyn</t>
  </si>
  <si>
    <t>Cole.Joslyn@nau.edu</t>
  </si>
  <si>
    <t>s Engineering Education</t>
  </si>
  <si>
    <t>Aminul Islam Khan</t>
  </si>
  <si>
    <t>Aminul.Khan@nau.edu</t>
  </si>
  <si>
    <t>Zachary Lerner</t>
  </si>
  <si>
    <t>Zachary.Lerner@nau.edu</t>
  </si>
  <si>
    <t>s Robotics, Control, Biomechanics, Neuromuscular disorders</t>
  </si>
  <si>
    <t>Robotics, Control, Biomechanics, Neuromuscular disorders</t>
  </si>
  <si>
    <t>Carson Pete</t>
  </si>
  <si>
    <t>Carson.Pete@nau.edu</t>
  </si>
  <si>
    <t>Reza Sharif Razavian</t>
  </si>
  <si>
    <t>Razavian.Reza@nau.edu</t>
  </si>
  <si>
    <t>s Robotics, human-robot interaction, human motor control, computational motor neuroscience, musculoskeletal biomechanics, bio-robotics, neural prosthetics</t>
  </si>
  <si>
    <t>Robotics, human-robot interaction, human motor control, computational motor neuroscience, musculoskeletal biomechanics, bio-robotics, neural prosthetics</t>
  </si>
  <si>
    <t>Michael Shafer</t>
  </si>
  <si>
    <t>Michael.Shafer@nau.edu</t>
  </si>
  <si>
    <t>s Energy harvesting, Advanced actuation technologies, Bio-inspired engineering systems, UAV systems, Ecological tools development</t>
  </si>
  <si>
    <t>Energy harvesting, Advanced actuation technologies, Bio-inspired engineering systems, UAV systems, Ecological tools development</t>
  </si>
  <si>
    <t>Peter Vadasz</t>
  </si>
  <si>
    <t>Peter.Vadasz@nau.edu</t>
  </si>
  <si>
    <t>s Transport Phenomena in Porous Media, Heat and Mass Transfer, Fluid Dynamics, Non- Linear Dynamics, Stability, Bifurcation and Routes to Chaos, Bio-Engineering, Energy Conversion and Storage, Engineering Economics</t>
  </si>
  <si>
    <t>Transport Phenomena in Porous Media, Heat , Mass Transfer, Fluid Dynamics, Non- Linear Dynamics, Stability, Bifurcation , Routes to Chaos, Bio-Engineering, Energy Conversion , Storage, Engineering Economics</t>
  </si>
  <si>
    <t>Jennifer Wade</t>
  </si>
  <si>
    <t>Jennifer.Wade@nau.edu</t>
  </si>
  <si>
    <t>s Energy materials, membrane separations, carbon capture, direct air capture, electrochemical energy systems</t>
  </si>
  <si>
    <t>Energy materials, membrane separations, carbon capture, direct air capture, electrochemical energy systems</t>
  </si>
  <si>
    <t>David Willy</t>
  </si>
  <si>
    <t>David.Willy@nau.edu</t>
  </si>
  <si>
    <t>Perry Wood</t>
  </si>
  <si>
    <t>Perry Wood@nau.edu</t>
  </si>
  <si>
    <t>South Dakota State University</t>
  </si>
  <si>
    <r>
      <rPr>
        <u/>
        <sz val="10"/>
        <color rgb="FF000000"/>
        <rFont val="Arial"/>
        <family val="2"/>
      </rPr>
      <t>Yucheng Liu</t>
    </r>
    <r>
      <rPr>
        <sz val="10"/>
        <color rgb="FF000000"/>
        <rFont val="Arial"/>
        <family val="2"/>
      </rPr>
      <t xml:space="preserve"> (Department head)</t>
    </r>
  </si>
  <si>
    <t>Yucheng.Liu@sdstate.edu</t>
  </si>
  <si>
    <t>Multiscale modeling and simulation
Process-structure-property-performance relations of materials
High strain rate performance of materials
Mechanical and machine design
Crashworthiness analysis
Mechanical and machine design
Wave energy conversion technology</t>
  </si>
  <si>
    <t>Multiscale modeling , simulation,
Process-structure-property-performance relations of materials,
High strain rate performance of materials,
Mechanical , machine design,
Crashworthiness analysis,
Mechanical , machine design,
Wave energy conversion technology</t>
  </si>
  <si>
    <t>Saikat Basu</t>
  </si>
  <si>
    <t>saikat.basu@sdstate.edu</t>
  </si>
  <si>
    <t xml:space="preserve">Healthcare Innovations
</t>
  </si>
  <si>
    <t>Zac Chapman</t>
  </si>
  <si>
    <t>zachary.chapman@sdstate.edu</t>
  </si>
  <si>
    <t>marco.ciarcia@sdstate.edu</t>
  </si>
  <si>
    <t>eVTOL Rotorcraft,
Robotics,
Mechatronics,
Nonlinear Control,
Optimal Control</t>
  </si>
  <si>
    <t>Jeffrey Doom</t>
  </si>
  <si>
    <t>jeffrey.doom@sdstate.edu</t>
  </si>
  <si>
    <t>Combustion, Computational Fluid Dynamics, Heat Transfer, Multi-Phase Flows, Numerical Analysis, and High Performance Parallel Computing</t>
  </si>
  <si>
    <t>Combustion, Computational Fluid Dynamics, Heat Transfer, Multi-Phase Flows, Numerical Analysis, High Performance Parallel Computing</t>
  </si>
  <si>
    <t>Stephen Gent</t>
  </si>
  <si>
    <t>stephen.gent@sdstate.edu</t>
  </si>
  <si>
    <t>Computational Modeling of Thermal Fluid Systems
Computational Modeling of Photobioreactors for Alternative Energy Systems
Computational Modeling of Medical Devices
Biofuels Research &amp; Development
Engineering Education</t>
  </si>
  <si>
    <t>Computational Modeling of Thermal Fluid Systems,
Computational Modeling of Photobioreactors for Alternative Energy Systems,
Computational Modeling of Medical Devices,
Biofuels Research &amp; Development,
Engineering Education</t>
  </si>
  <si>
    <t>Zhong Hu</t>
  </si>
  <si>
    <t>Zhong.Hu@SDSTATE.EDU</t>
  </si>
  <si>
    <t>Design of Swage Autofrettage Process of Thick-Walled Cylinder
Design of Lightweight High-Strength Porous Structure</t>
  </si>
  <si>
    <t>Design of Swage Autofrettage Process of Thick-Walled Cylinder,
Design of Lightweight High-Strength Porous Structure</t>
  </si>
  <si>
    <t>Todd Letcher</t>
  </si>
  <si>
    <t>todd.letcher@sdstate.edu</t>
  </si>
  <si>
    <t>Additive manufacturing, 3d printer hardware development, 3d printer material development, 3d printed material characterization, design for additive manufacturing</t>
  </si>
  <si>
    <t>Gregory Michna</t>
  </si>
  <si>
    <t>Gregory.Michna@sdstate.edu</t>
  </si>
  <si>
    <t>Heat and mass transfer
Convective heat transfer
Electronics cooling
Thermodynamics</t>
  </si>
  <si>
    <t>Heat , mass transfer,
Convective heat transfer,
Electronics cooling,
Thermodynamics</t>
  </si>
  <si>
    <t>Sarah Michna</t>
  </si>
  <si>
    <t>sarah.michna@sdstate.edu</t>
  </si>
  <si>
    <t>Douglas Peters</t>
  </si>
  <si>
    <t>Douglas.Peters@sdstate.edu</t>
  </si>
  <si>
    <t>Michael Twedt</t>
  </si>
  <si>
    <t>Michael.Twedt@SDSTATE.EDU</t>
  </si>
  <si>
    <t>Energy
Energy Efficiency
Renewable Energy / BioEnergy
Wind Energy
Feasibility Analysis</t>
  </si>
  <si>
    <t>Energy,
Energy Efficiency,
Renewable Energy / BioEnergy,
Wind Energy,
Feasibility Analysis</t>
  </si>
  <si>
    <t>John VerSteeg</t>
  </si>
  <si>
    <t>john.versteeg@sdstate.edu</t>
  </si>
  <si>
    <t>The Catholic University of America</t>
  </si>
  <si>
    <t>Jandro L. Abot</t>
  </si>
  <si>
    <t>abot@cua.edu</t>
  </si>
  <si>
    <t>His research grouPis engaged on projects about mechanics, materials engineering, fabrication, electrical/mechanical/thermal characterization of composite materials and structural health monitoring and sensing using carbon nanotube fibers.</t>
  </si>
  <si>
    <t>mechanics, materials engineering, fabrication, electrical/mechanical/thermal characterization of composite materials , structural health monitoring , sensing using carbon nanotube fibers</t>
  </si>
  <si>
    <t>Christian L. Bomela</t>
  </si>
  <si>
    <t>bomela@cua.edu</t>
  </si>
  <si>
    <t>Energy and Fluid Systems
Computational Fluid Dynamics (CFD)
Mechanical Measurements</t>
  </si>
  <si>
    <t>Energy , Fluid Systems,
Computational Fluid Dynamics (CFD),
Mechanical Measurements</t>
  </si>
  <si>
    <t>J. Steven Brown</t>
  </si>
  <si>
    <t>brownjs@cua.edu</t>
  </si>
  <si>
    <t>Jeffrey W. Herrmann</t>
  </si>
  <si>
    <t>herrmann@cua.edu</t>
  </si>
  <si>
    <t>PHerrmann’s research, service, and teaching activities have established him as a leader in the following areas (1) developing novel mathematical models to improve public health preparedness, (2) describing and modeling engineering design decision-making processes, and (3) using risk-based techniques to improve path planning for autonomous systems.</t>
  </si>
  <si>
    <t>developing novel mathematical models to improve public health preparedness, describing , modeling engineering design decision-making processes, using risk-based techniques to improve path planning for autonomous systems,</t>
  </si>
  <si>
    <t>John A. Judge</t>
  </si>
  <si>
    <t>judge@cua.edu</t>
  </si>
  <si>
    <t>Dynamics
Vibration</t>
  </si>
  <si>
    <t>Dynamics,
Vibration</t>
  </si>
  <si>
    <t>Chuan-Fu Lin</t>
  </si>
  <si>
    <t>linc@cua.edu</t>
  </si>
  <si>
    <t>Nanotechnology
Sustainability and Energy
Materials Synthesis and Processing</t>
  </si>
  <si>
    <t>Nanotechnology,
Sustainability , Energy,
Materials Synthesis , Processing</t>
  </si>
  <si>
    <t>Xiaolong Luo</t>
  </si>
  <si>
    <t>luox@cua.edu</t>
  </si>
  <si>
    <t>Microfluidics
Biofabrication
Mechatronics</t>
  </si>
  <si>
    <t>Microfluidics,
Biofabrication,
Mechatronics</t>
  </si>
  <si>
    <t>Sen Nieh</t>
  </si>
  <si>
    <t>nieh@cua.edu</t>
  </si>
  <si>
    <t>Prof. Nieh’s areas of s include Energy Systems, Combustion Engineering, Thermal Sciences, Multiphase Mechanics, and Environmental Engineering.</t>
  </si>
  <si>
    <t>Energy Systems, Combustion Engineering, Thermal Sciences, Multiphase Mechanics, Environmental Engineering,</t>
  </si>
  <si>
    <t>Santiago D. Solares</t>
  </si>
  <si>
    <t>solares@cua.edu</t>
  </si>
  <si>
    <t>Scanning Probe Microscopies
Nanoscale Mechanics
Multiscale Modeling
Viscoelastic Materials</t>
  </si>
  <si>
    <t>Scanning Probe Microscopies,
Nanoscale Mechanics,
Multiscale Modeling,
Viscoelastic Materials</t>
  </si>
  <si>
    <t>Diego Turo</t>
  </si>
  <si>
    <t>turo@cua.edu</t>
  </si>
  <si>
    <t>Atmospheric Acoustics
Computational Acoustics
Acoustics of Porous Media</t>
  </si>
  <si>
    <t>Atmospheric Acoustics,
Computational Acoustics,
Acoustics of Porous Media</t>
  </si>
  <si>
    <r>
      <rPr>
        <u/>
        <sz val="10"/>
        <color rgb="FF000000"/>
        <rFont val="Arial"/>
        <family val="2"/>
      </rPr>
      <t>Joseph F. Vignola</t>
    </r>
    <r>
      <rPr>
        <sz val="10"/>
        <color rgb="FF000000"/>
        <rFont val="Arial"/>
        <family val="2"/>
      </rPr>
      <t xml:space="preserve"> (Chair)</t>
    </r>
  </si>
  <si>
    <t>vignola@cua.edu</t>
  </si>
  <si>
    <t>His research is focused on structural dynamics and acoustics, MEMS and nanotechnology.</t>
  </si>
  <si>
    <t>structural dynamics , acoustics, MEMS , nanotechnology</t>
  </si>
  <si>
    <t>Zhaoyang Wang</t>
  </si>
  <si>
    <t>wangz@cua.edu</t>
  </si>
  <si>
    <t>Dr. Zhaoyang Wang’s s include solid mechanics, experimental techniques, optical methods, nanotechnology, computer vision, image and data processing, robot control, failure and reliability analysis, etc.</t>
  </si>
  <si>
    <t>solid mechanics, experimental techniques, optical methods, nanotechnology, computer vision, image , data processing, robot control, failure , reliability analysis</t>
  </si>
  <si>
    <t>Sepideh Akbharifar, Ph.D.,</t>
  </si>
  <si>
    <t>05akhbarifar@cua.edu</t>
  </si>
  <si>
    <t>$52,800 per year (full-time)</t>
  </si>
  <si>
    <t>Michelle Bailey, Ph.D.,</t>
  </si>
  <si>
    <t>baileymd@cua.edu</t>
  </si>
  <si>
    <t>Gerard Carroll, Ph.D.,</t>
  </si>
  <si>
    <t>carroll@cua.edu</t>
  </si>
  <si>
    <t>Matthew Guild, Ph.D.,</t>
  </si>
  <si>
    <t>guild@cua.edu</t>
  </si>
  <si>
    <t>Rocco Mennella,</t>
  </si>
  <si>
    <t>mennella@cua.edu</t>
  </si>
  <si>
    <t>Srinidhi Nagaraja, Ph.D.,</t>
  </si>
  <si>
    <t>nagarajas@cua.edu</t>
  </si>
  <si>
    <t>Bruno Sarli, Ph.D.,</t>
  </si>
  <si>
    <t>victorinosarli@cua.edu</t>
  </si>
  <si>
    <t>University of Arkansas--Little Rock (Donaghey)</t>
  </si>
  <si>
    <r>
      <rPr>
        <u/>
        <sz val="10"/>
        <color rgb="FF000000"/>
        <rFont val="Arial"/>
        <family val="2"/>
      </rPr>
      <t>Srikanth B. Pidugu, Ph.D.</t>
    </r>
    <r>
      <rPr>
        <sz val="10"/>
        <color rgb="FF000000"/>
        <rFont val="Arial"/>
        <family val="2"/>
      </rPr>
      <t xml:space="preserve"> (Director)</t>
    </r>
  </si>
  <si>
    <t>sbpidugu@ualr.edu</t>
  </si>
  <si>
    <t>Jin W. Lee, Ph.D.</t>
  </si>
  <si>
    <t>jwlee@ualr.edu</t>
  </si>
  <si>
    <t>Andrew B. Wright, Ph.D.</t>
  </si>
  <si>
    <t>abwright@ualr.edu</t>
  </si>
  <si>
    <t>Lawrence Whitman, Ph.D., P.E.</t>
  </si>
  <si>
    <t>lewhitman@ualr.edu</t>
  </si>
  <si>
    <t>$345 per credit (in-state, full-time)</t>
  </si>
  <si>
    <t>University of Memphis (Herff)</t>
  </si>
  <si>
    <r>
      <rPr>
        <u/>
        <sz val="10"/>
        <color rgb="FF000000"/>
        <rFont val="Arial"/>
        <family val="2"/>
      </rPr>
      <t>Dr. Ali Fatemi</t>
    </r>
    <r>
      <rPr>
        <sz val="10"/>
        <color rgb="FF000000"/>
        <rFont val="Arial"/>
        <family val="2"/>
      </rPr>
      <t xml:space="preserve"> (Department chair)</t>
    </r>
  </si>
  <si>
    <t>afatemi@memphis.edu</t>
  </si>
  <si>
    <t>Fatigue of materials and structures
• Fracture mechanics
• Additive manufacturing
• Mechanical behavior of materials including metals, polymers, and elastomers</t>
  </si>
  <si>
    <t>Fatigue of materials , structures,
Fracture mechanics,
Additive manufacturing,
Mechanical behavior of materials including metals, polymers, elastomers</t>
  </si>
  <si>
    <r>
      <rPr>
        <sz val="10"/>
        <color rgb="FF000000"/>
        <rFont val="Arial"/>
        <family val="2"/>
      </rPr>
      <t>Dr. Daniel Foti</t>
    </r>
    <r>
      <rPr>
        <sz val="10"/>
        <color rgb="FF000000"/>
        <rFont val="Arial"/>
        <family val="2"/>
      </rPr>
      <t xml:space="preserve">
</t>
    </r>
  </si>
  <si>
    <t>dvfoti@memphis.edu</t>
  </si>
  <si>
    <t>Computational Fluid Dynamics
Turbulence
Wind Energy
Computational Science
Uncertainty Quantification</t>
  </si>
  <si>
    <t>Computational Fluid Dynamics,
Turbulence,
Wind Energy,
Computational Science,
Uncertainty Quantification</t>
  </si>
  <si>
    <r>
      <rPr>
        <sz val="10"/>
        <color rgb="FF000000"/>
        <rFont val="Arial"/>
        <family val="2"/>
      </rPr>
      <t>Dr. Yuan Gao</t>
    </r>
    <r>
      <rPr>
        <sz val="10"/>
        <color rgb="FF000000"/>
        <rFont val="Arial"/>
        <family val="2"/>
      </rPr>
      <t xml:space="preserve">
</t>
    </r>
  </si>
  <si>
    <t xml:space="preserve">ygao6@memphis.edu </t>
  </si>
  <si>
    <t>Lab-on-a-Chip
Microfluidics
Microfabrication
Acoustic bubbles
Biomedical devices and applications</t>
  </si>
  <si>
    <t>Lab-on-a-Chip,
Microfluidics,
Microfabrication,
Acoustic bubbles,
Biomedical devices , applications</t>
  </si>
  <si>
    <r>
      <rPr>
        <sz val="10"/>
        <color rgb="FF000000"/>
        <rFont val="Arial"/>
        <family val="2"/>
      </rPr>
      <t>Dr. Ranganathan Gopalakrishnan</t>
    </r>
    <r>
      <rPr>
        <sz val="10"/>
        <color rgb="FF000000"/>
        <rFont val="Arial"/>
        <family val="2"/>
      </rPr>
      <t xml:space="preserve">
</t>
    </r>
  </si>
  <si>
    <t>rgplkrsh@memphis.edu</t>
  </si>
  <si>
    <t xml:space="preserve">Transport processes in gas-phase systems (aerosols, dusty plasmas and ionized gases)
High concentration aerosol generation using ultrasonic dispersion of powders
Aerosol Impact Consolidation method for producing ceramic thin films
</t>
  </si>
  <si>
    <t xml:space="preserve">Transport processes in gas-phase systems,
High concentration aerosol generation using ultrasonic dispersion of powders,
Aerosol Impact Consolidation method for producing ceramic thin films
</t>
  </si>
  <si>
    <t xml:space="preserve">Dr. Yue Guan 
</t>
  </si>
  <si>
    <t>yguan1@memphis.edu</t>
  </si>
  <si>
    <t xml:space="preserve">Dr. Amir Hadadzadeh
</t>
  </si>
  <si>
    <t>hddzadeh@memphis.edu</t>
  </si>
  <si>
    <r>
      <rPr>
        <sz val="10"/>
        <color rgb="FF000000"/>
        <rFont val="Arial"/>
        <family val="2"/>
      </rPr>
      <t>Dr. Alexander Headley</t>
    </r>
    <r>
      <rPr>
        <sz val="10"/>
        <color rgb="FF000000"/>
        <rFont val="Arial"/>
        <family val="2"/>
      </rPr>
      <t xml:space="preserve">
</t>
    </r>
  </si>
  <si>
    <t>jHeadley@memphis.edu</t>
  </si>
  <si>
    <t xml:space="preserve">Dr. Yong Hoon Lee
</t>
  </si>
  <si>
    <t>yhlee@memphis.edu</t>
  </si>
  <si>
    <r>
      <rPr>
        <sz val="10"/>
        <color rgb="FF000000"/>
        <rFont val="Arial"/>
        <family val="2"/>
      </rPr>
      <t>Dr. Gladius Lewis</t>
    </r>
    <r>
      <rPr>
        <sz val="10"/>
        <color rgb="FF000000"/>
        <rFont val="Arial"/>
        <family val="2"/>
      </rPr>
      <t xml:space="preserve">
</t>
    </r>
  </si>
  <si>
    <t>glewis@memphis.edu</t>
  </si>
  <si>
    <t>Biomechanics (models of human joints w/without implants)
Biomaterials (especially acrylic bone cement UHMWPE)
Corrosion and oxidation
Elevated temperature phenomena (creep, fatigue, c-f interaction)</t>
  </si>
  <si>
    <t>Biomechanics,
Biomaterials,
Corrosion , oxidation,
Elevated temperature phenomena</t>
  </si>
  <si>
    <r>
      <rPr>
        <sz val="10"/>
        <color rgb="FF000000"/>
        <rFont val="Arial"/>
        <family val="2"/>
      </rPr>
      <t>Dr. Jeffrey G. Marchetta</t>
    </r>
    <r>
      <rPr>
        <sz val="10"/>
        <color rgb="FF000000"/>
        <rFont val="Arial"/>
        <family val="2"/>
      </rPr>
      <t xml:space="preserve">
</t>
    </r>
  </si>
  <si>
    <t>jmarchtt@memphis.edu</t>
  </si>
  <si>
    <t>Computational Fluid Dynamics 
Microgravity Thermal Fluid Physics
Industrial Energy Assessment
Energy Efficiency and Sustainability</t>
  </si>
  <si>
    <t>Computational Fluid Dynamics 
Microgravity Thermal Fluid Physics
Industrial Energy Assessment
Energy Efficiency , Sustainability</t>
  </si>
  <si>
    <t xml:space="preserve">Dr. Kazi Mahmud Mirza
</t>
  </si>
  <si>
    <t>kmmirza@memphis.edu</t>
  </si>
  <si>
    <t xml:space="preserve">Dr. Reza Molaei
</t>
  </si>
  <si>
    <t>rmolaei@memphis.edu</t>
  </si>
  <si>
    <t>$606 per credit (in-state, full-time)</t>
  </si>
  <si>
    <t xml:space="preserve">Dr. Okenwa Okoli
</t>
  </si>
  <si>
    <t xml:space="preserve">ookoli@memphis.edu </t>
  </si>
  <si>
    <t>University of Tulsa</t>
  </si>
  <si>
    <r>
      <rPr>
        <u/>
        <sz val="10"/>
        <color rgb="FF000000"/>
        <rFont val="Arial"/>
        <family val="2"/>
      </rPr>
      <t>John Henshaw, P.E., PhD</t>
    </r>
    <r>
      <rPr>
        <sz val="10"/>
        <color rgb="FF000000"/>
        <rFont val="Arial"/>
        <family val="2"/>
      </rPr>
      <t xml:space="preserve"> (Chair)</t>
    </r>
  </si>
  <si>
    <t>john-henshaw@utulsa.edu</t>
  </si>
  <si>
    <t>Assistive Products for Persons with Special Needs
Fracture Mechanics
Corrosion
Materials Durability
Failure Analysis</t>
  </si>
  <si>
    <t>Assistive Products for Persons with Special Needs,
Fracture Mechanics,
Corrosion,
Materials Durability,
Failure Analysis</t>
  </si>
  <si>
    <t>Dustin Donnell, MS</t>
  </si>
  <si>
    <t>dustin-donnell@utulsa.edu</t>
  </si>
  <si>
    <t>Manufacturing Systems
Automotive Engineering
Process Flow and Optimization
Drafting and Design</t>
  </si>
  <si>
    <t>Manufacturing Systems,
Automotive Engineering,
Process Flow , Optimization,
Drafting , Design</t>
  </si>
  <si>
    <t>Soroor Karimi</t>
  </si>
  <si>
    <t>sok990@utulsa.edu</t>
  </si>
  <si>
    <t>Michael Keller, PhD</t>
  </si>
  <si>
    <t>michael-keller@utulsa.edu</t>
  </si>
  <si>
    <t>Michael Keller's research focuses primarily on understanding the mechanics of solid and complex materials. He is interested in the characterization and manufacturing of novel multi-functional composite materials. He is particular interested in the development and characterization of materials with autonomic functionality, such as self-healing composites.</t>
  </si>
  <si>
    <t>understanding the mechanics of solid , complex materials,  the characterization , manufacturing of novel multi-functional composite materials</t>
  </si>
  <si>
    <t>William LePage</t>
  </si>
  <si>
    <t>lepage@utulsa.edu</t>
  </si>
  <si>
    <t>LePage leads the Advanced Materials Design Group, whose research focuses on understanding and pioneering stronger and tougher materials through surface engineering and structural mechanics.</t>
  </si>
  <si>
    <t>Advanced Materials Design Group, surface engineering , structural mechanics,</t>
  </si>
  <si>
    <t>Brenton McLaury, PhD</t>
  </si>
  <si>
    <t>brenton-mclaury@utulsa.edu</t>
  </si>
  <si>
    <t>Erosion
Liquid-solid Flows
Gas-liquid-solid Flows
Multiphase Flows</t>
  </si>
  <si>
    <t>Erosion,
Liquid-solid Flows,
Gas-liquid-solid Flows,
Multiphase Flows</t>
  </si>
  <si>
    <t>Ram Mohan, PhD</t>
  </si>
  <si>
    <t>ram-mohan@utulsa.edu</t>
  </si>
  <si>
    <t>Compact Separators
High-pressure Fluid Applications
Oil-water Dispersion Characterization
System Optimization
Instrumentation and Signal Processing
Manufacturing Processes and Systems
Artificial Neural Networks</t>
  </si>
  <si>
    <t>Compact Separators,
High-pressure Fluid Applications,
Oil-water Dispersion Characterization,
System Optimization,
Instrumentation , Signal Processing,
Manufacturing Processes , Systems,
Artificial Neural Networks</t>
  </si>
  <si>
    <t>Marie Moran, MS</t>
  </si>
  <si>
    <t>mkm9142@utulsa.edu</t>
  </si>
  <si>
    <t>Joshua Schultz, PhD</t>
  </si>
  <si>
    <t>joshua-schultz@utulsa.edu</t>
  </si>
  <si>
    <t>Anthropomorphic Robotic Hands
Robotic Grasping and Dexterous Manipulation
System Dynamics of Biologically-inspired Systems
Modeling and Control of Discretized Muscle-like
Actuators
Soft robotics
Rehabilitation Robotics</t>
  </si>
  <si>
    <t>Anthropomorphic Robotic,
Robotic Grasping , Dexterous Manipulation,
System Dynamics of Biologically-inspired Systems,
Modeling , Control of Discretized Muscle-like,
Actuators,
Soft robotics,
Rehabilitation Robotics</t>
  </si>
  <si>
    <t>Siamack Shirazi, PhD</t>
  </si>
  <si>
    <t>siamack-shirazi@utulsa.edu</t>
  </si>
  <si>
    <t>Erosion/Corrosion
Multiphase Flow
Turbulent Flow of Multiphase Flow
Computational Fluid Dynamics of Multiphase Flow
Sand Monitoring and Transport
Erosion of Materials
Pipes and Equipment
PIV and LDV Measurements of Particle Velocities</t>
  </si>
  <si>
    <t>Erosion/Corrosion,
Multiphase Flow,
Turbulent Flow of Multiphase Flow,
Computational Fluid Dynamics of Multiphase Flow,
S, Monitoring , Transport,
Erosion of Materials,
Pipes , Equipment,
PIV , LDV Measurements of Particle Velocities</t>
  </si>
  <si>
    <t>Steven Tipton, PhD, PE, FASM, FASME</t>
  </si>
  <si>
    <t>smt@utulsa.edu</t>
  </si>
  <si>
    <t>Fatigue and Fracture Mechanics
Plasticity
Residual Stress Analysis
Structural Integrity Analysis
Materials
Coiled Tubing Mechanics</t>
  </si>
  <si>
    <t>Fatigue , Fracture Mechanics,
Plasticity,
Residual Stress Analysis,
Structural Integrity Analysis,
Materials,
Coiled Tubing Mechanics</t>
  </si>
  <si>
    <t>$1,389 per credit (full-time)</t>
  </si>
  <si>
    <t>Western Michigan University</t>
  </si>
  <si>
    <r>
      <rPr>
        <u/>
        <sz val="10"/>
        <color rgb="FF000000"/>
        <rFont val="Arial"/>
        <family val="2"/>
      </rPr>
      <t>William Liou</t>
    </r>
    <r>
      <rPr>
        <sz val="10"/>
        <color rgb="FF000000"/>
        <rFont val="Arial"/>
        <family val="2"/>
      </rPr>
      <t xml:space="preserve"> (Chair)</t>
    </r>
  </si>
  <si>
    <t>William.Liou@med.wmich.edu</t>
  </si>
  <si>
    <t>Computational Biofluid Mechanics of Cerebrospinal and Cardiovascular Flow Systems
Stability, Transition, and Turbulent Flow Simulations
Computational Fluid Dynamics and Aerodynamics</t>
  </si>
  <si>
    <t>Computational Biofluid Mechanics of Cerebrospinal , Cardiovascular Flow Systems,
Stability, Transition, Turbulent Flow Simulations,
Computational Fluid Dynamics , Aerodynamics</t>
  </si>
  <si>
    <t>Judah Ari-Gur</t>
  </si>
  <si>
    <t>Judah.Ari-Gur@med.wmich.edu</t>
  </si>
  <si>
    <t>Structural dynamics
Composite material structures
Finite-element modeling</t>
  </si>
  <si>
    <t>Structural dynamics,
Composite material structures,
Finite-element modeling</t>
  </si>
  <si>
    <t>Pnina Ari-Gur</t>
  </si>
  <si>
    <t>Pnina.Ari-Gur@med.wmich.edu</t>
  </si>
  <si>
    <t>Advanced Material Science
Nano-composites
Smart materials</t>
  </si>
  <si>
    <t>Advanced Material Science,
Nano-composites,
Smart materials</t>
  </si>
  <si>
    <t>Zachary D. Asher</t>
  </si>
  <si>
    <t>Zachary.Asher@med.wmich.edu</t>
  </si>
  <si>
    <t>Creating cutting-edge autonomous vehicle research initiatives including safe operation in inclement weather, infrastructure-based sensing, quantitative operational resilience, and energy efficiency
Establishing new high-quality education initiatives for autonomous vehicle workforce development
Commercialization focus through collaboration with the WMU Haworth College of Business and Revision Autonomy.</t>
  </si>
  <si>
    <t>Creating cutting-edge autonomous vehicle research initiatives including safe operation in inclement weather, infrastructure-based sensing, quantitative operational resilience, energy efficiency,
Establishing new high-quality education initiatives for autonomous vehicle workforce development,
Commercialization focus through collaboration with the WMU Haworth College of Business , Revision Autonomy,</t>
  </si>
  <si>
    <t>Chris Cho</t>
  </si>
  <si>
    <t>Chris.Cho@med.wmich.edu</t>
  </si>
  <si>
    <t>Two phase flow
Laser doppler anemometry
Thermal fluid measurements</t>
  </si>
  <si>
    <t>Two phase flow,
Laser doppler anemometry,
Thermal fluid measurements</t>
  </si>
  <si>
    <t>Claudia Fajardo</t>
  </si>
  <si>
    <t>Claudia.Fajardo@med.wmich.edu</t>
  </si>
  <si>
    <t>Turbulence and combustion
Non-intrusive diagnostics
Energy conversion systems</t>
  </si>
  <si>
    <t>Turbulence , combustion,
Non-intrusive diagnostics,
Energy conversion systems</t>
  </si>
  <si>
    <t>Muralidhar Ghantasala</t>
  </si>
  <si>
    <t>Muralidhar.Ghantasala@med.wmich.edu</t>
  </si>
  <si>
    <t xml:space="preserve">Micro/Nano sensors and actuators
Microfluidics
Micro/Nano fabrication and replication
</t>
  </si>
  <si>
    <t xml:space="preserve">Micro/Nano sensors , actuators,
Microfluidics,
Micro/Nano fabrication , replication
</t>
  </si>
  <si>
    <t>Peter Gustafson</t>
  </si>
  <si>
    <t>Peter.Gustafson@med.wmich.edu</t>
  </si>
  <si>
    <t>Finite Element Modeling, Multi-Scale Methods, and Machine Learning
Aerospace Structures and Composite Materials
Biomechanics, Tissue Mechanics, and Medical Devices</t>
  </si>
  <si>
    <t>Finite Element Modeling, Multi-Scale Methods, Machine Learning,
Aerospace Structures , Composite Materials,
Biomechanics, Tissue Mechanics, Medical Devices</t>
  </si>
  <si>
    <t>Jinseok Kim</t>
  </si>
  <si>
    <t>Jinseok.Kim@med.wmich.edu</t>
  </si>
  <si>
    <t>Computational solid mechanics (Finite element method)
Non-local mechanics
Plate and shell theories</t>
  </si>
  <si>
    <t>Computational solid mechanics,
Non-local mechanics,
Plate , shell theories</t>
  </si>
  <si>
    <t>Daniel Kujawski</t>
  </si>
  <si>
    <t>Daniel.Kujawski@med.wmich.edu</t>
  </si>
  <si>
    <t>Computer-aided testing (CAT) of metals and composites
Cyclic behavior, fatigue, and fracture testing and modeling
Damage characterization under low and high-cycle fatigue</t>
  </si>
  <si>
    <t>Computer-aided testing (CAT) of metals , composites,
Cyclic behavior, fatigue, fracture testing , modeling,
Damage characterization under low , high-cycle fatigue</t>
  </si>
  <si>
    <t>Hosung Lee</t>
  </si>
  <si>
    <t>Hosung.Lee@med.wmich.edu</t>
  </si>
  <si>
    <t>Thermal design
Heat transfer</t>
  </si>
  <si>
    <t>Thermal design,
Heat transfer</t>
  </si>
  <si>
    <t>Kristina Lemmer</t>
  </si>
  <si>
    <t>Kristina.Lemmer@med.wmich.edu</t>
  </si>
  <si>
    <t>xperimental Plasmadynamics
Advanced spacecraft propulsion and electric propulsion
Plasma diagnostic development</t>
  </si>
  <si>
    <t>xperimental Plasmadynamics,
Advanced spacecraft propulsion , electric propulsion,
Plasma diagnostic development</t>
  </si>
  <si>
    <t>$17,539 per year (in-state, full-time)</t>
  </si>
  <si>
    <t>Tianshu Liu</t>
  </si>
  <si>
    <t>Tianshu.Liu@med.wmich.edu</t>
  </si>
  <si>
    <t>Aerodynamics
Fluid mechanics
Heat transfer</t>
  </si>
  <si>
    <t>Aerodynamics,
Fluid mechanics,
Heat transfer</t>
  </si>
  <si>
    <t>Parviz Merati</t>
  </si>
  <si>
    <t>Parviz.Merati@med.wmich.edu</t>
  </si>
  <si>
    <t>Experimental and computational fluid mechanics
Tribology
Heat transfer</t>
  </si>
  <si>
    <t>Experimental , computational fluid mechanics,
Tribology,
Heat transfer</t>
  </si>
  <si>
    <t>Rick Meyer</t>
  </si>
  <si>
    <t>Rick.Meyer@med.wmich.edu</t>
  </si>
  <si>
    <t>System modeling for control
Optimal control theory
Hybrid systems</t>
  </si>
  <si>
    <t>System modeling for control,
Optimal control theory,
Hybrid systems</t>
  </si>
  <si>
    <t>Javier Montefort</t>
  </si>
  <si>
    <t>Javier.Montefort@med.wmich.edu</t>
  </si>
  <si>
    <t>Kapseong Ro</t>
  </si>
  <si>
    <r>
      <rPr>
        <u/>
        <sz val="10"/>
        <color rgb="FF1155CC"/>
        <rFont val="Arial"/>
        <family val="2"/>
      </rPr>
      <t>Kapseong.Ro</t>
    </r>
    <r>
      <rPr>
        <sz val="10"/>
        <color rgb="FF000000"/>
        <rFont val="Arial"/>
        <family val="2"/>
      </rPr>
      <t>@med.wmich.edu</t>
    </r>
  </si>
  <si>
    <t>Aircraft flight dynamics and control
Unmanned aerial vehicle (UAV)
Application of aerospace technologies to civil transportation</t>
  </si>
  <si>
    <t>Aircraft flight dynamics , control,
Unmanned aerial vehicle (UAV),
Application of aerospace technologies to civil transportation</t>
  </si>
  <si>
    <t>Shrabanti Roy</t>
  </si>
  <si>
    <t>Shrabanti.Roy@med.wmich.edu</t>
  </si>
  <si>
    <t>●        Detailed Mechanism Generation and Reduction
●        Chemical Kinetics
●        Computational Fluid Dynamics
●        Renewable Energy
●        Alternative Fuels</t>
  </si>
  <si>
    <t>Detailed Mechanism Generation , Reduction,
Chemical Kinetics,
Computational Fluid Dynamics,
Renewable Energy,
Alternative Fuels</t>
  </si>
  <si>
    <t>Bade Shrestha</t>
  </si>
  <si>
    <t>Bade.Shrestha@med.wmich.edu</t>
  </si>
  <si>
    <t>Energy economics and policy
Alternative energy and hydrogen
Alternative fuel combustion
Advanced internal combustion engines
Fuel cells and lithium ion batteries
Renewable and sustainable energy development
Combustion, flammability limits, reacting flows
Scramjets</t>
  </si>
  <si>
    <t>Energy economics , policy,
Alternative energy , hydrogen,
Alternative fuel combustion,
Advanced internal combustion engines,
Fuel cells , lithium ion batteries,
Renewable , sustainable energy development,
Combustion, flammability limits, reacting flows,
Scramjets</t>
  </si>
  <si>
    <t>Lamar University</t>
  </si>
  <si>
    <r>
      <rPr>
        <u/>
        <sz val="10"/>
        <color rgb="FF000000"/>
        <rFont val="Arial"/>
        <family val="2"/>
      </rPr>
      <t>Mansour Karkoub, Ph.D., HDR, PE, F-ASME, F-IET</t>
    </r>
    <r>
      <rPr>
        <sz val="10"/>
        <color rgb="FF000000"/>
        <rFont val="Arial"/>
        <family val="2"/>
      </rPr>
      <t xml:space="preserve"> (Chair)</t>
    </r>
  </si>
  <si>
    <t>mkarkoub@lamar.edu</t>
  </si>
  <si>
    <t>Research Robust Control, Robotics, Autonomous Vehicles</t>
  </si>
  <si>
    <t>Robust Control, Robotics, Autonomous Vehicles</t>
  </si>
  <si>
    <t>Jenny Zhou, Ph.D.</t>
  </si>
  <si>
    <t>jenny.zhou@lamar.edu</t>
  </si>
  <si>
    <t>RPlant Biomechanics, Multi-Scale Modeling, Engineering Education Research</t>
  </si>
  <si>
    <t>Plant Biomechanics, Multi-Scale Modeling, Engineering Education Research</t>
  </si>
  <si>
    <t>XuejunFan, Ph.D.</t>
  </si>
  <si>
    <t>xuejun.fan@lamar.edu</t>
  </si>
  <si>
    <t>Research Multi-Physics/Scale Modeling, Characterization and Reliability in Electronics Packaging</t>
  </si>
  <si>
    <t>Multi-Physics/Scale Modeling, Characterization , Reliability in Electronics Packaging</t>
  </si>
  <si>
    <t>Xianchang Li, Ph.D.</t>
  </si>
  <si>
    <t>xianchang.li@lamar.edu</t>
  </si>
  <si>
    <t>Research Gas Turbine Blade Cooling, Combustion and Emissions, Combustion Efficiency and Emissions Flares</t>
  </si>
  <si>
    <t>Gas Turbine Blade Cooling, Combustion , Emissions, Combustion Efficiency , Emissions Flares</t>
  </si>
  <si>
    <t>Chun-Wei Yao, Ph.D.</t>
  </si>
  <si>
    <t>cyao@lamar.edu</t>
  </si>
  <si>
    <t>Research Hydrophobic Coating, Microdroplets, Anti-Corrosion Coating, Surface Engineering</t>
  </si>
  <si>
    <t>Hydrophobic Coating, Microdroplets, Anti-Corrosion Coating, Surface Engineering</t>
  </si>
  <si>
    <t>Ping He, Ph.D.</t>
  </si>
  <si>
    <t>phe@lamar.edu</t>
  </si>
  <si>
    <t>Research Computational research on supercritical fluids, wetting phenomena, multiphase, multiphysics fluid flows</t>
  </si>
  <si>
    <t>Computational research on supercritical fluids, wetting phenomena, multiphase, multiphysics fluid flows</t>
  </si>
  <si>
    <t>Zhe Fan, Ph.D.</t>
  </si>
  <si>
    <t>zfan2@lamar.edu</t>
  </si>
  <si>
    <t>Research Mechanical properties and deformation mechanics of materials at bulk and nano-scale, Microstructure characterization</t>
  </si>
  <si>
    <t>Mechanical properties , deformation mechanics of materials at bulk , nano-scale, Microstructure characterization</t>
  </si>
  <si>
    <t>Sushil Doranga, Ph.D.</t>
  </si>
  <si>
    <t>sdoranga@lamar.edu</t>
  </si>
  <si>
    <t>Research Force Reconstruction in a Dynamic System, Nonlinear Structural Dynamics, Inverse Problem Modeling</t>
  </si>
  <si>
    <t>Force Reconstruction in a Dynamic System, Nonlinear Structural Dynamics, Inverse Problem Modeling</t>
  </si>
  <si>
    <t>Denizhan Yavas, Ph.D.</t>
  </si>
  <si>
    <t xml:space="preserve">dyavas@lamar.edu
</t>
  </si>
  <si>
    <t>Research interfacial fracture mechanics, failure of additively manufactured materials, mechanical characterization</t>
  </si>
  <si>
    <t>interfacial fracture mechanics, failure of additively manufactured materials, mechanical characterization</t>
  </si>
  <si>
    <t>$6,471 per year (in-state, full-time)</t>
  </si>
  <si>
    <t>Lawrence Technological University</t>
  </si>
  <si>
    <t>Mechanical, Robotics, Industrial Engineering</t>
  </si>
  <si>
    <t>#175 - Mechanical Engineering</t>
  </si>
  <si>
    <t>$18,774 per year (full-time)</t>
  </si>
  <si>
    <t>New Mexico Institute of Mining and Technology</t>
  </si>
  <si>
    <r>
      <rPr>
        <u/>
        <sz val="10"/>
        <color rgb="FF000000"/>
        <rFont val="Arial"/>
        <family val="2"/>
      </rPr>
      <t>Seokbin Lim, PhD</t>
    </r>
    <r>
      <rPr>
        <sz val="10"/>
        <color rgb="FF000000"/>
        <rFont val="Arial"/>
        <family val="2"/>
      </rPr>
      <t xml:space="preserve"> (Department Chair)</t>
    </r>
  </si>
  <si>
    <t>bin.lim@nmt.edu</t>
  </si>
  <si>
    <t>Energetic material science/technology/safety
Shock/Tension physics
Computational modeling
Design of energetic-mechanical systems
Mechanics of detonation gas
Shaped charges (CSCs and LSCs)
EFPs</t>
  </si>
  <si>
    <t>Energetic material science/technology/safety,
Shock/Tension physics,
Computational modeling,
Design of energetic-mechanical systems,
Mechanics of detonation gas,
Shaped charges (CSCs , LSCs),
EFPs,</t>
  </si>
  <si>
    <t>Sayavur Bakhtiyarov, PhD</t>
  </si>
  <si>
    <t>sayavur.bakhtiyarov@nmt.edu</t>
  </si>
  <si>
    <t>Non-Newtonian fluid mechanics
Rheology
Nanotechnology
Ionic space lubricants
Turbulent flows</t>
  </si>
  <si>
    <t>Non-Newtonian fluid mechanics,
Rheology,
Nanotechnology,
Ionic space lubricants,
Turbulent flows</t>
  </si>
  <si>
    <t>Julie Ford, PhD</t>
  </si>
  <si>
    <t>julie.ford@nmt.edu</t>
  </si>
  <si>
    <t>Knowledge Transfer
Engineering Design
Leadership
Technical Communication Pedagogy</t>
  </si>
  <si>
    <t>Knowledge Transfer,
Engineering Design,
Leadership,
Technical Communication Pedagogy</t>
  </si>
  <si>
    <t>Ashok Ghosh, PhD, PE</t>
  </si>
  <si>
    <t>ashok.ghosh@nmt.edu</t>
  </si>
  <si>
    <t xml:space="preserve">Mechanics of Fluid-filled Multifunctional Composites and their Applications in Engineering
</t>
  </si>
  <si>
    <t>Mechanics of Fluid-filled Multifunctional Composites , their Applications in Engineering</t>
  </si>
  <si>
    <t>Michael Hargather, PhD</t>
  </si>
  <si>
    <t>michael.hargather@nmt.edu</t>
  </si>
  <si>
    <t xml:space="preserve">Dr. Hargather's research group, the NMT Shock and Gas Dynamics Laboratory (SGDL), performs research on a variety of thermal-fluid dynamics topics while educating graduate and undergraduate students. Dr. Hargather's RPhilosophy is to perform high-quality, cutting-edge research while educating students in the RProcess, including the design of experiments, data collection and analysis, research sponsor interaction and technical writing.
</t>
  </si>
  <si>
    <t>Adjunct P1</t>
  </si>
  <si>
    <t xml:space="preserve">high-quality, cutting-edge research while educating students in the RProcess, including the design of experiments, data collection , analysis, research sponsor interaction , technical writing
</t>
  </si>
  <si>
    <t>Mostafa Hassanalian, PhD</t>
  </si>
  <si>
    <t>mostafa.hassanalian@nmt.edu</t>
  </si>
  <si>
    <t>Biomimetics, and Bio-Inspired Aerial and Aquatic Robots
Design, Optimization, and Performance Enhancement of Aerial Vehicles,
Drones (UAV/MAV/NAV/PAV) Fixed Wings, Flapping Wings, Rotary Wings, Tilt-Rotor and Tilt-Wing Drones, Morphing Drones, Space and Marine Drones, Separation and Swarming Flight of Micro Drones.
New Concepts for Planetary and Space Exploration
Aerodynamics, Hydrodynamics, Aeroelasticity, Fluid-Structure Interaction</t>
  </si>
  <si>
    <t>Biomimetics, Bio-Inspired Aerial , Aquatic Robots,
Design, Optimization, Performance Enhancement of Aerial Vehicles,
Drones (UAV/MAV/NAV/PAV) Fixed Wings, Flapping Wings, Rotary Wings, Tilt-Rotor , Tilt-Wing Drones, Morphing Drones, Space , Marine Drones, Separation , Swarming Flight of Micro Drones,
New Concepts for Planetary , Space Exploration,
Aerodynamics, Hydrodynamics, Aeroelasticity, Fluid-Structure Interaction</t>
  </si>
  <si>
    <t>Jamie Kimberley, PhD</t>
  </si>
  <si>
    <t>jamie.kimberley@nmt.edu</t>
  </si>
  <si>
    <t>Solid Mechanics
High Strain-rate Mechanical Testing
Impact
Dynamic Failure/Fracture</t>
  </si>
  <si>
    <t>Solid Mechanics,
High Strain-rate Mechanical Testing,
Dynamic Failure/Fracture</t>
  </si>
  <si>
    <t>Kooktae Lee, PhD</t>
  </si>
  <si>
    <t>kooktae.lee@nmt.edu</t>
  </si>
  <si>
    <t>Uncertainty analysis of networked control systems
Design and optimization of robotics applications such as UAVs
Analysis and implementation of asynchronous algorithm
Multi-objective optimization</t>
  </si>
  <si>
    <t>Uncertainty analysis of networked control systems,
Design , optimization of robotics applications such as UAVs,
Analysis , implementation of asynchronous algorithm,
Multi-objective optimization</t>
  </si>
  <si>
    <t>Curtis O'Malley, PhD</t>
  </si>
  <si>
    <t>curtis.o'malley@nmt.edu</t>
  </si>
  <si>
    <t xml:space="preserve">Solid Mechanics
Mechanical System Design
Computational Model Validation
Vibrational and Model Testing
</t>
  </si>
  <si>
    <t xml:space="preserve">Solid Mechanics,
Mechanical System Design,
Computational Model Validation,
Vibrational , Model Testing
</t>
  </si>
  <si>
    <t>Donghyeon Ryu, PhD, PE</t>
  </si>
  <si>
    <t>donghyeon.ryu@nmt.edu</t>
  </si>
  <si>
    <t>Multifunctional Materials
Advanced Manufacturing
Structural Health Monitoring
Sensor Technologies
Energy Harvesting
Health Monitoring Wearables
Technology EntrepreneurshiPand Commercialization</t>
  </si>
  <si>
    <t>Multifunctional Materials,
Advanced Manufacturing,
Structural Health Monitoring,
Sensor Technologies,
Energy Harvesting,
Health Monitoring Wearables,
Technology EntrepreneurshiP, Commercialization</t>
  </si>
  <si>
    <t>Tie Wei, PhD</t>
  </si>
  <si>
    <t>tie.wei@nmt.edu</t>
  </si>
  <si>
    <t>Computational fluid dynamics and heat transfer
Wind energy
Atmospheric boundary layer flows
Flow instability
Turbulence</t>
  </si>
  <si>
    <t>Computational fluid dynamics , heat transfer,
Wind energy,
Atmospheric boundary layer flows,
Flow instability,
Turbulence</t>
  </si>
  <si>
    <t>Andrei Zagrai, PhD</t>
  </si>
  <si>
    <t>andrei.zagrai@nmt.edu</t>
  </si>
  <si>
    <t>Space systems and structures design and practical realization of condition monitoring solutions for space systems, real-time SHM of satellites, spacecrafts and other space vehicles, spacecraft assembly, pre-launch, launch, in-space, and re-entry diagnosis, structural integrity aspects in commercial space transportation, mechanical engineering of space systems. 
Sensors and structural health monitoring (SHM) active and passive technologies for structural monitoring, structural analysis and condition assessment, detection and evaluation of incipient structural/material damage, exploiting the damage-induced material nonlinearity as a diagnostic feature, material characterization, structural identification and damage features extraction algorithms HHT, correlation analysis, statistical data processing and neural networks applications. 
Intelligent systems, structures, and mechanisms analysis and design of the smart/intelligent/adaptronic structures and mechanisms incorporating active materials, smart controls and embedded intelligence, Mechatronics, networks of sensors and actuators for global and local sensing methodologies, artificial intelligence decision support for sensor networks. 
Structural dynamics vibration of discrete, continuous, and complex structures, modeling of the multi-scale structural nonlinearities, dynamics of complex structural systems interacting with granular medium (soil, sand), linear and nonlinear wave propagation in solids, liquids and gases, contribution of the nano-micro-meso scale phenomena into the structural dynamic response.</t>
  </si>
  <si>
    <t>Space systems , structures design , practical realization of condition monitoring solutions for space systems, real-time SHM of satellites, spacecrafts , other space vehicles, spacecraft assembly, pre-launch, launch, in-space, re-entry diagnosis, structural integrity aspects in commercial space transportation, mechanical engineering of space systems</t>
  </si>
  <si>
    <t>$8,005 per year (in-state, full-time)</t>
  </si>
  <si>
    <t>Oakland University</t>
  </si>
  <si>
    <r>
      <rPr>
        <u/>
        <sz val="10"/>
        <color rgb="FF000000"/>
        <rFont val="Arial"/>
        <family val="2"/>
      </rPr>
      <t>Brian P. Sangeorzan, Ph.D.</t>
    </r>
    <r>
      <rPr>
        <sz val="10"/>
        <color rgb="FF000000"/>
        <rFont val="Arial"/>
        <family val="2"/>
      </rPr>
      <t xml:space="preserve"> (Chair)</t>
    </r>
  </si>
  <si>
    <t>bsangeor@oakland.edu</t>
  </si>
  <si>
    <t xml:space="preserve">Internal Combustion Engines
Heat Transfer and Fluid Mechanics in Thermal Systems
Thermal System Modeling
Instrumentation and Optical Diagnostics
High-Speed Motion Photography
</t>
  </si>
  <si>
    <t xml:space="preserve">Internal Combustion Engines,
Heat Transfer , Fluid Mechanics in Thermal Systems,
Thermal System Modeling,
Instrumentation , Optical Diagnostics,
High-Speed Motion Photography
</t>
  </si>
  <si>
    <t>Gary Barber, Ph.D.</t>
  </si>
  <si>
    <t>barber@oakland.edu</t>
  </si>
  <si>
    <t xml:space="preserve">Director, Automotive Tribology Center
Tribology of Engine Cylinder Kits
Engine Valve Wear
Effect of Tool Wear on the Surface Topography of Machined Surfaces
</t>
  </si>
  <si>
    <t xml:space="preserve">Director, Automotive Tribology Center,
Tribology of Engine Cylinder Kits,
Engine Valve Wear,
Effect of Tool Wear on the Surface Topography of Machined Surfaces
</t>
  </si>
  <si>
    <t>Sarah Beetham, Ph.D.</t>
  </si>
  <si>
    <t>sbeetham@oakland.edu</t>
  </si>
  <si>
    <t>Yin-ping (Daniel) Chang, Ph.D.</t>
  </si>
  <si>
    <t>ychang@oakland.edu</t>
  </si>
  <si>
    <t>Vehicle Dynamics
Tire/Terrain Mechanics
NVH
Vibrations
Controls
Kinematics and Mechanisms
Machine Design
Solid Mechanics
Finite Element Analysis
Multi-Body Contact-Impact modeling
Optimization</t>
  </si>
  <si>
    <t>Vehicle Dynamics,
Tire/Terrain Mechanics,
NVH,
Vibrations,
Controls,
Kinematics , Mechanisms,
Machine Design,
Solid Mechanics,
Finite Element Analysis,
Multi-Body Contact-Impact modeling,
Optimization</t>
  </si>
  <si>
    <t>Christopher Cooley, Ph.D.</t>
  </si>
  <si>
    <t>cooley@oakland.edu</t>
  </si>
  <si>
    <t>Dan DelVescovo, Ph.D.</t>
  </si>
  <si>
    <t>delvescovo@oakland.edu</t>
  </si>
  <si>
    <t>Internal Combustion Engines
Advanced Combustion Strategies
Alternative Fuel Sources
Engine and Combustion Modeling
Chemical Kinetics</t>
  </si>
  <si>
    <t>Internal Combustion Engines,
Advanced Combustion Strategies,
Alternative Fuel Sources,
Engine , Combustion Modeling,
Chemical Kinetics</t>
  </si>
  <si>
    <t>Marco Gerini-Romagnoli, Ph.D.</t>
  </si>
  <si>
    <t>geriniromagnoli@oakland.edu</t>
  </si>
  <si>
    <t>Sergey F. Golovashchenko, Ph.D.</t>
  </si>
  <si>
    <t>golovash@oakland.edu</t>
  </si>
  <si>
    <t xml:space="preserve">Innovative technologies of sheet metal forming and joining enabling substantial weight savings for automotive industry including high velocity forming and welding methods.
</t>
  </si>
  <si>
    <t>Innovative technologies of sheet metal forming , joining enabling substantial weight savings for automotive industry including high velocity forming , welding methods</t>
  </si>
  <si>
    <t>Randy J. Gu, Ph.D.</t>
  </si>
  <si>
    <t>gu@oakland.edu</t>
  </si>
  <si>
    <t>Finite Element Applications
Mechanical Computer-Aided Engineering
Experimental/Theoretical Studies of Contact Problems
Material Behavior Modeling
Inverse Problems</t>
  </si>
  <si>
    <t>Finite Element Applications,
Mechanical Computer-Aided Engineering,
Experimental/Theoretical Studies of Contact Problems,
Material Behavior Modeling,
Inverse Problems</t>
  </si>
  <si>
    <t>Laila Guessous, Ph.D.</t>
  </si>
  <si>
    <t>Guessous@oakland.edu</t>
  </si>
  <si>
    <t>Computational fluid dynamics and computational heat transfer
Wind turbine farm layouts using Spectral Element Methods
Conjugate heat transfer numerical simulations
Multiphase flow simulations of piston oil jet cooling</t>
  </si>
  <si>
    <t>Computational fluid dynamics , computational heat transfer,
Wind turbine farm layouts using Spectral Element Methods,
Conjugate heat transfer numerical simulations,
Multiphase flow simulations of piston oil jet cooling</t>
  </si>
  <si>
    <t>Christopher J. Kobus, Ph.D.</t>
  </si>
  <si>
    <t>cjkobus@oakland.edu</t>
  </si>
  <si>
    <t>Clean Energy Applied Research
Energy Efficiency, Energy Management, Transient and Unstable Behavior in Two-Phase Evaporating and Condensing Flow
Single and Multitube Systems
Combined Forced and Natural Convective Heat Transfer
Boundary Layer Theory
Analytical and Experimental Techniques Associated with Steady-State and Time Varying Fluid and Thermal Systems, Components, and Processes</t>
  </si>
  <si>
    <t>Clean Energy Applied Research,
Energy Efficiency, Energy Management, Transient , Unstable Behavior in Two-Phase Evaporating , Condensing Flow,
Single , Multitube Systems,
Combined Forced , Natural Convective Heat Transfer,
Boundary Layer Theory,
Analytical , Experimental Techniques Associated with Steady-State , Time Varying Fluid , Thermal Systems, Components, Processes</t>
  </si>
  <si>
    <t>Michael A. Latcha, Ph.D.</t>
  </si>
  <si>
    <t>latcha@oakland.edu</t>
  </si>
  <si>
    <t>Modeling, analysis, simulation and fabrication of electro-mechanical
systems
Numerical methods, computational mechanics
Modeling of multi-body dynamic systems
Structural, numerical and visco-thermal acoustics</t>
  </si>
  <si>
    <t>Modeling, analysis, simulation , fabrication of electro-mechanical
systems
Numerical methods, computational mechanics
Modeling of multi-body dynamic systems
Structural, numerical , visco-thermal acoustics</t>
  </si>
  <si>
    <t>$834 per credit (in-state, full-time)</t>
  </si>
  <si>
    <t>Jonathan Maisonneuve, Ph.D.</t>
  </si>
  <si>
    <t>maisonneuve@oakland.edu</t>
  </si>
  <si>
    <t>Membrane Processes
• Renewable Energy
• Water and Desalination
• CO2 and Gas Separation</t>
  </si>
  <si>
    <t>Membrane Processes,
Renewable Energy,
Water , Desalination,
CO2 , Gas Separation</t>
  </si>
  <si>
    <t>Ryan Monroe, Ph.D.</t>
  </si>
  <si>
    <t>ryanmonroe@oakland.edu</t>
  </si>
  <si>
    <t>Next-generation automotive and military vehicle design, simulation, and control
-Nonlinear dynamics and vibrations
-Psychoacoustics
-Applications include automotive drive and sound quality, electrified powertrains, vibration absorbers for rotating machinery, aerospace vehicle launch dynamics</t>
  </si>
  <si>
    <t>Next-generation automotive , military vehicle design, simulation, control,
-Nonlinear dynamics , vibrations,
-Psychoacoustics,
-Applications include automotive drive , sound quality, electrified powertrains, vibration absorbers for rotating machinery, aerospace vehicle launch dynamics</t>
  </si>
  <si>
    <t>Zissimos P. Mourelatos, Ph.D.</t>
  </si>
  <si>
    <t>mourelat@oakland.edu</t>
  </si>
  <si>
    <t>Design and Decision Making under Uncertainty,
Reliability, Safety and Quality
Probabilistic Methods
Reliability-Based Design Optimization
Model Validation and Verification
Design Optimization of Large-Scale Vibratory Systems
Random Vibrations
Noise, Vibration and Harshness (NVH)
Bearing Lubrication
I.C. Engine Dynamics</t>
  </si>
  <si>
    <t>Design , Decision Making under Uncertainty,
Reliability, Safety , Quality,
Probabilistic Methods,
Reliability-Based Design Optimization,
Model Validation , Verification,
Design Optimization of Large-Scale Vibratory Systems,
R,om Vibrations,
Noise, Vibration , Harshness (NVH),
Bearing Lubrication,
I,C, Engine Dynamics</t>
  </si>
  <si>
    <t>Sayed A. Nassar, Ph.D.</t>
  </si>
  <si>
    <t>nassar@oakland.edu</t>
  </si>
  <si>
    <t xml:space="preserve">Joining of materials, fasteners and bolted Joint, vibration-induced loosening
of threaded fasteners, lightweight materials and composite joins, damage
modeling.
</t>
  </si>
  <si>
    <t xml:space="preserve">Joining of materials, fasteners , bolted Joint, vibration-induced loosening,
of threaded fasteners, lightweight materials , composite joins, damage,
modeling,
</t>
  </si>
  <si>
    <t>Xia Wang, Ph.D.P</t>
  </si>
  <si>
    <t>wang@oakland.edu</t>
  </si>
  <si>
    <t>Modeling proton exchange membrane fuel cells and Li-ion batteries
Characterizing thermal properties of Li-ion batteries
Optimizing charging strategy for Li-ion batteries</t>
  </si>
  <si>
    <t>Modeling proton exchange membrane fuel cells , Li-ion batteries,
Characterizing thermal properties of Li-ion batteries,
Optimizing charging strategy for Li-ion batteries</t>
  </si>
  <si>
    <t>Ankun Yang, Ph.D.</t>
  </si>
  <si>
    <t>ankunyang@oakland.edu</t>
  </si>
  <si>
    <t>High energy-density battery Li-S electrochemistry
• In-situ and operando characterization techniques and testing methods for energy materials
• Advanced manufacturing of energy materials
• Energy-efficient materials and devices photonics, 2D materials, thermal management</t>
  </si>
  <si>
    <t>High energy-density battery Li-S electrochemistry,
In-situ , oper,o characterization techniques , testing methods for energy materials,
Advanced manufacturing of energy materials,
Energy-efficient materials , devices photonics, 2D materials, thermal management</t>
  </si>
  <si>
    <t>LianXiang Yang, Ph.D.</t>
  </si>
  <si>
    <t>yang2@oakland.edu</t>
  </si>
  <si>
    <t>Development and application of advanced optical techniques for solving engineering problems. The research focuses on optical metrology, experimental strain/stress analysis, nondestructive testing and material evaluation, vibration measurement and analysis for design validation and optimization.</t>
  </si>
  <si>
    <t>Development , application of advanced optical techniques for solving engineering problems, optical metrology, experimental strain/stress analysis, nondestructive testing , material evaluation, vibration measurement, analysis for design validation , optimization</t>
  </si>
  <si>
    <t>Yongsoon Yoon, Ph.D.</t>
  </si>
  <si>
    <t>yongsoonyoon@oakland.edu</t>
  </si>
  <si>
    <t>Portland State University (Maseeh)</t>
  </si>
  <si>
    <t>Raúl Bayoán Cal</t>
  </si>
  <si>
    <t>rcal@pdx.edu
503-725-2992
EB 402N</t>
  </si>
  <si>
    <t>Thermal &amp; Fluid Science</t>
  </si>
  <si>
    <t>Thermal, Fluid Science</t>
  </si>
  <si>
    <t>Ilke Celik</t>
  </si>
  <si>
    <t>ilke@pdx.edu
507-725-xxxx
EB 301K</t>
  </si>
  <si>
    <t>Her s are developing sustainability concepts for infrastructure systems and consist of computational and experimental works. More recently, she has focused on developing sustainable energy storage systems integrated with emerging redox battery systems and assessing their sustainability trade-offs. Also, Celik has been generating ideas on incorporating transparent PV technologies with urban agricultural systems to promote nature-inspired solar panels to decentralize city energy production and food supply.</t>
  </si>
  <si>
    <t>infrastructure systems , consist of computational , experimental works, developing sustainable energy storage systems integrated with emerging redox battery systems , assessing their sustainability trade-offs</t>
  </si>
  <si>
    <t>EllioTTGall</t>
  </si>
  <si>
    <t>gall@pdx.edu
503-725-2878
EB 301J</t>
  </si>
  <si>
    <t>Dr. Gall’s research and teaching interests center around developing new approaches that improve building sustainability through an understanding of the intersection of building energy use, indoor air quality, and occupant well-being. Specific  include i) fundamental laboratory and field studies of indoor air pollutant transport and transformation, ii) air pollution exposure assessment through modeling and personal exposure studies, and iii) evaluation of building technology and design with respect to indoor environmental quality.</t>
  </si>
  <si>
    <t>building sustainability through an underst,ing of the intersection of building energy use, indoor air quality, occupant well-being</t>
  </si>
  <si>
    <t>Alex Hunt</t>
  </si>
  <si>
    <t>ajh26@pdx.edu
503-725-4292
EB 402M</t>
  </si>
  <si>
    <t>Dr. Hunt’s research and teaching interests center around making robotic systems more adaptable by applying principles learned from biology.</t>
  </si>
  <si>
    <t>making robotic systems more adaptable by applying principles learned from biology</t>
  </si>
  <si>
    <t>#166 - Best Engineering Schools</t>
  </si>
  <si>
    <t>Jun Jiao
MSMSE Program Director</t>
  </si>
  <si>
    <t>jiaoj@pdx.edu
503-725-4228
EB 301L</t>
  </si>
  <si>
    <t>Current research in the Jiao lab is concentrated on the development of nanofabrication techniques for various applications. These include the property-controlled growth of graphene and its metal and metal oxide hybrids for use in nanoelectronics and spintronic devices, the development of fabrication techniques to hybridize metal nanoparticle and nanocrystals with industrial catalysts for groundwater treatments, as well as the application of nanoscale materials and devices for cancer therapy and cancer vaccine.</t>
  </si>
  <si>
    <t>nanofabrication techniques for various applications, spintronic devices, the development of fabrication techniques to hybridize metal nanoparticle , nanocrystals with industrial catalysts for groundwater treatments, as well as the application of nanoscale materials , devices for cancer therapy , cancer vaccine</t>
  </si>
  <si>
    <t>Lemmy Meekisho
MECOPAdvisor</t>
  </si>
  <si>
    <t>lemmy@pdx.edu
503-725-8149
EB 301N</t>
  </si>
  <si>
    <t>Dr. Meekisho’s technical specialties include numerical modeling and simulation of thermal-mechanical behavior of materials processes with Finite Element Analysis, Programming, data analysis, and visualization with MATLAB.</t>
  </si>
  <si>
    <t>numerical modeling , simulation of thermal-mechanical behavior of materials processes with Finite Element Analysis, Programming, data analysis, visualization with MATLAB,</t>
  </si>
  <si>
    <t>Robert Paxton</t>
  </si>
  <si>
    <t>paxton3@pdx.edu
503-725-4265
EB 402B</t>
  </si>
  <si>
    <t>As an industry consultant, Robert works as a vehicle forensic investigator which informs his current research focus on vehicle crash dynamics (specifically with an aim to increasing crash survivability). Other s include biomechanics, most notably surrounding Olympic weightlifting and swimming.</t>
  </si>
  <si>
    <t>biomechanics, most notably surrounding Olympic weightlifting , swimming,</t>
  </si>
  <si>
    <t>Derek Tretheway
Undergraduate Advisor</t>
  </si>
  <si>
    <t>tretdc@pdx.edu
503-725-8760
EB 402H</t>
  </si>
  <si>
    <t xml:space="preserve">Dr. Tretheway’s technical specialties include Micro-Particle Image Velocimetry, Measurements of flow in microdevices, and non-Newtonian fluid flow.
</t>
  </si>
  <si>
    <t xml:space="preserve">Micro-Particle Image Velocimetry, Measurements of flow in microdevices, non-Newtonian fluid flow,
</t>
  </si>
  <si>
    <t>David Turcic</t>
  </si>
  <si>
    <t>turcicd@pdx.edu
503-725-4284
EB 402D</t>
  </si>
  <si>
    <t>Dr. Turcic's current  are high-performance control systems, and design and implementation of experimental testing systems for a variety of different types of mechanical devices.</t>
  </si>
  <si>
    <t>high-performance control systems, design , implementation of experimental testing systems for a variety of different types of mechanical devices,</t>
  </si>
  <si>
    <t>Chien Wern
Graduate Advisor</t>
  </si>
  <si>
    <t>wernc@pdx.edu
503-725-4281
EB 402E</t>
  </si>
  <si>
    <t>Dr. Wern’s current research includes surface characterization and strength of machined products and fatigue testing of gears.</t>
  </si>
  <si>
    <t>surface characterization , strength of machined products , fatigue testing of gears,</t>
  </si>
  <si>
    <t>Yi Xia</t>
  </si>
  <si>
    <t>yxia@pdx.edu
503-725-3261
EB 402J</t>
  </si>
  <si>
    <t>Dr. Xia's area of research is focused on development and implementation of first-principles-based methods and machine learning approaches to simulate dynamics of phonons and electrons, and application of such to solve materials problems. Research topics include heat/charge transport phenomena, anharmonic lattice dynamics, electron-phonon interactions, and structural phase transition in thermal management, energy storage and converting materials, covering high-entropy alloys, thermoelectrics, and lithium-ion batteries.</t>
  </si>
  <si>
    <t>implementation of first-principles-based methods , machine learning approaches to simulate dynamics of phonons , electrons, application of such to solve materials problems, Research topics include heat/charge transport phenomena, anharmonic lattice dynamics, electron-phonon interactions, structural phase transition in thermal management, energy storage , converting materials, covering high-entropy alloys, thermoelectrics, lithium-ion batteries</t>
  </si>
  <si>
    <r>
      <rPr>
        <u/>
        <sz val="10"/>
        <color rgb="FF000000"/>
        <rFont val="Arial"/>
        <family val="2"/>
      </rPr>
      <t>Sung Yi
(Chair</t>
    </r>
    <r>
      <rPr>
        <sz val="10"/>
        <color rgb="FF000000"/>
        <rFont val="Arial"/>
        <family val="2"/>
      </rPr>
      <t>)</t>
    </r>
  </si>
  <si>
    <t>syi@pdx.edu
503-725-5470
EB 402K</t>
  </si>
  <si>
    <t>Design &amp; Manufacturing</t>
  </si>
  <si>
    <t>Design, Manufacturing</t>
  </si>
  <si>
    <t>$509 per credit (in-state, full-time)</t>
  </si>
  <si>
    <t>Xiaowei "Luke" Zhu</t>
  </si>
  <si>
    <t>xz3@pdx.edu
503-725-2898
EB 402G</t>
  </si>
  <si>
    <t>Dr. Zhu’s research is centered on understanding turbulence over a variety of rough surfaces, and developing numerical models for applications in engineering and environmental flows.</t>
  </si>
  <si>
    <t>turbulence over a variety of rough surfaces, developing numerical models for applications in engineering , environmental flows,</t>
  </si>
  <si>
    <t>Saint Louis University (Parks)</t>
  </si>
  <si>
    <r>
      <rPr>
        <b/>
        <u/>
        <sz val="10"/>
        <color rgb="FF000000"/>
        <rFont val="Arial"/>
        <family val="2"/>
      </rPr>
      <t>Sridhar Condoor, Ph.D.</t>
    </r>
    <r>
      <rPr>
        <b/>
        <sz val="10"/>
        <color rgb="FF000000"/>
        <rFont val="Arial"/>
        <family val="2"/>
      </rPr>
      <t xml:space="preserve"> (Department Chair)</t>
    </r>
  </si>
  <si>
    <t>sridhar.condoor@slu.edu</t>
  </si>
  <si>
    <t>Design theory and methodology
Technology entrepreneurship
Sustainability</t>
  </si>
  <si>
    <t>Design theory , methodology,
Technology entrepreneurship,
Sustainability</t>
  </si>
  <si>
    <t>Ray LeBeau, Ph.D.</t>
  </si>
  <si>
    <t>raymond.lebeau@slu.edu</t>
  </si>
  <si>
    <t xml:space="preserve">His research focus is computational fluid dynamics, but over a broad range of topics including flow control, aerodynamic design optimization, unmanned aerial vehicle design, inflatable wings, plasma actuators, cluster computer design, performance of computational codes, and the atmospheres of Uranus and Neptune
</t>
  </si>
  <si>
    <t xml:space="preserve">computational fluid dynamics, but over a broad range of topics including flow control, aerodynamic design optimization, unmanned aerial vehicle design, inflatable wings, plasma actuators, cluster computer design, performance of computational codes, the atmospheres of Uranus , Neptune
</t>
  </si>
  <si>
    <r>
      <rPr>
        <u/>
        <sz val="12"/>
        <color rgb="FF1155CC"/>
        <rFont val="corporate-s, sans-serif"/>
      </rPr>
      <t>Madi Babaiasl, Ph.D.</t>
    </r>
  </si>
  <si>
    <t>madi.babaiasl@slu.edu</t>
  </si>
  <si>
    <t>Human intention detection
Human-robot interaction 
Rehabilitation robots
Assistive robots
Robot control
Robotics &amp; AI education</t>
  </si>
  <si>
    <r>
      <rPr>
        <u/>
        <sz val="12"/>
        <color rgb="FF1155CC"/>
        <rFont val="corporate-s, sans-serif"/>
      </rPr>
      <t>Susheel Singh, Ph.D.</t>
    </r>
  </si>
  <si>
    <r>
      <rPr>
        <u/>
        <sz val="10"/>
        <color rgb="FF1155CC"/>
        <rFont val="Arial"/>
        <family val="2"/>
      </rPr>
      <t>susheel.singh@slu.edu</t>
    </r>
  </si>
  <si>
    <t>Computational Fluid Dynamics
Turbulence Modelling (RANS/LES)
Thermal Engineering
Data Science/Machine Learning in Engineering</t>
  </si>
  <si>
    <r>
      <rPr>
        <u/>
        <sz val="12"/>
        <color rgb="FF1155CC"/>
        <rFont val="corporate-s, sans-serif"/>
      </rPr>
      <t>Ray LeBeau, Ph.D.</t>
    </r>
  </si>
  <si>
    <t>His research focus is computational fluid dynamics, but over a broad range of topics including flow control, aerodynamic design optimization, unmanned aerial vehicle design, inflatable wings, plasma actuators, cluster computer design, performance of computational codes, and the atmospheres of Uranus and Neptune</t>
  </si>
  <si>
    <t>Theodosios Alexander, Sc.D.</t>
  </si>
  <si>
    <t>theodosios.alexander@slu.edu</t>
  </si>
  <si>
    <t xml:space="preserve">His personal research concentrates on unsteady thermo-fluid dynamics and unsteady transport phenomena within the above themes. His latest research is on the performance of turbomachinery and airfoils, on the development of novel engines (with substantial current government and industry research funding from the US and the UK), and on engine performance and emissions. For the last decade he has also worked on modeling the human cardiovascular system.
</t>
  </si>
  <si>
    <t xml:space="preserve">unsteady thermo-fluid dynamics, unsteady transport phenomena within the above themes, turbomachinery , airfoils, on the development of novel engines (with substantial current government , industry research funding from the US , the UK), on engine performance , emissions, For the last decade he has also worked on modeling the human cardiovascular system
</t>
  </si>
  <si>
    <t>Jenna Gorlewicz, Ph.D.</t>
  </si>
  <si>
    <t>jenna.gorlewicz@slu.edu</t>
  </si>
  <si>
    <t>Gorlewicz’s s include electromechanical design, modeling and control, haptic interfaces, human-machine interfaces, medical systems, image-guided surgery, medical devices and medical robots, educational haptic devices and robots, novel learning technologies, haptic touchscreens, engineering education, and entrepreneurship.</t>
  </si>
  <si>
    <t>electromechanical design, modeling , control, haptic interfaces, human-machine interfaces, medical systems, image-guided surgery, medical devices , medical robots, educational haptic devices , robots, novel learning technologies, haptic touchscreens, engineering education, entrepreneurship</t>
  </si>
  <si>
    <t>Srikanth Gururajan, Ph.D.</t>
  </si>
  <si>
    <t>srikanth.gururajan@slu.edu</t>
  </si>
  <si>
    <t>Gururajan’s s include fault tolerant flight control, experimental flight testing using small UAVs and UAV based remote sensing applications in precision agriculture, pest management and emissions measurement and characterization.</t>
  </si>
  <si>
    <t>fault tolerant flight control, experimental flight testing using small UAVs , UAV based remote sensing applications in precision agriculture, pest management , emissions measurement , characterization,</t>
  </si>
  <si>
    <t>Sanjay Jayaram, Ph.D.</t>
  </si>
  <si>
    <t>sanjay.jayaram@slu.edu</t>
  </si>
  <si>
    <t xml:space="preserve">Dr. Jayaram’s s include bio-inspired aerodynamics, fluid-structure-controls interaction problems, advanced control systems design (adaptive and learning control, fault tolerant robust control) of multi-vehicle coordination, small spacecraft design, and dynamic systems and control of space vehicles. 
</t>
  </si>
  <si>
    <t xml:space="preserve">bio-inspired aerodynamics, fluid-structure-controls interaction problems, advanced control systems design (adaptive , learning control, fault tolerant robust control) of multi-vehicle coordination, small spacecraft design, dynamic systems , control of space vehicles
</t>
  </si>
  <si>
    <t>Chi Hou Lei, Ph.D.</t>
  </si>
  <si>
    <t>chihou.lei@slu.edu</t>
  </si>
  <si>
    <t>He has been working in modeling, simulation and analysis of multi-functional materials across different length scales. Examples of these materials include shape memory alloys, ferroelectrics, piezoelectric materials and lithium ion battery. He is investigating how microstructures determine the macroscopic physical behaviors and how to design materials that exhibits special properties for various applications. He is also interested in the application of finite element analysis in other aspects of engineering such as devices, structures and vehicles.</t>
  </si>
  <si>
    <t>modeling, simulation , analysis of multi-functional materials across different length scales, Examples of these materials include shape memory alloys, ferroelectrics, piezoelectric materials , lithium ion battery</t>
  </si>
  <si>
    <t>Jeff Ma, Ph.D.</t>
  </si>
  <si>
    <t>jeff.ma@slu.edu</t>
  </si>
  <si>
    <t>Computational Solid Mechanics (Meshless method, Finite Element Method, and Peridynamics)
Multi-scale modeling (Finite Element Method-FEM, Meshless method, Discrete Element Method -DEM, Molecular Dynamics Simulations-MDS)
Structural Analysis, development of in-house FEM and meshless programs
Numerical and experimental investigation of machining of difficult-to-machine materials, e.g., titanium alloys, structural ceramics, superalloys, composites, and biomaterials
Numerical modeling of manufacturing processes and development of novel cutting tools
Numerical modeling of non-conventional machining (EDM and welding)
Laser-assisted/laser machining of advanced materials, femtosecond laser-matter interaction
Numerical and experimental investigation of laser peening processes of advanced materials
Micro-machining and nano-machining of brittle materials and metallic materials
Machine Learning/AI, Robotics/Mechatronics, Automation of manufacturing processes using PLC and Industrial robots, using derived sensor models (LiDAR) to generate and validate geo-referenced images and 3D point clouds for feature extraction and target detection
Modeling and simulation of tire-soil interactions, designing and optimizing of pneumatic and non-pneumatic tires, designing and fabricating of electromechanical systems
Monitoring and testing of manufacturing processes/failure of mechanical systems, CAD/CAM</t>
  </si>
  <si>
    <t>Computational Solid Mechanics (Meshless method, Finite Element Method, Peridynamics),
Multi-scale modeling (Finite Element Method-FEM, Meshless method, Discrete Element Method -DEM, Molecular Dynamics Simulations-MDS),
Structural Analysis, development of in-house FEM , meshless programs,
Numerical , experimental investigation of machining of difficult-to-machine materials, e,g,, titanium alloys, structural ceramics, superalloys, composites, biomaterials,
Numerical modeling of manufacturing processes , development of novel cutting tools,
Numerical modeling of non-conventional machining (EDM , welding),
Laser-assisted/laser machining of advanced materials, femtosecond laser-matter interaction,
Numerical , experimental investigation of laser peening processes of advanced materials,
Micro-machining , nano-machining of brittle materials , metallic materials,
Machine Learning/AI, Robotics/Mechatronics, Automation of manufacturing processes using PLC , Industrial robots, using derived sensor models (LiDAR) to generate , validate geo-referenced images , 3D point clouds for feature extraction , target detection,
Modeling , simulation of tire-soil interactions, designing , optimizing of pneumatic , non-pneumatic tires, designing , fabricating of electromechanical systems,
Monitoring , testing of manufacturing processes/failure of mechanical systems, CAD/CAM</t>
  </si>
  <si>
    <t>Mark McQuilling, Ph.D.</t>
  </si>
  <si>
    <t>mark.mcquilling@slu.edu</t>
  </si>
  <si>
    <t>McQuilling’s s include experimental fluid mechanics, low Reynolds number flows, laminar-to-turbulent transition, airfoil design (low-pressure turbine and low Reynolds number wings), unsteady aerodynamics (turbomachinery and airdroPsystems), bio-fluid flows, and flow control.</t>
  </si>
  <si>
    <t xml:space="preserve"> fluid mechanics, low Reynolds number flows, laminar-to-turbulent transition, airfoil design (low-pressure turbine , low Reynolds number wings), unsteady aerodynamics (turbomachinery , airdroPsystems), bio-fluid flows, flow control</t>
  </si>
  <si>
    <t>Michael Swartwout, Ph.D.</t>
  </si>
  <si>
    <t>michael.swartwout@slu.edu</t>
  </si>
  <si>
    <t xml:space="preserve">Swartwout’s primary research work is performed through the Space Systems Research Laboratory. Design and operation of low-cost spacecraft - Swartwout is particularly interested in the ways that universities can leverage their very high tolerance for risk to introduce new technologies and architectures that will improve the “professional” space industry. </t>
  </si>
  <si>
    <t xml:space="preserve">the ways that universities can leverage their very high tolerance for risk to introduce new technologies , architectures that will improve the “professional” space industry </t>
  </si>
  <si>
    <t>$1,250 per credit (full-time)</t>
  </si>
  <si>
    <t>University of New Orleans</t>
  </si>
  <si>
    <t>Kazim M. Akyuzlu</t>
  </si>
  <si>
    <t>kakyuzlu@uno.edu</t>
  </si>
  <si>
    <t>Natural convection in densified propellants
Velocity measurements in two-phase flow using Laser-Doppler
Anemometry
Film boiling in cryogenic fluids
Flame propagation in hybrid rocket motors
Velocity measurements using particle image velocimeter (PIV)
Numerical modelling of combustion instabilities</t>
  </si>
  <si>
    <t>Natural convection in densified propellants,
Velocity measurements in two-phase flow using Laser-Doppler,
Anemometry,
Film boiling in cryogenic fluids,
Flame propagation in hybrid rocket motors,
Velocity measurements using particle image velocimeter (PIV),
Numerical modelling of combustion instabilities</t>
  </si>
  <si>
    <t>Uttam Kumar Chakravarty, Ph.D.</t>
  </si>
  <si>
    <t>uchakrav@uno.edu</t>
  </si>
  <si>
    <t>Finite element analysis of composite structures
Dynamic response of composite materials and structures
Design of biologically inspired wings of small-scale unmanned aerial systems</t>
  </si>
  <si>
    <t>Finite element analysis of composite structures,
Dynamic response of composite materials , structures,
Design of biologically inspired wings of small-scale unmanned aerial systems</t>
  </si>
  <si>
    <t>Martin J. Guillot, Ph.D.</t>
  </si>
  <si>
    <t>mjguillo@uno.edu</t>
  </si>
  <si>
    <t xml:space="preserve">Computational fluid dynamics, Subsonic and supersonic aerodynamics, Environmental modeling, Development of numerical methods
</t>
  </si>
  <si>
    <t>Computational fluid dynamics, Subsonic , supersonic aerodynamics, Environmental modeling, Development of numerical methods</t>
  </si>
  <si>
    <t>Paul D. Herrington, Ph.D.</t>
  </si>
  <si>
    <t>pherring@uno.edu</t>
  </si>
  <si>
    <t>Composite materials
Stress analysis
Finite element analysis
Statistical aspects of materials performance</t>
  </si>
  <si>
    <t>Composite materials,
Stress analysis,
Finite element analysis,
Statistical aspects of materials performance</t>
  </si>
  <si>
    <t>David Hui, Ph.D.</t>
  </si>
  <si>
    <t>dhui@uno.edu</t>
  </si>
  <si>
    <t>Buckling and vibration of laminated plates and shells
Impact behavior of laminated imperfect flat of cylindrical panels under axial impact
Constitutive equations for engineering materials (including floating ice plates)</t>
  </si>
  <si>
    <t>Buckling , vibration of laminated plates , shells,
Impact behavior of laminated imperfect flat of cylindrical panels under axial impact,
Constitutive equations for engineering materials (including floating ice plates)</t>
  </si>
  <si>
    <r>
      <rPr>
        <u/>
        <sz val="10"/>
        <color rgb="FF000000"/>
        <rFont val="Arial"/>
        <family val="2"/>
      </rPr>
      <t>Paul J. Schilling, Ph.D.</t>
    </r>
    <r>
      <rPr>
        <sz val="10"/>
        <color rgb="FF000000"/>
        <rFont val="Arial"/>
        <family val="2"/>
      </rPr>
      <t xml:space="preserve"> (Department chair)</t>
    </r>
  </si>
  <si>
    <t>pschilli@uno.edu</t>
  </si>
  <si>
    <t>Phase development in metastable binary alloys
Characterization of automobile exhaust particulates
Materials problems related to microfabrication techniques based on x-ray lithography
NDE of composite materials
Development of Al-Sc-X alloys</t>
  </si>
  <si>
    <t>Phase development in metastable binary alloys,
Characterization of automobile exhaust particulates,
Materials problems related to microfabrication techniques based on x-ray lithography,
NDE of composite materials,
Development of Al-Sc-X alloys</t>
  </si>
  <si>
    <t>Damon Smith, Ph.D.</t>
  </si>
  <si>
    <t>dsmith3@uno.edu</t>
  </si>
  <si>
    <t>Additive Manufacturing of Antimicrobial Surfaces
Additive Manufacturing of Biomimetic Surgical Training Models
Mechanochemical Synthesis of Nanoparticles
Electrospinning of Nanofiber Meshes for Wound Dressings</t>
  </si>
  <si>
    <t>Additive Manufacturing of Antimicrobial Surfaces,
Additive Manufacturing of Biomimetic Surgical Training Models,
Mechanochemical Synthesis of Nanoparticles,
Electrospinning of Nanofiber Meshes for Wound Dressings</t>
  </si>
  <si>
    <t>Ting Wang, Ph.D.</t>
  </si>
  <si>
    <t>twang@uno.edu</t>
  </si>
  <si>
    <t>Mist/steam cooling
Jet impingement cooling
Separated-flow transition
Combustor flow aerodynamics
Heat transfer enhancement on micro-structured surfaces
Biomass gasification combustion
Integrated gasification combined cycles</t>
  </si>
  <si>
    <t>Mist/steam cooling,
Jet impingement cooling,
Separated-flow transition,
Combustor flow aerodynamics,
Heat transfer enhancement on micro-structured surfaces,
Biomass gasification combustion,
Integrated gasification combined cycles</t>
  </si>
  <si>
    <t>$7,302 per year (in-state, full-time)</t>
  </si>
  <si>
    <t>University of North Dakota</t>
  </si>
  <si>
    <t>Forrest Ames</t>
  </si>
  <si>
    <t>forrest.ames@UND.edu</t>
  </si>
  <si>
    <t xml:space="preserve">Gas Turbine Heat Transfer and Aerodynamics, Turbulence
</t>
  </si>
  <si>
    <t>Gas Turbine Heat Transfer , Aerodynamics, Turbulence</t>
  </si>
  <si>
    <t>Hallie Chelmo</t>
  </si>
  <si>
    <t>hallie.chelmo@UND.edu</t>
  </si>
  <si>
    <t>Microscopic droplets are ubiquitous in the air, both indoors and outdoors. They are composed of chemically complex mixtures including water and co-dissolved salts, surfactants, and biological material. When we inhale these droplets, they grow in our lungs and may become vectors for communicable diseases, including viruses. As droplets persist in the air, they can act as seeds to grow cloud droplets, or nucleation points for ice crystallization of cloud particles. Their impacts on air quality in turn affect human and ecosystem health, climate, and weather. Although these impacts are large, there is a lack of rigorous treatment and quantification of their properties, which in turn leads to high uncertainty in global models. In addition to these environmentally relevant , there are also numerous desirable applications harnessing the advantages of aerosols in additive manufacturing, sprays, drug-delivery, and nanoparticle synthesis.</t>
  </si>
  <si>
    <t>chemically complex mixtures including water , co-dissolved salts, surfactants, biological material, When we inhale these droplets, they grow in our lungs , may become vectors for communicable diseases, including viruses, As droplets persist in the air, they can act as seeds to grow cloud droplets, nucleation points for ice crystallization of cloud particles</t>
  </si>
  <si>
    <t>Andrew Dahlen</t>
  </si>
  <si>
    <t>andrew.dahlen.1@UND.edu</t>
  </si>
  <si>
    <t>Surojit Gupta</t>
  </si>
  <si>
    <t>surojit.gupta@UND.edu</t>
  </si>
  <si>
    <t>Gupta is an active researcher in sustainable materials, high temperature ceramics and alloys, nanotechnology, additive, and green manufacturing.</t>
  </si>
  <si>
    <t>Gupta is an active researcher in sustainable materials, high temperature ceramics , alloys, nanotechnology, additive, green manufacturing,</t>
  </si>
  <si>
    <t>Hossein Kashani Zadeh</t>
  </si>
  <si>
    <t>hossein.kashanizadeh@ndus.edu</t>
  </si>
  <si>
    <t>machine learning and artificial intelligence
multimode spectroscopy
finite element analysis and optimization of metal forming processes
aircraft engines structural analysis and testing
gas turbine tiPclearance analysis</t>
  </si>
  <si>
    <t>machine learning , artificial intelligence,
multimode spectroscopy,
finite element analysis , optimization of metal forming processes,
aircraft engines structural analysis , testing,
gas turbine tiPclearance analysis</t>
  </si>
  <si>
    <t>Dustin McNally</t>
  </si>
  <si>
    <t>dustin.mcnally@UND.edu</t>
  </si>
  <si>
    <t>Jeremiah Neubert</t>
  </si>
  <si>
    <t>jeremiah.neubert@UND.edu</t>
  </si>
  <si>
    <t>carson.running@UND.edu</t>
  </si>
  <si>
    <t>Professor Running works to motivate students inside and outside of the classroom to make a positive difference in the world. Prof. Running's technical scholarship is focused on hypersonic aerodynamics and aerothermodynamics with complementary interests in novel experimental surface-measurement techniques and facility design. These research endeavours seek to deliver answers to fundamental questions facing the hypersonic community and will lead to increased national security, space exploration and commercial flight.</t>
  </si>
  <si>
    <t>Sougata Roy</t>
  </si>
  <si>
    <t>sougata.roy@UND.edu</t>
  </si>
  <si>
    <t>Novel coating development for machine tools
Minimum quantity lubrication in high speed machining
Process-microstructure relation in metal additive manufacturing
Drive-train failure investigation and improvements
Biomass extraction and characterization
Additive manufacturing for biomedical prosthetics development</t>
  </si>
  <si>
    <t>Novel coating development for machine tools,
Minimum quantity lubrication in high speed machining,
Process-microstructure relation in metal additive manufacturing,
Drive-train failure investigation , improvements,
Biomass extraction , characterization,
Additive manufacturing for biomedical prosthetics development</t>
  </si>
  <si>
    <t>Anjali Sandip</t>
  </si>
  <si>
    <t>anjali.sandip@UND.edu</t>
  </si>
  <si>
    <t>Numerical modeling
Uncertainty quantification [UQ]/Optimization/Reduced order modeling
Parallel computing</t>
  </si>
  <si>
    <t>Numerical modeling,
Uncertainty quantification [UQ]/Optimization/Reduced order modeling,
Parallel computing</t>
  </si>
  <si>
    <t>William Semke</t>
  </si>
  <si>
    <t>william.semke@UND.edu</t>
  </si>
  <si>
    <t xml:space="preserve">conducts contemporary research in UAS, vibration control, and aerospace hardware design, along with instruction in mechanical design and experimental methods.
</t>
  </si>
  <si>
    <t>conducts contemporary research in UAS, vibration control, aerospace hardware design, along with instruction in mechanical design , experimental methods</t>
  </si>
  <si>
    <t>Dominik Steinhauer</t>
  </si>
  <si>
    <t>dominik.steinhauer@UND.edu</t>
  </si>
  <si>
    <r>
      <rPr>
        <u/>
        <sz val="10"/>
        <color rgb="FF000000"/>
        <rFont val="Arial"/>
        <family val="2"/>
      </rPr>
      <t>Clement Tang</t>
    </r>
    <r>
      <rPr>
        <sz val="10"/>
        <color rgb="FF000000"/>
        <rFont val="Arial"/>
        <family val="2"/>
      </rPr>
      <t xml:space="preserve"> (Department chair)</t>
    </r>
  </si>
  <si>
    <t>clement.tang@UND.edu</t>
  </si>
  <si>
    <t>Clement Tang’s  are in experimental and computational heat transfer and fluid dynamics. He is actively involved in investigating thermal-fluid systems for multiphase and complex fluids flow.</t>
  </si>
  <si>
    <t>computational heat transfer , fluid dynamics, He is actively involved in investigating thermal-fluid systems for multiphase , complex fluids flow</t>
  </si>
  <si>
    <t>Yachao Wang</t>
  </si>
  <si>
    <t>yachao.wang@UND.edu</t>
  </si>
  <si>
    <t xml:space="preserve">His research includes nano/micro-manufacturing, hybrid additive manufacturing, materials characterization, modeling of laser/material interaction, and smart manufacturing. 
</t>
  </si>
  <si>
    <t xml:space="preserve">nano/micro-manufacturing, hybrid additive manufacturing, materials characterization, modeling of laser/material interaction, smart manufacturing 
</t>
  </si>
  <si>
    <t>Cai Xia Yang</t>
  </si>
  <si>
    <t>caixia.yang@UND.edu</t>
  </si>
  <si>
    <t xml:space="preserve">Nonlinear Dynamics, Data Analysis, Stability Analysis, Fault Detection and classification using vibration signals, estimation of center of mass and center of pressure using measured data, posture stability.
</t>
  </si>
  <si>
    <t>Nonlinear Dynamics, Data Analysis, Stability Analysis, Fault Detection , classification using vibration signals, estimation of center of mass , center of pressure using measured data, posture stability</t>
  </si>
  <si>
    <t>Djedje-Kossu Zahui</t>
  </si>
  <si>
    <t>dk.zahui@UND.edu</t>
  </si>
  <si>
    <t>Chonglin Zhang</t>
  </si>
  <si>
    <t>chonglin.zhang@UND.edu</t>
  </si>
  <si>
    <t>Kinetic Theory
Direct Simulation Monte Carlo Method
Particle-in-Cell Method
High Performance Computing
Hypersonic Nonequilibrium Flows
Plasma Physics
Computational Fluid Dynamics</t>
  </si>
  <si>
    <t>Kinetic Theory,
Direct Simulation Monte Carlo Method,
Particle-in-Cell Method,
High Performance Computing,
Hypersonic Nonequilibrium Flows,
Plasma Physics,
Computational Fluid Dynamics</t>
  </si>
  <si>
    <t>University of Detroit Mercy</t>
  </si>
  <si>
    <t>Megan Conrad</t>
  </si>
  <si>
    <t>conradmo@udmercy.edu</t>
  </si>
  <si>
    <t xml:space="preserve">s are centered around the assessment of human performance in healthy and disabled populations as it pertains to therapy, work and product design. Specifically, she studies hand and arm function with the goal of identifying techniques that will allow elderly and disabled individuals to remain independent at home and work. Topics of interest Assistive Technology, Ergonomics, Biomechanics, Neuromechanics.
</t>
  </si>
  <si>
    <t xml:space="preserve">disabled populations as it pertains to therapy, work , product design
</t>
  </si>
  <si>
    <t>Shuvra Das</t>
  </si>
  <si>
    <t>dass@udmercy.edu</t>
  </si>
  <si>
    <t>Mechatronics
Modeling and simulation of Mechatronic systems
Manufacturing Process Design Through Thermo-Mechanical Analysis
Numerical Techniques Boundary Element and Finite Element Methods
Multi-Disciplinary Design
Mechanistic Modeling of Manufacturing Process such as Casting, Welding, Metal Forming, Heat Treatment and Laser Assisted Forming
Applied Mechanics and Stress Analysis
Fuzzy Logic and Neural Network Applications
Design Optimization
Inverse Problems in Mechanics and Heat Transfer</t>
  </si>
  <si>
    <t>Mechatronics,
Modeling , simulation of Mechatronic systems,
Manufacturing Process Design Through Thermo-Mechanical Analysis,
Numerical Techniques Boundary Element , Finite Element Methods,
Multi-Disciplinary Design,
Mechanistic Modeling of Manufacturing Process such as Casting, Welding, Metal Forming, Heat Treatment , Laser Assisted Forming,
Applied Mechanics , Stress Analysis,
Fuzzy Logic , Neural Network Applications,
Design Optimization,
Inverse Problems in Mechanics , Heat Transfer</t>
  </si>
  <si>
    <t>Nihad Dukhan</t>
  </si>
  <si>
    <t>dukhanni@udmercy.edu</t>
  </si>
  <si>
    <t>Flow and Heat Transfer in Metal Foam
Numerical, theoretical and experimental modeling</t>
  </si>
  <si>
    <t>Flow , Heat Transfer in Metal Foam,
Numerical, theoretical , experimental modeling</t>
  </si>
  <si>
    <t>Richard Hill</t>
  </si>
  <si>
    <t>hillrc@udmercy.edu</t>
  </si>
  <si>
    <t>Controls
Dynamics
Instrumentation
Mechatronic Design
Numerical Methods
Electric Vehicles</t>
  </si>
  <si>
    <t>Controls,
Dynamics,
Instrumentation,
Mechatronic Design,
Numerical Methods,
Electric Vehicles</t>
  </si>
  <si>
    <t>#183 - 202 - Best Engineering Schools</t>
  </si>
  <si>
    <t>Darrell Kleinke</t>
  </si>
  <si>
    <t>kleinked@udmercy.edu</t>
  </si>
  <si>
    <t>Mechanics of Materials
Machine Design
Capstone Design
Product Development Process
Design and Quality
Innovation and Design Methodologies
Sensors and Actuators</t>
  </si>
  <si>
    <t>Mechanics of Materials,
Machine Design,
Capstone Design,
Product Development Process,
Design , Quality,
Innovation , Design Methodologies,
Sensors , Actuators</t>
  </si>
  <si>
    <t>Mostafa Mehrabi</t>
  </si>
  <si>
    <t>mostafme@udmercy.edu</t>
  </si>
  <si>
    <t>Manufacturing Systems
Manufacturing Processes
Computer Integrated Manufacturing
Quality Control Systems
Advanced Manufacturing Systems
Automotive Assembly Lines</t>
  </si>
  <si>
    <t>Manufacturing Systems,
Manufacturing Processes,
Computer Integrated Manufacturing,
Quality Control Systems,
Advanced Manufacturing Systems,
Automotive Assembly Lines</t>
  </si>
  <si>
    <t>Kirste Plantenberg</t>
  </si>
  <si>
    <t>plantenk@udmercy.edu</t>
  </si>
  <si>
    <r>
      <rPr>
        <u/>
        <sz val="10"/>
        <color rgb="FF000000"/>
        <rFont val="Arial"/>
        <family val="2"/>
      </rPr>
      <t>Nassif Rayess</t>
    </r>
    <r>
      <rPr>
        <sz val="10"/>
        <color rgb="FF000000"/>
        <rFont val="Arial"/>
        <family val="2"/>
      </rPr>
      <t xml:space="preserve"> (Chair)</t>
    </r>
  </si>
  <si>
    <t>rayesna@udmercy.edu</t>
  </si>
  <si>
    <t>His current research is focused on experimental work in the area of Noise and Acoustics.</t>
  </si>
  <si>
    <t>experimental work in the area of Noise , Acoustics,</t>
  </si>
  <si>
    <t>Jonathan Weaver</t>
  </si>
  <si>
    <t>weaverjm@udmercy.edu</t>
  </si>
  <si>
    <t xml:space="preserve">His s relate to robotics, vehicle dynamics, design of experiments, robust design, innovation and creativity, and the product development process.
</t>
  </si>
  <si>
    <t xml:space="preserve">robotics, vehicle dynamics, design of experiments, robust design, innovation , creativity, the product development process,
</t>
  </si>
  <si>
    <t>$865 per credit (full-time)</t>
  </si>
  <si>
    <t>University</t>
  </si>
  <si>
    <t>Departments</t>
  </si>
  <si>
    <t>AVERAGE QUANTITATIVE GRE - 2023</t>
  </si>
  <si>
    <t>AVERAGE QUANTITATIVE GRE - 2024</t>
  </si>
  <si>
    <t>ME Ranking - 2023</t>
  </si>
  <si>
    <t>ME Ranking - 2024</t>
  </si>
  <si>
    <t># of Faculty (5/12/23)</t>
  </si>
  <si>
    <t># of Tenure (5/12/23)</t>
  </si>
  <si>
    <t># of Nontenure (5/12/23)</t>
  </si>
  <si>
    <t># of Faculty (11/7/23)</t>
  </si>
  <si>
    <t># of Tenure (11/7/23)</t>
  </si>
  <si>
    <t># of Nontenure (11/7/23)</t>
  </si>
  <si>
    <t>Difference in P</t>
  </si>
  <si>
    <t>Difference in Associate P</t>
  </si>
  <si>
    <t>Difference in Assistant P</t>
  </si>
  <si>
    <t>Federal Fund Sum - 2020</t>
  </si>
  <si>
    <t>Foreign Fund Sum - 2020</t>
  </si>
  <si>
    <t>Individual Fund Sum - 2020</t>
  </si>
  <si>
    <t>Industry Fund Sum - 2020</t>
  </si>
  <si>
    <t>Local Fund Sum - 2020</t>
  </si>
  <si>
    <t>Non-Profit Fund Sum - 2020</t>
  </si>
  <si>
    <t>Research Expenditures State Fund Sum - 2020</t>
  </si>
  <si>
    <t>Total funds - 2020</t>
  </si>
  <si>
    <t>Federal Fund Sum - 2021</t>
  </si>
  <si>
    <t>Foreign Fund Sum - 2021</t>
  </si>
  <si>
    <t>Individual Fund Sum - 2021</t>
  </si>
  <si>
    <t>Industry Fund Sum - 2021</t>
  </si>
  <si>
    <t>Local Fund Sum - 2021</t>
  </si>
  <si>
    <t>Non-Profit Fund Sum - 2021</t>
  </si>
  <si>
    <t>Research Expenditures State Fund Sum - 2021</t>
  </si>
  <si>
    <t>Total funds - 2021</t>
  </si>
  <si>
    <t>Federal Fund Sum - 2022</t>
  </si>
  <si>
    <t>Foreign Fund Sum - 2022</t>
  </si>
  <si>
    <t>Individual Fund Sum - 2022</t>
  </si>
  <si>
    <t>Industry Fund Sum - 2022</t>
  </si>
  <si>
    <t>Local Fund Sum - 2022</t>
  </si>
  <si>
    <t>Non-Profit Fund Sum - 2022</t>
  </si>
  <si>
    <t>Research Expenditures State Fund Sum - 2022</t>
  </si>
  <si>
    <t>Total funds - 2022</t>
  </si>
  <si>
    <t>Federal Fund Sum - 2023</t>
  </si>
  <si>
    <t>Foreign Fund Sum - 2023</t>
  </si>
  <si>
    <t>Individual Fund Sum - 2023</t>
  </si>
  <si>
    <t>Industry Fund Sum - 2023</t>
  </si>
  <si>
    <t>Local Fund Sum - 2023</t>
  </si>
  <si>
    <t>Non-Profit Fund Sum - 2023</t>
  </si>
  <si>
    <t>Research Expenditures State Fund Sum - 2023</t>
  </si>
  <si>
    <t>Total funds - 2023</t>
  </si>
  <si>
    <t>US News Ranking - Best Engineering School - 2023</t>
  </si>
  <si>
    <t>Overall Score - 2023</t>
  </si>
  <si>
    <t>Peer assessment score (out of 5) - 2023</t>
  </si>
  <si>
    <t>Recruiter assessment score (out of 5) - 2023</t>
  </si>
  <si>
    <t>TUITION AND FEES (MASTER'S) - 2023</t>
  </si>
  <si>
    <t>ENROLLMENT (FULL-TIME) - 2023</t>
  </si>
  <si>
    <t>IE Ranking - 2024</t>
  </si>
  <si>
    <t>US News Ranking - Best Engineering School - 2024</t>
  </si>
  <si>
    <t>TUITION AND FEES ($/year for MASTER'S ) - 2024</t>
  </si>
  <si>
    <t>ENROLLMENT (FULL-TIME) - 2024</t>
  </si>
  <si>
    <t>Overall Score - 2024</t>
  </si>
  <si>
    <t>Peer assessment score (out of 5) - 2024</t>
  </si>
  <si>
    <t>Recruiter assessment score (out of 5) - 2024</t>
  </si>
  <si>
    <t>U.S. NEWS Link</t>
  </si>
  <si>
    <t>https://premium.usnews.com/best-graduate-schools/top-engineering-schools/massachusetts-institute-of-technology-02077</t>
  </si>
  <si>
    <t>https://premium.usnews.com/best-graduate-schools/top-engineering-schools/stanford-university-02020</t>
  </si>
  <si>
    <t>N/A</t>
  </si>
  <si>
    <t>https://premium.usnews.com/best-graduate-schools/top-engineering-schools/california-institute-of-technology-02009</t>
  </si>
  <si>
    <t>$12,264 per year (in-state, full-time)
$27,366 per year (out-of-state, full-time)</t>
  </si>
  <si>
    <t>https://premium.usnews.com/best-graduate-schools/top-engineering-schools/university-of-california-berkeley-02021</t>
  </si>
  <si>
    <t>$14,064 per year (in-state, full-time)
$29,140 per year (out-of-state, full-time)</t>
  </si>
  <si>
    <t>https://premium.usnews.com/best-graduate-schools/top-engineering-schools/georgia-institute-of-technology-02049</t>
  </si>
  <si>
    <t>"$19,774 per year (in-state, full-time)
$37,524 per year (out-of-state, full-time)"</t>
  </si>
  <si>
    <t>https://premium.usnews.com/best-graduate-schools/top-engineering-schools/university-of-illinois-at-urbana-champaign-02055</t>
  </si>
  <si>
    <t>$31,788 per year (in-state, full-time)
$58,984 per year (out-of-state, full-time)</t>
  </si>
  <si>
    <t>https://premium.usnews.com/best-graduate-schools/top-engineering-schools/university-of-michigan-ann-arbor-02088</t>
  </si>
  <si>
    <t>$10,842 per year (in-state, full-time)
$29,644 per year (out-of-state, full-time)</t>
  </si>
  <si>
    <t>https://premium.usnews.com/best-graduate-schools/top-engineering-schools/purdue-university-main-campus-02057</t>
  </si>
  <si>
    <t>$29,500 per year (full-time)
$2,173 per credit (part-time)</t>
  </si>
  <si>
    <t>https://premium.usnews.com/best-graduate-schools/top-engineering-schools/cornell-university-02118</t>
  </si>
  <si>
    <t>$59,710 per year (full-time)</t>
  </si>
  <si>
    <t>https://www.usnews.com/best-graduate-schools/top-engineering-schools/princeton-university-02108</t>
  </si>
  <si>
    <t>$54,700 per year (full-time)
$2,280 per credit (part-time)</t>
  </si>
  <si>
    <t>https://premium.usnews.com/best-graduate-schools/top-engineering-schools/carnegie-mellon-university-02152</t>
  </si>
  <si>
    <t>$10,554 per year (in-state, full-time)
$19,320 per year (out-of-state, full-time)</t>
  </si>
  <si>
    <t>https://premium.usnews.com/best-graduate-schools/top-engineering-schools/the-university-of-texas-at-austin-02178</t>
  </si>
  <si>
    <t>$64,650 per year (full-time)
$7,667 per credit (part-time)</t>
  </si>
  <si>
    <t>https://www.usnews.com/best-graduate-schools/top-engineering-schools/northwestern-university-02054</t>
  </si>
  <si>
    <t>$62,840 per year (full-time)</t>
  </si>
  <si>
    <t>https://www.usnews.com/best-graduate-schools/top-engineering-schools/johns-hopkins-university-02073</t>
  </si>
  <si>
    <t>$287 per credit (in-state, full-time)
$828 per credit (out-of-state, full-time)
ENROLLMENT (FULL-TIME)
3,249</t>
  </si>
  <si>
    <t>https://www.usnews.com/best-graduate-schools/top-engineering-schools/texas-a-m-university-02174</t>
  </si>
  <si>
    <t>$13,939 per year (in-state, full-time)
$29,041 per year (out-of-state, full-time)</t>
  </si>
  <si>
    <t>https://www.usnews.com/best-graduate-schools/top-engineering-schools/university-of-california-los-angeles-02024</t>
  </si>
  <si>
    <t>$26,584 per year (in-state, full-time)
$44,990 per year (out-of-state, full-time)</t>
  </si>
  <si>
    <t>https://www.usnews.com/best-graduate-schools/top-engineering-schools/pennsylvania-state-university-main-campus-02155</t>
  </si>
  <si>
    <t>$828 per credit (in-state, full-time)
$1,805 per credit (out-of-state, full-time)</t>
  </si>
  <si>
    <t>https://www.usnews.com/best-graduate-schools/top-engineering-schools/university-of-maryland-college-park-02074</t>
  </si>
  <si>
    <t>$1,593 per credit (in-state, full-time)
$2,465 per credit (out-of-state, full-time)</t>
  </si>
  <si>
    <t>https://www.usnews.com/best-graduate-schools/top-engineering-schools/university-of-minnesota-twin-cities-02091</t>
  </si>
  <si>
    <t xml:space="preserve">$47,190 per year (full-time)
</t>
  </si>
  <si>
    <t>https://www.usnews.com/best-graduate-schools/top-engineering-schools/university-of-pennsylvania-02156</t>
  </si>
  <si>
    <t>$10,728 per year (in-state, full-time)
$24,054 per year (out-of-state, full-time)</t>
  </si>
  <si>
    <t>https://www.usnews.com/best-graduate-schools/top-engineering-schools/university-of-wisconsin-madison-02192</t>
  </si>
  <si>
    <t>$15,234 per year (in-state, full-time)
$30,702 per year (out-of-state, full-time)</t>
  </si>
  <si>
    <t>https://www.usnews.com/best-graduate-schools/top-engineering-schools/virginia-polytechnic-institute-and-state-university-02187</t>
  </si>
  <si>
    <t>$61,768 per year (full-time)
$30,884 per year (part-time)</t>
  </si>
  <si>
    <t>$30,702 per year (out-of-state, full-time)</t>
  </si>
  <si>
    <t>https://www.usnews.com/best-graduate-schools/top-engineering-schools/harvard-university-02076</t>
  </si>
  <si>
    <t>https://www.usnews.com/best-graduate-schools/top-engineering-schools/university-of-california-san-diego-02025</t>
  </si>
  <si>
    <t>$62,620 per year (full-time)
$3,635 per year (part-time)</t>
  </si>
  <si>
    <t>https://www.usnews.com/best-graduate-schools/top-engineering-schools/duke-university-02130</t>
  </si>
  <si>
    <t>$12,515 per year (in-state, full-time)
$40,245 per year (out-of-state, full-time)</t>
  </si>
  <si>
    <t>https://www.usnews.com/best-graduate-schools/top-engineering-schools/ohio-state-university-columbus-02139</t>
  </si>
  <si>
    <t>$57,210 per year (full-time)
$3,178 per credit (part-time)</t>
  </si>
  <si>
    <t>https://www.usnews.com/best-graduate-schools/top-engineering-schools/rice-university-02171</t>
  </si>
  <si>
    <t>$2,462 per credit (full-time)
$2,462 per credit (part-time)</t>
  </si>
  <si>
    <t>https://www.usnews.com/best-graduate-schools/top-engineering-schools/columbia-university-02116</t>
  </si>
  <si>
    <t>$16,938 per year (in-state, full-time)
$37,620 per year (out-of-state, full-time)</t>
  </si>
  <si>
    <t>https://www.usnews.com/best-graduate-schools/top-engineering-schools/university-of-colorado-at-boulder-02032</t>
  </si>
  <si>
    <t>$10,770 per year (in-state, full-time)
$27,335 per year (out-of-state, full-time)</t>
  </si>
  <si>
    <t>https://www.usnews.com/best-graduate-schools/top-engineering-schools/university-of-florida-02046</t>
  </si>
  <si>
    <t>$2,424 per credit (full-time)
$2,424 per credit (part-time)</t>
  </si>
  <si>
    <t>https://www.usnews.com/best-graduate-schools/top-engineering-schools/university-of-southern-california-02027</t>
  </si>
  <si>
    <t>$20,067 per year (in-state, full-time)
$35,769 per year (out-of-state, full-time)</t>
  </si>
  <si>
    <t>https://www.usnews.com/best-graduate-schools/top-engineering-schools/university-of-washington-seattle-campus-02188</t>
  </si>
  <si>
    <t>$9,452 per credit (full-time)
$9,452 per credit (part-time)</t>
  </si>
  <si>
    <t>https://premium.usnews.com/best-graduate-schools/top-engineering-schools/brown-university-02159</t>
  </si>
  <si>
    <t>$60,360 per year (full-time)</t>
  </si>
  <si>
    <t>https://www.usnews.com/best-graduate-schools/top-engineering-schools/rensselaer-polytechnic-institute-02121</t>
  </si>
  <si>
    <t>$13,470 per year (in-state, full-time)
$15,102 per year (out-of-state, full-time)</t>
  </si>
  <si>
    <t>https://www.usnews.com/best-graduate-schools/top-engineering-schools/university-of-california-santa-barbara-02026</t>
  </si>
  <si>
    <t>$62,030 per year (full-time)</t>
  </si>
  <si>
    <t>https://www.usnews.com/best-graduate-schools/top-engineering-schools/university-of-notre-dame-02059</t>
  </si>
  <si>
    <t>$48,300 per year (full-time)
$6,037 per credit (part-time)</t>
  </si>
  <si>
    <t>https://www.usnews.com/best-graduate-schools/top-engineering-schools/yale-university-02037</t>
  </si>
  <si>
    <t>$12,376 per year (in-state, full-time)
$34,290 per year (out-of-state, full-time)</t>
  </si>
  <si>
    <t>https://www.usnews.com/best-graduate-schools/top-engineering-schools/arizona-state-university-02006</t>
  </si>
  <si>
    <t>https://www.usnews.com/best-graduate-schools/top-engineering-schools/university-of-california-davis-02022</t>
  </si>
  <si>
    <t>https://www.usnews.com/best-graduate-schools/top-engineering-schools/university-of-california-irvine-02023</t>
  </si>
  <si>
    <t>$14,076 per year (in-state, full-time)
$31,420 per year (out-of-state, full-time)</t>
  </si>
  <si>
    <t>https://www.usnews.com/best-graduate-schools/top-engineering-schools/iowa-state-university-02060</t>
  </si>
  <si>
    <t>$9,459 per year (in-state, full-time)
$29,433 per year (out-of-state, full-time)</t>
  </si>
  <si>
    <t>https://www.usnews.com/best-graduate-schools/top-engineering-schools/north-carolina-state-university-raleigh-02132</t>
  </si>
  <si>
    <t>$19,854 per year (in-state, full-time)
$32,824 per year (out-of-state, full-time)</t>
  </si>
  <si>
    <t>https://www.usnews.com/best-graduate-schools/top-engineering-schools/university-of-virginia-main-campus-02186</t>
  </si>
  <si>
    <t>$61,750 per year (full-time)</t>
  </si>
  <si>
    <t>https://www.usnews.com/best-graduate-schools/top-engineering-schools/washington-university-in-st-louis-02097</t>
  </si>
  <si>
    <t>$52,360 per year (full-time)</t>
  </si>
  <si>
    <t>https://www.usnews.com/best-graduate-schools/top-engineering-schools/case-western-reserve-university-02138</t>
  </si>
  <si>
    <t>$966 per credit (in-state, full-time)
$1,811 per credit (out-of-state, full-time)</t>
  </si>
  <si>
    <t>https://premium.usnews.com/best-graduate-schools/top-engineering-schools/michigan-state-university-02084</t>
  </si>
  <si>
    <t xml:space="preserve">$41,058 per year (full-time)
$2,281 per credit (part-time)
</t>
  </si>
  <si>
    <t>https://www.usnews.com/best-graduate-schools/top-engineering-schools/vanderbilt-university-02169</t>
  </si>
  <si>
    <t>$63,798 per year (full-time)
$1,994 per credit (part-time)</t>
  </si>
  <si>
    <t>$18,558 per year (in-state, full-time)
$41,580 per year (out-of-state, full-time)</t>
  </si>
  <si>
    <t>https://www.usnews.com/best-graduate-schools/top-engineering-schools/colorado-school-of-mines-02030</t>
  </si>
  <si>
    <t>$19,824 per year (in-state, full-time)
$33,720 per year (out-of-state, full-time)</t>
  </si>
  <si>
    <t>https://premium.usnews.com/best-graduate-schools/top-engineering-schools/rutgers-university-02109</t>
  </si>
  <si>
    <t>$18,504 per year (in-state, full-time)
$18,504 per year (out-of-state, full-time)</t>
  </si>
  <si>
    <t>https://www.usnews.com/best-graduate-schools/top-engineering-schools/university-of-delaware-02038</t>
  </si>
  <si>
    <t>$11,220 per year (in-state, full-time)
$23,372 per year (out-of-state, full-time)</t>
  </si>
  <si>
    <t>https://premium.usnews.com/best-graduate-schools/top-engineering-schools/clemson-university-02161</t>
  </si>
  <si>
    <t>$1,342 per credit (full-time)
$1,342 per credit (part-time)</t>
  </si>
  <si>
    <t>https://premium.usnews.com/best-graduate-schools/top-engineering-schools/drexel-university-02153</t>
  </si>
  <si>
    <t>$1,730 per credit (full-time)
$1,730 per credit (part-time)</t>
  </si>
  <si>
    <t>https://premium.usnews.com/best-graduate-schools/top-engineering-schools/tufts-university-02080</t>
  </si>
  <si>
    <t>$11,310 per year (in-state, full-time)
$24,260 per year (out-of-state, full-time)</t>
  </si>
  <si>
    <t>https://premium.usnews.com/best-graduate-schools/top-engineering-schools/university-at-buffalo-02124</t>
  </si>
  <si>
    <t>$14,388 per year (in-state, full-time)
$33,960 per year (out-of-state, full-time)</t>
  </si>
  <si>
    <t>https://premium.usnews.com/best-graduate-schools/top-engineering-schools/university-of-arizona-02007</t>
  </si>
  <si>
    <t>$18,834 per year (in-state, full-time)
$40,746 per year (out-of-state, full-time)</t>
  </si>
  <si>
    <t>https://premium.usnews.com/best-graduate-schools/top-engineering-schools/university-of-connecticut-02036</t>
  </si>
  <si>
    <t>$11,256 per year (in-state, full-time)
$30,203 per year (out-of-state, full-time)</t>
  </si>
  <si>
    <t>https://premium.usnews.com/best-graduate-schools/top-engineering-schools/university-of-iowa-02061</t>
  </si>
  <si>
    <t>$29,440 per year (in-state, full-time)
$49,930 per year (out-of-state, full-time)</t>
  </si>
  <si>
    <t>https://www.usnews.com/best-graduate-schools/top-engineering-schools/university-of-pittsburgh-pittsburgh-campus-02157</t>
  </si>
  <si>
    <t>$10,692 per year (in-state, full-time)
$32,076 per year (out-of-state, full-time)</t>
  </si>
  <si>
    <t>https://premium.usnews.com/best-graduate-schools/top-engineering-schools/auburn-university-02001</t>
  </si>
  <si>
    <t>$2,075 per credit (full-time)
$2,075 per credit (part-time)</t>
  </si>
  <si>
    <t>https://premium.usnews.com/best-graduate-schools/top-engineering-schools/george-washington-university-02040</t>
  </si>
  <si>
    <t>$1,545 per credit (full-time)
$1,545 per credit (part-time)</t>
  </si>
  <si>
    <t>https://premium.usnews.com/best-graduate-schools/top-engineering-schools/lehigh-university-02154</t>
  </si>
  <si>
    <t>$13,500 per year (in-state, full-time)
$21,600 per year (out-of-state, full-time)</t>
  </si>
  <si>
    <t>https://premium.usnews.com/best-graduate-schools/top-engineering-schools/missouri-university-of-science--technology-02095</t>
  </si>
  <si>
    <t>https://premium.usnews.com/best-graduate-schools/top-engineering-schools/naval-postgraduate-school-02244</t>
  </si>
  <si>
    <t>$11,310 per year (in-state, full-time)
$24,490 per year (out-of-state, full-time)</t>
  </si>
  <si>
    <t>https://premium.usnews.com/best-graduate-schools/top-engineering-schools/stony-brook-university-02125</t>
  </si>
  <si>
    <t>"$16,978 per year (in-state, full-time)
$30,498 per year (out-of-state, full-time)"</t>
  </si>
  <si>
    <t>https://premium.usnews.com/best-graduate-schools/top-engineering-schools/university-of-illinois-chicago-02056</t>
  </si>
  <si>
    <t>$639 per credit (in-state, full-time)
$1,650 per credit (out-of-state, full-time)</t>
  </si>
  <si>
    <t>https://premium.usnews.com/best-graduate-schools/top-engineering-schools/the-university-of-tennessee-02167</t>
  </si>
  <si>
    <t>$620 per credit (in-state, full-time)
$1,520 per credit (out-of-state, full-time)</t>
  </si>
  <si>
    <t>https://premium.usnews.com/best-graduate-schools/top-engineering-schools/colorado-state-university-02031</t>
  </si>
  <si>
    <t>$2,335 per credit (full-time)
$2,335 per credit (part-time)</t>
  </si>
  <si>
    <t>https://www.usnews.com/best-graduate-schools/top-engineering-schools/new-york-university-02120</t>
  </si>
  <si>
    <t>$288 per credit (in-state, full-time)
$1,073 per credit (out-of-state, full-time)</t>
  </si>
  <si>
    <t>https://premium.usnews.com/best-graduate-schools/top-engineering-schools/university-of-central-florida-02045</t>
  </si>
  <si>
    <t>University of Cincinnati (47)</t>
  </si>
  <si>
    <t>$13,224 per year (in-state, full-time)
$24,996 per year (out-of-state, full-time)</t>
  </si>
  <si>
    <t>https://premium.usnews.com/best-graduate-schools/top-engineering-schools/university-of-cincinnati-02142</t>
  </si>
  <si>
    <t>$10,911 per year (in-state, full-time)
$20,270 per year (out-of-state, full-time)</t>
  </si>
  <si>
    <t>https://premium.usnews.com/best-graduate-schools/top-engineering-schools/university-of-houston-02176</t>
  </si>
  <si>
    <t>$9,006 per year (in-state, full-time)
$27,614 per year (out-of-state, full-time)</t>
  </si>
  <si>
    <t>https://premium.usnews.com/best-graduate-schools/top-engineering-schools/university-of-utah-02181</t>
  </si>
  <si>
    <t>$6,627 per year (in-state, full-time)
$14,210 per year (out-of-state, full-time)</t>
  </si>
  <si>
    <t>https://premium.usnews.com/best-graduate-schools/top-engineering-schools/washington-state-university-02189</t>
  </si>
  <si>
    <t>$28,980 per year (full-time)
$1,610 per credit (part-time)</t>
  </si>
  <si>
    <t>https://premium.usnews.com/best-graduate-schools/top-engineering-schools/worcester-polytechnic-institute-02083</t>
  </si>
  <si>
    <t>$8,096 per year (LDS member, full-time)
$16,192 per year (Non-LDS member, full-time)</t>
  </si>
  <si>
    <t>https://premium.usnews.com/best-graduate-schools/top-engineering-schools/brigham-young-university-02180</t>
  </si>
  <si>
    <t>$30,816 per year (full-time)
$1,712 per credit (part-time)</t>
  </si>
  <si>
    <t>https://premium.usnews.com/best-graduate-schools/top-engineering-schools/illinois-institute-of-technology-02053</t>
  </si>
  <si>
    <t>$1,458 per credit (in-state, full-time)
$1,458 per credit (out-of-state, full-time)</t>
  </si>
  <si>
    <t>https://premium.usnews.com/best-graduate-schools/top-engineering-schools/michigan-technological-university-02085</t>
  </si>
  <si>
    <t>$41,380 per year (full-time)
$1,864 per credit (part-time)</t>
  </si>
  <si>
    <t>https://premium.usnews.com/best-graduate-schools/top-engineering-schools/stevens-institute-of-technology-02110</t>
  </si>
  <si>
    <t>$1,872 per credit (full-time)
$1,872 per credit (part-time)</t>
  </si>
  <si>
    <t>https://premium.usnews.com/best-graduate-schools/top-engineering-schools/syracuse-university-02128</t>
  </si>
  <si>
    <t>$16,798 per year (in-state, full-time)
$31,178 per year (out-of-state, full-time)</t>
  </si>
  <si>
    <t>https://premium.usnews.com/best-graduate-schools/top-engineering-schools/the-university-of-texas-at-dallas-02208</t>
  </si>
  <si>
    <t>$18,949 per year (in-state, full-time)
$34,050 per year (out-of-state, full-time)</t>
  </si>
  <si>
    <t>https://premium.usnews.com/best-graduate-schools/top-engineering-schools/university-of-california-riverside-02235</t>
  </si>
  <si>
    <t>$4,208 per year (in-state, full-time)
$15,835 per year (out-of-state, full-time)</t>
  </si>
  <si>
    <t>https://premium.usnews.com/best-graduate-schools/top-engineering-schools/oklahoma-state-university-main-campus-02147</t>
  </si>
  <si>
    <t>$11,100 per year (in-state, full-time)
$32,400 per year (out-of-state, full-time)</t>
  </si>
  <si>
    <t>https://premium.usnews.com/best-graduate-schools/top-engineering-schools/university-of-alabama-02003</t>
  </si>
  <si>
    <t>$9,234 per year (in-state, full-time)
$23,726 per year (out-of-state, full-time)</t>
  </si>
  <si>
    <t>https://premium.usnews.com/best-graduate-schools/top-engineering-schools/the-university-of-texas-at-arlington-02177</t>
  </si>
  <si>
    <t>$11,058 per year (in-state, full-time)
$26,170 per year (out-of-state, full-time)</t>
  </si>
  <si>
    <t>https://premium.usnews.com/best-graduate-schools/top-engineering-schools/university-of-alabama-in-huntsville-02005</t>
  </si>
  <si>
    <t>$12,967 per year (in-state, full-time)
$34,096 per year (out-of-state, full-time)</t>
  </si>
  <si>
    <t>https://premium.usnews.com/best-graduate-schools/top-engineering-schools/university-of-kentucky-02065</t>
  </si>
  <si>
    <t>$8,802 per year (in-state, full-time)
$23,940 per year (out-of-state, full-time)</t>
  </si>
  <si>
    <t>https://premium.usnews.com/best-graduate-schools/top-engineering-schools/university-of-nebraska-lincoln-02100</t>
  </si>
  <si>
    <t>$10,029 per year (in-state, full-time)
$24,598 per year (out-of-state, full-time)</t>
  </si>
  <si>
    <t>https://premium.usnews.com/best-graduate-schools/top-engineering-schools/university-of-north-carolina-at-charlotte-02134</t>
  </si>
  <si>
    <t>$1,970 per credit (full-time)
$1,970 per credit (part-time)</t>
  </si>
  <si>
    <t>https://www.usnews.com/best-graduate-schools/top-engineering-schools/university-of-rochester-02129</t>
  </si>
  <si>
    <t>$14,209 per year (in-state, full-time)
$30,235 per year (out-of-state, full-time)</t>
  </si>
  <si>
    <t>https://premium.usnews.com/best-graduate-schools/top-engineering-schools/university-of-south-carolina-02162</t>
  </si>
  <si>
    <t>$11,310 per year (in-state, full-time)
$23,790 per year (out-of-state, full-time)</t>
  </si>
  <si>
    <t>https://premium.usnews.com/best-graduate-schools/top-engineering-schools/binghamton-university-suny-02123</t>
  </si>
  <si>
    <t>180-199</t>
  </si>
  <si>
    <t>$1,500 per credit</t>
  </si>
  <si>
    <t>https://premium.usnews.com/best-graduate-schools/top-engineering-schools/clarkson-university-02115</t>
  </si>
  <si>
    <t>$20,340 per year (full-time)
$1,695 per credit (part-time)</t>
  </si>
  <si>
    <t>https://premium.usnews.com/best-graduate-schools/top-engineering-schools/embry-riddle-aeronautical-university---daytona-beach-02315</t>
  </si>
  <si>
    <t>$450 per credit (in-state, full-time)
$1,007 per credit (out-of-state, full-time)</t>
  </si>
  <si>
    <t>https://premium.usnews.com/best-graduate-schools/top-engineering-schools/kansas-state-university-02062</t>
  </si>
  <si>
    <t>$7,176 per year (in-state)</t>
  </si>
  <si>
    <t>https://premium.usnews.com/best-graduate-schools/top-engineering-schools/san-diego-state-university-02251</t>
  </si>
  <si>
    <t>$8,347 per year (in-state)</t>
  </si>
  <si>
    <t>https://premium.usnews.com/best-graduate-schools/top-engineering-schools/texas-tech-university-02175</t>
  </si>
  <si>
    <t>$13,317 per year (in-state)</t>
  </si>
  <si>
    <t>https://premium.usnews.com/best-graduate-schools/top-engineering-schools/university-of-georgia-02238</t>
  </si>
  <si>
    <t>$12,768 per year (in-state)</t>
  </si>
  <si>
    <t>https://premium.usnews.com/best-graduate-schools/top-engineering-schools/university-of-kansas-02063</t>
  </si>
  <si>
    <t>https://premium.usnews.com/best-graduate-schools/top-engineering-schools/university-of-maryland-baltimore-county-02220</t>
  </si>
  <si>
    <t>https://premium.usnews.com/best-graduate-schools/top-engineering-schools/university-of-missouri-columbia-02094</t>
  </si>
  <si>
    <t>https://premium.usnews.com/best-graduate-schools/top-engineering-schools/villanova-university-02418</t>
  </si>
  <si>
    <t>https://premium.usnews.com/best-graduate-schools/top-engineering-schools/virginia-commonwealth-university-02241</t>
  </si>
  <si>
    <t>https://premium.usnews.com/best-graduate-schools/top-engineering-schools/west-virginia-university-02190</t>
  </si>
  <si>
    <t>https://premium.usnews.com/best-graduate-schools/top-engineering-schools/baylor-university-02288</t>
  </si>
  <si>
    <t>https://premium.usnews.com/best-graduate-schools/top-engineering-schools/florida-state-university-02215</t>
  </si>
  <si>
    <t>https://premium.usnews.com/best-graduate-schools/top-engineering-schools/louisiana-state-university-and-agricultural--mechanical-college-02067</t>
  </si>
  <si>
    <t>https://premium.usnews.com/best-graduate-schools/top-engineering-schools/mississippi-state-university-02092</t>
  </si>
  <si>
    <t>https://premium.usnews.com/best-graduate-schools/top-engineering-schools/southern-methodist-university-02172</t>
  </si>
  <si>
    <t>https://premium.usnews.com/best-graduate-schools/top-engineering-schools/university-of-california-merced-02439</t>
  </si>
  <si>
    <t>https://premium.usnews.com/best-graduate-schools/top-engineering-schools/university-of-dayton-02143</t>
  </si>
  <si>
    <t>https://premium.usnews.com/best-graduate-schools/top-engineering-schools/university-of-miami-02047</t>
  </si>
  <si>
    <t>https://premium.usnews.com/best-graduate-schools/top-engineering-schools/university-of-new-mexico-main-campus-02113</t>
  </si>
  <si>
    <t>https://premium.usnews.com/best-graduate-schools/top-engineering-schools/university-of-oklahoma-tulsa-02148</t>
  </si>
  <si>
    <t>https://premium.usnews.com/best-graduate-schools/top-engineering-schools/university-of-vermont-02183</t>
  </si>
  <si>
    <t>https://premium.usnews.com/best-graduate-schools/top-engineering-schools/university-of-wisconsin-milwaukee-02193</t>
  </si>
  <si>
    <t>https://premium.usnews.com/best-graduate-schools/top-engineering-schools/cuny-city-college-02239</t>
  </si>
  <si>
    <t>https://premium.usnews.com/best-graduate-schools/top-engineering-schools/howard-university-02041</t>
  </si>
  <si>
    <t>https://premium.usnews.com/best-graduate-schools/top-engineering-schools/new-mexico-state-university-main-campus-02112</t>
  </si>
  <si>
    <t>https://premium.usnews.com/best-graduate-schools/top-engineering-schools/south-dakota-school-of-mines-and-technology-02163</t>
  </si>
  <si>
    <t>https://premium.usnews.com/best-graduate-schools/top-engineering-schools/temple-university-02206</t>
  </si>
  <si>
    <t>https://premium.usnews.com/best-graduate-schools/top-engineering-schools/university-of-arkansas-02008</t>
  </si>
  <si>
    <t>https://premium.usnews.com/best-graduate-schools/top-engineering-schools/university-of-colorado-colorado-springs-02033</t>
  </si>
  <si>
    <t>University of Hawaii--Manoa (100)</t>
  </si>
  <si>
    <t>https://premium.usnews.com/best-graduate-schools/top-engineering-schools/university-of-hawaii-manoa-02050</t>
  </si>
  <si>
    <t>https://premium.usnews.com/best-graduate-schools/top-engineering-schools/university-of-michigan-dearborn-02400</t>
  </si>
  <si>
    <t>https://premium.usnews.com/best-graduate-schools/top-engineering-schools/university-of-new-hampshire-02104</t>
  </si>
  <si>
    <t>https://premium.usnews.com/best-graduate-schools/top-engineering-schools/university-of-south-florida-02048</t>
  </si>
  <si>
    <t>https://premium.usnews.com/best-graduate-schools/top-engineering-schools/the-university-of-texas-at-san-antonio-02257</t>
  </si>
  <si>
    <t>https://premium.usnews.com/best-graduate-schools/top-engineering-schools/utah-state-university-cehs-02182</t>
  </si>
  <si>
    <t>https://premium.usnews.com/best-graduate-schools/top-engineering-schools/wayne-state-university-02090</t>
  </si>
  <si>
    <t>https://premium.usnews.com/best-graduate-schools/top-engineering-schools/florida-institute-of-technology-02043</t>
  </si>
  <si>
    <t>https://premium.usnews.com/best-graduate-schools/top-engineering-schools/north-carolina-a&amp;t-state-university-02131</t>
  </si>
  <si>
    <t>https://premium.usnews.com/best-graduate-schools/top-engineering-schools/old-dominion-university-02185</t>
  </si>
  <si>
    <t>https://premium.usnews.com/best-graduate-schools/top-engineering-schools/university-of-akron-main-campus-02141</t>
  </si>
  <si>
    <t>https://premium.usnews.com/best-graduate-schools/top-engineering-schools/university-of-alabama-at-birmingham-02004</t>
  </si>
  <si>
    <t>https://premium.usnews.com/best-graduate-schools/top-engineering-schools/university-of-colorado-denver-02034</t>
  </si>
  <si>
    <t>https://premium.usnews.com/best-graduate-schools/top-engineering-schools/university-of-denver-02230</t>
  </si>
  <si>
    <t>https://premium.usnews.com/best-graduate-schools/top-engineering-schools/university-of-louisville-02066</t>
  </si>
  <si>
    <t>https://premium.usnews.com/best-graduate-schools/top-engineering-schools/university-of-maine-02072</t>
  </si>
  <si>
    <t>https://premium.usnews.com/best-graduate-schools/top-engineering-schools/university-of-nevada-reno-02101</t>
  </si>
  <si>
    <t>https://premium.usnews.com/best-graduate-schools/top-engineering-schools/university-of-wyoming-02194</t>
  </si>
  <si>
    <t>https://premium.usnews.com/best-graduate-schools/top-engineering-schools/wichita-state-university-02064</t>
  </si>
  <si>
    <t>https://premium.usnews.com/best-graduate-schools/top-engineering-schools/cleveland-state-university-02222</t>
  </si>
  <si>
    <t>https://premium.usnews.com/best-graduate-schools/top-engineering-schools/florida-international-university-02044</t>
  </si>
  <si>
    <t>https://premium.usnews.com/best-graduate-schools/top-engineering-schools/louisiana-tech-university-02068</t>
  </si>
  <si>
    <t>https://premium.usnews.com/best-graduate-schools/top-engineering-schools/marquette-university-02191</t>
  </si>
  <si>
    <t>https://premium.usnews.com/best-graduate-schools/top-engineering-schools/ohio-university-02140</t>
  </si>
  <si>
    <t>https://premium.usnews.com/best-graduate-schools/top-engineering-schools/rowan-university-02274</t>
  </si>
  <si>
    <t>https://premium.usnews.com/best-graduate-schools/top-engineering-schools/santa-clara-university-02019</t>
  </si>
  <si>
    <t>https://premium.usnews.com/best-graduate-schools/top-engineering-schools/southern-illinois-university-carbondale-02199</t>
  </si>
  <si>
    <t>https://premium.usnews.com/best-graduate-schools/top-engineering-schools/the-university-of-texas-at-el-paso-02179</t>
  </si>
  <si>
    <t>https://premium.usnews.com/best-graduate-schools/top-engineering-schools/university-of-idaho-02051</t>
  </si>
  <si>
    <t>https://premium.usnews.com/best-graduate-schools/university-of-mississippi-main-campus-176017/overall-rankings</t>
  </si>
  <si>
    <t>https://premium.usnews.com/best-graduate-schools/top-engineering-schools/university-of-nevada-las-vegas-02203</t>
  </si>
  <si>
    <t>https://premium.usnews.com/best-graduate-schools/top-engineering-schools/university-of-north-texas-02436</t>
  </si>
  <si>
    <t xml:space="preserve"> </t>
  </si>
  <si>
    <t>https://premium.usnews.com/best-graduate-schools/top-engineering-schools/wright-state-university-02145</t>
  </si>
  <si>
    <t>https://premium.usnews.com/best-graduate-schools/top-engineering-schools/florida-atlantic-university-02042</t>
  </si>
  <si>
    <t>https://premium.usnews.com/best-graduate-schools/top-engineering-schools/north-dakota-state-university-02135</t>
  </si>
  <si>
    <t>Unranked</t>
  </si>
  <si>
    <t>https://premium.usnews.com/best-graduate-schools/top-engineering-schools/northern-arizona-university-02557</t>
  </si>
  <si>
    <t>https://premium.usnews.com/best-graduate-schools/top-engineering-schools/south-dakota-state-university-02164</t>
  </si>
  <si>
    <t>https://premium.usnews.com/best-graduate-schools/top-engineering-schools/the-catholic-university-of-america-02039</t>
  </si>
  <si>
    <t>https://premium.usnews.com/best-graduate-schools/top-engineering-schools/university-of-arkansas-at-little-rock-02277</t>
  </si>
  <si>
    <t>https://premium.usnews.com/best-graduate-schools/top-engineering-schools/university-of-memphis-02165</t>
  </si>
  <si>
    <t>https://www.usnews.com/best-graduate-schools/top-engineering-schools/university-of-tulsa-02234</t>
  </si>
  <si>
    <t>https://premium.usnews.com/best-graduate-schools/top-engineering-schools/western-michigan-university-02202</t>
  </si>
  <si>
    <t>https://premium.usnews.com/best-graduate-schools/top-engineering-schools/lamar-university-02170</t>
  </si>
  <si>
    <t>https://premium.usnews.com/best-graduate-schools/top-engineering-schools/new-mexico-institute-of-mining-and-technology-02111</t>
  </si>
  <si>
    <t>https://premium.usnews.com/best-graduate-schools/top-engineering-schools/oakland-university-02086</t>
  </si>
  <si>
    <t>https://premium.usnews.com/best-graduate-schools/top-engineering-schools/portland-state-university-02151</t>
  </si>
  <si>
    <t>https://premium.usnews.com/best-graduate-schools/top-engineering-schools/saint-louis-university-02255</t>
  </si>
  <si>
    <t>https://premium.usnews.com/best-graduate-schools/top-engineering-schools/university-of-new-orleans-02070</t>
  </si>
  <si>
    <t>unranked</t>
  </si>
  <si>
    <t>https://premium.usnews.com/best-graduate-schools/top-engineering-schools/university-of-north-dakota-02136</t>
  </si>
  <si>
    <t>https://premium.usnews.com/best-graduate-schools/top-engineering-schools/university-of-detroit-mercy-02087</t>
  </si>
  <si>
    <t>University Name</t>
  </si>
  <si>
    <t>Department Name</t>
  </si>
  <si>
    <t>US News Mechanical Engineering Ranking (2022-2023)</t>
  </si>
  <si>
    <t>US News Best Engineering Schools Ranking (2022-2023)</t>
  </si>
  <si>
    <t>US News Mechanical Engineering Ranking (2023-2024)</t>
  </si>
  <si>
    <t>US News Best Engineering Schools Ranking (2023-2024)</t>
  </si>
  <si>
    <t>Overall Score (2022-2023)</t>
  </si>
  <si>
    <t>Overall Score (2023-2024)</t>
  </si>
  <si>
    <t>Peer assessment score (out of 5) (2022-2023)</t>
  </si>
  <si>
    <t>Peer assessment score (out of 5) (2023-2024)</t>
  </si>
  <si>
    <t>Recruiter assessment score (out of 5) (2022-2023)</t>
  </si>
  <si>
    <t>Recruiter assessment score (out of 5) (2023-2024)</t>
  </si>
  <si>
    <t>TUITION AND FEES (2022-2023)</t>
  </si>
  <si>
    <t>TUITION AND FEES (2023-2024)</t>
  </si>
  <si>
    <t>ENROLLMENT (FULL-TIME) (2022-2023)</t>
  </si>
  <si>
    <t>ENROLLMENT (FULL-TIME) (2023-2024)</t>
  </si>
  <si>
    <t>AVERAGE QUANTITATIVE GRE (2022-2023)</t>
  </si>
  <si>
    <t>AVERAGE QUANTITATIVE GRE (2023-2024)</t>
  </si>
  <si>
    <t>US News Industrial / Manufacturing / Systems Engineering Ranking (2022-2023)</t>
  </si>
  <si>
    <t>US News Industrial / Manufacturing / Systems Engineering Ranking (2023-2024)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</si>
</sst>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dd/yyyy"/>
    <numFmt numFmtId="165" formatCode="&quot;$&quot;#,##0"/>
    <numFmt numFmtId="166" formatCode="m/d/yy"/>
    <numFmt numFmtId="167" formatCode="&quot;$&quot;#,##0.00"/>
  </numFmts>
  <fonts count="242">
    <font>
      <sz val="10"/>
      <color rgb="FF000000"/>
      <name val="Arial"/>
      <scheme val="minor"/>
    </font>
    <font>
      <b/>
      <sz val="10"/>
      <color theme="1"/>
      <name val="Arial"/>
      <family val="2"/>
    </font>
    <font>
      <sz val="10"/>
      <color rgb="FF000000"/>
      <name val="Arial"/>
      <family val="2"/>
    </font>
    <font>
      <b/>
      <sz val="10"/>
      <color rgb="FF000000"/>
      <name val="Arial"/>
      <family val="2"/>
    </font>
    <font>
      <sz val="10"/>
      <color theme="1"/>
      <name val="Arial"/>
      <family val="2"/>
    </font>
    <font>
      <sz val="10"/>
      <color theme="1"/>
      <name val="Arial"/>
      <family val="2"/>
    </font>
    <font>
      <b/>
      <sz val="10"/>
      <color theme="1"/>
      <name val="Arial"/>
      <family val="2"/>
    </font>
    <font>
      <sz val="10"/>
      <color theme="1"/>
      <name val="Arial"/>
      <family val="2"/>
      <scheme val="minor"/>
    </font>
    <font>
      <b/>
      <sz val="10"/>
      <color theme="1"/>
      <name val="Arial"/>
      <family val="2"/>
      <scheme val="minor"/>
    </font>
    <font>
      <sz val="10"/>
      <name val="Arial"/>
      <family val="2"/>
    </font>
    <font>
      <u/>
      <sz val="10"/>
      <color rgb="FF000000"/>
      <name val="Arial"/>
      <family val="2"/>
    </font>
    <font>
      <u/>
      <sz val="10"/>
      <color rgb="FF0000FF"/>
      <name val="Arial"/>
      <family val="2"/>
    </font>
    <font>
      <u/>
      <sz val="10"/>
      <color rgb="FF0000FF"/>
      <name val="Arial"/>
      <family val="2"/>
    </font>
    <font>
      <u/>
      <sz val="10"/>
      <color rgb="FF000000"/>
      <name val="Arial"/>
      <family val="2"/>
    </font>
    <font>
      <u/>
      <sz val="10"/>
      <color rgb="FF000000"/>
      <name val="Arial"/>
      <family val="2"/>
    </font>
    <font>
      <u/>
      <sz val="10"/>
      <color rgb="FF000000"/>
      <name val="Arial"/>
      <family val="2"/>
    </font>
    <font>
      <b/>
      <sz val="10"/>
      <color rgb="FF1A1D26"/>
      <name val="Arial"/>
      <family val="2"/>
    </font>
    <font>
      <u/>
      <sz val="10"/>
      <color rgb="FF0000FF"/>
      <name val="Arial"/>
      <family val="2"/>
    </font>
    <font>
      <sz val="10"/>
      <color rgb="FF1A1D26"/>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00"/>
      <name val="Arial"/>
      <family val="2"/>
    </font>
    <font>
      <u/>
      <sz val="10"/>
      <color rgb="FF0000FF"/>
      <name val="Arial"/>
      <family val="2"/>
    </font>
    <font>
      <u/>
      <sz val="10"/>
      <color rgb="FF000000"/>
      <name val="Arial"/>
      <family val="2"/>
    </font>
    <font>
      <sz val="11"/>
      <color rgb="FF231F20"/>
      <name val="Roboto"/>
    </font>
    <font>
      <u/>
      <sz val="10"/>
      <color rgb="FF0000FF"/>
      <name val="Arial"/>
      <family val="2"/>
    </font>
    <font>
      <u/>
      <sz val="10"/>
      <color rgb="FF000000"/>
      <name val="Arial"/>
      <family val="2"/>
    </font>
    <font>
      <sz val="12"/>
      <color rgb="FF4A494A"/>
      <name val="Lato"/>
    </font>
    <font>
      <sz val="10"/>
      <color rgb="FF4A494A"/>
      <name val="Arial"/>
      <family val="2"/>
    </font>
    <font>
      <u/>
      <sz val="10"/>
      <color rgb="FF000000"/>
      <name val="Arial"/>
      <family val="2"/>
    </font>
    <font>
      <u/>
      <sz val="10"/>
      <color rgb="FF0000FF"/>
      <name val="Arial"/>
      <family val="2"/>
    </font>
    <font>
      <u/>
      <sz val="10"/>
      <color rgb="FF000000"/>
      <name val="Arial"/>
      <family val="2"/>
    </font>
    <font>
      <u/>
      <sz val="10"/>
      <color rgb="FF000000"/>
      <name val="Arial"/>
      <family val="2"/>
    </font>
    <font>
      <u/>
      <sz val="10"/>
      <color rgb="FF000000"/>
      <name val="Arial"/>
      <family val="2"/>
    </font>
    <font>
      <u/>
      <sz val="10"/>
      <color rgb="FF000000"/>
      <name val="Arial"/>
      <family val="2"/>
    </font>
    <font>
      <u/>
      <sz val="10"/>
      <color rgb="FF000000"/>
      <name val="Arial"/>
      <family val="2"/>
    </font>
    <font>
      <sz val="10"/>
      <color rgb="FF3B3B3B"/>
      <name val="Arial"/>
      <family val="2"/>
    </font>
    <font>
      <u/>
      <sz val="10"/>
      <color rgb="FF0000FF"/>
      <name val="Arial"/>
      <family val="2"/>
    </font>
    <font>
      <u/>
      <sz val="10"/>
      <color rgb="FF1155CC"/>
      <name val="Arial"/>
      <family val="2"/>
    </font>
    <font>
      <sz val="13"/>
      <color rgb="FF3D3D3D"/>
      <name val="Open Sans"/>
    </font>
    <font>
      <b/>
      <sz val="10"/>
      <color rgb="FF555555"/>
      <name val="Arial"/>
      <family val="2"/>
    </font>
    <font>
      <sz val="10"/>
      <color rgb="FFE44222"/>
      <name val="Arial"/>
      <family val="2"/>
    </font>
    <font>
      <b/>
      <sz val="10"/>
      <color rgb="FFE44222"/>
      <name val="Arial"/>
      <family val="2"/>
    </font>
    <font>
      <sz val="10"/>
      <color rgb="FF448CDC"/>
      <name val="Arial"/>
      <family val="2"/>
    </font>
    <font>
      <b/>
      <sz val="10"/>
      <color rgb="FF448CDC"/>
      <name val="Arial"/>
      <family val="2"/>
    </font>
    <font>
      <u/>
      <sz val="10"/>
      <color rgb="FF000000"/>
      <name val="Arial"/>
      <family val="2"/>
    </font>
    <font>
      <u/>
      <sz val="10"/>
      <color rgb="FF8C1D40"/>
      <name val="Arial"/>
      <family val="2"/>
    </font>
    <font>
      <b/>
      <u/>
      <sz val="10"/>
      <color rgb="FF666666"/>
      <name val="Arial"/>
      <family val="2"/>
    </font>
    <font>
      <b/>
      <u/>
      <sz val="10"/>
      <color rgb="FF8C1D40"/>
      <name val="Arial"/>
      <family val="2"/>
    </font>
    <font>
      <b/>
      <sz val="10"/>
      <color rgb="FF022851"/>
      <name val="Arial"/>
      <family val="2"/>
    </font>
    <font>
      <b/>
      <u/>
      <sz val="10"/>
      <color rgb="FF13639E"/>
      <name val="Arial"/>
      <family val="2"/>
    </font>
    <font>
      <sz val="10"/>
      <color rgb="FF203043"/>
      <name val="Arial"/>
      <family val="2"/>
    </font>
    <font>
      <b/>
      <sz val="10"/>
      <color rgb="FF203043"/>
      <name val="Arial"/>
      <family val="2"/>
    </font>
    <font>
      <b/>
      <u/>
      <sz val="10"/>
      <color rgb="FF203043"/>
      <name val="Arial"/>
      <family val="2"/>
    </font>
    <font>
      <u/>
      <sz val="10"/>
      <color rgb="FFCC0000"/>
      <name val="Arial"/>
      <family val="2"/>
    </font>
    <font>
      <sz val="10"/>
      <color rgb="FFD2492A"/>
      <name val="Arial"/>
      <family val="2"/>
    </font>
    <font>
      <sz val="10"/>
      <color rgb="FF21314D"/>
      <name val="Arial"/>
      <family val="2"/>
    </font>
    <font>
      <b/>
      <sz val="10"/>
      <color rgb="FF21314D"/>
      <name val="Arial"/>
      <family val="2"/>
    </font>
    <font>
      <b/>
      <sz val="10"/>
      <color rgb="FFD2492A"/>
      <name val="Arial"/>
      <family val="2"/>
    </font>
    <font>
      <u/>
      <sz val="10"/>
      <color rgb="FF000000"/>
      <name val="Arial"/>
      <family val="2"/>
    </font>
    <font>
      <b/>
      <sz val="10"/>
      <color rgb="FFD21033"/>
      <name val="Arial"/>
      <family val="2"/>
    </font>
    <font>
      <u/>
      <sz val="10"/>
      <color rgb="FF000000"/>
      <name val="Arial"/>
      <family val="2"/>
    </font>
    <font>
      <u/>
      <sz val="10"/>
      <color rgb="FF2C669C"/>
      <name val="Arial"/>
      <family val="2"/>
    </font>
    <font>
      <sz val="10"/>
      <color rgb="FF005BBB"/>
      <name val="Arial"/>
      <family val="2"/>
    </font>
    <font>
      <i/>
      <sz val="10"/>
      <color theme="1"/>
      <name val="Arial"/>
      <family val="2"/>
    </font>
    <font>
      <b/>
      <u/>
      <sz val="10"/>
      <color rgb="FFAB0520"/>
      <name val="Arial"/>
      <family val="2"/>
    </font>
    <font>
      <b/>
      <i/>
      <sz val="10"/>
      <color rgb="FFAB0520"/>
      <name val="Arial"/>
      <family val="2"/>
    </font>
    <font>
      <b/>
      <sz val="10"/>
      <color rgb="FFAB0520"/>
      <name val="Arial"/>
      <family val="2"/>
    </font>
    <font>
      <i/>
      <u/>
      <sz val="10"/>
      <color rgb="FF000000"/>
      <name val="Arial"/>
      <family val="2"/>
    </font>
    <font>
      <b/>
      <sz val="10"/>
      <color rgb="FF0081A6"/>
      <name val="Arial"/>
      <family val="2"/>
    </font>
    <font>
      <i/>
      <sz val="10"/>
      <color rgb="FF0081A6"/>
      <name val="Arial"/>
      <family val="2"/>
    </font>
    <font>
      <b/>
      <i/>
      <sz val="10"/>
      <color rgb="FF0081A6"/>
      <name val="Arial"/>
      <family val="2"/>
    </font>
    <font>
      <sz val="10"/>
      <color rgb="FF1B75BC"/>
      <name val="Arial"/>
      <family val="2"/>
    </font>
    <font>
      <b/>
      <sz val="10"/>
      <color rgb="FF003B49"/>
      <name val="Arial"/>
      <family val="2"/>
    </font>
    <font>
      <b/>
      <sz val="10"/>
      <color rgb="FF003B49"/>
      <name val="Arial"/>
      <family val="2"/>
    </font>
    <font>
      <sz val="10"/>
      <color rgb="FF003B49"/>
      <name val="Arial"/>
      <family val="2"/>
    </font>
    <font>
      <sz val="10"/>
      <color rgb="FF007A33"/>
      <name val="Arial"/>
      <family val="2"/>
    </font>
    <font>
      <b/>
      <sz val="10"/>
      <color rgb="FF004679"/>
      <name val="Arial"/>
      <family val="2"/>
    </font>
    <font>
      <sz val="10"/>
      <color rgb="FF004679"/>
      <name val="Arial"/>
      <family val="2"/>
    </font>
    <font>
      <b/>
      <sz val="10"/>
      <color rgb="FF58595B"/>
      <name val="Arial"/>
      <family val="2"/>
    </font>
    <font>
      <b/>
      <u/>
      <sz val="10"/>
      <color rgb="FF58595B"/>
      <name val="Arial"/>
      <family val="2"/>
    </font>
    <font>
      <b/>
      <u/>
      <sz val="10"/>
      <color rgb="FF58595B"/>
      <name val="Arial"/>
      <family val="2"/>
    </font>
    <font>
      <b/>
      <u/>
      <sz val="10"/>
      <color rgb="FF58595B"/>
      <name val="Arial"/>
      <family val="2"/>
    </font>
    <font>
      <sz val="9"/>
      <color rgb="FF1F1F1F"/>
      <name val="Arial"/>
      <family val="2"/>
    </font>
    <font>
      <b/>
      <u/>
      <sz val="10"/>
      <color rgb="FF58595B"/>
      <name val="Arial"/>
      <family val="2"/>
    </font>
    <font>
      <b/>
      <u/>
      <sz val="10"/>
      <color rgb="FF58595B"/>
      <name val="Arial"/>
      <family val="2"/>
    </font>
    <font>
      <b/>
      <sz val="10"/>
      <color rgb="FF2A3033"/>
      <name val="Arial"/>
      <family val="2"/>
    </font>
    <font>
      <sz val="10"/>
      <color rgb="FF981E32"/>
      <name val="Arial"/>
      <family val="2"/>
    </font>
    <font>
      <u/>
      <sz val="10"/>
      <color rgb="FF000000"/>
      <name val="Arial"/>
      <family val="2"/>
    </font>
    <font>
      <u/>
      <sz val="10"/>
      <color rgb="FF000000"/>
      <name val="Arial"/>
      <family val="2"/>
    </font>
    <font>
      <u/>
      <sz val="10"/>
      <color rgb="FF000000"/>
      <name val="Arial"/>
      <family val="2"/>
    </font>
    <font>
      <b/>
      <u/>
      <sz val="10"/>
      <color rgb="FF1F2327"/>
      <name val="Arial"/>
      <family val="2"/>
    </font>
    <font>
      <b/>
      <u/>
      <sz val="10"/>
      <color rgb="FFAC2B37"/>
      <name val="Arial"/>
      <family val="2"/>
    </font>
    <font>
      <u/>
      <sz val="10"/>
      <color rgb="FF000000"/>
      <name val="Arial"/>
      <family val="2"/>
    </font>
    <font>
      <u/>
      <sz val="12"/>
      <color rgb="FFAC2B37"/>
      <name val="Raleway"/>
    </font>
    <font>
      <u/>
      <sz val="10"/>
      <color rgb="FFAC2B37"/>
      <name val="Arial"/>
      <family val="2"/>
    </font>
    <font>
      <sz val="10"/>
      <color rgb="FF141414"/>
      <name val="Arial"/>
      <family val="2"/>
    </font>
    <font>
      <u/>
      <sz val="10"/>
      <color rgb="FF0000FF"/>
      <name val="Arial"/>
      <family val="2"/>
    </font>
    <font>
      <i/>
      <sz val="10"/>
      <color rgb="FFCC0000"/>
      <name val="Arial"/>
      <family val="2"/>
    </font>
    <font>
      <b/>
      <sz val="10"/>
      <color rgb="FFCC0000"/>
      <name val="Arial"/>
      <family val="2"/>
    </font>
    <font>
      <u/>
      <sz val="10"/>
      <color rgb="FF315196"/>
      <name val="Arial"/>
      <family val="2"/>
    </font>
    <font>
      <u/>
      <sz val="10"/>
      <color rgb="FF315196"/>
      <name val="Arial"/>
      <family val="2"/>
    </font>
    <font>
      <u/>
      <sz val="10"/>
      <color rgb="FF232323"/>
      <name val="Arial"/>
      <family val="2"/>
    </font>
    <font>
      <u/>
      <sz val="10"/>
      <color theme="1"/>
      <name val="Arial"/>
      <family val="2"/>
    </font>
    <font>
      <b/>
      <sz val="10"/>
      <color rgb="FFA32638"/>
      <name val="Arial"/>
      <family val="2"/>
    </font>
    <font>
      <sz val="10"/>
      <color rgb="FF363D45"/>
      <name val="Arial"/>
      <family val="2"/>
    </font>
    <font>
      <sz val="10"/>
      <color rgb="FFA32638"/>
      <name val="Arial"/>
      <family val="2"/>
    </font>
    <font>
      <b/>
      <sz val="10"/>
      <color rgb="FFF76900"/>
      <name val="Arial"/>
      <family val="2"/>
    </font>
    <font>
      <b/>
      <u/>
      <sz val="10"/>
      <color rgb="FF2E8540"/>
      <name val="Arial"/>
      <family val="2"/>
    </font>
    <font>
      <sz val="10"/>
      <color rgb="FF000000"/>
      <name val="Arial"/>
      <family val="2"/>
    </font>
    <font>
      <u/>
      <sz val="10"/>
      <color rgb="FF434343"/>
      <name val="Arial"/>
      <family val="2"/>
    </font>
    <font>
      <u/>
      <sz val="10"/>
      <color rgb="FF02527A"/>
      <name val="Arial"/>
      <family val="2"/>
    </font>
    <font>
      <b/>
      <u/>
      <sz val="10"/>
      <color rgb="FF000000"/>
      <name val="Arial"/>
      <family val="2"/>
    </font>
    <font>
      <u/>
      <sz val="10"/>
      <color rgb="FF1155CC"/>
      <name val="Arial"/>
      <family val="2"/>
    </font>
    <font>
      <u/>
      <sz val="10"/>
      <color rgb="FF1155CC"/>
      <name val="Arial"/>
      <family val="2"/>
    </font>
    <font>
      <b/>
      <u/>
      <sz val="10"/>
      <color theme="1"/>
      <name val="Open Sans"/>
    </font>
    <font>
      <b/>
      <u/>
      <sz val="10"/>
      <color theme="1"/>
      <name val="Open Sans"/>
    </font>
    <font>
      <b/>
      <sz val="10"/>
      <color rgb="FF000000"/>
      <name val="Open Sans"/>
    </font>
    <font>
      <b/>
      <sz val="10"/>
      <color rgb="FF0064B1"/>
      <name val="Arial"/>
      <family val="2"/>
    </font>
    <font>
      <b/>
      <u/>
      <sz val="10"/>
      <color rgb="FF0064B1"/>
      <name val="Arial"/>
      <family val="2"/>
    </font>
    <font>
      <b/>
      <u/>
      <sz val="10"/>
      <color rgb="FF0064B1"/>
      <name val="Arial"/>
      <family val="2"/>
    </font>
    <font>
      <b/>
      <sz val="10"/>
      <color rgb="FF757575"/>
      <name val="Arial"/>
      <family val="2"/>
    </font>
    <font>
      <sz val="10"/>
      <color rgb="FF0077C8"/>
      <name val="Arial"/>
      <family val="2"/>
    </font>
    <font>
      <sz val="10"/>
      <color rgb="FF333333"/>
      <name val="Arial"/>
      <family val="2"/>
    </font>
    <font>
      <b/>
      <sz val="10"/>
      <color rgb="FF283FAF"/>
      <name val="Arial"/>
      <family val="2"/>
    </font>
    <font>
      <b/>
      <sz val="10"/>
      <color rgb="FF005A43"/>
      <name val="Arial"/>
      <family val="2"/>
    </font>
    <font>
      <b/>
      <sz val="10"/>
      <color rgb="FF007541"/>
      <name val="Arial"/>
      <family val="2"/>
    </font>
    <font>
      <u/>
      <sz val="10"/>
      <color rgb="FF333333"/>
      <name val="Arial"/>
      <family val="2"/>
    </font>
    <font>
      <b/>
      <u/>
      <sz val="10"/>
      <color rgb="FF23527C"/>
      <name val="Arial"/>
      <family val="2"/>
    </font>
    <font>
      <b/>
      <i/>
      <u/>
      <sz val="10"/>
      <color rgb="FF23527C"/>
      <name val="Arial"/>
      <family val="2"/>
    </font>
    <font>
      <b/>
      <i/>
      <sz val="10"/>
      <color rgb="FF005EBA"/>
      <name val="Arial"/>
      <family val="2"/>
    </font>
    <font>
      <sz val="9"/>
      <color rgb="FF000000"/>
      <name val="Arial"/>
      <family val="2"/>
    </font>
    <font>
      <b/>
      <sz val="10"/>
      <color rgb="FFA6192E"/>
      <name val="Arial"/>
      <family val="2"/>
    </font>
    <font>
      <i/>
      <u/>
      <sz val="10"/>
      <color rgb="FF000000"/>
      <name val="Arial"/>
      <family val="2"/>
    </font>
    <font>
      <sz val="10"/>
      <color rgb="FF1B1B1B"/>
      <name val="&quot;itc charter w01&quot;"/>
    </font>
    <font>
      <sz val="10"/>
      <color rgb="FF1B1B1B"/>
      <name val="Arial"/>
      <family val="2"/>
    </font>
    <font>
      <sz val="10"/>
      <color rgb="FF1B1B1B"/>
      <name val="Arial"/>
      <family val="2"/>
    </font>
    <font>
      <sz val="10"/>
      <color rgb="FFD60000"/>
      <name val="Arial"/>
      <family val="2"/>
    </font>
    <font>
      <i/>
      <sz val="10"/>
      <color rgb="FFD60000"/>
      <name val="Arial"/>
      <family val="2"/>
    </font>
    <font>
      <i/>
      <sz val="10"/>
      <color rgb="FF000000"/>
      <name val="Arial"/>
      <family val="2"/>
    </font>
    <font>
      <u/>
      <sz val="10"/>
      <color rgb="FFCC0000"/>
      <name val="Arial"/>
      <family val="2"/>
    </font>
    <font>
      <u/>
      <sz val="10"/>
      <color rgb="FFCC0000"/>
      <name val="Arial"/>
      <family val="2"/>
    </font>
    <font>
      <u/>
      <sz val="10"/>
      <color rgb="FF000000"/>
      <name val="Arial"/>
      <family val="2"/>
    </font>
    <font>
      <u/>
      <sz val="10"/>
      <color theme="1"/>
      <name val="Arial"/>
      <family val="2"/>
    </font>
    <font>
      <sz val="9"/>
      <color theme="1"/>
      <name val="Arial"/>
      <family val="2"/>
    </font>
    <font>
      <b/>
      <u/>
      <sz val="10"/>
      <color rgb="FF232323"/>
      <name val="Arial"/>
      <family val="2"/>
    </font>
    <font>
      <u/>
      <sz val="10"/>
      <color rgb="FF000000"/>
      <name val="Arial"/>
      <family val="2"/>
    </font>
    <font>
      <u/>
      <sz val="10"/>
      <color rgb="FF000000"/>
      <name val="Arial"/>
      <family val="2"/>
    </font>
    <font>
      <u/>
      <sz val="10"/>
      <color rgb="FF111111"/>
      <name val="Arial"/>
      <family val="2"/>
    </font>
    <font>
      <b/>
      <u/>
      <sz val="10"/>
      <color theme="1"/>
      <name val="Arial"/>
      <family val="2"/>
    </font>
    <font>
      <sz val="10"/>
      <color rgb="FF003366"/>
      <name val="Arial"/>
      <family val="2"/>
    </font>
    <font>
      <b/>
      <sz val="10"/>
      <color rgb="FF2773BE"/>
      <name val="Arial"/>
      <family val="2"/>
    </font>
    <font>
      <b/>
      <u/>
      <sz val="10"/>
      <color rgb="FFFBB731"/>
      <name val="Arial"/>
      <family val="2"/>
    </font>
    <font>
      <b/>
      <sz val="10"/>
      <color rgb="FF275E37"/>
      <name val="Arial"/>
      <family val="2"/>
    </font>
    <font>
      <sz val="10"/>
      <color rgb="FF275E37"/>
      <name val="Arial"/>
      <family val="2"/>
    </font>
    <font>
      <u/>
      <sz val="10"/>
      <color rgb="FF006FE6"/>
      <name val="Arial"/>
      <family val="2"/>
    </font>
    <font>
      <u/>
      <sz val="10"/>
      <color rgb="FF006FE6"/>
      <name val="Arial"/>
      <family val="2"/>
    </font>
    <font>
      <u/>
      <sz val="10"/>
      <color rgb="FF1155CC"/>
      <name val="Arial"/>
      <family val="2"/>
    </font>
    <font>
      <u/>
      <sz val="10"/>
      <color rgb="FF1155CC"/>
      <name val="Arial"/>
      <family val="2"/>
    </font>
    <font>
      <sz val="10"/>
      <color rgb="FF154734"/>
      <name val="Arial"/>
      <family val="2"/>
    </font>
    <font>
      <u/>
      <sz val="10"/>
      <color rgb="FF000000"/>
      <name val="Arial"/>
      <family val="2"/>
    </font>
    <font>
      <b/>
      <sz val="10"/>
      <color rgb="FF5D1725"/>
      <name val="Arial"/>
      <family val="2"/>
    </font>
    <font>
      <b/>
      <sz val="10"/>
      <color rgb="FF333333"/>
      <name val="Arial"/>
      <family val="2"/>
    </font>
    <font>
      <sz val="10"/>
      <color rgb="FF323336"/>
      <name val="Arial"/>
      <family val="2"/>
    </font>
    <font>
      <sz val="10"/>
      <color rgb="FF1200DA"/>
      <name val="Arial"/>
      <family val="2"/>
    </font>
    <font>
      <sz val="10"/>
      <color rgb="FFC10037"/>
      <name val="Arial"/>
      <family val="2"/>
    </font>
    <font>
      <b/>
      <sz val="10"/>
      <color rgb="FF404040"/>
      <name val="Arial"/>
      <family val="2"/>
    </font>
    <font>
      <b/>
      <i/>
      <sz val="10"/>
      <color rgb="FF404040"/>
      <name val="Arial"/>
      <family val="2"/>
    </font>
    <font>
      <sz val="11"/>
      <color rgb="FF333333"/>
      <name val="Merriweather Sans"/>
    </font>
    <font>
      <sz val="11"/>
      <color rgb="FF333333"/>
      <name val="Arial"/>
      <family val="2"/>
    </font>
    <font>
      <b/>
      <u/>
      <sz val="10"/>
      <color rgb="FF002554"/>
      <name val="Arial"/>
      <family val="2"/>
    </font>
    <font>
      <u/>
      <sz val="10"/>
      <color rgb="FFAA0000"/>
      <name val="Arial"/>
      <family val="2"/>
    </font>
    <font>
      <sz val="10"/>
      <color rgb="FF222222"/>
      <name val="Arial"/>
      <family val="2"/>
    </font>
    <font>
      <b/>
      <sz val="10"/>
      <color rgb="FF515767"/>
      <name val="Arial"/>
      <family val="2"/>
    </font>
    <font>
      <sz val="10"/>
      <color rgb="FF131516"/>
      <name val="Arial"/>
      <family val="2"/>
    </font>
    <font>
      <i/>
      <sz val="10"/>
      <color rgb="FF131516"/>
      <name val="Arial"/>
      <family val="2"/>
    </font>
    <font>
      <b/>
      <sz val="10"/>
      <color rgb="FFD3430D"/>
      <name val="Arial"/>
      <family val="2"/>
    </font>
    <font>
      <sz val="10"/>
      <color rgb="FFD3430D"/>
      <name val="Arial"/>
      <family val="2"/>
    </font>
    <font>
      <u/>
      <sz val="10"/>
      <color rgb="FF0C2340"/>
      <name val="Arial"/>
      <family val="2"/>
    </font>
    <font>
      <b/>
      <sz val="10"/>
      <color rgb="FF404A5A"/>
      <name val="Arial"/>
      <family val="2"/>
    </font>
    <font>
      <sz val="10"/>
      <color rgb="FF404A5A"/>
      <name val="Arial"/>
      <family val="2"/>
    </font>
    <font>
      <u/>
      <sz val="10"/>
      <color rgb="FF003057"/>
      <name val="Arial"/>
      <family val="2"/>
    </font>
    <font>
      <u/>
      <sz val="10"/>
      <color rgb="FF0000EE"/>
      <name val="Arial"/>
      <family val="2"/>
    </font>
    <font>
      <b/>
      <u/>
      <sz val="10"/>
      <color rgb="FF0000EE"/>
      <name val="Arial"/>
      <family val="2"/>
    </font>
    <font>
      <b/>
      <u/>
      <sz val="10"/>
      <color rgb="FF1F5383"/>
      <name val="Arial"/>
      <family val="2"/>
    </font>
    <font>
      <b/>
      <i/>
      <u/>
      <sz val="10"/>
      <color rgb="FF1F5383"/>
      <name val="Arial"/>
      <family val="2"/>
    </font>
    <font>
      <i/>
      <u/>
      <sz val="10"/>
      <color rgb="FF1F5383"/>
      <name val="Arial"/>
      <family val="2"/>
    </font>
    <font>
      <u/>
      <sz val="10"/>
      <color rgb="FF1155CC"/>
      <name val="Arial"/>
      <family val="2"/>
    </font>
    <font>
      <i/>
      <sz val="10"/>
      <color rgb="FF333333"/>
      <name val="Arial"/>
      <family val="2"/>
    </font>
    <font>
      <u/>
      <sz val="10"/>
      <color rgb="FF000000"/>
      <name val="Arial"/>
      <family val="2"/>
    </font>
    <font>
      <u/>
      <sz val="10"/>
      <color rgb="FF000000"/>
      <name val="Arial"/>
      <family val="2"/>
    </font>
    <font>
      <sz val="8"/>
      <color rgb="FF336699"/>
      <name val="Arial"/>
      <family val="2"/>
    </font>
    <font>
      <u/>
      <sz val="10"/>
      <color rgb="FF000000"/>
      <name val="Arial"/>
      <family val="2"/>
    </font>
    <font>
      <u/>
      <sz val="10"/>
      <color rgb="FF000000"/>
      <name val="Arial"/>
      <family val="2"/>
    </font>
    <font>
      <sz val="10"/>
      <color rgb="FF212529"/>
      <name val="Oswald"/>
    </font>
    <font>
      <u/>
      <sz val="10"/>
      <color rgb="FF000000"/>
      <name val="Arial"/>
      <family val="2"/>
    </font>
    <font>
      <u/>
      <sz val="10"/>
      <color rgb="FF526B77"/>
      <name val="Arial"/>
      <family val="2"/>
    </font>
    <font>
      <u/>
      <sz val="10"/>
      <color rgb="FF00853E"/>
      <name val="Arial"/>
      <family val="2"/>
    </font>
    <font>
      <b/>
      <u/>
      <sz val="10"/>
      <color rgb="FF006633"/>
      <name val="Arial"/>
      <family val="2"/>
    </font>
    <font>
      <b/>
      <u/>
      <sz val="10"/>
      <color rgb="FF0057AB"/>
      <name val="Arial"/>
      <family val="2"/>
    </font>
    <font>
      <i/>
      <sz val="10"/>
      <color rgb="FF005E8C"/>
      <name val="Arial"/>
      <family val="2"/>
    </font>
    <font>
      <b/>
      <u/>
      <sz val="10"/>
      <color rgb="FF000000"/>
      <name val="Arial"/>
      <family val="2"/>
    </font>
    <font>
      <b/>
      <u/>
      <sz val="10"/>
      <color rgb="FF532E1F"/>
      <name val="Arial"/>
      <family val="2"/>
    </font>
    <font>
      <u/>
      <sz val="10"/>
      <color rgb="FF000000"/>
      <name val="Arial"/>
      <family val="2"/>
    </font>
    <font>
      <b/>
      <u/>
      <sz val="10"/>
      <color rgb="FF000000"/>
      <name val="Arial"/>
      <family val="2"/>
    </font>
    <font>
      <b/>
      <u/>
      <sz val="10"/>
      <color rgb="FF000000"/>
      <name val="Arial"/>
      <family val="2"/>
    </font>
    <font>
      <u/>
      <sz val="10"/>
      <color rgb="FF000000"/>
      <name val="Arial"/>
      <family val="2"/>
    </font>
    <font>
      <u/>
      <sz val="12"/>
      <color rgb="FF2B2B2B"/>
      <name val="Corporate-s"/>
    </font>
    <font>
      <sz val="10"/>
      <color rgb="FFA6093D"/>
      <name val="Arial"/>
      <family val="2"/>
    </font>
    <font>
      <b/>
      <sz val="12"/>
      <color theme="1"/>
      <name val="Calibri"/>
      <family val="2"/>
    </font>
    <font>
      <b/>
      <u/>
      <sz val="10"/>
      <color rgb="FF0000FF"/>
      <name val="Arial"/>
      <family val="2"/>
    </font>
    <font>
      <u/>
      <sz val="10"/>
      <color rgb="FF0000FF"/>
      <name val="Arial"/>
      <family val="2"/>
    </font>
    <font>
      <b/>
      <sz val="12"/>
      <color rgb="FF1A1D26"/>
      <name val="Roboto"/>
    </font>
    <font>
      <b/>
      <sz val="11"/>
      <color rgb="FF1A1D26"/>
      <name val="Roboto"/>
    </font>
    <font>
      <u/>
      <sz val="10"/>
      <color rgb="FF0000FF"/>
      <name val="Arial"/>
      <family val="2"/>
    </font>
    <font>
      <sz val="9"/>
      <color rgb="FF000000"/>
      <name val="&quot;Google Sans Mono&quot;"/>
    </font>
    <font>
      <sz val="12"/>
      <color rgb="FF000000"/>
      <name val="Calibri"/>
      <family val="2"/>
    </font>
    <font>
      <u/>
      <sz val="10"/>
      <color rgb="FF0000FF"/>
      <name val="Arial"/>
      <family val="2"/>
    </font>
    <font>
      <sz val="10"/>
      <color rgb="FF515767"/>
      <name val="Roboto"/>
    </font>
    <font>
      <b/>
      <sz val="11"/>
      <color theme="1"/>
      <name val="Roboto"/>
    </font>
    <font>
      <u/>
      <sz val="10"/>
      <color rgb="FF0000FF"/>
      <name val="Arial"/>
      <family val="2"/>
    </font>
    <font>
      <u/>
      <sz val="10"/>
      <color rgb="FF1155CC"/>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00"/>
      <name val="Arial"/>
      <family val="2"/>
    </font>
    <font>
      <sz val="12"/>
      <color rgb="FF1A1D26"/>
      <name val="Roboto"/>
    </font>
    <font>
      <u/>
      <sz val="10"/>
      <color rgb="FF0000FF"/>
      <name val="Open Sans"/>
    </font>
    <font>
      <u/>
      <sz val="10"/>
      <color rgb="FF0000FF"/>
      <name val="Arial"/>
      <family val="2"/>
    </font>
    <font>
      <sz val="9"/>
      <color rgb="FF1A1D26"/>
      <name val="Montserrat"/>
    </font>
    <font>
      <b/>
      <sz val="10"/>
      <color theme="1"/>
      <name val="Roboto"/>
    </font>
    <font>
      <u/>
      <sz val="10"/>
      <color rgb="FF0000FF"/>
      <name val="Arial"/>
      <family val="2"/>
    </font>
    <font>
      <u/>
      <sz val="12"/>
      <color rgb="FF1155CC"/>
      <name val="corporate-s, sans-serif"/>
    </font>
  </fonts>
  <fills count="24">
    <fill>
      <patternFill patternType="none"/>
    </fill>
    <fill>
      <patternFill patternType="gray125"/>
    </fill>
    <fill>
      <patternFill patternType="solid">
        <fgColor rgb="FFFFFFFF"/>
        <bgColor rgb="FFFFFFFF"/>
      </patternFill>
    </fill>
    <fill>
      <patternFill patternType="solid">
        <fgColor rgb="FFA4C2F4"/>
        <bgColor rgb="FFA4C2F4"/>
      </patternFill>
    </fill>
    <fill>
      <patternFill patternType="solid">
        <fgColor rgb="FFF9CB9C"/>
        <bgColor rgb="FFF9CB9C"/>
      </patternFill>
    </fill>
    <fill>
      <patternFill patternType="solid">
        <fgColor rgb="FFEA9999"/>
        <bgColor rgb="FFEA9999"/>
      </patternFill>
    </fill>
    <fill>
      <patternFill patternType="solid">
        <fgColor rgb="FF00FF00"/>
        <bgColor rgb="FF00FF00"/>
      </patternFill>
    </fill>
    <fill>
      <patternFill patternType="solid">
        <fgColor rgb="FFFF0000"/>
        <bgColor rgb="FFFF0000"/>
      </patternFill>
    </fill>
    <fill>
      <patternFill patternType="solid">
        <fgColor rgb="FFF4CCCC"/>
        <bgColor rgb="FFF4CCCC"/>
      </patternFill>
    </fill>
    <fill>
      <patternFill patternType="solid">
        <fgColor rgb="FFFAFAFA"/>
        <bgColor rgb="FFFAFAFA"/>
      </patternFill>
    </fill>
    <fill>
      <patternFill patternType="solid">
        <fgColor rgb="FFFF9900"/>
        <bgColor rgb="FFFF9900"/>
      </patternFill>
    </fill>
    <fill>
      <patternFill patternType="solid">
        <fgColor rgb="FFFDFDFD"/>
        <bgColor rgb="FFFDFDFD"/>
      </patternFill>
    </fill>
    <fill>
      <patternFill patternType="solid">
        <fgColor rgb="FF6FA8DC"/>
        <bgColor rgb="FF6FA8DC"/>
      </patternFill>
    </fill>
    <fill>
      <patternFill patternType="solid">
        <fgColor rgb="FF93C47D"/>
        <bgColor rgb="FF93C47D"/>
      </patternFill>
    </fill>
    <fill>
      <patternFill patternType="solid">
        <fgColor rgb="FFB7B7B7"/>
        <bgColor rgb="FFB7B7B7"/>
      </patternFill>
    </fill>
    <fill>
      <patternFill patternType="solid">
        <fgColor rgb="FF999999"/>
        <bgColor rgb="FF999999"/>
      </patternFill>
    </fill>
    <fill>
      <patternFill patternType="solid">
        <fgColor rgb="FFFFFF00"/>
        <bgColor rgb="FFFFFF00"/>
      </patternFill>
    </fill>
    <fill>
      <patternFill patternType="solid">
        <fgColor rgb="FF6D9EEB"/>
        <bgColor rgb="FF6D9EEB"/>
      </patternFill>
    </fill>
    <fill>
      <patternFill patternType="solid">
        <fgColor rgb="FFF6B26B"/>
        <bgColor rgb="FFF6B26B"/>
      </patternFill>
    </fill>
    <fill>
      <patternFill patternType="solid">
        <fgColor rgb="FF92D050"/>
        <bgColor indexed="64"/>
      </patternFill>
    </fill>
    <fill>
      <patternFill patternType="solid">
        <fgColor theme="4" tint="0.39997558519241921"/>
        <bgColor indexed="64"/>
      </patternFill>
    </fill>
    <fill>
      <gradientFill degree="90">
        <stop position="0">
          <color rgb="FF92D050"/>
        </stop>
        <stop position="1">
          <color theme="4"/>
        </stop>
      </gradientFill>
    </fill>
    <fill>
      <patternFill patternType="solid">
        <fgColor theme="4" tint="0.39997558519241921"/>
        <bgColor rgb="FFEA9999"/>
      </patternFill>
    </fill>
    <fill>
      <patternFill patternType="solid">
        <fgColor rgb="FF92D050"/>
        <bgColor rgb="FFEA9999"/>
      </patternFill>
    </fill>
  </fills>
  <borders count="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style="thin">
        <color rgb="FFDEE2E6"/>
      </top>
      <bottom/>
      <diagonal/>
    </border>
    <border>
      <left/>
      <right/>
      <top/>
      <bottom style="thin">
        <color rgb="FFB7B7B7"/>
      </bottom>
      <diagonal/>
    </border>
    <border>
      <left style="thin">
        <color rgb="FFF2F2F2"/>
      </left>
      <right style="thin">
        <color rgb="FFF2F2F2"/>
      </right>
      <top style="thin">
        <color rgb="FFF2F2F2"/>
      </top>
      <bottom style="thin">
        <color rgb="FFF2F2F2"/>
      </bottom>
      <diagonal/>
    </border>
    <border>
      <left/>
      <right style="thin">
        <color rgb="FF000000"/>
      </right>
      <top style="thin">
        <color rgb="FF000000"/>
      </top>
      <bottom style="thin">
        <color rgb="FF000000"/>
      </bottom>
      <diagonal/>
    </border>
  </borders>
  <cellStyleXfs count="1">
    <xf numFmtId="0" fontId="0" fillId="0" borderId="0"/>
  </cellStyleXfs>
  <cellXfs count="419">
    <xf numFmtId="0" fontId="0" fillId="0" borderId="0" xfId="0"/>
    <xf numFmtId="0" fontId="1" fillId="0" borderId="1" xfId="0" applyFont="1" applyBorder="1" applyAlignment="1">
      <alignment horizontal="left"/>
    </xf>
    <xf numFmtId="0" fontId="2" fillId="0" borderId="1" xfId="0" applyFont="1" applyBorder="1"/>
    <xf numFmtId="0" fontId="3" fillId="0" borderId="1" xfId="0" applyFont="1" applyBorder="1" applyAlignment="1">
      <alignment horizontal="center"/>
    </xf>
    <xf numFmtId="0" fontId="4" fillId="0" borderId="1" xfId="0" applyFont="1" applyBorder="1" applyAlignment="1">
      <alignment vertical="center" wrapText="1"/>
    </xf>
    <xf numFmtId="0" fontId="2" fillId="2" borderId="1" xfId="0" applyFont="1" applyFill="1" applyBorder="1" applyAlignment="1">
      <alignment horizontal="center"/>
    </xf>
    <xf numFmtId="0" fontId="5" fillId="0" borderId="1" xfId="0" applyFont="1" applyBorder="1" applyAlignment="1">
      <alignment vertical="center" wrapText="1"/>
    </xf>
    <xf numFmtId="0" fontId="6" fillId="0" borderId="1" xfId="0" applyFont="1" applyBorder="1" applyAlignment="1">
      <alignment horizontal="center" vertical="center" wrapText="1"/>
    </xf>
    <xf numFmtId="0" fontId="7" fillId="0" borderId="0" xfId="0" applyFont="1" applyAlignment="1">
      <alignment horizontal="center"/>
    </xf>
    <xf numFmtId="0" fontId="6" fillId="0" borderId="0" xfId="0" applyFont="1" applyAlignment="1">
      <alignment horizontal="center"/>
    </xf>
    <xf numFmtId="0" fontId="3" fillId="0" borderId="1" xfId="0" applyFont="1" applyBorder="1"/>
    <xf numFmtId="0" fontId="6" fillId="0" borderId="1" xfId="0" applyFont="1" applyBorder="1" applyAlignment="1">
      <alignment vertical="center" wrapText="1"/>
    </xf>
    <xf numFmtId="0" fontId="8" fillId="0" borderId="0" xfId="0" applyFont="1" applyAlignment="1">
      <alignment horizontal="center" vertical="center"/>
    </xf>
    <xf numFmtId="0" fontId="3" fillId="2" borderId="1" xfId="0" applyFont="1" applyFill="1" applyBorder="1" applyAlignment="1">
      <alignment horizontal="center"/>
    </xf>
    <xf numFmtId="0" fontId="3" fillId="2" borderId="1" xfId="0" applyFont="1" applyFill="1" applyBorder="1" applyAlignment="1">
      <alignment horizontal="left" vertical="center" wrapText="1"/>
    </xf>
    <xf numFmtId="14" fontId="6" fillId="0" borderId="1" xfId="0" applyNumberFormat="1" applyFont="1" applyBorder="1" applyAlignment="1">
      <alignment horizontal="center" vertical="center" wrapText="1"/>
    </xf>
    <xf numFmtId="0" fontId="8" fillId="0" borderId="0" xfId="0" applyFont="1"/>
    <xf numFmtId="0" fontId="5" fillId="0" borderId="0" xfId="0" applyFont="1" applyAlignment="1">
      <alignment horizontal="left"/>
    </xf>
    <xf numFmtId="0" fontId="10" fillId="0" borderId="0" xfId="0" applyFont="1"/>
    <xf numFmtId="0" fontId="2" fillId="0" borderId="0" xfId="0" applyFont="1" applyAlignment="1">
      <alignment horizontal="center"/>
    </xf>
    <xf numFmtId="0" fontId="4" fillId="0" borderId="0" xfId="0" applyFont="1" applyAlignment="1">
      <alignment vertical="center" wrapText="1"/>
    </xf>
    <xf numFmtId="0" fontId="2" fillId="2" borderId="0" xfId="0" applyFont="1" applyFill="1" applyAlignment="1">
      <alignment horizontal="center"/>
    </xf>
    <xf numFmtId="0" fontId="5" fillId="0" borderId="0" xfId="0" applyFont="1" applyAlignment="1">
      <alignment vertical="center" wrapText="1"/>
    </xf>
    <xf numFmtId="14" fontId="4" fillId="0" borderId="0" xfId="0" applyNumberFormat="1" applyFont="1" applyAlignment="1">
      <alignment horizontal="center" vertical="center" wrapText="1"/>
    </xf>
    <xf numFmtId="0" fontId="7" fillId="0" borderId="0" xfId="0" applyFont="1" applyAlignment="1">
      <alignment horizontal="right"/>
    </xf>
    <xf numFmtId="0" fontId="7" fillId="0" borderId="0" xfId="0" applyFont="1" applyAlignment="1">
      <alignment vertical="center" wrapText="1"/>
    </xf>
    <xf numFmtId="0" fontId="11" fillId="0" borderId="0" xfId="0" applyFont="1" applyAlignment="1">
      <alignment vertical="center" wrapText="1"/>
    </xf>
    <xf numFmtId="164" fontId="7" fillId="0" borderId="0" xfId="0" applyNumberFormat="1" applyFont="1"/>
    <xf numFmtId="0" fontId="12" fillId="0" borderId="0" xfId="0" applyFont="1" applyAlignment="1">
      <alignment horizontal="left"/>
    </xf>
    <xf numFmtId="0" fontId="13" fillId="0" borderId="0" xfId="0" applyFont="1"/>
    <xf numFmtId="0" fontId="7" fillId="0" borderId="0" xfId="0" applyFont="1"/>
    <xf numFmtId="0" fontId="1" fillId="0" borderId="0" xfId="0" applyFont="1" applyAlignment="1">
      <alignment horizontal="left"/>
    </xf>
    <xf numFmtId="165" fontId="5" fillId="0" borderId="0" xfId="0" applyNumberFormat="1" applyFont="1" applyAlignment="1">
      <alignment horizontal="left"/>
    </xf>
    <xf numFmtId="3" fontId="5" fillId="0" borderId="0" xfId="0" applyNumberFormat="1" applyFont="1" applyAlignment="1">
      <alignment horizontal="left"/>
    </xf>
    <xf numFmtId="0" fontId="14" fillId="4" borderId="0" xfId="0" applyFont="1" applyFill="1"/>
    <xf numFmtId="0" fontId="5" fillId="0" borderId="0" xfId="0" applyFont="1"/>
    <xf numFmtId="0" fontId="15" fillId="5" borderId="0" xfId="0" applyFont="1" applyFill="1"/>
    <xf numFmtId="0" fontId="5" fillId="0" borderId="0" xfId="0" applyFont="1" applyAlignment="1">
      <alignment horizontal="center"/>
    </xf>
    <xf numFmtId="0" fontId="2" fillId="0" borderId="0" xfId="0" applyFont="1"/>
    <xf numFmtId="0" fontId="7" fillId="0" borderId="0" xfId="0" applyFont="1" applyAlignment="1">
      <alignment horizontal="center" vertical="center" wrapText="1"/>
    </xf>
    <xf numFmtId="0" fontId="4" fillId="0" borderId="0" xfId="0" applyFont="1"/>
    <xf numFmtId="0" fontId="2" fillId="6" borderId="0" xfId="0" applyFont="1" applyFill="1"/>
    <xf numFmtId="0" fontId="4" fillId="0" borderId="0" xfId="0" applyFont="1" applyAlignment="1">
      <alignment horizontal="left"/>
    </xf>
    <xf numFmtId="14" fontId="4" fillId="0" borderId="0" xfId="0" applyNumberFormat="1" applyFont="1"/>
    <xf numFmtId="0" fontId="16" fillId="2" borderId="0" xfId="0" applyFont="1" applyFill="1" applyAlignment="1">
      <alignment horizontal="left"/>
    </xf>
    <xf numFmtId="0" fontId="4" fillId="7" borderId="0" xfId="0" applyFont="1" applyFill="1" applyAlignment="1">
      <alignment vertical="center" wrapText="1"/>
    </xf>
    <xf numFmtId="0" fontId="5" fillId="7" borderId="0" xfId="0" applyFont="1" applyFill="1" applyAlignment="1">
      <alignment vertical="center" wrapText="1"/>
    </xf>
    <xf numFmtId="0" fontId="3" fillId="2" borderId="0" xfId="0" applyFont="1" applyFill="1" applyAlignment="1">
      <alignment horizontal="left"/>
    </xf>
    <xf numFmtId="165" fontId="2" fillId="2" borderId="0" xfId="0" applyNumberFormat="1" applyFont="1" applyFill="1" applyAlignment="1">
      <alignment horizontal="left"/>
    </xf>
    <xf numFmtId="0" fontId="2" fillId="2" borderId="0" xfId="0" applyFont="1" applyFill="1" applyAlignment="1">
      <alignment horizontal="left"/>
    </xf>
    <xf numFmtId="0" fontId="1" fillId="0" borderId="0" xfId="0" applyFont="1"/>
    <xf numFmtId="0" fontId="17" fillId="0" borderId="0" xfId="0" applyFont="1"/>
    <xf numFmtId="3" fontId="2" fillId="2" borderId="0" xfId="0" applyNumberFormat="1" applyFont="1" applyFill="1" applyAlignment="1">
      <alignment horizontal="left"/>
    </xf>
    <xf numFmtId="0" fontId="18" fillId="2" borderId="0" xfId="0" applyFont="1" applyFill="1" applyAlignment="1">
      <alignment horizontal="left"/>
    </xf>
    <xf numFmtId="0" fontId="19" fillId="0" borderId="0" xfId="0" applyFont="1"/>
    <xf numFmtId="0" fontId="20" fillId="2" borderId="0" xfId="0" applyFont="1" applyFill="1" applyAlignment="1">
      <alignment horizontal="center"/>
    </xf>
    <xf numFmtId="166" fontId="4" fillId="0" borderId="0" xfId="0" applyNumberFormat="1" applyFont="1" applyAlignment="1">
      <alignment horizontal="center" vertical="center" wrapText="1"/>
    </xf>
    <xf numFmtId="0" fontId="2" fillId="4" borderId="0" xfId="0" applyFont="1" applyFill="1"/>
    <xf numFmtId="0" fontId="21" fillId="0" borderId="0" xfId="0" applyFont="1"/>
    <xf numFmtId="0" fontId="22" fillId="0" borderId="0" xfId="0" applyFont="1" applyAlignment="1">
      <alignment horizontal="left"/>
    </xf>
    <xf numFmtId="166" fontId="4" fillId="0" borderId="0" xfId="0" applyNumberFormat="1" applyFont="1"/>
    <xf numFmtId="0" fontId="2" fillId="0" borderId="0" xfId="0" applyFont="1" applyAlignment="1">
      <alignment vertical="center" wrapText="1"/>
    </xf>
    <xf numFmtId="0" fontId="5" fillId="0" borderId="0" xfId="0" applyFont="1" applyAlignment="1">
      <alignment wrapText="1"/>
    </xf>
    <xf numFmtId="0" fontId="23" fillId="0" borderId="0" xfId="0" applyFont="1" applyAlignment="1">
      <alignment vertical="center" wrapText="1"/>
    </xf>
    <xf numFmtId="0" fontId="24" fillId="0" borderId="0" xfId="0" applyFont="1" applyAlignment="1">
      <alignment vertical="center" wrapText="1"/>
    </xf>
    <xf numFmtId="0" fontId="25" fillId="0" borderId="0" xfId="0" applyFont="1" applyAlignment="1">
      <alignment vertical="center" wrapText="1"/>
    </xf>
    <xf numFmtId="0" fontId="26" fillId="8" borderId="0" xfId="0" applyFont="1" applyFill="1"/>
    <xf numFmtId="0" fontId="4" fillId="7" borderId="0" xfId="0" applyFont="1" applyFill="1"/>
    <xf numFmtId="0" fontId="27" fillId="0" borderId="0" xfId="0" applyFont="1"/>
    <xf numFmtId="0" fontId="28" fillId="6" borderId="0" xfId="0" applyFont="1" applyFill="1"/>
    <xf numFmtId="0" fontId="29" fillId="2" borderId="0" xfId="0" applyFont="1" applyFill="1"/>
    <xf numFmtId="0" fontId="30" fillId="0" borderId="0" xfId="0" applyFont="1"/>
    <xf numFmtId="0" fontId="31" fillId="8" borderId="0" xfId="0" applyFont="1" applyFill="1"/>
    <xf numFmtId="0" fontId="32" fillId="2" borderId="0" xfId="0" applyFont="1" applyFill="1" applyAlignment="1">
      <alignment vertical="center" wrapText="1"/>
    </xf>
    <xf numFmtId="0" fontId="33" fillId="2" borderId="0" xfId="0" applyFont="1" applyFill="1" applyAlignment="1">
      <alignment vertical="center" wrapText="1"/>
    </xf>
    <xf numFmtId="0" fontId="2" fillId="0" borderId="0" xfId="0" applyFont="1" applyAlignment="1">
      <alignment horizontal="left"/>
    </xf>
    <xf numFmtId="0" fontId="34" fillId="0" borderId="0" xfId="0" applyFont="1"/>
    <xf numFmtId="0" fontId="35" fillId="0" borderId="0" xfId="0" applyFont="1"/>
    <xf numFmtId="0" fontId="36" fillId="0" borderId="0" xfId="0" applyFont="1"/>
    <xf numFmtId="3" fontId="5" fillId="0" borderId="0" xfId="0" applyNumberFormat="1" applyFont="1"/>
    <xf numFmtId="0" fontId="37" fillId="4" borderId="0" xfId="0" applyFont="1" applyFill="1"/>
    <xf numFmtId="0" fontId="38" fillId="0" borderId="0" xfId="0" applyFont="1"/>
    <xf numFmtId="0" fontId="39" fillId="8" borderId="0" xfId="0" applyFont="1" applyFill="1"/>
    <xf numFmtId="0" fontId="40" fillId="5" borderId="0" xfId="0" applyFont="1" applyFill="1"/>
    <xf numFmtId="0" fontId="41" fillId="2" borderId="0" xfId="0" applyFont="1" applyFill="1" applyAlignment="1">
      <alignment horizontal="center"/>
    </xf>
    <xf numFmtId="0" fontId="42" fillId="0" borderId="0" xfId="0" applyFont="1"/>
    <xf numFmtId="0" fontId="43" fillId="0" borderId="0" xfId="0" applyFont="1"/>
    <xf numFmtId="0" fontId="5" fillId="2" borderId="0" xfId="0" applyFont="1" applyFill="1"/>
    <xf numFmtId="0" fontId="5" fillId="2" borderId="0" xfId="0" applyFont="1" applyFill="1" applyAlignment="1">
      <alignment horizontal="center"/>
    </xf>
    <xf numFmtId="0" fontId="44" fillId="2" borderId="4" xfId="0" applyFont="1" applyFill="1" applyBorder="1" applyAlignment="1">
      <alignment horizontal="left" vertical="top"/>
    </xf>
    <xf numFmtId="0" fontId="45" fillId="0" borderId="0" xfId="0" applyFont="1"/>
    <xf numFmtId="0" fontId="46" fillId="0" borderId="0" xfId="0" applyFont="1"/>
    <xf numFmtId="0" fontId="47" fillId="0" borderId="0" xfId="0" applyFont="1"/>
    <xf numFmtId="0" fontId="48" fillId="0" borderId="0" xfId="0" applyFont="1"/>
    <xf numFmtId="0" fontId="49" fillId="0" borderId="0" xfId="0" applyFont="1"/>
    <xf numFmtId="0" fontId="50" fillId="4" borderId="0" xfId="0" applyFont="1" applyFill="1"/>
    <xf numFmtId="0" fontId="51" fillId="0" borderId="0" xfId="0" applyFont="1" applyAlignment="1">
      <alignment horizontal="left"/>
    </xf>
    <xf numFmtId="0" fontId="52" fillId="0" borderId="0" xfId="0" applyFont="1" applyAlignment="1">
      <alignment horizontal="left"/>
    </xf>
    <xf numFmtId="0" fontId="53" fillId="0" borderId="0" xfId="0" applyFont="1" applyAlignment="1">
      <alignment horizontal="left"/>
    </xf>
    <xf numFmtId="0" fontId="2" fillId="5" borderId="0" xfId="0" applyFont="1" applyFill="1"/>
    <xf numFmtId="0" fontId="54" fillId="0" borderId="0" xfId="0" applyFont="1"/>
    <xf numFmtId="0" fontId="55" fillId="0" borderId="0" xfId="0" applyFont="1"/>
    <xf numFmtId="0" fontId="56" fillId="2" borderId="0" xfId="0" applyFont="1" applyFill="1"/>
    <xf numFmtId="0" fontId="57" fillId="2" borderId="0" xfId="0" applyFont="1" applyFill="1"/>
    <xf numFmtId="0" fontId="58" fillId="2" borderId="0" xfId="0" applyFont="1" applyFill="1"/>
    <xf numFmtId="0" fontId="59" fillId="0" borderId="0" xfId="0" applyFont="1"/>
    <xf numFmtId="0" fontId="5" fillId="6" borderId="0" xfId="0" applyFont="1" applyFill="1" applyAlignment="1">
      <alignment horizontal="center"/>
    </xf>
    <xf numFmtId="0" fontId="4" fillId="6" borderId="0" xfId="0" applyFont="1" applyFill="1" applyAlignment="1">
      <alignment vertical="center" wrapText="1"/>
    </xf>
    <xf numFmtId="0" fontId="2" fillId="6" borderId="0" xfId="0" applyFont="1" applyFill="1" applyAlignment="1">
      <alignment horizontal="center"/>
    </xf>
    <xf numFmtId="0" fontId="5" fillId="6" borderId="0" xfId="0" applyFont="1" applyFill="1" applyAlignment="1">
      <alignment vertical="center" wrapText="1"/>
    </xf>
    <xf numFmtId="0" fontId="4" fillId="6" borderId="0" xfId="0" applyFont="1" applyFill="1" applyAlignment="1">
      <alignment horizontal="center" vertical="center" wrapText="1"/>
    </xf>
    <xf numFmtId="0" fontId="3" fillId="0" borderId="0" xfId="0" applyFont="1" applyAlignment="1">
      <alignment horizontal="left"/>
    </xf>
    <xf numFmtId="3" fontId="2" fillId="0" borderId="0" xfId="0" applyNumberFormat="1" applyFont="1" applyAlignment="1">
      <alignment horizontal="left"/>
    </xf>
    <xf numFmtId="0" fontId="4" fillId="0" borderId="0" xfId="0" applyFont="1" applyAlignment="1">
      <alignment horizontal="center" vertical="center" wrapText="1"/>
    </xf>
    <xf numFmtId="0" fontId="3" fillId="0" borderId="0" xfId="0" applyFont="1"/>
    <xf numFmtId="0" fontId="60" fillId="0" borderId="0" xfId="0" applyFont="1"/>
    <xf numFmtId="0" fontId="61" fillId="0" borderId="0" xfId="0" applyFont="1"/>
    <xf numFmtId="0" fontId="62" fillId="0" borderId="0" xfId="0" applyFont="1"/>
    <xf numFmtId="0" fontId="63" fillId="0" borderId="0" xfId="0" applyFont="1"/>
    <xf numFmtId="0" fontId="64" fillId="5" borderId="0" xfId="0" applyFont="1" applyFill="1"/>
    <xf numFmtId="0" fontId="65" fillId="0" borderId="0" xfId="0" applyFont="1"/>
    <xf numFmtId="0" fontId="66" fillId="0" borderId="0" xfId="0" applyFont="1" applyAlignment="1">
      <alignment vertical="center" wrapText="1"/>
    </xf>
    <xf numFmtId="0" fontId="67" fillId="0" borderId="0" xfId="0" applyFont="1"/>
    <xf numFmtId="0" fontId="68" fillId="0" borderId="0" xfId="0" applyFont="1"/>
    <xf numFmtId="0" fontId="69" fillId="0" borderId="0" xfId="0" applyFont="1"/>
    <xf numFmtId="0" fontId="70" fillId="0" borderId="0" xfId="0" applyFont="1"/>
    <xf numFmtId="0" fontId="71" fillId="0" borderId="0" xfId="0" applyFont="1"/>
    <xf numFmtId="0" fontId="72" fillId="0" borderId="0" xfId="0" applyFont="1"/>
    <xf numFmtId="0" fontId="73" fillId="2" borderId="0" xfId="0" applyFont="1" applyFill="1"/>
    <xf numFmtId="0" fontId="1" fillId="0" borderId="0" xfId="0" applyFont="1" applyAlignment="1">
      <alignment horizontal="center" vertical="top"/>
    </xf>
    <xf numFmtId="0" fontId="74" fillId="0" borderId="0" xfId="0" applyFont="1" applyAlignment="1">
      <alignment horizontal="left"/>
    </xf>
    <xf numFmtId="0" fontId="75" fillId="0" borderId="0" xfId="0" applyFont="1" applyAlignment="1">
      <alignment horizontal="left"/>
    </xf>
    <xf numFmtId="0" fontId="76" fillId="0" borderId="0" xfId="0" applyFont="1" applyAlignment="1">
      <alignment horizontal="left"/>
    </xf>
    <xf numFmtId="0" fontId="20" fillId="2" borderId="0" xfId="0" applyFont="1" applyFill="1"/>
    <xf numFmtId="0" fontId="77" fillId="0" borderId="0" xfId="0" applyFont="1" applyAlignment="1">
      <alignment horizontal="center"/>
    </xf>
    <xf numFmtId="0" fontId="78" fillId="2" borderId="0" xfId="0" applyFont="1" applyFill="1" applyAlignment="1">
      <alignment horizontal="left" vertical="top"/>
    </xf>
    <xf numFmtId="0" fontId="79" fillId="2" borderId="0" xfId="0" applyFont="1" applyFill="1" applyAlignment="1">
      <alignment horizontal="left" vertical="top"/>
    </xf>
    <xf numFmtId="0" fontId="80" fillId="2" borderId="0" xfId="0" applyFont="1" applyFill="1" applyAlignment="1">
      <alignment horizontal="left" vertical="top"/>
    </xf>
    <xf numFmtId="0" fontId="81" fillId="2" borderId="0" xfId="0" applyFont="1" applyFill="1" applyAlignment="1">
      <alignment horizontal="left" vertical="top"/>
    </xf>
    <xf numFmtId="0" fontId="5" fillId="2" borderId="0" xfId="0" applyFont="1" applyFill="1" applyAlignment="1">
      <alignment horizontal="left" vertical="top"/>
    </xf>
    <xf numFmtId="0" fontId="1" fillId="2" borderId="0" xfId="0" applyFont="1" applyFill="1" applyAlignment="1">
      <alignment horizontal="center" vertical="top"/>
    </xf>
    <xf numFmtId="0" fontId="82" fillId="0" borderId="0" xfId="0" applyFont="1"/>
    <xf numFmtId="0" fontId="83" fillId="0" borderId="0" xfId="0" applyFont="1"/>
    <xf numFmtId="0" fontId="20" fillId="0" borderId="0" xfId="0" applyFont="1" applyAlignment="1">
      <alignment horizontal="center"/>
    </xf>
    <xf numFmtId="0" fontId="3" fillId="9" borderId="0" xfId="0" applyFont="1" applyFill="1" applyAlignment="1">
      <alignment horizontal="left"/>
    </xf>
    <xf numFmtId="0" fontId="84" fillId="2" borderId="0" xfId="0" applyFont="1" applyFill="1"/>
    <xf numFmtId="0" fontId="85" fillId="0" borderId="0" xfId="0" applyFont="1"/>
    <xf numFmtId="0" fontId="86" fillId="0" borderId="0" xfId="0" applyFont="1" applyAlignment="1">
      <alignment vertical="center" wrapText="1"/>
    </xf>
    <xf numFmtId="0" fontId="87" fillId="0" borderId="0" xfId="0" applyFont="1" applyAlignment="1">
      <alignment vertical="center" wrapText="1"/>
    </xf>
    <xf numFmtId="0" fontId="88" fillId="2" borderId="0" xfId="0" applyFont="1" applyFill="1" applyAlignment="1">
      <alignment vertical="center" wrapText="1"/>
    </xf>
    <xf numFmtId="0" fontId="20" fillId="2" borderId="0" xfId="0" applyFont="1" applyFill="1" applyAlignment="1">
      <alignment vertical="center" wrapText="1"/>
    </xf>
    <xf numFmtId="0" fontId="1" fillId="6" borderId="0" xfId="0" applyFont="1" applyFill="1" applyAlignment="1">
      <alignment horizontal="center"/>
    </xf>
    <xf numFmtId="0" fontId="89" fillId="6" borderId="0" xfId="0" applyFont="1" applyFill="1" applyAlignment="1">
      <alignment vertical="center" wrapText="1"/>
    </xf>
    <xf numFmtId="0" fontId="90" fillId="6" borderId="0" xfId="0" applyFont="1" applyFill="1" applyAlignment="1">
      <alignment vertical="center" wrapText="1"/>
    </xf>
    <xf numFmtId="0" fontId="81" fillId="0" borderId="0" xfId="0" applyFont="1" applyAlignment="1">
      <alignment horizontal="center" vertical="top"/>
    </xf>
    <xf numFmtId="0" fontId="4" fillId="0" borderId="0" xfId="0" applyFont="1" applyAlignment="1">
      <alignment horizontal="center"/>
    </xf>
    <xf numFmtId="0" fontId="91" fillId="0" borderId="0" xfId="0" applyFont="1" applyAlignment="1">
      <alignment horizontal="left"/>
    </xf>
    <xf numFmtId="0" fontId="92" fillId="0" borderId="5" xfId="0" applyFont="1" applyBorder="1" applyAlignment="1">
      <alignment horizontal="left"/>
    </xf>
    <xf numFmtId="0" fontId="93" fillId="0" borderId="0" xfId="0" applyFont="1"/>
    <xf numFmtId="0" fontId="94" fillId="0" borderId="0" xfId="0" applyFont="1"/>
    <xf numFmtId="0" fontId="95" fillId="4" borderId="0" xfId="0" applyFont="1" applyFill="1"/>
    <xf numFmtId="0" fontId="96" fillId="0" borderId="0" xfId="0" applyFont="1"/>
    <xf numFmtId="0" fontId="97" fillId="0" borderId="0" xfId="0" applyFont="1"/>
    <xf numFmtId="0" fontId="98" fillId="5" borderId="0" xfId="0" applyFont="1" applyFill="1"/>
    <xf numFmtId="0" fontId="99" fillId="0" borderId="0" xfId="0" applyFont="1" applyAlignment="1">
      <alignment vertical="center" wrapText="1"/>
    </xf>
    <xf numFmtId="0" fontId="100" fillId="0" borderId="0" xfId="0" applyFont="1" applyAlignment="1">
      <alignment vertical="center" wrapText="1"/>
    </xf>
    <xf numFmtId="0" fontId="101" fillId="0" borderId="0" xfId="0" applyFont="1" applyAlignment="1">
      <alignment horizontal="center"/>
    </xf>
    <xf numFmtId="0" fontId="102" fillId="0" borderId="0" xfId="0" applyFont="1" applyAlignment="1">
      <alignment vertical="center" wrapText="1"/>
    </xf>
    <xf numFmtId="0" fontId="103" fillId="0" borderId="0" xfId="0" applyFont="1"/>
    <xf numFmtId="0" fontId="104" fillId="0" borderId="0" xfId="0" applyFont="1"/>
    <xf numFmtId="0" fontId="2" fillId="10" borderId="0" xfId="0" applyFont="1" applyFill="1"/>
    <xf numFmtId="0" fontId="105" fillId="0" borderId="0" xfId="0" applyFont="1"/>
    <xf numFmtId="0" fontId="106" fillId="0" borderId="0" xfId="0" applyFont="1"/>
    <xf numFmtId="0" fontId="107" fillId="0" borderId="0" xfId="0" applyFont="1"/>
    <xf numFmtId="0" fontId="108" fillId="0" borderId="0" xfId="0" applyFont="1"/>
    <xf numFmtId="0" fontId="109" fillId="0" borderId="0" xfId="0" applyFont="1"/>
    <xf numFmtId="0" fontId="110" fillId="0" borderId="0" xfId="0" applyFont="1"/>
    <xf numFmtId="0" fontId="111" fillId="0" borderId="0" xfId="0" applyFont="1"/>
    <xf numFmtId="0" fontId="112" fillId="0" borderId="0" xfId="0" applyFont="1"/>
    <xf numFmtId="0" fontId="113" fillId="2" borderId="0" xfId="0" applyFont="1" applyFill="1"/>
    <xf numFmtId="0" fontId="114" fillId="0" borderId="0" xfId="0" applyFont="1" applyAlignment="1">
      <alignment vertical="center" wrapText="1"/>
    </xf>
    <xf numFmtId="0" fontId="115" fillId="0" borderId="0" xfId="0" applyFont="1"/>
    <xf numFmtId="0" fontId="116" fillId="0" borderId="0" xfId="0" applyFont="1"/>
    <xf numFmtId="0" fontId="117" fillId="0" borderId="0" xfId="0" applyFont="1"/>
    <xf numFmtId="0" fontId="118" fillId="0" borderId="0" xfId="0" applyFont="1"/>
    <xf numFmtId="0" fontId="119" fillId="0" borderId="0" xfId="0" applyFont="1" applyAlignment="1">
      <alignment vertical="center" wrapText="1"/>
    </xf>
    <xf numFmtId="0" fontId="120" fillId="0" borderId="0" xfId="0" applyFont="1"/>
    <xf numFmtId="0" fontId="121" fillId="0" borderId="0" xfId="0" applyFont="1" applyAlignment="1">
      <alignment vertical="center" wrapText="1"/>
    </xf>
    <xf numFmtId="0" fontId="5" fillId="6" borderId="0" xfId="0" applyFont="1" applyFill="1"/>
    <xf numFmtId="0" fontId="122" fillId="6" borderId="0" xfId="0" applyFont="1" applyFill="1" applyAlignment="1">
      <alignment vertical="center" wrapText="1"/>
    </xf>
    <xf numFmtId="0" fontId="123" fillId="2" borderId="0" xfId="0" applyFont="1" applyFill="1" applyAlignment="1">
      <alignment horizontal="left"/>
    </xf>
    <xf numFmtId="0" fontId="124" fillId="0" borderId="0" xfId="0" applyFont="1" applyAlignment="1">
      <alignment horizontal="left"/>
    </xf>
    <xf numFmtId="0" fontId="125" fillId="2" borderId="0" xfId="0" applyFont="1" applyFill="1" applyAlignment="1">
      <alignment horizontal="left"/>
    </xf>
    <xf numFmtId="0" fontId="126" fillId="0" borderId="0" xfId="0" applyFont="1"/>
    <xf numFmtId="0" fontId="127" fillId="0" borderId="0" xfId="0" applyFont="1"/>
    <xf numFmtId="0" fontId="128" fillId="0" borderId="0" xfId="0" applyFont="1"/>
    <xf numFmtId="0" fontId="129" fillId="0" borderId="0" xfId="0" applyFont="1"/>
    <xf numFmtId="0" fontId="2" fillId="0" borderId="0" xfId="0" applyFont="1" applyAlignment="1">
      <alignment horizontal="center" vertical="top"/>
    </xf>
    <xf numFmtId="0" fontId="130" fillId="0" borderId="0" xfId="0" applyFont="1"/>
    <xf numFmtId="0" fontId="131" fillId="0" borderId="0" xfId="0" applyFont="1"/>
    <xf numFmtId="0" fontId="132" fillId="0" borderId="0" xfId="0" applyFont="1"/>
    <xf numFmtId="0" fontId="133" fillId="0" borderId="0" xfId="0" applyFont="1" applyAlignment="1">
      <alignment vertical="top"/>
    </xf>
    <xf numFmtId="0" fontId="134" fillId="0" borderId="0" xfId="0" applyFont="1" applyAlignment="1">
      <alignment vertical="top"/>
    </xf>
    <xf numFmtId="0" fontId="135" fillId="0" borderId="0" xfId="0" applyFont="1" applyAlignment="1">
      <alignment vertical="top"/>
    </xf>
    <xf numFmtId="0" fontId="114" fillId="2" borderId="0" xfId="0" applyFont="1" applyFill="1" applyAlignment="1">
      <alignment horizontal="left" vertical="center" wrapText="1"/>
    </xf>
    <xf numFmtId="0" fontId="2" fillId="0" borderId="6" xfId="0" applyFont="1" applyBorder="1" applyAlignment="1">
      <alignment vertical="top"/>
    </xf>
    <xf numFmtId="0" fontId="136" fillId="2" borderId="0" xfId="0" applyFont="1" applyFill="1" applyAlignment="1">
      <alignment horizontal="left" vertical="center" wrapText="1"/>
    </xf>
    <xf numFmtId="0" fontId="137" fillId="0" borderId="0" xfId="0" applyFont="1" applyAlignment="1">
      <alignment horizontal="center"/>
    </xf>
    <xf numFmtId="0" fontId="136" fillId="2" borderId="0" xfId="0" applyFont="1" applyFill="1" applyAlignment="1">
      <alignment vertical="center" wrapText="1"/>
    </xf>
    <xf numFmtId="0" fontId="138" fillId="0" borderId="0" xfId="0" applyFont="1"/>
    <xf numFmtId="0" fontId="139" fillId="11" borderId="0" xfId="0" applyFont="1" applyFill="1" applyAlignment="1">
      <alignment vertical="center" wrapText="1"/>
    </xf>
    <xf numFmtId="0" fontId="140" fillId="11" borderId="0" xfId="0" applyFont="1" applyFill="1" applyAlignment="1">
      <alignment vertical="center" wrapText="1"/>
    </xf>
    <xf numFmtId="0" fontId="141" fillId="11" borderId="0" xfId="0" applyFont="1" applyFill="1" applyAlignment="1">
      <alignment vertical="center" wrapText="1"/>
    </xf>
    <xf numFmtId="0" fontId="142" fillId="0" borderId="0" xfId="0" applyFont="1"/>
    <xf numFmtId="0" fontId="143" fillId="0" borderId="0" xfId="0" applyFont="1"/>
    <xf numFmtId="0" fontId="144" fillId="0" borderId="0" xfId="0" applyFont="1"/>
    <xf numFmtId="0" fontId="143" fillId="0" borderId="0" xfId="0" applyFont="1" applyAlignment="1">
      <alignment horizontal="center"/>
    </xf>
    <xf numFmtId="0" fontId="145" fillId="0" borderId="0" xfId="0" applyFont="1" applyAlignment="1">
      <alignment horizontal="center"/>
    </xf>
    <xf numFmtId="0" fontId="146" fillId="0" borderId="0" xfId="0" applyFont="1" applyAlignment="1">
      <alignment horizontal="center"/>
    </xf>
    <xf numFmtId="0" fontId="147" fillId="0" borderId="0" xfId="0" applyFont="1"/>
    <xf numFmtId="0" fontId="148" fillId="0" borderId="0" xfId="0" applyFont="1" applyAlignment="1">
      <alignment horizontal="left"/>
    </xf>
    <xf numFmtId="0" fontId="2" fillId="2" borderId="0" xfId="0" applyFont="1" applyFill="1" applyAlignment="1">
      <alignment vertical="center" wrapText="1"/>
    </xf>
    <xf numFmtId="0" fontId="2" fillId="2" borderId="0" xfId="0" applyFont="1" applyFill="1"/>
    <xf numFmtId="0" fontId="149" fillId="2" borderId="0" xfId="0" applyFont="1" applyFill="1" applyAlignment="1">
      <alignment vertical="center" wrapText="1"/>
    </xf>
    <xf numFmtId="0" fontId="5" fillId="2" borderId="0" xfId="0" applyFont="1" applyFill="1" applyAlignment="1">
      <alignment vertical="center" wrapText="1"/>
    </xf>
    <xf numFmtId="0" fontId="149" fillId="6" borderId="0" xfId="0" applyFont="1" applyFill="1" applyAlignment="1">
      <alignment horizontal="center" vertical="center" wrapText="1"/>
    </xf>
    <xf numFmtId="0" fontId="150" fillId="0" borderId="0" xfId="0" applyFont="1"/>
    <xf numFmtId="0" fontId="151" fillId="2" borderId="0" xfId="0" applyFont="1" applyFill="1"/>
    <xf numFmtId="0" fontId="152" fillId="2" borderId="0" xfId="0" applyFont="1" applyFill="1"/>
    <xf numFmtId="0" fontId="153" fillId="0" borderId="0" xfId="0" applyFont="1" applyAlignment="1">
      <alignment horizontal="left"/>
    </xf>
    <xf numFmtId="0" fontId="154" fillId="0" borderId="0" xfId="0" applyFont="1" applyAlignment="1">
      <alignment horizontal="left"/>
    </xf>
    <xf numFmtId="0" fontId="155" fillId="2" borderId="0" xfId="0" applyFont="1" applyFill="1"/>
    <xf numFmtId="0" fontId="156" fillId="0" borderId="0" xfId="0" applyFont="1"/>
    <xf numFmtId="0" fontId="157" fillId="0" borderId="0" xfId="0" applyFont="1"/>
    <xf numFmtId="0" fontId="128" fillId="2" borderId="0" xfId="0" applyFont="1" applyFill="1"/>
    <xf numFmtId="0" fontId="158" fillId="0" borderId="0" xfId="0" applyFont="1"/>
    <xf numFmtId="0" fontId="159" fillId="0" borderId="0" xfId="0" applyFont="1"/>
    <xf numFmtId="0" fontId="160" fillId="0" borderId="0" xfId="0" applyFont="1" applyAlignment="1">
      <alignment horizontal="left"/>
    </xf>
    <xf numFmtId="0" fontId="161" fillId="0" borderId="0" xfId="0" applyFont="1" applyAlignment="1">
      <alignment horizontal="center"/>
    </xf>
    <xf numFmtId="0" fontId="162" fillId="0" borderId="0" xfId="0" applyFont="1" applyAlignment="1">
      <alignment horizontal="center"/>
    </xf>
    <xf numFmtId="0" fontId="163" fillId="0" borderId="0" xfId="0" applyFont="1" applyAlignment="1">
      <alignment horizontal="center"/>
    </xf>
    <xf numFmtId="0" fontId="114" fillId="0" borderId="0" xfId="0" applyFont="1"/>
    <xf numFmtId="0" fontId="164" fillId="0" borderId="0" xfId="0" applyFont="1"/>
    <xf numFmtId="0" fontId="165" fillId="0" borderId="0" xfId="0" applyFont="1" applyAlignment="1">
      <alignment horizontal="center"/>
    </xf>
    <xf numFmtId="0" fontId="5" fillId="10" borderId="0" xfId="0" applyFont="1" applyFill="1"/>
    <xf numFmtId="0" fontId="166" fillId="0" borderId="0" xfId="0" applyFont="1"/>
    <xf numFmtId="0" fontId="167" fillId="0" borderId="0" xfId="0" applyFont="1" applyAlignment="1">
      <alignment horizontal="left"/>
    </xf>
    <xf numFmtId="0" fontId="168" fillId="2" borderId="0" xfId="0" applyFont="1" applyFill="1"/>
    <xf numFmtId="0" fontId="169" fillId="2" borderId="0" xfId="0" applyFont="1" applyFill="1"/>
    <xf numFmtId="0" fontId="170" fillId="0" borderId="0" xfId="0" applyFont="1"/>
    <xf numFmtId="0" fontId="171" fillId="0" borderId="0" xfId="0" applyFont="1"/>
    <xf numFmtId="0" fontId="172" fillId="0" borderId="0" xfId="0" applyFont="1"/>
    <xf numFmtId="0" fontId="173" fillId="2" borderId="0" xfId="0" applyFont="1" applyFill="1" applyAlignment="1">
      <alignment vertical="center" wrapText="1"/>
    </xf>
    <xf numFmtId="0" fontId="174" fillId="2" borderId="0" xfId="0" applyFont="1" applyFill="1" applyAlignment="1">
      <alignment vertical="center" wrapText="1"/>
    </xf>
    <xf numFmtId="0" fontId="175" fillId="0" borderId="0" xfId="0" applyFont="1" applyAlignment="1">
      <alignment horizontal="left"/>
    </xf>
    <xf numFmtId="0" fontId="176" fillId="2" borderId="0" xfId="0" applyFont="1" applyFill="1"/>
    <xf numFmtId="0" fontId="2" fillId="2" borderId="0" xfId="0" applyFont="1" applyFill="1" applyAlignment="1">
      <alignment horizontal="left" vertical="center" wrapText="1"/>
    </xf>
    <xf numFmtId="0" fontId="177" fillId="0" borderId="0" xfId="0" applyFont="1" applyAlignment="1">
      <alignment horizontal="left"/>
    </xf>
    <xf numFmtId="0" fontId="178" fillId="2" borderId="0" xfId="0" applyFont="1" applyFill="1" applyAlignment="1">
      <alignment horizontal="left"/>
    </xf>
    <xf numFmtId="0" fontId="179" fillId="0" borderId="0" xfId="0" applyFont="1"/>
    <xf numFmtId="0" fontId="180" fillId="0" borderId="0" xfId="0" applyFont="1"/>
    <xf numFmtId="0" fontId="3" fillId="2" borderId="0" xfId="0" applyFont="1" applyFill="1"/>
    <xf numFmtId="0" fontId="181" fillId="2" borderId="0" xfId="0" applyFont="1" applyFill="1"/>
    <xf numFmtId="0" fontId="182" fillId="2" borderId="0" xfId="0" applyFont="1" applyFill="1"/>
    <xf numFmtId="0" fontId="183" fillId="2" borderId="0" xfId="0" applyFont="1" applyFill="1" applyAlignment="1">
      <alignment horizontal="center"/>
    </xf>
    <xf numFmtId="0" fontId="184" fillId="0" borderId="0" xfId="0" applyFont="1" applyAlignment="1">
      <alignment horizontal="left"/>
    </xf>
    <xf numFmtId="0" fontId="185" fillId="0" borderId="0" xfId="0" applyFont="1" applyAlignment="1">
      <alignment horizontal="left"/>
    </xf>
    <xf numFmtId="0" fontId="186" fillId="0" borderId="0" xfId="0" applyFont="1" applyAlignment="1">
      <alignment horizontal="left"/>
    </xf>
    <xf numFmtId="0" fontId="187" fillId="0" borderId="0" xfId="0" applyFont="1"/>
    <xf numFmtId="0" fontId="188" fillId="0" borderId="0" xfId="0" applyFont="1"/>
    <xf numFmtId="0" fontId="189" fillId="0" borderId="0" xfId="0" applyFont="1" applyAlignment="1">
      <alignment horizontal="left"/>
    </xf>
    <xf numFmtId="0" fontId="190" fillId="0" borderId="0" xfId="0" applyFont="1" applyAlignment="1">
      <alignment horizontal="left"/>
    </xf>
    <xf numFmtId="0" fontId="191" fillId="0" borderId="0" xfId="0" applyFont="1" applyAlignment="1">
      <alignment horizontal="left"/>
    </xf>
    <xf numFmtId="166" fontId="4" fillId="6" borderId="0" xfId="0" applyNumberFormat="1" applyFont="1" applyFill="1" applyAlignment="1">
      <alignment horizontal="center" vertical="center" wrapText="1"/>
    </xf>
    <xf numFmtId="0" fontId="192" fillId="0" borderId="0" xfId="0" applyFont="1" applyAlignment="1">
      <alignment vertical="center" wrapText="1"/>
    </xf>
    <xf numFmtId="0" fontId="2" fillId="6" borderId="0" xfId="0" applyFont="1" applyFill="1" applyAlignment="1">
      <alignment horizontal="left"/>
    </xf>
    <xf numFmtId="0" fontId="114" fillId="6" borderId="0" xfId="0" applyFont="1" applyFill="1" applyAlignment="1">
      <alignment horizontal="left" vertical="center" wrapText="1"/>
    </xf>
    <xf numFmtId="0" fontId="2" fillId="6" borderId="0" xfId="0" applyFont="1" applyFill="1" applyAlignment="1">
      <alignment horizontal="left" vertical="center" wrapText="1"/>
    </xf>
    <xf numFmtId="0" fontId="193" fillId="0" borderId="0" xfId="0" applyFont="1" applyAlignment="1">
      <alignment horizontal="right"/>
    </xf>
    <xf numFmtId="0" fontId="194" fillId="2" borderId="0" xfId="0" applyFont="1" applyFill="1" applyAlignment="1">
      <alignment horizontal="left"/>
    </xf>
    <xf numFmtId="0" fontId="195" fillId="2" borderId="0" xfId="0" applyFont="1" applyFill="1" applyAlignment="1">
      <alignment horizontal="left"/>
    </xf>
    <xf numFmtId="0" fontId="2" fillId="0" borderId="0" xfId="0" applyFont="1" applyAlignment="1">
      <alignment horizontal="right"/>
    </xf>
    <xf numFmtId="0" fontId="196" fillId="0" borderId="0" xfId="0" applyFont="1" applyAlignment="1">
      <alignment horizontal="right" vertical="center" wrapText="1"/>
    </xf>
    <xf numFmtId="0" fontId="114" fillId="2" borderId="0" xfId="0" applyFont="1" applyFill="1" applyAlignment="1">
      <alignment horizontal="left"/>
    </xf>
    <xf numFmtId="0" fontId="114" fillId="2" borderId="0" xfId="0" applyFont="1" applyFill="1" applyAlignment="1">
      <alignment horizontal="center" vertical="center" wrapText="1"/>
    </xf>
    <xf numFmtId="0" fontId="197" fillId="2" borderId="0" xfId="0" applyFont="1" applyFill="1"/>
    <xf numFmtId="0" fontId="4" fillId="2" borderId="0" xfId="0" applyFont="1" applyFill="1" applyAlignment="1">
      <alignment vertical="center" wrapText="1"/>
    </xf>
    <xf numFmtId="0" fontId="198" fillId="2" borderId="0" xfId="0" applyFont="1" applyFill="1"/>
    <xf numFmtId="0" fontId="199" fillId="2" borderId="0" xfId="0" applyFont="1" applyFill="1" applyAlignment="1">
      <alignment horizontal="left" vertical="center" wrapText="1"/>
    </xf>
    <xf numFmtId="0" fontId="200" fillId="5" borderId="0" xfId="0" applyFont="1" applyFill="1"/>
    <xf numFmtId="0" fontId="201" fillId="0" borderId="0" xfId="0" applyFont="1"/>
    <xf numFmtId="0" fontId="202" fillId="0" borderId="0" xfId="0" applyFont="1"/>
    <xf numFmtId="0" fontId="203" fillId="0" borderId="0" xfId="0" applyFont="1" applyAlignment="1">
      <alignment horizontal="left"/>
    </xf>
    <xf numFmtId="0" fontId="204" fillId="0" borderId="0" xfId="0" applyFont="1"/>
    <xf numFmtId="0" fontId="205" fillId="2" borderId="0" xfId="0" applyFont="1" applyFill="1"/>
    <xf numFmtId="0" fontId="144" fillId="2" borderId="0" xfId="0" applyFont="1" applyFill="1"/>
    <xf numFmtId="0" fontId="206" fillId="0" borderId="0" xfId="0" applyFont="1"/>
    <xf numFmtId="0" fontId="207" fillId="0" borderId="0" xfId="0" applyFont="1"/>
    <xf numFmtId="0" fontId="208" fillId="6" borderId="0" xfId="0" applyFont="1" applyFill="1"/>
    <xf numFmtId="0" fontId="209" fillId="2" borderId="0" xfId="0" applyFont="1" applyFill="1" applyAlignment="1">
      <alignment horizontal="center" wrapText="1"/>
    </xf>
    <xf numFmtId="0" fontId="210" fillId="2" borderId="0" xfId="0" applyFont="1" applyFill="1"/>
    <xf numFmtId="0" fontId="211" fillId="2" borderId="0" xfId="0" applyFont="1" applyFill="1"/>
    <xf numFmtId="0" fontId="212" fillId="6" borderId="0" xfId="0" applyFont="1" applyFill="1"/>
    <xf numFmtId="0" fontId="213" fillId="2" borderId="0" xfId="0" applyFont="1" applyFill="1"/>
    <xf numFmtId="0" fontId="6" fillId="0" borderId="0" xfId="0" applyFont="1" applyAlignment="1">
      <alignment horizontal="center" vertical="center"/>
    </xf>
    <xf numFmtId="0" fontId="6" fillId="12" borderId="1" xfId="0" applyFont="1" applyFill="1" applyBorder="1" applyAlignment="1">
      <alignment horizontal="center"/>
    </xf>
    <xf numFmtId="0" fontId="6" fillId="13" borderId="1" xfId="0" applyFont="1" applyFill="1" applyBorder="1" applyAlignment="1">
      <alignment horizontal="center"/>
    </xf>
    <xf numFmtId="0" fontId="6" fillId="0" borderId="1" xfId="0" applyFont="1" applyBorder="1" applyAlignment="1">
      <alignment horizontal="center"/>
    </xf>
    <xf numFmtId="0" fontId="8" fillId="0" borderId="0" xfId="0" applyFont="1" applyAlignment="1">
      <alignment horizontal="center"/>
    </xf>
    <xf numFmtId="0" fontId="215" fillId="0" borderId="0" xfId="0" applyFont="1" applyAlignment="1">
      <alignment horizontal="center"/>
    </xf>
    <xf numFmtId="0" fontId="4" fillId="0" borderId="1" xfId="0" applyFont="1" applyBorder="1" applyAlignment="1">
      <alignment horizontal="left" vertical="center" wrapText="1"/>
    </xf>
    <xf numFmtId="0" fontId="216" fillId="0" borderId="1" xfId="0" applyFont="1" applyBorder="1" applyAlignment="1">
      <alignment horizontal="center" vertical="center" wrapText="1"/>
    </xf>
    <xf numFmtId="0" fontId="217" fillId="2" borderId="0" xfId="0" applyFont="1" applyFill="1" applyAlignment="1">
      <alignment horizontal="center"/>
    </xf>
    <xf numFmtId="165" fontId="4" fillId="0" borderId="0" xfId="0" applyNumberFormat="1" applyFont="1"/>
    <xf numFmtId="0" fontId="4" fillId="0" borderId="0" xfId="0" applyFont="1" applyAlignment="1">
      <alignment horizontal="center" vertical="center"/>
    </xf>
    <xf numFmtId="0" fontId="7" fillId="0" borderId="1" xfId="0" applyFont="1" applyBorder="1" applyAlignment="1">
      <alignment horizontal="center"/>
    </xf>
    <xf numFmtId="0" fontId="4" fillId="0" borderId="1" xfId="0" applyFont="1" applyBorder="1" applyAlignment="1">
      <alignment horizontal="center"/>
    </xf>
    <xf numFmtId="167" fontId="7" fillId="0" borderId="1" xfId="0" applyNumberFormat="1" applyFont="1" applyBorder="1" applyAlignment="1">
      <alignment horizontal="center"/>
    </xf>
    <xf numFmtId="167" fontId="7" fillId="0" borderId="1" xfId="0" applyNumberFormat="1" applyFont="1" applyBorder="1" applyAlignment="1">
      <alignment horizontal="center" vertical="center"/>
    </xf>
    <xf numFmtId="165" fontId="4" fillId="0" borderId="1" xfId="0" applyNumberFormat="1" applyFont="1" applyBorder="1" applyAlignment="1">
      <alignment horizontal="center"/>
    </xf>
    <xf numFmtId="0" fontId="4" fillId="0" borderId="0" xfId="0" applyFont="1" applyAlignment="1">
      <alignment horizontal="right"/>
    </xf>
    <xf numFmtId="3" fontId="4" fillId="0" borderId="0" xfId="0" applyNumberFormat="1" applyFont="1" applyAlignment="1">
      <alignment horizontal="center"/>
    </xf>
    <xf numFmtId="3" fontId="4" fillId="0" borderId="0" xfId="0" applyNumberFormat="1" applyFont="1" applyAlignment="1">
      <alignment horizontal="center" vertical="center"/>
    </xf>
    <xf numFmtId="3" fontId="217" fillId="2" borderId="0" xfId="0" applyNumberFormat="1" applyFont="1" applyFill="1" applyAlignment="1">
      <alignment horizontal="center" vertical="center"/>
    </xf>
    <xf numFmtId="0" fontId="218" fillId="2" borderId="0" xfId="0" applyFont="1" applyFill="1" applyAlignment="1">
      <alignment horizontal="center" vertical="center"/>
    </xf>
    <xf numFmtId="0" fontId="219" fillId="0" borderId="0" xfId="0" applyFont="1" applyAlignment="1">
      <alignment horizontal="center"/>
    </xf>
    <xf numFmtId="0" fontId="220" fillId="2" borderId="1" xfId="0" applyFont="1" applyFill="1" applyBorder="1" applyAlignment="1">
      <alignment horizontal="center"/>
    </xf>
    <xf numFmtId="167" fontId="221" fillId="2" borderId="7" xfId="0" applyNumberFormat="1" applyFont="1" applyFill="1" applyBorder="1" applyAlignment="1">
      <alignment horizontal="center" vertical="center"/>
    </xf>
    <xf numFmtId="0" fontId="221" fillId="2" borderId="1" xfId="0" applyFont="1" applyFill="1" applyBorder="1" applyAlignment="1">
      <alignment horizontal="center" vertical="center"/>
    </xf>
    <xf numFmtId="0" fontId="221" fillId="2" borderId="7" xfId="0" applyFont="1" applyFill="1" applyBorder="1" applyAlignment="1">
      <alignment horizontal="center" vertical="center"/>
    </xf>
    <xf numFmtId="0" fontId="7" fillId="0" borderId="0" xfId="0" applyFont="1" applyAlignment="1">
      <alignment horizontal="center" vertical="center"/>
    </xf>
    <xf numFmtId="167" fontId="7" fillId="5" borderId="1" xfId="0" applyNumberFormat="1" applyFont="1" applyFill="1" applyBorder="1" applyAlignment="1">
      <alignment horizontal="center" vertical="center"/>
    </xf>
    <xf numFmtId="0" fontId="6" fillId="5" borderId="0" xfId="0" applyFont="1" applyFill="1" applyAlignment="1">
      <alignment horizontal="center" vertical="center"/>
    </xf>
    <xf numFmtId="0" fontId="7" fillId="14" borderId="0" xfId="0" applyFont="1" applyFill="1" applyAlignment="1">
      <alignment horizontal="center" vertical="center"/>
    </xf>
    <xf numFmtId="0" fontId="217" fillId="2" borderId="0" xfId="0" applyFont="1" applyFill="1" applyAlignment="1">
      <alignment horizontal="center" vertical="center"/>
    </xf>
    <xf numFmtId="0" fontId="222" fillId="0" borderId="1" xfId="0" applyFont="1" applyBorder="1" applyAlignment="1">
      <alignment horizontal="center" vertical="center" wrapText="1"/>
    </xf>
    <xf numFmtId="165" fontId="221" fillId="2" borderId="1" xfId="0" applyNumberFormat="1" applyFont="1" applyFill="1" applyBorder="1" applyAlignment="1">
      <alignment horizontal="center" vertical="center"/>
    </xf>
    <xf numFmtId="165" fontId="221" fillId="2" borderId="7" xfId="0" applyNumberFormat="1" applyFont="1" applyFill="1" applyBorder="1" applyAlignment="1">
      <alignment horizontal="center" vertical="center"/>
    </xf>
    <xf numFmtId="165" fontId="4" fillId="0" borderId="0" xfId="0" applyNumberFormat="1" applyFont="1" applyAlignment="1">
      <alignment horizontal="center" vertical="center"/>
    </xf>
    <xf numFmtId="3" fontId="217" fillId="2" borderId="0" xfId="0" applyNumberFormat="1" applyFont="1" applyFill="1" applyAlignment="1">
      <alignment horizontal="center"/>
    </xf>
    <xf numFmtId="0" fontId="218" fillId="2" borderId="0" xfId="0" applyFont="1" applyFill="1" applyAlignment="1">
      <alignment horizontal="center"/>
    </xf>
    <xf numFmtId="3" fontId="4" fillId="0" borderId="0" xfId="0" applyNumberFormat="1" applyFont="1"/>
    <xf numFmtId="0" fontId="136" fillId="2" borderId="1" xfId="0" applyFont="1" applyFill="1" applyBorder="1" applyAlignment="1">
      <alignment horizontal="center"/>
    </xf>
    <xf numFmtId="0" fontId="218" fillId="2" borderId="0" xfId="0" applyFont="1" applyFill="1"/>
    <xf numFmtId="0" fontId="4" fillId="15" borderId="0" xfId="0" applyFont="1" applyFill="1" applyAlignment="1">
      <alignment horizontal="center" vertical="center"/>
    </xf>
    <xf numFmtId="0" fontId="223" fillId="2" borderId="0" xfId="0" applyFont="1" applyFill="1" applyAlignment="1">
      <alignment horizontal="center" vertical="center"/>
    </xf>
    <xf numFmtId="3" fontId="224" fillId="0" borderId="0" xfId="0" applyNumberFormat="1" applyFont="1" applyAlignment="1">
      <alignment horizontal="center"/>
    </xf>
    <xf numFmtId="0" fontId="4" fillId="6" borderId="0" xfId="0" applyFont="1" applyFill="1" applyAlignment="1">
      <alignment horizontal="center" vertical="center"/>
    </xf>
    <xf numFmtId="3" fontId="221" fillId="2" borderId="1" xfId="0" applyNumberFormat="1" applyFont="1" applyFill="1" applyBorder="1" applyAlignment="1">
      <alignment horizontal="center" vertical="center"/>
    </xf>
    <xf numFmtId="3" fontId="221" fillId="2" borderId="7" xfId="0" applyNumberFormat="1" applyFont="1" applyFill="1" applyBorder="1" applyAlignment="1">
      <alignment horizontal="center" vertical="center"/>
    </xf>
    <xf numFmtId="0" fontId="225" fillId="0" borderId="1" xfId="0" applyFont="1" applyBorder="1" applyAlignment="1">
      <alignment horizontal="center" vertical="center" wrapText="1"/>
    </xf>
    <xf numFmtId="0" fontId="7" fillId="16" borderId="1" xfId="0" applyFont="1" applyFill="1" applyBorder="1" applyAlignment="1">
      <alignment vertical="center" wrapText="1"/>
    </xf>
    <xf numFmtId="3" fontId="218" fillId="2" borderId="0" xfId="0" applyNumberFormat="1" applyFont="1" applyFill="1" applyAlignment="1">
      <alignment horizontal="center"/>
    </xf>
    <xf numFmtId="0" fontId="4" fillId="16" borderId="1" xfId="0" applyFont="1" applyFill="1" applyBorder="1" applyAlignment="1">
      <alignment vertical="center" wrapText="1"/>
    </xf>
    <xf numFmtId="0" fontId="223" fillId="2" borderId="0" xfId="0" applyFont="1" applyFill="1" applyAlignment="1">
      <alignment horizontal="center"/>
    </xf>
    <xf numFmtId="0" fontId="226" fillId="0" borderId="1" xfId="0" applyFont="1" applyBorder="1" applyAlignment="1">
      <alignment horizontal="center" vertical="center" wrapText="1"/>
    </xf>
    <xf numFmtId="167" fontId="221" fillId="2" borderId="1" xfId="0" applyNumberFormat="1" applyFont="1" applyFill="1" applyBorder="1" applyAlignment="1">
      <alignment horizontal="center" vertical="center"/>
    </xf>
    <xf numFmtId="0" fontId="4" fillId="17" borderId="1" xfId="0" applyFont="1" applyFill="1" applyBorder="1" applyAlignment="1">
      <alignment vertical="center" wrapText="1"/>
    </xf>
    <xf numFmtId="167" fontId="221" fillId="2" borderId="1" xfId="0" applyNumberFormat="1" applyFont="1" applyFill="1" applyBorder="1" applyAlignment="1">
      <alignment horizontal="center" vertical="center" wrapText="1"/>
    </xf>
    <xf numFmtId="3" fontId="218" fillId="2" borderId="0" xfId="0" applyNumberFormat="1" applyFont="1" applyFill="1"/>
    <xf numFmtId="0" fontId="227" fillId="0" borderId="0" xfId="0" applyFont="1" applyAlignment="1">
      <alignment horizontal="right"/>
    </xf>
    <xf numFmtId="167" fontId="7" fillId="0" borderId="1" xfId="0" applyNumberFormat="1" applyFont="1" applyBorder="1" applyAlignment="1">
      <alignment horizontal="center" vertical="center" wrapText="1"/>
    </xf>
    <xf numFmtId="0" fontId="228" fillId="0" borderId="1" xfId="0" applyFont="1" applyBorder="1" applyAlignment="1">
      <alignment vertical="center" wrapText="1"/>
    </xf>
    <xf numFmtId="167" fontId="221" fillId="2" borderId="7" xfId="0" applyNumberFormat="1" applyFont="1" applyFill="1" applyBorder="1" applyAlignment="1">
      <alignment horizontal="center" vertical="center" wrapText="1"/>
    </xf>
    <xf numFmtId="0" fontId="229" fillId="5" borderId="1" xfId="0" applyFont="1" applyFill="1" applyBorder="1" applyAlignment="1">
      <alignment vertical="center" wrapText="1"/>
    </xf>
    <xf numFmtId="0" fontId="230" fillId="0" borderId="1" xfId="0" applyFont="1" applyBorder="1" applyAlignment="1">
      <alignment horizontal="center" vertical="center" wrapText="1"/>
    </xf>
    <xf numFmtId="3" fontId="218" fillId="2" borderId="0" xfId="0" applyNumberFormat="1" applyFont="1" applyFill="1" applyAlignment="1">
      <alignment horizontal="center" vertical="center"/>
    </xf>
    <xf numFmtId="3" fontId="217" fillId="2" borderId="0" xfId="0" applyNumberFormat="1" applyFont="1" applyFill="1" applyAlignment="1">
      <alignment horizontal="left"/>
    </xf>
    <xf numFmtId="0" fontId="4" fillId="5" borderId="1" xfId="0" applyFont="1" applyFill="1" applyBorder="1" applyAlignment="1">
      <alignment vertical="center" wrapText="1"/>
    </xf>
    <xf numFmtId="167" fontId="221" fillId="2" borderId="7" xfId="0" applyNumberFormat="1" applyFont="1" applyFill="1" applyBorder="1" applyAlignment="1">
      <alignment horizontal="center" vertical="top"/>
    </xf>
    <xf numFmtId="0" fontId="231" fillId="0" borderId="0" xfId="0" applyFont="1" applyAlignment="1">
      <alignment horizontal="center" vertical="center"/>
    </xf>
    <xf numFmtId="0" fontId="232" fillId="0" borderId="0" xfId="0" applyFont="1" applyAlignment="1">
      <alignment horizontal="center"/>
    </xf>
    <xf numFmtId="0" fontId="233" fillId="0" borderId="1" xfId="0" applyFont="1" applyBorder="1" applyAlignment="1">
      <alignment vertical="center" wrapText="1"/>
    </xf>
    <xf numFmtId="0" fontId="114" fillId="0" borderId="1" xfId="0" applyFont="1" applyBorder="1" applyAlignment="1">
      <alignment vertical="center" wrapText="1"/>
    </xf>
    <xf numFmtId="0" fontId="234" fillId="0" borderId="1" xfId="0" applyFont="1" applyBorder="1" applyAlignment="1">
      <alignment vertical="center" wrapText="1"/>
    </xf>
    <xf numFmtId="0" fontId="4" fillId="0" borderId="1" xfId="0" applyFont="1" applyBorder="1" applyAlignment="1">
      <alignment horizontal="center" vertical="center" wrapText="1"/>
    </xf>
    <xf numFmtId="167" fontId="221" fillId="18" borderId="1" xfId="0" applyNumberFormat="1" applyFont="1" applyFill="1" applyBorder="1" applyAlignment="1">
      <alignment horizontal="center" vertical="center"/>
    </xf>
    <xf numFmtId="0" fontId="7" fillId="0" borderId="1" xfId="0" applyFont="1" applyBorder="1" applyAlignment="1">
      <alignment horizontal="center" vertical="center" wrapText="1"/>
    </xf>
    <xf numFmtId="0" fontId="221" fillId="2" borderId="1" xfId="0" applyFont="1" applyFill="1" applyBorder="1" applyAlignment="1">
      <alignment horizontal="center" vertical="center" wrapText="1"/>
    </xf>
    <xf numFmtId="0" fontId="221" fillId="2" borderId="7" xfId="0" applyFont="1" applyFill="1" applyBorder="1" applyAlignment="1">
      <alignment horizontal="center" vertical="center" wrapText="1"/>
    </xf>
    <xf numFmtId="0" fontId="7" fillId="0" borderId="1" xfId="0" applyFont="1" applyBorder="1" applyAlignment="1">
      <alignment horizontal="center" vertical="center"/>
    </xf>
    <xf numFmtId="0" fontId="221" fillId="2" borderId="1" xfId="0" applyFont="1" applyFill="1" applyBorder="1" applyAlignment="1">
      <alignment horizontal="center" vertical="top"/>
    </xf>
    <xf numFmtId="0" fontId="221" fillId="2" borderId="7" xfId="0" applyFont="1" applyFill="1" applyBorder="1" applyAlignment="1">
      <alignment horizontal="center" vertical="top"/>
    </xf>
    <xf numFmtId="0" fontId="235" fillId="2" borderId="0" xfId="0" applyFont="1" applyFill="1"/>
    <xf numFmtId="0" fontId="236" fillId="0" borderId="1" xfId="0" applyFont="1" applyBorder="1" applyAlignment="1">
      <alignment horizontal="center" vertical="center" wrapText="1"/>
    </xf>
    <xf numFmtId="0" fontId="237" fillId="0" borderId="1" xfId="0" applyFont="1" applyBorder="1" applyAlignment="1">
      <alignment vertical="center" wrapText="1"/>
    </xf>
    <xf numFmtId="0" fontId="238" fillId="2" borderId="0" xfId="0" applyFont="1" applyFill="1" applyAlignment="1">
      <alignment horizontal="center"/>
    </xf>
    <xf numFmtId="0" fontId="239" fillId="0" borderId="0" xfId="0" applyFont="1" applyAlignment="1">
      <alignment horizontal="center"/>
    </xf>
    <xf numFmtId="0" fontId="240" fillId="0" borderId="0" xfId="0" applyFont="1" applyAlignment="1">
      <alignment horizontal="left"/>
    </xf>
    <xf numFmtId="3" fontId="4" fillId="0" borderId="0" xfId="0" applyNumberFormat="1" applyFont="1" applyAlignment="1">
      <alignment horizontal="left"/>
    </xf>
    <xf numFmtId="0" fontId="1" fillId="12" borderId="1" xfId="0" applyFont="1" applyFill="1" applyBorder="1" applyAlignment="1">
      <alignment horizontal="center"/>
    </xf>
    <xf numFmtId="0" fontId="6" fillId="19" borderId="0" xfId="0" applyFont="1" applyFill="1" applyAlignment="1">
      <alignment horizontal="center" vertical="center"/>
    </xf>
    <xf numFmtId="0" fontId="1" fillId="20" borderId="0" xfId="0" applyFont="1" applyFill="1" applyAlignment="1">
      <alignment horizontal="center"/>
    </xf>
    <xf numFmtId="0" fontId="6" fillId="19" borderId="1" xfId="0" applyFont="1" applyFill="1" applyBorder="1" applyAlignment="1">
      <alignment horizontal="center" wrapText="1"/>
    </xf>
    <xf numFmtId="0" fontId="1" fillId="20" borderId="1" xfId="0" applyFont="1" applyFill="1" applyBorder="1" applyAlignment="1">
      <alignment horizontal="center" wrapText="1"/>
    </xf>
    <xf numFmtId="0" fontId="1" fillId="20" borderId="1" xfId="0" applyFont="1" applyFill="1" applyBorder="1" applyAlignment="1">
      <alignment horizontal="center" vertical="center" wrapText="1"/>
    </xf>
    <xf numFmtId="0" fontId="1" fillId="19" borderId="1" xfId="0" applyFont="1" applyFill="1" applyBorder="1" applyAlignment="1">
      <alignment horizontal="center" vertical="center" wrapText="1"/>
    </xf>
    <xf numFmtId="0" fontId="214" fillId="21" borderId="0" xfId="0" applyFont="1" applyFill="1" applyAlignment="1">
      <alignment horizontal="center" vertical="top"/>
    </xf>
    <xf numFmtId="0" fontId="214" fillId="22" borderId="0" xfId="0" applyFont="1" applyFill="1" applyAlignment="1">
      <alignment horizontal="center" vertical="top"/>
    </xf>
    <xf numFmtId="0" fontId="1" fillId="23" borderId="1" xfId="0" applyFont="1" applyFill="1" applyBorder="1" applyAlignment="1">
      <alignment horizontal="center" vertical="center"/>
    </xf>
    <xf numFmtId="0" fontId="1" fillId="19" borderId="0" xfId="0" applyFont="1" applyFill="1" applyAlignment="1">
      <alignment horizontal="center"/>
    </xf>
    <xf numFmtId="0" fontId="1" fillId="19" borderId="0" xfId="0" applyFont="1" applyFill="1" applyAlignment="1">
      <alignment horizontal="center" vertical="center"/>
    </xf>
    <xf numFmtId="0" fontId="214" fillId="0" borderId="0" xfId="0" applyFont="1" applyAlignment="1">
      <alignment horizontal="center" vertical="top"/>
    </xf>
    <xf numFmtId="0" fontId="1" fillId="0" borderId="1" xfId="0" applyFont="1" applyBorder="1" applyAlignment="1">
      <alignment horizontal="center"/>
    </xf>
    <xf numFmtId="167" fontId="7" fillId="0" borderId="7" xfId="0" applyNumberFormat="1" applyFont="1" applyBorder="1" applyAlignment="1">
      <alignment horizontal="center" vertical="center" wrapText="1"/>
    </xf>
    <xf numFmtId="167" fontId="7" fillId="0" borderId="7" xfId="0" applyNumberFormat="1" applyFont="1" applyBorder="1" applyAlignment="1">
      <alignment horizontal="center" vertical="center"/>
    </xf>
    <xf numFmtId="0" fontId="7" fillId="0" borderId="7" xfId="0" applyFont="1" applyBorder="1" applyAlignment="1">
      <alignment horizontal="center" vertical="center" wrapText="1"/>
    </xf>
    <xf numFmtId="167" fontId="7" fillId="0" borderId="7" xfId="0" applyNumberFormat="1" applyFont="1" applyBorder="1" applyAlignment="1">
      <alignment horizontal="center"/>
    </xf>
    <xf numFmtId="167" fontId="221" fillId="2" borderId="1" xfId="0" applyNumberFormat="1" applyFont="1" applyFill="1" applyBorder="1" applyAlignment="1">
      <alignment horizontal="center" vertical="top"/>
    </xf>
    <xf numFmtId="0" fontId="7" fillId="0" borderId="7" xfId="0" applyFont="1" applyBorder="1" applyAlignment="1">
      <alignment horizontal="center" vertical="center"/>
    </xf>
    <xf numFmtId="3" fontId="221" fillId="2" borderId="0" xfId="0" applyNumberFormat="1" applyFont="1" applyFill="1" applyBorder="1" applyAlignment="1">
      <alignment horizontal="center" vertical="center"/>
    </xf>
    <xf numFmtId="0" fontId="6" fillId="5" borderId="1" xfId="0" applyFont="1" applyFill="1" applyBorder="1" applyAlignment="1">
      <alignment horizontal="center" vertical="center"/>
    </xf>
    <xf numFmtId="0" fontId="221" fillId="2" borderId="0" xfId="0" applyFont="1" applyFill="1" applyBorder="1" applyAlignment="1">
      <alignment horizontal="center" vertical="center"/>
    </xf>
    <xf numFmtId="0" fontId="6" fillId="5" borderId="7" xfId="0" applyFont="1" applyFill="1" applyBorder="1" applyAlignment="1">
      <alignment horizontal="center" vertical="center"/>
    </xf>
    <xf numFmtId="0" fontId="8" fillId="3" borderId="0" xfId="0" applyFont="1" applyFill="1" applyAlignment="1">
      <alignment horizontal="center" vertical="center" wrapText="1"/>
    </xf>
    <xf numFmtId="0" fontId="0" fillId="0" borderId="0" xfId="0"/>
    <xf numFmtId="0" fontId="8" fillId="3" borderId="2" xfId="0" applyFont="1" applyFill="1" applyBorder="1" applyAlignment="1">
      <alignment horizontal="center" vertical="center" wrapText="1"/>
    </xf>
    <xf numFmtId="0" fontId="9" fillId="0" borderId="3" xfId="0" applyFont="1" applyBorder="1"/>
    <xf numFmtId="0" fontId="8"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colors>
    <mruColors>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18" Type="http://schemas.openxmlformats.org/officeDocument/2006/relationships/styles" Target="styles.xml"/><Relationship Id="rId3" Type="http://schemas.openxmlformats.org/officeDocument/2006/relationships/worksheet" Target="worksheets/sheet3.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19" Type="http://schemas.openxmlformats.org/officeDocument/2006/relationships/sharedStrings" Target="sharedStrings.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10</xdr:col>
      <xdr:colOff>1647825</xdr:colOff>
      <xdr:row>6079</xdr:row>
      <xdr:rowOff>161925</xdr:rowOff>
    </xdr:from>
    <xdr:ext cx="5800725" cy="5172075"/>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viterbi.usc.edu/directory/faculty/Yang/Bingen" TargetMode="External"/><Relationship Id="rId3182" Type="http://schemas.openxmlformats.org/officeDocument/2006/relationships/hyperlink" Target="https://mabe.utk.edu/people/mark-gragston/" TargetMode="External"/><Relationship Id="rId4026" Type="http://schemas.openxmlformats.org/officeDocument/2006/relationships/hyperlink" Target="https://www.binghamton.edu/mechanical-engineering/people/profile.html?id=kyu" TargetMode="External"/><Relationship Id="rId4233" Type="http://schemas.openxmlformats.org/officeDocument/2006/relationships/hyperlink" Target="https://me.ku.edu/people/carl-w-luchies" TargetMode="External"/><Relationship Id="rId4440" Type="http://schemas.openxmlformats.org/officeDocument/2006/relationships/hyperlink" Target="https://www.lsu.edu/eng/mie/people/faculty/untitled.php" TargetMode="External"/><Relationship Id="rId3042" Type="http://schemas.openxmlformats.org/officeDocument/2006/relationships/hyperlink" Target="https://engineering.lehigh.edu/meche/faculty/956" TargetMode="External"/><Relationship Id="rId3999" Type="http://schemas.openxmlformats.org/officeDocument/2006/relationships/hyperlink" Target="https://sc.edu/study/colleges_schools/engineering_and_computing/faculty-staff/vitzilaios.php" TargetMode="External"/><Relationship Id="rId4300" Type="http://schemas.openxmlformats.org/officeDocument/2006/relationships/hyperlink" Target="http://egr.vcu.edu/directory/lane.carasik/" TargetMode="External"/><Relationship Id="rId170" Type="http://schemas.openxmlformats.org/officeDocument/2006/relationships/hyperlink" Target="https://me.stanford.edu/people/friedrich-prinz" TargetMode="External"/><Relationship Id="rId3859" Type="http://schemas.openxmlformats.org/officeDocument/2006/relationships/hyperlink" Target="https://engineering.unl.edu/mme/faculty/bai-cui/" TargetMode="External"/><Relationship Id="rId5074" Type="http://schemas.openxmlformats.org/officeDocument/2006/relationships/hyperlink" Target="https://premium.usnews.com/best-graduate-schools/top-engineering-schools/florida-international-university-02044" TargetMode="External"/><Relationship Id="rId5281" Type="http://schemas.openxmlformats.org/officeDocument/2006/relationships/hyperlink" Target="https://www.unlv.edu/people/meng-jen-wang" TargetMode="External"/><Relationship Id="rId987" Type="http://schemas.openxmlformats.org/officeDocument/2006/relationships/hyperlink" Target="https://engineering.tamu.edu/mechanical/profiles/balawi-shadi.html" TargetMode="External"/><Relationship Id="rId2668" Type="http://schemas.openxmlformats.org/officeDocument/2006/relationships/hyperlink" Target="https://www.clemson.edu/cecas/departments/me/people/faculty/mabey.html" TargetMode="External"/><Relationship Id="rId2875" Type="http://schemas.openxmlformats.org/officeDocument/2006/relationships/hyperlink" Target="https://engineering.uiowa.edu/people/austin-krebill" TargetMode="External"/><Relationship Id="rId3719" Type="http://schemas.openxmlformats.org/officeDocument/2006/relationships/hyperlink" Target="https://eng.ua.edu/eng-directory/dr-dario-martelli/" TargetMode="External"/><Relationship Id="rId3926" Type="http://schemas.openxmlformats.org/officeDocument/2006/relationships/hyperlink" Target="http://www.hajim.rochester.edu/me/people/faculty/aluie_hussein/index.html" TargetMode="External"/><Relationship Id="rId4090" Type="http://schemas.openxmlformats.org/officeDocument/2006/relationships/hyperlink" Target="https://www.mne.k-state.edu/about/people/faculty/jones/" TargetMode="External"/><Relationship Id="rId847" Type="http://schemas.openxmlformats.org/officeDocument/2006/relationships/hyperlink" Target="https://www.mccormick.northwestern.edu/mechanical/research/areas/computational-engineering.html" TargetMode="External"/><Relationship Id="rId1477" Type="http://schemas.openxmlformats.org/officeDocument/2006/relationships/hyperlink" Target="https://jacobsschool.ucsd.edu/faculty/profile?id=473" TargetMode="External"/><Relationship Id="rId1684" Type="http://schemas.openxmlformats.org/officeDocument/2006/relationships/hyperlink" Target="https://www.colorado.edu/mechanical/nick-bottenus" TargetMode="External"/><Relationship Id="rId1891" Type="http://schemas.openxmlformats.org/officeDocument/2006/relationships/hyperlink" Target="https://engineering.brown.edu/people/kenneth-breuer" TargetMode="External"/><Relationship Id="rId2528" Type="http://schemas.openxmlformats.org/officeDocument/2006/relationships/hyperlink" Target="https://mechanical.mines.edu/project/ackerman-jeffrey/" TargetMode="External"/><Relationship Id="rId2735" Type="http://schemas.openxmlformats.org/officeDocument/2006/relationships/hyperlink" Target="https://engineering.tufts.edu/me/node/3106" TargetMode="External"/><Relationship Id="rId2942" Type="http://schemas.openxmlformats.org/officeDocument/2006/relationships/hyperlink" Target="https://www.engineering.pitt.edu/people/faculty/spandan-maiti/" TargetMode="External"/><Relationship Id="rId5141" Type="http://schemas.openxmlformats.org/officeDocument/2006/relationships/hyperlink" Target="https://www.marquette.edu/mechanical-engineering/directory/vikram-cariapa.php" TargetMode="External"/><Relationship Id="rId707" Type="http://schemas.openxmlformats.org/officeDocument/2006/relationships/hyperlink" Target="https://mae.princeton.edu/people/faculty/martinelli" TargetMode="External"/><Relationship Id="rId914" Type="http://schemas.openxmlformats.org/officeDocument/2006/relationships/hyperlink" Target="https://www.mccormick.northwestern.edu/mechanical/research/areas/energy-sustainability.html" TargetMode="External"/><Relationship Id="rId1337" Type="http://schemas.openxmlformats.org/officeDocument/2006/relationships/hyperlink" Target="https://directory.engr.wisc.edu/me/Faculty/Qian_Xiaoping/" TargetMode="External"/><Relationship Id="rId1544" Type="http://schemas.openxmlformats.org/officeDocument/2006/relationships/hyperlink" Target="https://mems.duke.edu/faculty/shyni-varghese" TargetMode="External"/><Relationship Id="rId1751" Type="http://schemas.openxmlformats.org/officeDocument/2006/relationships/hyperlink" Target="https://mae.ufl.edu/people/faculty/primary/professor/profiles/hitomi-yamaguchi-greenslet/" TargetMode="External"/><Relationship Id="rId2802" Type="http://schemas.openxmlformats.org/officeDocument/2006/relationships/hyperlink" Target="https://ame.engineering.arizona.edu/faculty-staff/faculty/stuart-craig" TargetMode="External"/><Relationship Id="rId5001" Type="http://schemas.openxmlformats.org/officeDocument/2006/relationships/hyperlink" Target="https://umaine.edu/mecheng/edalatpour/" TargetMode="External"/><Relationship Id="rId43" Type="http://schemas.openxmlformats.org/officeDocument/2006/relationships/hyperlink" Target="https://meche.mit.edu/people/faculty/neville@mit.edu" TargetMode="External"/><Relationship Id="rId1404" Type="http://schemas.openxmlformats.org/officeDocument/2006/relationships/hyperlink" Target="https://me.vt.edu/people/faculty/meadows-joseph.html" TargetMode="External"/><Relationship Id="rId1611" Type="http://schemas.openxmlformats.org/officeDocument/2006/relationships/hyperlink" Target="https://mae.osu.edu/people/shah.493" TargetMode="External"/><Relationship Id="rId4767" Type="http://schemas.openxmlformats.org/officeDocument/2006/relationships/hyperlink" Target="https://umdearborn.edu/people-um-dearborn/christopher-pannier" TargetMode="External"/><Relationship Id="rId3369" Type="http://schemas.openxmlformats.org/officeDocument/2006/relationships/hyperlink" Target="https://mme.wsu.edu/faculty/annie-du/" TargetMode="External"/><Relationship Id="rId3576" Type="http://schemas.openxmlformats.org/officeDocument/2006/relationships/hyperlink" Target="https://ecs.syracuse.edu/faculty-staff/ben-akih-kumgeh" TargetMode="External"/><Relationship Id="rId4627" Type="http://schemas.openxmlformats.org/officeDocument/2006/relationships/hyperlink" Target="https://www.ccny.cuny.edu/profiles/peter-ganatos" TargetMode="External"/><Relationship Id="rId4974" Type="http://schemas.openxmlformats.org/officeDocument/2006/relationships/hyperlink" Target="https://ritchieschool.du.edu/about/people/breigh-n-roszelle" TargetMode="External"/><Relationship Id="rId497" Type="http://schemas.openxmlformats.org/officeDocument/2006/relationships/hyperlink" Target="https://me.engin.umich.edu/people/faculty/krishnan-mahesh/" TargetMode="External"/><Relationship Id="rId2178" Type="http://schemas.openxmlformats.org/officeDocument/2006/relationships/hyperlink" Target="https://engineering.uci.edu/users/tryphon-georgiou" TargetMode="External"/><Relationship Id="rId2385" Type="http://schemas.openxmlformats.org/officeDocument/2006/relationships/hyperlink" Target="https://engineering.case.edu/about/school-directory/sunniva-collins" TargetMode="External"/><Relationship Id="rId3229" Type="http://schemas.openxmlformats.org/officeDocument/2006/relationships/hyperlink" Target="https://www.engr.colostate.edu/me/faculty/dr-doug-fankell/" TargetMode="External"/><Relationship Id="rId3783" Type="http://schemas.openxmlformats.org/officeDocument/2006/relationships/hyperlink" Target="https://www.uta.edu/academics/faculty/profile?username=wilson" TargetMode="External"/><Relationship Id="rId3990" Type="http://schemas.openxmlformats.org/officeDocument/2006/relationships/hyperlink" Target="https://sc.edu/study/colleges_schools/engineering_and_computing/faculty-staff/nezhad.php" TargetMode="External"/><Relationship Id="rId4834" Type="http://schemas.openxmlformats.org/officeDocument/2006/relationships/hyperlink" Target="https://engineering.usu.edu/mae/people/faculty/roberts-nicholas.php" TargetMode="External"/><Relationship Id="rId357" Type="http://schemas.openxmlformats.org/officeDocument/2006/relationships/hyperlink" Target="https://www.me.gatech.edu/faculty/zhang" TargetMode="External"/><Relationship Id="rId1194" Type="http://schemas.openxmlformats.org/officeDocument/2006/relationships/hyperlink" Target="https://enme.umd.edu/clark/faculty/554/Kenneth-Kiger" TargetMode="External"/><Relationship Id="rId2038" Type="http://schemas.openxmlformats.org/officeDocument/2006/relationships/hyperlink" Target="https://ame.nd.edu/faculty/svetlana-neretina/" TargetMode="External"/><Relationship Id="rId2592" Type="http://schemas.openxmlformats.org/officeDocument/2006/relationships/hyperlink" Target="https://mae.rutgers.edu/f-javier-diez-garias" TargetMode="External"/><Relationship Id="rId3436" Type="http://schemas.openxmlformats.org/officeDocument/2006/relationships/hyperlink" Target="https://www.me.byu.edu/faculty" TargetMode="External"/><Relationship Id="rId3643" Type="http://schemas.openxmlformats.org/officeDocument/2006/relationships/hyperlink" Target="https://profiles.ucr.edu/app/home/profile/eskandar" TargetMode="External"/><Relationship Id="rId3850" Type="http://schemas.openxmlformats.org/officeDocument/2006/relationships/hyperlink" Target="https://www.engr.uky.edu/directory/wang-peng" TargetMode="External"/><Relationship Id="rId4901" Type="http://schemas.openxmlformats.org/officeDocument/2006/relationships/hyperlink" Target="https://www.odu.edu/directory/oktay-baysal-phd-pe-fasme" TargetMode="External"/><Relationship Id="rId217" Type="http://schemas.openxmlformats.org/officeDocument/2006/relationships/hyperlink" Target="https://me.berkeley.edu/people/m-reza-alam/" TargetMode="External"/><Relationship Id="rId564" Type="http://schemas.openxmlformats.org/officeDocument/2006/relationships/hyperlink" Target="https://engineering.purdue.edu/ME/People/ptProfile?resource_id=57378" TargetMode="External"/><Relationship Id="rId771" Type="http://schemas.openxmlformats.org/officeDocument/2006/relationships/hyperlink" Target="https://www.me.utexas.edu/people/faculty-directory/deshpande" TargetMode="External"/><Relationship Id="rId2245" Type="http://schemas.openxmlformats.org/officeDocument/2006/relationships/hyperlink" Target="https://www.me.iastate.edu/faculty/profile/cris1" TargetMode="External"/><Relationship Id="rId2452" Type="http://schemas.openxmlformats.org/officeDocument/2006/relationships/hyperlink" Target="https://www.egr.msu.edu/people/profile/junlin" TargetMode="External"/><Relationship Id="rId3503" Type="http://schemas.openxmlformats.org/officeDocument/2006/relationships/hyperlink" Target="https://www.mtu.edu/mechanical/people/faculty/bae/" TargetMode="External"/><Relationship Id="rId3710" Type="http://schemas.openxmlformats.org/officeDocument/2006/relationships/hyperlink" Target="https://eng.ua.edu/eng-directory/dr-keivan-davami/" TargetMode="External"/><Relationship Id="rId424" Type="http://schemas.openxmlformats.org/officeDocument/2006/relationships/hyperlink" Target="https://mechse.illinois.edu/people/profile/dss" TargetMode="External"/><Relationship Id="rId631" Type="http://schemas.openxmlformats.org/officeDocument/2006/relationships/hyperlink" Target="https://engineering.purdue.edu/ME/People/ptProfile?resource_id=117610" TargetMode="External"/><Relationship Id="rId1054" Type="http://schemas.openxmlformats.org/officeDocument/2006/relationships/hyperlink" Target="https://engineering.tamu.edu/contact/profiles/robbins-andrew.html" TargetMode="External"/><Relationship Id="rId1261" Type="http://schemas.openxmlformats.org/officeDocument/2006/relationships/hyperlink" Target="https://cse.umn.edu/me/jeff-tithof" TargetMode="External"/><Relationship Id="rId2105" Type="http://schemas.openxmlformats.org/officeDocument/2006/relationships/hyperlink" Target="https://search.asu.edu/profile/4861377" TargetMode="External"/><Relationship Id="rId2312" Type="http://schemas.openxmlformats.org/officeDocument/2006/relationships/hyperlink" Target="https://www.mae.ncsu.edu/people/zikry" TargetMode="External"/><Relationship Id="rId5468" Type="http://schemas.openxmlformats.org/officeDocument/2006/relationships/hyperlink" Target="https://nmt.edu/academics/mecheng/faculty/slim.php" TargetMode="External"/><Relationship Id="rId1121" Type="http://schemas.openxmlformats.org/officeDocument/2006/relationships/hyperlink" Target="https://www.me.psu.edu/department/directory-detail-g.aspx?q=JMC6" TargetMode="External"/><Relationship Id="rId4277" Type="http://schemas.openxmlformats.org/officeDocument/2006/relationships/hyperlink" Target="https://www1.villanova.edu/university/engineering/academic-programs/departments/mechanical/directory/biodetail.html?mail=garrett.clayton@villanova.edu&amp;xsl=bio_long" TargetMode="External"/><Relationship Id="rId4484" Type="http://schemas.openxmlformats.org/officeDocument/2006/relationships/hyperlink" Target="https://www.smu.edu/Lyle/Departments/ME/People/Faculty/WillisDavid" TargetMode="External"/><Relationship Id="rId4691" Type="http://schemas.openxmlformats.org/officeDocument/2006/relationships/hyperlink" Target="https://mechanical-engineering.uark.edu/Directory/index/uid/jad03/name/James+Allen+Davis/" TargetMode="External"/><Relationship Id="rId5328" Type="http://schemas.openxmlformats.org/officeDocument/2006/relationships/hyperlink" Target="https://people.wright.edu/ahsan.mian" TargetMode="External"/><Relationship Id="rId5535" Type="http://schemas.openxmlformats.org/officeDocument/2006/relationships/hyperlink" Target="https://www.uno.edu/profile/faculty/ting_wang" TargetMode="External"/><Relationship Id="rId3086" Type="http://schemas.openxmlformats.org/officeDocument/2006/relationships/hyperlink" Target="https://nps.edu/faculty-profiles/-/cv/agrawal" TargetMode="External"/><Relationship Id="rId3293" Type="http://schemas.openxmlformats.org/officeDocument/2006/relationships/hyperlink" Target="http://mae.ucf.edu/person/yoav-peles/" TargetMode="External"/><Relationship Id="rId4137" Type="http://schemas.openxmlformats.org/officeDocument/2006/relationships/hyperlink" Target="https://mechanical.sdsu.edu/people/jeff-wield.aspx" TargetMode="External"/><Relationship Id="rId4344" Type="http://schemas.openxmlformats.org/officeDocument/2006/relationships/hyperlink" Target="https://directory.statler.wvu.edu/faculty-staff-directory/mario-perhinschi" TargetMode="External"/><Relationship Id="rId4551" Type="http://schemas.openxmlformats.org/officeDocument/2006/relationships/hyperlink" Target="https://me.unm.edu/about/directory/faculty/yu-lin-shen.html" TargetMode="External"/><Relationship Id="rId1938" Type="http://schemas.openxmlformats.org/officeDocument/2006/relationships/hyperlink" Target="https://engineering.brown.edu/people/jimmy-xu" TargetMode="External"/><Relationship Id="rId3153" Type="http://schemas.openxmlformats.org/officeDocument/2006/relationships/hyperlink" Target="https://mie.uic.edu/profiles/ahmed-a-shabana/" TargetMode="External"/><Relationship Id="rId3360" Type="http://schemas.openxmlformats.org/officeDocument/2006/relationships/hyperlink" Target="https://mme.wsu.edu/faculty/soumik-banerjee/" TargetMode="External"/><Relationship Id="rId4204" Type="http://schemas.openxmlformats.org/officeDocument/2006/relationships/hyperlink" Target="http://engineering.uga.edu/people/profile/beshoy-morkos-ph.d" TargetMode="External"/><Relationship Id="rId281" Type="http://schemas.openxmlformats.org/officeDocument/2006/relationships/hyperlink" Target="https://www.me.gatech.edu/faculty/forest" TargetMode="External"/><Relationship Id="rId3013" Type="http://schemas.openxmlformats.org/officeDocument/2006/relationships/hyperlink" Target="https://www.mae.seas.gwu.edu/node/786" TargetMode="External"/><Relationship Id="rId4411" Type="http://schemas.openxmlformats.org/officeDocument/2006/relationships/hyperlink" Target="https://eng.famu.fsu.edu/me/people/ordonez-c" TargetMode="External"/><Relationship Id="rId141" Type="http://schemas.openxmlformats.org/officeDocument/2006/relationships/hyperlink" Target="https://me.stanford.edu/people/faculty" TargetMode="External"/><Relationship Id="rId3220" Type="http://schemas.openxmlformats.org/officeDocument/2006/relationships/hyperlink" Target="https://mabe.utk.edu/people/xiaopeng-zhao/" TargetMode="External"/><Relationship Id="rId7" Type="http://schemas.openxmlformats.org/officeDocument/2006/relationships/hyperlink" Target="https://meche.mit.edu/people/faculty/faez@mit.edu" TargetMode="External"/><Relationship Id="rId2779" Type="http://schemas.openxmlformats.org/officeDocument/2006/relationships/hyperlink" Target="https://engineering.buffalo.edu/mechanical-aerospace/people/faculty/ladder.host.html/content/shared/engineering/mechanical-aerospace/profiles/ren-shenqiang.detail.html" TargetMode="External"/><Relationship Id="rId2986" Type="http://schemas.openxmlformats.org/officeDocument/2006/relationships/hyperlink" Target="https://premium.usnews.com/best-graduate-schools/top-engineering-schools/dartmouth-college-02103" TargetMode="External"/><Relationship Id="rId5185" Type="http://schemas.openxmlformats.org/officeDocument/2006/relationships/hyperlink" Target="https://www.scu.edu/engineering/academic-programs/department-of-mechanical-engineering/faculty-and-staff/kitts.html" TargetMode="External"/><Relationship Id="rId5392" Type="http://schemas.openxmlformats.org/officeDocument/2006/relationships/hyperlink" Target="https://www.sdstate.edu/directory/todd-letcher" TargetMode="External"/><Relationship Id="rId958" Type="http://schemas.openxmlformats.org/officeDocument/2006/relationships/hyperlink" Target="https://me.jhu.edu/faculty/ryan-hurley/" TargetMode="External"/><Relationship Id="rId1588" Type="http://schemas.openxmlformats.org/officeDocument/2006/relationships/hyperlink" Target="https://mae.osu.edu/people/heremans.1" TargetMode="External"/><Relationship Id="rId1795" Type="http://schemas.openxmlformats.org/officeDocument/2006/relationships/hyperlink" Target="https://mae.ufl.edu/people/faculty/primary/instructional-professors/profiles/dan-dickrell/" TargetMode="External"/><Relationship Id="rId2639" Type="http://schemas.openxmlformats.org/officeDocument/2006/relationships/hyperlink" Target="https://me.udel.edu/faculty/srikanth-pilla/" TargetMode="External"/><Relationship Id="rId2846" Type="http://schemas.openxmlformats.org/officeDocument/2006/relationships/hyperlink" Target="https://me.engr.uconn.edu/blog/faculty/kim-jeongho/" TargetMode="External"/><Relationship Id="rId5045" Type="http://schemas.openxmlformats.org/officeDocument/2006/relationships/hyperlink" Target="https://www.uwyo.edu/mechanical/faculty-staff/faculty/Michael-Stoellinger/index.html" TargetMode="External"/><Relationship Id="rId5252" Type="http://schemas.openxmlformats.org/officeDocument/2006/relationships/hyperlink" Target="https://www.uidaho.edu/engr/departments/me/our-people/faculty/tao-xing" TargetMode="External"/><Relationship Id="rId87" Type="http://schemas.openxmlformats.org/officeDocument/2006/relationships/hyperlink" Target="https://meche.mit.edu/people/faculty/DRWALLAC@MIT.EDU" TargetMode="External"/><Relationship Id="rId818" Type="http://schemas.openxmlformats.org/officeDocument/2006/relationships/hyperlink" Target="https://www.me.utexas.edu/people/faculty-directory/zheng" TargetMode="External"/><Relationship Id="rId1448" Type="http://schemas.openxmlformats.org/officeDocument/2006/relationships/hyperlink" Target="https://seas.harvard.edu/person/conor-walsh" TargetMode="External"/><Relationship Id="rId1655" Type="http://schemas.openxmlformats.org/officeDocument/2006/relationships/hyperlink" Target="https://www.me.columbia.edu/faculty/sunil-agrawal" TargetMode="External"/><Relationship Id="rId2706" Type="http://schemas.openxmlformats.org/officeDocument/2006/relationships/hyperlink" Target="https://drexel.edu/engineering/about/faculty-staff/D/dobrynin-danil/" TargetMode="External"/><Relationship Id="rId4061" Type="http://schemas.openxmlformats.org/officeDocument/2006/relationships/hyperlink" Target="https://daytonabeach.erau.edu/college-engineering/mechanical/faculty" TargetMode="External"/><Relationship Id="rId5112" Type="http://schemas.openxmlformats.org/officeDocument/2006/relationships/hyperlink" Target="mailto:sunju@fiu.edu" TargetMode="External"/><Relationship Id="rId1308" Type="http://schemas.openxmlformats.org/officeDocument/2006/relationships/hyperlink" Target="https://directory.engr.wisc.edu/me/Faculty/Anderson_Mark/" TargetMode="External"/><Relationship Id="rId1862" Type="http://schemas.openxmlformats.org/officeDocument/2006/relationships/hyperlink" Target="https://www.me.washington.edu/facultyfinder/mohammad-malakooti" TargetMode="External"/><Relationship Id="rId2913" Type="http://schemas.openxmlformats.org/officeDocument/2006/relationships/hyperlink" Target="https://www.engineering.pitt.edu/people/faculty/irene-mena/" TargetMode="External"/><Relationship Id="rId1515" Type="http://schemas.openxmlformats.org/officeDocument/2006/relationships/hyperlink" Target="https://mems.duke.edu/faculty" TargetMode="External"/><Relationship Id="rId1722" Type="http://schemas.openxmlformats.org/officeDocument/2006/relationships/hyperlink" Target="https://www.colorado.edu/mechanical/mark-rentschler" TargetMode="External"/><Relationship Id="rId4878" Type="http://schemas.openxmlformats.org/officeDocument/2006/relationships/hyperlink" Target="https://www.fit.edu/faculty-profiles/s/shaw-steven/" TargetMode="External"/><Relationship Id="rId14" Type="http://schemas.openxmlformats.org/officeDocument/2006/relationships/hyperlink" Target="https://meche.mit.edu/people/faculty/mbathe@mit.edu" TargetMode="External"/><Relationship Id="rId3687" Type="http://schemas.openxmlformats.org/officeDocument/2006/relationships/hyperlink" Target="https://ceat.okstate.edu/mae/faculty-staff/faculty-bios/don-lucca.html" TargetMode="External"/><Relationship Id="rId3894" Type="http://schemas.openxmlformats.org/officeDocument/2006/relationships/hyperlink" Target="https://mees.charlotte.edu/directory/ahmed-el-ghannam" TargetMode="External"/><Relationship Id="rId4738" Type="http://schemas.openxmlformats.org/officeDocument/2006/relationships/hyperlink" Target="https://me.hawaii.edu/chrisy-xiyu-du/" TargetMode="External"/><Relationship Id="rId4945" Type="http://schemas.openxmlformats.org/officeDocument/2006/relationships/hyperlink" Target="https://uakron.edu/engineering/me/our-people/profile.dot?u=swong" TargetMode="External"/><Relationship Id="rId2289" Type="http://schemas.openxmlformats.org/officeDocument/2006/relationships/hyperlink" Target="https://www.mae.ncsu.edu/people/mmuller2" TargetMode="External"/><Relationship Id="rId2496" Type="http://schemas.openxmlformats.org/officeDocument/2006/relationships/hyperlink" Target="https://www.bu.edu/eng/profile/chuanhua-duan-ph-d/" TargetMode="External"/><Relationship Id="rId3547" Type="http://schemas.openxmlformats.org/officeDocument/2006/relationships/hyperlink" Target="https://www.stevens.edu/profile/kconning" TargetMode="External"/><Relationship Id="rId3754" Type="http://schemas.openxmlformats.org/officeDocument/2006/relationships/hyperlink" Target="https://www.uta.edu/academics/faculty/profile?username=ewingdj" TargetMode="External"/><Relationship Id="rId3961" Type="http://schemas.openxmlformats.org/officeDocument/2006/relationships/hyperlink" Target="https://sc.edu/study/colleges_schools/engineering_and_computing/faculty-staff/banerjee_sourav.php" TargetMode="External"/><Relationship Id="rId4805" Type="http://schemas.openxmlformats.org/officeDocument/2006/relationships/hyperlink" Target="https://klesse.utsa.edu/faculty/profiles/gonzalez-cody.html" TargetMode="External"/><Relationship Id="rId468" Type="http://schemas.openxmlformats.org/officeDocument/2006/relationships/hyperlink" Target="https://me.engin.umich.edu/people/faculty/evgueni-filipov/" TargetMode="External"/><Relationship Id="rId675" Type="http://schemas.openxmlformats.org/officeDocument/2006/relationships/hyperlink" Target="https://www.engineering.cornell.edu/faculty-directory/gregory-falco" TargetMode="External"/><Relationship Id="rId882" Type="http://schemas.openxmlformats.org/officeDocument/2006/relationships/hyperlink" Target="https://www.mccormick.northwestern.edu/research-faculty/directory/profiles/krishnaswamy-sridhar.html" TargetMode="External"/><Relationship Id="rId1098" Type="http://schemas.openxmlformats.org/officeDocument/2006/relationships/hyperlink" Target="https://samueli.ucla.edu/people/adrienne-lavine/" TargetMode="External"/><Relationship Id="rId2149" Type="http://schemas.openxmlformats.org/officeDocument/2006/relationships/hyperlink" Target="https://mae.ucdavis.edu/directory/vinod-narayanan" TargetMode="External"/><Relationship Id="rId2356" Type="http://schemas.openxmlformats.org/officeDocument/2006/relationships/hyperlink" Target="https://engineering.wustl.edu/faculty/Sang-Hoon-Bae.html" TargetMode="External"/><Relationship Id="rId2563" Type="http://schemas.openxmlformats.org/officeDocument/2006/relationships/hyperlink" Target="https://mechanical.mines.edu/project/petruska-andrew/" TargetMode="External"/><Relationship Id="rId2770" Type="http://schemas.openxmlformats.org/officeDocument/2006/relationships/hyperlink" Target="https://engineering.buffalo.edu/mechanical-aerospace/people/faculty/ladder.host.html/content/shared/engineering/mechanical-aerospace/profiles/lewis-kemper-e.detail.html" TargetMode="External"/><Relationship Id="rId3407" Type="http://schemas.openxmlformats.org/officeDocument/2006/relationships/hyperlink" Target="https://www.wpi.edu/people/faculty/msfofana" TargetMode="External"/><Relationship Id="rId3614" Type="http://schemas.openxmlformats.org/officeDocument/2006/relationships/hyperlink" Target="https://me.utdallas.edu/faculty-staff/stefano-leonardi/" TargetMode="External"/><Relationship Id="rId3821" Type="http://schemas.openxmlformats.org/officeDocument/2006/relationships/hyperlink" Target="https://www.engr.uky.edu/directory/hanson-mark" TargetMode="External"/><Relationship Id="rId328" Type="http://schemas.openxmlformats.org/officeDocument/2006/relationships/hyperlink" Target="https://www.me.gatech.edu/faculty/sanders" TargetMode="External"/><Relationship Id="rId535" Type="http://schemas.openxmlformats.org/officeDocument/2006/relationships/hyperlink" Target="https://me.engin.umich.edu/people/faculty/hongyi-xiao/" TargetMode="External"/><Relationship Id="rId742" Type="http://schemas.openxmlformats.org/officeDocument/2006/relationships/hyperlink" Target="https://www.meche.engineering.cmu.edu/directory/bios/shimada-kenji.html" TargetMode="External"/><Relationship Id="rId1165" Type="http://schemas.openxmlformats.org/officeDocument/2006/relationships/hyperlink" Target="https://www.me.psu.edu/department/directory-detail-g.aspx?q=xzy48" TargetMode="External"/><Relationship Id="rId1372" Type="http://schemas.openxmlformats.org/officeDocument/2006/relationships/hyperlink" Target="https://me.vt.edu/people/faculty/barry-oumar.html" TargetMode="External"/><Relationship Id="rId2009" Type="http://schemas.openxmlformats.org/officeDocument/2006/relationships/hyperlink" Target="https://ame.nd.edu/faculty/gokhan-bahcecioglu/" TargetMode="External"/><Relationship Id="rId2216" Type="http://schemas.openxmlformats.org/officeDocument/2006/relationships/hyperlink" Target="https://www.me.iastate.edu/faculty/profile/carmen" TargetMode="External"/><Relationship Id="rId2423" Type="http://schemas.openxmlformats.org/officeDocument/2006/relationships/hyperlink" Target="https://www.egr.msu.edu/people/profile/jfk" TargetMode="External"/><Relationship Id="rId2630" Type="http://schemas.openxmlformats.org/officeDocument/2006/relationships/hyperlink" Target="https://me.udel.edu/faculty/joseph-p-feser/" TargetMode="External"/><Relationship Id="rId602" Type="http://schemas.openxmlformats.org/officeDocument/2006/relationships/hyperlink" Target="https://engineering.purdue.edu/ME/People/ptProfile?resource_id=29314" TargetMode="External"/><Relationship Id="rId1025" Type="http://schemas.openxmlformats.org/officeDocument/2006/relationships/hyperlink" Target="mailto:lavernia@tamu.edu" TargetMode="External"/><Relationship Id="rId1232" Type="http://schemas.openxmlformats.org/officeDocument/2006/relationships/hyperlink" Target="https://cse.umn.edu/me/max-donath" TargetMode="External"/><Relationship Id="rId4388" Type="http://schemas.openxmlformats.org/officeDocument/2006/relationships/hyperlink" Target="https://eng.famu.fsu.edu/me/people/campbell" TargetMode="External"/><Relationship Id="rId4595" Type="http://schemas.openxmlformats.org/officeDocument/2006/relationships/hyperlink" Target="https://www.uvm.edu/president" TargetMode="External"/><Relationship Id="rId5439" Type="http://schemas.openxmlformats.org/officeDocument/2006/relationships/hyperlink" Target="https://wmich.edu/mechanical-aerospace/directory/ari-gur-0" TargetMode="External"/><Relationship Id="rId3197" Type="http://schemas.openxmlformats.org/officeDocument/2006/relationships/hyperlink" Target="https://mabe.utk.edu/people/mohamed-mahfouz/" TargetMode="External"/><Relationship Id="rId4248" Type="http://schemas.openxmlformats.org/officeDocument/2006/relationships/hyperlink" Target="https://engineering.missouri.edu/departments/mae/faculty/" TargetMode="External"/><Relationship Id="rId3057" Type="http://schemas.openxmlformats.org/officeDocument/2006/relationships/hyperlink" Target="https://works.bepress.com/fateme-fayyazbakhsh/about/" TargetMode="External"/><Relationship Id="rId4108" Type="http://schemas.openxmlformats.org/officeDocument/2006/relationships/hyperlink" Target="https://mechanical.sdsu.edu/people/subrata-bhattacharjee.aspx" TargetMode="External"/><Relationship Id="rId4455" Type="http://schemas.openxmlformats.org/officeDocument/2006/relationships/hyperlink" Target="https://www.me.msstate.edu/people/faculty/haitham-el-kadiri/" TargetMode="External"/><Relationship Id="rId4662" Type="http://schemas.openxmlformats.org/officeDocument/2006/relationships/hyperlink" Target="https://mae.nmsu.edu/faculty/dr-seyedhamidreza-hamid-alaie.html" TargetMode="External"/><Relationship Id="rId5506" Type="http://schemas.openxmlformats.org/officeDocument/2006/relationships/hyperlink" Target="https://www.pdx.edu/profile/derek-tretheway" TargetMode="External"/><Relationship Id="rId185" Type="http://schemas.openxmlformats.org/officeDocument/2006/relationships/hyperlink" Target="https://me.stanford.edu/people/jack-rokous" TargetMode="External"/><Relationship Id="rId1909" Type="http://schemas.openxmlformats.org/officeDocument/2006/relationships/hyperlink" Target="https://engineering.brown.edu/people/angus-kingon" TargetMode="External"/><Relationship Id="rId3264" Type="http://schemas.openxmlformats.org/officeDocument/2006/relationships/hyperlink" Target="https://engineering.nyu.edu/faculty/kurt-becker" TargetMode="External"/><Relationship Id="rId3471" Type="http://schemas.openxmlformats.org/officeDocument/2006/relationships/hyperlink" Target="https://www.iit.edu/directory/people?school=All&amp;profile_type=All&amp;organization=2276&amp;faculty_type=4451&amp;expertise=All&amp;page=2" TargetMode="External"/><Relationship Id="rId4315" Type="http://schemas.openxmlformats.org/officeDocument/2006/relationships/hyperlink" Target="http://egr.vcu.edu/directory/supathorn.phongikaroon/" TargetMode="External"/><Relationship Id="rId4522" Type="http://schemas.openxmlformats.org/officeDocument/2006/relationships/hyperlink" Target="https://udayton.edu/directory/engineering/mechanical_and_aerospace/ren-diqian.php" TargetMode="External"/><Relationship Id="rId392" Type="http://schemas.openxmlformats.org/officeDocument/2006/relationships/hyperlink" Target="https://mechse.illinois.edu/people/profile/nhovakim" TargetMode="External"/><Relationship Id="rId2073" Type="http://schemas.openxmlformats.org/officeDocument/2006/relationships/hyperlink" Target="https://seas.yale.edu/faculty-research/faculty-directory/yimin-luo" TargetMode="External"/><Relationship Id="rId2280" Type="http://schemas.openxmlformats.org/officeDocument/2006/relationships/hyperlink" Target="https://www.mae.ncsu.edu/people/akota2" TargetMode="External"/><Relationship Id="rId3124" Type="http://schemas.openxmlformats.org/officeDocument/2006/relationships/hyperlink" Target="https://me.stonybrook.edu/commcms/me-eng/people/faculty/Ladeinde_Foluso.php" TargetMode="External"/><Relationship Id="rId3331" Type="http://schemas.openxmlformats.org/officeDocument/2006/relationships/hyperlink" Target="https://www.me.uh.edu/faculty/chang" TargetMode="External"/><Relationship Id="rId252" Type="http://schemas.openxmlformats.org/officeDocument/2006/relationships/hyperlink" Target="https://me.berkeley.edu/people/hannah-stuart/" TargetMode="External"/><Relationship Id="rId2140" Type="http://schemas.openxmlformats.org/officeDocument/2006/relationships/hyperlink" Target="https://mae.ucdavis.edu/directory/michael-hill" TargetMode="External"/><Relationship Id="rId5089" Type="http://schemas.openxmlformats.org/officeDocument/2006/relationships/hyperlink" Target="https://mme.fiu.edu/faculty-staff-members/daniela-radu" TargetMode="External"/><Relationship Id="rId5296" Type="http://schemas.openxmlformats.org/officeDocument/2006/relationships/hyperlink" Target="https://mechanical.engineering.unt.edu/faculty/xiaohua-li" TargetMode="External"/><Relationship Id="rId112" Type="http://schemas.openxmlformats.org/officeDocument/2006/relationships/hyperlink" Target="https://meche.mit.edu/people/staff/bcomeau@mit.edu" TargetMode="External"/><Relationship Id="rId1699" Type="http://schemas.openxmlformats.org/officeDocument/2006/relationships/hyperlink" Target="https://www.colorado.edu/mechanical/kaushik-jayaram" TargetMode="External"/><Relationship Id="rId2000" Type="http://schemas.openxmlformats.org/officeDocument/2006/relationships/hyperlink" Target="https://me.ucsb.edu/people/geoffrey-tsai" TargetMode="External"/><Relationship Id="rId5156" Type="http://schemas.openxmlformats.org/officeDocument/2006/relationships/hyperlink" Target="https://www.ohio.edu/engineering/mechanical/people/faculty" TargetMode="External"/><Relationship Id="rId5363" Type="http://schemas.openxmlformats.org/officeDocument/2006/relationships/hyperlink" Target="https://sites.google.com/view/prakashparthiban/home/" TargetMode="External"/><Relationship Id="rId2957" Type="http://schemas.openxmlformats.org/officeDocument/2006/relationships/hyperlink" Target="http://eng.auburn.edu/directory/burchte" TargetMode="External"/><Relationship Id="rId4172" Type="http://schemas.openxmlformats.org/officeDocument/2006/relationships/hyperlink" Target="https://www.depts.ttu.edu/me/faculty/james_yang/index.php" TargetMode="External"/><Relationship Id="rId5016" Type="http://schemas.openxmlformats.org/officeDocument/2006/relationships/hyperlink" Target="https://www.unr.edu/me/people/matteo-aureli" TargetMode="External"/><Relationship Id="rId5223" Type="http://schemas.openxmlformats.org/officeDocument/2006/relationships/hyperlink" Target="https://expertise.utep.edu/profiles/afloresabad" TargetMode="External"/><Relationship Id="rId929" Type="http://schemas.openxmlformats.org/officeDocument/2006/relationships/hyperlink" Target="https://www.mccormick.northwestern.edu/mechanical/research/areas/energy-sustainability.html" TargetMode="External"/><Relationship Id="rId1559" Type="http://schemas.openxmlformats.org/officeDocument/2006/relationships/hyperlink" Target="https://mems.duke.edu/faculty/guglielmo-scovazzi" TargetMode="External"/><Relationship Id="rId1766" Type="http://schemas.openxmlformats.org/officeDocument/2006/relationships/hyperlink" Target="https://mae.ufl.edu/people/faculty/primary/professor/profiles/douglas-spearot/" TargetMode="External"/><Relationship Id="rId1973" Type="http://schemas.openxmlformats.org/officeDocument/2006/relationships/hyperlink" Target="https://me.ucsb.edu/people/bassam-bamieh" TargetMode="External"/><Relationship Id="rId2817" Type="http://schemas.openxmlformats.org/officeDocument/2006/relationships/hyperlink" Target="https://ame.engineering.arizona.edu/faculty-staff/faculty/hossein-rastgoftar" TargetMode="External"/><Relationship Id="rId4032" Type="http://schemas.openxmlformats.org/officeDocument/2006/relationships/hyperlink" Target="https://www.clarkson.edu/academics/schools-colleges/engineering/mechanical-aerospace/about/faculty" TargetMode="External"/><Relationship Id="rId5430" Type="http://schemas.openxmlformats.org/officeDocument/2006/relationships/hyperlink" Target="https://engineering.utulsa.edu/mechanical-engineering/faculty/profile/brenton-mclaury" TargetMode="External"/><Relationship Id="rId58" Type="http://schemas.openxmlformats.org/officeDocument/2006/relationships/hyperlink" Target="https://meche.mit.edu/people/faculty/GARETH@MIT.EDU" TargetMode="External"/><Relationship Id="rId1419" Type="http://schemas.openxmlformats.org/officeDocument/2006/relationships/hyperlink" Target="https://me.vt.edu/people/faculty/southward-steve.html" TargetMode="External"/><Relationship Id="rId1626" Type="http://schemas.openxmlformats.org/officeDocument/2006/relationships/hyperlink" Target="https://mae.osu.edu/people/webb.356" TargetMode="External"/><Relationship Id="rId1833" Type="http://schemas.openxmlformats.org/officeDocument/2006/relationships/hyperlink" Target="https://viterbi.usc.edu/directory/faculty/Gilpin/Matthew" TargetMode="External"/><Relationship Id="rId4989" Type="http://schemas.openxmlformats.org/officeDocument/2006/relationships/hyperlink" Target="https://engineering.louisville.edu/faculty/kevin-d-murphy/" TargetMode="External"/><Relationship Id="rId1900" Type="http://schemas.openxmlformats.org/officeDocument/2006/relationships/hyperlink" Target="https://engineering.brown.edu/people/pradeep-guduru" TargetMode="External"/><Relationship Id="rId3798" Type="http://schemas.openxmlformats.org/officeDocument/2006/relationships/hyperlink" Target="https://www.uah.edu/eng/departments/mae/faculty-staff/phillip-ligrani" TargetMode="External"/><Relationship Id="rId4849" Type="http://schemas.openxmlformats.org/officeDocument/2006/relationships/hyperlink" Target="https://engineering.wayne.edu/profile/aa1898" TargetMode="External"/><Relationship Id="rId3658" Type="http://schemas.openxmlformats.org/officeDocument/2006/relationships/hyperlink" Target="https://profiles.ucr.edu/app/home/profile/stahov" TargetMode="External"/><Relationship Id="rId3865" Type="http://schemas.openxmlformats.org/officeDocument/2006/relationships/hyperlink" Target="https://engineering.unl.edu/mme/george-gogos/" TargetMode="External"/><Relationship Id="rId4709" Type="http://schemas.openxmlformats.org/officeDocument/2006/relationships/hyperlink" Target="https://mechanical-engineering.uark.edu/Directory/index/uid/zhouw/name/Wenchao+Zhou/" TargetMode="External"/><Relationship Id="rId4916" Type="http://schemas.openxmlformats.org/officeDocument/2006/relationships/hyperlink" Target="https://www.odu.edu/directory/tian-bing-xu" TargetMode="External"/><Relationship Id="rId579" Type="http://schemas.openxmlformats.org/officeDocument/2006/relationships/hyperlink" Target="https://engineering.purdue.edu/ME/People/ptProfile?resource_id=273136" TargetMode="External"/><Relationship Id="rId786" Type="http://schemas.openxmlformats.org/officeDocument/2006/relationships/hyperlink" Target="https://www.me.utexas.edu/people/faculty-directory/hutter" TargetMode="External"/><Relationship Id="rId993" Type="http://schemas.openxmlformats.org/officeDocument/2006/relationships/hyperlink" Target="https://engineering.tamu.edu/mechanical/profiles/chen-wei.html" TargetMode="External"/><Relationship Id="rId2467" Type="http://schemas.openxmlformats.org/officeDocument/2006/relationships/hyperlink" Target="https://engineering.vanderbilt.edu/bio/nabil-simaan" TargetMode="External"/><Relationship Id="rId2674" Type="http://schemas.openxmlformats.org/officeDocument/2006/relationships/hyperlink" Target="https://www.clemson.edu/cecas/departments/me/people/faculty/northington.html" TargetMode="External"/><Relationship Id="rId3518" Type="http://schemas.openxmlformats.org/officeDocument/2006/relationships/hyperlink" Target="https://www.mtu.edu/mechanical/people/faculty/lee/" TargetMode="External"/><Relationship Id="rId5080" Type="http://schemas.openxmlformats.org/officeDocument/2006/relationships/hyperlink" Target="https://mme.fiu.edu/faculty-staff-members/ibrahim-tansel" TargetMode="External"/><Relationship Id="rId439" Type="http://schemas.openxmlformats.org/officeDocument/2006/relationships/hyperlink" Target="https://me.engin.umich.edu/people/faculty/rayhaneh-akhavan/" TargetMode="External"/><Relationship Id="rId646" Type="http://schemas.openxmlformats.org/officeDocument/2006/relationships/hyperlink" Target="https://www.engineering.cornell.edu/faculty-directory/rebecca-j-barthelmie" TargetMode="External"/><Relationship Id="rId1069" Type="http://schemas.openxmlformats.org/officeDocument/2006/relationships/hyperlink" Target="https://engineering.tamu.edu/mechanical/profiles/wen-sy-bor.html" TargetMode="External"/><Relationship Id="rId1276" Type="http://schemas.openxmlformats.org/officeDocument/2006/relationships/hyperlink" Target="https://directory.seas.upenn.edu/robert-w-carpick/" TargetMode="External"/><Relationship Id="rId1483" Type="http://schemas.openxmlformats.org/officeDocument/2006/relationships/hyperlink" Target="https://jacobsschool.ucsd.edu/faculty/profile?id=74" TargetMode="External"/><Relationship Id="rId2327" Type="http://schemas.openxmlformats.org/officeDocument/2006/relationships/hyperlink" Target="https://engineering.virginia.edu/faculty/gregory-j-gerling" TargetMode="External"/><Relationship Id="rId2881" Type="http://schemas.openxmlformats.org/officeDocument/2006/relationships/hyperlink" Target="https://engineering.uiowa.edu/people/sharif-rahman" TargetMode="External"/><Relationship Id="rId3725" Type="http://schemas.openxmlformats.org/officeDocument/2006/relationships/hyperlink" Target="https://eng.ua.edu/eng-directory/dr-krishna-shah/" TargetMode="External"/><Relationship Id="rId3932" Type="http://schemas.openxmlformats.org/officeDocument/2006/relationships/hyperlink" Target="http://www.hajim.rochester.edu/me/people/faculty/clark_robert/index.html" TargetMode="External"/><Relationship Id="rId506" Type="http://schemas.openxmlformats.org/officeDocument/2006/relationships/hyperlink" Target="https://me.engin.umich.edu/people/faculty/pramod-sangi-reddy/" TargetMode="External"/><Relationship Id="rId853" Type="http://schemas.openxmlformats.org/officeDocument/2006/relationships/hyperlink" Target="https://www.mccormick.northwestern.edu/mechanical/research/areas/micro-nanoengineering.html" TargetMode="External"/><Relationship Id="rId1136" Type="http://schemas.openxmlformats.org/officeDocument/2006/relationships/hyperlink" Target="https://www.me.psu.edu/department/directory-detail-g.aspx?q=RFK102" TargetMode="External"/><Relationship Id="rId1690" Type="http://schemas.openxmlformats.org/officeDocument/2006/relationships/hyperlink" Target="https://www.colorado.edu/mechanical/john-w-daily" TargetMode="External"/><Relationship Id="rId2534" Type="http://schemas.openxmlformats.org/officeDocument/2006/relationships/hyperlink" Target="https://mechanical.mines.edu/project/blood-daniel/" TargetMode="External"/><Relationship Id="rId2741" Type="http://schemas.openxmlformats.org/officeDocument/2006/relationships/hyperlink" Target="https://engineering.tufts.edu/me/node/3011" TargetMode="External"/><Relationship Id="rId713" Type="http://schemas.openxmlformats.org/officeDocument/2006/relationships/hyperlink" Target="https://mae.princeton.edu/people/faculty/sood" TargetMode="External"/><Relationship Id="rId920" Type="http://schemas.openxmlformats.org/officeDocument/2006/relationships/hyperlink" Target="https://www.mccormick.northwestern.edu/mechanical/research/areas/robotics-autonomy.html" TargetMode="External"/><Relationship Id="rId1343" Type="http://schemas.openxmlformats.org/officeDocument/2006/relationships/hyperlink" Target="https://directory.engr.wisc.edu/me/Faculty/Rudykh_Stephan/" TargetMode="External"/><Relationship Id="rId1550" Type="http://schemas.openxmlformats.org/officeDocument/2006/relationships/hyperlink" Target="https://mems.duke.edu/faculty/henri-gavin" TargetMode="External"/><Relationship Id="rId2601" Type="http://schemas.openxmlformats.org/officeDocument/2006/relationships/hyperlink" Target="https://mae.rutgers.edu/hao-lin" TargetMode="External"/><Relationship Id="rId4499" Type="http://schemas.openxmlformats.org/officeDocument/2006/relationships/hyperlink" Target="https://me.ucmerced.edu/content/ashlie-martini" TargetMode="External"/><Relationship Id="rId1203" Type="http://schemas.openxmlformats.org/officeDocument/2006/relationships/hyperlink" Target="https://enme.umd.edu/clark/faculty/571/Michael-Ohadi" TargetMode="External"/><Relationship Id="rId1410" Type="http://schemas.openxmlformats.org/officeDocument/2006/relationships/hyperlink" Target="https://me.vt.edu/people/faculty/palmore-john.html" TargetMode="External"/><Relationship Id="rId4359" Type="http://schemas.openxmlformats.org/officeDocument/2006/relationships/hyperlink" Target="https://directory.statler.wvu.edu/faculty-staff-directory/andrew-rhodes" TargetMode="External"/><Relationship Id="rId4566" Type="http://schemas.openxmlformats.org/officeDocument/2006/relationships/hyperlink" Target="https://www.ou.edu/coe/ame/people/gan.html" TargetMode="External"/><Relationship Id="rId4773" Type="http://schemas.openxmlformats.org/officeDocument/2006/relationships/hyperlink" Target="https://umdearborn.edu/people-um-dearborn/yi-zhang" TargetMode="External"/><Relationship Id="rId4980" Type="http://schemas.openxmlformats.org/officeDocument/2006/relationships/hyperlink" Target="https://engineering.louisville.edu/faculty/thomas-a-berfield/" TargetMode="External"/><Relationship Id="rId3168" Type="http://schemas.openxmlformats.org/officeDocument/2006/relationships/hyperlink" Target="https://mabe.utk.edu/people/j-mark-barker/" TargetMode="External"/><Relationship Id="rId3375" Type="http://schemas.openxmlformats.org/officeDocument/2006/relationships/hyperlink" Target="https://mme.wsu.edu/faculty/jacob-leachman/" TargetMode="External"/><Relationship Id="rId3582" Type="http://schemas.openxmlformats.org/officeDocument/2006/relationships/hyperlink" Target="https://ecs.syracuse.edu/faculty-staff/victor-duenas" TargetMode="External"/><Relationship Id="rId4219" Type="http://schemas.openxmlformats.org/officeDocument/2006/relationships/hyperlink" Target="http://engineering.uga.edu/people/profile/linbing-wang-ph.d.-p.e" TargetMode="External"/><Relationship Id="rId4426" Type="http://schemas.openxmlformats.org/officeDocument/2006/relationships/hyperlink" Target="https://www.lsu.edu/eng/mie/people/faculty/gonthier.php" TargetMode="External"/><Relationship Id="rId4633" Type="http://schemas.openxmlformats.org/officeDocument/2006/relationships/hyperlink" Target="https://www.ccny.cuny.edu/profiles/prathap-ramamurthy" TargetMode="External"/><Relationship Id="rId4840" Type="http://schemas.openxmlformats.org/officeDocument/2006/relationships/hyperlink" Target="https://engineering.wayne.edu/profile/gy5595" TargetMode="External"/><Relationship Id="rId296" Type="http://schemas.openxmlformats.org/officeDocument/2006/relationships/hyperlink" Target="https://www.me.gatech.edu/user/1086" TargetMode="External"/><Relationship Id="rId2184" Type="http://schemas.openxmlformats.org/officeDocument/2006/relationships/hyperlink" Target="https://engineering.uci.edu/users/feng-liu" TargetMode="External"/><Relationship Id="rId2391" Type="http://schemas.openxmlformats.org/officeDocument/2006/relationships/hyperlink" Target="https://engineering.case.edu/about/school-directory/melinda-speers" TargetMode="External"/><Relationship Id="rId3028" Type="http://schemas.openxmlformats.org/officeDocument/2006/relationships/hyperlink" Target="https://engineering.lehigh.edu/meche/faculty/823" TargetMode="External"/><Relationship Id="rId3235" Type="http://schemas.openxmlformats.org/officeDocument/2006/relationships/hyperlink" Target="https://www.engr.colostate.edu/me/faculty/dr-stephen-guzik/" TargetMode="External"/><Relationship Id="rId3442" Type="http://schemas.openxmlformats.org/officeDocument/2006/relationships/hyperlink" Target="https://www.me.byu.edu/directory/douglas-cook" TargetMode="External"/><Relationship Id="rId156" Type="http://schemas.openxmlformats.org/officeDocument/2006/relationships/hyperlink" Target="https://me.stanford.edu/people/david-kelley" TargetMode="External"/><Relationship Id="rId363" Type="http://schemas.openxmlformats.org/officeDocument/2006/relationships/hyperlink" Target="https://www.me.gatech.edu/chairs-message-0" TargetMode="External"/><Relationship Id="rId570" Type="http://schemas.openxmlformats.org/officeDocument/2006/relationships/hyperlink" Target="https://engineering.purdue.edu/ME/People/ptProfile?resource_id=9892" TargetMode="External"/><Relationship Id="rId2044" Type="http://schemas.openxmlformats.org/officeDocument/2006/relationships/hyperlink" Target="https://ame.nd.edu/faculty/r-mark-rennie/" TargetMode="External"/><Relationship Id="rId2251" Type="http://schemas.openxmlformats.org/officeDocument/2006/relationships/hyperlink" Target="https://www.me.iastate.edu/faculty/profile/srirams" TargetMode="External"/><Relationship Id="rId3302" Type="http://schemas.openxmlformats.org/officeDocument/2006/relationships/hyperlink" Target="https://researchdirectory.uc.edu/p/bellurkn" TargetMode="External"/><Relationship Id="rId4700" Type="http://schemas.openxmlformats.org/officeDocument/2006/relationships/hyperlink" Target="https://mechanical-engineering.uark.edu/Directory/index/uid/pmillett/name/Paul+Millett/" TargetMode="External"/><Relationship Id="rId223" Type="http://schemas.openxmlformats.org/officeDocument/2006/relationships/hyperlink" Target="https://me.berkeley.edu/people/michael-frenklach/" TargetMode="External"/><Relationship Id="rId430" Type="http://schemas.openxmlformats.org/officeDocument/2006/relationships/hyperlink" Target="https://mechse.illinois.edu/people/profile/arendv" TargetMode="External"/><Relationship Id="rId1060" Type="http://schemas.openxmlformats.org/officeDocument/2006/relationships/hyperlink" Target="https://engineering.tamu.edu/mechanical/profiles/suh-steve.html" TargetMode="External"/><Relationship Id="rId2111" Type="http://schemas.openxmlformats.org/officeDocument/2006/relationships/hyperlink" Target="https://isearch.asu.edu/profile/1759035" TargetMode="External"/><Relationship Id="rId5267" Type="http://schemas.openxmlformats.org/officeDocument/2006/relationships/hyperlink" Target="https://www.unlv.edu/people/huang-chen" TargetMode="External"/><Relationship Id="rId4076" Type="http://schemas.openxmlformats.org/officeDocument/2006/relationships/hyperlink" Target="https://daytonabeach.erau.edu/college-engineering/mechanical/faculty" TargetMode="External"/><Relationship Id="rId5474" Type="http://schemas.openxmlformats.org/officeDocument/2006/relationships/hyperlink" Target="https://nmt.edu/academics/mecheng/faculty/mhassanalian.php" TargetMode="External"/><Relationship Id="rId1877" Type="http://schemas.openxmlformats.org/officeDocument/2006/relationships/hyperlink" Target="https://www.me.washington.edu/people/faculty/nate_sniadecki" TargetMode="External"/><Relationship Id="rId2928" Type="http://schemas.openxmlformats.org/officeDocument/2006/relationships/hyperlink" Target="https://www.engineering.pitt.edu/people/faculty/jorg-wiezorek/" TargetMode="External"/><Relationship Id="rId4283" Type="http://schemas.openxmlformats.org/officeDocument/2006/relationships/hyperlink" Target="https://www1.villanova.edu/university/engineering/academic-programs/departments/mechanical/directory/biodetail.html?mail=chengyu.li@villanova.edu&amp;xsl=bio_long" TargetMode="External"/><Relationship Id="rId4490" Type="http://schemas.openxmlformats.org/officeDocument/2006/relationships/hyperlink" Target="https://me.ucmerced.edu/content/jeanette-cobian-i%C3%B1iguez" TargetMode="External"/><Relationship Id="rId5127" Type="http://schemas.openxmlformats.org/officeDocument/2006/relationships/hyperlink" Target="https://coes.latech.edu/facultystaff-directory/single-entry/name/kelly-crittenden/" TargetMode="External"/><Relationship Id="rId5334" Type="http://schemas.openxmlformats.org/officeDocument/2006/relationships/hyperlink" Target="https://www.fau.edu/engineering/ome/directory/" TargetMode="External"/><Relationship Id="rId5541" Type="http://schemas.openxmlformats.org/officeDocument/2006/relationships/hyperlink" Target="https://und.edu/directory/hossein.kashanizadeh" TargetMode="External"/><Relationship Id="rId1737" Type="http://schemas.openxmlformats.org/officeDocument/2006/relationships/hyperlink" Target="https://www.colorado.edu/mechanical/christine-wiedinmyer" TargetMode="External"/><Relationship Id="rId1944" Type="http://schemas.openxmlformats.org/officeDocument/2006/relationships/hyperlink" Target="https://engineering.brown.edu/people/marissa-gray" TargetMode="External"/><Relationship Id="rId3092" Type="http://schemas.openxmlformats.org/officeDocument/2006/relationships/hyperlink" Target="https://nps.edu/faculty-profiles/-/cv/ajgannon" TargetMode="External"/><Relationship Id="rId4143" Type="http://schemas.openxmlformats.org/officeDocument/2006/relationships/hyperlink" Target="https://www.depts.ttu.edu/me/faculty/sonal_bhattacharya/index.php" TargetMode="External"/><Relationship Id="rId4350" Type="http://schemas.openxmlformats.org/officeDocument/2006/relationships/hyperlink" Target="https://directory.statler.wvu.edu/faculty-staff-directory/xueyan-song" TargetMode="External"/><Relationship Id="rId5401" Type="http://schemas.openxmlformats.org/officeDocument/2006/relationships/hyperlink" Target="https://engineering.catholic.edu/research-and-faculty/faculty-profiles/mechanical/brown-steven/index.html" TargetMode="External"/><Relationship Id="rId29" Type="http://schemas.openxmlformats.org/officeDocument/2006/relationships/hyperlink" Target="https://meche.mit.edu/people/faculty/ddv@MIT.EDU" TargetMode="External"/><Relationship Id="rId4003" Type="http://schemas.openxmlformats.org/officeDocument/2006/relationships/hyperlink" Target="https://sc.edu/study/colleges_schools/engineering_and_computing/faculty-staff/xue_xingjian.php" TargetMode="External"/><Relationship Id="rId4210" Type="http://schemas.openxmlformats.org/officeDocument/2006/relationships/hyperlink" Target="http://engineering.uga.edu/people/profile/john-schramski-ph.d" TargetMode="External"/><Relationship Id="rId1804" Type="http://schemas.openxmlformats.org/officeDocument/2006/relationships/hyperlink" Target="https://ame.usc.edu/directory/faculty/" TargetMode="External"/><Relationship Id="rId3769" Type="http://schemas.openxmlformats.org/officeDocument/2006/relationships/hyperlink" Target="https://www.uta.edu/academics/faculty/profile?username=luca" TargetMode="External"/><Relationship Id="rId3976" Type="http://schemas.openxmlformats.org/officeDocument/2006/relationships/hyperlink" Target="https://sc.edu/study/colleges_schools/engineering_and_computing/faculty-staff/gurdal_zafer.php" TargetMode="External"/><Relationship Id="rId5191" Type="http://schemas.openxmlformats.org/officeDocument/2006/relationships/hyperlink" Target="https://www.scu.edu/engineering/academic-programs/department-of-mechanical-engineering/faculty-and-staff/scott.html" TargetMode="External"/><Relationship Id="rId897" Type="http://schemas.openxmlformats.org/officeDocument/2006/relationships/hyperlink" Target="https://www.mccormick.northwestern.edu/research-faculty/directory/profiles/macIver-malcolm.html" TargetMode="External"/><Relationship Id="rId2578" Type="http://schemas.openxmlformats.org/officeDocument/2006/relationships/hyperlink" Target="https://mechanical.mines.edu/project/zhang-xiaoli/" TargetMode="External"/><Relationship Id="rId2785" Type="http://schemas.openxmlformats.org/officeDocument/2006/relationships/hyperlink" Target="https://engineering.buffalo.edu/mechanical-aerospace/people/faculty/ladder.host.html/content/shared/engineering/mechanical-aerospace/profiles/st-pierre-ryan.detail.html" TargetMode="External"/><Relationship Id="rId2992" Type="http://schemas.openxmlformats.org/officeDocument/2006/relationships/hyperlink" Target="https://www.mae.seas.gwu.edu/node/761" TargetMode="External"/><Relationship Id="rId3629" Type="http://schemas.openxmlformats.org/officeDocument/2006/relationships/hyperlink" Target="https://me.utdallas.edu/faculty-staff/joshua-summers/" TargetMode="External"/><Relationship Id="rId3836" Type="http://schemas.openxmlformats.org/officeDocument/2006/relationships/hyperlink" Target="https://www.engr.uky.edu/directory/parker-john%C3%A9" TargetMode="External"/><Relationship Id="rId5051" Type="http://schemas.openxmlformats.org/officeDocument/2006/relationships/hyperlink" Target="https://www.wichita.edu/profiles/academics/engineering/mechanical_engineering/01_Faculty/Asmatulu-Eylem.php" TargetMode="External"/><Relationship Id="rId757" Type="http://schemas.openxmlformats.org/officeDocument/2006/relationships/hyperlink" Target="https://www.me.utexas.edu/people/faculty-directory/bahadur" TargetMode="External"/><Relationship Id="rId964" Type="http://schemas.openxmlformats.org/officeDocument/2006/relationships/hyperlink" Target="https://me.jhu.edu/faculty/chen-li/" TargetMode="External"/><Relationship Id="rId1387" Type="http://schemas.openxmlformats.org/officeDocument/2006/relationships/hyperlink" Target="https://me.vt.edu/people/faculty/haghighat-alireza.html" TargetMode="External"/><Relationship Id="rId1594" Type="http://schemas.openxmlformats.org/officeDocument/2006/relationships/hyperlink" Target="https://mae.osu.edu/people/katsube.1" TargetMode="External"/><Relationship Id="rId2438" Type="http://schemas.openxmlformats.org/officeDocument/2006/relationships/hyperlink" Target="https://engineering.msu.edu/faculty?departments=d09c48c1-b896-494b-8f18-fcbcbaa009e6&amp;page=3&amp;letter=" TargetMode="External"/><Relationship Id="rId2645" Type="http://schemas.openxmlformats.org/officeDocument/2006/relationships/hyperlink" Target="https://me.udel.edu/faculty/fabrizio-sergi/" TargetMode="External"/><Relationship Id="rId2852" Type="http://schemas.openxmlformats.org/officeDocument/2006/relationships/hyperlink" Target="https://me.engr.uconn.edu/blog/faculty/moreno-vito/" TargetMode="External"/><Relationship Id="rId3903" Type="http://schemas.openxmlformats.org/officeDocument/2006/relationships/hyperlink" Target="https://mees.charlotte.edu/directory/charles-lee" TargetMode="External"/><Relationship Id="rId93" Type="http://schemas.openxmlformats.org/officeDocument/2006/relationships/hyperlink" Target="https://meche.mit.edu/people/faculty/awinter@mit.edu" TargetMode="External"/><Relationship Id="rId617" Type="http://schemas.openxmlformats.org/officeDocument/2006/relationships/hyperlink" Target="https://engineering.purdue.edu/ME/People/ptProfile?resource_id=29385" TargetMode="External"/><Relationship Id="rId824" Type="http://schemas.openxmlformats.org/officeDocument/2006/relationships/hyperlink" Target="https://www.mccormick.northwestern.edu/research-faculty/directory/profiles/argall-brenna.html" TargetMode="External"/><Relationship Id="rId1247" Type="http://schemas.openxmlformats.org/officeDocument/2006/relationships/hyperlink" Target="https://cse.umn.edu/me/susan-mantell" TargetMode="External"/><Relationship Id="rId1454" Type="http://schemas.openxmlformats.org/officeDocument/2006/relationships/hyperlink" Target="https://jacobsschool.ucsd.edu/faculty/profile?id=453" TargetMode="External"/><Relationship Id="rId1661" Type="http://schemas.openxmlformats.org/officeDocument/2006/relationships/hyperlink" Target="https://www.me.columbia.edu/faculty/james-hone" TargetMode="External"/><Relationship Id="rId2505" Type="http://schemas.openxmlformats.org/officeDocument/2006/relationships/hyperlink" Target="https://www.bu.edu/eng/profile/catherine-m-klapperich-ph-d/" TargetMode="External"/><Relationship Id="rId2712" Type="http://schemas.openxmlformats.org/officeDocument/2006/relationships/hyperlink" Target="https://drexel.edu/engineering/about/faculty-staff/H/han-li-hsin/" TargetMode="External"/><Relationship Id="rId1107" Type="http://schemas.openxmlformats.org/officeDocument/2006/relationships/hyperlink" Target="https://samueli.ucla.edu/people/jason-speyer/" TargetMode="External"/><Relationship Id="rId1314" Type="http://schemas.openxmlformats.org/officeDocument/2006/relationships/hyperlink" Target="https://directory.engr.wisc.edu/me/Faculty/Eriten_Melih/" TargetMode="External"/><Relationship Id="rId1521" Type="http://schemas.openxmlformats.org/officeDocument/2006/relationships/hyperlink" Target="https://mems.duke.edu/faculty/donald-bliss" TargetMode="External"/><Relationship Id="rId4677" Type="http://schemas.openxmlformats.org/officeDocument/2006/relationships/hyperlink" Target="https://www.sdsmt.edu/Directories/Personnel/Lento,-Mario/" TargetMode="External"/><Relationship Id="rId4884" Type="http://schemas.openxmlformats.org/officeDocument/2006/relationships/hyperlink" Target="https://www.ncat.edu/employee-bio.php?directoryID=285238833" TargetMode="External"/><Relationship Id="rId3279" Type="http://schemas.openxmlformats.org/officeDocument/2006/relationships/hyperlink" Target="https://engineering.nyu.edu/faculty/iskender-sahin" TargetMode="External"/><Relationship Id="rId3486" Type="http://schemas.openxmlformats.org/officeDocument/2006/relationships/hyperlink" Target="https://www.iit.edu/directory/people/hassan-nagib" TargetMode="External"/><Relationship Id="rId3693" Type="http://schemas.openxmlformats.org/officeDocument/2006/relationships/hyperlink" Target="https://ceat.okstate.edu/mae/faculty-staff/faculty-bios/ritesh-sachan.html" TargetMode="External"/><Relationship Id="rId4537" Type="http://schemas.openxmlformats.org/officeDocument/2006/relationships/hyperlink" Target="https://people.miami.edu/profile/cd10bc38896121a13e4b70152b7c41e7" TargetMode="External"/><Relationship Id="rId20" Type="http://schemas.openxmlformats.org/officeDocument/2006/relationships/hyperlink" Target="https://meche.mit.edu/people/faculty/crb@mit.edu" TargetMode="External"/><Relationship Id="rId2088" Type="http://schemas.openxmlformats.org/officeDocument/2006/relationships/hyperlink" Target="https://search.asu.edu/profile/4426834" TargetMode="External"/><Relationship Id="rId2295" Type="http://schemas.openxmlformats.org/officeDocument/2006/relationships/hyperlink" Target="https://www.mae.ncsu.edu/people/jryu" TargetMode="External"/><Relationship Id="rId3139" Type="http://schemas.openxmlformats.org/officeDocument/2006/relationships/hyperlink" Target="https://mie.uic.edu/profiles/john_finan/" TargetMode="External"/><Relationship Id="rId3346" Type="http://schemas.openxmlformats.org/officeDocument/2006/relationships/hyperlink" Target="https://www.me.uh.edu/faculty/prosperetti" TargetMode="External"/><Relationship Id="rId4744" Type="http://schemas.openxmlformats.org/officeDocument/2006/relationships/hyperlink" Target="http://me.hawaii.edu/nejhad/" TargetMode="External"/><Relationship Id="rId4951" Type="http://schemas.openxmlformats.org/officeDocument/2006/relationships/hyperlink" Target="https://www.uab.edu/engineering/mme/people/faculty/mark-banaszak-holl" TargetMode="External"/><Relationship Id="rId267" Type="http://schemas.openxmlformats.org/officeDocument/2006/relationships/hyperlink" Target="https://www.me.gatech.edu/faculty/bassiri-gharb" TargetMode="External"/><Relationship Id="rId474" Type="http://schemas.openxmlformats.org/officeDocument/2006/relationships/hyperlink" Target="https://me.engin.umich.edu/people/faculty/brent-gillespie/" TargetMode="External"/><Relationship Id="rId2155" Type="http://schemas.openxmlformats.org/officeDocument/2006/relationships/hyperlink" Target="https://mae.ucdavis.edu/directory/jonathon-schofield" TargetMode="External"/><Relationship Id="rId3553" Type="http://schemas.openxmlformats.org/officeDocument/2006/relationships/hyperlink" Target="https://www.stevens.edu/profile/shajimi1" TargetMode="External"/><Relationship Id="rId3760" Type="http://schemas.openxmlformats.org/officeDocument/2006/relationships/hyperlink" Target="https://www.uta.edu/academics/faculty/profile?username=hullende" TargetMode="External"/><Relationship Id="rId4604" Type="http://schemas.openxmlformats.org/officeDocument/2006/relationships/hyperlink" Target="https://uwm.edu/engineering/departments/mechanical-engineering/" TargetMode="External"/><Relationship Id="rId4811" Type="http://schemas.openxmlformats.org/officeDocument/2006/relationships/hyperlink" Target="https://klesse.utsa.edu/faculty/profiles/manteufel-randall.html" TargetMode="External"/><Relationship Id="rId127" Type="http://schemas.openxmlformats.org/officeDocument/2006/relationships/hyperlink" Target="https://meche.mit.edu/people/staff/nphipps@mit.edu" TargetMode="External"/><Relationship Id="rId681" Type="http://schemas.openxmlformats.org/officeDocument/2006/relationships/hyperlink" Target="https://www.engineering.cornell.edu/faculty-directory/fabien-royer" TargetMode="External"/><Relationship Id="rId2362" Type="http://schemas.openxmlformats.org/officeDocument/2006/relationships/hyperlink" Target="https://engineering.wustl.edu/faculty/Sharniece-Holland.html" TargetMode="External"/><Relationship Id="rId3206" Type="http://schemas.openxmlformats.org/officeDocument/2006/relationships/hyperlink" Target="https://mabe.utk.edu/people/andy-sarles/" TargetMode="External"/><Relationship Id="rId3413" Type="http://schemas.openxmlformats.org/officeDocument/2006/relationships/hyperlink" Target="https://www.wpi.edu/people/faculty/fclevey" TargetMode="External"/><Relationship Id="rId3620" Type="http://schemas.openxmlformats.org/officeDocument/2006/relationships/hyperlink" Target="https://me.utdallas.edu/faculty-staff/majid-minary/" TargetMode="External"/><Relationship Id="rId334" Type="http://schemas.openxmlformats.org/officeDocument/2006/relationships/hyperlink" Target="https://www.me.gatech.edu/faculty/singhose" TargetMode="External"/><Relationship Id="rId541" Type="http://schemas.openxmlformats.org/officeDocument/2006/relationships/hyperlink" Target="https://engineering.purdue.edu/ME/People/ptProfile?resource_id=127238" TargetMode="External"/><Relationship Id="rId1171" Type="http://schemas.openxmlformats.org/officeDocument/2006/relationships/hyperlink" Target="https://enme.umd.edu/clark/faculty/508/Balakumar-Balachandran" TargetMode="External"/><Relationship Id="rId2015" Type="http://schemas.openxmlformats.org/officeDocument/2006/relationships/hyperlink" Target="https://ame.nd.edu/faculty/thomas-corke/" TargetMode="External"/><Relationship Id="rId2222" Type="http://schemas.openxmlformats.org/officeDocument/2006/relationships/hyperlink" Target="https://www.me.iastate.edu/faculty/profile/shanhu" TargetMode="External"/><Relationship Id="rId5378" Type="http://schemas.openxmlformats.org/officeDocument/2006/relationships/hyperlink" Target="https://directory.nau.edu/?person=rs2944" TargetMode="External"/><Relationship Id="rId401" Type="http://schemas.openxmlformats.org/officeDocument/2006/relationships/hyperlink" Target="https://mechse.illinois.edu/people/profile/koric" TargetMode="External"/><Relationship Id="rId1031" Type="http://schemas.openxmlformats.org/officeDocument/2006/relationships/hyperlink" Target="https://engineering.tamu.edu/mechanical/profiles/malak-richard.html" TargetMode="External"/><Relationship Id="rId1988" Type="http://schemas.openxmlformats.org/officeDocument/2006/relationships/hyperlink" Target="https://me.ucsb.edu/people/eric-matthys" TargetMode="External"/><Relationship Id="rId4187" Type="http://schemas.openxmlformats.org/officeDocument/2006/relationships/hyperlink" Target="http://engineering.uga.edu/people/profile/tim-foutz-ph.d" TargetMode="External"/><Relationship Id="rId4394" Type="http://schemas.openxmlformats.org/officeDocument/2006/relationships/hyperlink" Target="https://eng.famu.fsu.edu/me/people/gibson" TargetMode="External"/><Relationship Id="rId5238" Type="http://schemas.openxmlformats.org/officeDocument/2006/relationships/hyperlink" Target="https://www.uidaho.edu/engr/departments/me/our-people/faculty/steven-beyerlein" TargetMode="External"/><Relationship Id="rId5445" Type="http://schemas.openxmlformats.org/officeDocument/2006/relationships/hyperlink" Target="https://wmich.edu/mechanical-aerospace/directory/gustafson" TargetMode="External"/><Relationship Id="rId4047" Type="http://schemas.openxmlformats.org/officeDocument/2006/relationships/hyperlink" Target="https://www.clarkson.edu/node/12791" TargetMode="External"/><Relationship Id="rId4254" Type="http://schemas.openxmlformats.org/officeDocument/2006/relationships/hyperlink" Target="https://engineering.missouri.edu/faculty/jian-lin/" TargetMode="External"/><Relationship Id="rId4461" Type="http://schemas.openxmlformats.org/officeDocument/2006/relationships/hyperlink" Target="https://www.me.msstate.edu/people/like-li/" TargetMode="External"/><Relationship Id="rId5305" Type="http://schemas.openxmlformats.org/officeDocument/2006/relationships/hyperlink" Target="https://mechanical.engineering.unt.edu/faculty/jn-reddy" TargetMode="External"/><Relationship Id="rId5512" Type="http://schemas.openxmlformats.org/officeDocument/2006/relationships/hyperlink" Target="https://www.slu.edu/science-and-engineering/academics/aerospace-and-mechanical-engineering/faculty/condoor-sridhar.php" TargetMode="External"/><Relationship Id="rId1848" Type="http://schemas.openxmlformats.org/officeDocument/2006/relationships/hyperlink" Target="https://www.me.washington.edu/people/faculty/corie_cobb" TargetMode="External"/><Relationship Id="rId3063" Type="http://schemas.openxmlformats.org/officeDocument/2006/relationships/hyperlink" Target="https://works.bepress.com/umit-koylu/about/" TargetMode="External"/><Relationship Id="rId3270" Type="http://schemas.openxmlformats.org/officeDocument/2006/relationships/hyperlink" Target="https://engineering.nyu.edu/faculty/joseph-borowiec" TargetMode="External"/><Relationship Id="rId4114" Type="http://schemas.openxmlformats.org/officeDocument/2006/relationships/hyperlink" Target="https://mechanical.sdsu.edu/people/karen-may-newman.aspx" TargetMode="External"/><Relationship Id="rId4321" Type="http://schemas.openxmlformats.org/officeDocument/2006/relationships/hyperlink" Target="http://egr.vcu.edu/directory/weining.wang/" TargetMode="External"/><Relationship Id="rId191" Type="http://schemas.openxmlformats.org/officeDocument/2006/relationships/hyperlink" Target="https://mce.caltech.edu/people/adames" TargetMode="External"/><Relationship Id="rId1708" Type="http://schemas.openxmlformats.org/officeDocument/2006/relationships/hyperlink" Target="https://www.colorado.edu/mechanical/maureen-lynch" TargetMode="External"/><Relationship Id="rId1915" Type="http://schemas.openxmlformats.org/officeDocument/2006/relationships/hyperlink" Target="https://engineering.brown.edu/people/domenico-pacifici" TargetMode="External"/><Relationship Id="rId3130" Type="http://schemas.openxmlformats.org/officeDocument/2006/relationships/hyperlink" Target="https://me.stonybrook.edu/commcms/me-eng/people/faculty/Yao_Shanshan.php" TargetMode="External"/><Relationship Id="rId5095" Type="http://schemas.openxmlformats.org/officeDocument/2006/relationships/hyperlink" Target="https://mme.fiu.edu/faculty-staff-members/alexandra-coso-strong" TargetMode="External"/><Relationship Id="rId2689" Type="http://schemas.openxmlformats.org/officeDocument/2006/relationships/hyperlink" Target="https://www.clemson.edu/cecas/departments/me/people/faculty/wagner.html" TargetMode="External"/><Relationship Id="rId2896" Type="http://schemas.openxmlformats.org/officeDocument/2006/relationships/hyperlink" Target="https://www.engineering.pitt.edu/people/faculty/heng-ban/" TargetMode="External"/><Relationship Id="rId3947" Type="http://schemas.openxmlformats.org/officeDocument/2006/relationships/hyperlink" Target="http://www.hajim.rochester.edu/me/people/faculty/palastro_john/index.html" TargetMode="External"/><Relationship Id="rId868" Type="http://schemas.openxmlformats.org/officeDocument/2006/relationships/hyperlink" Target="https://www.mccormick.northwestern.edu/mechanical/research/areas/robotics-autonomy.html" TargetMode="External"/><Relationship Id="rId1498" Type="http://schemas.openxmlformats.org/officeDocument/2006/relationships/hyperlink" Target="https://jacobsschool.ucsd.edu/faculty/profile?id=513" TargetMode="External"/><Relationship Id="rId2549" Type="http://schemas.openxmlformats.org/officeDocument/2006/relationships/hyperlink" Target="https://mechanical.mines.edu/project/hommer-garrison/" TargetMode="External"/><Relationship Id="rId2756" Type="http://schemas.openxmlformats.org/officeDocument/2006/relationships/hyperlink" Target="https://engineering.buffalo.edu/mechanical-aerospace/people/faculty/ladder.host.html/content/shared/engineering/mechanical-aerospace/profiles/bayandor-javid.detail.html" TargetMode="External"/><Relationship Id="rId2963" Type="http://schemas.openxmlformats.org/officeDocument/2006/relationships/hyperlink" Target="http://eng.auburn.edu/directory/srg0041" TargetMode="External"/><Relationship Id="rId3807" Type="http://schemas.openxmlformats.org/officeDocument/2006/relationships/hyperlink" Target="https://www.uah.edu/eng/departments/mae/faculty-staff/guangsheng-zhang" TargetMode="External"/><Relationship Id="rId5162" Type="http://schemas.openxmlformats.org/officeDocument/2006/relationships/hyperlink" Target="https://www.ohio.edu/engineering/about/people/weemsac" TargetMode="External"/><Relationship Id="rId728" Type="http://schemas.openxmlformats.org/officeDocument/2006/relationships/hyperlink" Target="https://www.meche.engineering.cmu.edu/directory/bios/jones-trevor.html" TargetMode="External"/><Relationship Id="rId935" Type="http://schemas.openxmlformats.org/officeDocument/2006/relationships/hyperlink" Target="https://www.mccormick.northwestern.edu/mechanical/research/areas/robotics-autonomy.html" TargetMode="External"/><Relationship Id="rId1358" Type="http://schemas.openxmlformats.org/officeDocument/2006/relationships/hyperlink" Target="https://directory.engr.wisc.edu/me/Faculty/Zinn_Michael/" TargetMode="External"/><Relationship Id="rId1565" Type="http://schemas.openxmlformats.org/officeDocument/2006/relationships/hyperlink" Target="https://mae.osu.edu/people/abell.9" TargetMode="External"/><Relationship Id="rId1772" Type="http://schemas.openxmlformats.org/officeDocument/2006/relationships/hyperlink" Target="https://mae.ufl.edu/people/faculty/primary/associate-professor/profiles/bruce-carroll/" TargetMode="External"/><Relationship Id="rId2409" Type="http://schemas.openxmlformats.org/officeDocument/2006/relationships/hyperlink" Target="https://www.egr.msu.edu/people/profile/brereton" TargetMode="External"/><Relationship Id="rId2616" Type="http://schemas.openxmlformats.org/officeDocument/2006/relationships/hyperlink" Target="https://mae.rutgers.edu/jingang-yi" TargetMode="External"/><Relationship Id="rId5022" Type="http://schemas.openxmlformats.org/officeDocument/2006/relationships/hyperlink" Target="https://www.unr.edu/me/people/miles-greiner" TargetMode="External"/><Relationship Id="rId64" Type="http://schemas.openxmlformats.org/officeDocument/2006/relationships/hyperlink" Target="https://meche.mit.edu/people/faculty/cportela@mit.edu" TargetMode="External"/><Relationship Id="rId1218" Type="http://schemas.openxmlformats.org/officeDocument/2006/relationships/hyperlink" Target="https://enme.umd.edu/clark/faculty/1304/Mohammad-Fazelpour" TargetMode="External"/><Relationship Id="rId1425" Type="http://schemas.openxmlformats.org/officeDocument/2006/relationships/hyperlink" Target="https://me.vt.edu/people/faculty/warfford-jeff.html" TargetMode="External"/><Relationship Id="rId2823" Type="http://schemas.openxmlformats.org/officeDocument/2006/relationships/hyperlink" Target="https://ame.engineering.arizona.edu/faculty-staff/faculty/jangho-yoon" TargetMode="External"/><Relationship Id="rId1632" Type="http://schemas.openxmlformats.org/officeDocument/2006/relationships/hyperlink" Target="https://mae.osu.edu/people/detrick.6" TargetMode="External"/><Relationship Id="rId4788" Type="http://schemas.openxmlformats.org/officeDocument/2006/relationships/hyperlink" Target="https://ceps.unh.edu/person/may-win-thein" TargetMode="External"/><Relationship Id="rId4995" Type="http://schemas.openxmlformats.org/officeDocument/2006/relationships/hyperlink" Target="https://engineering.louisville.edu/faculty/md-jahidur-rahman/" TargetMode="External"/><Relationship Id="rId2199" Type="http://schemas.openxmlformats.org/officeDocument/2006/relationships/hyperlink" Target="https://engineering.uci.edu/users/yun-wang" TargetMode="External"/><Relationship Id="rId3597" Type="http://schemas.openxmlformats.org/officeDocument/2006/relationships/hyperlink" Target="https://ecs.syracuse.edu/faculty-staff/yiyang-sun" TargetMode="External"/><Relationship Id="rId4648" Type="http://schemas.openxmlformats.org/officeDocument/2006/relationships/hyperlink" Target="https://mae.nmsu.edu/faculty/dr-jay-i-frankel.html" TargetMode="External"/><Relationship Id="rId4855" Type="http://schemas.openxmlformats.org/officeDocument/2006/relationships/hyperlink" Target="https://engineering.wayne.edu/profile/ad6181" TargetMode="External"/><Relationship Id="rId3457" Type="http://schemas.openxmlformats.org/officeDocument/2006/relationships/hyperlink" Target="https://www.me.byu.edu/faculty/spencermagleby" TargetMode="External"/><Relationship Id="rId3664" Type="http://schemas.openxmlformats.org/officeDocument/2006/relationships/hyperlink" Target="https://profiles.ucr.edu/app/home/profile/rwilson" TargetMode="External"/><Relationship Id="rId3871" Type="http://schemas.openxmlformats.org/officeDocument/2006/relationships/hyperlink" Target="https://engineering.unl.edu/mme/faculty/eric-markvicka/" TargetMode="External"/><Relationship Id="rId4508" Type="http://schemas.openxmlformats.org/officeDocument/2006/relationships/hyperlink" Target="https://udayton.edu/directory/engineering/mechanical_and_aerospace/hallinan_kevin.php" TargetMode="External"/><Relationship Id="rId4715" Type="http://schemas.openxmlformats.org/officeDocument/2006/relationships/hyperlink" Target="https://eas.uccs.edu/mae/faculty/Peter_Gorder" TargetMode="External"/><Relationship Id="rId4922" Type="http://schemas.openxmlformats.org/officeDocument/2006/relationships/hyperlink" Target="https://uakron.edu/engineering/me/our-people/profile.dot?u=dcd" TargetMode="External"/><Relationship Id="rId378" Type="http://schemas.openxmlformats.org/officeDocument/2006/relationships/hyperlink" Target="https://mechse.illinois.edu/people/profile/elbel" TargetMode="External"/><Relationship Id="rId585" Type="http://schemas.openxmlformats.org/officeDocument/2006/relationships/hyperlink" Target="https://engineering.purdue.edu/ME/People/ptProfile?resource_id=240680" TargetMode="External"/><Relationship Id="rId792" Type="http://schemas.openxmlformats.org/officeDocument/2006/relationships/hyperlink" Target="https://www.me.utexas.edu/people/faculty-directory/li" TargetMode="External"/><Relationship Id="rId2059" Type="http://schemas.openxmlformats.org/officeDocument/2006/relationships/hyperlink" Target="https://ame.nd.edu/faculty/nicholas-zabaras/" TargetMode="External"/><Relationship Id="rId2266" Type="http://schemas.openxmlformats.org/officeDocument/2006/relationships/hyperlink" Target="https://www.mae.ncsu.edu/people/feewere" TargetMode="External"/><Relationship Id="rId2473" Type="http://schemas.openxmlformats.org/officeDocument/2006/relationships/hyperlink" Target="https://engineering.vanderbilt.edu/bio/shannon-faley" TargetMode="External"/><Relationship Id="rId2680" Type="http://schemas.openxmlformats.org/officeDocument/2006/relationships/hyperlink" Target="https://my.clemson.edu/" TargetMode="External"/><Relationship Id="rId3317" Type="http://schemas.openxmlformats.org/officeDocument/2006/relationships/hyperlink" Target="https://researchdirectory.uc.edu/p/sons" TargetMode="External"/><Relationship Id="rId3524" Type="http://schemas.openxmlformats.org/officeDocument/2006/relationships/hyperlink" Target="https://www.mtu.edu/mechanical/people/faculty/morse-s/" TargetMode="External"/><Relationship Id="rId3731" Type="http://schemas.openxmlformats.org/officeDocument/2006/relationships/hyperlink" Target="https://eng.ua.edu/eng-directory/dr-vishesh-vikas/" TargetMode="External"/><Relationship Id="rId238" Type="http://schemas.openxmlformats.org/officeDocument/2006/relationships/hyperlink" Target="https://me.berkeley.edu/people/negar-mehr/" TargetMode="External"/><Relationship Id="rId445" Type="http://schemas.openxmlformats.org/officeDocument/2006/relationships/hyperlink" Target="https://me.engin.umich.edu/people/faculty/rohini-bala-chandran/" TargetMode="External"/><Relationship Id="rId652" Type="http://schemas.openxmlformats.org/officeDocument/2006/relationships/hyperlink" Target="https://www.engineering.cornell.edu/faculty-directory/herbert-hui" TargetMode="External"/><Relationship Id="rId1075" Type="http://schemas.openxmlformats.org/officeDocument/2006/relationships/hyperlink" Target="https://samueli.ucla.edu/search-faculty/" TargetMode="External"/><Relationship Id="rId1282" Type="http://schemas.openxmlformats.org/officeDocument/2006/relationships/hyperlink" Target="https://directory.seas.upenn.edu/douglas-jerolmack/" TargetMode="External"/><Relationship Id="rId2126" Type="http://schemas.openxmlformats.org/officeDocument/2006/relationships/hyperlink" Target="https://mae.ucdavis.edu/directory/ben-shaw" TargetMode="External"/><Relationship Id="rId2333" Type="http://schemas.openxmlformats.org/officeDocument/2006/relationships/hyperlink" Target="https://engineering.virginia.edu/faculty/jason-r-kerrigan" TargetMode="External"/><Relationship Id="rId2540" Type="http://schemas.openxmlformats.org/officeDocument/2006/relationships/hyperlink" Target="https://mechanical.mines.edu/project/donovan-brian/" TargetMode="External"/><Relationship Id="rId5489" Type="http://schemas.openxmlformats.org/officeDocument/2006/relationships/hyperlink" Target="https://www.oakland.edu/secs/directory/kobus" TargetMode="External"/><Relationship Id="rId305" Type="http://schemas.openxmlformats.org/officeDocument/2006/relationships/hyperlink" Target="https://www.me.gatech.edu/faculty/lee" TargetMode="External"/><Relationship Id="rId512" Type="http://schemas.openxmlformats.org/officeDocument/2006/relationships/hyperlink" Target="https://me.engin.umich.edu/people/faculty/albert-shih/" TargetMode="External"/><Relationship Id="rId1142" Type="http://schemas.openxmlformats.org/officeDocument/2006/relationships/hyperlink" Target="https://www.me.psu.edu/department/directory-detail-g.aspx?q=JZM14" TargetMode="External"/><Relationship Id="rId2400" Type="http://schemas.openxmlformats.org/officeDocument/2006/relationships/hyperlink" Target="https://engineering.case.edu/about/school-directory/olga-kartuzova" TargetMode="External"/><Relationship Id="rId4298" Type="http://schemas.openxmlformats.org/officeDocument/2006/relationships/hyperlink" Target="https://egr.vcu.edu/departments/mechanical/people/faculty/" TargetMode="External"/><Relationship Id="rId5349" Type="http://schemas.openxmlformats.org/officeDocument/2006/relationships/hyperlink" Target="https://www.fau.edu/engineering/directory/faculty/masory/" TargetMode="External"/><Relationship Id="rId5556" Type="http://schemas.openxmlformats.org/officeDocument/2006/relationships/hyperlink" Target="https://www.udmercy.edu/about/people/university/ces/mechanical/dukhan-nihad" TargetMode="External"/><Relationship Id="rId1002" Type="http://schemas.openxmlformats.org/officeDocument/2006/relationships/hyperlink" Target="https://engineering.tamu.edu/mechanical/profiles/friesen-rebecca.html" TargetMode="External"/><Relationship Id="rId4158" Type="http://schemas.openxmlformats.org/officeDocument/2006/relationships/hyperlink" Target="https://www.depts.ttu.edu/me/faculty/song_kong/index.php" TargetMode="External"/><Relationship Id="rId4365" Type="http://schemas.openxmlformats.org/officeDocument/2006/relationships/hyperlink" Target="https://directory.statler.wvu.edu/faculty-staff-directory/tao-sun" TargetMode="External"/><Relationship Id="rId5209" Type="http://schemas.openxmlformats.org/officeDocument/2006/relationships/hyperlink" Target="https://engineering.siu.edu/me/faculty-staff/faculty/swift.php" TargetMode="External"/><Relationship Id="rId1959" Type="http://schemas.openxmlformats.org/officeDocument/2006/relationships/hyperlink" Target="https://faculty.rpi.edu/joshua-hurst" TargetMode="External"/><Relationship Id="rId3174" Type="http://schemas.openxmlformats.org/officeDocument/2006/relationships/hyperlink" Target="https://mabe.utk.edu/people/a-colleen-crouch/" TargetMode="External"/><Relationship Id="rId4018" Type="http://schemas.openxmlformats.org/officeDocument/2006/relationships/hyperlink" Target="https://www.binghamton.edu/mechanical-engineering/people/profile.html?id=mrazavi" TargetMode="External"/><Relationship Id="rId4572" Type="http://schemas.openxmlformats.org/officeDocument/2006/relationships/hyperlink" Target="https://www.ou.edu/coe/ame/people/Liu.html" TargetMode="External"/><Relationship Id="rId5416" Type="http://schemas.openxmlformats.org/officeDocument/2006/relationships/hyperlink" Target="https://www.memphis.edu/me/faculty/fatemi.php" TargetMode="External"/><Relationship Id="rId1819" Type="http://schemas.openxmlformats.org/officeDocument/2006/relationships/hyperlink" Target="https://viterbi.usc.edu/directory/faculty/Plucinsky/Paul" TargetMode="External"/><Relationship Id="rId3381" Type="http://schemas.openxmlformats.org/officeDocument/2006/relationships/hyperlink" Target="https://mme.wsu.edu/faculty/john-mccloy/" TargetMode="External"/><Relationship Id="rId4225" Type="http://schemas.openxmlformats.org/officeDocument/2006/relationships/hyperlink" Target="https://me.ku.edu/faculty" TargetMode="External"/><Relationship Id="rId4432" Type="http://schemas.openxmlformats.org/officeDocument/2006/relationships/hyperlink" Target="https://www.lsu.edu/eng/mie/people/faculty/menon.php" TargetMode="External"/><Relationship Id="rId2190" Type="http://schemas.openxmlformats.org/officeDocument/2006/relationships/hyperlink" Target="https://engineering.uci.edu/users/juli-n-rimoli" TargetMode="External"/><Relationship Id="rId3034" Type="http://schemas.openxmlformats.org/officeDocument/2006/relationships/hyperlink" Target="https://engineering.lehigh.edu/meche/faculty/932" TargetMode="External"/><Relationship Id="rId3241" Type="http://schemas.openxmlformats.org/officeDocument/2006/relationships/hyperlink" Target="https://www.engr.colostate.edu/me/faculty/dr-kirk-mcgilvray/" TargetMode="External"/><Relationship Id="rId162" Type="http://schemas.openxmlformats.org/officeDocument/2006/relationships/hyperlink" Target="https://me.stanford.edu/people/adrian-lew" TargetMode="External"/><Relationship Id="rId2050" Type="http://schemas.openxmlformats.org/officeDocument/2006/relationships/hyperlink" Target="https://ame.nd.edu/faculty/james-schmiedeler/" TargetMode="External"/><Relationship Id="rId3101" Type="http://schemas.openxmlformats.org/officeDocument/2006/relationships/hyperlink" Target="https://nps.edu/faculty-profiles/-/cv/mkarpenk" TargetMode="External"/><Relationship Id="rId979" Type="http://schemas.openxmlformats.org/officeDocument/2006/relationships/hyperlink" Target="https://engineering.tamu.edu/mechanical/profiles/index.html" TargetMode="External"/><Relationship Id="rId5066" Type="http://schemas.openxmlformats.org/officeDocument/2006/relationships/hyperlink" Target="http://facultyprofile.csuohio.edu/csufacultyprofile/detail.cfm?FacultyID=B_L_DAVIS" TargetMode="External"/><Relationship Id="rId5273" Type="http://schemas.openxmlformats.org/officeDocument/2006/relationships/hyperlink" Target="https://www.unlv.edu/people/melissa-morris" TargetMode="External"/><Relationship Id="rId5480" Type="http://schemas.openxmlformats.org/officeDocument/2006/relationships/hyperlink" Target="https://nmt.edu/academics/mecheng/faculty/azagrai.php" TargetMode="External"/><Relationship Id="rId839" Type="http://schemas.openxmlformats.org/officeDocument/2006/relationships/hyperlink" Target="https://www.mccormick.northwestern.edu/research-faculty/directory/profiles/chung-wah-yip.html" TargetMode="External"/><Relationship Id="rId1469" Type="http://schemas.openxmlformats.org/officeDocument/2006/relationships/hyperlink" Target="https://jacobsschool.ucsd.edu/faculty/profile?id=378" TargetMode="External"/><Relationship Id="rId2867" Type="http://schemas.openxmlformats.org/officeDocument/2006/relationships/hyperlink" Target="https://engineering.uiowa.edu/people/christoph-beckermann" TargetMode="External"/><Relationship Id="rId3918" Type="http://schemas.openxmlformats.org/officeDocument/2006/relationships/hyperlink" Target="https://mees.charlotte.edu/directory/artur-wolek" TargetMode="External"/><Relationship Id="rId4082" Type="http://schemas.openxmlformats.org/officeDocument/2006/relationships/hyperlink" Target="https://www.mne.k-state.edu/about/people/faculty/beck/" TargetMode="External"/><Relationship Id="rId5133" Type="http://schemas.openxmlformats.org/officeDocument/2006/relationships/hyperlink" Target="https://coes.latech.edu/facultystaff-directory/single-entry/name/timothy-reeves/" TargetMode="External"/><Relationship Id="rId5340" Type="http://schemas.openxmlformats.org/officeDocument/2006/relationships/hyperlink" Target="https://www.fau.edu/engineering/directory/faculty/dhanak/" TargetMode="External"/><Relationship Id="rId1676" Type="http://schemas.openxmlformats.org/officeDocument/2006/relationships/hyperlink" Target="https://premium.usnews.com/best-graduate-schools/top-engineering-schools/university-of-colorado-at-boulder-02032" TargetMode="External"/><Relationship Id="rId1883" Type="http://schemas.openxmlformats.org/officeDocument/2006/relationships/hyperlink" Target="https://engineering.brown.edu/people/faculty" TargetMode="External"/><Relationship Id="rId2727" Type="http://schemas.openxmlformats.org/officeDocument/2006/relationships/hyperlink" Target="https://drexel.edu/engineering/about/faculty-staff/Y/yousuff-ajmal/" TargetMode="External"/><Relationship Id="rId2934" Type="http://schemas.openxmlformats.org/officeDocument/2006/relationships/hyperlink" Target="https://www.engineering.pitt.edu/people/faculty/c.-issac-garcia/" TargetMode="External"/><Relationship Id="rId906" Type="http://schemas.openxmlformats.org/officeDocument/2006/relationships/hyperlink" Target="https://www.mccormick.northwestern.edu/research-faculty/directory/profiles/ottino-julio.html" TargetMode="External"/><Relationship Id="rId1329" Type="http://schemas.openxmlformats.org/officeDocument/2006/relationships/hyperlink" Target="https://directory.engr.wisc.edu/me/Faculty/Nellis_Gregory/" TargetMode="External"/><Relationship Id="rId1536" Type="http://schemas.openxmlformats.org/officeDocument/2006/relationships/hyperlink" Target="https://mems.duke.edu/faculty/josiah-knight" TargetMode="External"/><Relationship Id="rId1743" Type="http://schemas.openxmlformats.org/officeDocument/2006/relationships/hyperlink" Target="https://mae.ufl.edu/people/faculty/primary/professor/profiles/scott-banks/" TargetMode="External"/><Relationship Id="rId1950" Type="http://schemas.openxmlformats.org/officeDocument/2006/relationships/hyperlink" Target="https://engineering.brown.edu/people/chris-bull" TargetMode="External"/><Relationship Id="rId4899" Type="http://schemas.openxmlformats.org/officeDocument/2006/relationships/hyperlink" Target="https://www.odu.edu/directory/sharan-asundi" TargetMode="External"/><Relationship Id="rId5200" Type="http://schemas.openxmlformats.org/officeDocument/2006/relationships/hyperlink" Target="https://engineering.siu.edu/me/faculty-staff/faculty/esmaeeli.php" TargetMode="External"/><Relationship Id="rId35" Type="http://schemas.openxmlformats.org/officeDocument/2006/relationships/hyperlink" Target="https://meche.mit.edu/people/faculty/agopi@mit.edu" TargetMode="External"/><Relationship Id="rId1603" Type="http://schemas.openxmlformats.org/officeDocument/2006/relationships/hyperlink" Target="https://mae.osu.edu/people/mcnamara.190" TargetMode="External"/><Relationship Id="rId1810" Type="http://schemas.openxmlformats.org/officeDocument/2006/relationships/hyperlink" Target="https://viterbi.usc.edu/directory/faculty/Jin/Yan" TargetMode="External"/><Relationship Id="rId4759" Type="http://schemas.openxmlformats.org/officeDocument/2006/relationships/hyperlink" Target="https://umdearborn.edu/people-um-dearborn/doohyun-kim" TargetMode="External"/><Relationship Id="rId4966" Type="http://schemas.openxmlformats.org/officeDocument/2006/relationships/hyperlink" Target="https://ritchieschool.du.edu/about/people/matt-howard-gordon" TargetMode="External"/><Relationship Id="rId3568" Type="http://schemas.openxmlformats.org/officeDocument/2006/relationships/hyperlink" Target="https://www.stevens.edu/profile/lwang4" TargetMode="External"/><Relationship Id="rId3775" Type="http://schemas.openxmlformats.org/officeDocument/2006/relationships/hyperlink" Target="https://www.uta.edu/academics/faculty/profile?username=ssanthan" TargetMode="External"/><Relationship Id="rId3982" Type="http://schemas.openxmlformats.org/officeDocument/2006/relationships/hyperlink" Target="https://sc.edu/study/colleges_schools/engineering_and_computing/faculty-staff/knight_travis.php" TargetMode="External"/><Relationship Id="rId4619" Type="http://schemas.openxmlformats.org/officeDocument/2006/relationships/hyperlink" Target="https://uwm.edu/engineering/people/slavens-brooke/" TargetMode="External"/><Relationship Id="rId4826" Type="http://schemas.openxmlformats.org/officeDocument/2006/relationships/hyperlink" Target="https://engineering.usu.edu/mae/" TargetMode="External"/><Relationship Id="rId489" Type="http://schemas.openxmlformats.org/officeDocument/2006/relationships/hyperlink" Target="https://me.engin.umich.edu/people/faculty/katsuo-kurabayashi/" TargetMode="External"/><Relationship Id="rId696" Type="http://schemas.openxmlformats.org/officeDocument/2006/relationships/hyperlink" Target="https://mae.princeton.edu/people/faculty/haataja" TargetMode="External"/><Relationship Id="rId2377" Type="http://schemas.openxmlformats.org/officeDocument/2006/relationships/hyperlink" Target="https://engineering.wustl.edu/faculty/Patricia-Weisensee.html" TargetMode="External"/><Relationship Id="rId2584" Type="http://schemas.openxmlformats.org/officeDocument/2006/relationships/hyperlink" Target="https://mae.rutgers.edu/haym-benaroya" TargetMode="External"/><Relationship Id="rId2791" Type="http://schemas.openxmlformats.org/officeDocument/2006/relationships/hyperlink" Target="https://engineering.buffalo.edu/mechanical-aerospace/people/faculty/teaching.host.html/content/shared/engineering/mechanical-aerospace/profiles/darrall-brad.detail.html" TargetMode="External"/><Relationship Id="rId3428" Type="http://schemas.openxmlformats.org/officeDocument/2006/relationships/hyperlink" Target="https://www.wpi.edu/people/faculty/sullivan" TargetMode="External"/><Relationship Id="rId3635" Type="http://schemas.openxmlformats.org/officeDocument/2006/relationships/hyperlink" Target="https://me.utdallas.edu/faculty-staff/s-m-you/" TargetMode="External"/><Relationship Id="rId349" Type="http://schemas.openxmlformats.org/officeDocument/2006/relationships/hyperlink" Target="https://www.me.gatech.edu/faculty/wood" TargetMode="External"/><Relationship Id="rId556" Type="http://schemas.openxmlformats.org/officeDocument/2006/relationships/hyperlink" Target="https://engineering.purdue.edu/ME/People/ptProfile?resource_id=44345" TargetMode="External"/><Relationship Id="rId763" Type="http://schemas.openxmlformats.org/officeDocument/2006/relationships/hyperlink" Target="https://www.me.utexas.edu/people/faculty-directory/bogard" TargetMode="External"/><Relationship Id="rId1186" Type="http://schemas.openxmlformats.org/officeDocument/2006/relationships/hyperlink" Target="https://enme.umd.edu/clark/faculty/540/Steven-A-Gabriel" TargetMode="External"/><Relationship Id="rId1393" Type="http://schemas.openxmlformats.org/officeDocument/2006/relationships/hyperlink" Target="https://me.vt.edu/people/faculty/kochersberger-kevin.html" TargetMode="External"/><Relationship Id="rId2237" Type="http://schemas.openxmlformats.org/officeDocument/2006/relationships/hyperlink" Target="https://www.me.iastate.edu/faculty/profile/padalkar" TargetMode="External"/><Relationship Id="rId2444" Type="http://schemas.openxmlformats.org/officeDocument/2006/relationships/hyperlink" Target="https://engineering.msu.edu/faculty/Daniel-Segalman" TargetMode="External"/><Relationship Id="rId3842" Type="http://schemas.openxmlformats.org/officeDocument/2006/relationships/hyperlink" Target="https://www.engr.uky.edu/directory/seigler-michael" TargetMode="External"/><Relationship Id="rId209" Type="http://schemas.openxmlformats.org/officeDocument/2006/relationships/hyperlink" Target="https://mce.caltech.edu/people/murray" TargetMode="External"/><Relationship Id="rId416" Type="http://schemas.openxmlformats.org/officeDocument/2006/relationships/hyperlink" Target="https://mechse.illinois.edu/people/profile/salapaka" TargetMode="External"/><Relationship Id="rId970" Type="http://schemas.openxmlformats.org/officeDocument/2006/relationships/hyperlink" Target="https://me.jhu.edu/faculty/thao-vicky-nguyen/" TargetMode="External"/><Relationship Id="rId1046" Type="http://schemas.openxmlformats.org/officeDocument/2006/relationships/hyperlink" Target="https://engineering.tamu.edu/mechanical/profiles/pharr-matt.html" TargetMode="External"/><Relationship Id="rId1253" Type="http://schemas.openxmlformats.org/officeDocument/2006/relationships/hyperlink" Target="https://cse.umn.edu/me/lian-shen" TargetMode="External"/><Relationship Id="rId2651" Type="http://schemas.openxmlformats.org/officeDocument/2006/relationships/hyperlink" Target="https://me.udel.edu/faculty/adam-wickenheiser/" TargetMode="External"/><Relationship Id="rId3702" Type="http://schemas.openxmlformats.org/officeDocument/2006/relationships/hyperlink" Target="https://www.sdolab.net/" TargetMode="External"/><Relationship Id="rId623" Type="http://schemas.openxmlformats.org/officeDocument/2006/relationships/hyperlink" Target="https://engineering.purdue.edu/ME/People/ptProfile?resource_id=183058" TargetMode="External"/><Relationship Id="rId830" Type="http://schemas.openxmlformats.org/officeDocument/2006/relationships/hyperlink" Target="https://www.mccormick.northwestern.edu/research-faculty/directory/profiles/bazant-zdenek.html" TargetMode="External"/><Relationship Id="rId1460" Type="http://schemas.openxmlformats.org/officeDocument/2006/relationships/hyperlink" Target="https://jacobsschool.ucsd.edu/faculty/profile?id=363" TargetMode="External"/><Relationship Id="rId2304" Type="http://schemas.openxmlformats.org/officeDocument/2006/relationships/hyperlink" Target="https://www.mae.ncsu.edu/people/henry-ware" TargetMode="External"/><Relationship Id="rId2511" Type="http://schemas.openxmlformats.org/officeDocument/2006/relationships/hyperlink" Target="https://www.bu.edu/eng/profile/uday-pal-ph-d/" TargetMode="External"/><Relationship Id="rId1113" Type="http://schemas.openxmlformats.org/officeDocument/2006/relationships/hyperlink" Target="https://www.me.psu.edu/department/directory-detail-g.aspx?q=cgb9" TargetMode="External"/><Relationship Id="rId1320" Type="http://schemas.openxmlformats.org/officeDocument/2006/relationships/hyperlink" Target="https://directory.engr.wisc.edu/me/Faculty/Kazyak_Eric/" TargetMode="External"/><Relationship Id="rId4269" Type="http://schemas.openxmlformats.org/officeDocument/2006/relationships/hyperlink" Target="https://engineering.missouri.edu/faculty/yao-zhai/" TargetMode="External"/><Relationship Id="rId4476" Type="http://schemas.openxmlformats.org/officeDocument/2006/relationships/hyperlink" Target="https://www.smu.edu/Lyle/Departments/ME/People/Faculty/LageJose" TargetMode="External"/><Relationship Id="rId4683" Type="http://schemas.openxmlformats.org/officeDocument/2006/relationships/hyperlink" Target="https://www.sdsmt.edu/Directories/Personnel/Romkes,-Albert/" TargetMode="External"/><Relationship Id="rId4890" Type="http://schemas.openxmlformats.org/officeDocument/2006/relationships/hyperlink" Target="https://www.ncat.edu/employee-bio.php?directoryID=841058894" TargetMode="External"/><Relationship Id="rId5527" Type="http://schemas.openxmlformats.org/officeDocument/2006/relationships/hyperlink" Target="https://www.uno.edu/profile/faculty/kazim_akyuzlu" TargetMode="External"/><Relationship Id="rId3078" Type="http://schemas.openxmlformats.org/officeDocument/2006/relationships/hyperlink" Target="https://works.bepress.com/jillian-schmidt/about/" TargetMode="External"/><Relationship Id="rId3285" Type="http://schemas.openxmlformats.org/officeDocument/2006/relationships/hyperlink" Target="https://engineering.oregonstate.edu/people" TargetMode="External"/><Relationship Id="rId3492" Type="http://schemas.openxmlformats.org/officeDocument/2006/relationships/hyperlink" Target="https://www.iit.edu/directory/people/carlo-segre" TargetMode="External"/><Relationship Id="rId4129" Type="http://schemas.openxmlformats.org/officeDocument/2006/relationships/hyperlink" Target="https://mechanical.sdsu.edu/people/vanita-murthy.aspx" TargetMode="External"/><Relationship Id="rId4336" Type="http://schemas.openxmlformats.org/officeDocument/2006/relationships/hyperlink" Target="https://directory.statler.wvu.edu/faculty-staff-directory/hailin-li" TargetMode="External"/><Relationship Id="rId4543" Type="http://schemas.openxmlformats.org/officeDocument/2006/relationships/hyperlink" Target="https://me.unm.edu/about/directory/faculty/ali-heydari.html" TargetMode="External"/><Relationship Id="rId4750" Type="http://schemas.openxmlformats.org/officeDocument/2006/relationships/hyperlink" Target="https://umdearborn.edu/cecs/departments/mechanical-engineering" TargetMode="External"/><Relationship Id="rId2094" Type="http://schemas.openxmlformats.org/officeDocument/2006/relationships/hyperlink" Target="https://isearch.asu.edu/profile/1096980" TargetMode="External"/><Relationship Id="rId3145" Type="http://schemas.openxmlformats.org/officeDocument/2006/relationships/hyperlink" Target="https://mie.uic.edu/profiles/patrick-t-lynch/" TargetMode="External"/><Relationship Id="rId3352" Type="http://schemas.openxmlformats.org/officeDocument/2006/relationships/hyperlink" Target="https://www.me.uh.edu/faculty/sun" TargetMode="External"/><Relationship Id="rId4403" Type="http://schemas.openxmlformats.org/officeDocument/2006/relationships/hyperlink" Target="https://eng.famu.fsu.edu/me/people/krick" TargetMode="External"/><Relationship Id="rId4610" Type="http://schemas.openxmlformats.org/officeDocument/2006/relationships/hyperlink" Target="https://uwm.edu/engineering/people/musinski-william/" TargetMode="External"/><Relationship Id="rId273" Type="http://schemas.openxmlformats.org/officeDocument/2006/relationships/hyperlink" Target="https://www.me.gatech.edu/faculty/declercq" TargetMode="External"/><Relationship Id="rId480" Type="http://schemas.openxmlformats.org/officeDocument/2006/relationships/hyperlink" Target="https://me.engin.umich.edu/people/faculty/jingwen-hu/" TargetMode="External"/><Relationship Id="rId2161" Type="http://schemas.openxmlformats.org/officeDocument/2006/relationships/hyperlink" Target="https://mae.ucdavis.edu/directory/narugopal-ghata" TargetMode="External"/><Relationship Id="rId3005" Type="http://schemas.openxmlformats.org/officeDocument/2006/relationships/hyperlink" Target="https://www.mae.seas.gwu.edu/node/1461" TargetMode="External"/><Relationship Id="rId3212" Type="http://schemas.openxmlformats.org/officeDocument/2006/relationships/hyperlink" Target="https://mabe.utk.edu/people/jindong-tan/" TargetMode="External"/><Relationship Id="rId133" Type="http://schemas.openxmlformats.org/officeDocument/2006/relationships/hyperlink" Target="https://meche.mit.edu/people/staff/ssocrate@mit.edu" TargetMode="External"/><Relationship Id="rId340" Type="http://schemas.openxmlformats.org/officeDocument/2006/relationships/hyperlink" Target="https://www.me.gatech.edu/faculty/stebner" TargetMode="External"/><Relationship Id="rId2021" Type="http://schemas.openxmlformats.org/officeDocument/2006/relationships/hyperlink" Target="https://ame.nd.edu/faculty/donny-hanjaya-putra/" TargetMode="External"/><Relationship Id="rId5177" Type="http://schemas.openxmlformats.org/officeDocument/2006/relationships/hyperlink" Target="https://engineering.rowan.edu/faculty_staff/listing/chen-shen.html" TargetMode="External"/><Relationship Id="rId5384" Type="http://schemas.openxmlformats.org/officeDocument/2006/relationships/hyperlink" Target="https://www.sdstate.edu/directory/yucheng-liu" TargetMode="External"/><Relationship Id="rId200" Type="http://schemas.openxmlformats.org/officeDocument/2006/relationships/hyperlink" Target="https://mce.caltech.edu/people/colonius" TargetMode="External"/><Relationship Id="rId2978" Type="http://schemas.openxmlformats.org/officeDocument/2006/relationships/hyperlink" Target="http://eng.auburn.edu/directory/nzs0058" TargetMode="External"/><Relationship Id="rId4193" Type="http://schemas.openxmlformats.org/officeDocument/2006/relationships/hyperlink" Target="http://engineering.uga.edu/people/profile/jenna-jambeck-ph.d" TargetMode="External"/><Relationship Id="rId5037" Type="http://schemas.openxmlformats.org/officeDocument/2006/relationships/hyperlink" Target="https://premium.usnews.com/best-graduate-schools/top-engineering-schools/university-of-toledo-02144" TargetMode="External"/><Relationship Id="rId1787" Type="http://schemas.openxmlformats.org/officeDocument/2006/relationships/hyperlink" Target="https://mae.ufl.edu/people/faculty/primary/assistant-professor/profiles/alicia-petersen/" TargetMode="External"/><Relationship Id="rId1994" Type="http://schemas.openxmlformats.org/officeDocument/2006/relationships/hyperlink" Target="https://me.ucsb.edu/people/sumita-pennathur" TargetMode="External"/><Relationship Id="rId2838" Type="http://schemas.openxmlformats.org/officeDocument/2006/relationships/hyperlink" Target="https://me.engr.uconn.edu/blog/faculty/duduta-mihai/" TargetMode="External"/><Relationship Id="rId5244" Type="http://schemas.openxmlformats.org/officeDocument/2006/relationships/hyperlink" Target="https://www.uidaho.edu/engr/departments/me/our-people/faculty/michael-maughan" TargetMode="External"/><Relationship Id="rId5451" Type="http://schemas.openxmlformats.org/officeDocument/2006/relationships/hyperlink" Target="https://wmich.edu/mechanical-aerospace/directory/merati" TargetMode="External"/><Relationship Id="rId79" Type="http://schemas.openxmlformats.org/officeDocument/2006/relationships/hyperlink" Target="https://meche.mit.edu/people/faculty/ahtechet@mit.edu" TargetMode="External"/><Relationship Id="rId1647" Type="http://schemas.openxmlformats.org/officeDocument/2006/relationships/hyperlink" Target="https://profiles.rice.edu/faculty/daniel-j-preston" TargetMode="External"/><Relationship Id="rId1854" Type="http://schemas.openxmlformats.org/officeDocument/2006/relationships/hyperlink" Target="https://www.me.washington.edu/people/faculty/mark_ganter" TargetMode="External"/><Relationship Id="rId2905" Type="http://schemas.openxmlformats.org/officeDocument/2006/relationships/hyperlink" Target="https://www.engineering.pitt.edu/people/faculty/peyman-givi/" TargetMode="External"/><Relationship Id="rId4053" Type="http://schemas.openxmlformats.org/officeDocument/2006/relationships/hyperlink" Target="https://www.clarkson.edu/node/31396" TargetMode="External"/><Relationship Id="rId4260" Type="http://schemas.openxmlformats.org/officeDocument/2006/relationships/hyperlink" Target="https://engineering.missouri.edu/faculty/matt-maschmann/" TargetMode="External"/><Relationship Id="rId5104" Type="http://schemas.openxmlformats.org/officeDocument/2006/relationships/hyperlink" Target="https://mme.fiu.edu/faculty-staff-members/markus-downey" TargetMode="External"/><Relationship Id="rId5311" Type="http://schemas.openxmlformats.org/officeDocument/2006/relationships/hyperlink" Target="https://mechanical.engineering.unt.edu/faculty/yunwei-xu" TargetMode="External"/><Relationship Id="rId1507" Type="http://schemas.openxmlformats.org/officeDocument/2006/relationships/hyperlink" Target="https://jacobsschool.ucsd.edu/faculty/profile?id=153" TargetMode="External"/><Relationship Id="rId1714" Type="http://schemas.openxmlformats.org/officeDocument/2006/relationships/hyperlink" Target="https://www.colorado.edu/mechanical/arthur-mizzi" TargetMode="External"/><Relationship Id="rId4120" Type="http://schemas.openxmlformats.org/officeDocument/2006/relationships/hyperlink" Target="https://mechanical.sdsu.edu/people/sung-yong-park.aspx" TargetMode="External"/><Relationship Id="rId1921" Type="http://schemas.openxmlformats.org/officeDocument/2006/relationships/hyperlink" Target="https://engineering.brown.edu/people/tom-powers" TargetMode="External"/><Relationship Id="rId3679" Type="http://schemas.openxmlformats.org/officeDocument/2006/relationships/hyperlink" Target="https://ceat.okstate.edu/mae/faculty-staff/faculty-bios/atanu-halder.html" TargetMode="External"/><Relationship Id="rId2488" Type="http://schemas.openxmlformats.org/officeDocument/2006/relationships/hyperlink" Target="https://www.bu.edu/eng/profile/james-bird-ph-d/" TargetMode="External"/><Relationship Id="rId3886" Type="http://schemas.openxmlformats.org/officeDocument/2006/relationships/hyperlink" Target="https://engineering.unl.edu/mme/jiashi-yang/" TargetMode="External"/><Relationship Id="rId4937" Type="http://schemas.openxmlformats.org/officeDocument/2006/relationships/hyperlink" Target="https://uakron.edu/engineering/me/our-people/profile.dot?u=quinn" TargetMode="External"/><Relationship Id="rId1297" Type="http://schemas.openxmlformats.org/officeDocument/2006/relationships/hyperlink" Target="https://directory.seas.upenn.edu/vivek-shenoy/" TargetMode="External"/><Relationship Id="rId2695" Type="http://schemas.openxmlformats.org/officeDocument/2006/relationships/hyperlink" Target="https://www.clemson.edu/cecas/departments/me/people/faculty/zhao.html" TargetMode="External"/><Relationship Id="rId3539" Type="http://schemas.openxmlformats.org/officeDocument/2006/relationships/hyperlink" Target="https://www.mtu.edu/mechanical/people/faculty/yang-y/" TargetMode="External"/><Relationship Id="rId3746" Type="http://schemas.openxmlformats.org/officeDocument/2006/relationships/hyperlink" Target="https://www.uta.edu/academics/faculty/profile?username=bowling" TargetMode="External"/><Relationship Id="rId3953" Type="http://schemas.openxmlformats.org/officeDocument/2006/relationships/hyperlink" Target="http://www.hajim.rochester.edu/me/people/faculty/Rygg_Ryan/index.html" TargetMode="External"/><Relationship Id="rId667" Type="http://schemas.openxmlformats.org/officeDocument/2006/relationships/hyperlink" Target="https://www.engineering.cornell.edu/faculty-directory/perrine-pepiot" TargetMode="External"/><Relationship Id="rId874" Type="http://schemas.openxmlformats.org/officeDocument/2006/relationships/hyperlink" Target="https://www.mccormick.northwestern.edu/mechanical/research/areas/biosystems-health.html" TargetMode="External"/><Relationship Id="rId2348" Type="http://schemas.openxmlformats.org/officeDocument/2006/relationships/hyperlink" Target="https://engineering.virginia.edu/faculty/mark-r-sochor" TargetMode="External"/><Relationship Id="rId2555" Type="http://schemas.openxmlformats.org/officeDocument/2006/relationships/hyperlink" Target="https://mechanical.mines.edu/project/kontoudis_george/" TargetMode="External"/><Relationship Id="rId2762" Type="http://schemas.openxmlformats.org/officeDocument/2006/relationships/hyperlink" Target="https://engineering.buffalo.edu/mechanical-aerospace/people/faculty/ladder.host.html/content/shared/engineering/mechanical-aerospace/profiles/dargush-gary.detail.html" TargetMode="External"/><Relationship Id="rId3606" Type="http://schemas.openxmlformats.org/officeDocument/2006/relationships/hyperlink" Target="https://me.utdallas.edu/faculty-staff/xianming-simon-dai/" TargetMode="External"/><Relationship Id="rId3813" Type="http://schemas.openxmlformats.org/officeDocument/2006/relationships/hyperlink" Target="https://www.engr.uky.edu/directory/baral-madhav" TargetMode="External"/><Relationship Id="rId527" Type="http://schemas.openxmlformats.org/officeDocument/2006/relationships/hyperlink" Target="https://me.engin.umich.edu/people/faculty/ramanarayan-vasudevan/" TargetMode="External"/><Relationship Id="rId734" Type="http://schemas.openxmlformats.org/officeDocument/2006/relationships/hyperlink" Target="https://www.meche.engineering.cmu.edu/directory/bios/malen-jonathan.html" TargetMode="External"/><Relationship Id="rId941" Type="http://schemas.openxmlformats.org/officeDocument/2006/relationships/hyperlink" Target="https://www.mccormick.northwestern.edu/mechanical/research/areas/computational-engineering.html" TargetMode="External"/><Relationship Id="rId1157" Type="http://schemas.openxmlformats.org/officeDocument/2006/relationships/hyperlink" Target="https://www.me.psu.edu/department/directory-detail-g.aspx?q=ACV13" TargetMode="External"/><Relationship Id="rId1364" Type="http://schemas.openxmlformats.org/officeDocument/2006/relationships/hyperlink" Target="https://directory.engr.wisc.edu/me/Faculty/Jackson_Randy/" TargetMode="External"/><Relationship Id="rId1571" Type="http://schemas.openxmlformats.org/officeDocument/2006/relationships/hyperlink" Target="https://mae.osu.edu/people/aldemir.1" TargetMode="External"/><Relationship Id="rId2208" Type="http://schemas.openxmlformats.org/officeDocument/2006/relationships/hyperlink" Target="https://www.me.iastate.edu/faculty/profile/sbhattac" TargetMode="External"/><Relationship Id="rId2415" Type="http://schemas.openxmlformats.org/officeDocument/2006/relationships/hyperlink" Target="https://www.egr.msu.edu/people/profile/feeny" TargetMode="External"/><Relationship Id="rId2622" Type="http://schemas.openxmlformats.org/officeDocument/2006/relationships/hyperlink" Target="https://me.udel.edu/faculty/yin-bao/" TargetMode="External"/><Relationship Id="rId70" Type="http://schemas.openxmlformats.org/officeDocument/2006/relationships/hyperlink" Target="https://meche.mit.edu/people/faculty/HENRIK@MIT.EDU" TargetMode="External"/><Relationship Id="rId801" Type="http://schemas.openxmlformats.org/officeDocument/2006/relationships/hyperlink" Target="https://www.me.utexas.edu/people/faculty-directory/rylandermn" TargetMode="External"/><Relationship Id="rId1017" Type="http://schemas.openxmlformats.org/officeDocument/2006/relationships/hyperlink" Target="https://engineering.tamu.edu/mechanical/profiles/kim-won-jong.html" TargetMode="External"/><Relationship Id="rId1224" Type="http://schemas.openxmlformats.org/officeDocument/2006/relationships/hyperlink" Target="https://cse.umn.edu/me/faculty" TargetMode="External"/><Relationship Id="rId1431" Type="http://schemas.openxmlformats.org/officeDocument/2006/relationships/hyperlink" Target="https://me.vt.edu/people/faculty/rule-jay.html" TargetMode="External"/><Relationship Id="rId4587" Type="http://schemas.openxmlformats.org/officeDocument/2006/relationships/hyperlink" Target="https://web.uri.edu/engineering/about/mechanical-industrial-systems-engineering/" TargetMode="External"/><Relationship Id="rId4794" Type="http://schemas.openxmlformats.org/officeDocument/2006/relationships/hyperlink" Target="https://klesse.utsa.edu/faculty/profiles/alaeddini-adel.html" TargetMode="External"/><Relationship Id="rId3189" Type="http://schemas.openxmlformats.org/officeDocument/2006/relationships/hyperlink" Target="https://mabe.utk.edu/people/richard-d-komistek/" TargetMode="External"/><Relationship Id="rId3396" Type="http://schemas.openxmlformats.org/officeDocument/2006/relationships/hyperlink" Target="https://mme.wsu.edu/faculty/jinwen-zhang/" TargetMode="External"/><Relationship Id="rId4447" Type="http://schemas.openxmlformats.org/officeDocument/2006/relationships/hyperlink" Target="https://www.me.msstate.edu/people/faculty/douglas-bammann/" TargetMode="External"/><Relationship Id="rId4654" Type="http://schemas.openxmlformats.org/officeDocument/2006/relationships/hyperlink" Target="https://mae.nmsu.edu/faculty/dr-borys-drach.html" TargetMode="External"/><Relationship Id="rId3049" Type="http://schemas.openxmlformats.org/officeDocument/2006/relationships/hyperlink" Target="https://works.bepress.com/yezad-anklesaria/about/" TargetMode="External"/><Relationship Id="rId3256" Type="http://schemas.openxmlformats.org/officeDocument/2006/relationships/hyperlink" Target="https://www.engr.colostate.edu/me/faculty/dr-chris-weinberger/" TargetMode="External"/><Relationship Id="rId3463" Type="http://schemas.openxmlformats.org/officeDocument/2006/relationships/hyperlink" Target="https://www.me.byu.edu/directory/andrew-ning" TargetMode="External"/><Relationship Id="rId4307" Type="http://schemas.openxmlformats.org/officeDocument/2006/relationships/hyperlink" Target="http://egr.vcu.edu/directory/frank.gulla/" TargetMode="External"/><Relationship Id="rId4861" Type="http://schemas.openxmlformats.org/officeDocument/2006/relationships/hyperlink" Target="https://www.fit.edu/faculty-profiles/g/gaal-mary-ann/" TargetMode="External"/><Relationship Id="rId177" Type="http://schemas.openxmlformats.org/officeDocument/2006/relationships/hyperlink" Target="https://me.stanford.edu/people/xiaolin-zheng" TargetMode="External"/><Relationship Id="rId384" Type="http://schemas.openxmlformats.org/officeDocument/2006/relationships/hyperlink" Target="https://mechse.illinois.edu/people/profile/mems" TargetMode="External"/><Relationship Id="rId591" Type="http://schemas.openxmlformats.org/officeDocument/2006/relationships/hyperlink" Target="https://engineering.purdue.edu/ME/People/ptProfile?resource_id=232598" TargetMode="External"/><Relationship Id="rId2065" Type="http://schemas.openxmlformats.org/officeDocument/2006/relationships/hyperlink" Target="https://seas.yale.edu/faculty-research/faculty-directory/beth-anne-bennett" TargetMode="External"/><Relationship Id="rId2272" Type="http://schemas.openxmlformats.org/officeDocument/2006/relationships/hyperlink" Target="https://www.mae.ncsu.edu/people/kgranlu" TargetMode="External"/><Relationship Id="rId3116" Type="http://schemas.openxmlformats.org/officeDocument/2006/relationships/hyperlink" Target="https://me.stonybrook.edu/commcms/me-eng/people/faculty/Colosqui_Carlos.php" TargetMode="External"/><Relationship Id="rId3670" Type="http://schemas.openxmlformats.org/officeDocument/2006/relationships/hyperlink" Target="https://ceat.okstate.edu/mae/faculty-staff/faculty-bios/aurelie-azoug.html" TargetMode="External"/><Relationship Id="rId4514" Type="http://schemas.openxmlformats.org/officeDocument/2006/relationships/hyperlink" Target="https://udayton.edu/directory/engineering/mechanical_and_aerospace/murray_andrew.php" TargetMode="External"/><Relationship Id="rId4721" Type="http://schemas.openxmlformats.org/officeDocument/2006/relationships/hyperlink" Target="https://eas.uccs.edu/mae/faculty/Dr_James_Stevens" TargetMode="External"/><Relationship Id="rId244" Type="http://schemas.openxmlformats.org/officeDocument/2006/relationships/hyperlink" Target="https://me.berkeley.edu/people/kameshwar-poolla/" TargetMode="External"/><Relationship Id="rId1081" Type="http://schemas.openxmlformats.org/officeDocument/2006/relationships/hyperlink" Target="https://samueli.ucla.edu/people/vijay-dhir/" TargetMode="External"/><Relationship Id="rId3323" Type="http://schemas.openxmlformats.org/officeDocument/2006/relationships/hyperlink" Target="https://researchdirectory.uc.edu/p/xu2yf" TargetMode="External"/><Relationship Id="rId3530" Type="http://schemas.openxmlformats.org/officeDocument/2006/relationships/hyperlink" Target="https://www.mtu.edu/mechanical/people/faculty/qi/" TargetMode="External"/><Relationship Id="rId451" Type="http://schemas.openxmlformats.org/officeDocument/2006/relationships/hyperlink" Target="https://me.engin.umich.edu/people/faculty/diann-brei/" TargetMode="External"/><Relationship Id="rId2132" Type="http://schemas.openxmlformats.org/officeDocument/2006/relationships/hyperlink" Target="https://mae.ucdavis.edu/directory/raissa-dsouza" TargetMode="External"/><Relationship Id="rId5288" Type="http://schemas.openxmlformats.org/officeDocument/2006/relationships/hyperlink" Target="https://mechanical.engineering.unt.edu/faculty/nourredine-boubekri" TargetMode="External"/><Relationship Id="rId5495" Type="http://schemas.openxmlformats.org/officeDocument/2006/relationships/hyperlink" Target="https://www.oakland.edu/secs/directory/wang" TargetMode="External"/><Relationship Id="rId104" Type="http://schemas.openxmlformats.org/officeDocument/2006/relationships/hyperlink" Target="https://meche.mit.edu/people/faculty/SBLEEB@MIT.EDU" TargetMode="External"/><Relationship Id="rId311" Type="http://schemas.openxmlformats.org/officeDocument/2006/relationships/hyperlink" Target="https://www.me.gatech.edu/faculty/mayor" TargetMode="External"/><Relationship Id="rId1898" Type="http://schemas.openxmlformats.org/officeDocument/2006/relationships/hyperlink" Target="https://engineering.brown.edu/people/pedro-f-felzenszwalb" TargetMode="External"/><Relationship Id="rId2949" Type="http://schemas.openxmlformats.org/officeDocument/2006/relationships/hyperlink" Target="https://eng.auburn.edu/mech/people/" TargetMode="External"/><Relationship Id="rId4097" Type="http://schemas.openxmlformats.org/officeDocument/2006/relationships/hyperlink" Target="https://www.mne.k-state.edu/about/people/faculty/singh/" TargetMode="External"/><Relationship Id="rId5148" Type="http://schemas.openxmlformats.org/officeDocument/2006/relationships/hyperlink" Target="https://www.marquette.edu/mechanical-engineering/directory/allison-murray.php" TargetMode="External"/><Relationship Id="rId5355" Type="http://schemas.openxmlformats.org/officeDocument/2006/relationships/hyperlink" Target="https://www.fau.edu/engineering/directory/faculty/su/" TargetMode="External"/><Relationship Id="rId5562" Type="http://schemas.openxmlformats.org/officeDocument/2006/relationships/hyperlink" Target="https://www.udmercy.edu/about/people/university/ces/mechanical/weaver-jonathan" TargetMode="External"/><Relationship Id="rId1758" Type="http://schemas.openxmlformats.org/officeDocument/2006/relationships/hyperlink" Target="https://mae.ufl.edu/people/faculty/primary/professor/profiles/anil-rao/" TargetMode="External"/><Relationship Id="rId2809" Type="http://schemas.openxmlformats.org/officeDocument/2006/relationships/hyperlink" Target="https://ame.engineering.arizona.edu/faculty-staff/faculty/kavan-hazeli" TargetMode="External"/><Relationship Id="rId4164" Type="http://schemas.openxmlformats.org/officeDocument/2006/relationships/hyperlink" Target="https://www.depts.ttu.edu/me/faculty/michelle_pantoya/index.php" TargetMode="External"/><Relationship Id="rId4371" Type="http://schemas.openxmlformats.org/officeDocument/2006/relationships/hyperlink" Target="https://www.ecs.baylor.edu/person/mr-stanton-greer" TargetMode="External"/><Relationship Id="rId5008" Type="http://schemas.openxmlformats.org/officeDocument/2006/relationships/hyperlink" Target="https://umaine.edu/mecheng/justin-lapp-ph-d/" TargetMode="External"/><Relationship Id="rId5215" Type="http://schemas.openxmlformats.org/officeDocument/2006/relationships/hyperlink" Target="https://hb2504.utep.edu/Home/Profile?username=jjbird" TargetMode="External"/><Relationship Id="rId5422" Type="http://schemas.openxmlformats.org/officeDocument/2006/relationships/hyperlink" Target="https://www.memphis.edu/me/faculty/lewis.php" TargetMode="External"/><Relationship Id="rId1965" Type="http://schemas.openxmlformats.org/officeDocument/2006/relationships/hyperlink" Target="https://faculty.rpi.edu/karthik-panneerselvam" TargetMode="External"/><Relationship Id="rId3180" Type="http://schemas.openxmlformats.org/officeDocument/2006/relationships/hyperlink" Target="https://mabe.utk.edu/people/ryan-ginder/" TargetMode="External"/><Relationship Id="rId4024" Type="http://schemas.openxmlformats.org/officeDocument/2006/relationships/hyperlink" Target="https://www.binghamton.edu/mechanical-engineering/people/profile.html?id=xyong" TargetMode="External"/><Relationship Id="rId4231" Type="http://schemas.openxmlformats.org/officeDocument/2006/relationships/hyperlink" Target="https://me.ku.edu/people/gibum-kwon" TargetMode="External"/><Relationship Id="rId1618" Type="http://schemas.openxmlformats.org/officeDocument/2006/relationships/hyperlink" Target="https://mae.osu.edu/people/su.298" TargetMode="External"/><Relationship Id="rId1825" Type="http://schemas.openxmlformats.org/officeDocument/2006/relationships/hyperlink" Target="https://viterbi.usc.edu/directory/faculty/Udwadia/Firdaus" TargetMode="External"/><Relationship Id="rId3040" Type="http://schemas.openxmlformats.org/officeDocument/2006/relationships/hyperlink" Target="https://engineering.lehigh.edu/meche/faculty/166434" TargetMode="External"/><Relationship Id="rId3997" Type="http://schemas.openxmlformats.org/officeDocument/2006/relationships/hyperlink" Target="https://sc.edu/study/colleges_schools/engineering_and_computing/faculty-staff/sutton_michael.php" TargetMode="External"/><Relationship Id="rId2599" Type="http://schemas.openxmlformats.org/officeDocument/2006/relationships/hyperlink" Target="https://mae.rutgers.edu/doyle-d-knight" TargetMode="External"/><Relationship Id="rId3857" Type="http://schemas.openxmlformats.org/officeDocument/2006/relationships/hyperlink" Target="https://engineering.unl.edu/mme/eveline-baesu/" TargetMode="External"/><Relationship Id="rId4908" Type="http://schemas.openxmlformats.org/officeDocument/2006/relationships/hyperlink" Target="https://www.odu.edu/directory/krishnanand-kaipa" TargetMode="External"/><Relationship Id="rId778" Type="http://schemas.openxmlformats.org/officeDocument/2006/relationships/hyperlink" Target="https://www.me.utexas.edu/people/faculty-directory/fey" TargetMode="External"/><Relationship Id="rId985" Type="http://schemas.openxmlformats.org/officeDocument/2006/relationships/hyperlink" Target="https://engineering.tamu.edu/mechanical/profiles/antao-dion.html" TargetMode="External"/><Relationship Id="rId2459" Type="http://schemas.openxmlformats.org/officeDocument/2006/relationships/hyperlink" Target="https://engineering.vanderbilt.edu/bio/david-braun" TargetMode="External"/><Relationship Id="rId2666" Type="http://schemas.openxmlformats.org/officeDocument/2006/relationships/hyperlink" Target="https://www.clemson.edu/cecas/departments/me/people/faculty/zhenli.html" TargetMode="External"/><Relationship Id="rId2873" Type="http://schemas.openxmlformats.org/officeDocument/2006/relationships/hyperlink" Target="https://engineering.uiowa.edu/people/justin-garvin" TargetMode="External"/><Relationship Id="rId3717" Type="http://schemas.openxmlformats.org/officeDocument/2006/relationships/hyperlink" Target="https://eng.ua.edu/eng-directory/dr-sundar-rajan-krishnan/" TargetMode="External"/><Relationship Id="rId3924" Type="http://schemas.openxmlformats.org/officeDocument/2006/relationships/hyperlink" Target="http://www.hajim.rochester.edu/me/people/faculty/abdolrahim_niaz/index.html" TargetMode="External"/><Relationship Id="rId5072" Type="http://schemas.openxmlformats.org/officeDocument/2006/relationships/hyperlink" Target="http://expertise.csuohio.edu/csufacultyprofile/detail.cfm?FacultyID=A_VANDENBOGERT" TargetMode="External"/><Relationship Id="rId638" Type="http://schemas.openxmlformats.org/officeDocument/2006/relationships/hyperlink" Target="https://engineering.purdue.edu/ME/People/ptProfile?resource_id=256777" TargetMode="External"/><Relationship Id="rId845" Type="http://schemas.openxmlformats.org/officeDocument/2006/relationships/hyperlink" Target="https://www.mccormick.northwestern.edu/research-faculty/directory/profiles/cusatis-gianluca.html" TargetMode="External"/><Relationship Id="rId1268" Type="http://schemas.openxmlformats.org/officeDocument/2006/relationships/hyperlink" Target="https://directory.seas.upenn.edu/mark-g-allen/" TargetMode="External"/><Relationship Id="rId1475" Type="http://schemas.openxmlformats.org/officeDocument/2006/relationships/hyperlink" Target="https://jacobsschool.ucsd.edu/faculty/profile?id=516" TargetMode="External"/><Relationship Id="rId1682" Type="http://schemas.openxmlformats.org/officeDocument/2006/relationships/hyperlink" Target="https://www.colorado.edu/mechanical/jenifer-blacklock" TargetMode="External"/><Relationship Id="rId2319" Type="http://schemas.openxmlformats.org/officeDocument/2006/relationships/hyperlink" Target="https://engineering.virginia.edu/faculty/qing-cindy-chang" TargetMode="External"/><Relationship Id="rId2526" Type="http://schemas.openxmlformats.org/officeDocument/2006/relationships/hyperlink" Target="https://www.bu.edu/eng/profile/katherine-yanhang-zhang-ph-d/" TargetMode="External"/><Relationship Id="rId2733" Type="http://schemas.openxmlformats.org/officeDocument/2006/relationships/hyperlink" Target="https://engineering.tufts.edu/me/node/3151" TargetMode="External"/><Relationship Id="rId705" Type="http://schemas.openxmlformats.org/officeDocument/2006/relationships/hyperlink" Target="https://mae.princeton.edu/people/faculty/littman" TargetMode="External"/><Relationship Id="rId1128" Type="http://schemas.openxmlformats.org/officeDocument/2006/relationships/hyperlink" Target="https://www.me.psu.edu/department/directory-detail-g.aspx?q=sjg6056" TargetMode="External"/><Relationship Id="rId1335" Type="http://schemas.openxmlformats.org/officeDocument/2006/relationships/hyperlink" Target="https://directory.engr.wisc.edu/me/Faculty/Pikul_James/" TargetMode="External"/><Relationship Id="rId1542" Type="http://schemas.openxmlformats.org/officeDocument/2006/relationships/hyperlink" Target="https://mems.duke.edu/faculty/christine-payne" TargetMode="External"/><Relationship Id="rId2940" Type="http://schemas.openxmlformats.org/officeDocument/2006/relationships/hyperlink" Target="https://www.engineering.pitt.edu/people/faculty/prashant-kumta/" TargetMode="External"/><Relationship Id="rId4698" Type="http://schemas.openxmlformats.org/officeDocument/2006/relationships/hyperlink" Target="https://mechanical-engineering.uark.edu/Directory/index/uid/neelm/name/Neelakshi+Majumdar/" TargetMode="External"/><Relationship Id="rId912" Type="http://schemas.openxmlformats.org/officeDocument/2006/relationships/hyperlink" Target="https://www.mccormick.northwestern.edu/research-faculty/directory/profiles/park-kyoo-chul.html" TargetMode="External"/><Relationship Id="rId2800" Type="http://schemas.openxmlformats.org/officeDocument/2006/relationships/hyperlink" Target="https://ame.engineering.arizona.edu/faculty-staff/faculty/eric-butcher" TargetMode="External"/><Relationship Id="rId41" Type="http://schemas.openxmlformats.org/officeDocument/2006/relationships/hyperlink" Target="https://meche.mit.edu/people/faculty/dphart@mit.edu" TargetMode="External"/><Relationship Id="rId1402" Type="http://schemas.openxmlformats.org/officeDocument/2006/relationships/hyperlink" Target="https://me.vt.edu/people/faculty/liu-yang.html" TargetMode="External"/><Relationship Id="rId4558" Type="http://schemas.openxmlformats.org/officeDocument/2006/relationships/hyperlink" Target="https://www.ou.edu/coe/ame/people/attar.html" TargetMode="External"/><Relationship Id="rId4765" Type="http://schemas.openxmlformats.org/officeDocument/2006/relationships/hyperlink" Target="https://umdearborn.edu/people-um-dearborn/chunhui-mei" TargetMode="External"/><Relationship Id="rId4972" Type="http://schemas.openxmlformats.org/officeDocument/2006/relationships/hyperlink" Target="https://ritchieschool.du.edu/about/people/siavash-rezazadeh" TargetMode="External"/><Relationship Id="rId288" Type="http://schemas.openxmlformats.org/officeDocument/2006/relationships/hyperlink" Target="https://www.me.gatech.edu/faculty/harris" TargetMode="External"/><Relationship Id="rId3367" Type="http://schemas.openxmlformats.org/officeDocument/2006/relationships/hyperlink" Target="https://mme.wsu.edu/faculty/jow-lian-ding/" TargetMode="External"/><Relationship Id="rId3574" Type="http://schemas.openxmlformats.org/officeDocument/2006/relationships/hyperlink" Target="https://ecs.syracuse.edu/faculty-staff/jeongmin-ahn" TargetMode="External"/><Relationship Id="rId3781" Type="http://schemas.openxmlformats.org/officeDocument/2006/relationships/hyperlink" Target="https://www.uta.edu/academics/faculty/profile?username=wangs5" TargetMode="External"/><Relationship Id="rId4418" Type="http://schemas.openxmlformats.org/officeDocument/2006/relationships/hyperlink" Target="https://eng.famu.fsu.edu/me/people/yaghoobian" TargetMode="External"/><Relationship Id="rId4625" Type="http://schemas.openxmlformats.org/officeDocument/2006/relationships/hyperlink" Target="https://www.ccny.cuny.edu/profiles/niell-elvin" TargetMode="External"/><Relationship Id="rId4832" Type="http://schemas.openxmlformats.org/officeDocument/2006/relationships/hyperlink" Target="https://engineering.usu.edu/mae/people/faculty/kouraytem-nadia.php" TargetMode="External"/><Relationship Id="rId495" Type="http://schemas.openxmlformats.org/officeDocument/2006/relationships/hyperlink" Target="https://me.engin.umich.edu/people/faculty/wei-lu/" TargetMode="External"/><Relationship Id="rId2176" Type="http://schemas.openxmlformats.org/officeDocument/2006/relationships/hyperlink" Target="https://engineering.uci.edu/users/david-copp" TargetMode="External"/><Relationship Id="rId2383" Type="http://schemas.openxmlformats.org/officeDocument/2006/relationships/hyperlink" Target="https://engineering.case.edu/about/school-directory/paul-barnhart" TargetMode="External"/><Relationship Id="rId2590" Type="http://schemas.openxmlformats.org/officeDocument/2006/relationships/hyperlink" Target="https://mae.rutgers.edu/edward-demauro" TargetMode="External"/><Relationship Id="rId3227" Type="http://schemas.openxmlformats.org/officeDocument/2006/relationships/hyperlink" Target="https://www.engr.colostate.edu/me/faculty/dr-seth-dillard/" TargetMode="External"/><Relationship Id="rId3434" Type="http://schemas.openxmlformats.org/officeDocument/2006/relationships/hyperlink" Target="https://premium.usnews.com/best-graduate-schools/top-engineering-schools/brigham-young-university-02180" TargetMode="External"/><Relationship Id="rId3641" Type="http://schemas.openxmlformats.org/officeDocument/2006/relationships/hyperlink" Target="https://www.me.ucr.edu/about/faculty" TargetMode="External"/><Relationship Id="rId148" Type="http://schemas.openxmlformats.org/officeDocument/2006/relationships/hyperlink" Target="https://me.stanford.edu/people/matthew-edwards" TargetMode="External"/><Relationship Id="rId355" Type="http://schemas.openxmlformats.org/officeDocument/2006/relationships/hyperlink" Target="https://www.me.gatech.edu/faculty/yoda" TargetMode="External"/><Relationship Id="rId562" Type="http://schemas.openxmlformats.org/officeDocument/2006/relationships/hyperlink" Target="https://engineering.purdue.edu/ME/People/ptProfile?resource_id=105717" TargetMode="External"/><Relationship Id="rId1192" Type="http://schemas.openxmlformats.org/officeDocument/2006/relationships/hyperlink" Target="https://enme.umd.edu/clark/faculty/547/Jeffrey-Herrmann" TargetMode="External"/><Relationship Id="rId2036" Type="http://schemas.openxmlformats.org/officeDocument/2006/relationships/hyperlink" Target="https://ame.nd.edu/faculty/scott-morris/" TargetMode="External"/><Relationship Id="rId2243" Type="http://schemas.openxmlformats.org/officeDocument/2006/relationships/hyperlink" Target="https://www.me.iastate.edu/faculty/profile/sroy" TargetMode="External"/><Relationship Id="rId2450" Type="http://schemas.openxmlformats.org/officeDocument/2006/relationships/hyperlink" Target="https://www.egr.msu.edu/people/profile/ntwright" TargetMode="External"/><Relationship Id="rId3501" Type="http://schemas.openxmlformats.org/officeDocument/2006/relationships/hyperlink" Target="https://www.mtu.edu/mechanical/people/faculty/abadi/" TargetMode="External"/><Relationship Id="rId5399" Type="http://schemas.openxmlformats.org/officeDocument/2006/relationships/hyperlink" Target="https://engineering.catholic.edu/research-and-faculty/faculty-profiles/mechanical/index.html" TargetMode="External"/><Relationship Id="rId215" Type="http://schemas.openxmlformats.org/officeDocument/2006/relationships/hyperlink" Target="https://mce.caltech.edu/people/gunter" TargetMode="External"/><Relationship Id="rId422" Type="http://schemas.openxmlformats.org/officeDocument/2006/relationships/hyperlink" Target="https://mechse.illinois.edu/people/profile/sofronis" TargetMode="External"/><Relationship Id="rId1052" Type="http://schemas.openxmlformats.org/officeDocument/2006/relationships/hyperlink" Target="https://engineering.tamu.edu/mechanical/profiles/reddy-jn.html" TargetMode="External"/><Relationship Id="rId2103" Type="http://schemas.openxmlformats.org/officeDocument/2006/relationships/hyperlink" Target="https://search.asu.edu/profile/4499340" TargetMode="External"/><Relationship Id="rId2310" Type="http://schemas.openxmlformats.org/officeDocument/2006/relationships/hyperlink" Target="https://www.mae.ncsu.edu/people/yuan" TargetMode="External"/><Relationship Id="rId5259" Type="http://schemas.openxmlformats.org/officeDocument/2006/relationships/hyperlink" Target="https://engineering.olemiss.edu/people-shan-jiang/" TargetMode="External"/><Relationship Id="rId5466" Type="http://schemas.openxmlformats.org/officeDocument/2006/relationships/hyperlink" Target="https://www.lamar.edu/engineering/mechanical/faculty-staff/denizhan-yavas/index.html" TargetMode="External"/><Relationship Id="rId4068" Type="http://schemas.openxmlformats.org/officeDocument/2006/relationships/hyperlink" Target="https://daytonabeach.erau.edu/college-engineering/mechanical/faculty" TargetMode="External"/><Relationship Id="rId4275" Type="http://schemas.openxmlformats.org/officeDocument/2006/relationships/hyperlink" Target="https://www1.villanova.edu/university/engineering/academic-programs/departments/mechanical/directory/biodetail.html?mail=hashem.ashrafiuon@villanova.edu&amp;xsl=bio_long" TargetMode="External"/><Relationship Id="rId4482" Type="http://schemas.openxmlformats.org/officeDocument/2006/relationships/hyperlink" Target="https://www.smu.edu/Lyle/Departments/ME/People/Faculty/TongWei" TargetMode="External"/><Relationship Id="rId5119" Type="http://schemas.openxmlformats.org/officeDocument/2006/relationships/hyperlink" Target="mailto:tremante@fiu.edu" TargetMode="External"/><Relationship Id="rId5326" Type="http://schemas.openxmlformats.org/officeDocument/2006/relationships/hyperlink" Target="https://people.wright.edu/junghsen.lieh" TargetMode="External"/><Relationship Id="rId1869" Type="http://schemas.openxmlformats.org/officeDocument/2006/relationships/hyperlink" Target="https://www.me.washington.edu/facultyfinder/eli-patten" TargetMode="External"/><Relationship Id="rId3084" Type="http://schemas.openxmlformats.org/officeDocument/2006/relationships/hyperlink" Target="https://nps.edu/web/mae/people" TargetMode="External"/><Relationship Id="rId3291" Type="http://schemas.openxmlformats.org/officeDocument/2006/relationships/hyperlink" Target="http://mae.ucf.edu/person/nina-orlovskaya/" TargetMode="External"/><Relationship Id="rId4135" Type="http://schemas.openxmlformats.org/officeDocument/2006/relationships/hyperlink" Target="https://mechanical.sdsu.edu/people/vuk-uskokovic.aspx" TargetMode="External"/><Relationship Id="rId5533" Type="http://schemas.openxmlformats.org/officeDocument/2006/relationships/hyperlink" Target="https://www.uno.edu/profile/faculty/paul_schilling" TargetMode="External"/><Relationship Id="rId1729" Type="http://schemas.openxmlformats.org/officeDocument/2006/relationships/hyperlink" Target="https://www.colorado.edu/mechanical/janet-tsai" TargetMode="External"/><Relationship Id="rId1936" Type="http://schemas.openxmlformats.org/officeDocument/2006/relationships/hyperlink" Target="https://engineering.brown.edu/people/monica-martinez-wilhelmus" TargetMode="External"/><Relationship Id="rId4342" Type="http://schemas.openxmlformats.org/officeDocument/2006/relationships/hyperlink" Target="https://directory.statler.wvu.edu/faculty-staff-directory/marcello-r-napolitano" TargetMode="External"/><Relationship Id="rId3151" Type="http://schemas.openxmlformats.org/officeDocument/2006/relationships/hyperlink" Target="https://mie.uic.edu/profiles/sankaranarayanan-subramanian/" TargetMode="External"/><Relationship Id="rId4202" Type="http://schemas.openxmlformats.org/officeDocument/2006/relationships/hyperlink" Target="http://engineering.uga.edu/people/profile/dominik-may-ph.d" TargetMode="External"/><Relationship Id="rId3011" Type="http://schemas.openxmlformats.org/officeDocument/2006/relationships/hyperlink" Target="https://www.mae.seas.gwu.edu/node/1486" TargetMode="External"/><Relationship Id="rId3968" Type="http://schemas.openxmlformats.org/officeDocument/2006/relationships/hyperlink" Target="https://sc.edu/study/colleges_schools/engineering_and_computing/faculty-staff/austin_downey.php" TargetMode="External"/><Relationship Id="rId5" Type="http://schemas.openxmlformats.org/officeDocument/2006/relationships/hyperlink" Target="https://scholar.google.com/citations?hl=en&amp;user=CX02g7gAAAAJ" TargetMode="External"/><Relationship Id="rId889" Type="http://schemas.openxmlformats.org/officeDocument/2006/relationships/hyperlink" Target="https://www.mccormick.northwestern.edu/mechanical/research/areas/computational-engineering.html" TargetMode="External"/><Relationship Id="rId2777" Type="http://schemas.openxmlformats.org/officeDocument/2006/relationships/hyperlink" Target="https://engineering.buffalo.edu/mechanical-aerospace/people/faculty/ladder.host.html/content/shared/engineering/mechanical-aerospace/profiles/nouh-mostafa.detail.html" TargetMode="External"/><Relationship Id="rId5183" Type="http://schemas.openxmlformats.org/officeDocument/2006/relationships/hyperlink" Target="https://www.scu.edu/engineering/academic-programs/department-of-mechanical-engineering/faculty-and-staff/fabris.html" TargetMode="External"/><Relationship Id="rId5390" Type="http://schemas.openxmlformats.org/officeDocument/2006/relationships/hyperlink" Target="https://www.sdstate.edu/directory/stephen-gent" TargetMode="External"/><Relationship Id="rId749" Type="http://schemas.openxmlformats.org/officeDocument/2006/relationships/hyperlink" Target="https://www.meche.engineering.cmu.edu/directory/bios/weber-douglas.html" TargetMode="External"/><Relationship Id="rId1379" Type="http://schemas.openxmlformats.org/officeDocument/2006/relationships/hyperlink" Target="https://me.vt.edu/people/faculty/collins-lance.html" TargetMode="External"/><Relationship Id="rId1586" Type="http://schemas.openxmlformats.org/officeDocument/2006/relationships/hyperlink" Target="https://mae.osu.edu/people/handschuh.1" TargetMode="External"/><Relationship Id="rId2984" Type="http://schemas.openxmlformats.org/officeDocument/2006/relationships/hyperlink" Target="http://eng.auburn.edu/directory/rrw0006" TargetMode="External"/><Relationship Id="rId3828" Type="http://schemas.openxmlformats.org/officeDocument/2006/relationships/hyperlink" Target="https://www.engr.uky.edu/directory/karaca-haluk" TargetMode="External"/><Relationship Id="rId5043" Type="http://schemas.openxmlformats.org/officeDocument/2006/relationships/hyperlink" Target="https://www.uwyo.edu/mechanical/faculty-staff/faculty/Dimitri-Mavriplis/index.html" TargetMode="External"/><Relationship Id="rId5250" Type="http://schemas.openxmlformats.org/officeDocument/2006/relationships/hyperlink" Target="https://www.uidaho.edu/engr/departments/me/our-people/faculty/matthew-swenson" TargetMode="External"/><Relationship Id="rId609" Type="http://schemas.openxmlformats.org/officeDocument/2006/relationships/hyperlink" Target="https://engineering.purdue.edu/ME/People/ptProfile?resource_id=2871" TargetMode="External"/><Relationship Id="rId956" Type="http://schemas.openxmlformats.org/officeDocument/2006/relationships/hyperlink" Target="https://me.jhu.edu/faculty/kevin-hemker/" TargetMode="External"/><Relationship Id="rId1239" Type="http://schemas.openxmlformats.org/officeDocument/2006/relationships/hyperlink" Target="https://cse.umn.edu/me/ognjen-ilic" TargetMode="External"/><Relationship Id="rId1793" Type="http://schemas.openxmlformats.org/officeDocument/2006/relationships/hyperlink" Target="https://mae.ufl.edu/people/faculty/primary/instructional-professors/profiles/john-abbitt/" TargetMode="External"/><Relationship Id="rId2637" Type="http://schemas.openxmlformats.org/officeDocument/2006/relationships/hyperlink" Target="https://me.udel.edu/faculty/joseph-kuehl/" TargetMode="External"/><Relationship Id="rId2844" Type="http://schemas.openxmlformats.org/officeDocument/2006/relationships/hyperlink" Target="https://me.engr.uconn.edu/blog/faculty/kang-seungyeon/" TargetMode="External"/><Relationship Id="rId5110" Type="http://schemas.openxmlformats.org/officeDocument/2006/relationships/hyperlink" Target="mailto:cmullerk@fiu.edu" TargetMode="External"/><Relationship Id="rId85" Type="http://schemas.openxmlformats.org/officeDocument/2006/relationships/hyperlink" Target="https://meche.mit.edu/people/faculty/kimv@mit.edu" TargetMode="External"/><Relationship Id="rId816" Type="http://schemas.openxmlformats.org/officeDocument/2006/relationships/hyperlink" Target="https://www.me.utexas.edu/people/faculty-directory/wilson" TargetMode="External"/><Relationship Id="rId1446" Type="http://schemas.openxmlformats.org/officeDocument/2006/relationships/hyperlink" Target="https://seas.harvard.edu/person/zhigang-suo" TargetMode="External"/><Relationship Id="rId1653" Type="http://schemas.openxmlformats.org/officeDocument/2006/relationships/hyperlink" Target="https://profiles.rice.edu/faculty/geoff-wehmeyer" TargetMode="External"/><Relationship Id="rId1860" Type="http://schemas.openxmlformats.org/officeDocument/2006/relationships/hyperlink" Target="https://www.me.washington.edu/facultyfinder/mehmet-kurt" TargetMode="External"/><Relationship Id="rId2704" Type="http://schemas.openxmlformats.org/officeDocument/2006/relationships/hyperlink" Target="https://drexel.edu/engineering/about/faculty-staff/C/chang-bor-chin/" TargetMode="External"/><Relationship Id="rId2911" Type="http://schemas.openxmlformats.org/officeDocument/2006/relationships/hyperlink" Target="https://www.engineering.pitt.edu/people/faculty/sangyeop-lee/" TargetMode="External"/><Relationship Id="rId1306" Type="http://schemas.openxmlformats.org/officeDocument/2006/relationships/hyperlink" Target="https://engineering.wisc.edu/departments/mechanical-engineering/people/" TargetMode="External"/><Relationship Id="rId1513" Type="http://schemas.openxmlformats.org/officeDocument/2006/relationships/hyperlink" Target="https://premium.usnews.com/best-graduate-schools/top-engineering-schools/duke-university-02130" TargetMode="External"/><Relationship Id="rId1720" Type="http://schemas.openxmlformats.org/officeDocument/2006/relationships/hyperlink" Target="https://www.colorado.edu/mechanical/derek-reamon" TargetMode="External"/><Relationship Id="rId4669" Type="http://schemas.openxmlformats.org/officeDocument/2006/relationships/hyperlink" Target="https://www.sdsmt.edu/Directories/Personnel/Ash,-Jason/" TargetMode="External"/><Relationship Id="rId4876" Type="http://schemas.openxmlformats.org/officeDocument/2006/relationships/hyperlink" Target="https://www.fit.edu/faculty-profiles/s/saghaian-sayed-ehsan/" TargetMode="External"/><Relationship Id="rId12" Type="http://schemas.openxmlformats.org/officeDocument/2006/relationships/hyperlink" Target="https://meche.mit.edu/people/faculty/gbarb@mit.edu" TargetMode="External"/><Relationship Id="rId3478" Type="http://schemas.openxmlformats.org/officeDocument/2006/relationships/hyperlink" Target="https://www.iit.edu/directory/people/kenneth-christensen" TargetMode="External"/><Relationship Id="rId3685" Type="http://schemas.openxmlformats.org/officeDocument/2006/relationships/hyperlink" Target="https://ceat.okstate.edu/mae/faculty-staff/faculty-bios/rushikesh-kamalapurkar.html" TargetMode="External"/><Relationship Id="rId3892" Type="http://schemas.openxmlformats.org/officeDocument/2006/relationships/hyperlink" Target="https://mees.charlotte.edu/directory/youxing-chen" TargetMode="External"/><Relationship Id="rId4529" Type="http://schemas.openxmlformats.org/officeDocument/2006/relationships/hyperlink" Target="https://people.miami.edu/profile/4cfc1936067dbc1eea8acae41f3ddf15" TargetMode="External"/><Relationship Id="rId4736" Type="http://schemas.openxmlformats.org/officeDocument/2006/relationships/hyperlink" Target="http://me.hawaii.edu/uspal/" TargetMode="External"/><Relationship Id="rId4943" Type="http://schemas.openxmlformats.org/officeDocument/2006/relationships/hyperlink" Target="https://uakron.edu/engineering/me/our-people/profile.dot?u=gwang" TargetMode="External"/><Relationship Id="rId399" Type="http://schemas.openxmlformats.org/officeDocument/2006/relationships/hyperlink" Target="https://mechse.illinois.edu/people/profile/gjuarez" TargetMode="External"/><Relationship Id="rId2287" Type="http://schemas.openxmlformats.org/officeDocument/2006/relationships/hyperlink" Target="https://www.mae.ncsu.edu/people/apmazzol" TargetMode="External"/><Relationship Id="rId2494" Type="http://schemas.openxmlformats.org/officeDocument/2006/relationships/hyperlink" Target="https://www.bu.edu/eng/profile/james-chapman/" TargetMode="External"/><Relationship Id="rId3338" Type="http://schemas.openxmlformats.org/officeDocument/2006/relationships/hyperlink" Target="https://www.me.uh.edu/faculty/ghasemi" TargetMode="External"/><Relationship Id="rId3545" Type="http://schemas.openxmlformats.org/officeDocument/2006/relationships/hyperlink" Target="https://www.stevens.edu/profile/rchang6" TargetMode="External"/><Relationship Id="rId3752" Type="http://schemas.openxmlformats.org/officeDocument/2006/relationships/hyperlink" Target="https://www.uta.edu/academics/faculty/profile?username=dennisb" TargetMode="External"/><Relationship Id="rId259" Type="http://schemas.openxmlformats.org/officeDocument/2006/relationships/hyperlink" Target="https://me.berkeley.edu/people/marcel-kristel/" TargetMode="External"/><Relationship Id="rId466" Type="http://schemas.openxmlformats.org/officeDocument/2006/relationships/hyperlink" Target="https://me.engin.umich.edu/people/faculty/yue-fan/" TargetMode="External"/><Relationship Id="rId673" Type="http://schemas.openxmlformats.org/officeDocument/2006/relationships/hyperlink" Target="https://www.engineering.cornell.edu/faculty-directory/nikolaos-bouklas" TargetMode="External"/><Relationship Id="rId880" Type="http://schemas.openxmlformats.org/officeDocument/2006/relationships/hyperlink" Target="https://www.mccormick.northwestern.edu/mechanical/research/areas/ai-design.html" TargetMode="External"/><Relationship Id="rId1096" Type="http://schemas.openxmlformats.org/officeDocument/2006/relationships/hyperlink" Target="https://samueli.ucla.edu/people/m-khalid-jawed/" TargetMode="External"/><Relationship Id="rId2147" Type="http://schemas.openxmlformats.org/officeDocument/2006/relationships/hyperlink" Target="https://mae.ucdavis.edu/directory/xinfan-lin" TargetMode="External"/><Relationship Id="rId2354" Type="http://schemas.openxmlformats.org/officeDocument/2006/relationships/hyperlink" Target="https://engineering.wustl.edu/faculty/Ramesh-Agarwal.html" TargetMode="External"/><Relationship Id="rId2561" Type="http://schemas.openxmlformats.org/officeDocument/2006/relationships/hyperlink" Target="https://mechanical.mines.edu/project/osborne-andrew/" TargetMode="External"/><Relationship Id="rId3405" Type="http://schemas.openxmlformats.org/officeDocument/2006/relationships/hyperlink" Target="https://www.wpi.edu/people/faculty/cdemetry" TargetMode="External"/><Relationship Id="rId4803" Type="http://schemas.openxmlformats.org/officeDocument/2006/relationships/hyperlink" Target="https://klesse.utsa.edu/faculty/profiles/feng-zhi-gang.html" TargetMode="External"/><Relationship Id="rId119" Type="http://schemas.openxmlformats.org/officeDocument/2006/relationships/hyperlink" Target="https://meche.mit.edu/people/staff/vhung@mit.edu" TargetMode="External"/><Relationship Id="rId326" Type="http://schemas.openxmlformats.org/officeDocument/2006/relationships/hyperlink" Target="https://www.me.gatech.edu/faculty/saha" TargetMode="External"/><Relationship Id="rId533" Type="http://schemas.openxmlformats.org/officeDocument/2006/relationships/hyperlink" Target="https://me.engin.umich.edu/people/faculty/thomas-wang/" TargetMode="External"/><Relationship Id="rId1163" Type="http://schemas.openxmlformats.org/officeDocument/2006/relationships/hyperlink" Target="https://www.me.psu.edu/department/directory-detail-g.aspx?q=TUW17" TargetMode="External"/><Relationship Id="rId1370" Type="http://schemas.openxmlformats.org/officeDocument/2006/relationships/hyperlink" Target="https://me.vt.edu/people/faculty/akbarihamed-kaveh.html" TargetMode="External"/><Relationship Id="rId2007" Type="http://schemas.openxmlformats.org/officeDocument/2006/relationships/hyperlink" Target="https://me.ucsb.edu/people/steve-laguette" TargetMode="External"/><Relationship Id="rId2214" Type="http://schemas.openxmlformats.org/officeDocument/2006/relationships/hyperlink" Target="https://www.me.iastate.edu/faculty/profile/flemingc" TargetMode="External"/><Relationship Id="rId3612" Type="http://schemas.openxmlformats.org/officeDocument/2006/relationships/hyperlink" Target="https://me.utdallas.edu/faculty-staff/golden-kumar/" TargetMode="External"/><Relationship Id="rId740" Type="http://schemas.openxmlformats.org/officeDocument/2006/relationships/hyperlink" Target="https://www.meche.engineering.cmu.edu/directory/bios/rabin-yoed.html" TargetMode="External"/><Relationship Id="rId1023" Type="http://schemas.openxmlformats.org/officeDocument/2006/relationships/hyperlink" Target="https://engineering.tamu.edu/mechanical/profiles/lan-shoufeng.html" TargetMode="External"/><Relationship Id="rId2421" Type="http://schemas.openxmlformats.org/officeDocument/2006/relationships/hyperlink" Target="https://www.egr.msu.edu/people/profile/kantnila" TargetMode="External"/><Relationship Id="rId4179" Type="http://schemas.openxmlformats.org/officeDocument/2006/relationships/hyperlink" Target="http://engineering.uga.edu/people/profile/bjorn-birgisson" TargetMode="External"/><Relationship Id="rId600" Type="http://schemas.openxmlformats.org/officeDocument/2006/relationships/hyperlink" Target="https://engineering.purdue.edu/ME/People/ptProfile?resource_id=80194" TargetMode="External"/><Relationship Id="rId1230" Type="http://schemas.openxmlformats.org/officeDocument/2006/relationships/hyperlink" Target="https://cse.umn.edu/me/peter-bruggeman" TargetMode="External"/><Relationship Id="rId4386" Type="http://schemas.openxmlformats.org/officeDocument/2006/relationships/hyperlink" Target="https://eng.famu.fsu.edu/me/people" TargetMode="External"/><Relationship Id="rId4593" Type="http://schemas.openxmlformats.org/officeDocument/2006/relationships/hyperlink" Target="https://www.uvm.edu/node/248740" TargetMode="External"/><Relationship Id="rId5437" Type="http://schemas.openxmlformats.org/officeDocument/2006/relationships/hyperlink" Target="https://wmich.edu/mechanical-aerospace/directory/liou" TargetMode="External"/><Relationship Id="rId3195" Type="http://schemas.openxmlformats.org/officeDocument/2006/relationships/hyperlink" Target="https://mabe.utk.edu/people/james-evan-lyne/" TargetMode="External"/><Relationship Id="rId4039" Type="http://schemas.openxmlformats.org/officeDocument/2006/relationships/hyperlink" Target="https://www.clarkson.edu/node/5436" TargetMode="External"/><Relationship Id="rId4246" Type="http://schemas.openxmlformats.org/officeDocument/2006/relationships/hyperlink" Target="https://premium.usnews.com/best-graduate-schools/top-engineering-schools/university-of-missouri-columbia-02094" TargetMode="External"/><Relationship Id="rId4453" Type="http://schemas.openxmlformats.org/officeDocument/2006/relationships/hyperlink" Target="https://www.me.msstate.edu/people/faculty/jennie-daigler/" TargetMode="External"/><Relationship Id="rId4660" Type="http://schemas.openxmlformats.org/officeDocument/2006/relationships/hyperlink" Target="https://mae.nmsu.edu/faculty/dr-fangjun-shu.html" TargetMode="External"/><Relationship Id="rId5504" Type="http://schemas.openxmlformats.org/officeDocument/2006/relationships/hyperlink" Target="https://www.pdx.edu/profile/lemmy-meekisho" TargetMode="External"/><Relationship Id="rId3055" Type="http://schemas.openxmlformats.org/officeDocument/2006/relationships/hyperlink" Target="https://works.bepress.com/xiangyang-dong/about/" TargetMode="External"/><Relationship Id="rId3262" Type="http://schemas.openxmlformats.org/officeDocument/2006/relationships/hyperlink" Target="https://www.engr.colostate.edu/me/faculty/dr-mostafa-yourdkhani/" TargetMode="External"/><Relationship Id="rId4106" Type="http://schemas.openxmlformats.org/officeDocument/2006/relationships/hyperlink" Target="https://mechanical.sdsu.edu/people/asfaw-beyene.aspx" TargetMode="External"/><Relationship Id="rId4313" Type="http://schemas.openxmlformats.org/officeDocument/2006/relationships/hyperlink" Target="http://egr.vcu.edu/directory/karla.mossi/" TargetMode="External"/><Relationship Id="rId4520" Type="http://schemas.openxmlformats.org/officeDocument/2006/relationships/hyperlink" Target="https://udayton.edu/directory/engineering/mechanical_and_aerospace/reissman-megan.php" TargetMode="External"/><Relationship Id="rId183" Type="http://schemas.openxmlformats.org/officeDocument/2006/relationships/hyperlink" Target="https://me.stanford.edu/people/craig-milroy" TargetMode="External"/><Relationship Id="rId390" Type="http://schemas.openxmlformats.org/officeDocument/2006/relationships/hyperlink" Target="https://mechse.illinois.edu/people/profile/jiajunhe" TargetMode="External"/><Relationship Id="rId1907" Type="http://schemas.openxmlformats.org/officeDocument/2006/relationships/hyperlink" Target="https://engineering.brown.edu/people/kyung-suk-kim" TargetMode="External"/><Relationship Id="rId2071" Type="http://schemas.openxmlformats.org/officeDocument/2006/relationships/hyperlink" Target="https://seas.yale.edu/faculty-research/faculty-directory/shun-ichiro-karato" TargetMode="External"/><Relationship Id="rId3122" Type="http://schemas.openxmlformats.org/officeDocument/2006/relationships/hyperlink" Target="https://me.stonybrook.edu/commcms/me-eng/people/faculty/Kirane_Kedar.php" TargetMode="External"/><Relationship Id="rId250" Type="http://schemas.openxmlformats.org/officeDocument/2006/relationships/hyperlink" Target="https://me.berkeley.edu/people/koushil-sreenath/" TargetMode="External"/><Relationship Id="rId5087" Type="http://schemas.openxmlformats.org/officeDocument/2006/relationships/hyperlink" Target="https://mme.fiu.edu/faculty-staff-members/dwayne-mcdaniel" TargetMode="External"/><Relationship Id="rId5294" Type="http://schemas.openxmlformats.org/officeDocument/2006/relationships/hyperlink" Target="https://mechanical.engineering.unt.edu/faculty/kuruvilla-john" TargetMode="External"/><Relationship Id="rId110" Type="http://schemas.openxmlformats.org/officeDocument/2006/relationships/hyperlink" Target="https://meche.mit.edu/people/staff/cchase@mit.edu" TargetMode="External"/><Relationship Id="rId2888" Type="http://schemas.openxmlformats.org/officeDocument/2006/relationships/hyperlink" Target="https://engineering.uiowa.edu/people/rachel-vitali" TargetMode="External"/><Relationship Id="rId3939" Type="http://schemas.openxmlformats.org/officeDocument/2006/relationships/hyperlink" Target="http://www.hajim.rochester.edu/me/people/faculty/genberg_victor/index.html" TargetMode="External"/><Relationship Id="rId5154" Type="http://schemas.openxmlformats.org/officeDocument/2006/relationships/hyperlink" Target="https://www.montana.edu/mie/directory/index.html" TargetMode="External"/><Relationship Id="rId1697" Type="http://schemas.openxmlformats.org/officeDocument/2006/relationships/hyperlink" Target="https://www.colorado.edu/mechanical/jean-r-hertzberg" TargetMode="External"/><Relationship Id="rId2748" Type="http://schemas.openxmlformats.org/officeDocument/2006/relationships/hyperlink" Target="https://engineering.tufts.edu/me/node/2951" TargetMode="External"/><Relationship Id="rId2955" Type="http://schemas.openxmlformats.org/officeDocument/2006/relationships/hyperlink" Target="http://eng.auburn.edu/directory/bevlydm" TargetMode="External"/><Relationship Id="rId5361" Type="http://schemas.openxmlformats.org/officeDocument/2006/relationships/hyperlink" Target="https://www.ndsu.edu/faculty/azarmi/" TargetMode="External"/><Relationship Id="rId927" Type="http://schemas.openxmlformats.org/officeDocument/2006/relationships/hyperlink" Target="https://www.mccormick.northwestern.edu/mechanical/research/areas/robotics-autonomy.html" TargetMode="External"/><Relationship Id="rId1557" Type="http://schemas.openxmlformats.org/officeDocument/2006/relationships/hyperlink" Target="https://mems.duke.edu/faculty/miroslav-pajic" TargetMode="External"/><Relationship Id="rId1764" Type="http://schemas.openxmlformats.org/officeDocument/2006/relationships/hyperlink" Target="https://mae.ufl.edu/people/faculty/primary/professor/profiles/mark-sheplak/" TargetMode="External"/><Relationship Id="rId1971" Type="http://schemas.openxmlformats.org/officeDocument/2006/relationships/hyperlink" Target="https://faculty.rpi.edu/lucy-zhang" TargetMode="External"/><Relationship Id="rId2608" Type="http://schemas.openxmlformats.org/officeDocument/2006/relationships/hyperlink" Target="https://mae.rutgers.edu/assimina-pelegri" TargetMode="External"/><Relationship Id="rId2815" Type="http://schemas.openxmlformats.org/officeDocument/2006/relationships/hyperlink" Target="https://ame.engineering.arizona.edu/faculty-staff/faculty/samy-missoum" TargetMode="External"/><Relationship Id="rId4170" Type="http://schemas.openxmlformats.org/officeDocument/2006/relationships/hyperlink" Target="https://www.depts.ttu.edu/me/faculty/leon_shturman/index.php" TargetMode="External"/><Relationship Id="rId5014" Type="http://schemas.openxmlformats.org/officeDocument/2006/relationships/hyperlink" Target="https://umaine.edu/mecheng/verma/" TargetMode="External"/><Relationship Id="rId5221" Type="http://schemas.openxmlformats.org/officeDocument/2006/relationships/hyperlink" Target="https://expertise.utep.edu/profiles/despalin" TargetMode="External"/><Relationship Id="rId56" Type="http://schemas.openxmlformats.org/officeDocument/2006/relationships/hyperlink" Target="https://meche.mit.edu/people/faculty/MAKRIS@MIT.EDU" TargetMode="External"/><Relationship Id="rId1417" Type="http://schemas.openxmlformats.org/officeDocument/2006/relationships/hyperlink" Target="https://me.vt.edu/people/faculty/shahab-shima.html" TargetMode="External"/><Relationship Id="rId1624" Type="http://schemas.openxmlformats.org/officeDocument/2006/relationships/hyperlink" Target="https://mae.osu.edu/people/wang.12239" TargetMode="External"/><Relationship Id="rId1831" Type="http://schemas.openxmlformats.org/officeDocument/2006/relationships/hyperlink" Target="https://viterbi.usc.edu/directory/faculty/Gilpin/Matthew" TargetMode="External"/><Relationship Id="rId4030" Type="http://schemas.openxmlformats.org/officeDocument/2006/relationships/hyperlink" Target="https://premium.usnews.com/best-graduate-schools/top-engineering-schools/clarkson-university-02115" TargetMode="External"/><Relationship Id="rId4987" Type="http://schemas.openxmlformats.org/officeDocument/2006/relationships/hyperlink" Target="https://engineering.louisville.edu/faculty/kunal-h-kate/" TargetMode="External"/><Relationship Id="rId3589" Type="http://schemas.openxmlformats.org/officeDocument/2006/relationships/hyperlink" Target="https://ecs.syracuse.edu/faculty-staff/young-b-moon" TargetMode="External"/><Relationship Id="rId3796" Type="http://schemas.openxmlformats.org/officeDocument/2006/relationships/hyperlink" Target="https://www.uah.edu/eng/departments/mae/faculty-staff/nicholas-ginga" TargetMode="External"/><Relationship Id="rId2398" Type="http://schemas.openxmlformats.org/officeDocument/2006/relationships/hyperlink" Target="https://engineering.case.edu/about/school-directory/r-balasubramaniam" TargetMode="External"/><Relationship Id="rId3449" Type="http://schemas.openxmlformats.org/officeDocument/2006/relationships/hyperlink" Target="https://www.me.byu.edu/directory/dr-jeff-hill" TargetMode="External"/><Relationship Id="rId4847" Type="http://schemas.openxmlformats.org/officeDocument/2006/relationships/hyperlink" Target="https://engineering.wayne.edu/profile/gy5553" TargetMode="External"/><Relationship Id="rId577" Type="http://schemas.openxmlformats.org/officeDocument/2006/relationships/hyperlink" Target="https://engineering.purdue.edu/ME/People/ptProfile?resource_id=156378" TargetMode="External"/><Relationship Id="rId2258" Type="http://schemas.openxmlformats.org/officeDocument/2006/relationships/hyperlink" Target="https://www.mae.ncsu.edu/directory/" TargetMode="External"/><Relationship Id="rId3656" Type="http://schemas.openxmlformats.org/officeDocument/2006/relationships/hyperlink" Target="https://profiles.ucr.edu/app/home/profile/jrealmut" TargetMode="External"/><Relationship Id="rId3863" Type="http://schemas.openxmlformats.org/officeDocument/2006/relationships/hyperlink" Target="https://engineering.unl.edu/mme/lucia-fernandez-ballester/" TargetMode="External"/><Relationship Id="rId4707" Type="http://schemas.openxmlformats.org/officeDocument/2006/relationships/hyperlink" Target="https://mechanical-engineering.uark.edu/Directory/index/uid/keithw/name/Keith+Walters/" TargetMode="External"/><Relationship Id="rId4914" Type="http://schemas.openxmlformats.org/officeDocument/2006/relationships/hyperlink" Target="https://www.odu.edu/directory/arthur-taylor" TargetMode="External"/><Relationship Id="rId784" Type="http://schemas.openxmlformats.org/officeDocument/2006/relationships/hyperlink" Target="https://www.me.utexas.edu/people/faculty-directory/hamilton" TargetMode="External"/><Relationship Id="rId991" Type="http://schemas.openxmlformats.org/officeDocument/2006/relationships/hyperlink" Target="https://engineering.tamu.edu/mechanical/profiles/borazjani-iman.html" TargetMode="External"/><Relationship Id="rId1067" Type="http://schemas.openxmlformats.org/officeDocument/2006/relationships/hyperlink" Target="https://engineering.tamu.edu/mechanical/profiles/wang-ya.html" TargetMode="External"/><Relationship Id="rId2465" Type="http://schemas.openxmlformats.org/officeDocument/2006/relationships/hyperlink" Target="https://engineering.vanderbilt.edu/bio/robert-pitz" TargetMode="External"/><Relationship Id="rId2672" Type="http://schemas.openxmlformats.org/officeDocument/2006/relationships/hyperlink" Target="https://www.clemson.edu/cecas/departments/me/people/faculty/mocko.html" TargetMode="External"/><Relationship Id="rId3309" Type="http://schemas.openxmlformats.org/officeDocument/2006/relationships/hyperlink" Target="https://researchdirectory.uc.edu/p/jogma" TargetMode="External"/><Relationship Id="rId3516" Type="http://schemas.openxmlformats.org/officeDocument/2006/relationships/hyperlink" Target="https://www.mtu.edu/mechanical/people/faculty/johnson/" TargetMode="External"/><Relationship Id="rId3723" Type="http://schemas.openxmlformats.org/officeDocument/2006/relationships/hyperlink" Target="https://eng.ua.edu/eng-directory/dr-paulius-v-puzinauskas/" TargetMode="External"/><Relationship Id="rId3930" Type="http://schemas.openxmlformats.org/officeDocument/2006/relationships/hyperlink" Target="http://www.hajim.rochester.edu/me/people/faculty/boster_kimberly/index.html" TargetMode="External"/><Relationship Id="rId437" Type="http://schemas.openxmlformats.org/officeDocument/2006/relationships/hyperlink" Target="https://me.engin.umich.edu/people/faculty/" TargetMode="External"/><Relationship Id="rId644" Type="http://schemas.openxmlformats.org/officeDocument/2006/relationships/hyperlink" Target="https://www.engineering.cornell.edu/faculty-directory/c-thomas-avedisian" TargetMode="External"/><Relationship Id="rId851" Type="http://schemas.openxmlformats.org/officeDocument/2006/relationships/hyperlink" Target="https://www.mccormick.northwestern.edu/research-faculty/directory/profiles/espinosa-horacio.html" TargetMode="External"/><Relationship Id="rId1274" Type="http://schemas.openxmlformats.org/officeDocument/2006/relationships/hyperlink" Target="https://directory.seas.upenn.edu/taylor-caputo/" TargetMode="External"/><Relationship Id="rId1481" Type="http://schemas.openxmlformats.org/officeDocument/2006/relationships/hyperlink" Target="https://jacobsschool.ucsd.edu/faculty/profile?id=5" TargetMode="External"/><Relationship Id="rId2118" Type="http://schemas.openxmlformats.org/officeDocument/2006/relationships/hyperlink" Target="https://isearch.asu.edu/profile/2422024" TargetMode="External"/><Relationship Id="rId2325" Type="http://schemas.openxmlformats.org/officeDocument/2006/relationships/hyperlink" Target="https://engineering.virginia.edu/faculty/tomonari-furukawa" TargetMode="External"/><Relationship Id="rId2532" Type="http://schemas.openxmlformats.org/officeDocument/2006/relationships/hyperlink" Target="https://mechanical.mines.edu/project/bach-joel/" TargetMode="External"/><Relationship Id="rId504" Type="http://schemas.openxmlformats.org/officeDocument/2006/relationships/hyperlink" Target="https://me.engin.umich.edu/people/faculty/bogdan-popa/" TargetMode="External"/><Relationship Id="rId711" Type="http://schemas.openxmlformats.org/officeDocument/2006/relationships/hyperlink" Target="https://mae.princeton.edu/people/faculty/nosenchuck" TargetMode="External"/><Relationship Id="rId1134" Type="http://schemas.openxmlformats.org/officeDocument/2006/relationships/hyperlink" Target="https://www.me.psu.edu/department/directory-detail-g.aspx?q=RHK12" TargetMode="External"/><Relationship Id="rId1341" Type="http://schemas.openxmlformats.org/officeDocument/2006/relationships/hyperlink" Target="https://directory.engr.wisc.edu/me/Faculty/Rothamer_David/" TargetMode="External"/><Relationship Id="rId4497" Type="http://schemas.openxmlformats.org/officeDocument/2006/relationships/hyperlink" Target="https://me.ucmerced.edu/content/min-hwan-lee-0" TargetMode="External"/><Relationship Id="rId5548" Type="http://schemas.openxmlformats.org/officeDocument/2006/relationships/hyperlink" Target="https://und.edu/directory/clement.tang" TargetMode="External"/><Relationship Id="rId1201" Type="http://schemas.openxmlformats.org/officeDocument/2006/relationships/hyperlink" Target="https://enme.umd.edu/clark/faculty/568/Mohammad-Modarres" TargetMode="External"/><Relationship Id="rId3099" Type="http://schemas.openxmlformats.org/officeDocument/2006/relationships/hyperlink" Target="https://nps.edu/faculty-profiles/-/cv/kdjones" TargetMode="External"/><Relationship Id="rId4357" Type="http://schemas.openxmlformats.org/officeDocument/2006/relationships/hyperlink" Target="https://directory.statler.wvu.edu/faculty-staff-directory/dimas-abreu-archanjo-dutra" TargetMode="External"/><Relationship Id="rId4564" Type="http://schemas.openxmlformats.org/officeDocument/2006/relationships/hyperlink" Target="https://www.ou.edu/coe/ame/people/Dalton.html" TargetMode="External"/><Relationship Id="rId4771" Type="http://schemas.openxmlformats.org/officeDocument/2006/relationships/hyperlink" Target="https://umdearborn.edu/people-um-dearborn/subrata-sengupta" TargetMode="External"/><Relationship Id="rId5408" Type="http://schemas.openxmlformats.org/officeDocument/2006/relationships/hyperlink" Target="https://engineering.catholic.edu/research-and-faculty/faculty-profiles/mechanical/turo-diego/index.html" TargetMode="External"/><Relationship Id="rId3166" Type="http://schemas.openxmlformats.org/officeDocument/2006/relationships/hyperlink" Target="https://mabe.utk.edu/people/damiano-baccarella/" TargetMode="External"/><Relationship Id="rId3373" Type="http://schemas.openxmlformats.org/officeDocument/2006/relationships/hyperlink" Target="https://mme.wsu.edu/yueqi-hu/" TargetMode="External"/><Relationship Id="rId3580" Type="http://schemas.openxmlformats.org/officeDocument/2006/relationships/hyperlink" Target="https://ecs.syracuse.edu/faculty-staff/john-f-dannenhoffer-iii" TargetMode="External"/><Relationship Id="rId4217" Type="http://schemas.openxmlformats.org/officeDocument/2006/relationships/hyperlink" Target="http://engineering.uga.edu/people/profile/ben-wagner-ph.d" TargetMode="External"/><Relationship Id="rId4424" Type="http://schemas.openxmlformats.org/officeDocument/2006/relationships/hyperlink" Target="https://www.lsu.edu/eng/mie/people/faculty/gartia.php" TargetMode="External"/><Relationship Id="rId294" Type="http://schemas.openxmlformats.org/officeDocument/2006/relationships/hyperlink" Target="https://www.me.gatech.edu/faculty/jacob" TargetMode="External"/><Relationship Id="rId2182" Type="http://schemas.openxmlformats.org/officeDocument/2006/relationships/hyperlink" Target="http://www.eng.uci.edu/users/solmaz-kia" TargetMode="External"/><Relationship Id="rId3026" Type="http://schemas.openxmlformats.org/officeDocument/2006/relationships/hyperlink" Target="https://engineering.lehigh.edu/meche/faculty/118975" TargetMode="External"/><Relationship Id="rId3233" Type="http://schemas.openxmlformats.org/officeDocument/2006/relationships/hyperlink" Target="https://www.engr.colostate.edu/me/faculty/dr-xinfeng-gao/" TargetMode="External"/><Relationship Id="rId4631" Type="http://schemas.openxmlformats.org/officeDocument/2006/relationships/hyperlink" Target="https://www.ccny.cuny.edu/profiles/jackie-li" TargetMode="External"/><Relationship Id="rId154" Type="http://schemas.openxmlformats.org/officeDocument/2006/relationships/hyperlink" Target="https://me.stanford.edu/people/gianluca-iaccarino" TargetMode="External"/><Relationship Id="rId361" Type="http://schemas.openxmlformats.org/officeDocument/2006/relationships/hyperlink" Target="https://www.me.gatech.edu/faculty/zhu-1" TargetMode="External"/><Relationship Id="rId2042" Type="http://schemas.openxmlformats.org/officeDocument/2006/relationships/hyperlink" Target="https://ame.nd.edu/faculty/mark-plecnik/" TargetMode="External"/><Relationship Id="rId3440" Type="http://schemas.openxmlformats.org/officeDocument/2006/relationships/hyperlink" Target="https://www.me.byu.edu/directory/steven-charles" TargetMode="External"/><Relationship Id="rId5198" Type="http://schemas.openxmlformats.org/officeDocument/2006/relationships/hyperlink" Target="https://engineering.siu.edu/me/faculty-staff/faculty/chu.php" TargetMode="External"/><Relationship Id="rId2999" Type="http://schemas.openxmlformats.org/officeDocument/2006/relationships/hyperlink" Target="https://www.mae.seas.gwu.edu/node/1236" TargetMode="External"/><Relationship Id="rId3300" Type="http://schemas.openxmlformats.org/officeDocument/2006/relationships/hyperlink" Target="https://researchdirectory.uc.edu/p/anands" TargetMode="External"/><Relationship Id="rId221" Type="http://schemas.openxmlformats.org/officeDocument/2006/relationships/hyperlink" Target="https://me.berkeley.edu/people/james-casey/" TargetMode="External"/><Relationship Id="rId2859" Type="http://schemas.openxmlformats.org/officeDocument/2006/relationships/hyperlink" Target="https://me.engr.uconn.edu/blog/faculty/pierce-david-m/" TargetMode="External"/><Relationship Id="rId5058" Type="http://schemas.openxmlformats.org/officeDocument/2006/relationships/hyperlink" Target="https://www.wichita.edu/profiles/academics/engineering/mechanical_engineering/01_Faculty/Li-Bin.php" TargetMode="External"/><Relationship Id="rId5265" Type="http://schemas.openxmlformats.org/officeDocument/2006/relationships/hyperlink" Target="https://www.unlv.edu/me" TargetMode="External"/><Relationship Id="rId5472" Type="http://schemas.openxmlformats.org/officeDocument/2006/relationships/hyperlink" Target="https://nmt.edu/academics/mecheng/faculty/aghosh/index.php" TargetMode="External"/><Relationship Id="rId1668" Type="http://schemas.openxmlformats.org/officeDocument/2006/relationships/hyperlink" Target="https://www.me.columbia.edu/faculty/vijay-modi" TargetMode="External"/><Relationship Id="rId1875" Type="http://schemas.openxmlformats.org/officeDocument/2006/relationships/hyperlink" Target="https://www.me.washington.edu/people/faculty/eric_seibel" TargetMode="External"/><Relationship Id="rId2719" Type="http://schemas.openxmlformats.org/officeDocument/2006/relationships/hyperlink" Target="https://drexel.edu/engineering/about/faculty-staff/M/miller-david/" TargetMode="External"/><Relationship Id="rId4074" Type="http://schemas.openxmlformats.org/officeDocument/2006/relationships/hyperlink" Target="https://daytonabeach.erau.edu/college-engineering/mechanical/faculty" TargetMode="External"/><Relationship Id="rId4281" Type="http://schemas.openxmlformats.org/officeDocument/2006/relationships/hyperlink" Target="https://www1.villanova.edu/university/engineering/academic-programs/departments/mechanical/directory/biodetail.html?mail=bo.li@villanova.edu&amp;xsl=bio_long" TargetMode="External"/><Relationship Id="rId5125" Type="http://schemas.openxmlformats.org/officeDocument/2006/relationships/hyperlink" Target="https://coes.latech.edu/facultystaff-directory/single-entry/name/yun-chen/" TargetMode="External"/><Relationship Id="rId5332" Type="http://schemas.openxmlformats.org/officeDocument/2006/relationships/hyperlink" Target="https://people.wright.edu/daniel.young" TargetMode="External"/><Relationship Id="rId1528" Type="http://schemas.openxmlformats.org/officeDocument/2006/relationships/hyperlink" Target="https://mems.duke.edu/faculty/olivier-delaire" TargetMode="External"/><Relationship Id="rId2926" Type="http://schemas.openxmlformats.org/officeDocument/2006/relationships/hyperlink" Target="https://www.engineering.pitt.edu/people/faculty/qing-ming-wang/" TargetMode="External"/><Relationship Id="rId3090" Type="http://schemas.openxmlformats.org/officeDocument/2006/relationships/hyperlink" Target="https://nps.edu/faculty-profiles/-/cv/jmdidosz" TargetMode="External"/><Relationship Id="rId4141" Type="http://schemas.openxmlformats.org/officeDocument/2006/relationships/hyperlink" Target="https://www.depts.ttu.edu/me/faculty/burak_aksak/index.php" TargetMode="External"/><Relationship Id="rId1735" Type="http://schemas.openxmlformats.org/officeDocument/2006/relationships/hyperlink" Target="https://www.colorado.edu/mechanical/cara-gonzalez-welker" TargetMode="External"/><Relationship Id="rId1942" Type="http://schemas.openxmlformats.org/officeDocument/2006/relationships/hyperlink" Target="https://engineering.brown.edu/people/rod-clifton" TargetMode="External"/><Relationship Id="rId4001" Type="http://schemas.openxmlformats.org/officeDocument/2006/relationships/hyperlink" Target="https://sc.edu/study/colleges_schools/engineering_and_computing/faculty-staff/yi_wang.php" TargetMode="External"/><Relationship Id="rId27" Type="http://schemas.openxmlformats.org/officeDocument/2006/relationships/hyperlink" Target="https://meche.mit.edu/people/faculty/talco@mit.edu" TargetMode="External"/><Relationship Id="rId1802" Type="http://schemas.openxmlformats.org/officeDocument/2006/relationships/hyperlink" Target="https://mae.ufl.edu/people/faculty/primary/instructional-professors/profiles/matthew-traum/" TargetMode="External"/><Relationship Id="rId4958" Type="http://schemas.openxmlformats.org/officeDocument/2006/relationships/hyperlink" Target="https://www.uab.edu/engineering/mme/people/faculty/robert-nichols" TargetMode="External"/><Relationship Id="rId3767" Type="http://schemas.openxmlformats.org/officeDocument/2006/relationships/hyperlink" Target="https://www.uta.edu/academics/faculty/profile?username=franklu" TargetMode="External"/><Relationship Id="rId3974" Type="http://schemas.openxmlformats.org/officeDocument/2006/relationships/hyperlink" Target="https://sc.edu/study/colleges_schools/engineering_and_computing/faculty-staff/gray_joshua.php" TargetMode="External"/><Relationship Id="rId4818" Type="http://schemas.openxmlformats.org/officeDocument/2006/relationships/hyperlink" Target="https://klesse.utsa.edu/faculty/profiles/sooby-elizabeth.html" TargetMode="External"/><Relationship Id="rId688" Type="http://schemas.openxmlformats.org/officeDocument/2006/relationships/hyperlink" Target="https://mae.princeton.edu/people/faculty" TargetMode="External"/><Relationship Id="rId895" Type="http://schemas.openxmlformats.org/officeDocument/2006/relationships/hyperlink" Target="https://www.mccormick.northwestern.edu/mechanical/research/areas/robotics-autonomy.html" TargetMode="External"/><Relationship Id="rId2369" Type="http://schemas.openxmlformats.org/officeDocument/2006/relationships/hyperlink" Target="https://engineering.wustl.edu/faculty/Hong-Niu.html" TargetMode="External"/><Relationship Id="rId2576" Type="http://schemas.openxmlformats.org/officeDocument/2006/relationships/hyperlink" Target="https://mechanical.mines.edu/project/wong-jim/" TargetMode="External"/><Relationship Id="rId2783" Type="http://schemas.openxmlformats.org/officeDocument/2006/relationships/hyperlink" Target="https://engineering.buffalo.edu/mechanical-aerospace/people/faculty/ladder.host.html/content/shared/engineering/mechanical-aerospace/profiles/singh-tarunraj.detail.html" TargetMode="External"/><Relationship Id="rId2990" Type="http://schemas.openxmlformats.org/officeDocument/2006/relationships/hyperlink" Target="https://www.mae.seas.gwu.edu/faculty-directory" TargetMode="External"/><Relationship Id="rId3627" Type="http://schemas.openxmlformats.org/officeDocument/2006/relationships/hyperlink" Target="https://me.utdallas.edu/faculty-staff/justin-ruths/" TargetMode="External"/><Relationship Id="rId3834" Type="http://schemas.openxmlformats.org/officeDocument/2006/relationships/hyperlink" Target="https://www.engr.uky.edu/directory/markutsya-sergiy" TargetMode="External"/><Relationship Id="rId548" Type="http://schemas.openxmlformats.org/officeDocument/2006/relationships/hyperlink" Target="https://engineering.purdue.edu/ME/People/ptProfile?resource_id=241064" TargetMode="External"/><Relationship Id="rId755" Type="http://schemas.openxmlformats.org/officeDocument/2006/relationships/hyperlink" Target="https://cockrell.utexas.edu/faculty-directory" TargetMode="External"/><Relationship Id="rId962" Type="http://schemas.openxmlformats.org/officeDocument/2006/relationships/hyperlink" Target="https://me.jhu.edu/faculty/david-kraemer/" TargetMode="External"/><Relationship Id="rId1178" Type="http://schemas.openxmlformats.org/officeDocument/2006/relationships/hyperlink" Target="https://enme.umd.edu/clark/faculty/523/Michel-Cukier" TargetMode="External"/><Relationship Id="rId1385" Type="http://schemas.openxmlformats.org/officeDocument/2006/relationships/hyperlink" Target="https://me.vt.edu/people/faculty/fuller-chris.html" TargetMode="External"/><Relationship Id="rId1592" Type="http://schemas.openxmlformats.org/officeDocument/2006/relationships/hyperlink" Target="https://mae.osu.edu/people/kahraman.1" TargetMode="External"/><Relationship Id="rId2229" Type="http://schemas.openxmlformats.org/officeDocument/2006/relationships/hyperlink" Target="https://www.me.iastate.edu/faculty/profile/menglu" TargetMode="External"/><Relationship Id="rId2436" Type="http://schemas.openxmlformats.org/officeDocument/2006/relationships/hyperlink" Target="https://www.egr.msu.edu/people/profile/pelledga" TargetMode="External"/><Relationship Id="rId2643" Type="http://schemas.openxmlformats.org/officeDocument/2006/relationships/hyperlink" Target="https://me.udel.edu/faculty/r-valery-roy/" TargetMode="External"/><Relationship Id="rId2850" Type="http://schemas.openxmlformats.org/officeDocument/2006/relationships/hyperlink" Target="https://me.engr.uconn.edu/blog/faculty/lykotrafitis-george/" TargetMode="External"/><Relationship Id="rId91" Type="http://schemas.openxmlformats.org/officeDocument/2006/relationships/hyperlink" Target="https://meche.mit.edu/people/faculty/WIERZ@MIT.EDU" TargetMode="External"/><Relationship Id="rId408" Type="http://schemas.openxmlformats.org/officeDocument/2006/relationships/hyperlink" Target="https://mechse.illinois.edu/people/profile/mehtapg" TargetMode="External"/><Relationship Id="rId615" Type="http://schemas.openxmlformats.org/officeDocument/2006/relationships/hyperlink" Target="https://engineering.purdue.edu/ME/People/ptProfile?resource_id=12309" TargetMode="External"/><Relationship Id="rId822" Type="http://schemas.openxmlformats.org/officeDocument/2006/relationships/hyperlink" Target="https://www.mccormick.northwestern.edu/mechanical/research/areas/micro-nanoengineering.html" TargetMode="External"/><Relationship Id="rId1038" Type="http://schemas.openxmlformats.org/officeDocument/2006/relationships/hyperlink" Target="https://engineering.tamu.edu/mechanical/profiles/muliana-anastasia.html" TargetMode="External"/><Relationship Id="rId1245" Type="http://schemas.openxmlformats.org/officeDocument/2006/relationships/hyperlink" Target="https://cse.umn.edu/me/jun-li" TargetMode="External"/><Relationship Id="rId1452" Type="http://schemas.openxmlformats.org/officeDocument/2006/relationships/hyperlink" Target="https://jacobsschool.ucsd.edu/faculty/profile?id=434" TargetMode="External"/><Relationship Id="rId2503" Type="http://schemas.openxmlformats.org/officeDocument/2006/relationships/hyperlink" Target="https://www.bu.edu/eng/profile/enrique-gutierrez-wing-ph-d/" TargetMode="External"/><Relationship Id="rId3901" Type="http://schemas.openxmlformats.org/officeDocument/2006/relationships/hyperlink" Target="https://mees.charlotte.edu/directory/scott-david-kelly" TargetMode="External"/><Relationship Id="rId1105" Type="http://schemas.openxmlformats.org/officeDocument/2006/relationships/hyperlink" Target="https://samueli.ucla.edu/people/veronica-santos/" TargetMode="External"/><Relationship Id="rId1312" Type="http://schemas.openxmlformats.org/officeDocument/2006/relationships/hyperlink" Target="https://directory.engr.wisc.edu/me/Faculty/Chen_Lianyi/" TargetMode="External"/><Relationship Id="rId2710" Type="http://schemas.openxmlformats.org/officeDocument/2006/relationships/hyperlink" Target="https://drexel.edu/engineering/about/faculty-staff/G/gogotsi-yury/" TargetMode="External"/><Relationship Id="rId4468" Type="http://schemas.openxmlformats.org/officeDocument/2006/relationships/hyperlink" Target="https://www.me.msstate.edu/people/wil-whittington/" TargetMode="External"/><Relationship Id="rId3277" Type="http://schemas.openxmlformats.org/officeDocument/2006/relationships/hyperlink" Target="https://engineering.nyu.edu/faculty/vikram-kapila" TargetMode="External"/><Relationship Id="rId4675" Type="http://schemas.openxmlformats.org/officeDocument/2006/relationships/hyperlink" Target="https://www.sdsmt.edu/Directories/Personnel/Lalley,-Aaron-J/" TargetMode="External"/><Relationship Id="rId4882" Type="http://schemas.openxmlformats.org/officeDocument/2006/relationships/hyperlink" Target="https://www.ncat.edu/coe/departments/me/index.php" TargetMode="External"/><Relationship Id="rId5519" Type="http://schemas.openxmlformats.org/officeDocument/2006/relationships/hyperlink" Target="https://www.slu.edu/science-and-engineering/academics/aerospace-and-mechanical-engineering/faculty/alexander-theodosios.php" TargetMode="External"/><Relationship Id="rId198" Type="http://schemas.openxmlformats.org/officeDocument/2006/relationships/hyperlink" Target="https://mce.caltech.edu/people/jfbrady" TargetMode="External"/><Relationship Id="rId2086" Type="http://schemas.openxmlformats.org/officeDocument/2006/relationships/hyperlink" Target="https://semte.engineering.asu.edu/faculty/aerospace-and-mechanical/" TargetMode="External"/><Relationship Id="rId3484" Type="http://schemas.openxmlformats.org/officeDocument/2006/relationships/hyperlink" Target="https://www.iit.edu/directory/people/esma-karagoz" TargetMode="External"/><Relationship Id="rId3691" Type="http://schemas.openxmlformats.org/officeDocument/2006/relationships/hyperlink" Target="https://ceat.okstate.edu/mae/faculty-staff/faculty-bios/ryan-paul.html" TargetMode="External"/><Relationship Id="rId4328" Type="http://schemas.openxmlformats.org/officeDocument/2006/relationships/hyperlink" Target="https://directory.statler.wvu.edu/faculty-staff-directory/cosmin-dumitrescu" TargetMode="External"/><Relationship Id="rId4535" Type="http://schemas.openxmlformats.org/officeDocument/2006/relationships/hyperlink" Target="https://people.miami.edu/profile/531a6c98c9e6155c47aec93dc7f8dbb3" TargetMode="External"/><Relationship Id="rId4742" Type="http://schemas.openxmlformats.org/officeDocument/2006/relationships/hyperlink" Target="http://me.hawaii.edu/zuo/" TargetMode="External"/><Relationship Id="rId2293" Type="http://schemas.openxmlformats.org/officeDocument/2006/relationships/hyperlink" Target="https://www.mae.ncsu.edu/people/mrpankow" TargetMode="External"/><Relationship Id="rId3137" Type="http://schemas.openxmlformats.org/officeDocument/2006/relationships/hyperlink" Target="https://mie.uic.edu/profiles/michael-a-brown/" TargetMode="External"/><Relationship Id="rId3344" Type="http://schemas.openxmlformats.org/officeDocument/2006/relationships/hyperlink" Target="https://www.me.uh.edu/faculty/liu" TargetMode="External"/><Relationship Id="rId3551" Type="http://schemas.openxmlformats.org/officeDocument/2006/relationships/hyperlink" Target="https://www.stevens.edu/profile/mkwan" TargetMode="External"/><Relationship Id="rId4602" Type="http://schemas.openxmlformats.org/officeDocument/2006/relationships/hyperlink" Target="https://www.uvm.edu/node/252428" TargetMode="External"/><Relationship Id="rId265" Type="http://schemas.openxmlformats.org/officeDocument/2006/relationships/hyperlink" Target="https://www.me.gatech.edu/faculty/antoniou" TargetMode="External"/><Relationship Id="rId472" Type="http://schemas.openxmlformats.org/officeDocument/2006/relationships/hyperlink" Target="https://me.engin.umich.edu/people/faculty/vikram-gavini/" TargetMode="External"/><Relationship Id="rId2153" Type="http://schemas.openxmlformats.org/officeDocument/2006/relationships/hyperlink" Target="https://mae.ucdavis.edu/directory/stephen-robinson" TargetMode="External"/><Relationship Id="rId2360" Type="http://schemas.openxmlformats.org/officeDocument/2006/relationships/hyperlink" Target="https://engineering.wustl.edu/faculty/Guy-Genin.html" TargetMode="External"/><Relationship Id="rId3204" Type="http://schemas.openxmlformats.org/officeDocument/2006/relationships/hyperlink" Target="https://mabe.utk.edu/people/omer-san/" TargetMode="External"/><Relationship Id="rId3411" Type="http://schemas.openxmlformats.org/officeDocument/2006/relationships/hyperlink" Target="https://www.wpi.edu/people/faculty/hou" TargetMode="External"/><Relationship Id="rId125" Type="http://schemas.openxmlformats.org/officeDocument/2006/relationships/hyperlink" Target="https://meche.mit.edu/people/staff/pnielsen@mit.edu" TargetMode="External"/><Relationship Id="rId332" Type="http://schemas.openxmlformats.org/officeDocument/2006/relationships/hyperlink" Target="https://www.me.gatech.edu/faculty/shi-0" TargetMode="External"/><Relationship Id="rId2013" Type="http://schemas.openxmlformats.org/officeDocument/2006/relationships/hyperlink" Target="https://ame.nd.edu/faculty/edgar-bolivar-nieto/" TargetMode="External"/><Relationship Id="rId2220" Type="http://schemas.openxmlformats.org/officeDocument/2006/relationships/hyperlink" Target="https://www.me.iastate.edu/faculty/profile/theindel" TargetMode="External"/><Relationship Id="rId5169" Type="http://schemas.openxmlformats.org/officeDocument/2006/relationships/hyperlink" Target="https://engineering.rowan.edu/faculty_staff/listing/mac-haas.html" TargetMode="External"/><Relationship Id="rId5376" Type="http://schemas.openxmlformats.org/officeDocument/2006/relationships/hyperlink" Target="https://nau.edu/mechanical-engineering/zachary-lerner/" TargetMode="External"/><Relationship Id="rId4185" Type="http://schemas.openxmlformats.org/officeDocument/2006/relationships/hyperlink" Target="http://engineering.uga.edu/people/profile/stephan-durham-ph.d.-p.e" TargetMode="External"/><Relationship Id="rId4392" Type="http://schemas.openxmlformats.org/officeDocument/2006/relationships/hyperlink" Target="https://eng.famu.fsu.edu/me/people/cooley" TargetMode="External"/><Relationship Id="rId5029" Type="http://schemas.openxmlformats.org/officeDocument/2006/relationships/hyperlink" Target="https://www.unr.edu/me/people/angelina-padilla" TargetMode="External"/><Relationship Id="rId5236" Type="http://schemas.openxmlformats.org/officeDocument/2006/relationships/hyperlink" Target="https://www.uidaho.edu/engr/departments/me/our-people/faculty/gabriel-potirniche" TargetMode="External"/><Relationship Id="rId5443" Type="http://schemas.openxmlformats.org/officeDocument/2006/relationships/hyperlink" Target="https://wmich.edu/mechanical-aerospace/directory/fajardo" TargetMode="External"/><Relationship Id="rId1779" Type="http://schemas.openxmlformats.org/officeDocument/2006/relationships/hyperlink" Target="https://mae.ufl.edu/people/faculty/primary/associate-professor/profiles/gloria-wiens/" TargetMode="External"/><Relationship Id="rId1986" Type="http://schemas.openxmlformats.org/officeDocument/2006/relationships/hyperlink" Target="https://me.ucsb.edu/people/bolin-liao" TargetMode="External"/><Relationship Id="rId4045" Type="http://schemas.openxmlformats.org/officeDocument/2006/relationships/hyperlink" Target="https://www.clarkson.edu/node/5481" TargetMode="External"/><Relationship Id="rId4252" Type="http://schemas.openxmlformats.org/officeDocument/2006/relationships/hyperlink" Target="https://engineering.missouri.edu/faculty/sanjeev-khanna/" TargetMode="External"/><Relationship Id="rId1639" Type="http://schemas.openxmlformats.org/officeDocument/2006/relationships/hyperlink" Target="https://profiles.rice.edu/faculty/roberto-dugnani" TargetMode="External"/><Relationship Id="rId1846" Type="http://schemas.openxmlformats.org/officeDocument/2006/relationships/hyperlink" Target="https://www.me.washington.edu/facultyfinder/xu-chen" TargetMode="External"/><Relationship Id="rId3061" Type="http://schemas.openxmlformats.org/officeDocument/2006/relationships/hyperlink" Target="https://works.bepress.com/ryan-hutcheson/about/" TargetMode="External"/><Relationship Id="rId5303" Type="http://schemas.openxmlformats.org/officeDocument/2006/relationships/hyperlink" Target="https://mechanical.engineering.unt.edu/faculty/saman-rashidyan" TargetMode="External"/><Relationship Id="rId5510" Type="http://schemas.openxmlformats.org/officeDocument/2006/relationships/hyperlink" Target="https://www.pdx.edu/profile/sung-yi" TargetMode="External"/><Relationship Id="rId1706" Type="http://schemas.openxmlformats.org/officeDocument/2006/relationships/hyperlink" Target="https://www.colorado.edu/mechanical/se-hee-lee" TargetMode="External"/><Relationship Id="rId1913" Type="http://schemas.openxmlformats.org/officeDocument/2006/relationships/hyperlink" Target="https://engineering.brown.edu/people/daniel-mittleman" TargetMode="External"/><Relationship Id="rId4112" Type="http://schemas.openxmlformats.org/officeDocument/2006/relationships/hyperlink" Target="https://mechanical.sdsu.edu/people/samuel-kassegne.aspx" TargetMode="External"/><Relationship Id="rId3878" Type="http://schemas.openxmlformats.org/officeDocument/2006/relationships/hyperlink" Target="https://engineering.unl.edu/mme/faculty/wen-qian/" TargetMode="External"/><Relationship Id="rId4929" Type="http://schemas.openxmlformats.org/officeDocument/2006/relationships/hyperlink" Target="https://uakron.edu/engineering/me/our-people/profile.dot?u=kandray" TargetMode="External"/><Relationship Id="rId799" Type="http://schemas.openxmlformats.org/officeDocument/2006/relationships/hyperlink" Target="https://www.me.utexas.edu/people/faculty-directory/moser" TargetMode="External"/><Relationship Id="rId2687" Type="http://schemas.openxmlformats.org/officeDocument/2006/relationships/hyperlink" Target="https://www.clemson.edu/cecas/departments/me/people/faculty/velni.html" TargetMode="External"/><Relationship Id="rId2894" Type="http://schemas.openxmlformats.org/officeDocument/2006/relationships/hyperlink" Target="https://www.engineering.pitt.edu/people/faculty/hessam-babaee/" TargetMode="External"/><Relationship Id="rId3738" Type="http://schemas.openxmlformats.org/officeDocument/2006/relationships/hyperlink" Target="https://www.uta.edu/academics/faculty/profile?username=aadnan" TargetMode="External"/><Relationship Id="rId5093" Type="http://schemas.openxmlformats.org/officeDocument/2006/relationships/hyperlink" Target="https://mme.fiu.edu/faculty-staff-members/vladimir-a-pozdin" TargetMode="External"/><Relationship Id="rId659" Type="http://schemas.openxmlformats.org/officeDocument/2006/relationships/hyperlink" Target="https://www.engineering.cornell.edu/faculty-directory/marjolein-van-der-meulen" TargetMode="External"/><Relationship Id="rId866" Type="http://schemas.openxmlformats.org/officeDocument/2006/relationships/hyperlink" Target="https://www.mccormick.northwestern.edu/research-faculty/directory/profiles/hartmann-mitra.html" TargetMode="External"/><Relationship Id="rId1289" Type="http://schemas.openxmlformats.org/officeDocument/2006/relationships/hyperlink" Target="https://directory.seas.upenn.edu/george-ilhwan-park/" TargetMode="External"/><Relationship Id="rId1496" Type="http://schemas.openxmlformats.org/officeDocument/2006/relationships/hyperlink" Target="https://jacobsschool.ucsd.edu/faculty/profile?id=142" TargetMode="External"/><Relationship Id="rId2547" Type="http://schemas.openxmlformats.org/officeDocument/2006/relationships/hyperlink" Target="https://mechanical.mines.edu/project/herradon-hernandez-carolina/" TargetMode="External"/><Relationship Id="rId3945" Type="http://schemas.openxmlformats.org/officeDocument/2006/relationships/hyperlink" Target="http://www.hajim.rochester.edu/me/people/faculty/muir_chris/index.html" TargetMode="External"/><Relationship Id="rId5160" Type="http://schemas.openxmlformats.org/officeDocument/2006/relationships/hyperlink" Target="https://www.ohio.edu/engineering/about/people/cyderst" TargetMode="External"/><Relationship Id="rId519" Type="http://schemas.openxmlformats.org/officeDocument/2006/relationships/hyperlink" Target="https://me.engin.umich.edu/people/faculty/sita-syal/" TargetMode="External"/><Relationship Id="rId1149" Type="http://schemas.openxmlformats.org/officeDocument/2006/relationships/hyperlink" Target="https://www.me.psu.edu/department/directory-detail-g.aspx?q=bzr52" TargetMode="External"/><Relationship Id="rId1356" Type="http://schemas.openxmlformats.org/officeDocument/2006/relationships/hyperlink" Target="https://directory.engr.wisc.edu/me/Faculty/Xu_Xiangru/" TargetMode="External"/><Relationship Id="rId2754" Type="http://schemas.openxmlformats.org/officeDocument/2006/relationships/hyperlink" Target="https://engineering.buffalo.edu/mechanical-aerospace/people/faculty/ladder.host.html/content/shared/engineering/mechanical-aerospace/profiles/battaglia-francine.detail.html" TargetMode="External"/><Relationship Id="rId2961" Type="http://schemas.openxmlformats.org/officeDocument/2006/relationships/hyperlink" Target="http://eng.auburn.edu/directory/dyerdav" TargetMode="External"/><Relationship Id="rId3805" Type="http://schemas.openxmlformats.org/officeDocument/2006/relationships/hyperlink" Target="https://www.uah.edu/eng/departments/mae/faculty-staff/gang-wang" TargetMode="External"/><Relationship Id="rId5020" Type="http://schemas.openxmlformats.org/officeDocument/2006/relationships/hyperlink" Target="https://www.unr.edu/me/people/feifei-fan" TargetMode="External"/><Relationship Id="rId726" Type="http://schemas.openxmlformats.org/officeDocument/2006/relationships/hyperlink" Target="https://www.meche.engineering.cmu.edu/directory/bios/jayan-reeja.html" TargetMode="External"/><Relationship Id="rId933" Type="http://schemas.openxmlformats.org/officeDocument/2006/relationships/hyperlink" Target="https://www.mccormick.northwestern.edu/mechanical/research/areas/advanced-manufacturing.html" TargetMode="External"/><Relationship Id="rId1009" Type="http://schemas.openxmlformats.org/officeDocument/2006/relationships/hyperlink" Target="https://engineering.tamu.edu/nuclear/profiles/hassan-yassin-a.html" TargetMode="External"/><Relationship Id="rId1563" Type="http://schemas.openxmlformats.org/officeDocument/2006/relationships/hyperlink" Target="https://mems.duke.edu/faculty/thomas-witelski" TargetMode="External"/><Relationship Id="rId1770" Type="http://schemas.openxmlformats.org/officeDocument/2006/relationships/hyperlink" Target="https://mae.ufl.edu/people/faculty/primary/associate-professor/profiles/katerina-aifantis/" TargetMode="External"/><Relationship Id="rId2407" Type="http://schemas.openxmlformats.org/officeDocument/2006/relationships/hyperlink" Target="https://www.egr.msu.edu/people/profile/sbaek" TargetMode="External"/><Relationship Id="rId2614" Type="http://schemas.openxmlformats.org/officeDocument/2006/relationships/hyperlink" Target="https://mae.rutgers.edu/nikolaos-napoleon-vlassis" TargetMode="External"/><Relationship Id="rId2821" Type="http://schemas.openxmlformats.org/officeDocument/2006/relationships/hyperlink" Target="https://ame.engineering.arizona.edu/faculty-staff/faculty/xiaoyi-wu" TargetMode="External"/><Relationship Id="rId62" Type="http://schemas.openxmlformats.org/officeDocument/2006/relationships/hyperlink" Target="https://meche.mit.edu/people/faculty/NMP@MIT.EDU" TargetMode="External"/><Relationship Id="rId1216" Type="http://schemas.openxmlformats.org/officeDocument/2006/relationships/hyperlink" Target="https://enme.umd.edu/clark/faculty/1771/Yunfei-Zhao" TargetMode="External"/><Relationship Id="rId1423" Type="http://schemas.openxmlformats.org/officeDocument/2006/relationships/hyperlink" Target="https://me.vt.edu/people/faculty/untaroiu-alexandrina.html" TargetMode="External"/><Relationship Id="rId1630" Type="http://schemas.openxmlformats.org/officeDocument/2006/relationships/hyperlink" Target="https://mae.osu.edu/people/zhai.218" TargetMode="External"/><Relationship Id="rId4579" Type="http://schemas.openxmlformats.org/officeDocument/2006/relationships/hyperlink" Target="https://www.ou.edu/coe/ame/people/siddique.html" TargetMode="External"/><Relationship Id="rId4786" Type="http://schemas.openxmlformats.org/officeDocument/2006/relationships/hyperlink" Target="https://ceps.unh.edu/person/ivaylo-nedyalkov" TargetMode="External"/><Relationship Id="rId4993" Type="http://schemas.openxmlformats.org/officeDocument/2006/relationships/hyperlink" Target="https://engineering.louisville.edu/faculty/glen-prater/" TargetMode="External"/><Relationship Id="rId3388" Type="http://schemas.openxmlformats.org/officeDocument/2006/relationships/hyperlink" Target="https://mme.wsu.edu/kaiyan-qiu/" TargetMode="External"/><Relationship Id="rId3595" Type="http://schemas.openxmlformats.org/officeDocument/2006/relationships/hyperlink" Target="https://ecs.syracuse.edu/faculty-staff/roger-schmidt" TargetMode="External"/><Relationship Id="rId4439" Type="http://schemas.openxmlformats.org/officeDocument/2006/relationships/hyperlink" Target="https://www.lsu.edu/eng/mie/people/faculty/schoegl.php" TargetMode="External"/><Relationship Id="rId4646" Type="http://schemas.openxmlformats.org/officeDocument/2006/relationships/hyperlink" Target="https://profiles.howard.edu/h-whitworth" TargetMode="External"/><Relationship Id="rId4853" Type="http://schemas.openxmlformats.org/officeDocument/2006/relationships/hyperlink" Target="https://engineering.wayne.edu/profile/ad9168" TargetMode="External"/><Relationship Id="rId2197" Type="http://schemas.openxmlformats.org/officeDocument/2006/relationships/hyperlink" Target="https://engineering.uci.edu/users/alexandra-voloshina" TargetMode="External"/><Relationship Id="rId3248" Type="http://schemas.openxmlformats.org/officeDocument/2006/relationships/hyperlink" Target="https://www.engr.colostate.edu/me/faculty/dr-jason-quinn/" TargetMode="External"/><Relationship Id="rId3455" Type="http://schemas.openxmlformats.org/officeDocument/2006/relationships/hyperlink" Target="https://www.me.byu.edu/directory/matt-jones" TargetMode="External"/><Relationship Id="rId3662" Type="http://schemas.openxmlformats.org/officeDocument/2006/relationships/hyperlink" Target="https://profiles.ucr.edu/app/home/profile/venky" TargetMode="External"/><Relationship Id="rId4506" Type="http://schemas.openxmlformats.org/officeDocument/2006/relationships/hyperlink" Target="https://udayton.edu/directory/engineering/mechanical_and_aerospace/choi_jun-ki.php" TargetMode="External"/><Relationship Id="rId4713" Type="http://schemas.openxmlformats.org/officeDocument/2006/relationships/hyperlink" Target="https://eas.uccs.edu/mae/faculty/Todd_Bredbenner" TargetMode="External"/><Relationship Id="rId169" Type="http://schemas.openxmlformats.org/officeDocument/2006/relationships/hyperlink" Target="https://me.stanford.edu/people/allison-okamura" TargetMode="External"/><Relationship Id="rId376" Type="http://schemas.openxmlformats.org/officeDocument/2006/relationships/hyperlink" Target="https://mechse.illinois.edu/people/profile/dullerud" TargetMode="External"/><Relationship Id="rId583" Type="http://schemas.openxmlformats.org/officeDocument/2006/relationships/hyperlink" Target="https://engineering.purdue.edu/ME/People/ptProfile?resource_id=127246" TargetMode="External"/><Relationship Id="rId790" Type="http://schemas.openxmlformats.org/officeDocument/2006/relationships/hyperlink" Target="https://www.me.utexas.edu/people/faculty-directory/landsberger" TargetMode="External"/><Relationship Id="rId2057" Type="http://schemas.openxmlformats.org/officeDocument/2006/relationships/hyperlink" Target="https://ame.nd.edu/faculty/maria-warren/" TargetMode="External"/><Relationship Id="rId2264" Type="http://schemas.openxmlformats.org/officeDocument/2006/relationships/hyperlink" Target="https://www.mae.ncsu.edu/people/chuyi-chen" TargetMode="External"/><Relationship Id="rId2471" Type="http://schemas.openxmlformats.org/officeDocument/2006/relationships/hyperlink" Target="https://engineering.vanderbilt.edu/bio/robert-webster" TargetMode="External"/><Relationship Id="rId3108" Type="http://schemas.openxmlformats.org/officeDocument/2006/relationships/hyperlink" Target="https://nps.edu/faculty-profiles/-/cv/dlseivwr" TargetMode="External"/><Relationship Id="rId3315" Type="http://schemas.openxmlformats.org/officeDocument/2006/relationships/hyperlink" Target="https://researchdirectory.uc.edu/p/schulzmk" TargetMode="External"/><Relationship Id="rId3522" Type="http://schemas.openxmlformats.org/officeDocument/2006/relationships/hyperlink" Target="https://www.mtu.edu/mechanical/people/faculty/miers/" TargetMode="External"/><Relationship Id="rId4920" Type="http://schemas.openxmlformats.org/officeDocument/2006/relationships/hyperlink" Target="https://uakron.edu/engineering/me/our-people/profile.dot?u=wac1" TargetMode="External"/><Relationship Id="rId236" Type="http://schemas.openxmlformats.org/officeDocument/2006/relationships/hyperlink" Target="https://me.berkeley.edu/people/philip-s-marcus/" TargetMode="External"/><Relationship Id="rId443" Type="http://schemas.openxmlformats.org/officeDocument/2006/relationships/hyperlink" Target="https://me.engin.umich.edu/people/faculty/jesse-austin-breneman/" TargetMode="External"/><Relationship Id="rId650" Type="http://schemas.openxmlformats.org/officeDocument/2006/relationships/hyperlink" Target="https://www.engineering.cornell.edu/faculty-directory/keith-evan-green" TargetMode="External"/><Relationship Id="rId1073" Type="http://schemas.openxmlformats.org/officeDocument/2006/relationships/hyperlink" Target="https://engineering.tamu.edu/mechanical/profiles/zhou-yuxiao.html" TargetMode="External"/><Relationship Id="rId1280" Type="http://schemas.openxmlformats.org/officeDocument/2006/relationships/hyperlink" Target="https://directory.seas.upenn.edu/m-ani-hsieh/" TargetMode="External"/><Relationship Id="rId2124" Type="http://schemas.openxmlformats.org/officeDocument/2006/relationships/hyperlink" Target="https://isearch.asu.edu/profile/2294931" TargetMode="External"/><Relationship Id="rId2331" Type="http://schemas.openxmlformats.org/officeDocument/2006/relationships/hyperlink" Target="https://engineering.virginia.edu/faculty/patrick-e-hopkins" TargetMode="External"/><Relationship Id="rId5487" Type="http://schemas.openxmlformats.org/officeDocument/2006/relationships/hyperlink" Target="https://www.oakland.edu/secs/directory/r-gu" TargetMode="External"/><Relationship Id="rId303" Type="http://schemas.openxmlformats.org/officeDocument/2006/relationships/hyperlink" Target="https://www.me.gatech.edu/faculty/kumar" TargetMode="External"/><Relationship Id="rId1140" Type="http://schemas.openxmlformats.org/officeDocument/2006/relationships/hyperlink" Target="https://www.me.psu.edu/department/directory-detail-g.aspx?q=jdm5407" TargetMode="External"/><Relationship Id="rId4089" Type="http://schemas.openxmlformats.org/officeDocument/2006/relationships/hyperlink" Target="https://www.mne.k-state.edu/about/people/faculty/hosni/" TargetMode="External"/><Relationship Id="rId4296" Type="http://schemas.openxmlformats.org/officeDocument/2006/relationships/hyperlink" Target="http://www1.villanova.edu/villanova/engineering/research/Faculty/cbmss.html" TargetMode="External"/><Relationship Id="rId510" Type="http://schemas.openxmlformats.org/officeDocument/2006/relationships/hyperlink" Target="https://me.engin.umich.edu/people/faculty/anchal-sareen/" TargetMode="External"/><Relationship Id="rId5347" Type="http://schemas.openxmlformats.org/officeDocument/2006/relationships/hyperlink" Target="https://www.fau.edu/engineering/directory/faculty/kim/" TargetMode="External"/><Relationship Id="rId5554" Type="http://schemas.openxmlformats.org/officeDocument/2006/relationships/hyperlink" Target="https://eng-sci.udmercy.edu/academics/engineering/mechanical/index" TargetMode="External"/><Relationship Id="rId1000" Type="http://schemas.openxmlformats.org/officeDocument/2006/relationships/hyperlink" Target="https://engineering.tamu.edu/mechanical/profiles/erdemir-ali.html" TargetMode="External"/><Relationship Id="rId1957" Type="http://schemas.openxmlformats.org/officeDocument/2006/relationships/hyperlink" Target="https://faculty.rpi.edu/theo-borca-tasciuc" TargetMode="External"/><Relationship Id="rId4156" Type="http://schemas.openxmlformats.org/officeDocument/2006/relationships/hyperlink" Target="https://www.depts.ttu.edu/me/faculty/fazle_hussain/index.php" TargetMode="External"/><Relationship Id="rId4363" Type="http://schemas.openxmlformats.org/officeDocument/2006/relationships/hyperlink" Target="https://directory.statler.wvu.edu/faculty-staff-directory/wei-li" TargetMode="External"/><Relationship Id="rId4570" Type="http://schemas.openxmlformats.org/officeDocument/2006/relationships/hyperlink" Target="https://ou.edu/coe/ame/people/Lai" TargetMode="External"/><Relationship Id="rId5207" Type="http://schemas.openxmlformats.org/officeDocument/2006/relationships/hyperlink" Target="https://engineering.siu.edu/me/faculty-staff/faculty/nilufar.php" TargetMode="External"/><Relationship Id="rId5414" Type="http://schemas.openxmlformats.org/officeDocument/2006/relationships/hyperlink" Target="https://directory.ualr.edu/search?p=61" TargetMode="External"/><Relationship Id="rId1817" Type="http://schemas.openxmlformats.org/officeDocument/2006/relationships/hyperlink" Target="https://viterbi.usc.edu/directory/faculty/Pahlevan/Niema" TargetMode="External"/><Relationship Id="rId3172" Type="http://schemas.openxmlformats.org/officeDocument/2006/relationships/hyperlink" Target="https://mabe.utk.edu/people/brett-g-compton/" TargetMode="External"/><Relationship Id="rId4016" Type="http://schemas.openxmlformats.org/officeDocument/2006/relationships/hyperlink" Target="https://www.binghamton.edu/mechanical-engineering/people/profile.html?id=bmurray" TargetMode="External"/><Relationship Id="rId4223" Type="http://schemas.openxmlformats.org/officeDocument/2006/relationships/hyperlink" Target="http://engineering.uga.edu/people/profile/jidong-yang-ph.d" TargetMode="External"/><Relationship Id="rId4430" Type="http://schemas.openxmlformats.org/officeDocument/2006/relationships/hyperlink" Target="https://www.lsu.edu/eng/mie/people/faculty/christophermarvel.php" TargetMode="External"/><Relationship Id="rId3032" Type="http://schemas.openxmlformats.org/officeDocument/2006/relationships/hyperlink" Target="https://engineering.lehigh.edu/meche/faculty/166437" TargetMode="External"/><Relationship Id="rId160" Type="http://schemas.openxmlformats.org/officeDocument/2006/relationships/hyperlink" Target="https://me.stanford.edu/people/sanjiva-lele" TargetMode="External"/><Relationship Id="rId3989" Type="http://schemas.openxmlformats.org/officeDocument/2006/relationships/hyperlink" Target="https://sc.edu/study/colleges_schools/engineering_and_computing/faculty-staff/mostafamobli.php" TargetMode="External"/><Relationship Id="rId2798" Type="http://schemas.openxmlformats.org/officeDocument/2006/relationships/hyperlink" Target="https://ame.engineering.arizona.edu/faculty-staff/faculty" TargetMode="External"/><Relationship Id="rId3849" Type="http://schemas.openxmlformats.org/officeDocument/2006/relationships/hyperlink" Target="https://www.engr.uky.edu/directory/trinkle-christine" TargetMode="External"/><Relationship Id="rId5064" Type="http://schemas.openxmlformats.org/officeDocument/2006/relationships/hyperlink" Target="https://engineering.csuohio.edu/mce/mce" TargetMode="External"/><Relationship Id="rId5271" Type="http://schemas.openxmlformats.org/officeDocument/2006/relationships/hyperlink" Target="https://www.unlv.edu/people/kwang-kim" TargetMode="External"/><Relationship Id="rId977" Type="http://schemas.openxmlformats.org/officeDocument/2006/relationships/hyperlink" Target="https://me.jhu.edu/faculty/tamer-zaki/" TargetMode="External"/><Relationship Id="rId2658" Type="http://schemas.openxmlformats.org/officeDocument/2006/relationships/hyperlink" Target="https://www.clemson.edu/cecas/departments/me/people/faculty/boyd.html" TargetMode="External"/><Relationship Id="rId2865" Type="http://schemas.openxmlformats.org/officeDocument/2006/relationships/hyperlink" Target="https://me.engr.uconn.edu/blog/faculty/hongyi-xu/" TargetMode="External"/><Relationship Id="rId3709" Type="http://schemas.openxmlformats.org/officeDocument/2006/relationships/hyperlink" Target="https://eng.ua.edu/eng-directory/dr-steve-daniewicz/" TargetMode="External"/><Relationship Id="rId3916" Type="http://schemas.openxmlformats.org/officeDocument/2006/relationships/hyperlink" Target="https://mees.charlotte.edu/directory/mesbah-uddin" TargetMode="External"/><Relationship Id="rId4080" Type="http://schemas.openxmlformats.org/officeDocument/2006/relationships/hyperlink" Target="https://www.mne.k-state.edu/about/people/faculty/" TargetMode="External"/><Relationship Id="rId837" Type="http://schemas.openxmlformats.org/officeDocument/2006/relationships/hyperlink" Target="https://www.mccormick.northwestern.edu/mechanical/research/areas/ai-design.html" TargetMode="External"/><Relationship Id="rId1467" Type="http://schemas.openxmlformats.org/officeDocument/2006/relationships/hyperlink" Target="https://jacobsschool.ucsd.edu/people/profile/mamadou-diagne-0" TargetMode="External"/><Relationship Id="rId1674" Type="http://schemas.openxmlformats.org/officeDocument/2006/relationships/hyperlink" Target="https://www.me.columbia.edu/faculty/y-lawrence-yao" TargetMode="External"/><Relationship Id="rId1881" Type="http://schemas.openxmlformats.org/officeDocument/2006/relationships/hyperlink" Target="https://www.me.washington.edu/people/faculty/junlan_wang" TargetMode="External"/><Relationship Id="rId2518" Type="http://schemas.openxmlformats.org/officeDocument/2006/relationships/hyperlink" Target="https://www.bu.edu/eng/profile/emily-ryan-ph-d/" TargetMode="External"/><Relationship Id="rId2725" Type="http://schemas.openxmlformats.org/officeDocument/2006/relationships/hyperlink" Target="https://drexel.edu/engineering/about/faculty-staff/S/sun-wei/" TargetMode="External"/><Relationship Id="rId2932" Type="http://schemas.openxmlformats.org/officeDocument/2006/relationships/hyperlink" Target="https://www.engineering.pitt.edu/people/faculty/esta-abelev/" TargetMode="External"/><Relationship Id="rId5131" Type="http://schemas.openxmlformats.org/officeDocument/2006/relationships/hyperlink" Target="https://coes.latech.edu/facultystaff-directory/single-entry/name/arden-moore/" TargetMode="External"/><Relationship Id="rId904" Type="http://schemas.openxmlformats.org/officeDocument/2006/relationships/hyperlink" Target="https://www.mccormick.northwestern.edu/mechanical/research/areas/robotics-autonomy.html" TargetMode="External"/><Relationship Id="rId1327" Type="http://schemas.openxmlformats.org/officeDocument/2006/relationships/hyperlink" Target="https://directory.engr.wisc.edu/me/Faculty/Min_Sangkee/" TargetMode="External"/><Relationship Id="rId1534" Type="http://schemas.openxmlformats.org/officeDocument/2006/relationships/hyperlink" Target="https://mems.duke.edu/faculty/laurens-howle" TargetMode="External"/><Relationship Id="rId1741" Type="http://schemas.openxmlformats.org/officeDocument/2006/relationships/hyperlink" Target="https://mae.ufl.edu/people/faculty/primary/professor/" TargetMode="External"/><Relationship Id="rId4897" Type="http://schemas.openxmlformats.org/officeDocument/2006/relationships/hyperlink" Target="https://www.odu.edu/directory/thomas-alberts" TargetMode="External"/><Relationship Id="rId33" Type="http://schemas.openxmlformats.org/officeDocument/2006/relationships/hyperlink" Target="https://meche.mit.edu/people/faculty/bgallant@mit.edu" TargetMode="External"/><Relationship Id="rId1601" Type="http://schemas.openxmlformats.org/officeDocument/2006/relationships/hyperlink" Target="https://mae.osu.edu/people/mazumder.2" TargetMode="External"/><Relationship Id="rId3499" Type="http://schemas.openxmlformats.org/officeDocument/2006/relationships/hyperlink" Target="https://www.iit.edu/directory/people/david-williams" TargetMode="External"/><Relationship Id="rId4757" Type="http://schemas.openxmlformats.org/officeDocument/2006/relationships/hyperlink" Target="https://umdearborn.edu/people-um-dearborn/mathumai-kanapathipillai" TargetMode="External"/><Relationship Id="rId3359" Type="http://schemas.openxmlformats.org/officeDocument/2006/relationships/hyperlink" Target="https://mme.wsu.edu/faculty/amit-bandyopadhyay/" TargetMode="External"/><Relationship Id="rId3566" Type="http://schemas.openxmlformats.org/officeDocument/2006/relationships/hyperlink" Target="https://www.stevens.edu/profile/csugino" TargetMode="External"/><Relationship Id="rId4964" Type="http://schemas.openxmlformats.org/officeDocument/2006/relationships/hyperlink" Target="https://ritchieschool.du.edu/academics-education/departments/mechanical-materials-engineering" TargetMode="External"/><Relationship Id="rId487" Type="http://schemas.openxmlformats.org/officeDocument/2006/relationships/hyperlink" Target="https://me.engin.umich.edu/people/faculty/jeffrey-koller/" TargetMode="External"/><Relationship Id="rId694" Type="http://schemas.openxmlformats.org/officeDocument/2006/relationships/hyperlink" Target="https://mae.princeton.edu/people/faculty/deike" TargetMode="External"/><Relationship Id="rId2168" Type="http://schemas.openxmlformats.org/officeDocument/2006/relationships/hyperlink" Target="https://mae.ucdavis.edu/directory/erkin-seker" TargetMode="External"/><Relationship Id="rId2375" Type="http://schemas.openxmlformats.org/officeDocument/2006/relationships/hyperlink" Target="https://engineering.wustl.edu/faculty/Srikanth-Singamaneni.html" TargetMode="External"/><Relationship Id="rId3219" Type="http://schemas.openxmlformats.org/officeDocument/2006/relationships/hyperlink" Target="https://mabe.utk.edu/people/peng-zhao/" TargetMode="External"/><Relationship Id="rId3773" Type="http://schemas.openxmlformats.org/officeDocument/2006/relationships/hyperlink" Target="https://www.uta.edu/academics/faculty/profile?username=sn" TargetMode="External"/><Relationship Id="rId3980" Type="http://schemas.openxmlformats.org/officeDocument/2006/relationships/hyperlink" Target="https://sc.edu/study/colleges_schools/engineering_and_computing/faculty-staff/huang_xinyu.php" TargetMode="External"/><Relationship Id="rId4617" Type="http://schemas.openxmlformats.org/officeDocument/2006/relationships/hyperlink" Target="https://uwm.edu/engineering/people/rohatgi-pradeep/" TargetMode="External"/><Relationship Id="rId4824" Type="http://schemas.openxmlformats.org/officeDocument/2006/relationships/hyperlink" Target="https://klesse.utsa.edu/faculty/profiles/zhou-xuan.html" TargetMode="External"/><Relationship Id="rId347" Type="http://schemas.openxmlformats.org/officeDocument/2006/relationships/hyperlink" Target="https://www.me.gatech.edu/faculty/wang" TargetMode="External"/><Relationship Id="rId1184" Type="http://schemas.openxmlformats.org/officeDocument/2006/relationships/hyperlink" Target="https://enme.umd.edu/clark/faculty/1661/Avik-Dutt" TargetMode="External"/><Relationship Id="rId2028" Type="http://schemas.openxmlformats.org/officeDocument/2006/relationships/hyperlink" Target="https://ame.nd.edu/faculty/edward-kinzel/" TargetMode="External"/><Relationship Id="rId2582" Type="http://schemas.openxmlformats.org/officeDocument/2006/relationships/hyperlink" Target="https://mae.rutgers.edu/xiaoli-bai-0" TargetMode="External"/><Relationship Id="rId3426" Type="http://schemas.openxmlformats.org/officeDocument/2006/relationships/hyperlink" Target="https://www.wpi.edu/people/faculty/sisson" TargetMode="External"/><Relationship Id="rId3633" Type="http://schemas.openxmlformats.org/officeDocument/2006/relationships/hyperlink" Target="https://me.utdallas.edu/faculty-staff/walter-voit/" TargetMode="External"/><Relationship Id="rId3840" Type="http://schemas.openxmlformats.org/officeDocument/2006/relationships/hyperlink" Target="https://www.engr.uky.edu/directory/saito-kozo" TargetMode="External"/><Relationship Id="rId554" Type="http://schemas.openxmlformats.org/officeDocument/2006/relationships/hyperlink" Target="https://engineering.purdue.edu/ME/People/ptProfile?resource_id=92669" TargetMode="External"/><Relationship Id="rId761" Type="http://schemas.openxmlformats.org/officeDocument/2006/relationships/hyperlink" Target="https://www.me.utexas.edu/people/faculty-directory/bickel" TargetMode="External"/><Relationship Id="rId1391" Type="http://schemas.openxmlformats.org/officeDocument/2006/relationships/hyperlink" Target="https://me.vt.edu/people/faculty/kale-sohan.html" TargetMode="External"/><Relationship Id="rId2235" Type="http://schemas.openxmlformats.org/officeDocument/2006/relationships/hyperlink" Target="https://www.me.iastate.edu/faculty/profile/oliver" TargetMode="External"/><Relationship Id="rId2442" Type="http://schemas.openxmlformats.org/officeDocument/2006/relationships/hyperlink" Target="https://www.egr.msu.edu/people/profile/sahasra1" TargetMode="External"/><Relationship Id="rId3700" Type="http://schemas.openxmlformats.org/officeDocument/2006/relationships/hyperlink" Target="https://ceat.okstate.edu/mae/faculty-staff/faculty-bios/shuodao-wang.html" TargetMode="External"/><Relationship Id="rId207" Type="http://schemas.openxmlformats.org/officeDocument/2006/relationships/hyperlink" Target="https://mce.caltech.edu/people/mello" TargetMode="External"/><Relationship Id="rId414" Type="http://schemas.openxmlformats.org/officeDocument/2006/relationships/hyperlink" Target="https://mechse.illinois.edu/people/profile/jlramos" TargetMode="External"/><Relationship Id="rId621" Type="http://schemas.openxmlformats.org/officeDocument/2006/relationships/hyperlink" Target="https://engineering.purdue.edu/ME/People/ptProfile?resource_id=61666" TargetMode="External"/><Relationship Id="rId1044" Type="http://schemas.openxmlformats.org/officeDocument/2006/relationships/hyperlink" Target="https://engineering.tamu.edu/mechanical/profiles/pate-michael.html" TargetMode="External"/><Relationship Id="rId1251" Type="http://schemas.openxmlformats.org/officeDocument/2006/relationships/hyperlink" Target="https://cse.umn.edu/me/david-pui" TargetMode="External"/><Relationship Id="rId2302" Type="http://schemas.openxmlformats.org/officeDocument/2006/relationships/hyperlink" Target="https://www.mae.ncsu.edu/people/jftu" TargetMode="External"/><Relationship Id="rId5458" Type="http://schemas.openxmlformats.org/officeDocument/2006/relationships/hyperlink" Target="https://www.lamar.edu/engineering/mechanical/index.html" TargetMode="External"/><Relationship Id="rId1111" Type="http://schemas.openxmlformats.org/officeDocument/2006/relationships/hyperlink" Target="https://www.me.psu.edu/department/directory-detail-g.aspx?q=aub1526" TargetMode="External"/><Relationship Id="rId4267" Type="http://schemas.openxmlformats.org/officeDocument/2006/relationships/hyperlink" Target="https://engineering.missouri.edu/faculty/zheng-yan/" TargetMode="External"/><Relationship Id="rId4474" Type="http://schemas.openxmlformats.org/officeDocument/2006/relationships/hyperlink" Target="https://www.smu.edu/Lyle/Departments/ME/People/Faculty/HurmuzluYildirim" TargetMode="External"/><Relationship Id="rId4681" Type="http://schemas.openxmlformats.org/officeDocument/2006/relationships/hyperlink" Target="https://www.sdsmt.edu/Directories/Personnel/Rederth,-Daniel/" TargetMode="External"/><Relationship Id="rId5318" Type="http://schemas.openxmlformats.org/officeDocument/2006/relationships/hyperlink" Target="https://people.wright.edu/hamed.attariani" TargetMode="External"/><Relationship Id="rId5525" Type="http://schemas.openxmlformats.org/officeDocument/2006/relationships/hyperlink" Target="https://www.slu.edu/science-and-engineering/academics/aerospace-and-mechanical-engineering/faculty/mcquilling-mark.php" TargetMode="External"/><Relationship Id="rId3076" Type="http://schemas.openxmlformats.org/officeDocument/2006/relationships/hyperlink" Target="https://works.bepress.com/henry-pernicka/about/" TargetMode="External"/><Relationship Id="rId3283" Type="http://schemas.openxmlformats.org/officeDocument/2006/relationships/hyperlink" Target="https://engineering.nyu.edu/faculty/arezoo-hajesfandiari" TargetMode="External"/><Relationship Id="rId3490" Type="http://schemas.openxmlformats.org/officeDocument/2006/relationships/hyperlink" Target="https://www.iit.edu/directory/people/francisco-ruiz" TargetMode="External"/><Relationship Id="rId4127" Type="http://schemas.openxmlformats.org/officeDocument/2006/relationships/hyperlink" Target="https://mechanical.sdsu.edu/people/alex-lee.aspx" TargetMode="External"/><Relationship Id="rId4334" Type="http://schemas.openxmlformats.org/officeDocument/2006/relationships/hyperlink" Target="https://directory.statler.wvu.edu/faculty-staff-directory/cagri-kilic" TargetMode="External"/><Relationship Id="rId4541" Type="http://schemas.openxmlformats.org/officeDocument/2006/relationships/hyperlink" Target="https://me.unm.edu/about/directory/faculty/index.html" TargetMode="External"/><Relationship Id="rId1928" Type="http://schemas.openxmlformats.org/officeDocument/2006/relationships/hyperlink" Target="https://engineering.brown.edu/people/anita-shukla" TargetMode="External"/><Relationship Id="rId2092" Type="http://schemas.openxmlformats.org/officeDocument/2006/relationships/hyperlink" Target="https://isearch.asu.edu/profile/9474" TargetMode="External"/><Relationship Id="rId3143" Type="http://schemas.openxmlformats.org/officeDocument/2006/relationships/hyperlink" Target="https://mie.uic.edu/profiles/jonathan-komperda/" TargetMode="External"/><Relationship Id="rId3350" Type="http://schemas.openxmlformats.org/officeDocument/2006/relationships/hyperlink" Target="https://www.me.uh.edu/faculty/sharma" TargetMode="External"/><Relationship Id="rId271" Type="http://schemas.openxmlformats.org/officeDocument/2006/relationships/hyperlink" Target="https://www.me.gatech.edu/faculty/colton" TargetMode="External"/><Relationship Id="rId3003" Type="http://schemas.openxmlformats.org/officeDocument/2006/relationships/hyperlink" Target="https://www.mae.seas.gwu.edu/node/1456" TargetMode="External"/><Relationship Id="rId4401" Type="http://schemas.openxmlformats.org/officeDocument/2006/relationships/hyperlink" Target="https://eng.famu.fsu.edu/me/people/kalu" TargetMode="External"/><Relationship Id="rId131" Type="http://schemas.openxmlformats.org/officeDocument/2006/relationships/hyperlink" Target="https://meche.mit.edu/people/staff/ramos01@mit.edu" TargetMode="External"/><Relationship Id="rId3210" Type="http://schemas.openxmlformats.org/officeDocument/2006/relationships/hyperlink" Target="https://mabe.utk.edu/people/seungha-shin/" TargetMode="External"/><Relationship Id="rId2769" Type="http://schemas.openxmlformats.org/officeDocument/2006/relationships/hyperlink" Target="https://engineering.buffalo.edu/mechanical-aerospace/people/faculty/ladder.host.html/content/shared/engineering/mechanical-aerospace/profiles/lagor-frank.detail.html" TargetMode="External"/><Relationship Id="rId2976" Type="http://schemas.openxmlformats.org/officeDocument/2006/relationships/hyperlink" Target="http://eng.auburn.edu/directory/cgr0002" TargetMode="External"/><Relationship Id="rId5175" Type="http://schemas.openxmlformats.org/officeDocument/2006/relationships/hyperlink" Target="https://engineering.rowan.edu/faculty_staff/listing/anu-osta.html" TargetMode="External"/><Relationship Id="rId5382" Type="http://schemas.openxmlformats.org/officeDocument/2006/relationships/hyperlink" Target="https://nau.edu/mechanical-engineering/david-willy/" TargetMode="External"/><Relationship Id="rId948" Type="http://schemas.openxmlformats.org/officeDocument/2006/relationships/hyperlink" Target="https://me.jhu.edu/faculty/ishan-barman/" TargetMode="External"/><Relationship Id="rId1578" Type="http://schemas.openxmlformats.org/officeDocument/2006/relationships/hyperlink" Target="https://mae.osu.edu/people/darpino.2" TargetMode="External"/><Relationship Id="rId1785" Type="http://schemas.openxmlformats.org/officeDocument/2006/relationships/hyperlink" Target="https://mae.ufl.edu/people/faculty/primary/assistant-professor/profiles/patrick-musgrave/" TargetMode="External"/><Relationship Id="rId1992" Type="http://schemas.openxmlformats.org/officeDocument/2006/relationships/hyperlink" Target="https://me.ucsb.edu/people/igor-mezic" TargetMode="External"/><Relationship Id="rId2629" Type="http://schemas.openxmlformats.org/officeDocument/2006/relationships/hyperlink" Target="https://me.udel.edu/faculty/heather-doty/" TargetMode="External"/><Relationship Id="rId2836" Type="http://schemas.openxmlformats.org/officeDocument/2006/relationships/hyperlink" Target="https://me.engr.uconn.edu/blog/faculty/crow-david-ed/" TargetMode="External"/><Relationship Id="rId4191" Type="http://schemas.openxmlformats.org/officeDocument/2006/relationships/hyperlink" Target="http://engineering.uga.edu/people/profile/alysha-helmrich-ph.d" TargetMode="External"/><Relationship Id="rId5035" Type="http://schemas.openxmlformats.org/officeDocument/2006/relationships/hyperlink" Target="https://www.unr.edu/me/people/yan-wang" TargetMode="External"/><Relationship Id="rId5242" Type="http://schemas.openxmlformats.org/officeDocument/2006/relationships/hyperlink" Target="https://www.uidaho.edu/engr/departments/me/our-people/faculty/vibhav-durgesh" TargetMode="External"/><Relationship Id="rId77" Type="http://schemas.openxmlformats.org/officeDocument/2006/relationships/hyperlink" Target="https://meche.mit.edu/people/faculty/vivishek@mit.edu" TargetMode="External"/><Relationship Id="rId808" Type="http://schemas.openxmlformats.org/officeDocument/2006/relationships/hyperlink" Target="https://www.me.utexas.edu/people/faculty-directory/sreenivasan" TargetMode="External"/><Relationship Id="rId1438" Type="http://schemas.openxmlformats.org/officeDocument/2006/relationships/hyperlink" Target="https://seas.harvard.edu/person/cynthia-friend" TargetMode="External"/><Relationship Id="rId1645" Type="http://schemas.openxmlformats.org/officeDocument/2006/relationships/hyperlink" Target="https://profiles.rice.edu/faculty/andrew-j-meade" TargetMode="External"/><Relationship Id="rId4051" Type="http://schemas.openxmlformats.org/officeDocument/2006/relationships/hyperlink" Target="https://www.clarkson.edu/node/5646" TargetMode="External"/><Relationship Id="rId5102" Type="http://schemas.openxmlformats.org/officeDocument/2006/relationships/hyperlink" Target="mailto:kboutsen@fiu.edu" TargetMode="External"/><Relationship Id="rId1852" Type="http://schemas.openxmlformats.org/officeDocument/2006/relationships/hyperlink" Target="https://www.me.washington.edu/people/faculty/ashley_emery" TargetMode="External"/><Relationship Id="rId2903" Type="http://schemas.openxmlformats.org/officeDocument/2006/relationships/hyperlink" Target="https://www.engineering.pitt.edu/people/faculty/daniel-cole/" TargetMode="External"/><Relationship Id="rId1505" Type="http://schemas.openxmlformats.org/officeDocument/2006/relationships/hyperlink" Target="https://jacobsschool.ucsd.edu/faculty/profile?id=143" TargetMode="External"/><Relationship Id="rId1712" Type="http://schemas.openxmlformats.org/officeDocument/2006/relationships/hyperlink" Target="https://www.colorado.edu/mechanical/shelly-l-miller" TargetMode="External"/><Relationship Id="rId4868" Type="http://schemas.openxmlformats.org/officeDocument/2006/relationships/hyperlink" Target="https://www.fit.edu/faculty-profiles/n/najafi-hamidreza/" TargetMode="External"/><Relationship Id="rId3677" Type="http://schemas.openxmlformats.org/officeDocument/2006/relationships/hyperlink" Target="https://ceat.okstate.edu/mae/faculty-staff/faculty-bios/imraan-faruque.html" TargetMode="External"/><Relationship Id="rId3884" Type="http://schemas.openxmlformats.org/officeDocument/2006/relationships/hyperlink" Target="https://engineering.unl.edu/mme/joseph-turner/" TargetMode="External"/><Relationship Id="rId4728" Type="http://schemas.openxmlformats.org/officeDocument/2006/relationships/hyperlink" Target="https://eas.uccs.edu/staff/lynnane-george" TargetMode="External"/><Relationship Id="rId4935" Type="http://schemas.openxmlformats.org/officeDocument/2006/relationships/hyperlink" Target="https://uakron.edu/engineering/me/our-people/profile.dot?u=a10" TargetMode="External"/><Relationship Id="rId598" Type="http://schemas.openxmlformats.org/officeDocument/2006/relationships/hyperlink" Target="https://engineering.purdue.edu/ME/People/ptProfile?resource_id=173050" TargetMode="External"/><Relationship Id="rId2279" Type="http://schemas.openxmlformats.org/officeDocument/2006/relationships/hyperlink" Target="https://www.mae.ncsu.edu/people/xjiang5" TargetMode="External"/><Relationship Id="rId2486" Type="http://schemas.openxmlformats.org/officeDocument/2006/relationships/hyperlink" Target="https://www.bu.edu/eng/profile/pavan-bhavsar-ph-d/" TargetMode="External"/><Relationship Id="rId2693" Type="http://schemas.openxmlformats.org/officeDocument/2006/relationships/hyperlink" Target="https://www.clemson.edu/cecas/departments/me/people/faculty/xu.html" TargetMode="External"/><Relationship Id="rId3537" Type="http://schemas.openxmlformats.org/officeDocument/2006/relationships/hyperlink" Target="https://www.mtu.edu/mechanical/people/faculty/wang/" TargetMode="External"/><Relationship Id="rId3744" Type="http://schemas.openxmlformats.org/officeDocument/2006/relationships/hyperlink" Target="https://www.uta.edu/academics/faculty/profile?username=aswath" TargetMode="External"/><Relationship Id="rId3951" Type="http://schemas.openxmlformats.org/officeDocument/2006/relationships/hyperlink" Target="http://www.hajim.rochester.edu/me/people/faculty/regan_sean/index.html" TargetMode="External"/><Relationship Id="rId458" Type="http://schemas.openxmlformats.org/officeDocument/2006/relationships/hyperlink" Target="https://me.engin.umich.edu/people/faculty/neil-dasgupta/" TargetMode="External"/><Relationship Id="rId665" Type="http://schemas.openxmlformats.org/officeDocument/2006/relationships/hyperlink" Target="https://www.engineering.cornell.edu/faculty-directory/guy-hoffman" TargetMode="External"/><Relationship Id="rId872" Type="http://schemas.openxmlformats.org/officeDocument/2006/relationships/hyperlink" Target="https://www.mccormick.northwestern.edu/research-faculty/directory/profiles/johnson-mark.html" TargetMode="External"/><Relationship Id="rId1088" Type="http://schemas.openxmlformats.org/officeDocument/2006/relationships/hyperlink" Target="https://samueli.ucla.edu/people/dennis-hong/" TargetMode="External"/><Relationship Id="rId1295" Type="http://schemas.openxmlformats.org/officeDocument/2006/relationships/hyperlink" Target="https://directory.seas.upenn.edu/celia-reina/" TargetMode="External"/><Relationship Id="rId2139" Type="http://schemas.openxmlformats.org/officeDocument/2006/relationships/hyperlink" Target="https://mae.ucdavis.edu/people/christina-harvey" TargetMode="External"/><Relationship Id="rId2346" Type="http://schemas.openxmlformats.org/officeDocument/2006/relationships/hyperlink" Target="https://engineering.virginia.edu/faculty/ethan-scott" TargetMode="External"/><Relationship Id="rId2553" Type="http://schemas.openxmlformats.org/officeDocument/2006/relationships/hyperlink" Target="https://mechanical.mines.edu/project/kee-robert/" TargetMode="External"/><Relationship Id="rId2760" Type="http://schemas.openxmlformats.org/officeDocument/2006/relationships/hyperlink" Target="https://engineering.buffalo.edu/mechanical-aerospace/people/faculty/ladder.host.html/content/shared/engineering/mechanical-aerospace/profiles/chung-deborah.detail.html" TargetMode="External"/><Relationship Id="rId3604" Type="http://schemas.openxmlformats.org/officeDocument/2006/relationships/hyperlink" Target="https://me.utdallas.edu/faculty-staff/rodrigo-bernal/" TargetMode="External"/><Relationship Id="rId3811" Type="http://schemas.openxmlformats.org/officeDocument/2006/relationships/hyperlink" Target="https://www.engr.uky.edu/directory/badurdeen-fazleena" TargetMode="External"/><Relationship Id="rId318" Type="http://schemas.openxmlformats.org/officeDocument/2006/relationships/hyperlink" Target="https://www.me.gatech.edu/faculty/menon" TargetMode="External"/><Relationship Id="rId525" Type="http://schemas.openxmlformats.org/officeDocument/2006/relationships/hyperlink" Target="https://me.engin.umich.edu/people/faculty/aaron-towne/" TargetMode="External"/><Relationship Id="rId732" Type="http://schemas.openxmlformats.org/officeDocument/2006/relationships/hyperlink" Target="https://www.meche.engineering.cmu.edu/directory/bios/litster-shawn.html" TargetMode="External"/><Relationship Id="rId1155" Type="http://schemas.openxmlformats.org/officeDocument/2006/relationships/hyperlink" Target="https://www.me.psu.edu/department/directory-detail-g.aspx?q=AXS22" TargetMode="External"/><Relationship Id="rId1362" Type="http://schemas.openxmlformats.org/officeDocument/2006/relationships/hyperlink" Target="https://directory.engr.wisc.edu/me/Faculty/Berson_Arganthael/" TargetMode="External"/><Relationship Id="rId2206" Type="http://schemas.openxmlformats.org/officeDocument/2006/relationships/hyperlink" Target="https://www.me.iastate.edu/faculty/profile/jacqulyn" TargetMode="External"/><Relationship Id="rId2413" Type="http://schemas.openxmlformats.org/officeDocument/2006/relationships/hyperlink" Target="https://www.egr.msu.edu/people/profile/engeda" TargetMode="External"/><Relationship Id="rId2620" Type="http://schemas.openxmlformats.org/officeDocument/2006/relationships/hyperlink" Target="https://me.udel.edu/faculty/christina-archer/" TargetMode="External"/><Relationship Id="rId1015" Type="http://schemas.openxmlformats.org/officeDocument/2006/relationships/hyperlink" Target="https://engineering.tamu.edu/mechanical/profiles/jarrahbashi-dorrin.html" TargetMode="External"/><Relationship Id="rId1222" Type="http://schemas.openxmlformats.org/officeDocument/2006/relationships/hyperlink" Target="https://enme.umd.edu/clark/faculty/600/Chandrasekhar-Thamire" TargetMode="External"/><Relationship Id="rId4378" Type="http://schemas.openxmlformats.org/officeDocument/2006/relationships/hyperlink" Target="https://www.ecs.baylor.edu/person/dr-min-y-pack" TargetMode="External"/><Relationship Id="rId4585" Type="http://schemas.openxmlformats.org/officeDocument/2006/relationships/hyperlink" Target="https://www.ou.edu/coe/ame/people/shuozhi-xu" TargetMode="External"/><Relationship Id="rId5429" Type="http://schemas.openxmlformats.org/officeDocument/2006/relationships/hyperlink" Target="https://engineering.utulsa.edu/mechanical-engineering/faculty/profile/william-lepage" TargetMode="External"/><Relationship Id="rId3187" Type="http://schemas.openxmlformats.org/officeDocument/2006/relationships/hyperlink" Target="https://mabe.utk.edu/people/jacqueline-anne-johnson/" TargetMode="External"/><Relationship Id="rId3394" Type="http://schemas.openxmlformats.org/officeDocument/2006/relationships/hyperlink" Target="https://mme.wsu.edu/faculty/john-swensen/" TargetMode="External"/><Relationship Id="rId4238" Type="http://schemas.openxmlformats.org/officeDocument/2006/relationships/hyperlink" Target="https://me.ku.edu/people/karan-s-surana" TargetMode="External"/><Relationship Id="rId4792" Type="http://schemas.openxmlformats.org/officeDocument/2006/relationships/hyperlink" Target="https://klesse.utsa.edu/faculty/profiles/abbas-omar.html" TargetMode="External"/><Relationship Id="rId3047" Type="http://schemas.openxmlformats.org/officeDocument/2006/relationships/hyperlink" Target="https://mae.mst.edu/faculty-directory/" TargetMode="External"/><Relationship Id="rId4445" Type="http://schemas.openxmlformats.org/officeDocument/2006/relationships/hyperlink" Target="https://www.lsu.edu/eng/mie/people/faculty/wong.php" TargetMode="External"/><Relationship Id="rId4652" Type="http://schemas.openxmlformats.org/officeDocument/2006/relationships/hyperlink" Target="https://mae.nmsu.edu/faculty/dr-young-ho-park.html" TargetMode="External"/><Relationship Id="rId175" Type="http://schemas.openxmlformats.org/officeDocument/2006/relationships/hyperlink" Target="https://me.stanford.edu/people/hai-wang" TargetMode="External"/><Relationship Id="rId3254" Type="http://schemas.openxmlformats.org/officeDocument/2006/relationships/hyperlink" Target="https://www.engr.colostate.edu/me/faculty/dr-john-volckens/" TargetMode="External"/><Relationship Id="rId3461" Type="http://schemas.openxmlformats.org/officeDocument/2006/relationships/hyperlink" Target="https://www.me.byu.edu/faculty/timmclain" TargetMode="External"/><Relationship Id="rId4305" Type="http://schemas.openxmlformats.org/officeDocument/2006/relationships/hyperlink" Target="http://egr.vcu.edu/directory/braden.goddard/" TargetMode="External"/><Relationship Id="rId4512" Type="http://schemas.openxmlformats.org/officeDocument/2006/relationships/hyperlink" Target="https://udayton.edu/directory/engineering/mechanical_and_aerospace/lowe-robert.php" TargetMode="External"/><Relationship Id="rId382" Type="http://schemas.openxmlformats.org/officeDocument/2006/relationships/hyperlink" Target="https://mechse.illinois.edu/people/profile/pferreir" TargetMode="External"/><Relationship Id="rId2063" Type="http://schemas.openxmlformats.org/officeDocument/2006/relationships/hyperlink" Target="https://seas.yale.edu/faculty-research/faculty-directory" TargetMode="External"/><Relationship Id="rId2270" Type="http://schemas.openxmlformats.org/officeDocument/2006/relationships/hyperlink" Target="https://www.mae.ncsu.edu/people/gould" TargetMode="External"/><Relationship Id="rId3114" Type="http://schemas.openxmlformats.org/officeDocument/2006/relationships/hyperlink" Target="https://me.stonybrook.edu/commcms/me-eng/people/faculty/Chiang_Fu-Pen.php" TargetMode="External"/><Relationship Id="rId3321" Type="http://schemas.openxmlformats.org/officeDocument/2006/relationships/hyperlink" Target="https://researchdirectory.uc.edu/p/thompsdf" TargetMode="External"/><Relationship Id="rId242" Type="http://schemas.openxmlformats.org/officeDocument/2006/relationships/hyperlink" Target="https://me.berkeley.edu/people/oliver-m-oreilly/" TargetMode="External"/><Relationship Id="rId2130" Type="http://schemas.openxmlformats.org/officeDocument/2006/relationships/hyperlink" Target="https://mae.ucdavis.edu/people/camli-badrya" TargetMode="External"/><Relationship Id="rId5079" Type="http://schemas.openxmlformats.org/officeDocument/2006/relationships/hyperlink" Target="https://mme.fiu.edu/faculty-staff-members/norman-munroe" TargetMode="External"/><Relationship Id="rId5286" Type="http://schemas.openxmlformats.org/officeDocument/2006/relationships/hyperlink" Target="https://mechanical.engineering.unt.edu/" TargetMode="External"/><Relationship Id="rId5493" Type="http://schemas.openxmlformats.org/officeDocument/2006/relationships/hyperlink" Target="https://www.oakland.edu/secs/directory/mourelatos" TargetMode="External"/><Relationship Id="rId102" Type="http://schemas.openxmlformats.org/officeDocument/2006/relationships/hyperlink" Target="https://meche.mit.edu/people/faculty/ALG@MIT.EDU" TargetMode="External"/><Relationship Id="rId1689" Type="http://schemas.openxmlformats.org/officeDocument/2006/relationships/hyperlink" Target="https://www.colorado.edu/mechanical/longji-cui" TargetMode="External"/><Relationship Id="rId4095" Type="http://schemas.openxmlformats.org/officeDocument/2006/relationships/hyperlink" Target="https://www.mne.k-state.edu/about/people/faculty/riley/" TargetMode="External"/><Relationship Id="rId5146" Type="http://schemas.openxmlformats.org/officeDocument/2006/relationships/hyperlink" Target="https://www.marquette.edu/mechanical-engineering/directory/michael-lovell.php" TargetMode="External"/><Relationship Id="rId5353" Type="http://schemas.openxmlformats.org/officeDocument/2006/relationships/hyperlink" Target="https://www.fau.edu/engineering/directory/faculty/presuel-moreno/" TargetMode="External"/><Relationship Id="rId5560" Type="http://schemas.openxmlformats.org/officeDocument/2006/relationships/hyperlink" Target="https://www.udmercy.edu/about/people/university/ces/mechanical/plantenberg-kirstie" TargetMode="External"/><Relationship Id="rId1896" Type="http://schemas.openxmlformats.org/officeDocument/2006/relationships/hyperlink" Target="https://engineering.brown.edu/people/william-curtin" TargetMode="External"/><Relationship Id="rId2947" Type="http://schemas.openxmlformats.org/officeDocument/2006/relationships/hyperlink" Target="https://www.engineering.pitt.edu/people/faculty/sachin-velankar/" TargetMode="External"/><Relationship Id="rId4162" Type="http://schemas.openxmlformats.org/officeDocument/2006/relationships/hyperlink" Target="https://www.depts.ttu.edu/me/faculty/andrew_mosedale/index.php" TargetMode="External"/><Relationship Id="rId5006" Type="http://schemas.openxmlformats.org/officeDocument/2006/relationships/hyperlink" Target="https://umaine.edu/mecheng/khoda/" TargetMode="External"/><Relationship Id="rId5213" Type="http://schemas.openxmlformats.org/officeDocument/2006/relationships/hyperlink" Target="https://expertise.utep.edu/profiles/ylin3" TargetMode="External"/><Relationship Id="rId919" Type="http://schemas.openxmlformats.org/officeDocument/2006/relationships/hyperlink" Target="https://www.mccormick.northwestern.edu/mechanical/research/areas/robotics-autonomy.html" TargetMode="External"/><Relationship Id="rId1549" Type="http://schemas.openxmlformats.org/officeDocument/2006/relationships/hyperlink" Target="https://mems.duke.edu/faculty/louis-defrate" TargetMode="External"/><Relationship Id="rId1756" Type="http://schemas.openxmlformats.org/officeDocument/2006/relationships/hyperlink" Target="https://mae.ufl.edu/people/faculty/primary/professor/profiles/saeed-moghaddam/" TargetMode="External"/><Relationship Id="rId1963" Type="http://schemas.openxmlformats.org/officeDocument/2006/relationships/hyperlink" Target="https://faculty.rpi.edu/sandipan-mishra" TargetMode="External"/><Relationship Id="rId2807" Type="http://schemas.openxmlformats.org/officeDocument/2006/relationships/hyperlink" Target="https://ame.engineering.arizona.edu/faculty-staff/faculty/kyle-hanquist" TargetMode="External"/><Relationship Id="rId4022" Type="http://schemas.openxmlformats.org/officeDocument/2006/relationships/hyperlink" Target="https://www.binghamton.edu/mechanical-engineering/people/profile.html?id=singler" TargetMode="External"/><Relationship Id="rId5420" Type="http://schemas.openxmlformats.org/officeDocument/2006/relationships/hyperlink" Target="https://www.memphis.edu/me/faculty/gopalakrishnan.php" TargetMode="External"/><Relationship Id="rId48" Type="http://schemas.openxmlformats.org/officeDocument/2006/relationships/hyperlink" Target="https://meche.mit.edu/people/faculty/KKAMRIN@MIT.EDU" TargetMode="External"/><Relationship Id="rId1409" Type="http://schemas.openxmlformats.org/officeDocument/2006/relationships/hyperlink" Target="https://me.vt.edu/people/faculty/nowinski-matt.html" TargetMode="External"/><Relationship Id="rId1616" Type="http://schemas.openxmlformats.org/officeDocument/2006/relationships/hyperlink" Target="https://mae.osu.edu/people/srinivasan.88" TargetMode="External"/><Relationship Id="rId1823" Type="http://schemas.openxmlformats.org/officeDocument/2006/relationships/hyperlink" Target="https://viterbi.usc.edu/directory/faculty/Shiflett/Geoffrey" TargetMode="External"/><Relationship Id="rId4979" Type="http://schemas.openxmlformats.org/officeDocument/2006/relationships/hyperlink" Target="https://engineering.louisville.edu/academics/departments/mechanical/" TargetMode="External"/><Relationship Id="rId3788" Type="http://schemas.openxmlformats.org/officeDocument/2006/relationships/hyperlink" Target="https://www.uah.edu/eng/departments/mae/faculty-staff/keith-hollingsworth" TargetMode="External"/><Relationship Id="rId3995" Type="http://schemas.openxmlformats.org/officeDocument/2006/relationships/hyperlink" Target="https://sc.edu/study/colleges_schools/engineering_and_computing/faculty-staff/shazly_tarek.php" TargetMode="External"/><Relationship Id="rId4839" Type="http://schemas.openxmlformats.org/officeDocument/2006/relationships/hyperlink" Target="https://engineering.usu.edu/mae/people/faculty/zheng-zhongquan.php" TargetMode="External"/><Relationship Id="rId2597" Type="http://schemas.openxmlformats.org/officeDocument/2006/relationships/hyperlink" Target="https://mae.rutgers.edu/zhixiong-james-guo" TargetMode="External"/><Relationship Id="rId3648" Type="http://schemas.openxmlformats.org/officeDocument/2006/relationships/hyperlink" Target="https://profiles.ucr.edu/app/home/profile/lmango" TargetMode="External"/><Relationship Id="rId3855" Type="http://schemas.openxmlformats.org/officeDocument/2006/relationships/hyperlink" Target="https://engineering.unl.edu/mme/mme-faculty-staff/" TargetMode="External"/><Relationship Id="rId569" Type="http://schemas.openxmlformats.org/officeDocument/2006/relationships/hyperlink" Target="https://engineering.purdue.edu/ME/People/ptProfile?resource_id=106137" TargetMode="External"/><Relationship Id="rId776" Type="http://schemas.openxmlformats.org/officeDocument/2006/relationships/hyperlink" Target="https://www.me.utexas.edu/people/faculty-directory/fan" TargetMode="External"/><Relationship Id="rId983" Type="http://schemas.openxmlformats.org/officeDocument/2006/relationships/hyperlink" Target="https://engineering.tamu.edu/mechanical/profiles/nkanand.html" TargetMode="External"/><Relationship Id="rId1199" Type="http://schemas.openxmlformats.org/officeDocument/2006/relationships/hyperlink" Target="https://enme.umd.edu/clark/faculty/559/Teng-Li" TargetMode="External"/><Relationship Id="rId2457" Type="http://schemas.openxmlformats.org/officeDocument/2006/relationships/hyperlink" Target="https://engineering.vanderbilt.edu/me/faculty-staff/index.php" TargetMode="External"/><Relationship Id="rId2664" Type="http://schemas.openxmlformats.org/officeDocument/2006/relationships/hyperlink" Target="https://www.clemson.edu/cecas/departments/me/people/faculty/kung.html" TargetMode="External"/><Relationship Id="rId3508" Type="http://schemas.openxmlformats.org/officeDocument/2006/relationships/hyperlink" Target="https://www.mtu.edu/mechanical/people/faculty/choi/" TargetMode="External"/><Relationship Id="rId4906" Type="http://schemas.openxmlformats.org/officeDocument/2006/relationships/hyperlink" Target="https://www.odu.edu/directory/julie-z-hao" TargetMode="External"/><Relationship Id="rId5070" Type="http://schemas.openxmlformats.org/officeDocument/2006/relationships/hyperlink" Target="http://facultyprofile.csuohio.edu/csufacultyprofile/detail.cfm?FacultyID=J_SAWICKI" TargetMode="External"/><Relationship Id="rId429" Type="http://schemas.openxmlformats.org/officeDocument/2006/relationships/hyperlink" Target="https://mechse.illinois.edu/people/profile/avakakis" TargetMode="External"/><Relationship Id="rId636" Type="http://schemas.openxmlformats.org/officeDocument/2006/relationships/hyperlink" Target="https://engineering.purdue.edu/ME/People/ptProfile?resource_id=69328" TargetMode="External"/><Relationship Id="rId1059" Type="http://schemas.openxmlformats.org/officeDocument/2006/relationships/hyperlink" Target="https://engineering.tamu.edu/mechanical/profiles/subramaniam-velumani.html" TargetMode="External"/><Relationship Id="rId1266" Type="http://schemas.openxmlformats.org/officeDocument/2006/relationships/hyperlink" Target="https://directory.seas.upenn.edu/jd-albert/" TargetMode="External"/><Relationship Id="rId1473" Type="http://schemas.openxmlformats.org/officeDocument/2006/relationships/hyperlink" Target="https://jacobsschool.ucsd.edu/faculty/profile?id=413" TargetMode="External"/><Relationship Id="rId2317" Type="http://schemas.openxmlformats.org/officeDocument/2006/relationships/hyperlink" Target="https://engineering.virginia.edu/faculty/hilary-bart-smith" TargetMode="External"/><Relationship Id="rId2871" Type="http://schemas.openxmlformats.org/officeDocument/2006/relationships/hyperlink" Target="https://engineering.uiowa.edu/people/phillip-deierling" TargetMode="External"/><Relationship Id="rId3715" Type="http://schemas.openxmlformats.org/officeDocument/2006/relationships/hyperlink" Target="https://eng.ua.edu/eng-directory/dr-hyun-jin-kim/" TargetMode="External"/><Relationship Id="rId3922" Type="http://schemas.openxmlformats.org/officeDocument/2006/relationships/hyperlink" Target="https://mees.charlotte.edu/directory/haitao-zhang" TargetMode="External"/><Relationship Id="rId843" Type="http://schemas.openxmlformats.org/officeDocument/2006/relationships/hyperlink" Target="https://www.mccormick.northwestern.edu/mechanical/research/areas/robotics-autonomy.html" TargetMode="External"/><Relationship Id="rId1126" Type="http://schemas.openxmlformats.org/officeDocument/2006/relationships/hyperlink" Target="https://www.me.psu.edu/department/directory-detail-g.aspx?q=MXF36" TargetMode="External"/><Relationship Id="rId1680" Type="http://schemas.openxmlformats.org/officeDocument/2006/relationships/hyperlink" Target="https://www.colorado.edu/mechanical/chunmei-ban" TargetMode="External"/><Relationship Id="rId2524" Type="http://schemas.openxmlformats.org/officeDocument/2006/relationships/hyperlink" Target="https://www.bu.edu/eng/profile/jorg-werner/" TargetMode="External"/><Relationship Id="rId2731" Type="http://schemas.openxmlformats.org/officeDocument/2006/relationships/hyperlink" Target="https://engineering.tufts.edu/me/node/3071" TargetMode="External"/><Relationship Id="rId703" Type="http://schemas.openxmlformats.org/officeDocument/2006/relationships/hyperlink" Target="https://mae.princeton.edu/people/faculty/law" TargetMode="External"/><Relationship Id="rId910" Type="http://schemas.openxmlformats.org/officeDocument/2006/relationships/hyperlink" Target="https://www.mccormick.northwestern.edu/mechanical/research/areas/energy-sustainability.html" TargetMode="External"/><Relationship Id="rId1333" Type="http://schemas.openxmlformats.org/officeDocument/2006/relationships/hyperlink" Target="https://directory.engr.wisc.edu/me/Faculty/Pfefferkorn_Frank/" TargetMode="External"/><Relationship Id="rId1540" Type="http://schemas.openxmlformats.org/officeDocument/2006/relationships/hyperlink" Target="https://mems.duke.edu/faculty/david-needham" TargetMode="External"/><Relationship Id="rId4489" Type="http://schemas.openxmlformats.org/officeDocument/2006/relationships/hyperlink" Target="https://me.ucmerced.edu/content/abel-chuang" TargetMode="External"/><Relationship Id="rId4696" Type="http://schemas.openxmlformats.org/officeDocument/2006/relationships/hyperlink" Target="https://mechanical-engineering.uark.edu/Directory/index/uid/dcjensen/name/David+C.+Jensen/" TargetMode="External"/><Relationship Id="rId1400" Type="http://schemas.openxmlformats.org/officeDocument/2006/relationships/hyperlink" Target="https://me.vt.edu/people/faculty/li-suyi.html" TargetMode="External"/><Relationship Id="rId3298" Type="http://schemas.openxmlformats.org/officeDocument/2006/relationships/hyperlink" Target="https://ceas.uc.edu/academics/departments/mechanical-materials-engineering/People/mechanical-engineering-faculty.html" TargetMode="External"/><Relationship Id="rId4349" Type="http://schemas.openxmlformats.org/officeDocument/2006/relationships/hyperlink" Target="https://directory.statler.wvu.edu/faculty-staff-directory/nithi-sivaneri" TargetMode="External"/><Relationship Id="rId4556" Type="http://schemas.openxmlformats.org/officeDocument/2006/relationships/hyperlink" Target="https://www.ou.edu/coe/ame/people/parthasarathy.html" TargetMode="External"/><Relationship Id="rId4763" Type="http://schemas.openxmlformats.org/officeDocument/2006/relationships/hyperlink" Target="https://umdearborn.edu/people-um-dearborn/joe-fujiou-lo" TargetMode="External"/><Relationship Id="rId4970" Type="http://schemas.openxmlformats.org/officeDocument/2006/relationships/hyperlink" Target="https://ritchieschool.du.edu/about/people/peter-laz" TargetMode="External"/><Relationship Id="rId3158" Type="http://schemas.openxmlformats.org/officeDocument/2006/relationships/hyperlink" Target="https://mie.uic.edu/profiles/houshang-darabi/" TargetMode="External"/><Relationship Id="rId3365" Type="http://schemas.openxmlformats.org/officeDocument/2006/relationships/hyperlink" Target="https://mme.wsu.edu/faculty/susmita-bose/" TargetMode="External"/><Relationship Id="rId3572" Type="http://schemas.openxmlformats.org/officeDocument/2006/relationships/hyperlink" Target="https://www.stevens.edu/profile/cyu" TargetMode="External"/><Relationship Id="rId4209" Type="http://schemas.openxmlformats.org/officeDocument/2006/relationships/hyperlink" Target="http://engineering.uga.edu/people/profile/siddharth-savadatti-ph.d" TargetMode="External"/><Relationship Id="rId4416" Type="http://schemas.openxmlformats.org/officeDocument/2006/relationships/hyperlink" Target="https://eng.famu.fsu.edu/me/people/van-sciver" TargetMode="External"/><Relationship Id="rId4623" Type="http://schemas.openxmlformats.org/officeDocument/2006/relationships/hyperlink" Target="https://www.ccny.cuny.edu/profiles/feridun-delale" TargetMode="External"/><Relationship Id="rId4830" Type="http://schemas.openxmlformats.org/officeDocument/2006/relationships/hyperlink" Target="https://engineering.usu.edu/mae/people/faculty/he-tianyi.php" TargetMode="External"/><Relationship Id="rId286" Type="http://schemas.openxmlformats.org/officeDocument/2006/relationships/hyperlink" Target="https://www.me.gatech.edu/faculty/green" TargetMode="External"/><Relationship Id="rId493" Type="http://schemas.openxmlformats.org/officeDocument/2006/relationships/hyperlink" Target="https://me.engin.umich.edu/people/faculty/henry-liu/" TargetMode="External"/><Relationship Id="rId2174" Type="http://schemas.openxmlformats.org/officeDocument/2006/relationships/hyperlink" Target="https://engineering.uci.edu/users/natascha-buswell" TargetMode="External"/><Relationship Id="rId2381" Type="http://schemas.openxmlformats.org/officeDocument/2006/relationships/hyperlink" Target="https://engineering.case.edu/about/school-directory/ozan-akkus" TargetMode="External"/><Relationship Id="rId3018" Type="http://schemas.openxmlformats.org/officeDocument/2006/relationships/hyperlink" Target="https://engineering.lehigh.edu/meche/faculty/778" TargetMode="External"/><Relationship Id="rId3225" Type="http://schemas.openxmlformats.org/officeDocument/2006/relationships/hyperlink" Target="https://www.engr.colostate.edu/me/faculty/dr-tami-bond/" TargetMode="External"/><Relationship Id="rId3432" Type="http://schemas.openxmlformats.org/officeDocument/2006/relationships/hyperlink" Target="https://www.wpi.edu/people/faculty/yzheng8" TargetMode="External"/><Relationship Id="rId146" Type="http://schemas.openxmlformats.org/officeDocument/2006/relationships/hyperlink" Target="https://me.stanford.edu/people/eric-darve" TargetMode="External"/><Relationship Id="rId353" Type="http://schemas.openxmlformats.org/officeDocument/2006/relationships/hyperlink" Target="https://www.me.gatech.edu/faculty/yeo" TargetMode="External"/><Relationship Id="rId560" Type="http://schemas.openxmlformats.org/officeDocument/2006/relationships/hyperlink" Target="https://engineering.purdue.edu/ME/People/ptProfile?resource_id=134738" TargetMode="External"/><Relationship Id="rId1190" Type="http://schemas.openxmlformats.org/officeDocument/2006/relationships/hyperlink" Target="https://enme.umd.edu/clark/faculty/545/JinOh-Hahn" TargetMode="External"/><Relationship Id="rId2034" Type="http://schemas.openxmlformats.org/officeDocument/2006/relationships/hyperlink" Target="https://ame.nd.edu/faculty/karel-matous/" TargetMode="External"/><Relationship Id="rId2241" Type="http://schemas.openxmlformats.org/officeDocument/2006/relationships/hyperlink" Target="https://www.me.iastate.edu/faculty/profile/ppittoni" TargetMode="External"/><Relationship Id="rId5397" Type="http://schemas.openxmlformats.org/officeDocument/2006/relationships/hyperlink" Target="https://www.sdstate.edu/directory/john-versteeg" TargetMode="External"/><Relationship Id="rId213" Type="http://schemas.openxmlformats.org/officeDocument/2006/relationships/hyperlink" Target="https://mce.caltech.edu/people/jeshep" TargetMode="External"/><Relationship Id="rId420" Type="http://schemas.openxmlformats.org/officeDocument/2006/relationships/hyperlink" Target="https://mechse.illinois.edu/people/profile/kcsmith" TargetMode="External"/><Relationship Id="rId1050" Type="http://schemas.openxmlformats.org/officeDocument/2006/relationships/hyperlink" Target="https://engineering.tamu.edu/mechanical/profiles/rasmussen-bryan.html" TargetMode="External"/><Relationship Id="rId2101" Type="http://schemas.openxmlformats.org/officeDocument/2006/relationships/hyperlink" Target="https://isearch.asu.edu/profile/2700375" TargetMode="External"/><Relationship Id="rId5257" Type="http://schemas.openxmlformats.org/officeDocument/2006/relationships/hyperlink" Target="https://engineering.olemiss.edu/people-farhad-farzbod/" TargetMode="External"/><Relationship Id="rId4066" Type="http://schemas.openxmlformats.org/officeDocument/2006/relationships/hyperlink" Target="https://daytonabeach.erau.edu/college-engineering/mechanical/faculty" TargetMode="External"/><Relationship Id="rId5464" Type="http://schemas.openxmlformats.org/officeDocument/2006/relationships/hyperlink" Target="https://www.lamar.edu/engineering/mechanical/faculty-staff/zhe-fan/index.html" TargetMode="External"/><Relationship Id="rId1867" Type="http://schemas.openxmlformats.org/officeDocument/2006/relationships/hyperlink" Target="https://www.me.washington.edu/people/faculty/igor_novosselov" TargetMode="External"/><Relationship Id="rId2918" Type="http://schemas.openxmlformats.org/officeDocument/2006/relationships/hyperlink" Target="https://www.engineering.pitt.edu/people/faculty/anne-robertson/" TargetMode="External"/><Relationship Id="rId4273" Type="http://schemas.openxmlformats.org/officeDocument/2006/relationships/hyperlink" Target="https://www1.villanova.edu/university/engineering/academic-programs/departments/mechanical/directory/biodetail.html?mail=sridhar.santhanam@villanova.edu&amp;xsl=bio_long" TargetMode="External"/><Relationship Id="rId4480" Type="http://schemas.openxmlformats.org/officeDocument/2006/relationships/hyperlink" Target="https://www.smu.edu/Lyle/Departments/ME/People/Faculty/RaadPeter" TargetMode="External"/><Relationship Id="rId5117" Type="http://schemas.openxmlformats.org/officeDocument/2006/relationships/hyperlink" Target="https://mme.fiu.edu/faculty-staff-members/andres-tremante" TargetMode="External"/><Relationship Id="rId5324" Type="http://schemas.openxmlformats.org/officeDocument/2006/relationships/hyperlink" Target="https://people.wright.edu/nathan.klingbeil" TargetMode="External"/><Relationship Id="rId5531" Type="http://schemas.openxmlformats.org/officeDocument/2006/relationships/hyperlink" Target="https://www.uno.edu/profile/faculty/paul_herrington" TargetMode="External"/><Relationship Id="rId1727" Type="http://schemas.openxmlformats.org/officeDocument/2006/relationships/hyperlink" Target="https://www.colorado.edu/mechanical/julie-steinbrenner" TargetMode="External"/><Relationship Id="rId1934" Type="http://schemas.openxmlformats.org/officeDocument/2006/relationships/hyperlink" Target="https://engineering.brown.edu/people/anubhav-tripathi" TargetMode="External"/><Relationship Id="rId3082" Type="http://schemas.openxmlformats.org/officeDocument/2006/relationships/hyperlink" Target="https://works.bepress.com/xiaodong-yang/about/" TargetMode="External"/><Relationship Id="rId4133" Type="http://schemas.openxmlformats.org/officeDocument/2006/relationships/hyperlink" Target="https://mechanical.sdsu.edu/people/cyrus-saghafi.aspx" TargetMode="External"/><Relationship Id="rId4340" Type="http://schemas.openxmlformats.org/officeDocument/2006/relationships/hyperlink" Target="https://directory.statler.wvu.edu/faculty-staff-directory/victor-h-mucino" TargetMode="External"/><Relationship Id="rId19" Type="http://schemas.openxmlformats.org/officeDocument/2006/relationships/hyperlink" Target="https://meche.mit.edu/people/faculty/mbuehler@mit.edu" TargetMode="External"/><Relationship Id="rId3899" Type="http://schemas.openxmlformats.org/officeDocument/2006/relationships/hyperlink" Target="https://mees.charlotte.edu/directory/erina-joyee" TargetMode="External"/><Relationship Id="rId4200" Type="http://schemas.openxmlformats.org/officeDocument/2006/relationships/hyperlink" Target="http://engineering.uga.edu/people/profile/whitney-lisenbee-ph.d" TargetMode="External"/><Relationship Id="rId3759" Type="http://schemas.openxmlformats.org/officeDocument/2006/relationships/hyperlink" Target="https://www.uta.edu/academics/faculty/profile?username=huang" TargetMode="External"/><Relationship Id="rId3966" Type="http://schemas.openxmlformats.org/officeDocument/2006/relationships/hyperlink" Target="https://sc.edu/study/colleges_schools/engineering_and_computing/faculty-staff/woutdebacker.php" TargetMode="External"/><Relationship Id="rId5181" Type="http://schemas.openxmlformats.org/officeDocument/2006/relationships/hyperlink" Target="https://www.scu.edu/engineering/academic-programs/department-of-mechanical-engineering/faculty-and-staff/ayoubi.html" TargetMode="External"/><Relationship Id="rId3" Type="http://schemas.openxmlformats.org/officeDocument/2006/relationships/hyperlink" Target="https://meche.mit.edu/people" TargetMode="External"/><Relationship Id="rId887" Type="http://schemas.openxmlformats.org/officeDocument/2006/relationships/hyperlink" Target="https://www.mccormick.northwestern.edu/mechanical/research/areas/micro-nanoengineering.html" TargetMode="External"/><Relationship Id="rId2568" Type="http://schemas.openxmlformats.org/officeDocument/2006/relationships/hyperlink" Target="https://mechanical.mines.edu/project/rodriguez-derrick/" TargetMode="External"/><Relationship Id="rId2775" Type="http://schemas.openxmlformats.org/officeDocument/2006/relationships/hyperlink" Target="https://engineering.buffalo.edu/mechanical-aerospace/people/faculty/ladder.host.html/content/shared/engineering/mechanical-aerospace/profiles/mollendorf-joseph.detail.html" TargetMode="External"/><Relationship Id="rId2982" Type="http://schemas.openxmlformats.org/officeDocument/2006/relationships/hyperlink" Target="http://eng.auburn.edu/directory/azt0123" TargetMode="External"/><Relationship Id="rId3619" Type="http://schemas.openxmlformats.org/officeDocument/2006/relationships/hyperlink" Target="https://me.utdallas.edu/faculty-staff/kristin-miller/" TargetMode="External"/><Relationship Id="rId3826" Type="http://schemas.openxmlformats.org/officeDocument/2006/relationships/hyperlink" Target="https://www.engr.uky.edu/directory/jawahir-i-s" TargetMode="External"/><Relationship Id="rId5041" Type="http://schemas.openxmlformats.org/officeDocument/2006/relationships/hyperlink" Target="https://www.uwyo.edu/mechanical/" TargetMode="External"/><Relationship Id="rId747" Type="http://schemas.openxmlformats.org/officeDocument/2006/relationships/hyperlink" Target="https://www.meche.engineering.cmu.edu/directory/bios/tucker-conrad.html" TargetMode="External"/><Relationship Id="rId954" Type="http://schemas.openxmlformats.org/officeDocument/2006/relationships/hyperlink" Target="https://me.jhu.edu/faculty/jaafar-el-awady/" TargetMode="External"/><Relationship Id="rId1377" Type="http://schemas.openxmlformats.org/officeDocument/2006/relationships/hyperlink" Target="https://me.vt.edu/people/faculty/boreyko-jonathan.html" TargetMode="External"/><Relationship Id="rId1584" Type="http://schemas.openxmlformats.org/officeDocument/2006/relationships/hyperlink" Target="https://mae.osu.edu/people/gouma.2" TargetMode="External"/><Relationship Id="rId1791" Type="http://schemas.openxmlformats.org/officeDocument/2006/relationships/hyperlink" Target="https://mae.ufl.edu/people/faculty/primary/assistant-professor/profiles/xin-tang/" TargetMode="External"/><Relationship Id="rId2428" Type="http://schemas.openxmlformats.org/officeDocument/2006/relationships/hyperlink" Target="https://www.egr.msu.edu/people/profile/linshaot" TargetMode="External"/><Relationship Id="rId2635" Type="http://schemas.openxmlformats.org/officeDocument/2006/relationships/hyperlink" Target="https://me.udel.edu/faculty/m-zubaer-hossain/" TargetMode="External"/><Relationship Id="rId2842" Type="http://schemas.openxmlformats.org/officeDocument/2006/relationships/hyperlink" Target="https://me.engr.uconn.edu/blog/faculty/ilies-horea-t/" TargetMode="External"/><Relationship Id="rId83" Type="http://schemas.openxmlformats.org/officeDocument/2006/relationships/hyperlink" Target="https://meche.mit.edu/people/faculty/trumper@mit.edu" TargetMode="External"/><Relationship Id="rId607" Type="http://schemas.openxmlformats.org/officeDocument/2006/relationships/hyperlink" Target="https://engineering.purdue.edu/ME/People/ptProfile?resource_id=29343" TargetMode="External"/><Relationship Id="rId814" Type="http://schemas.openxmlformats.org/officeDocument/2006/relationships/hyperlink" Target="https://www.me.utexas.edu/people/faculty-directory/warner" TargetMode="External"/><Relationship Id="rId1237" Type="http://schemas.openxmlformats.org/officeDocument/2006/relationships/hyperlink" Target="https://cse.umn.edu/me/jiarong-hong" TargetMode="External"/><Relationship Id="rId1444" Type="http://schemas.openxmlformats.org/officeDocument/2006/relationships/hyperlink" Target="https://seas.harvard.edu/person/xin-li" TargetMode="External"/><Relationship Id="rId1651" Type="http://schemas.openxmlformats.org/officeDocument/2006/relationships/hyperlink" Target="https://profiles.rice.edu/faculty/tayfun-e-tezduyar" TargetMode="External"/><Relationship Id="rId2702" Type="http://schemas.openxmlformats.org/officeDocument/2006/relationships/hyperlink" Target="https://drexel.edu/engineering/about/faculty-staff/B/bhargava-divya/" TargetMode="External"/><Relationship Id="rId1304" Type="http://schemas.openxmlformats.org/officeDocument/2006/relationships/hyperlink" Target="https://directory.seas.upenn.edu/mark-yim/" TargetMode="External"/><Relationship Id="rId1511" Type="http://schemas.openxmlformats.org/officeDocument/2006/relationships/hyperlink" Target="https://jacobsschool.ucsd.edu/faculty/profile?id=439" TargetMode="External"/><Relationship Id="rId4667" Type="http://schemas.openxmlformats.org/officeDocument/2006/relationships/hyperlink" Target="https://www.sdsmt.edu/Directories/Personnel/Larochelle,-Pierre/" TargetMode="External"/><Relationship Id="rId4874" Type="http://schemas.openxmlformats.org/officeDocument/2006/relationships/hyperlink" Target="https://www.fit.edu/faculty-profiles/p/pinelli-jean-paul/" TargetMode="External"/><Relationship Id="rId3269" Type="http://schemas.openxmlformats.org/officeDocument/2006/relationships/hyperlink" Target="https://engineering.nyu.edu/faculty/joo-h-kim" TargetMode="External"/><Relationship Id="rId3476" Type="http://schemas.openxmlformats.org/officeDocument/2006/relationships/hyperlink" Target="https://www.iit.edu/directory/people/john-cesarone" TargetMode="External"/><Relationship Id="rId3683" Type="http://schemas.openxmlformats.org/officeDocument/2006/relationships/hyperlink" Target="https://ceat.okstate.edu/mae/faculty-staff/faculty-bios/jamey-jacob.html" TargetMode="External"/><Relationship Id="rId4527" Type="http://schemas.openxmlformats.org/officeDocument/2006/relationships/hyperlink" Target="https://udayton.edu/directory/engineering/mechanical_and_aerospace/wanstall-c-taber.php" TargetMode="External"/><Relationship Id="rId10" Type="http://schemas.openxmlformats.org/officeDocument/2006/relationships/hyperlink" Target="https://meche.mit.edu/people/faculty/asada@mit.edu" TargetMode="External"/><Relationship Id="rId397" Type="http://schemas.openxmlformats.org/officeDocument/2006/relationships/hyperlink" Target="https://mechse.illinois.edu/people/profile/bejohnso" TargetMode="External"/><Relationship Id="rId2078" Type="http://schemas.openxmlformats.org/officeDocument/2006/relationships/hyperlink" Target="https://seas.yale.edu/faculty-research/faculty-directory/brian-scassellati" TargetMode="External"/><Relationship Id="rId2285" Type="http://schemas.openxmlformats.org/officeDocument/2006/relationships/hyperlink" Target="https://www.mae.ncsu.edu/people/hluo2" TargetMode="External"/><Relationship Id="rId2492" Type="http://schemas.openxmlformats.org/officeDocument/2006/relationships/hyperlink" Target="https://www.bu.edu/eng/profile/scott-bunch/" TargetMode="External"/><Relationship Id="rId3129" Type="http://schemas.openxmlformats.org/officeDocument/2006/relationships/hyperlink" Target="https://me.stonybrook.edu/commcms/me-eng/people/faculty/Wang_Lifeng.php" TargetMode="External"/><Relationship Id="rId3336" Type="http://schemas.openxmlformats.org/officeDocument/2006/relationships/hyperlink" Target="https://www.me.uh.edu/faculty/floryan" TargetMode="External"/><Relationship Id="rId3890" Type="http://schemas.openxmlformats.org/officeDocument/2006/relationships/hyperlink" Target="https://mees.charlotte.edu/directory/faculty" TargetMode="External"/><Relationship Id="rId4734" Type="http://schemas.openxmlformats.org/officeDocument/2006/relationships/hyperlink" Target="http://me.hawaii.edu/people/konh/" TargetMode="External"/><Relationship Id="rId4941" Type="http://schemas.openxmlformats.org/officeDocument/2006/relationships/hyperlink" Target="https://uakron.edu/engineering/me/our-people/profile.dot?u=suryanarayanan" TargetMode="External"/><Relationship Id="rId257" Type="http://schemas.openxmlformats.org/officeDocument/2006/relationships/hyperlink" Target="https://me.berkeley.edu/people/george-anwar/" TargetMode="External"/><Relationship Id="rId464" Type="http://schemas.openxmlformats.org/officeDocument/2006/relationships/hyperlink" Target="https://me.engin.umich.edu/people/faculty/jon-estrada/" TargetMode="External"/><Relationship Id="rId1094" Type="http://schemas.openxmlformats.org/officeDocument/2006/relationships/hyperlink" Target="https://samueli.ucla.edu/people/ann-karagozian/" TargetMode="External"/><Relationship Id="rId2145" Type="http://schemas.openxmlformats.org/officeDocument/2006/relationships/hyperlink" Target="https://mae.ucdavis.edu/directory/valeria-la-saponara" TargetMode="External"/><Relationship Id="rId3543" Type="http://schemas.openxmlformats.org/officeDocument/2006/relationships/hyperlink" Target="https://www.stevens.edu/school-engineering-science/departments/mechanical-engineering/faculty" TargetMode="External"/><Relationship Id="rId3750" Type="http://schemas.openxmlformats.org/officeDocument/2006/relationships/hyperlink" Target="https://www.uta.edu/academics/faculty/profile?username=dancila" TargetMode="External"/><Relationship Id="rId4801" Type="http://schemas.openxmlformats.org/officeDocument/2006/relationships/hyperlink" Target="https://klesse.utsa.edu/faculty/profiles/combs-christopher.html" TargetMode="External"/><Relationship Id="rId117" Type="http://schemas.openxmlformats.org/officeDocument/2006/relationships/hyperlink" Target="https://meche.mit.edu/people/staff/hover@mit.edu" TargetMode="External"/><Relationship Id="rId671" Type="http://schemas.openxmlformats.org/officeDocument/2006/relationships/hyperlink" Target="https://www.engineering.cornell.edu/faculty-directory/zhiting-tian" TargetMode="External"/><Relationship Id="rId2352" Type="http://schemas.openxmlformats.org/officeDocument/2006/relationships/hyperlink" Target="https://engineering.wustl.edu/faculty/Philip-Bayly.html" TargetMode="External"/><Relationship Id="rId3403" Type="http://schemas.openxmlformats.org/officeDocument/2006/relationships/hyperlink" Target="https://www.wpi.edu/people/faculty/brown" TargetMode="External"/><Relationship Id="rId3610" Type="http://schemas.openxmlformats.org/officeDocument/2006/relationships/hyperlink" Target="https://me.utdallas.edu/faculty-staff/yaqing-jin/" TargetMode="External"/><Relationship Id="rId324" Type="http://schemas.openxmlformats.org/officeDocument/2006/relationships/hyperlink" Target="https://www.me.gatech.edu/faculty/sabra" TargetMode="External"/><Relationship Id="rId531" Type="http://schemas.openxmlformats.org/officeDocument/2006/relationships/hyperlink" Target="https://me.engin.umich.edu/people/faculty/anthony-waas/" TargetMode="External"/><Relationship Id="rId1161" Type="http://schemas.openxmlformats.org/officeDocument/2006/relationships/hyperlink" Target="https://www.me.psu.edu/department/directory-detail-g.aspx?q=QUW6" TargetMode="External"/><Relationship Id="rId2005" Type="http://schemas.openxmlformats.org/officeDocument/2006/relationships/hyperlink" Target="https://me.ucsb.edu/people/yangying-zhu" TargetMode="External"/><Relationship Id="rId2212" Type="http://schemas.openxmlformats.org/officeDocument/2006/relationships/hyperlink" Target="https://www.me.iastate.edu/faculty/profile/mdeza" TargetMode="External"/><Relationship Id="rId5368" Type="http://schemas.openxmlformats.org/officeDocument/2006/relationships/hyperlink" Target="https://nau.edu/mechanical-engineering/" TargetMode="External"/><Relationship Id="rId1021" Type="http://schemas.openxmlformats.org/officeDocument/2006/relationships/hyperlink" Target="https://engineering.tamu.edu/mechanical/profiles/kulatilaka-waruna.html" TargetMode="External"/><Relationship Id="rId1978" Type="http://schemas.openxmlformats.org/officeDocument/2006/relationships/hyperlink" Target="https://me.ucsb.edu/people/irene-beyerlein" TargetMode="External"/><Relationship Id="rId4177" Type="http://schemas.openxmlformats.org/officeDocument/2006/relationships/hyperlink" Target="http://engineering.uga.edu/people/profile/eliza-banu" TargetMode="External"/><Relationship Id="rId4384" Type="http://schemas.openxmlformats.org/officeDocument/2006/relationships/hyperlink" Target="https://www.ecs.baylor.edu/person/dr-ning-zhang" TargetMode="External"/><Relationship Id="rId4591" Type="http://schemas.openxmlformats.org/officeDocument/2006/relationships/hyperlink" Target="https://www.uvm.edu/node/223685" TargetMode="External"/><Relationship Id="rId5228" Type="http://schemas.openxmlformats.org/officeDocument/2006/relationships/hyperlink" Target="https://expertise.utep.edu/profiles/vkumar" TargetMode="External"/><Relationship Id="rId5435" Type="http://schemas.openxmlformats.org/officeDocument/2006/relationships/hyperlink" Target="https://engineering.utulsa.edu/mechanical-engineering/faculty/profile/steven-tipton" TargetMode="External"/><Relationship Id="rId3193" Type="http://schemas.openxmlformats.org/officeDocument/2006/relationships/hyperlink" Target="https://mabe.utk.edu/people/lee-leonard/" TargetMode="External"/><Relationship Id="rId4037" Type="http://schemas.openxmlformats.org/officeDocument/2006/relationships/hyperlink" Target="https://www.clarkson.edu/node/10951" TargetMode="External"/><Relationship Id="rId4244" Type="http://schemas.openxmlformats.org/officeDocument/2006/relationships/hyperlink" Target="https://premium.usnews.com/best-graduate-schools/top-engineering-schools/university-of-massachusetts-lowell-02081" TargetMode="External"/><Relationship Id="rId4451" Type="http://schemas.openxmlformats.org/officeDocument/2006/relationships/hyperlink" Target="https://www.me.msstate.edu/people/shane-brauer/" TargetMode="External"/><Relationship Id="rId5502" Type="http://schemas.openxmlformats.org/officeDocument/2006/relationships/hyperlink" Target="https://www.pdx.edu/profile/alexander-hunt" TargetMode="External"/><Relationship Id="rId1838" Type="http://schemas.openxmlformats.org/officeDocument/2006/relationships/hyperlink" Target="https://viterbi.usc.edu/directory/faculty/Singer/Emma" TargetMode="External"/><Relationship Id="rId3053" Type="http://schemas.openxmlformats.org/officeDocument/2006/relationships/hyperlink" Target="https://works.bepress.com/k-chandrashekhara/about/" TargetMode="External"/><Relationship Id="rId3260" Type="http://schemas.openxmlformats.org/officeDocument/2006/relationships/hyperlink" Target="https://www.engr.colostate.edu/me/faculty/dr-sing-wan-wong/" TargetMode="External"/><Relationship Id="rId4104" Type="http://schemas.openxmlformats.org/officeDocument/2006/relationships/hyperlink" Target="https://mechanical.sdsu.edu/people/faculty" TargetMode="External"/><Relationship Id="rId4311" Type="http://schemas.openxmlformats.org/officeDocument/2006/relationships/hyperlink" Target="http://egr.vcu.edu/directory/gennady.miloshevsky/" TargetMode="External"/><Relationship Id="rId181" Type="http://schemas.openxmlformats.org/officeDocument/2006/relationships/hyperlink" Target="https://me.stanford.edu/people/marlo-kohn" TargetMode="External"/><Relationship Id="rId1905" Type="http://schemas.openxmlformats.org/officeDocument/2006/relationships/hyperlink" Target="https://engineering.brown.edu/people/george-e-karniadakis" TargetMode="External"/><Relationship Id="rId3120" Type="http://schemas.openxmlformats.org/officeDocument/2006/relationships/hyperlink" Target="https://me.stonybrook.edu/commcms/me-eng/people/faculty/Hwang_David.php" TargetMode="External"/><Relationship Id="rId5085" Type="http://schemas.openxmlformats.org/officeDocument/2006/relationships/hyperlink" Target="https://mme.fiu.edu/faculty-staff-members/cheng-yu-lai" TargetMode="External"/><Relationship Id="rId998" Type="http://schemas.openxmlformats.org/officeDocument/2006/relationships/hyperlink" Target="https://engineering.tamu.edu/mechanical/profiles/delgado-adolfo.html" TargetMode="External"/><Relationship Id="rId2679" Type="http://schemas.openxmlformats.org/officeDocument/2006/relationships/hyperlink" Target="https://www.clemson.edu/cecas/departments/me/people/faculty/rickscott.html" TargetMode="External"/><Relationship Id="rId2886" Type="http://schemas.openxmlformats.org/officeDocument/2006/relationships/hyperlink" Target="https://engineering.uiowa.edu/people/deema-totah" TargetMode="External"/><Relationship Id="rId3937" Type="http://schemas.openxmlformats.org/officeDocument/2006/relationships/hyperlink" Target="http://www.hajim.rochester.edu/me/people/faculty/ellis_jonathan/index.html" TargetMode="External"/><Relationship Id="rId5292" Type="http://schemas.openxmlformats.org/officeDocument/2006/relationships/hyperlink" Target="https://mechanical.engineering.unt.edu/faculty/ravi-sankar-haridas" TargetMode="External"/><Relationship Id="rId858" Type="http://schemas.openxmlformats.org/officeDocument/2006/relationships/hyperlink" Target="https://www.mccormick.northwestern.edu/mechanical/research/areas/ai-design.html" TargetMode="External"/><Relationship Id="rId1488" Type="http://schemas.openxmlformats.org/officeDocument/2006/relationships/hyperlink" Target="https://jacobsschool.ucsd.edu/faculty/profile?id=431" TargetMode="External"/><Relationship Id="rId1695" Type="http://schemas.openxmlformats.org/officeDocument/2006/relationships/hyperlink" Target="https://www.colorado.edu/mechanical/michael-hannigan" TargetMode="External"/><Relationship Id="rId2539" Type="http://schemas.openxmlformats.org/officeDocument/2006/relationships/hyperlink" Target="https://mechanical.mines.edu/project/deinert-mark/" TargetMode="External"/><Relationship Id="rId2746" Type="http://schemas.openxmlformats.org/officeDocument/2006/relationships/hyperlink" Target="https://engineering.tufts.edu/me/node/2981" TargetMode="External"/><Relationship Id="rId2953" Type="http://schemas.openxmlformats.org/officeDocument/2006/relationships/hyperlink" Target="http://eng.auburn.edu/directory/mza0223" TargetMode="External"/><Relationship Id="rId5152" Type="http://schemas.openxmlformats.org/officeDocument/2006/relationships/hyperlink" Target="https://www.marquette.edu/mechanical-engineering/directory/philip-voglewede.php" TargetMode="External"/><Relationship Id="rId718" Type="http://schemas.openxmlformats.org/officeDocument/2006/relationships/hyperlink" Target="https://www.meche.engineering.cmu.edu/directory/bios/bergbreiter-sarah.html" TargetMode="External"/><Relationship Id="rId925" Type="http://schemas.openxmlformats.org/officeDocument/2006/relationships/hyperlink" Target="https://www.mccormick.northwestern.edu/research-faculty/directory/profiles/rubenstein-michael.html" TargetMode="External"/><Relationship Id="rId1348" Type="http://schemas.openxmlformats.org/officeDocument/2006/relationships/hyperlink" Target="https://directory.engr.wisc.edu/me/Faculty/Thompson_Dakotah/" TargetMode="External"/><Relationship Id="rId1555" Type="http://schemas.openxmlformats.org/officeDocument/2006/relationships/hyperlink" Target="https://mems.duke.edu/faculty/akhenaton-andrew-jones" TargetMode="External"/><Relationship Id="rId1762" Type="http://schemas.openxmlformats.org/officeDocument/2006/relationships/hyperlink" Target="https://mae.ufl.edu/people/faculty/primary/professor/profiles/john-schueller/" TargetMode="External"/><Relationship Id="rId2606" Type="http://schemas.openxmlformats.org/officeDocument/2006/relationships/hyperlink" Target="https://mae.rutgers.edu/michael-r-muller" TargetMode="External"/><Relationship Id="rId5012" Type="http://schemas.openxmlformats.org/officeDocument/2006/relationships/hyperlink" Target="https://umaine.edu/mecheng/rais-rohani/" TargetMode="External"/><Relationship Id="rId1208" Type="http://schemas.openxmlformats.org/officeDocument/2006/relationships/hyperlink" Target="https://enme.umd.edu/clark/faculty/593/Elisabeth-Smela" TargetMode="External"/><Relationship Id="rId1415" Type="http://schemas.openxmlformats.org/officeDocument/2006/relationships/hyperlink" Target="https://me.vt.edu/people/faculty/sandu-corina.html" TargetMode="External"/><Relationship Id="rId2813" Type="http://schemas.openxmlformats.org/officeDocument/2006/relationships/hyperlink" Target="https://ame.engineering.arizona.edu/faculty-staff/faculty/erdogan-madenci" TargetMode="External"/><Relationship Id="rId54" Type="http://schemas.openxmlformats.org/officeDocument/2006/relationships/hyperlink" Target="https://meche.mit.edu/people/faculty/JLEONARD@MIT.EDU" TargetMode="External"/><Relationship Id="rId1622" Type="http://schemas.openxmlformats.org/officeDocument/2006/relationships/hyperlink" Target="https://mae.osu.edu/people/tulpule.3" TargetMode="External"/><Relationship Id="rId4778" Type="http://schemas.openxmlformats.org/officeDocument/2006/relationships/hyperlink" Target="https://ceps.unh.edu/person/david-fredriksson" TargetMode="External"/><Relationship Id="rId4985" Type="http://schemas.openxmlformats.org/officeDocument/2006/relationships/hyperlink" Target="https://engineering.louisville.edu/faculty/yash-c-chitalia/" TargetMode="External"/><Relationship Id="rId2189" Type="http://schemas.openxmlformats.org/officeDocument/2006/relationships/hyperlink" Target="https://engineering.uci.edu/users/david-reinkensmeyer" TargetMode="External"/><Relationship Id="rId3587" Type="http://schemas.openxmlformats.org/officeDocument/2006/relationships/hyperlink" Target="https://ecs.syracuse.edu/faculty-staff/aoyi-luo-starting-fall-2023" TargetMode="External"/><Relationship Id="rId3794" Type="http://schemas.openxmlformats.org/officeDocument/2006/relationships/hyperlink" Target="https://www.uah.edu/eng/departments/mae/faculty-staff/robert-frederick" TargetMode="External"/><Relationship Id="rId4638" Type="http://schemas.openxmlformats.org/officeDocument/2006/relationships/hyperlink" Target="https://cea.howard.edu/academics/departments/department-mechanical-engineering" TargetMode="External"/><Relationship Id="rId4845" Type="http://schemas.openxmlformats.org/officeDocument/2006/relationships/hyperlink" Target="https://engineering.wayne.edu/profile/gq7131" TargetMode="External"/><Relationship Id="rId2396" Type="http://schemas.openxmlformats.org/officeDocument/2006/relationships/hyperlink" Target="https://engineering.case.edu/about/school-directory/brian-taylor" TargetMode="External"/><Relationship Id="rId3447" Type="http://schemas.openxmlformats.org/officeDocument/2006/relationships/hyperlink" Target="https://www.me.byu.edu/directory/david-fullwood" TargetMode="External"/><Relationship Id="rId3654" Type="http://schemas.openxmlformats.org/officeDocument/2006/relationships/hyperlink" Target="https://profiles.ucr.edu/app/home/profile/venkatar" TargetMode="External"/><Relationship Id="rId3861" Type="http://schemas.openxmlformats.org/officeDocument/2006/relationships/hyperlink" Target="https://engineering.unl.edu/mme/yuris-dzenis/" TargetMode="External"/><Relationship Id="rId4705" Type="http://schemas.openxmlformats.org/officeDocument/2006/relationships/hyperlink" Target="https://mechanical-engineering.uark.edu/Directory/index/uid/wshou/name/Wan+Shou/" TargetMode="External"/><Relationship Id="rId4912" Type="http://schemas.openxmlformats.org/officeDocument/2006/relationships/hyperlink" Target="https://www.odu.edu/directory/venkat-maruthamuthu" TargetMode="External"/><Relationship Id="rId368" Type="http://schemas.openxmlformats.org/officeDocument/2006/relationships/hyperlink" Target="https://mechse.illinois.edu/people/profile/bahl" TargetMode="External"/><Relationship Id="rId575" Type="http://schemas.openxmlformats.org/officeDocument/2006/relationships/hyperlink" Target="https://engineering.purdue.edu/ME/People/ptProfile?resource_id=119137" TargetMode="External"/><Relationship Id="rId782" Type="http://schemas.openxmlformats.org/officeDocument/2006/relationships/hyperlink" Target="https://www.me.utexas.edu/people/faculty-directory/haberman" TargetMode="External"/><Relationship Id="rId2049" Type="http://schemas.openxmlformats.org/officeDocument/2006/relationships/hyperlink" Target="https://ame.nd.edu/faculty/hirotaka-sakaue/" TargetMode="External"/><Relationship Id="rId2256" Type="http://schemas.openxmlformats.org/officeDocument/2006/relationships/hyperlink" Target="https://www.me.iastate.edu/faculty/profile/sczoz" TargetMode="External"/><Relationship Id="rId2463" Type="http://schemas.openxmlformats.org/officeDocument/2006/relationships/hyperlink" Target="https://engineering.vanderbilt.edu/bio/deyu-li" TargetMode="External"/><Relationship Id="rId2670" Type="http://schemas.openxmlformats.org/officeDocument/2006/relationships/hyperlink" Target="https://www.clemson.edu/cecas/departments/me/people/faculty/saez.html" TargetMode="External"/><Relationship Id="rId3307" Type="http://schemas.openxmlformats.org/officeDocument/2006/relationships/hyperlink" Target="https://researchdirectory.uc.edu/p/hustontr" TargetMode="External"/><Relationship Id="rId3514" Type="http://schemas.openxmlformats.org/officeDocument/2006/relationships/hyperlink" Target="https://www.mtu.edu/mechanical/people/faculty/idrisi/" TargetMode="External"/><Relationship Id="rId3721" Type="http://schemas.openxmlformats.org/officeDocument/2006/relationships/hyperlink" Target="https://eng.ua.edu/eng-directory/dr-ali-pakniyat/" TargetMode="External"/><Relationship Id="rId228" Type="http://schemas.openxmlformats.org/officeDocument/2006/relationships/hyperlink" Target="https://me.berkeley.edu/people/roberto-horowitz/" TargetMode="External"/><Relationship Id="rId435" Type="http://schemas.openxmlformats.org/officeDocument/2006/relationships/hyperlink" Target="https://mechse.illinois.edu/people/profile/jkyim" TargetMode="External"/><Relationship Id="rId642" Type="http://schemas.openxmlformats.org/officeDocument/2006/relationships/hyperlink" Target="https://engineering.purdue.edu/ME/People/ptProfile?resource_id=65228" TargetMode="External"/><Relationship Id="rId1065" Type="http://schemas.openxmlformats.org/officeDocument/2006/relationships/hyperlink" Target="https://engineering.tamu.edu/mechanical/profiles/tran-hai.html" TargetMode="External"/><Relationship Id="rId1272" Type="http://schemas.openxmlformats.org/officeDocument/2006/relationships/hyperlink" Target="https://directory.seas.upenn.edu/haim-h-bau/" TargetMode="External"/><Relationship Id="rId2116" Type="http://schemas.openxmlformats.org/officeDocument/2006/relationships/hyperlink" Target="https://isearch.asu.edu/profile/79040" TargetMode="External"/><Relationship Id="rId2323" Type="http://schemas.openxmlformats.org/officeDocument/2006/relationships/hyperlink" Target="https://engineering.virginia.edu/faculty/keivan-esfarjani" TargetMode="External"/><Relationship Id="rId2530" Type="http://schemas.openxmlformats.org/officeDocument/2006/relationships/hyperlink" Target="https://mechanical.mines.edu/project/asle-zaeem-mohsen/" TargetMode="External"/><Relationship Id="rId5479" Type="http://schemas.openxmlformats.org/officeDocument/2006/relationships/hyperlink" Target="https://nmt.edu/academics/mecheng/faculty/twei.php" TargetMode="External"/><Relationship Id="rId502" Type="http://schemas.openxmlformats.org/officeDocument/2006/relationships/hyperlink" Target="https://me.engin.umich.edu/people/faculty/jwo-pan/" TargetMode="External"/><Relationship Id="rId1132" Type="http://schemas.openxmlformats.org/officeDocument/2006/relationships/hyperlink" Target="https://www.me.psu.edu/department/directory-detail-g.aspx?q=rqh5445" TargetMode="External"/><Relationship Id="rId4288" Type="http://schemas.openxmlformats.org/officeDocument/2006/relationships/hyperlink" Target="https://www1.villanova.edu/university/engineering/academic-programs/departments/mechanical/directory/biodetail.html?mail=sergey.nersesov@villanova.edu&amp;xsl=bio_long" TargetMode="External"/><Relationship Id="rId4495" Type="http://schemas.openxmlformats.org/officeDocument/2006/relationships/hyperlink" Target="https://me.ucmerced.edu/content/alejandro-gutierrez" TargetMode="External"/><Relationship Id="rId5339" Type="http://schemas.openxmlformats.org/officeDocument/2006/relationships/hyperlink" Target="https://www.fau.edu/engineering/directory/faculty/curet/" TargetMode="External"/><Relationship Id="rId5546" Type="http://schemas.openxmlformats.org/officeDocument/2006/relationships/hyperlink" Target="https://und.edu/directory/william.semke" TargetMode="External"/><Relationship Id="rId3097" Type="http://schemas.openxmlformats.org/officeDocument/2006/relationships/hyperlink" Target="https://nps.edu/faculty-profiles/-/cv/dphorner" TargetMode="External"/><Relationship Id="rId4148" Type="http://schemas.openxmlformats.org/officeDocument/2006/relationships/hyperlink" Target="https://www.depts.ttu.edu/me/faculty/donald_docimo/index.php" TargetMode="External"/><Relationship Id="rId4355" Type="http://schemas.openxmlformats.org/officeDocument/2006/relationships/hyperlink" Target="https://directory.statler.wvu.edu/faculty-staff-directory/omar-hazbon-alvarez" TargetMode="External"/><Relationship Id="rId1949" Type="http://schemas.openxmlformats.org/officeDocument/2006/relationships/hyperlink" Target="https://engineering.brown.edu/people/hamzah-ansari" TargetMode="External"/><Relationship Id="rId3164" Type="http://schemas.openxmlformats.org/officeDocument/2006/relationships/hyperlink" Target="https://mabe.utk.edu/people/ragini-acharya/" TargetMode="External"/><Relationship Id="rId4008" Type="http://schemas.openxmlformats.org/officeDocument/2006/relationships/hyperlink" Target="https://www.binghamton.edu/mechanical-engineering/people/index.html" TargetMode="External"/><Relationship Id="rId4562" Type="http://schemas.openxmlformats.org/officeDocument/2006/relationships/hyperlink" Target="https://www.ou.edu/coe/ame/people/chang.html" TargetMode="External"/><Relationship Id="rId5406" Type="http://schemas.openxmlformats.org/officeDocument/2006/relationships/hyperlink" Target="https://engineering.catholic.edu/research-and-faculty/faculty-profiles/mechanical/nieh-sen/index.html" TargetMode="External"/><Relationship Id="rId292" Type="http://schemas.openxmlformats.org/officeDocument/2006/relationships/hyperlink" Target="https://www.me.gatech.edu/faculty/hu" TargetMode="External"/><Relationship Id="rId1809" Type="http://schemas.openxmlformats.org/officeDocument/2006/relationships/hyperlink" Target="https://viterbi.usc.edu/directory/faculty/Gupta/Satyandra" TargetMode="External"/><Relationship Id="rId3371" Type="http://schemas.openxmlformats.org/officeDocument/2006/relationships/hyperlink" Target="https://mme.wsu.edu/faculty/arda-gozen/" TargetMode="External"/><Relationship Id="rId4215" Type="http://schemas.openxmlformats.org/officeDocument/2006/relationships/hyperlink" Target="http://engineering.uga.edu/people/profile/e.e.-bill-tollner" TargetMode="External"/><Relationship Id="rId4422" Type="http://schemas.openxmlformats.org/officeDocument/2006/relationships/hyperlink" Target="https://www.lsu.edu/eng/mie/people/faculty/dequeiroz.php" TargetMode="External"/><Relationship Id="rId2180" Type="http://schemas.openxmlformats.org/officeDocument/2006/relationships/hyperlink" Target="https://engineering.uci.edu/users/faryar-jabbari" TargetMode="External"/><Relationship Id="rId3024" Type="http://schemas.openxmlformats.org/officeDocument/2006/relationships/hyperlink" Target="https://engineering.lehigh.edu/meche/faculty/815" TargetMode="External"/><Relationship Id="rId3231" Type="http://schemas.openxmlformats.org/officeDocument/2006/relationships/hyperlink" Target="https://www.engr.colostate.edu/me/faculty/dr-ben-c-gadomski/" TargetMode="External"/><Relationship Id="rId152" Type="http://schemas.openxmlformats.org/officeDocument/2006/relationships/hyperlink" Target="https://me.stanford.edu/people/wendy-gu" TargetMode="External"/><Relationship Id="rId2040" Type="http://schemas.openxmlformats.org/officeDocument/2006/relationships/hyperlink" Target="https://ame.nd.edu/faculty/john-ott/" TargetMode="External"/><Relationship Id="rId2997" Type="http://schemas.openxmlformats.org/officeDocument/2006/relationships/hyperlink" Target="https://www.mae.seas.gwu.edu/node/796" TargetMode="External"/><Relationship Id="rId5196" Type="http://schemas.openxmlformats.org/officeDocument/2006/relationships/hyperlink" Target="https://engineering.siu.edu/me/faculty-staff/faculty/chowdhury.php" TargetMode="External"/><Relationship Id="rId969" Type="http://schemas.openxmlformats.org/officeDocument/2006/relationships/hyperlink" Target="https://me.jhu.edu/faculty/alissa-murphy/" TargetMode="External"/><Relationship Id="rId1599" Type="http://schemas.openxmlformats.org/officeDocument/2006/relationships/hyperlink" Target="https://mae.osu.edu/people/luscher.3" TargetMode="External"/><Relationship Id="rId5056" Type="http://schemas.openxmlformats.org/officeDocument/2006/relationships/hyperlink" Target="https://www.wichita.edu/profiles/academics/engineering/mechanical_engineering/01_Faculty/Kim-Yang-Seon.php" TargetMode="External"/><Relationship Id="rId5263" Type="http://schemas.openxmlformats.org/officeDocument/2006/relationships/hyperlink" Target="https://engineering.olemiss.edu/people-wen-wu/" TargetMode="External"/><Relationship Id="rId5470" Type="http://schemas.openxmlformats.org/officeDocument/2006/relationships/hyperlink" Target="https://nmt.edu/academics/mecheng/faculty/sbakhtiyarov.php" TargetMode="External"/><Relationship Id="rId1459" Type="http://schemas.openxmlformats.org/officeDocument/2006/relationships/hyperlink" Target="https://jacobsschool.ucsd.edu/faculty/profile?id=355" TargetMode="External"/><Relationship Id="rId2857" Type="http://schemas.openxmlformats.org/officeDocument/2006/relationships/hyperlink" Target="https://me.engr.uconn.edu/blog/faculty/pasaogullari-ugur/" TargetMode="External"/><Relationship Id="rId3908" Type="http://schemas.openxmlformats.org/officeDocument/2006/relationships/hyperlink" Target="https://mees.charlotte.edu/directory/jose-cm-outeiro" TargetMode="External"/><Relationship Id="rId4072" Type="http://schemas.openxmlformats.org/officeDocument/2006/relationships/hyperlink" Target="https://daytonabeach.erau.edu/college-engineering/mechanical/faculty" TargetMode="External"/><Relationship Id="rId5123" Type="http://schemas.openxmlformats.org/officeDocument/2006/relationships/hyperlink" Target="https://coes.latech.edu/facultystaff-directory/single-entry/name/henry-cardenas/" TargetMode="External"/><Relationship Id="rId5330" Type="http://schemas.openxmlformats.org/officeDocument/2006/relationships/hyperlink" Target="https://people.wright.edu/mitch.wolff" TargetMode="External"/><Relationship Id="rId98" Type="http://schemas.openxmlformats.org/officeDocument/2006/relationships/hyperlink" Target="https://meche.mit.edu/people/faculty/LJGIBSON@MIT.EDU" TargetMode="External"/><Relationship Id="rId829" Type="http://schemas.openxmlformats.org/officeDocument/2006/relationships/hyperlink" Target="https://www.mccormick.northwestern.edu/mechanical/research/areas/micro-nanoengineering.html" TargetMode="External"/><Relationship Id="rId1666" Type="http://schemas.openxmlformats.org/officeDocument/2006/relationships/hyperlink" Target="https://www.me.columbia.edu/faculty/hod-lipson" TargetMode="External"/><Relationship Id="rId1873" Type="http://schemas.openxmlformats.org/officeDocument/2006/relationships/hyperlink" Target="https://www.me.washington.edu/people/faculty/per_reinhall" TargetMode="External"/><Relationship Id="rId2717" Type="http://schemas.openxmlformats.org/officeDocument/2006/relationships/hyperlink" Target="https://drexel.edu/engineering/about/faculty-staff/L/lau-alancw/" TargetMode="External"/><Relationship Id="rId2924" Type="http://schemas.openxmlformats.org/officeDocument/2006/relationships/hyperlink" Target="https://www.engineering.pitt.edu/people/faculty/jeffrey-vipperman/" TargetMode="External"/><Relationship Id="rId1319" Type="http://schemas.openxmlformats.org/officeDocument/2006/relationships/hyperlink" Target="https://directory.engr.wisc.edu/me/Faculty/Henak_Corinne/" TargetMode="External"/><Relationship Id="rId1526" Type="http://schemas.openxmlformats.org/officeDocument/2006/relationships/hyperlink" Target="https://mems.duke.edu/faculty/miaofang-chi" TargetMode="External"/><Relationship Id="rId1733" Type="http://schemas.openxmlformats.org/officeDocument/2006/relationships/hyperlink" Target="https://www.colorado.edu/mechanical/nathalie-m-vriend" TargetMode="External"/><Relationship Id="rId1940" Type="http://schemas.openxmlformats.org/officeDocument/2006/relationships/hyperlink" Target="https://engineering.brown.edu/people/roberto-zenit" TargetMode="External"/><Relationship Id="rId4889" Type="http://schemas.openxmlformats.org/officeDocument/2006/relationships/hyperlink" Target="https://www.ncat.edu/employee-bio.php?directoryID=768864204" TargetMode="External"/><Relationship Id="rId25" Type="http://schemas.openxmlformats.org/officeDocument/2006/relationships/hyperlink" Target="https://meche.mit.edu/people/faculty/CHRYS@MIT.EDU" TargetMode="External"/><Relationship Id="rId1800" Type="http://schemas.openxmlformats.org/officeDocument/2006/relationships/hyperlink" Target="https://mae.ufl.edu/people/faculty/primary/instructional-professors/profiles/shannon-ridgeway/" TargetMode="External"/><Relationship Id="rId3698" Type="http://schemas.openxmlformats.org/officeDocument/2006/relationships/hyperlink" Target="https://directory.okstate.edu/index.php/module/Default/action/ViewPerson?dirkey=540245&amp;campus=1" TargetMode="External"/><Relationship Id="rId4749" Type="http://schemas.openxmlformats.org/officeDocument/2006/relationships/hyperlink" Target="https://umdearborn.edu/people-um-dearborn/oleg-zikanov" TargetMode="External"/><Relationship Id="rId4956" Type="http://schemas.openxmlformats.org/officeDocument/2006/relationships/hyperlink" Target="https://www.uab.edu/engineering/mme/people/faculty/manoj-k-mahapatra" TargetMode="External"/><Relationship Id="rId3558" Type="http://schemas.openxmlformats.org/officeDocument/2006/relationships/hyperlink" Target="https://www.stevens.edu/profile/cpierre" TargetMode="External"/><Relationship Id="rId3765" Type="http://schemas.openxmlformats.org/officeDocument/2006/relationships/hyperlink" Target="https://www.uta.edu/academics/faculty/profile?username=djkim" TargetMode="External"/><Relationship Id="rId3972" Type="http://schemas.openxmlformats.org/officeDocument/2006/relationships/hyperlink" Target="https://sc.edu/study/colleges_schools/engineering_and_computing/faculty-staff/giurgiutiu_victor.php" TargetMode="External"/><Relationship Id="rId4609" Type="http://schemas.openxmlformats.org/officeDocument/2006/relationships/hyperlink" Target="https://uwm.edu/engineering/people/dsouza-roshan/" TargetMode="External"/><Relationship Id="rId4816" Type="http://schemas.openxmlformats.org/officeDocument/2006/relationships/hyperlink" Target="https://klesse.utsa.edu/faculty/profiles/pineda-daniel.html" TargetMode="External"/><Relationship Id="rId479" Type="http://schemas.openxmlformats.org/officeDocument/2006/relationships/hyperlink" Target="https://me.engin.umich.edu/people/faculty/jay-guo/" TargetMode="External"/><Relationship Id="rId686" Type="http://schemas.openxmlformats.org/officeDocument/2006/relationships/hyperlink" Target="https://www.engineering.cornell.edu/faculty-directory/andrew-van-paridon" TargetMode="External"/><Relationship Id="rId893" Type="http://schemas.openxmlformats.org/officeDocument/2006/relationships/hyperlink" Target="https://www.mccormick.northwestern.edu/mechanical/research/areas/energy-sustainability.html" TargetMode="External"/><Relationship Id="rId2367" Type="http://schemas.openxmlformats.org/officeDocument/2006/relationships/hyperlink" Target="https://engineering.wustl.edu/faculty/Mark-Meacham.html" TargetMode="External"/><Relationship Id="rId2574" Type="http://schemas.openxmlformats.org/officeDocument/2006/relationships/hyperlink" Target="https://mechanical.mines.edu/project/tucker-garritt/" TargetMode="External"/><Relationship Id="rId2781" Type="http://schemas.openxmlformats.org/officeDocument/2006/relationships/hyperlink" Target="https://engineering.buffalo.edu/mechanical-aerospace/people/faculty/ladder.host.html/content/shared/engineering/mechanical-aerospace/profiles/salac-david.detail.html" TargetMode="External"/><Relationship Id="rId3418" Type="http://schemas.openxmlformats.org/officeDocument/2006/relationships/hyperlink" Target="https://www.wpi.edu/people/faculty/bmishra" TargetMode="External"/><Relationship Id="rId3625" Type="http://schemas.openxmlformats.org/officeDocument/2006/relationships/hyperlink" Target="https://me.utdallas.edu/faculty-staff/oziel-rios/" TargetMode="External"/><Relationship Id="rId339" Type="http://schemas.openxmlformats.org/officeDocument/2006/relationships/hyperlink" Target="https://www.me.gatech.edu/faculty/sprigle" TargetMode="External"/><Relationship Id="rId546" Type="http://schemas.openxmlformats.org/officeDocument/2006/relationships/hyperlink" Target="https://engineering.purdue.edu/ME/People/ptProfile?resource_id=113161" TargetMode="External"/><Relationship Id="rId753" Type="http://schemas.openxmlformats.org/officeDocument/2006/relationships/hyperlink" Target="https://www.meche.engineering.cmu.edu/directory/bios/zhao-ding.html" TargetMode="External"/><Relationship Id="rId1176" Type="http://schemas.openxmlformats.org/officeDocument/2006/relationships/hyperlink" Target="https://enme.umd.edu/clark/faculty/652/Aris-Christou" TargetMode="External"/><Relationship Id="rId1383" Type="http://schemas.openxmlformats.org/officeDocument/2006/relationships/hyperlink" Target="https://me.vt.edu/people/faculty/eskandarian-azim.html" TargetMode="External"/><Relationship Id="rId2227" Type="http://schemas.openxmlformats.org/officeDocument/2006/relationships/hyperlink" Target="https://www.me.iastate.edu/faculty/profile/vlevitas" TargetMode="External"/><Relationship Id="rId2434" Type="http://schemas.openxmlformats.org/officeDocument/2006/relationships/hyperlink" Target="https://www.egr.msu.edu/people/profile/naguib" TargetMode="External"/><Relationship Id="rId3832" Type="http://schemas.openxmlformats.org/officeDocument/2006/relationships/hyperlink" Target="https://www.engr.uky.edu/directory/maddox-john" TargetMode="External"/><Relationship Id="rId406" Type="http://schemas.openxmlformats.org/officeDocument/2006/relationships/hyperlink" Target="https://mechse.illinois.edu/people/profile/matalon" TargetMode="External"/><Relationship Id="rId960" Type="http://schemas.openxmlformats.org/officeDocument/2006/relationships/hyperlink" Target="https://me.jhu.edu/faculty/joseph-katz/" TargetMode="External"/><Relationship Id="rId1036" Type="http://schemas.openxmlformats.org/officeDocument/2006/relationships/hyperlink" Target="https://engineering.tamu.edu/mechanical/profiles/mohiuddin-waqar.html" TargetMode="External"/><Relationship Id="rId1243" Type="http://schemas.openxmlformats.org/officeDocument/2006/relationships/hyperlink" Target="https://cse.umn.edu/me/tim-kowalewski" TargetMode="External"/><Relationship Id="rId1590" Type="http://schemas.openxmlformats.org/officeDocument/2006/relationships/hyperlink" Target="https://mae.osu.edu/people/hong.250" TargetMode="External"/><Relationship Id="rId2641" Type="http://schemas.openxmlformats.org/officeDocument/2006/relationships/hyperlink" Target="https://me.udel.edu/faculty/ioannis-poulakakis/" TargetMode="External"/><Relationship Id="rId4399" Type="http://schemas.openxmlformats.org/officeDocument/2006/relationships/hyperlink" Target="https://eng.famu.fsu.edu/me/people/peterson-hruda" TargetMode="External"/><Relationship Id="rId613" Type="http://schemas.openxmlformats.org/officeDocument/2006/relationships/hyperlink" Target="https://engineering.purdue.edu/ME/People/ptProfile?resource_id=84937" TargetMode="External"/><Relationship Id="rId820" Type="http://schemas.openxmlformats.org/officeDocument/2006/relationships/hyperlink" Target="https://www.mccormick.northwestern.edu/research-faculty/directory/profiles/akono-ange-therese.html" TargetMode="External"/><Relationship Id="rId1450" Type="http://schemas.openxmlformats.org/officeDocument/2006/relationships/hyperlink" Target="https://mae.ucsd.edu/people/faculty-profiles" TargetMode="External"/><Relationship Id="rId2501" Type="http://schemas.openxmlformats.org/officeDocument/2006/relationships/hyperlink" Target="https://www.bu.edu/eng/profile/srikanth-gopalan-ph-d/" TargetMode="External"/><Relationship Id="rId1103" Type="http://schemas.openxmlformats.org/officeDocument/2006/relationships/hyperlink" Target="https://samueli.ucla.edu/people/laurent-pilon/" TargetMode="External"/><Relationship Id="rId1310" Type="http://schemas.openxmlformats.org/officeDocument/2006/relationships/hyperlink" Target="https://directory.engr.wisc.edu/me/Faculty/Bonazza_Riccardo/" TargetMode="External"/><Relationship Id="rId4259" Type="http://schemas.openxmlformats.org/officeDocument/2006/relationships/hyperlink" Target="https://engineering.missouri.edu/faculty/noah-d-manring/" TargetMode="External"/><Relationship Id="rId4466" Type="http://schemas.openxmlformats.org/officeDocument/2006/relationships/hyperlink" Target="http://me.msstate.edu/people/faculty/ross-smith" TargetMode="External"/><Relationship Id="rId4673" Type="http://schemas.openxmlformats.org/officeDocument/2006/relationships/hyperlink" Target="https://www.sdsmt.edu/Directories/Personnel/John-Thalakkottor,-Joseph/" TargetMode="External"/><Relationship Id="rId4880" Type="http://schemas.openxmlformats.org/officeDocument/2006/relationships/hyperlink" Target="https://www.fit.edu/faculty-profiles/w/wang-kegang/" TargetMode="External"/><Relationship Id="rId5517" Type="http://schemas.openxmlformats.org/officeDocument/2006/relationships/hyperlink" Target="mailto:susheel.singh@slu.edu" TargetMode="External"/><Relationship Id="rId3068" Type="http://schemas.openxmlformats.org/officeDocument/2006/relationships/hyperlink" Target="https://works.bepress.com/frank-liou/about/" TargetMode="External"/><Relationship Id="rId3275" Type="http://schemas.openxmlformats.org/officeDocument/2006/relationships/hyperlink" Target="https://engineering.nyu.edu/faculty/chen-feng" TargetMode="External"/><Relationship Id="rId3482" Type="http://schemas.openxmlformats.org/officeDocument/2006/relationships/hyperlink" Target="https://www.iit.edu/directory/people/carrie-hall" TargetMode="External"/><Relationship Id="rId4119" Type="http://schemas.openxmlformats.org/officeDocument/2006/relationships/hyperlink" Target="https://mechanical.sdsu.edu/people/zahra-nili-ahmadabadi.aspx" TargetMode="External"/><Relationship Id="rId4326" Type="http://schemas.openxmlformats.org/officeDocument/2006/relationships/hyperlink" Target="https://directory.statler.wvu.edu/faculty-staff-directory/omid-askari" TargetMode="External"/><Relationship Id="rId4533" Type="http://schemas.openxmlformats.org/officeDocument/2006/relationships/hyperlink" Target="https://people.miami.edu/profile/ecb41da1f6d1c27ab6cdbea806436bda" TargetMode="External"/><Relationship Id="rId4740" Type="http://schemas.openxmlformats.org/officeDocument/2006/relationships/hyperlink" Target="http://me.hawaii.edu/people/wlee/" TargetMode="External"/><Relationship Id="rId196" Type="http://schemas.openxmlformats.org/officeDocument/2006/relationships/hyperlink" Target="https://mce.caltech.edu/people/bhatta" TargetMode="External"/><Relationship Id="rId2084" Type="http://schemas.openxmlformats.org/officeDocument/2006/relationships/hyperlink" Target="https://seas.yale.edu/faculty-research/faculty-directory/daniel-wiznia" TargetMode="External"/><Relationship Id="rId2291" Type="http://schemas.openxmlformats.org/officeDocument/2006/relationships/hyperlink" Target="https://www.mae.ncsu.edu/people/gngaile" TargetMode="External"/><Relationship Id="rId3135" Type="http://schemas.openxmlformats.org/officeDocument/2006/relationships/hyperlink" Target="https://mie.uic.edu/profiles/bhounsule-pranav/" TargetMode="External"/><Relationship Id="rId3342" Type="http://schemas.openxmlformats.org/officeDocument/2006/relationships/hyperlink" Target="https://www.me.uh.edu/faculty/kulkarni" TargetMode="External"/><Relationship Id="rId4600" Type="http://schemas.openxmlformats.org/officeDocument/2006/relationships/hyperlink" Target="https://www.uvm.edu/node/241852" TargetMode="External"/><Relationship Id="rId263" Type="http://schemas.openxmlformats.org/officeDocument/2006/relationships/hyperlink" Target="https://www.me.gatech.edu/faculty" TargetMode="External"/><Relationship Id="rId470" Type="http://schemas.openxmlformats.org/officeDocument/2006/relationships/hyperlink" Target="https://me.engin.umich.edu/people/faculty/jianping-fu/" TargetMode="External"/><Relationship Id="rId2151" Type="http://schemas.openxmlformats.org/officeDocument/2006/relationships/hyperlink" Target="https://mae.ucdavis.edu/directory/jae-wan-park" TargetMode="External"/><Relationship Id="rId3202" Type="http://schemas.openxmlformats.org/officeDocument/2006/relationships/hyperlink" Target="https://mabe.utk.edu/people/paul-palies/" TargetMode="External"/><Relationship Id="rId123" Type="http://schemas.openxmlformats.org/officeDocument/2006/relationships/hyperlink" Target="https://meche.mit.edu/people/staff/clawson@MIT.EDU" TargetMode="External"/><Relationship Id="rId330" Type="http://schemas.openxmlformats.org/officeDocument/2006/relationships/hyperlink" Target="https://www.me.gatech.edu/user/1078" TargetMode="External"/><Relationship Id="rId2011" Type="http://schemas.openxmlformats.org/officeDocument/2006/relationships/hyperlink" Target="https://ame.nd.edu/faculty/robert-bernhard/" TargetMode="External"/><Relationship Id="rId5167" Type="http://schemas.openxmlformats.org/officeDocument/2006/relationships/hyperlink" Target="https://engineering.rowan.edu/programs/mechanical/people/" TargetMode="External"/><Relationship Id="rId5374" Type="http://schemas.openxmlformats.org/officeDocument/2006/relationships/hyperlink" Target="https://nau.edu/mechanical-engineering/cole-joslyn/" TargetMode="External"/><Relationship Id="rId2968" Type="http://schemas.openxmlformats.org/officeDocument/2006/relationships/hyperlink" Target="http://eng.auburn.edu/directory/khodajm" TargetMode="External"/><Relationship Id="rId4183" Type="http://schemas.openxmlformats.org/officeDocument/2006/relationships/hyperlink" Target="http://engineering.uga.edu/people/profile/k.c.-das-ph.d" TargetMode="External"/><Relationship Id="rId5027" Type="http://schemas.openxmlformats.org/officeDocument/2006/relationships/hyperlink" Target="https://www.unr.edu/me/people/pradeep-menezes" TargetMode="External"/><Relationship Id="rId1777" Type="http://schemas.openxmlformats.org/officeDocument/2006/relationships/hyperlink" Target="https://mae.ufl.edu/people/faculty/primary/associate-professor/profiles/steven-miller/" TargetMode="External"/><Relationship Id="rId1984" Type="http://schemas.openxmlformats.org/officeDocument/2006/relationships/hyperlink" Target="https://me.ucsb.edu/people/ousmane-kodio" TargetMode="External"/><Relationship Id="rId2828" Type="http://schemas.openxmlformats.org/officeDocument/2006/relationships/hyperlink" Target="https://me.engr.uconn.edu/people/faculty/" TargetMode="External"/><Relationship Id="rId4390" Type="http://schemas.openxmlformats.org/officeDocument/2006/relationships/hyperlink" Target="https://eng.famu.fsu.edu/me/people/chagas" TargetMode="External"/><Relationship Id="rId5234" Type="http://schemas.openxmlformats.org/officeDocument/2006/relationships/hyperlink" Target="https://expertise.utep.edu/profiles/eshafirovich2" TargetMode="External"/><Relationship Id="rId5441" Type="http://schemas.openxmlformats.org/officeDocument/2006/relationships/hyperlink" Target="https://wmich.edu/mechanical-aerospace/directory/asher" TargetMode="External"/><Relationship Id="rId69" Type="http://schemas.openxmlformats.org/officeDocument/2006/relationships/hyperlink" Target="https://meche.mit.edu/people/faculty/sesarma@mit.edu" TargetMode="External"/><Relationship Id="rId1637" Type="http://schemas.openxmlformats.org/officeDocument/2006/relationships/hyperlink" Target="https://profiles.rice.edu/faculty/yildiz-bayazitoglu-0" TargetMode="External"/><Relationship Id="rId1844" Type="http://schemas.openxmlformats.org/officeDocument/2006/relationships/hyperlink" Target="https://www.me.washington.edu/people/faculty/michael_bailey" TargetMode="External"/><Relationship Id="rId4043" Type="http://schemas.openxmlformats.org/officeDocument/2006/relationships/hyperlink" Target="https://www.clarkson.edu/node/45828" TargetMode="External"/><Relationship Id="rId4250" Type="http://schemas.openxmlformats.org/officeDocument/2006/relationships/hyperlink" Target="https://engineering.missouri.edu/faculty/guoliang-huang/" TargetMode="External"/><Relationship Id="rId5301" Type="http://schemas.openxmlformats.org/officeDocument/2006/relationships/hyperlink" Target="https://mechanical.engineering.unt.edu/faculty/vish-prasad" TargetMode="External"/><Relationship Id="rId1704" Type="http://schemas.openxmlformats.org/officeDocument/2006/relationships/hyperlink" Target="https://www.colorado.edu/mechanical/daria-kotys-schwartz" TargetMode="External"/><Relationship Id="rId4110" Type="http://schemas.openxmlformats.org/officeDocument/2006/relationships/hyperlink" Target="https://mechanical.sdsu.edu/people/meysam-heydari-gharahcheshmeh.aspx" TargetMode="External"/><Relationship Id="rId1911" Type="http://schemas.openxmlformats.org/officeDocument/2006/relationships/hyperlink" Target="https://engineering.brown.edu/people/larry-larson" TargetMode="External"/><Relationship Id="rId3669" Type="http://schemas.openxmlformats.org/officeDocument/2006/relationships/hyperlink" Target="https://ceat.okstate.edu/mae/faculty-staff/faculty-bios/alyssa-avery.html" TargetMode="External"/><Relationship Id="rId797" Type="http://schemas.openxmlformats.org/officeDocument/2006/relationships/hyperlink" Target="https://www.me.utexas.edu/people/faculty-directory/marras" TargetMode="External"/><Relationship Id="rId2478" Type="http://schemas.openxmlformats.org/officeDocument/2006/relationships/hyperlink" Target="https://www.bu.edu/eng/profile/sean-andersson/" TargetMode="External"/><Relationship Id="rId3876" Type="http://schemas.openxmlformats.org/officeDocument/2006/relationships/hyperlink" Target="https://engineering.unl.edu/mme/faculty/jae-sung-park/" TargetMode="External"/><Relationship Id="rId4927" Type="http://schemas.openxmlformats.org/officeDocument/2006/relationships/hyperlink" Target="https://uakron.edu/engineering/me/our-people/profile.dot?u=ngarafo" TargetMode="External"/><Relationship Id="rId5091" Type="http://schemas.openxmlformats.org/officeDocument/2006/relationships/hyperlink" Target="https://mme.fiu.edu/faculty-staff-members/darryl-dickerson" TargetMode="External"/><Relationship Id="rId1287" Type="http://schemas.openxmlformats.org/officeDocument/2006/relationships/hyperlink" Target="https://directory.seas.upenn.edu/jennifer-r-lukes/" TargetMode="External"/><Relationship Id="rId2685" Type="http://schemas.openxmlformats.org/officeDocument/2006/relationships/hyperlink" Target="https://www.clemson.edu/cecas/departments/me/people/faculty/turner.html" TargetMode="External"/><Relationship Id="rId2892" Type="http://schemas.openxmlformats.org/officeDocument/2006/relationships/hyperlink" Target="https://www.engineering.pitt.edu/people/faculty/brian-gleeson/" TargetMode="External"/><Relationship Id="rId3529" Type="http://schemas.openxmlformats.org/officeDocument/2006/relationships/hyperlink" Target="https://www.mtu.edu/mechanical/people/faculty/ponta/" TargetMode="External"/><Relationship Id="rId3736" Type="http://schemas.openxmlformats.org/officeDocument/2006/relationships/hyperlink" Target="https://mie.njit.edu/faculty" TargetMode="External"/><Relationship Id="rId3943" Type="http://schemas.openxmlformats.org/officeDocument/2006/relationships/hyperlink" Target="http://www.hajim.rochester.edu/me/people/faculty/lambropoulos_john/index.html" TargetMode="External"/><Relationship Id="rId657" Type="http://schemas.openxmlformats.org/officeDocument/2006/relationships/hyperlink" Target="https://www.mae.cornell.edu/faculty-directory/stuart-leigh-phoenix" TargetMode="External"/><Relationship Id="rId864" Type="http://schemas.openxmlformats.org/officeDocument/2006/relationships/hyperlink" Target="https://www.mccormick.northwestern.edu/mechanical/research/areas/advanced-manufacturing.html" TargetMode="External"/><Relationship Id="rId1494" Type="http://schemas.openxmlformats.org/officeDocument/2006/relationships/hyperlink" Target="https://jacobsschool.ucsd.edu/faculty/profile?id=477" TargetMode="External"/><Relationship Id="rId2338" Type="http://schemas.openxmlformats.org/officeDocument/2006/relationships/hyperlink" Target="https://engineering.virginia.edu/faculty/michael-momot" TargetMode="External"/><Relationship Id="rId2545" Type="http://schemas.openxmlformats.org/officeDocument/2006/relationships/hyperlink" Target="https://mechanical.mines.edu/project/gockel-joy/" TargetMode="External"/><Relationship Id="rId2752" Type="http://schemas.openxmlformats.org/officeDocument/2006/relationships/hyperlink" Target="https://engineering.tufts.edu/me/node/3171" TargetMode="External"/><Relationship Id="rId3803" Type="http://schemas.openxmlformats.org/officeDocument/2006/relationships/hyperlink" Target="https://www.uah.edu/eng/departments/mae/faculty-staff/babak-shotorban" TargetMode="External"/><Relationship Id="rId517" Type="http://schemas.openxmlformats.org/officeDocument/2006/relationships/hyperlink" Target="https://me.engin.umich.edu/people/faculty/anna-stefanopoulou/" TargetMode="External"/><Relationship Id="rId724" Type="http://schemas.openxmlformats.org/officeDocument/2006/relationships/hyperlink" Target="https://www.meche.engineering.cmu.edu/directory/bios/grande-gutierrez-noelia.html" TargetMode="External"/><Relationship Id="rId931" Type="http://schemas.openxmlformats.org/officeDocument/2006/relationships/hyperlink" Target="https://www.mccormick.northwestern.edu/research-faculty/directory/profiles/sun-cheng.html" TargetMode="External"/><Relationship Id="rId1147" Type="http://schemas.openxmlformats.org/officeDocument/2006/relationships/hyperlink" Target="https://www.me.psu.edu/department/directory-detail-g.aspx?q=LLP1" TargetMode="External"/><Relationship Id="rId1354" Type="http://schemas.openxmlformats.org/officeDocument/2006/relationships/hyperlink" Target="https://directory.engr.wisc.edu/me/Faculty/Wu_Jinlong/" TargetMode="External"/><Relationship Id="rId1561" Type="http://schemas.openxmlformats.org/officeDocument/2006/relationships/hyperlink" Target="https://mems.duke.edu/faculty/manolis-veveakis" TargetMode="External"/><Relationship Id="rId2405" Type="http://schemas.openxmlformats.org/officeDocument/2006/relationships/hyperlink" Target="https://me.msu.edu/directory" TargetMode="External"/><Relationship Id="rId2612" Type="http://schemas.openxmlformats.org/officeDocument/2006/relationships/hyperlink" Target="https://mae.rutgers.edu/jonathan-p-singer" TargetMode="External"/><Relationship Id="rId60" Type="http://schemas.openxmlformats.org/officeDocument/2006/relationships/hyperlink" Target="https://meche.mit.edu/people/faculty/DMPARKS@MIT.EDU" TargetMode="External"/><Relationship Id="rId1007" Type="http://schemas.openxmlformats.org/officeDocument/2006/relationships/hyperlink" Target="https://engineering.tamu.edu/mechanical/profiles/han-je-chin.html" TargetMode="External"/><Relationship Id="rId1214" Type="http://schemas.openxmlformats.org/officeDocument/2006/relationships/hyperlink" Target="https://enme.umd.edu/clark/faculty/605/Bao-Yang" TargetMode="External"/><Relationship Id="rId1421" Type="http://schemas.openxmlformats.org/officeDocument/2006/relationships/hyperlink" Target="https://me.vt.edu/people/faculty/taheri-saied.html" TargetMode="External"/><Relationship Id="rId4577" Type="http://schemas.openxmlformats.org/officeDocument/2006/relationships/hyperlink" Target="https://www.ou.edu/coe/ame/people/Merguizo-Sanchez" TargetMode="External"/><Relationship Id="rId4784" Type="http://schemas.openxmlformats.org/officeDocument/2006/relationships/hyperlink" Target="https://ceps.unh.edu/person/john-mchugh" TargetMode="External"/><Relationship Id="rId4991" Type="http://schemas.openxmlformats.org/officeDocument/2006/relationships/hyperlink" Target="https://engineering.louisville.edu/faculty/gary-m-osborne/" TargetMode="External"/><Relationship Id="rId3179" Type="http://schemas.openxmlformats.org/officeDocument/2006/relationships/hyperlink" Target="https://mabe.utk.edu/people/emam-e-abdel-fatah/" TargetMode="External"/><Relationship Id="rId3386" Type="http://schemas.openxmlformats.org/officeDocument/2006/relationships/hyperlink" Target="https://mme.wsu.edu/mme-personnel-faculty/nestor-perez-arancibia/" TargetMode="External"/><Relationship Id="rId3593" Type="http://schemas.openxmlformats.org/officeDocument/2006/relationships/hyperlink" Target="https://ecs.syracuse.edu/faculty-staff/amit-k-sanyal" TargetMode="External"/><Relationship Id="rId4437" Type="http://schemas.openxmlformats.org/officeDocument/2006/relationships/hyperlink" Target="https://www.lsu.edu/eng/mie/people/faculty/park.php" TargetMode="External"/><Relationship Id="rId4644" Type="http://schemas.openxmlformats.org/officeDocument/2006/relationships/hyperlink" Target="https://profiles.howard.edu/sonya-smith" TargetMode="External"/><Relationship Id="rId2195" Type="http://schemas.openxmlformats.org/officeDocument/2006/relationships/hyperlink" Target="https://engineering.uci.edu/users/haithem-e-taha" TargetMode="External"/><Relationship Id="rId3039" Type="http://schemas.openxmlformats.org/officeDocument/2006/relationships/hyperlink" Target="https://engineering.lehigh.edu/meche/faculty/964" TargetMode="External"/><Relationship Id="rId3246" Type="http://schemas.openxmlformats.org/officeDocument/2006/relationships/hyperlink" Target="https://www.engr.colostate.edu/me/faculty/dr-david-prawel/" TargetMode="External"/><Relationship Id="rId3453" Type="http://schemas.openxmlformats.org/officeDocument/2006/relationships/hyperlink" Target="https://www.me.byu.edu/directory/brian-jensen" TargetMode="External"/><Relationship Id="rId4851" Type="http://schemas.openxmlformats.org/officeDocument/2006/relationships/hyperlink" Target="https://engineering.wayne.edu/profile/ad5874" TargetMode="External"/><Relationship Id="rId167" Type="http://schemas.openxmlformats.org/officeDocument/2006/relationships/hyperlink" Target="https://me.stanford.edu/people/parviz-moin" TargetMode="External"/><Relationship Id="rId374" Type="http://schemas.openxmlformats.org/officeDocument/2006/relationships/hyperlink" Target="https://mechse.illinois.edu/people/profile/wlchang" TargetMode="External"/><Relationship Id="rId581" Type="http://schemas.openxmlformats.org/officeDocument/2006/relationships/hyperlink" Target="https://engineering.purdue.edu/ME/People/ptProfile?resource_id=29264" TargetMode="External"/><Relationship Id="rId2055" Type="http://schemas.openxmlformats.org/officeDocument/2006/relationships/hyperlink" Target="https://ame.nd.edu/faculty/jian-xun-wang/" TargetMode="External"/><Relationship Id="rId2262" Type="http://schemas.openxmlformats.org/officeDocument/2006/relationships/hyperlink" Target="https://www.mae.ncsu.edu/people/darius-carter" TargetMode="External"/><Relationship Id="rId3106" Type="http://schemas.openxmlformats.org/officeDocument/2006/relationships/hyperlink" Target="https://nps.edu/faculty-profiles/-/cv/imross" TargetMode="External"/><Relationship Id="rId3660" Type="http://schemas.openxmlformats.org/officeDocument/2006/relationships/hyperlink" Target="https://profiles.ucr.edu/app/home/profile/vafai" TargetMode="External"/><Relationship Id="rId4504" Type="http://schemas.openxmlformats.org/officeDocument/2006/relationships/hyperlink" Target="https://udayton.edu/directory/engineering/mechanical_and_aerospace/chiasson_andrew.php" TargetMode="External"/><Relationship Id="rId4711" Type="http://schemas.openxmlformats.org/officeDocument/2006/relationships/hyperlink" Target="https://eas.uccs.edu/staff/dr-ahmad-amiri" TargetMode="External"/><Relationship Id="rId234" Type="http://schemas.openxmlformats.org/officeDocument/2006/relationships/hyperlink" Target="https://me.berkeley.edu/people/fai-ma/" TargetMode="External"/><Relationship Id="rId3313" Type="http://schemas.openxmlformats.org/officeDocument/2006/relationships/hyperlink" Target="https://researchdirectory.uc.edu/p/manglirm" TargetMode="External"/><Relationship Id="rId3520" Type="http://schemas.openxmlformats.org/officeDocument/2006/relationships/hyperlink" Target="https://www.mtu.edu/mechanical/people/faculty/malladi/" TargetMode="External"/><Relationship Id="rId441" Type="http://schemas.openxmlformats.org/officeDocument/2006/relationships/hyperlink" Target="https://me.engin.umich.edu/people/faculty/john-allison/" TargetMode="External"/><Relationship Id="rId1071" Type="http://schemas.openxmlformats.org/officeDocument/2006/relationships/hyperlink" Target="https://engineering.tamu.edu/mechanical/profiles/wright-lesley.html" TargetMode="External"/><Relationship Id="rId2122" Type="http://schemas.openxmlformats.org/officeDocument/2006/relationships/hyperlink" Target="https://isearch.asu.edu/profile/1762503" TargetMode="External"/><Relationship Id="rId5278" Type="http://schemas.openxmlformats.org/officeDocument/2006/relationships/hyperlink" Target="https://www.unlv.edu/people/Ronghuai-Qi" TargetMode="External"/><Relationship Id="rId5485" Type="http://schemas.openxmlformats.org/officeDocument/2006/relationships/hyperlink" Target="https://www.oakland.edu/secs/directory/delvescovo" TargetMode="External"/><Relationship Id="rId301" Type="http://schemas.openxmlformats.org/officeDocument/2006/relationships/hyperlink" Target="https://www.me.gatech.edu/user/1059" TargetMode="External"/><Relationship Id="rId1888" Type="http://schemas.openxmlformats.org/officeDocument/2006/relationships/hyperlink" Target="https://engineering.brown.edu/people/miguel-bessa" TargetMode="External"/><Relationship Id="rId2939" Type="http://schemas.openxmlformats.org/officeDocument/2006/relationships/hyperlink" Target="https://www.engineering.pitt.edu/people/faculty/kang-kim/" TargetMode="External"/><Relationship Id="rId4087" Type="http://schemas.openxmlformats.org/officeDocument/2006/relationships/hyperlink" Target="https://www.mne.k-state.edu/about/people/faculty/fan/" TargetMode="External"/><Relationship Id="rId4294" Type="http://schemas.openxmlformats.org/officeDocument/2006/relationships/hyperlink" Target="https://www1.villanova.edu/university/engineering/academic-programs/departments/mechanical/directory/biodetail.html?mail=aaron.wemhoff@villanova.edu&amp;xsl=bio_long" TargetMode="External"/><Relationship Id="rId5138" Type="http://schemas.openxmlformats.org/officeDocument/2006/relationships/hyperlink" Target="https://www.marquette.edu/mechanical-engineering/" TargetMode="External"/><Relationship Id="rId5345" Type="http://schemas.openxmlformats.org/officeDocument/2006/relationships/hyperlink" Target="https://www.fau.edu/engineering/directory/faculty/hashemi/" TargetMode="External"/><Relationship Id="rId5552" Type="http://schemas.openxmlformats.org/officeDocument/2006/relationships/hyperlink" Target="https://und.edu/directory/chonglin.zhang" TargetMode="External"/><Relationship Id="rId1748" Type="http://schemas.openxmlformats.org/officeDocument/2006/relationships/hyperlink" Target="https://mae.ufl.edu/people/faculty/primary/professor/profiles/carl-crane/" TargetMode="External"/><Relationship Id="rId4154" Type="http://schemas.openxmlformats.org/officeDocument/2006/relationships/hyperlink" Target="https://www.depts.ttu.edu/me/faculty/zhaoming_he/index.php" TargetMode="External"/><Relationship Id="rId4361" Type="http://schemas.openxmlformats.org/officeDocument/2006/relationships/hyperlink" Target="https://directory.statler.wvu.edu/faculty-staff-directory/yun-chen" TargetMode="External"/><Relationship Id="rId5205" Type="http://schemas.openxmlformats.org/officeDocument/2006/relationships/hyperlink" Target="https://engineering.siu.edu/me/faculty-staff/faculty/koc.php" TargetMode="External"/><Relationship Id="rId5412" Type="http://schemas.openxmlformats.org/officeDocument/2006/relationships/hyperlink" Target="https://ualr.edu/engineering/msme/" TargetMode="External"/><Relationship Id="rId1955" Type="http://schemas.openxmlformats.org/officeDocument/2006/relationships/hyperlink" Target="https://mane.rpi.edu/people/faculty/mechanical-engineering" TargetMode="External"/><Relationship Id="rId3170" Type="http://schemas.openxmlformats.org/officeDocument/2006/relationships/hyperlink" Target="https://mabe.utk.edu/people/ryan-bond/" TargetMode="External"/><Relationship Id="rId4014" Type="http://schemas.openxmlformats.org/officeDocument/2006/relationships/hyperlink" Target="https://www.binghamton.edu/mechanical-engineering/people/profile.html?id=dehaoliu" TargetMode="External"/><Relationship Id="rId4221" Type="http://schemas.openxmlformats.org/officeDocument/2006/relationships/hyperlink" Target="http://engineering.uga.edu/people/profile/adam-wineland" TargetMode="External"/><Relationship Id="rId1608" Type="http://schemas.openxmlformats.org/officeDocument/2006/relationships/hyperlink" Target="https://mae.osu.edu/people/prakash.31" TargetMode="External"/><Relationship Id="rId1815" Type="http://schemas.openxmlformats.org/officeDocument/2006/relationships/hyperlink" Target="https://viterbi.usc.edu/directory/faculty/Nguyen/Quan" TargetMode="External"/><Relationship Id="rId3030" Type="http://schemas.openxmlformats.org/officeDocument/2006/relationships/hyperlink" Target="https://engineering.lehigh.edu/meche/faculty/940" TargetMode="External"/><Relationship Id="rId3987" Type="http://schemas.openxmlformats.org/officeDocument/2006/relationships/hyperlink" Target="https://sc.edu/study/colleges_schools/engineering_and_computing/faculty-staff/lyons_jed.php" TargetMode="External"/><Relationship Id="rId2589" Type="http://schemas.openxmlformats.org/officeDocument/2006/relationships/hyperlink" Target="https://mae.rutgers.edu/kimberly-cook-chennault" TargetMode="External"/><Relationship Id="rId2796" Type="http://schemas.openxmlformats.org/officeDocument/2006/relationships/hyperlink" Target="https://engineering.buffalo.edu/mechanical-aerospace/people/faculty/teaching.host.html/content/shared/engineering/mechanical-aerospace/profiles/zeng-chen.detail.html" TargetMode="External"/><Relationship Id="rId3847" Type="http://schemas.openxmlformats.org/officeDocument/2006/relationships/hyperlink" Target="https://www.engr.uky.edu/directory/tagavi-kaveh" TargetMode="External"/><Relationship Id="rId768" Type="http://schemas.openxmlformats.org/officeDocument/2006/relationships/hyperlink" Target="https://www.me.utexas.edu/people/faculty-directory/clarno" TargetMode="External"/><Relationship Id="rId975" Type="http://schemas.openxmlformats.org/officeDocument/2006/relationships/hyperlink" Target="https://me.jhu.edu/faculty/tza-huei-jeff-wang/" TargetMode="External"/><Relationship Id="rId1398" Type="http://schemas.openxmlformats.org/officeDocument/2006/relationships/hyperlink" Target="https://me.vt.edu/people/faculty/leong-amanda.html" TargetMode="External"/><Relationship Id="rId2449" Type="http://schemas.openxmlformats.org/officeDocument/2006/relationships/hyperlink" Target="https://www.egr.msu.edu/people/profile/toulson" TargetMode="External"/><Relationship Id="rId2656" Type="http://schemas.openxmlformats.org/officeDocument/2006/relationships/hyperlink" Target="https://www.clemson.edu/cecas/departments/me/people/faculty/Abdeljawad.html" TargetMode="External"/><Relationship Id="rId2863" Type="http://schemas.openxmlformats.org/officeDocument/2006/relationships/hyperlink" Target="https://me.engr.uconn.edu/blog/faculty/tang-jiong/" TargetMode="External"/><Relationship Id="rId3707" Type="http://schemas.openxmlformats.org/officeDocument/2006/relationships/hyperlink" Target="https://eng.ua.edu/eng-directory/dr-joshua-a-bittle/" TargetMode="External"/><Relationship Id="rId3914" Type="http://schemas.openxmlformats.org/officeDocument/2006/relationships/hyperlink" Target="https://mees.charlotte.edu/directory/stuart-t-smith" TargetMode="External"/><Relationship Id="rId5062" Type="http://schemas.openxmlformats.org/officeDocument/2006/relationships/hyperlink" Target="https://www.wichita.edu/profiles/academics/engineering/mechanical_engineering/01_Faculty/Yihun-Yimesker.php" TargetMode="External"/><Relationship Id="rId628" Type="http://schemas.openxmlformats.org/officeDocument/2006/relationships/hyperlink" Target="https://engineering.purdue.edu/ME/People/ptProfile?resource_id=117606" TargetMode="External"/><Relationship Id="rId835" Type="http://schemas.openxmlformats.org/officeDocument/2006/relationships/hyperlink" Target="https://www.mccormick.northwestern.edu/mechanical/research/areas/advanced-manufacturing.html" TargetMode="External"/><Relationship Id="rId1258" Type="http://schemas.openxmlformats.org/officeDocument/2006/relationships/hyperlink" Target="https://cse.umn.edu/me/paul-strykowski" TargetMode="External"/><Relationship Id="rId1465" Type="http://schemas.openxmlformats.org/officeDocument/2006/relationships/hyperlink" Target="https://jacobsschool.ucsd.edu/faculty/profile?id=146" TargetMode="External"/><Relationship Id="rId1672" Type="http://schemas.openxmlformats.org/officeDocument/2006/relationships/hyperlink" Target="https://www.me.columbia.edu/faculty/vijay-vedula" TargetMode="External"/><Relationship Id="rId2309" Type="http://schemas.openxmlformats.org/officeDocument/2006/relationships/hyperlink" Target="https://www.mae.ncsu.edu/people/jyin8" TargetMode="External"/><Relationship Id="rId2516" Type="http://schemas.openxmlformats.org/officeDocument/2006/relationships/hyperlink" Target="https://www.bu.edu/eng/profile/tommaso-ranzini-phd/" TargetMode="External"/><Relationship Id="rId2723" Type="http://schemas.openxmlformats.org/officeDocument/2006/relationships/hyperlink" Target="https://drexel.edu/engineering/about/faculty-staff/S/siegler-sorin/" TargetMode="External"/><Relationship Id="rId1118" Type="http://schemas.openxmlformats.org/officeDocument/2006/relationships/hyperlink" Target="https://www.me.psu.edu/department/directory-detail-g.aspx?q=BUC10" TargetMode="External"/><Relationship Id="rId1325" Type="http://schemas.openxmlformats.org/officeDocument/2006/relationships/hyperlink" Target="https://directory.engr.wisc.edu/me/Faculty/Mastropasqua_Luca/" TargetMode="External"/><Relationship Id="rId1532" Type="http://schemas.openxmlformats.org/officeDocument/2006/relationships/hyperlink" Target="https://mems.duke.edu/faculty/ken-gall" TargetMode="External"/><Relationship Id="rId2930" Type="http://schemas.openxmlformats.org/officeDocument/2006/relationships/hyperlink" Target="https://www.engineering.pitt.edu/people/faculty/wei-xiong/" TargetMode="External"/><Relationship Id="rId4688" Type="http://schemas.openxmlformats.org/officeDocument/2006/relationships/hyperlink" Target="https://mechanical-engineering.uark.edu/Directory/index.php" TargetMode="External"/><Relationship Id="rId902" Type="http://schemas.openxmlformats.org/officeDocument/2006/relationships/hyperlink" Target="https://www.mccormick.northwestern.edu/mechanical/research/areas/micro-nanoengineering.html" TargetMode="External"/><Relationship Id="rId3497" Type="http://schemas.openxmlformats.org/officeDocument/2006/relationships/hyperlink" Target="https://www.iit.edu/directory/people/murat-vural" TargetMode="External"/><Relationship Id="rId4895" Type="http://schemas.openxmlformats.org/officeDocument/2006/relationships/hyperlink" Target="https://www.ncat.edu/employee-bio.php?directoryID=1845514988" TargetMode="External"/><Relationship Id="rId31" Type="http://schemas.openxmlformats.org/officeDocument/2006/relationships/hyperlink" Target="https://meche.mit.edu/people/faculty/ere@mit.edu" TargetMode="External"/><Relationship Id="rId2099" Type="http://schemas.openxmlformats.org/officeDocument/2006/relationships/hyperlink" Target="https://isearch.asu.edu/profile/3029945" TargetMode="External"/><Relationship Id="rId4548" Type="http://schemas.openxmlformats.org/officeDocument/2006/relationships/hyperlink" Target="https://me.unm.edu/about/directory/faculty/matthias-pleil.html" TargetMode="External"/><Relationship Id="rId4755" Type="http://schemas.openxmlformats.org/officeDocument/2006/relationships/hyperlink" Target="https://umdearborn.edu/people-um-dearborn/hugh-huntley" TargetMode="External"/><Relationship Id="rId4962" Type="http://schemas.openxmlformats.org/officeDocument/2006/relationships/hyperlink" Target="https://engineering.ucdenver.edu/departments/mechanical-engineering" TargetMode="External"/><Relationship Id="rId278" Type="http://schemas.openxmlformats.org/officeDocument/2006/relationships/hyperlink" Target="https://www.me.gatech.edu/faculty/dixon" TargetMode="External"/><Relationship Id="rId3357" Type="http://schemas.openxmlformats.org/officeDocument/2006/relationships/hyperlink" Target="https://mme.wsu.edu/faculty/behrang-asgharian/" TargetMode="External"/><Relationship Id="rId3564" Type="http://schemas.openxmlformats.org/officeDocument/2006/relationships/hyperlink" Target="https://www.stevens.edu/profile/yshi2" TargetMode="External"/><Relationship Id="rId3771" Type="http://schemas.openxmlformats.org/officeDocument/2006/relationships/hyperlink" Target="https://www.uta.edu/academics/faculty/profile?username=nancym" TargetMode="External"/><Relationship Id="rId4408" Type="http://schemas.openxmlformats.org/officeDocument/2006/relationships/hyperlink" Target="https://eng.famu.fsu.edu/me/people/moore" TargetMode="External"/><Relationship Id="rId4615" Type="http://schemas.openxmlformats.org/officeDocument/2006/relationships/hyperlink" Target="https://uwm.edu/engineering/people/reisel-john/" TargetMode="External"/><Relationship Id="rId4822" Type="http://schemas.openxmlformats.org/officeDocument/2006/relationships/hyperlink" Target="https://klesse.utsa.edu/faculty/profiles/wan-hung-da.html" TargetMode="External"/><Relationship Id="rId485" Type="http://schemas.openxmlformats.org/officeDocument/2006/relationships/hyperlink" Target="https://me.engin.umich.edu/people/faculty/massoud-kaviany/" TargetMode="External"/><Relationship Id="rId692" Type="http://schemas.openxmlformats.org/officeDocument/2006/relationships/hyperlink" Target="https://mae.princeton.edu/people/faculty/choueiri" TargetMode="External"/><Relationship Id="rId2166" Type="http://schemas.openxmlformats.org/officeDocument/2006/relationships/hyperlink" Target="https://mae.ucdavis.edu/directory/david-fyhrie" TargetMode="External"/><Relationship Id="rId2373" Type="http://schemas.openxmlformats.org/officeDocument/2006/relationships/hyperlink" Target="https://engineering.wustl.edu/faculty/Jackson-Potter.html" TargetMode="External"/><Relationship Id="rId2580" Type="http://schemas.openxmlformats.org/officeDocument/2006/relationships/hyperlink" Target="https://mae.rutgers.edu/prosenjit-bagchi" TargetMode="External"/><Relationship Id="rId3217" Type="http://schemas.openxmlformats.org/officeDocument/2006/relationships/hyperlink" Target="https://mabe.utk.edu/people/zhili-zhang/" TargetMode="External"/><Relationship Id="rId3424" Type="http://schemas.openxmlformats.org/officeDocument/2006/relationships/hyperlink" Target="https://www.wpi.edu/people/faculty/bjs" TargetMode="External"/><Relationship Id="rId3631" Type="http://schemas.openxmlformats.org/officeDocument/2006/relationships/hyperlink" Target="https://me.utdallas.edu/faculty-staff/yonas-tadesse/" TargetMode="External"/><Relationship Id="rId138" Type="http://schemas.openxmlformats.org/officeDocument/2006/relationships/hyperlink" Target="https://meche.mit.edu/people/staff/adw@mit.edu" TargetMode="External"/><Relationship Id="rId345" Type="http://schemas.openxmlformats.org/officeDocument/2006/relationships/hyperlink" Target="https://www.me.gatech.edu/faculty/ting" TargetMode="External"/><Relationship Id="rId552" Type="http://schemas.openxmlformats.org/officeDocument/2006/relationships/hyperlink" Target="https://engineering.purdue.edu/ME/People/ptProfile?resource_id=132124" TargetMode="External"/><Relationship Id="rId1182" Type="http://schemas.openxmlformats.org/officeDocument/2006/relationships/hyperlink" Target="https://enme.umd.edu/clark/faculty/900/Yancy-Diaz-Mercado" TargetMode="External"/><Relationship Id="rId2026" Type="http://schemas.openxmlformats.org/officeDocument/2006/relationships/hyperlink" Target="https://ame.nd.edu/faculty/thomas-juliano/" TargetMode="External"/><Relationship Id="rId2233" Type="http://schemas.openxmlformats.org/officeDocument/2006/relationships/hyperlink" Target="https://www.me.iastate.edu/faculty/profile/reza" TargetMode="External"/><Relationship Id="rId2440" Type="http://schemas.openxmlformats.org/officeDocument/2006/relationships/hyperlink" Target="https://www.egr.msu.edu/people/profile/reshwill" TargetMode="External"/><Relationship Id="rId5389" Type="http://schemas.openxmlformats.org/officeDocument/2006/relationships/hyperlink" Target="https://www.sdstate.edu/directory/jeffrey-doom" TargetMode="External"/><Relationship Id="rId205" Type="http://schemas.openxmlformats.org/officeDocument/2006/relationships/hyperlink" Target="https://mce.caltech.edu/people/hunt" TargetMode="External"/><Relationship Id="rId412" Type="http://schemas.openxmlformats.org/officeDocument/2006/relationships/hyperlink" Target="https://mechse.illinois.edu/people/profile/ajp" TargetMode="External"/><Relationship Id="rId1042" Type="http://schemas.openxmlformats.org/officeDocument/2006/relationships/hyperlink" Target="https://engineering.tamu.edu/mechanical/profiles/palazzolo-alan.html" TargetMode="External"/><Relationship Id="rId2300" Type="http://schemas.openxmlformats.org/officeDocument/2006/relationships/hyperlink" Target="https://www.mae.ncsu.edu/people/hvtafres" TargetMode="External"/><Relationship Id="rId4198" Type="http://schemas.openxmlformats.org/officeDocument/2006/relationships/hyperlink" Target="http://engineering.uga.edu/people/profile/ke-luke-li" TargetMode="External"/><Relationship Id="rId5249" Type="http://schemas.openxmlformats.org/officeDocument/2006/relationships/hyperlink" Target="https://www.uidaho.edu/engr/departments/me/our-people/faculty/robert-stephens" TargetMode="External"/><Relationship Id="rId5456" Type="http://schemas.openxmlformats.org/officeDocument/2006/relationships/hyperlink" Target="https://wmich.edu/mechanical-aerospace/directory/shrestha" TargetMode="External"/><Relationship Id="rId1999" Type="http://schemas.openxmlformats.org/officeDocument/2006/relationships/hyperlink" Target="https://me.ucsb.edu/people/tyler-susko" TargetMode="External"/><Relationship Id="rId4058" Type="http://schemas.openxmlformats.org/officeDocument/2006/relationships/hyperlink" Target="https://daytonabeach.erau.edu/college-engineering/mechanical/faculty" TargetMode="External"/><Relationship Id="rId4265" Type="http://schemas.openxmlformats.org/officeDocument/2006/relationships/hyperlink" Target="https://engineering.missouri.edu/faculty/gary-solbrekken/" TargetMode="External"/><Relationship Id="rId4472" Type="http://schemas.openxmlformats.org/officeDocument/2006/relationships/hyperlink" Target="https://www.smu.edu/Lyle/Departments/ME/People/Faculty/GaoXinLin" TargetMode="External"/><Relationship Id="rId5109" Type="http://schemas.openxmlformats.org/officeDocument/2006/relationships/hyperlink" Target="mailto:cmullerk@fiu.edu" TargetMode="External"/><Relationship Id="rId5316" Type="http://schemas.openxmlformats.org/officeDocument/2006/relationships/hyperlink" Target="https://people.wright.edu/raghavan.srinivasan" TargetMode="External"/><Relationship Id="rId1859" Type="http://schemas.openxmlformats.org/officeDocument/2006/relationships/hyperlink" Target="https://www.me.washington.edu/people/faculty/vipin_kumar" TargetMode="External"/><Relationship Id="rId3074" Type="http://schemas.openxmlformats.org/officeDocument/2006/relationships/hyperlink" Target="https://works.bepress.com/jonghyun-park/about/" TargetMode="External"/><Relationship Id="rId4125" Type="http://schemas.openxmlformats.org/officeDocument/2006/relationships/hyperlink" Target="https://mechanical.sdsu.edu/people/richard-ayala.aspx" TargetMode="External"/><Relationship Id="rId5523" Type="http://schemas.openxmlformats.org/officeDocument/2006/relationships/hyperlink" Target="https://www.slu.edu/science-and-engineering/academics/aerospace-and-mechanical-engineering/faculty/lei-chi-hou.php" TargetMode="External"/><Relationship Id="rId1719" Type="http://schemas.openxmlformats.org/officeDocument/2006/relationships/hyperlink" Target="https://www.colorado.edu/mechanical/rishi-raj" TargetMode="External"/><Relationship Id="rId1926" Type="http://schemas.openxmlformats.org/officeDocument/2006/relationships/hyperlink" Target="https://engineering.brown.edu/people/jacob-rosenstein" TargetMode="External"/><Relationship Id="rId3281" Type="http://schemas.openxmlformats.org/officeDocument/2006/relationships/hyperlink" Target="https://engineering.nyu.edu/faculty/dung-dzung-luong" TargetMode="External"/><Relationship Id="rId4332" Type="http://schemas.openxmlformats.org/officeDocument/2006/relationships/hyperlink" Target="https://directory.statler.wvu.edu/faculty-staff-directory/derek-r-johnson" TargetMode="External"/><Relationship Id="rId2090" Type="http://schemas.openxmlformats.org/officeDocument/2006/relationships/hyperlink" Target="https://isearch.asu.edu/profile/387035" TargetMode="External"/><Relationship Id="rId3141" Type="http://schemas.openxmlformats.org/officeDocument/2006/relationships/hyperlink" Target="https://mie.uic.edu/profiles/erica-jung/" TargetMode="External"/><Relationship Id="rId3001" Type="http://schemas.openxmlformats.org/officeDocument/2006/relationships/hyperlink" Target="https://www.mae.seas.gwu.edu/node/1451" TargetMode="External"/><Relationship Id="rId3958" Type="http://schemas.openxmlformats.org/officeDocument/2006/relationships/hyperlink" Target="http://www.hajim.rochester.edu/me/people/faculty/theobald_wolfgang/index.html" TargetMode="External"/><Relationship Id="rId879" Type="http://schemas.openxmlformats.org/officeDocument/2006/relationships/hyperlink" Target="https://www.mccormick.northwestern.edu/research-faculty/directory/profiles/kriegman-sam.html" TargetMode="External"/><Relationship Id="rId2767" Type="http://schemas.openxmlformats.org/officeDocument/2006/relationships/hyperlink" Target="https://engineering.buffalo.edu/mechanical-aerospace/people/faculty/ladder.host.html/content/shared/engineering/mechanical-aerospace/profiles/hua-susan-zonglu.detail.html" TargetMode="External"/><Relationship Id="rId5173" Type="http://schemas.openxmlformats.org/officeDocument/2006/relationships/hyperlink" Target="https://engineering.rowan.edu/faculty_staff/listing/paromita-nath.html" TargetMode="External"/><Relationship Id="rId5380" Type="http://schemas.openxmlformats.org/officeDocument/2006/relationships/hyperlink" Target="https://nau.edu/mechanical-engineering/peter-vadasz/" TargetMode="External"/><Relationship Id="rId739" Type="http://schemas.openxmlformats.org/officeDocument/2006/relationships/hyperlink" Target="https://www.meche.engineering.cmu.edu/directory/bios/presto-albert.html" TargetMode="External"/><Relationship Id="rId1369" Type="http://schemas.openxmlformats.org/officeDocument/2006/relationships/hyperlink" Target="https://me.vt.edu/people/faculty/ahmadian-mehdi.html" TargetMode="External"/><Relationship Id="rId1576" Type="http://schemas.openxmlformats.org/officeDocument/2006/relationships/hyperlink" Target="https://mae.osu.edu/people/chen.1210" TargetMode="External"/><Relationship Id="rId2974" Type="http://schemas.openxmlformats.org/officeDocument/2006/relationships/hyperlink" Target="http://eng.auburn.edu/directory/raganjs" TargetMode="External"/><Relationship Id="rId3818" Type="http://schemas.openxmlformats.org/officeDocument/2006/relationships/hyperlink" Target="https://www.engr.uky.edu/directory/ghirmire-hari" TargetMode="External"/><Relationship Id="rId5033" Type="http://schemas.openxmlformats.org/officeDocument/2006/relationships/hyperlink" Target="https://www.unr.edu/me/people/petros-voulgaris" TargetMode="External"/><Relationship Id="rId5240" Type="http://schemas.openxmlformats.org/officeDocument/2006/relationships/hyperlink" Target="https://www.uidaho.edu/engr/departments/me/our-people/faculty/dan-cordon" TargetMode="External"/><Relationship Id="rId946" Type="http://schemas.openxmlformats.org/officeDocument/2006/relationships/hyperlink" Target="https://www.mccormick.northwestern.edu/research-faculty/directory/affiliated/beltran-michael.html" TargetMode="External"/><Relationship Id="rId1229" Type="http://schemas.openxmlformats.org/officeDocument/2006/relationships/hyperlink" Target="https://cse.umn.edu/me/sayan-biswas" TargetMode="External"/><Relationship Id="rId1783" Type="http://schemas.openxmlformats.org/officeDocument/2006/relationships/hyperlink" Target="https://mae.ufl.edu/people/faculty/primary/assistant-professor/profiles/ryan-houim/" TargetMode="External"/><Relationship Id="rId1990" Type="http://schemas.openxmlformats.org/officeDocument/2006/relationships/hyperlink" Target="https://me.ucsb.edu/people/eckart-meiburg" TargetMode="External"/><Relationship Id="rId2627" Type="http://schemas.openxmlformats.org/officeDocument/2006/relationships/hyperlink" Target="https://me.udel.edu/faculty/chelsea-davis/" TargetMode="External"/><Relationship Id="rId2834" Type="http://schemas.openxmlformats.org/officeDocument/2006/relationships/hyperlink" Target="https://me.engr.uconn.edu/blog/faculty/chiu-wilson-k-s/" TargetMode="External"/><Relationship Id="rId5100" Type="http://schemas.openxmlformats.org/officeDocument/2006/relationships/hyperlink" Target="mailto:sbeladi@fiu.edu" TargetMode="External"/><Relationship Id="rId75" Type="http://schemas.openxmlformats.org/officeDocument/2006/relationships/hyperlink" Target="https://meche.mit.edu/people/faculty/JJS@MIT.EDU" TargetMode="External"/><Relationship Id="rId806" Type="http://schemas.openxmlformats.org/officeDocument/2006/relationships/hyperlink" Target="https://www.me.utexas.edu/people/faculty-directory/shi" TargetMode="External"/><Relationship Id="rId1436" Type="http://schemas.openxmlformats.org/officeDocument/2006/relationships/hyperlink" Target="https://seas.harvard.edu/person/katia-bertoldi" TargetMode="External"/><Relationship Id="rId1643" Type="http://schemas.openxmlformats.org/officeDocument/2006/relationships/hyperlink" Target="https://profiles.rice.edu/faculty/c-fred-higgs-iii" TargetMode="External"/><Relationship Id="rId1850" Type="http://schemas.openxmlformats.org/officeDocument/2006/relationships/hyperlink" Target="https://www.me.washington.edu/people/faculty/santosh_devasia" TargetMode="External"/><Relationship Id="rId2901" Type="http://schemas.openxmlformats.org/officeDocument/2006/relationships/hyperlink" Target="https://www.engineering.pitt.edu/people/faculty/minking-chyu/" TargetMode="External"/><Relationship Id="rId4799" Type="http://schemas.openxmlformats.org/officeDocument/2006/relationships/hyperlink" Target="https://klesse.utsa.edu/faculty/profiles/castillo-krystel.html" TargetMode="External"/><Relationship Id="rId1503" Type="http://schemas.openxmlformats.org/officeDocument/2006/relationships/hyperlink" Target="https://jacobsschool.ucsd.edu/faculty/profile?id=361" TargetMode="External"/><Relationship Id="rId1710" Type="http://schemas.openxmlformats.org/officeDocument/2006/relationships/hyperlink" Target="https://www.colorado.edu/mechanical/nathan-mcneill" TargetMode="External"/><Relationship Id="rId4659" Type="http://schemas.openxmlformats.org/officeDocument/2006/relationships/hyperlink" Target="https://mae.nmsu.edu/faculty/dr-banavara-shashikanth.html" TargetMode="External"/><Relationship Id="rId4866" Type="http://schemas.openxmlformats.org/officeDocument/2006/relationships/hyperlink" Target="https://www.fit.edu/faculty-profiles/m/mccay-mary/" TargetMode="External"/><Relationship Id="rId3468" Type="http://schemas.openxmlformats.org/officeDocument/2006/relationships/hyperlink" Target="https://www.me.byu.edu/directory/brent-webb" TargetMode="External"/><Relationship Id="rId3675" Type="http://schemas.openxmlformats.org/officeDocument/2006/relationships/hyperlink" Target="https://ceat.okstate.edu/mae/faculty-staff/faculty-bios/brian-elbing.html" TargetMode="External"/><Relationship Id="rId3882" Type="http://schemas.openxmlformats.org/officeDocument/2006/relationships/hyperlink" Target="https://engineering.unl.edu/mme/faculty/eli-sutter/" TargetMode="External"/><Relationship Id="rId4519" Type="http://schemas.openxmlformats.org/officeDocument/2006/relationships/hyperlink" Target="https://udayton.edu/directory/engineering/mechanical_and_aerospace/ramakrishnan-subramanian.php" TargetMode="External"/><Relationship Id="rId4726" Type="http://schemas.openxmlformats.org/officeDocument/2006/relationships/hyperlink" Target="https://eas.uccs.edu/mae/faculty/Dr_Thomas_Amundson" TargetMode="External"/><Relationship Id="rId4933" Type="http://schemas.openxmlformats.org/officeDocument/2006/relationships/hyperlink" Target="https://uakron.edu/engineering/me/our-people/profile.dot?u=gnadkarni1" TargetMode="External"/><Relationship Id="rId389" Type="http://schemas.openxmlformats.org/officeDocument/2006/relationships/hyperlink" Target="https://mechse.illinois.edu/people/profile/hagh" TargetMode="External"/><Relationship Id="rId596" Type="http://schemas.openxmlformats.org/officeDocument/2006/relationships/hyperlink" Target="https://engineering.purdue.edu/ME/People/ptProfile?resource_id=159298" TargetMode="External"/><Relationship Id="rId2277" Type="http://schemas.openxmlformats.org/officeDocument/2006/relationships/hyperlink" Target="https://www.mae.ncsu.edu/people/jingjie-hu" TargetMode="External"/><Relationship Id="rId2484" Type="http://schemas.openxmlformats.org/officeDocument/2006/relationships/hyperlink" Target="https://www.bu.edu/eng/profile/soumendra-basu/" TargetMode="External"/><Relationship Id="rId2691" Type="http://schemas.openxmlformats.org/officeDocument/2006/relationships/hyperlink" Target="https://www.clemson.edu/cecas/departments/me/people/faculty/watkins.html" TargetMode="External"/><Relationship Id="rId3328" Type="http://schemas.openxmlformats.org/officeDocument/2006/relationships/hyperlink" Target="https://www.me.uh.edu/faculty/ardebili" TargetMode="External"/><Relationship Id="rId3535" Type="http://schemas.openxmlformats.org/officeDocument/2006/relationships/hyperlink" Target="https://www.mtu.edu/mechanical/people/faculty/tewari/" TargetMode="External"/><Relationship Id="rId3742" Type="http://schemas.openxmlformats.org/officeDocument/2006/relationships/hyperlink" Target="https://www.uta.edu/academics/faculty/profile?username=amerinatanzia" TargetMode="External"/><Relationship Id="rId249" Type="http://schemas.openxmlformats.org/officeDocument/2006/relationships/hyperlink" Target="https://me.berkeley.edu/people/lydia-sohn/" TargetMode="External"/><Relationship Id="rId456" Type="http://schemas.openxmlformats.org/officeDocument/2006/relationships/hyperlink" Target="https://me.engin.umich.edu/people/faculty/daniel-cooper/" TargetMode="External"/><Relationship Id="rId663" Type="http://schemas.openxmlformats.org/officeDocument/2006/relationships/hyperlink" Target="https://www.engineering.cornell.edu/faculty-directory/guy-hoffman" TargetMode="External"/><Relationship Id="rId870" Type="http://schemas.openxmlformats.org/officeDocument/2006/relationships/hyperlink" Target="https://www.mccormick.northwestern.edu/mechanical/research/areas/computational-engineering.html" TargetMode="External"/><Relationship Id="rId1086" Type="http://schemas.openxmlformats.org/officeDocument/2006/relationships/hyperlink" Target="https://samueli.ucla.edu/people/rajit-gadh/" TargetMode="External"/><Relationship Id="rId1293" Type="http://schemas.openxmlformats.org/officeDocument/2006/relationships/hyperlink" Target="https://directory.seas.upenn.edu/prashant-k-purohit/" TargetMode="External"/><Relationship Id="rId2137" Type="http://schemas.openxmlformats.org/officeDocument/2006/relationships/hyperlink" Target="https://mae.ucdavis.edu/directory/niels-gronbech-jensen" TargetMode="External"/><Relationship Id="rId2344" Type="http://schemas.openxmlformats.org/officeDocument/2006/relationships/hyperlink" Target="https://engineering.virginia.edu/faculty/shawn-russell" TargetMode="External"/><Relationship Id="rId2551" Type="http://schemas.openxmlformats.org/officeDocument/2006/relationships/hyperlink" Target="https://mechanical.mines.edu/project/johnson-mathew/" TargetMode="External"/><Relationship Id="rId109" Type="http://schemas.openxmlformats.org/officeDocument/2006/relationships/hyperlink" Target="https://meche.mit.edu/people/staff/kcedrone@mit.edu" TargetMode="External"/><Relationship Id="rId316" Type="http://schemas.openxmlformats.org/officeDocument/2006/relationships/hyperlink" Target="https://www.me.gatech.edu/faculty/meaud" TargetMode="External"/><Relationship Id="rId523" Type="http://schemas.openxmlformats.org/officeDocument/2006/relationships/hyperlink" Target="https://me.engin.umich.edu/people/faculty/dawn-tilbury/" TargetMode="External"/><Relationship Id="rId1153" Type="http://schemas.openxmlformats.org/officeDocument/2006/relationships/hyperlink" Target="https://www.me.psu.edu/department/directory-detail-g.aspx?q=mjr110" TargetMode="External"/><Relationship Id="rId2204" Type="http://schemas.openxmlformats.org/officeDocument/2006/relationships/hyperlink" Target="https://www.me.iastate.edu/faculty/profile/bxl9801" TargetMode="External"/><Relationship Id="rId3602" Type="http://schemas.openxmlformats.org/officeDocument/2006/relationships/hyperlink" Target="https://me.utdallas.edu/faculty-staff/william-anderson/" TargetMode="External"/><Relationship Id="rId730" Type="http://schemas.openxmlformats.org/officeDocument/2006/relationships/hyperlink" Target="https://www.meche.engineering.cmu.edu/directory/bios/kara-burak.html" TargetMode="External"/><Relationship Id="rId1013" Type="http://schemas.openxmlformats.org/officeDocument/2006/relationships/hyperlink" Target="https://engineering.tamu.edu/mechanical/profiles/hubbard-james.html" TargetMode="External"/><Relationship Id="rId1360" Type="http://schemas.openxmlformats.org/officeDocument/2006/relationships/hyperlink" Target="https://directory.engr.wisc.edu/me/Faculty/Detlor_Jennifer/" TargetMode="External"/><Relationship Id="rId2411" Type="http://schemas.openxmlformats.org/officeDocument/2006/relationships/hyperlink" Target="https://www.egr.msu.edu/people/profile/chunghas" TargetMode="External"/><Relationship Id="rId4169" Type="http://schemas.openxmlformats.org/officeDocument/2006/relationships/hyperlink" Target="https://www.depts.ttu.edu/me/faculty/tanushree_Roy/index.php" TargetMode="External"/><Relationship Id="rId1220" Type="http://schemas.openxmlformats.org/officeDocument/2006/relationships/hyperlink" Target="https://enme.umd.edu/clark/faculty/1188/Vincent-Nguyen" TargetMode="External"/><Relationship Id="rId4376" Type="http://schemas.openxmlformats.org/officeDocument/2006/relationships/hyperlink" Target="https://www.ecs.baylor.edu/person/dr-stephen-t-mcclain" TargetMode="External"/><Relationship Id="rId4583" Type="http://schemas.openxmlformats.org/officeDocument/2006/relationships/hyperlink" Target="https://www.ou.edu/coe/ame/people/vedula.html" TargetMode="External"/><Relationship Id="rId4790" Type="http://schemas.openxmlformats.org/officeDocument/2006/relationships/hyperlink" Target="https://ceps.unh.edu/person/martin-wosnik" TargetMode="External"/><Relationship Id="rId5427" Type="http://schemas.openxmlformats.org/officeDocument/2006/relationships/hyperlink" Target="https://engineering.utulsa.edu/mechanical-engineering/faculty/profile/soroor-karimi" TargetMode="External"/><Relationship Id="rId3185" Type="http://schemas.openxmlformats.org/officeDocument/2006/relationships/hyperlink" Target="https://mabe.utk.edu/people/anming-hu/" TargetMode="External"/><Relationship Id="rId3392" Type="http://schemas.openxmlformats.org/officeDocument/2006/relationships/hyperlink" Target="https://mme.wsu.edu/jonathan-steffens/" TargetMode="External"/><Relationship Id="rId4029" Type="http://schemas.openxmlformats.org/officeDocument/2006/relationships/hyperlink" Target="https://www.binghamton.edu/mechanical-engineering/people/profile.html?id=gzhou" TargetMode="External"/><Relationship Id="rId4236" Type="http://schemas.openxmlformats.org/officeDocument/2006/relationships/hyperlink" Target="https://me.ku.edu/people/robert-m-sorem" TargetMode="External"/><Relationship Id="rId4443" Type="http://schemas.openxmlformats.org/officeDocument/2006/relationships/hyperlink" Target="https://www.lsu.edu/eng/mie/people/faculty/wang.php" TargetMode="External"/><Relationship Id="rId4650" Type="http://schemas.openxmlformats.org/officeDocument/2006/relationships/hyperlink" Target="https://mae.nmsu.edu/faculty/dr-young-s-lee.html" TargetMode="External"/><Relationship Id="rId3045" Type="http://schemas.openxmlformats.org/officeDocument/2006/relationships/hyperlink" Target="https://engineering.lehigh.edu/meche/faculty/951" TargetMode="External"/><Relationship Id="rId3252" Type="http://schemas.openxmlformats.org/officeDocument/2006/relationships/hyperlink" Target="https://www.engr.colostate.edu/me/people/james-tillotson/" TargetMode="External"/><Relationship Id="rId4303" Type="http://schemas.openxmlformats.org/officeDocument/2006/relationships/hyperlink" Target="http://egr.vcu.edu/directory/daren.chen/" TargetMode="External"/><Relationship Id="rId4510" Type="http://schemas.openxmlformats.org/officeDocument/2006/relationships/hyperlink" Target="https://udayton.edu/directory/engineering/mechanical_and_aerospace/kidambi-krishna.php" TargetMode="External"/><Relationship Id="rId173" Type="http://schemas.openxmlformats.org/officeDocument/2006/relationships/hyperlink" Target="https://me.stanford.edu/people/eric-shaqfeh" TargetMode="External"/><Relationship Id="rId380" Type="http://schemas.openxmlformats.org/officeDocument/2006/relationships/hyperlink" Target="https://mechse.illinois.edu/people/profile/ewoldt" TargetMode="External"/><Relationship Id="rId2061" Type="http://schemas.openxmlformats.org/officeDocument/2006/relationships/hyperlink" Target="https://ame.nd.edu/faculty/yanliang-zhang/" TargetMode="External"/><Relationship Id="rId3112" Type="http://schemas.openxmlformats.org/officeDocument/2006/relationships/hyperlink" Target="https://me.stonybrook.edu/people/" TargetMode="External"/><Relationship Id="rId240" Type="http://schemas.openxmlformats.org/officeDocument/2006/relationships/hyperlink" Target="https://me.berkeley.edu/people/mark-w-mueller/" TargetMode="External"/><Relationship Id="rId5077" Type="http://schemas.openxmlformats.org/officeDocument/2006/relationships/hyperlink" Target="https://mme.fiu.edu/faculty-staff-members/yiding-cao" TargetMode="External"/><Relationship Id="rId5284" Type="http://schemas.openxmlformats.org/officeDocument/2006/relationships/hyperlink" Target="https://www.unlv.edu/people/hui-zhao" TargetMode="External"/><Relationship Id="rId100" Type="http://schemas.openxmlformats.org/officeDocument/2006/relationships/hyperlink" Target="https://meche.mit.edu/people/faculty/SGRAVES@MIT.EDU" TargetMode="External"/><Relationship Id="rId2878" Type="http://schemas.openxmlformats.org/officeDocument/2006/relationships/hyperlink" Target="https://engineering.uiowa.edu/people/jia-lu" TargetMode="External"/><Relationship Id="rId3929" Type="http://schemas.openxmlformats.org/officeDocument/2006/relationships/hyperlink" Target="http://www.hajim.rochester.edu/me/people/faculty/betti_riccardo/index.html" TargetMode="External"/><Relationship Id="rId4093" Type="http://schemas.openxmlformats.org/officeDocument/2006/relationships/hyperlink" Target="https://www.mne.k-state.edu/about/people/faculty/mcneil/" TargetMode="External"/><Relationship Id="rId5144" Type="http://schemas.openxmlformats.org/officeDocument/2006/relationships/hyperlink" Target="https://www.marquette.edu/mechanical-engineering/directory/shuguang-huang.php" TargetMode="External"/><Relationship Id="rId5491" Type="http://schemas.openxmlformats.org/officeDocument/2006/relationships/hyperlink" Target="https://www.oakland.edu/secs/directory/maisonneuve" TargetMode="External"/><Relationship Id="rId1687" Type="http://schemas.openxmlformats.org/officeDocument/2006/relationships/hyperlink" Target="https://www.colorado.edu/mechanical/sarah-calve" TargetMode="External"/><Relationship Id="rId1894" Type="http://schemas.openxmlformats.org/officeDocument/2006/relationships/hyperlink" Target="https://engineering.brown.edu/people/vicki-colvin" TargetMode="External"/><Relationship Id="rId2738" Type="http://schemas.openxmlformats.org/officeDocument/2006/relationships/hyperlink" Target="https://engineering.tufts.edu/me/node/3116" TargetMode="External"/><Relationship Id="rId2945" Type="http://schemas.openxmlformats.org/officeDocument/2006/relationships/hyperlink" Target="https://www.engineering.pitt.edu/people/faculty/tagbo-niepa/" TargetMode="External"/><Relationship Id="rId5351" Type="http://schemas.openxmlformats.org/officeDocument/2006/relationships/hyperlink" Target="https://www.fau.edu/engineering/directory/faculty/moslemian/" TargetMode="External"/><Relationship Id="rId917" Type="http://schemas.openxmlformats.org/officeDocument/2006/relationships/hyperlink" Target="https://www.mccormick.northwestern.edu/mechanical/research/areas/computational-engineering.html" TargetMode="External"/><Relationship Id="rId1547" Type="http://schemas.openxmlformats.org/officeDocument/2006/relationships/hyperlink" Target="https://mems.duke.edu/faculty/pei-zhong" TargetMode="External"/><Relationship Id="rId1754" Type="http://schemas.openxmlformats.org/officeDocument/2006/relationships/hyperlink" Target="https://mae.ufl.edu/people/faculty/primary/professor/profiles/nam-ho-kim/" TargetMode="External"/><Relationship Id="rId1961" Type="http://schemas.openxmlformats.org/officeDocument/2006/relationships/hyperlink" Target="https://faculty.rpi.edu/antoinette-maniatty" TargetMode="External"/><Relationship Id="rId2805" Type="http://schemas.openxmlformats.org/officeDocument/2006/relationships/hyperlink" Target="https://ame.engineering.arizona.edu/faculty-staff/faculty/barry-d-ganapol" TargetMode="External"/><Relationship Id="rId4160" Type="http://schemas.openxmlformats.org/officeDocument/2006/relationships/hyperlink" Target="https://www.depts.ttu.edu/me/faculty/yanzhang_ma/index.php" TargetMode="External"/><Relationship Id="rId5004" Type="http://schemas.openxmlformats.org/officeDocument/2006/relationships/hyperlink" Target="https://umaine.edu/mecheng/hejrati/" TargetMode="External"/><Relationship Id="rId5211" Type="http://schemas.openxmlformats.org/officeDocument/2006/relationships/hyperlink" Target="https://hb2504.utep.edu/Home/Profile?username=jfchessa" TargetMode="External"/><Relationship Id="rId46" Type="http://schemas.openxmlformats.org/officeDocument/2006/relationships/hyperlink" Target="https://meche.mit.edu/people/faculty/JACOBSON@MEDIA.MIT.EDU" TargetMode="External"/><Relationship Id="rId1407" Type="http://schemas.openxmlformats.org/officeDocument/2006/relationships/hyperlink" Target="https://me.vt.edu/people/faculty/naughton-noel.html" TargetMode="External"/><Relationship Id="rId1614" Type="http://schemas.openxmlformats.org/officeDocument/2006/relationships/hyperlink" Target="https://mae.osu.edu/people/soghrati.1" TargetMode="External"/><Relationship Id="rId1821" Type="http://schemas.openxmlformats.org/officeDocument/2006/relationships/hyperlink" Target="https://viterbi.usc.edu/directory/faculty/Ronney/Paul" TargetMode="External"/><Relationship Id="rId4020" Type="http://schemas.openxmlformats.org/officeDocument/2006/relationships/hyperlink" Target="https://www.binghamton.edu/mechanical-engineering/people/profile.html?id=sschiffr" TargetMode="External"/><Relationship Id="rId4977" Type="http://schemas.openxmlformats.org/officeDocument/2006/relationships/hyperlink" Target="https://ritchieschool.du.edu/about/people/yun-bo-yi" TargetMode="External"/><Relationship Id="rId3579" Type="http://schemas.openxmlformats.org/officeDocument/2006/relationships/hyperlink" Target="https://ecs.syracuse.edu/faculty-staff/ed-bogucz" TargetMode="External"/><Relationship Id="rId3786" Type="http://schemas.openxmlformats.org/officeDocument/2006/relationships/hyperlink" Target="https://www.uah.edu/eng/departments/mae/faculty-staff/shankar-mahalingam" TargetMode="External"/><Relationship Id="rId2388" Type="http://schemas.openxmlformats.org/officeDocument/2006/relationships/hyperlink" Target="https://engineering.case.edu/about/school-directory/umut-gurkan" TargetMode="External"/><Relationship Id="rId2595" Type="http://schemas.openxmlformats.org/officeDocument/2006/relationships/hyperlink" Target="https://mae.rutgers.edu/xi-gu" TargetMode="External"/><Relationship Id="rId3439" Type="http://schemas.openxmlformats.org/officeDocument/2006/relationships/hyperlink" Target="https://www.me.byu.edu/directory/anton-bowden" TargetMode="External"/><Relationship Id="rId3993" Type="http://schemas.openxmlformats.org/officeDocument/2006/relationships/hyperlink" Target="https://sc.edu/study/colleges_schools/engineering_and_computing/faculty-staff/rocheleau_david.php" TargetMode="External"/><Relationship Id="rId4837" Type="http://schemas.openxmlformats.org/officeDocument/2006/relationships/hyperlink" Target="https://engineering.usu.edu/mae/people/faculty/wang-hailei.php" TargetMode="External"/><Relationship Id="rId567" Type="http://schemas.openxmlformats.org/officeDocument/2006/relationships/hyperlink" Target="https://engineering.purdue.edu/ME/People/ptProfile?resource_id=127038" TargetMode="External"/><Relationship Id="rId1197" Type="http://schemas.openxmlformats.org/officeDocument/2006/relationships/hyperlink" Target="https://enme.umd.edu/clark/faculty/558/Johan-Larsson" TargetMode="External"/><Relationship Id="rId2248" Type="http://schemas.openxmlformats.org/officeDocument/2006/relationships/hyperlink" Target="https://www.me.iastate.edu/faculty/profile/shrotriy" TargetMode="External"/><Relationship Id="rId3646" Type="http://schemas.openxmlformats.org/officeDocument/2006/relationships/hyperlink" Target="https://profiles.ucr.edu/app/home/profile/chenli" TargetMode="External"/><Relationship Id="rId3853" Type="http://schemas.openxmlformats.org/officeDocument/2006/relationships/hyperlink" Target="https://www.engr.uky.edu/directory/wu-tingwen" TargetMode="External"/><Relationship Id="rId4904" Type="http://schemas.openxmlformats.org/officeDocument/2006/relationships/hyperlink" Target="https://www.odu.edu/directory/abdelmageed-elmustafa" TargetMode="External"/><Relationship Id="rId774" Type="http://schemas.openxmlformats.org/officeDocument/2006/relationships/hyperlink" Target="https://www.me.utexas.edu/people/faculty-directory/ezekoye" TargetMode="External"/><Relationship Id="rId981" Type="http://schemas.openxmlformats.org/officeDocument/2006/relationships/hyperlink" Target="https://engineering.tamu.edu/mechanical/profiles/ambrose-robert.html" TargetMode="External"/><Relationship Id="rId1057" Type="http://schemas.openxmlformats.org/officeDocument/2006/relationships/hyperlink" Target="https://engineering.tamu.edu/mechanical/profiles/srinivasa-arun.html" TargetMode="External"/><Relationship Id="rId2455" Type="http://schemas.openxmlformats.org/officeDocument/2006/relationships/hyperlink" Target="https://engineering.msu.edu/faculty/Indrek-Wichman" TargetMode="External"/><Relationship Id="rId2662" Type="http://schemas.openxmlformats.org/officeDocument/2006/relationships/hyperlink" Target="https://www.clemson.edu/cecas/departments/me/people/faculty/tim.html" TargetMode="External"/><Relationship Id="rId3506" Type="http://schemas.openxmlformats.org/officeDocument/2006/relationships/hyperlink" Target="https://www.mtu.edu/mechanical/people/faculty/cai/" TargetMode="External"/><Relationship Id="rId3713" Type="http://schemas.openxmlformats.org/officeDocument/2006/relationships/hyperlink" Target="https://eng.ua.edu/eng-directory/dr-matthew-kasemer/" TargetMode="External"/><Relationship Id="rId3920" Type="http://schemas.openxmlformats.org/officeDocument/2006/relationships/hyperlink" Target="https://mees.charlotte.edu/directory/terry-t-xu" TargetMode="External"/><Relationship Id="rId427" Type="http://schemas.openxmlformats.org/officeDocument/2006/relationships/hyperlink" Target="https://mechse.illinois.edu/people/profile/bgthomas" TargetMode="External"/><Relationship Id="rId634" Type="http://schemas.openxmlformats.org/officeDocument/2006/relationships/hyperlink" Target="https://engineering.purdue.edu/ME/People/ptProfile?resource_id=164622" TargetMode="External"/><Relationship Id="rId841" Type="http://schemas.openxmlformats.org/officeDocument/2006/relationships/hyperlink" Target="https://www.mccormick.northwestern.edu/mechanical/research/areas/micro-nanoengineering.html" TargetMode="External"/><Relationship Id="rId1264" Type="http://schemas.openxmlformats.org/officeDocument/2006/relationships/hyperlink" Target="https://cse.umn.edu/me/natasha-wright" TargetMode="External"/><Relationship Id="rId1471" Type="http://schemas.openxmlformats.org/officeDocument/2006/relationships/hyperlink" Target="https://jacobsschool.ucsd.edu/faculty/profile?id=136" TargetMode="External"/><Relationship Id="rId2108" Type="http://schemas.openxmlformats.org/officeDocument/2006/relationships/hyperlink" Target="https://isearch.asu.edu/profile/64076" TargetMode="External"/><Relationship Id="rId2315" Type="http://schemas.openxmlformats.org/officeDocument/2006/relationships/hyperlink" Target="https://engineering.virginia.edu/departments/mechanical-and-aerospace-engineering/people" TargetMode="External"/><Relationship Id="rId2522" Type="http://schemas.openxmlformats.org/officeDocument/2006/relationships/hyperlink" Target="https://www.bu.edu/eng/profile/brian-walsh-ph-d/" TargetMode="External"/><Relationship Id="rId701" Type="http://schemas.openxmlformats.org/officeDocument/2006/relationships/hyperlink" Target="https://mae.princeton.edu/people/faculty/kolemen" TargetMode="External"/><Relationship Id="rId1124" Type="http://schemas.openxmlformats.org/officeDocument/2006/relationships/hyperlink" Target="https://www.me.psu.edu/department/directory-detail-g.aspx?q=JZD15" TargetMode="External"/><Relationship Id="rId1331" Type="http://schemas.openxmlformats.org/officeDocument/2006/relationships/hyperlink" Target="https://directory.engr.wisc.edu/me/Faculty/Osswald_Tim/" TargetMode="External"/><Relationship Id="rId4487" Type="http://schemas.openxmlformats.org/officeDocument/2006/relationships/hyperlink" Target="https://me.ucmerced.edu/content/mehmet-baykara" TargetMode="External"/><Relationship Id="rId4694" Type="http://schemas.openxmlformats.org/officeDocument/2006/relationships/hyperlink" Target="https://mechanical-engineering.uark.edu/Directory/index/uid/phuang/name/Po-Hao+Adam+Huang/" TargetMode="External"/><Relationship Id="rId5538" Type="http://schemas.openxmlformats.org/officeDocument/2006/relationships/hyperlink" Target="https://und.edu/directory/hallie.chelmo" TargetMode="External"/><Relationship Id="rId3089" Type="http://schemas.openxmlformats.org/officeDocument/2006/relationships/hyperlink" Target="https://nps.edu/faculty-profiles/-/cv/cmbrophy" TargetMode="External"/><Relationship Id="rId3296" Type="http://schemas.openxmlformats.org/officeDocument/2006/relationships/hyperlink" Target="http://mae.ucf.edu/person/dazhong-wu/" TargetMode="External"/><Relationship Id="rId4347" Type="http://schemas.openxmlformats.org/officeDocument/2006/relationships/hyperlink" Target="https://directory.statler.wvu.edu/faculty-staff-directory/edward-sabolsky" TargetMode="External"/><Relationship Id="rId4554" Type="http://schemas.openxmlformats.org/officeDocument/2006/relationships/hyperlink" Target="https://me.unm.edu/about/directory/faculty/heng-e.-zuo.html" TargetMode="External"/><Relationship Id="rId4761" Type="http://schemas.openxmlformats.org/officeDocument/2006/relationships/hyperlink" Target="https://umdearborn.edu/people-um-dearborn/byungchan-lee" TargetMode="External"/><Relationship Id="rId3156" Type="http://schemas.openxmlformats.org/officeDocument/2006/relationships/hyperlink" Target="https://mie.uic.edu/profiles/jie-xu/" TargetMode="External"/><Relationship Id="rId3363" Type="http://schemas.openxmlformats.org/officeDocument/2006/relationships/hyperlink" Target="https://mme.wsu.edu/faculty/nandita-biswas/" TargetMode="External"/><Relationship Id="rId4207" Type="http://schemas.openxmlformats.org/officeDocument/2006/relationships/hyperlink" Target="http://engineering.uga.edu/people/profile/assistant-professor" TargetMode="External"/><Relationship Id="rId4414" Type="http://schemas.openxmlformats.org/officeDocument/2006/relationships/hyperlink" Target="https://eng.famu.fsu.edu/me/people/shoele" TargetMode="External"/><Relationship Id="rId284" Type="http://schemas.openxmlformats.org/officeDocument/2006/relationships/hyperlink" Target="https://www.me.gatech.edu/faculty/gleason" TargetMode="External"/><Relationship Id="rId491" Type="http://schemas.openxmlformats.org/officeDocument/2006/relationships/hyperlink" Target="https://me.engin.umich.edu/people/faculty/ronald-larson/" TargetMode="External"/><Relationship Id="rId2172" Type="http://schemas.openxmlformats.org/officeDocument/2006/relationships/hyperlink" Target="https://engineering.uci.edu/users/ramin-bostanabad" TargetMode="External"/><Relationship Id="rId3016" Type="http://schemas.openxmlformats.org/officeDocument/2006/relationships/hyperlink" Target="https://engineering.lehigh.edu/meche/faculty/166306" TargetMode="External"/><Relationship Id="rId3223" Type="http://schemas.openxmlformats.org/officeDocument/2006/relationships/hyperlink" Target="https://www.engr.colostate.edu/me/faculty/dr-todd-bandhauer/" TargetMode="External"/><Relationship Id="rId3570" Type="http://schemas.openxmlformats.org/officeDocument/2006/relationships/hyperlink" Target="https://www.stevens.edu/profile/fyang26" TargetMode="External"/><Relationship Id="rId4621" Type="http://schemas.openxmlformats.org/officeDocument/2006/relationships/hyperlink" Target="https://uwm.edu/engineering/people/sung-yongjin/" TargetMode="External"/><Relationship Id="rId144" Type="http://schemas.openxmlformats.org/officeDocument/2006/relationships/hyperlink" Target="https://me.stanford.edu/people/steve-collins" TargetMode="External"/><Relationship Id="rId3430" Type="http://schemas.openxmlformats.org/officeDocument/2006/relationships/hyperlink" Target="https://www.wpi.edu/people/faculty/yanwang" TargetMode="External"/><Relationship Id="rId5188" Type="http://schemas.openxmlformats.org/officeDocument/2006/relationships/hyperlink" Target="https://www.scu.edu/engineering/academic-programs/department-of-mechanical-engineering/faculty-and-staff/marks.html" TargetMode="External"/><Relationship Id="rId351" Type="http://schemas.openxmlformats.org/officeDocument/2006/relationships/hyperlink" Target="https://www.me.gatech.edu/faculty/yavari" TargetMode="External"/><Relationship Id="rId2032" Type="http://schemas.openxmlformats.org/officeDocument/2006/relationships/hyperlink" Target="https://ame.nd.edu/faculty/jonathan-macart/" TargetMode="External"/><Relationship Id="rId2989" Type="http://schemas.openxmlformats.org/officeDocument/2006/relationships/hyperlink" Target="https://www.mae.seas.gwu.edu/elias-balaras" TargetMode="External"/><Relationship Id="rId5395" Type="http://schemas.openxmlformats.org/officeDocument/2006/relationships/hyperlink" Target="https://www.sdstate.edu/directory/douglas-peters" TargetMode="External"/><Relationship Id="rId211" Type="http://schemas.openxmlformats.org/officeDocument/2006/relationships/hyperlink" Target="https://mce.caltech.edu/people/ravichan" TargetMode="External"/><Relationship Id="rId1798" Type="http://schemas.openxmlformats.org/officeDocument/2006/relationships/hyperlink" Target="https://mae.ufl.edu/people/faculty/primary/instructional-professors/profiles/sean-niemi/" TargetMode="External"/><Relationship Id="rId2849" Type="http://schemas.openxmlformats.org/officeDocument/2006/relationships/hyperlink" Target="https://me.engr.uconn.edu/blog/faculty/lu-tianfeng/" TargetMode="External"/><Relationship Id="rId5048" Type="http://schemas.openxmlformats.org/officeDocument/2006/relationships/hyperlink" Target="https://www.wichita.edu/academics/engineering/mechanical_engineering/index.php" TargetMode="External"/><Relationship Id="rId5255" Type="http://schemas.openxmlformats.org/officeDocument/2006/relationships/hyperlink" Target="https://engineering.olemiss.edu/people-viola-acoff/" TargetMode="External"/><Relationship Id="rId5462" Type="http://schemas.openxmlformats.org/officeDocument/2006/relationships/hyperlink" Target="https://www.lamar.edu/engineering/mechanical/faculty-staff/chun-wei-yao/index.html" TargetMode="External"/><Relationship Id="rId1658" Type="http://schemas.openxmlformats.org/officeDocument/2006/relationships/hyperlink" Target="https://www.me.columbia.edu/faculty/mary-boyce" TargetMode="External"/><Relationship Id="rId1865" Type="http://schemas.openxmlformats.org/officeDocument/2006/relationships/hyperlink" Target="https://www.me.washington.edu/people/faculty/ann_mescher" TargetMode="External"/><Relationship Id="rId2709" Type="http://schemas.openxmlformats.org/officeDocument/2006/relationships/hyperlink" Target="https://drexel.edu/engineering/about/faculty-staff/F/fridman-alexander/" TargetMode="External"/><Relationship Id="rId4064" Type="http://schemas.openxmlformats.org/officeDocument/2006/relationships/hyperlink" Target="https://daytonabeach.erau.edu/college-engineering/mechanical/faculty" TargetMode="External"/><Relationship Id="rId4271" Type="http://schemas.openxmlformats.org/officeDocument/2006/relationships/hyperlink" Target="https://engineering.missouri.edu/faculty/roseanna-zia/" TargetMode="External"/><Relationship Id="rId5115" Type="http://schemas.openxmlformats.org/officeDocument/2006/relationships/hyperlink" Target="mailto:tonthoma@fiu.edu" TargetMode="External"/><Relationship Id="rId5322" Type="http://schemas.openxmlformats.org/officeDocument/2006/relationships/hyperlink" Target="https://people.wright.edu/george.huang" TargetMode="External"/><Relationship Id="rId1518" Type="http://schemas.openxmlformats.org/officeDocument/2006/relationships/hyperlink" Target="https://mems.duke.edu/faculty/gaurav-arya" TargetMode="External"/><Relationship Id="rId2916" Type="http://schemas.openxmlformats.org/officeDocument/2006/relationships/hyperlink" Target="https://www.engineering.pitt.edu/people/faculty/paul-ohodnicki/" TargetMode="External"/><Relationship Id="rId3080" Type="http://schemas.openxmlformats.org/officeDocument/2006/relationships/hyperlink" Target="https://works.bepress.com/daniel-stutts/about/" TargetMode="External"/><Relationship Id="rId4131" Type="http://schemas.openxmlformats.org/officeDocument/2006/relationships/hyperlink" Target="https://mechanical.sdsu.edu/people/hamid-nourollahi.aspx" TargetMode="External"/><Relationship Id="rId1725" Type="http://schemas.openxmlformats.org/officeDocument/2006/relationships/hyperlink" Target="https://www.colorado.edu/mechanical/massimo-ruzzene" TargetMode="External"/><Relationship Id="rId1932" Type="http://schemas.openxmlformats.org/officeDocument/2006/relationships/hyperlink" Target="https://engineering.brown.edu/people/gabriel-taubin" TargetMode="External"/><Relationship Id="rId17" Type="http://schemas.openxmlformats.org/officeDocument/2006/relationships/hyperlink" Target="https://meche.mit.edu/people/faculty/lbouro@mit.edu" TargetMode="External"/><Relationship Id="rId3897" Type="http://schemas.openxmlformats.org/officeDocument/2006/relationships/hyperlink" Target="https://mees.charlotte.edu/directory/m-garry-hodgins" TargetMode="External"/><Relationship Id="rId4948" Type="http://schemas.openxmlformats.org/officeDocument/2006/relationships/hyperlink" Target="https://www.uab.edu/engineering/mme/people/faculty/robin-d-foley" TargetMode="External"/><Relationship Id="rId2499" Type="http://schemas.openxmlformats.org/officeDocument/2006/relationships/hyperlink" Target="https://www.bu.edu/eng/profile/louis-c-gerstenfeld-phd/" TargetMode="External"/><Relationship Id="rId3757" Type="http://schemas.openxmlformats.org/officeDocument/2006/relationships/hyperlink" Target="https://www.uta.edu/academics/faculty/profile?username=zxhan" TargetMode="External"/><Relationship Id="rId3964" Type="http://schemas.openxmlformats.org/officeDocument/2006/relationships/hyperlink" Target="https://sc.edu/study/colleges_schools/engineering_and_computing/faculty-staff/cacuci_dan.php" TargetMode="External"/><Relationship Id="rId4808" Type="http://schemas.openxmlformats.org/officeDocument/2006/relationships/hyperlink" Target="https://klesse.utsa.edu/faculty/profiles/herbert-francisco.html" TargetMode="External"/><Relationship Id="rId1" Type="http://schemas.openxmlformats.org/officeDocument/2006/relationships/hyperlink" Target="https://meche.mit.edu/people/faculty/karnik@mit.edu" TargetMode="External"/><Relationship Id="rId678" Type="http://schemas.openxmlformats.org/officeDocument/2006/relationships/hyperlink" Target="https://www.engineering.cornell.edu/faculty-directory/atieh-moridi" TargetMode="External"/><Relationship Id="rId885" Type="http://schemas.openxmlformats.org/officeDocument/2006/relationships/hyperlink" Target="https://www.mccormick.northwestern.edu/research-faculty/directory/profiles/lichter-seth.html" TargetMode="External"/><Relationship Id="rId2359" Type="http://schemas.openxmlformats.org/officeDocument/2006/relationships/hyperlink" Target="https://engineering.wustl.edu/faculty/Katharine-Flores.html" TargetMode="External"/><Relationship Id="rId2566" Type="http://schemas.openxmlformats.org/officeDocument/2006/relationships/hyperlink" Target="https://mechanical.mines.edu/project/ricote-sandrine/" TargetMode="External"/><Relationship Id="rId2773" Type="http://schemas.openxmlformats.org/officeDocument/2006/relationships/hyperlink" Target="https://engineering.buffalo.edu/mechanical-aerospace/people/faculty/ladder.host.html/content/shared/engineering/mechanical-aerospace/profiles/liu-jun.detail.html" TargetMode="External"/><Relationship Id="rId2980" Type="http://schemas.openxmlformats.org/officeDocument/2006/relationships/hyperlink" Target="http://eng.auburn.edu/directory/thakumr" TargetMode="External"/><Relationship Id="rId3617" Type="http://schemas.openxmlformats.org/officeDocument/2006/relationships/hyperlink" Target="https://me.utdallas.edu/faculty-staff/hongbing-lu/" TargetMode="External"/><Relationship Id="rId3824" Type="http://schemas.openxmlformats.org/officeDocument/2006/relationships/hyperlink" Target="https://www.engr.uky.edu/directory/hoagg-jesse" TargetMode="External"/><Relationship Id="rId538" Type="http://schemas.openxmlformats.org/officeDocument/2006/relationships/hyperlink" Target="https://engineering.purdue.edu/ME/People/ptProfile?resource_id=250301" TargetMode="External"/><Relationship Id="rId745" Type="http://schemas.openxmlformats.org/officeDocument/2006/relationships/hyperlink" Target="https://www.meche.engineering.cmu.edu/directory/bios/sullivan-ryan.html" TargetMode="External"/><Relationship Id="rId952" Type="http://schemas.openxmlformats.org/officeDocument/2006/relationships/hyperlink" Target="https://me.jhu.edu/faculty/yun-chen/" TargetMode="External"/><Relationship Id="rId1168" Type="http://schemas.openxmlformats.org/officeDocument/2006/relationships/hyperlink" Target="https://enme.umd.edu/clark/faculty/1724/Damena-Agonafer" TargetMode="External"/><Relationship Id="rId1375" Type="http://schemas.openxmlformats.org/officeDocument/2006/relationships/hyperlink" Target="https://me.vt.edu/people/faculty/bentzvi-pinhas.html" TargetMode="External"/><Relationship Id="rId1582" Type="http://schemas.openxmlformats.org/officeDocument/2006/relationships/hyperlink" Target="https://mae.osu.edu/people/gilat.1" TargetMode="External"/><Relationship Id="rId2219" Type="http://schemas.openxmlformats.org/officeDocument/2006/relationships/hyperlink" Target="https://www.me.iastate.edu/faculty/profile/cchayes" TargetMode="External"/><Relationship Id="rId2426" Type="http://schemas.openxmlformats.org/officeDocument/2006/relationships/hyperlink" Target="https://www.egr.msu.edu/people/profile/lclee" TargetMode="External"/><Relationship Id="rId2633" Type="http://schemas.openxmlformats.org/officeDocument/2006/relationships/hyperlink" Target="https://me.udel.edu/faculty/james-l-glancey/" TargetMode="External"/><Relationship Id="rId81" Type="http://schemas.openxmlformats.org/officeDocument/2006/relationships/hyperlink" Target="https://meche.mit.edu/people/faculty/cgt20@mit.edu" TargetMode="External"/><Relationship Id="rId605" Type="http://schemas.openxmlformats.org/officeDocument/2006/relationships/hyperlink" Target="https://engineering.purdue.edu/ME/People/ptProfile?resource_id=12331" TargetMode="External"/><Relationship Id="rId812" Type="http://schemas.openxmlformats.org/officeDocument/2006/relationships/hyperlink" Target="https://www.me.utexas.edu/people/faculty-directory/ywang" TargetMode="External"/><Relationship Id="rId1028" Type="http://schemas.openxmlformats.org/officeDocument/2006/relationships/hyperlink" Target="https://engineering.tamu.edu/etid/profiles/lee-kiju.html" TargetMode="External"/><Relationship Id="rId1235" Type="http://schemas.openxmlformats.org/officeDocument/2006/relationships/hyperlink" Target="https://cse.umn.edu/me/arthur-erdman" TargetMode="External"/><Relationship Id="rId1442" Type="http://schemas.openxmlformats.org/officeDocument/2006/relationships/hyperlink" Target="https://seas.harvard.edu/person/boris-kozinsky" TargetMode="External"/><Relationship Id="rId2840" Type="http://schemas.openxmlformats.org/officeDocument/2006/relationships/hyperlink" Target="https://me.engr.uconn.edu/blog/faculty/hu-chao/" TargetMode="External"/><Relationship Id="rId4598" Type="http://schemas.openxmlformats.org/officeDocument/2006/relationships/hyperlink" Target="https://www.uvm.edu/node/257335" TargetMode="External"/><Relationship Id="rId1302" Type="http://schemas.openxmlformats.org/officeDocument/2006/relationships/hyperlink" Target="https://directory.seas.upenn.edu/kevin-t-turner/" TargetMode="External"/><Relationship Id="rId2700" Type="http://schemas.openxmlformats.org/officeDocument/2006/relationships/hyperlink" Target="https://drexel.edu/engineering/about/faculty-staff/A/awerbuch-jonathan/" TargetMode="External"/><Relationship Id="rId4458" Type="http://schemas.openxmlformats.org/officeDocument/2006/relationships/hyperlink" Target="http://www.me.msstate.edu/people/faculty/hammi/" TargetMode="External"/><Relationship Id="rId3267" Type="http://schemas.openxmlformats.org/officeDocument/2006/relationships/hyperlink" Target="https://engineering.nyu.edu/faculty/s-farokh-atashzar" TargetMode="External"/><Relationship Id="rId4665" Type="http://schemas.openxmlformats.org/officeDocument/2006/relationships/hyperlink" Target="https://mae.nmsu.edu/faculty/dr-hyeongjun-park.html" TargetMode="External"/><Relationship Id="rId4872" Type="http://schemas.openxmlformats.org/officeDocument/2006/relationships/hyperlink" Target="https://www.fit.edu/faculty-profiles/p/pahinkar-darshan-g/" TargetMode="External"/><Relationship Id="rId5509" Type="http://schemas.openxmlformats.org/officeDocument/2006/relationships/hyperlink" Target="https://www.pdx.edu/profile/yi-xia" TargetMode="External"/><Relationship Id="rId188" Type="http://schemas.openxmlformats.org/officeDocument/2006/relationships/hyperlink" Target="https://me.stanford.edu/people/joseph-towles" TargetMode="External"/><Relationship Id="rId395" Type="http://schemas.openxmlformats.org/officeDocument/2006/relationships/hyperlink" Target="https://mechse.illinois.edu/people/profile/a-jacobi" TargetMode="External"/><Relationship Id="rId2076" Type="http://schemas.openxmlformats.org/officeDocument/2006/relationships/hyperlink" Target="https://seas.yale.edu/faculty-research/faculty-directory/amir-pahlavan" TargetMode="External"/><Relationship Id="rId3474" Type="http://schemas.openxmlformats.org/officeDocument/2006/relationships/hyperlink" Target="https://www.iit.edu/directory/people/kevin-cassel" TargetMode="External"/><Relationship Id="rId3681" Type="http://schemas.openxmlformats.org/officeDocument/2006/relationships/hyperlink" Target="https://ceat.okstate.edu/mae/faculty-staff/faculty-bios/sandip-harimkar.html" TargetMode="External"/><Relationship Id="rId4318" Type="http://schemas.openxmlformats.org/officeDocument/2006/relationships/hyperlink" Target="http://egr.vcu.edu/directory/joaos.soares/" TargetMode="External"/><Relationship Id="rId4525" Type="http://schemas.openxmlformats.org/officeDocument/2006/relationships/hyperlink" Target="https://udayton.edu/directory/engineering/mechanical_and_aerospace/schrader-andrew.php" TargetMode="External"/><Relationship Id="rId4732" Type="http://schemas.openxmlformats.org/officeDocument/2006/relationships/hyperlink" Target="http://me.hawaii.edu/brown/" TargetMode="External"/><Relationship Id="rId2283" Type="http://schemas.openxmlformats.org/officeDocument/2006/relationships/hyperlink" Target="https://www.mae.ncsu.edu/people/andrew-lee" TargetMode="External"/><Relationship Id="rId2490" Type="http://schemas.openxmlformats.org/officeDocument/2006/relationships/hyperlink" Target="https://www.bu.edu/eng/profile/william-boley-ph-d/" TargetMode="External"/><Relationship Id="rId3127" Type="http://schemas.openxmlformats.org/officeDocument/2006/relationships/hyperlink" Target="https://me.stonybrook.edu/commcms/me-eng/people/faculty/Purwar_Anurag.php" TargetMode="External"/><Relationship Id="rId3334" Type="http://schemas.openxmlformats.org/officeDocument/2006/relationships/hyperlink" Target="https://www.me.uh.edu/faculty/chen-yi-chao" TargetMode="External"/><Relationship Id="rId3541" Type="http://schemas.openxmlformats.org/officeDocument/2006/relationships/hyperlink" Target="https://www.mtu.edu/mechanical/people/faculty/zou/" TargetMode="External"/><Relationship Id="rId255" Type="http://schemas.openxmlformats.org/officeDocument/2006/relationships/hyperlink" Target="https://me.berkeley.edu/people/lining-yao/" TargetMode="External"/><Relationship Id="rId462" Type="http://schemas.openxmlformats.org/officeDocument/2006/relationships/hyperlink" Target="https://me.engin.umich.edu/people/faculty/karthik-duraisamy/" TargetMode="External"/><Relationship Id="rId1092" Type="http://schemas.openxmlformats.org/officeDocument/2006/relationships/hyperlink" Target="https://samueli.ucla.edu/people/lihua-jin/" TargetMode="External"/><Relationship Id="rId2143" Type="http://schemas.openxmlformats.org/officeDocument/2006/relationships/hyperlink" Target="https://mae.ucdavis.edu/directory/kelly-kissock" TargetMode="External"/><Relationship Id="rId2350" Type="http://schemas.openxmlformats.org/officeDocument/2006/relationships/hyperlink" Target="https://engineering.virginia.edu/faculty/thomas-ward" TargetMode="External"/><Relationship Id="rId3401" Type="http://schemas.openxmlformats.org/officeDocument/2006/relationships/hyperlink" Target="https://www.wpi.edu/people/faculty/swodinschwartz" TargetMode="External"/><Relationship Id="rId5299" Type="http://schemas.openxmlformats.org/officeDocument/2006/relationships/hyperlink" Target="https://mechanical.engineering.unt.edu/faculty/seifollah-nasrazadani" TargetMode="External"/><Relationship Id="rId115" Type="http://schemas.openxmlformats.org/officeDocument/2006/relationships/hyperlink" Target="https://meche.mit.edu/people/staff/grama@MIT.EDU" TargetMode="External"/><Relationship Id="rId322" Type="http://schemas.openxmlformats.org/officeDocument/2006/relationships/hyperlink" Target="https://www.me.gatech.edu/faculty/qi" TargetMode="External"/><Relationship Id="rId2003" Type="http://schemas.openxmlformats.org/officeDocument/2006/relationships/hyperlink" Target="https://me.ucsb.edu/people/henry-t-yang" TargetMode="External"/><Relationship Id="rId2210" Type="http://schemas.openxmlformats.org/officeDocument/2006/relationships/hyperlink" Target="https://www.me.iastate.edu/faculty/profile/kmbryden" TargetMode="External"/><Relationship Id="rId5159" Type="http://schemas.openxmlformats.org/officeDocument/2006/relationships/hyperlink" Target="https://www.ohio.edu/engineering/about/people/cotton" TargetMode="External"/><Relationship Id="rId5366" Type="http://schemas.openxmlformats.org/officeDocument/2006/relationships/hyperlink" Target="https://sites.google.com/ndsu.edu/yanzhang/home" TargetMode="External"/><Relationship Id="rId4175" Type="http://schemas.openxmlformats.org/officeDocument/2006/relationships/hyperlink" Target="http://engineering.uga.edu/people/profile/robert-baffour" TargetMode="External"/><Relationship Id="rId4382" Type="http://schemas.openxmlformats.org/officeDocument/2006/relationships/hyperlink" Target="https://www.ecs.baylor.edu/person/dr-anne-spence" TargetMode="External"/><Relationship Id="rId5019" Type="http://schemas.openxmlformats.org/officeDocument/2006/relationships/hyperlink" Target="https://www.unr.edu/me/people/cahit-evrensel" TargetMode="External"/><Relationship Id="rId5226" Type="http://schemas.openxmlformats.org/officeDocument/2006/relationships/hyperlink" Target="https://youtu.be/CYmf1-RxLZA" TargetMode="External"/><Relationship Id="rId5433" Type="http://schemas.openxmlformats.org/officeDocument/2006/relationships/hyperlink" Target="https://engineering.utulsa.edu/mechanical-engineering/faculty/profile/joshua-schultz" TargetMode="External"/><Relationship Id="rId1769" Type="http://schemas.openxmlformats.org/officeDocument/2006/relationships/hyperlink" Target="https://mae.ufl.edu/people/faculty/primary/professor/profiles/lawrence-ukeiley/" TargetMode="External"/><Relationship Id="rId1976" Type="http://schemas.openxmlformats.org/officeDocument/2006/relationships/hyperlink" Target="https://me.ucsb.edu/people/glenn-beltz" TargetMode="External"/><Relationship Id="rId3191" Type="http://schemas.openxmlformats.org/officeDocument/2006/relationships/hyperlink" Target="https://mabe.utk.edu/people/michael-lacour/" TargetMode="External"/><Relationship Id="rId4035" Type="http://schemas.openxmlformats.org/officeDocument/2006/relationships/hyperlink" Target="https://www.clarkson.edu/node/31391" TargetMode="External"/><Relationship Id="rId4242" Type="http://schemas.openxmlformats.org/officeDocument/2006/relationships/hyperlink" Target="https://me.ku.edu/people/xinmai-yang" TargetMode="External"/><Relationship Id="rId1629" Type="http://schemas.openxmlformats.org/officeDocument/2006/relationships/hyperlink" Target="https://mae.osu.edu/people/wolff.357" TargetMode="External"/><Relationship Id="rId1836" Type="http://schemas.openxmlformats.org/officeDocument/2006/relationships/hyperlink" Target="https://viterbi.usc.edu/directory/faculty/Sakai/Takahiro" TargetMode="External"/><Relationship Id="rId5500" Type="http://schemas.openxmlformats.org/officeDocument/2006/relationships/hyperlink" Target="https://www.pdx.edu/profile/ilke-celik" TargetMode="External"/><Relationship Id="rId1903" Type="http://schemas.openxmlformats.org/officeDocument/2006/relationships/hyperlink" Target="https://engineering.brown.edu/people/leigh-hochberg" TargetMode="External"/><Relationship Id="rId3051" Type="http://schemas.openxmlformats.org/officeDocument/2006/relationships/hyperlink" Target="https://works.bepress.com/richard-billo/about/" TargetMode="External"/><Relationship Id="rId4102" Type="http://schemas.openxmlformats.org/officeDocument/2006/relationships/hyperlink" Target="https://www.mne.k-state.edu/about/people/faculty/xin/" TargetMode="External"/><Relationship Id="rId3868" Type="http://schemas.openxmlformats.org/officeDocument/2006/relationships/hyperlink" Target="https://engineering.unl.edu/mme/faculty/abdelghani-laraoui/" TargetMode="External"/><Relationship Id="rId4919" Type="http://schemas.openxmlformats.org/officeDocument/2006/relationships/hyperlink" Target="https://uakron.edu/engineering/me/our-people/profile.dot?u=buldum" TargetMode="External"/><Relationship Id="rId789" Type="http://schemas.openxmlformats.org/officeDocument/2006/relationships/hyperlink" Target="https://www.me.utexas.edu/people/faculty-directory/kutanoglu" TargetMode="External"/><Relationship Id="rId996" Type="http://schemas.openxmlformats.org/officeDocument/2006/relationships/hyperlink" Target="https://engineering.tamu.edu/mechanical/profiles/cope-dale.html" TargetMode="External"/><Relationship Id="rId2677" Type="http://schemas.openxmlformats.org/officeDocument/2006/relationships/hyperlink" Target="http://cecas.clemson.edu/~jsaylor/" TargetMode="External"/><Relationship Id="rId2884" Type="http://schemas.openxmlformats.org/officeDocument/2006/relationships/hyperlink" Target="https://engineering.uiowa.edu/people/frederick-stern" TargetMode="External"/><Relationship Id="rId3728" Type="http://schemas.openxmlformats.org/officeDocument/2006/relationships/hyperlink" Target="https://eng.ua.edu/eng-directory/dr-kalyan-kumar-srinivasan/" TargetMode="External"/><Relationship Id="rId5083" Type="http://schemas.openxmlformats.org/officeDocument/2006/relationships/hyperlink" Target="https://mme.fiu.edu/faculty-staff-members/zhe-cheng" TargetMode="External"/><Relationship Id="rId5290" Type="http://schemas.openxmlformats.org/officeDocument/2006/relationships/hyperlink" Target="https://mechanical.engineering.unt.edu/faculty/taeyul-theo-choi" TargetMode="External"/><Relationship Id="rId649" Type="http://schemas.openxmlformats.org/officeDocument/2006/relationships/hyperlink" Target="https://www.engineering.cornell.edu/faculty-directory/david-erickson" TargetMode="External"/><Relationship Id="rId856" Type="http://schemas.openxmlformats.org/officeDocument/2006/relationships/hyperlink" Target="https://www.mccormick.northwestern.edu/mechanical/research/areas/biosystems-health.html" TargetMode="External"/><Relationship Id="rId1279" Type="http://schemas.openxmlformats.org/officeDocument/2006/relationships/hyperlink" Target="https://directory.seas.upenn.edu/yale-goldman/" TargetMode="External"/><Relationship Id="rId1486" Type="http://schemas.openxmlformats.org/officeDocument/2006/relationships/hyperlink" Target="https://jacobsschool.ucsd.edu/node/3666?_gl=1*neyrns*_ga*NjQzNjk2MDM4LjE3MDEzODA3MDM.*_ga_PWJGRGMV0T*MTcwMTU3MDg4NC4yLjEuMTcwMTU3MTI5Mi4wLjAuMA.." TargetMode="External"/><Relationship Id="rId2537" Type="http://schemas.openxmlformats.org/officeDocument/2006/relationships/hyperlink" Target="https://mechanical.mines.edu/project/csavina-kristine/" TargetMode="External"/><Relationship Id="rId3935" Type="http://schemas.openxmlformats.org/officeDocument/2006/relationships/hyperlink" Target="http://www.hajim.rochester.edu/me/people/faculty/dias-ranga/index.html" TargetMode="External"/><Relationship Id="rId5150" Type="http://schemas.openxmlformats.org/officeDocument/2006/relationships/hyperlink" Target="https://www.marquette.edu/mechanical-engineering/directory/somesh-roy.php" TargetMode="External"/><Relationship Id="rId509" Type="http://schemas.openxmlformats.org/officeDocument/2006/relationships/hyperlink" Target="https://me.engin.umich.edu/people/faculty/jeff-sakamoto/" TargetMode="External"/><Relationship Id="rId1139" Type="http://schemas.openxmlformats.org/officeDocument/2006/relationships/hyperlink" Target="https://www.me.psu.edu/department/directory-detail-g.aspx?q=aem34" TargetMode="External"/><Relationship Id="rId1346" Type="http://schemas.openxmlformats.org/officeDocument/2006/relationships/hyperlink" Target="https://directory.engr.wisc.edu/ece/Faculty/Tervo_Eric/" TargetMode="External"/><Relationship Id="rId1693" Type="http://schemas.openxmlformats.org/officeDocument/2006/relationships/hyperlink" Target="https://www.colorado.edu/mechanical/virginia-l-ferguson" TargetMode="External"/><Relationship Id="rId2744" Type="http://schemas.openxmlformats.org/officeDocument/2006/relationships/hyperlink" Target="https://engineering.tufts.edu/me/node/3021" TargetMode="External"/><Relationship Id="rId2951" Type="http://schemas.openxmlformats.org/officeDocument/2006/relationships/hyperlink" Target="http://eng.auburn.edu/directory/adanusa" TargetMode="External"/><Relationship Id="rId5010" Type="http://schemas.openxmlformats.org/officeDocument/2006/relationships/hyperlink" Target="https://umaine.edu/mecheng/mukhopadhyay/" TargetMode="External"/><Relationship Id="rId716" Type="http://schemas.openxmlformats.org/officeDocument/2006/relationships/hyperlink" Target="https://www.meche.engineering.cmu.edu/directory/bios/barati-farimani-amir.html" TargetMode="External"/><Relationship Id="rId923" Type="http://schemas.openxmlformats.org/officeDocument/2006/relationships/hyperlink" Target="https://www.mccormick.northwestern.edu/mechanical/research/areas/biosystems-health.html" TargetMode="External"/><Relationship Id="rId1553" Type="http://schemas.openxmlformats.org/officeDocument/2006/relationships/hyperlink" Target="https://mems.duke.edu/faculty/sara-haravifard" TargetMode="External"/><Relationship Id="rId1760" Type="http://schemas.openxmlformats.org/officeDocument/2006/relationships/hyperlink" Target="https://mae.ufl.edu/people/faculty/primary/professor/profiles/bhavani-sankar/" TargetMode="External"/><Relationship Id="rId2604" Type="http://schemas.openxmlformats.org/officeDocument/2006/relationships/hyperlink" Target="https://mae.rutgers.edu/rajiv-malhotra" TargetMode="External"/><Relationship Id="rId2811" Type="http://schemas.openxmlformats.org/officeDocument/2006/relationships/hyperlink" Target="https://ame.engineering.arizona.edu/faculty-staff/faculty/peiwen-perry-li" TargetMode="External"/><Relationship Id="rId52" Type="http://schemas.openxmlformats.org/officeDocument/2006/relationships/hyperlink" Target="https://meche.mit.edu/people/faculty/MKOLLE@MIT.EDU" TargetMode="External"/><Relationship Id="rId1206" Type="http://schemas.openxmlformats.org/officeDocument/2006/relationships/hyperlink" Target="https://enme.umd.edu/clark/faculty/579/Amir-Riaz" TargetMode="External"/><Relationship Id="rId1413" Type="http://schemas.openxmlformats.org/officeDocument/2006/relationships/hyperlink" Target="https://me.vt.edu/people/faculty/qiao-rui.html" TargetMode="External"/><Relationship Id="rId1620" Type="http://schemas.openxmlformats.org/officeDocument/2006/relationships/hyperlink" Target="https://mae.osu.edu/people/sutton.235" TargetMode="External"/><Relationship Id="rId4569" Type="http://schemas.openxmlformats.org/officeDocument/2006/relationships/hyperlink" Target="https://www.ou.edu/coe/ame/people/kazempoor.html" TargetMode="External"/><Relationship Id="rId4776" Type="http://schemas.openxmlformats.org/officeDocument/2006/relationships/hyperlink" Target="https://ceps.unh.edu/person/gregory-chini" TargetMode="External"/><Relationship Id="rId4983" Type="http://schemas.openxmlformats.org/officeDocument/2006/relationships/hyperlink" Target="https://engineering.louisville.edu/faculty/ellen-g-brehob/" TargetMode="External"/><Relationship Id="rId3378" Type="http://schemas.openxmlformats.org/officeDocument/2006/relationships/hyperlink" Target="https://mme.wsu.edu/faculty/jin-liu/" TargetMode="External"/><Relationship Id="rId3585" Type="http://schemas.openxmlformats.org/officeDocument/2006/relationships/hyperlink" Target="https://ecs.syracuse.edu/faculty-staff/kasey-laurent" TargetMode="External"/><Relationship Id="rId3792" Type="http://schemas.openxmlformats.org/officeDocument/2006/relationships/hyperlink" Target="https://www.uah.edu/eng/departments/mae/faculty-staff/farbod-fahimi" TargetMode="External"/><Relationship Id="rId4429" Type="http://schemas.openxmlformats.org/officeDocument/2006/relationships/hyperlink" Target="https://www.lsu.edu/eng/mie/people/faculty/li.php" TargetMode="External"/><Relationship Id="rId4636" Type="http://schemas.openxmlformats.org/officeDocument/2006/relationships/hyperlink" Target="https://www.ccny.cuny.edu/profiles/honghui-yu" TargetMode="External"/><Relationship Id="rId4843" Type="http://schemas.openxmlformats.org/officeDocument/2006/relationships/hyperlink" Target="https://engineering.wayne.edu/profile/fl8799" TargetMode="External"/><Relationship Id="rId299" Type="http://schemas.openxmlformats.org/officeDocument/2006/relationships/hyperlink" Target="https://www.me.gatech.edu/faculty/kim" TargetMode="External"/><Relationship Id="rId2187" Type="http://schemas.openxmlformats.org/officeDocument/2006/relationships/hyperlink" Target="https://engineering.uci.edu/users/bihter-padak" TargetMode="External"/><Relationship Id="rId2394" Type="http://schemas.openxmlformats.org/officeDocument/2006/relationships/hyperlink" Target="https://engineering.case.edu/about/school-directory/majid-rashidi" TargetMode="External"/><Relationship Id="rId3238" Type="http://schemas.openxmlformats.org/officeDocument/2006/relationships/hyperlink" Target="https://www.engr.colostate.edu/me/faculty/dr-christian-lorange/" TargetMode="External"/><Relationship Id="rId3445" Type="http://schemas.openxmlformats.org/officeDocument/2006/relationships/hyperlink" Target="https://www.me.byu.edu/directory/brady-davies" TargetMode="External"/><Relationship Id="rId3652" Type="http://schemas.openxmlformats.org/officeDocument/2006/relationships/hyperlink" Target="https://profiles.ucr.edu/app/home/profile/fabiopas" TargetMode="External"/><Relationship Id="rId4703" Type="http://schemas.openxmlformats.org/officeDocument/2006/relationships/hyperlink" Target="https://mechanical-engineering.uark.edu/Directory/index/uid/tmr003/name/Monty+Roberts/" TargetMode="External"/><Relationship Id="rId159" Type="http://schemas.openxmlformats.org/officeDocument/2006/relationships/hyperlink" Target="https://me.stanford.edu/people/ellen-kuhl" TargetMode="External"/><Relationship Id="rId366" Type="http://schemas.openxmlformats.org/officeDocument/2006/relationships/hyperlink" Target="https://mechse.illinois.edu/people/profile/admal" TargetMode="External"/><Relationship Id="rId573" Type="http://schemas.openxmlformats.org/officeDocument/2006/relationships/hyperlink" Target="https://engineering.purdue.edu/ME/People/ptProfile?resource_id=57372" TargetMode="External"/><Relationship Id="rId780" Type="http://schemas.openxmlformats.org/officeDocument/2006/relationships/hyperlink" Target="https://www.me.utexas.edu/people/faculty-directory/goodenough" TargetMode="External"/><Relationship Id="rId2047" Type="http://schemas.openxmlformats.org/officeDocument/2006/relationships/hyperlink" Target="https://ame.nd.edu/faculty/matthew-rosenberger/" TargetMode="External"/><Relationship Id="rId2254" Type="http://schemas.openxmlformats.org/officeDocument/2006/relationships/hyperlink" Target="https://www.me.iastate.edu/faculty/profile/ewiner" TargetMode="External"/><Relationship Id="rId2461" Type="http://schemas.openxmlformats.org/officeDocument/2006/relationships/hyperlink" Target="https://engineering.vanderbilt.edu/bio/xiaoguang-dong" TargetMode="External"/><Relationship Id="rId3305" Type="http://schemas.openxmlformats.org/officeDocument/2006/relationships/hyperlink" Target="https://researchdirectory.uc.edu/p/framea" TargetMode="External"/><Relationship Id="rId3512" Type="http://schemas.openxmlformats.org/officeDocument/2006/relationships/hyperlink" Target="https://www.mtu.edu/mechanical/people/faculty/ghosh/" TargetMode="External"/><Relationship Id="rId4910" Type="http://schemas.openxmlformats.org/officeDocument/2006/relationships/hyperlink" Target="https://www.odu.edu/directory/oleksandr-kravchenko" TargetMode="External"/><Relationship Id="rId226" Type="http://schemas.openxmlformats.org/officeDocument/2006/relationships/hyperlink" Target="https://me.berkeley.edu/people/costas-grigoropoulos/" TargetMode="External"/><Relationship Id="rId433" Type="http://schemas.openxmlformats.org/officeDocument/2006/relationships/hyperlink" Target="https://mechse.illinois.edu/people/profile/wangxf" TargetMode="External"/><Relationship Id="rId1063" Type="http://schemas.openxmlformats.org/officeDocument/2006/relationships/hyperlink" Target="https://engineering.tamu.edu/mechanical/profiles/thomas-james.html" TargetMode="External"/><Relationship Id="rId1270" Type="http://schemas.openxmlformats.org/officeDocument/2006/relationships/hyperlink" Target="https://directory.seas.upenn.edu/igor-bargatin/" TargetMode="External"/><Relationship Id="rId2114" Type="http://schemas.openxmlformats.org/officeDocument/2006/relationships/hyperlink" Target="https://isearch.asu.edu/profile/1967430" TargetMode="External"/><Relationship Id="rId5477" Type="http://schemas.openxmlformats.org/officeDocument/2006/relationships/hyperlink" Target="https://nmt.edu/academics/mecheng/faculty/comalley.php" TargetMode="External"/><Relationship Id="rId640" Type="http://schemas.openxmlformats.org/officeDocument/2006/relationships/hyperlink" Target="https://engineering.purdue.edu/ME/People/ptProfile?resource_id=199258" TargetMode="External"/><Relationship Id="rId2321" Type="http://schemas.openxmlformats.org/officeDocument/2006/relationships/hyperlink" Target="https://engineering.virginia.edu/faculty/chloe-dedic" TargetMode="External"/><Relationship Id="rId4079" Type="http://schemas.openxmlformats.org/officeDocument/2006/relationships/hyperlink" Target="https://www.mne.k-state.edu/about/people/faculty/eckels/" TargetMode="External"/><Relationship Id="rId4286" Type="http://schemas.openxmlformats.org/officeDocument/2006/relationships/hyperlink" Target="https://www1.villanova.edu/university/engineering/academic-programs/departments/mechanical/directory/biodetail.html?mail=stephen.mcgill@villanova.edu&amp;xsl=bio_long" TargetMode="External"/><Relationship Id="rId500" Type="http://schemas.openxmlformats.org/officeDocument/2006/relationships/hyperlink" Target="https://me.engin.umich.edu/people/faculty/talia-moore/" TargetMode="External"/><Relationship Id="rId1130" Type="http://schemas.openxmlformats.org/officeDocument/2006/relationships/hyperlink" Target="https://www.me.psu.edu/department/directory-detail-g.aspx?q=dmh5373" TargetMode="External"/><Relationship Id="rId4493" Type="http://schemas.openxmlformats.org/officeDocument/2006/relationships/hyperlink" Target="https://me.ucmerced.edu/content/reza-ehsani" TargetMode="External"/><Relationship Id="rId5337" Type="http://schemas.openxmlformats.org/officeDocument/2006/relationships/hyperlink" Target="https://www.fau.edu/engineering/directory/faculty/cai/" TargetMode="External"/><Relationship Id="rId5544" Type="http://schemas.openxmlformats.org/officeDocument/2006/relationships/hyperlink" Target="https://und.edu/directory/sougata.roy" TargetMode="External"/><Relationship Id="rId1947" Type="http://schemas.openxmlformats.org/officeDocument/2006/relationships/hyperlink" Target="https://engineering.brown.edu/people/katherine-manz" TargetMode="External"/><Relationship Id="rId3095" Type="http://schemas.openxmlformats.org/officeDocument/2006/relationships/hyperlink" Target="https://nps.edu/faculty-profiles/-/cv/gvhobson" TargetMode="External"/><Relationship Id="rId4146" Type="http://schemas.openxmlformats.org/officeDocument/2006/relationships/hyperlink" Target="https://www.depts.ttu.edu/me/faculty/gordon_christopher/index.php" TargetMode="External"/><Relationship Id="rId4353" Type="http://schemas.openxmlformats.org/officeDocument/2006/relationships/hyperlink" Target="https://directory.statler.wvu.edu/faculty-staff-directory/scott-wayne" TargetMode="External"/><Relationship Id="rId4560" Type="http://schemas.openxmlformats.org/officeDocument/2006/relationships/hyperlink" Target="https://www.ou.edu/coe/ame/people/Bashetty" TargetMode="External"/><Relationship Id="rId5404" Type="http://schemas.openxmlformats.org/officeDocument/2006/relationships/hyperlink" Target="https://engineering.catholic.edu/research-and-faculty/faculty-profiles/mechanical/lin-chuan-fu/index.html" TargetMode="External"/><Relationship Id="rId1807" Type="http://schemas.openxmlformats.org/officeDocument/2006/relationships/hyperlink" Target="https://viterbi.usc.edu/directory/faculty/Egolfopoulos/Fokion" TargetMode="External"/><Relationship Id="rId3162" Type="http://schemas.openxmlformats.org/officeDocument/2006/relationships/hyperlink" Target="https://mabe.utk.edu/people/doug-aaron/" TargetMode="External"/><Relationship Id="rId4006" Type="http://schemas.openxmlformats.org/officeDocument/2006/relationships/hyperlink" Target="https://sc.edu/study/colleges_schools/engineering_and_computing/faculty-staff/caizhizhou.php" TargetMode="External"/><Relationship Id="rId4213" Type="http://schemas.openxmlformats.org/officeDocument/2006/relationships/hyperlink" Target="http://engineering.uga.edu/people/profile/benjamin-thomas-ph.d" TargetMode="External"/><Relationship Id="rId4420" Type="http://schemas.openxmlformats.org/officeDocument/2006/relationships/hyperlink" Target="https://www.lsu.edu/eng/mie/people/faculty/index.php" TargetMode="External"/><Relationship Id="rId290" Type="http://schemas.openxmlformats.org/officeDocument/2006/relationships/hyperlink" Target="https://www.me.gatech.edu/faculty/hertel" TargetMode="External"/><Relationship Id="rId3022" Type="http://schemas.openxmlformats.org/officeDocument/2006/relationships/hyperlink" Target="https://engineering.lehigh.edu/meche/faculty/799" TargetMode="External"/><Relationship Id="rId150" Type="http://schemas.openxmlformats.org/officeDocument/2006/relationships/hyperlink" Target="https://me.stanford.edu/people/sean-follmer" TargetMode="External"/><Relationship Id="rId3979" Type="http://schemas.openxmlformats.org/officeDocument/2006/relationships/hyperlink" Target="https://sc.edu/study/colleges_schools/engineering_and_computing/faculty-staff/huang_kevin.php" TargetMode="External"/><Relationship Id="rId5194" Type="http://schemas.openxmlformats.org/officeDocument/2006/relationships/hyperlink" Target="https://www.scu.edu/engineering/academic-programs/department-of-mechanical-engineering/faculty-and-staff/wang.html" TargetMode="External"/><Relationship Id="rId2788" Type="http://schemas.openxmlformats.org/officeDocument/2006/relationships/hyperlink" Target="https://engineering.buffalo.edu/mechanical-aerospace/people/faculty/teaching.host.html/content/shared/engineering/mechanical-aerospace/profiles/adams-jamie.detail.html" TargetMode="External"/><Relationship Id="rId2995" Type="http://schemas.openxmlformats.org/officeDocument/2006/relationships/hyperlink" Target="https://www.mae.seas.gwu.edu/node/781" TargetMode="External"/><Relationship Id="rId3839" Type="http://schemas.openxmlformats.org/officeDocument/2006/relationships/hyperlink" Target="https://www.engr.uky.edu/directory/renfro-michael" TargetMode="External"/><Relationship Id="rId5054" Type="http://schemas.openxmlformats.org/officeDocument/2006/relationships/hyperlink" Target="https://www.wichita.edu/profiles/academics/engineering/mechanical_engineering/01_Faculty/Gu-Shuang.php" TargetMode="External"/><Relationship Id="rId967" Type="http://schemas.openxmlformats.org/officeDocument/2006/relationships/hyperlink" Target="https://me.jhu.edu/faculty/jill-middendorf/" TargetMode="External"/><Relationship Id="rId1597" Type="http://schemas.openxmlformats.org/officeDocument/2006/relationships/hyperlink" Target="https://mae.osu.edu/people/kim.5061" TargetMode="External"/><Relationship Id="rId2648" Type="http://schemas.openxmlformats.org/officeDocument/2006/relationships/hyperlink" Target="https://me.udel.edu/faculty/tyler-van-buren/" TargetMode="External"/><Relationship Id="rId2855" Type="http://schemas.openxmlformats.org/officeDocument/2006/relationships/hyperlink" Target="https://me.engr.uconn.edu/blog/faculty/olgac-nejat/" TargetMode="External"/><Relationship Id="rId3906" Type="http://schemas.openxmlformats.org/officeDocument/2006/relationships/hyperlink" Target="https://mees.charlotte.edu/directory/edward-p-morse" TargetMode="External"/><Relationship Id="rId5261" Type="http://schemas.openxmlformats.org/officeDocument/2006/relationships/hyperlink" Target="https://engineering.olemiss.edu/people-tejas-pandya/" TargetMode="External"/><Relationship Id="rId96" Type="http://schemas.openxmlformats.org/officeDocument/2006/relationships/hyperlink" Target="https://meche.mit.edu/people/faculty/yue@mit.edu" TargetMode="External"/><Relationship Id="rId827" Type="http://schemas.openxmlformats.org/officeDocument/2006/relationships/hyperlink" Target="https://www.mccormick.northwestern.edu/research-faculty/directory/profiles/balogun-oluwaseyi.html" TargetMode="External"/><Relationship Id="rId1457" Type="http://schemas.openxmlformats.org/officeDocument/2006/relationships/hyperlink" Target="https://jacobsschool.ucsd.edu/faculty/profile?id=2" TargetMode="External"/><Relationship Id="rId1664" Type="http://schemas.openxmlformats.org/officeDocument/2006/relationships/hyperlink" Target="https://www.me.columbia.edu/faculty/jeffrey-kysar" TargetMode="External"/><Relationship Id="rId1871" Type="http://schemas.openxmlformats.org/officeDocument/2006/relationships/hyperlink" Target="https://www.me.washington.edu/people/faculty/jonathan_posner" TargetMode="External"/><Relationship Id="rId2508" Type="http://schemas.openxmlformats.org/officeDocument/2006/relationships/hyperlink" Target="https://www.bu.edu/eng/profile/j-gregory-mcdaniel-ph-d/" TargetMode="External"/><Relationship Id="rId2715" Type="http://schemas.openxmlformats.org/officeDocument/2006/relationships/hyperlink" Target="https://drexel.edu/engineering/about/faculty-staff/K/kontsos-antonios/" TargetMode="External"/><Relationship Id="rId2922" Type="http://schemas.openxmlformats.org/officeDocument/2006/relationships/hyperlink" Target="https://www.engineering.pitt.edu/people/faculty/patrick-smolinski/" TargetMode="External"/><Relationship Id="rId4070" Type="http://schemas.openxmlformats.org/officeDocument/2006/relationships/hyperlink" Target="https://daytonabeach.erau.edu/college-engineering/mechanical/faculty" TargetMode="External"/><Relationship Id="rId5121" Type="http://schemas.openxmlformats.org/officeDocument/2006/relationships/hyperlink" Target="https://www.latech.edu/" TargetMode="External"/><Relationship Id="rId1317" Type="http://schemas.openxmlformats.org/officeDocument/2006/relationships/hyperlink" Target="https://directory.engr.wisc.edu/me/Faculty/Fu_Kate/" TargetMode="External"/><Relationship Id="rId1524" Type="http://schemas.openxmlformats.org/officeDocument/2006/relationships/hyperlink" Target="https://mems.duke.edu/faculty/boyuan-chen" TargetMode="External"/><Relationship Id="rId1731" Type="http://schemas.openxmlformats.org/officeDocument/2006/relationships/hyperlink" Target="https://www.colorado.edu/mechanical/greg-vanderbeek" TargetMode="External"/><Relationship Id="rId4887" Type="http://schemas.openxmlformats.org/officeDocument/2006/relationships/hyperlink" Target="https://www.ncat.edu/employee-bio.php?directoryID=28428821" TargetMode="External"/><Relationship Id="rId23" Type="http://schemas.openxmlformats.org/officeDocument/2006/relationships/hyperlink" Target="https://meche.mit.edu/people/faculty/gchen2@mit.edu" TargetMode="External"/><Relationship Id="rId3489" Type="http://schemas.openxmlformats.org/officeDocument/2006/relationships/hyperlink" Target="https://www.iit.edu/directory/people/nelson-rosa" TargetMode="External"/><Relationship Id="rId3696" Type="http://schemas.openxmlformats.org/officeDocument/2006/relationships/hyperlink" Target="https://ceat.okstate.edu/mae/faculty-staff/faculty-bios/arvind-santhanakrishnan.html" TargetMode="External"/><Relationship Id="rId4747" Type="http://schemas.openxmlformats.org/officeDocument/2006/relationships/hyperlink" Target="http://me.hawaii.edu/trimble/" TargetMode="External"/><Relationship Id="rId2298" Type="http://schemas.openxmlformats.org/officeDocument/2006/relationships/hyperlink" Target="https://www.mae.ncsu.edu/people/lmsilver" TargetMode="External"/><Relationship Id="rId3349" Type="http://schemas.openxmlformats.org/officeDocument/2006/relationships/hyperlink" Target="https://www.me.uh.edu/faculty/selvamanickam" TargetMode="External"/><Relationship Id="rId3556" Type="http://schemas.openxmlformats.org/officeDocument/2006/relationships/hyperlink" Target="https://www.stevens.edu/profile/smanooch" TargetMode="External"/><Relationship Id="rId4954" Type="http://schemas.openxmlformats.org/officeDocument/2006/relationships/hyperlink" Target="https://www.uab.edu/engineering/mme/people/faculty/shannon-lisenbee" TargetMode="External"/><Relationship Id="rId477" Type="http://schemas.openxmlformats.org/officeDocument/2006/relationships/hyperlink" Target="https://me.engin.umich.edu/people/faculty/robert-gregg/" TargetMode="External"/><Relationship Id="rId684" Type="http://schemas.openxmlformats.org/officeDocument/2006/relationships/hyperlink" Target="https://www.engineering.cornell.edu/faculty-directory/benjamin-m-finio" TargetMode="External"/><Relationship Id="rId2158" Type="http://schemas.openxmlformats.org/officeDocument/2006/relationships/hyperlink" Target="https://mae.ucdavis.edu/directory/anthony-wexler" TargetMode="External"/><Relationship Id="rId2365" Type="http://schemas.openxmlformats.org/officeDocument/2006/relationships/hyperlink" Target="https://engineering.wustl.edu/faculty/Spencer-Lake.html" TargetMode="External"/><Relationship Id="rId3209" Type="http://schemas.openxmlformats.org/officeDocument/2006/relationships/hyperlink" Target="https://mabe.utk.edu/people/larry-w-sharpe/" TargetMode="External"/><Relationship Id="rId3763" Type="http://schemas.openxmlformats.org/officeDocument/2006/relationships/hyperlink" Target="https://www.uta.edu/academics/faculty/profile?username=karbhari" TargetMode="External"/><Relationship Id="rId3970" Type="http://schemas.openxmlformats.org/officeDocument/2006/relationships/hyperlink" Target="https://sc.edu/study/colleges_schools/engineering_and_computing/faculty-staff/fang_ruixian.php" TargetMode="External"/><Relationship Id="rId4607" Type="http://schemas.openxmlformats.org/officeDocument/2006/relationships/hyperlink" Target="https://uwm.edu/engineering/people/avdeev-ilya/" TargetMode="External"/><Relationship Id="rId4814" Type="http://schemas.openxmlformats.org/officeDocument/2006/relationships/hyperlink" Target="https://klesse.utsa.edu/faculty/profiles/seidi-morteza.html" TargetMode="External"/><Relationship Id="rId337" Type="http://schemas.openxmlformats.org/officeDocument/2006/relationships/hyperlink" Target="https://www.me.gatech.edu/faculty/smith" TargetMode="External"/><Relationship Id="rId891" Type="http://schemas.openxmlformats.org/officeDocument/2006/relationships/hyperlink" Target="https://www.mccormick.northwestern.edu/research-faculty/directory/profiles/lueptow-richard.html" TargetMode="External"/><Relationship Id="rId2018" Type="http://schemas.openxmlformats.org/officeDocument/2006/relationships/hyperlink" Target="https://ame.nd.edu/faculty/craig-goehler/" TargetMode="External"/><Relationship Id="rId2572" Type="http://schemas.openxmlformats.org/officeDocument/2006/relationships/hyperlink" Target="https://mechanical.mines.edu/project/thomas-brian/" TargetMode="External"/><Relationship Id="rId3416" Type="http://schemas.openxmlformats.org/officeDocument/2006/relationships/hyperlink" Target="https://www.wpi.edu/people/faculty/mmm" TargetMode="External"/><Relationship Id="rId3623" Type="http://schemas.openxmlformats.org/officeDocument/2006/relationships/hyperlink" Target="https://me.utdallas.edu/faculty-staff/dong-qian/" TargetMode="External"/><Relationship Id="rId3830" Type="http://schemas.openxmlformats.org/officeDocument/2006/relationships/hyperlink" Target="https://www.engr.uky.edu/directory/liu-kunlei" TargetMode="External"/><Relationship Id="rId544" Type="http://schemas.openxmlformats.org/officeDocument/2006/relationships/hyperlink" Target="https://engineering.purdue.edu/ME/People/ptProfile?resource_id=274634" TargetMode="External"/><Relationship Id="rId751" Type="http://schemas.openxmlformats.org/officeDocument/2006/relationships/hyperlink" Target="https://www.meche.engineering.cmu.edu/directory/bios/whitefoot-katie.html" TargetMode="External"/><Relationship Id="rId1174" Type="http://schemas.openxmlformats.org/officeDocument/2006/relationships/hyperlink" Target="https://enme.umd.edu/clark/faculty/517/Hugh-Bruck" TargetMode="External"/><Relationship Id="rId1381" Type="http://schemas.openxmlformats.org/officeDocument/2006/relationships/hyperlink" Target="https://me.vt.edu/people/faculty/diller-thomas.html" TargetMode="External"/><Relationship Id="rId2225" Type="http://schemas.openxmlformats.org/officeDocument/2006/relationships/hyperlink" Target="https://www.me.iastate.edu/faculty/profile/adarsh" TargetMode="External"/><Relationship Id="rId2432" Type="http://schemas.openxmlformats.org/officeDocument/2006/relationships/hyperlink" Target="https://www.egr.msu.edu/people/profile/mukherji" TargetMode="External"/><Relationship Id="rId404" Type="http://schemas.openxmlformats.org/officeDocument/2006/relationships/hyperlink" Target="https://mechse.illinois.edu/people/profile/tonghun" TargetMode="External"/><Relationship Id="rId611" Type="http://schemas.openxmlformats.org/officeDocument/2006/relationships/hyperlink" Target="https://engineering.purdue.edu/ME/People/ptProfile?resource_id=256663" TargetMode="External"/><Relationship Id="rId1034" Type="http://schemas.openxmlformats.org/officeDocument/2006/relationships/hyperlink" Target="https://engineering.tamu.edu/mechanical/profiles/mcfarland-jacob.html" TargetMode="External"/><Relationship Id="rId1241" Type="http://schemas.openxmlformats.org/officeDocument/2006/relationships/hyperlink" Target="https://cse.umn.edu/me/suhasa-kodandaramaiah" TargetMode="External"/><Relationship Id="rId4397" Type="http://schemas.openxmlformats.org/officeDocument/2006/relationships/hyperlink" Target="https://eng.famu.fsu.edu/me/people/higgins" TargetMode="External"/><Relationship Id="rId5448" Type="http://schemas.openxmlformats.org/officeDocument/2006/relationships/hyperlink" Target="https://wmich.edu/mechanical-aerospace/directory/lee" TargetMode="External"/><Relationship Id="rId1101" Type="http://schemas.openxmlformats.org/officeDocument/2006/relationships/hyperlink" Target="https://samueli.ucla.edu/people/brett-lopez/" TargetMode="External"/><Relationship Id="rId4257" Type="http://schemas.openxmlformats.org/officeDocument/2006/relationships/hyperlink" Target="https://engineering.missouri.edu/faculty/j-erik-loehr/" TargetMode="External"/><Relationship Id="rId4464" Type="http://schemas.openxmlformats.org/officeDocument/2006/relationships/hyperlink" Target="http://www.me.msstate.edu/people/faculty/rhee/" TargetMode="External"/><Relationship Id="rId4671" Type="http://schemas.openxmlformats.org/officeDocument/2006/relationships/hyperlink" Target="https://www.sdsmt.edu/Directories/Personnel/Bruno,-Nickolaus/" TargetMode="External"/><Relationship Id="rId5308" Type="http://schemas.openxmlformats.org/officeDocument/2006/relationships/hyperlink" Target="https://mechanical.engineering.unt.edu/faculty/sheldon-q-shi-pe" TargetMode="External"/><Relationship Id="rId5515" Type="http://schemas.openxmlformats.org/officeDocument/2006/relationships/hyperlink" Target="https://www.slu.edu/science-and-engineering/academics/aerospace-and-mechanical-engineering/faculty/babaiasl-madi.php" TargetMode="External"/><Relationship Id="rId3066" Type="http://schemas.openxmlformats.org/officeDocument/2006/relationships/hyperlink" Target="https://works.bepress.com/ming-leu/about/" TargetMode="External"/><Relationship Id="rId3273" Type="http://schemas.openxmlformats.org/officeDocument/2006/relationships/hyperlink" Target="https://engineering.nyu.edu/faculty/weiqiang-chen" TargetMode="External"/><Relationship Id="rId3480" Type="http://schemas.openxmlformats.org/officeDocument/2006/relationships/hyperlink" Target="https://www.iit.edu/directory/people/scott-dawson" TargetMode="External"/><Relationship Id="rId4117" Type="http://schemas.openxmlformats.org/officeDocument/2006/relationships/hyperlink" Target="https://mechanical.sdsu.edu/people/khaled-morsi.aspx" TargetMode="External"/><Relationship Id="rId4324" Type="http://schemas.openxmlformats.org/officeDocument/2006/relationships/hyperlink" Target="https://directory.statler.wvu.edu/faculty-staff-directory/v-yacheslav-akkerman" TargetMode="External"/><Relationship Id="rId4531" Type="http://schemas.openxmlformats.org/officeDocument/2006/relationships/hyperlink" Target="https://people.miami.edu/profile/01f6214ae12d1b85d70e8b9667dd8629" TargetMode="External"/><Relationship Id="rId194" Type="http://schemas.openxmlformats.org/officeDocument/2006/relationships/hyperlink" Target="https://mce.caltech.edu/people/domniki" TargetMode="External"/><Relationship Id="rId1918" Type="http://schemas.openxmlformats.org/officeDocument/2006/relationships/hyperlink" Target="https://engineering.brown.edu/people/g-tayhas-r-palmore" TargetMode="External"/><Relationship Id="rId2082" Type="http://schemas.openxmlformats.org/officeDocument/2006/relationships/hyperlink" Target="https://seas.yale.edu/faculty-research/faculty-directory/cong-su" TargetMode="External"/><Relationship Id="rId3133" Type="http://schemas.openxmlformats.org/officeDocument/2006/relationships/hyperlink" Target="https://mie.uic.edu/profiles/alonso-matthew/" TargetMode="External"/><Relationship Id="rId261" Type="http://schemas.openxmlformats.org/officeDocument/2006/relationships/hyperlink" Target="https://me.berkeley.edu/people/k-youssefi/" TargetMode="External"/><Relationship Id="rId3340" Type="http://schemas.openxmlformats.org/officeDocument/2006/relationships/hyperlink" Target="https://www.me.uh.edu/faculty/hammami" TargetMode="External"/><Relationship Id="rId5098" Type="http://schemas.openxmlformats.org/officeDocument/2006/relationships/hyperlink" Target="https://mme.fiu.edu/faculty-staff-members/seyad-ebrahim-beladi" TargetMode="External"/><Relationship Id="rId2899" Type="http://schemas.openxmlformats.org/officeDocument/2006/relationships/hyperlink" Target="https://www.engineering.pitt.edu/people/faculty/markus-chmielus/" TargetMode="External"/><Relationship Id="rId3200" Type="http://schemas.openxmlformats.org/officeDocument/2006/relationships/hyperlink" Target="https://mabe.utk.edu/people/trevor-m-moeller/" TargetMode="External"/><Relationship Id="rId121" Type="http://schemas.openxmlformats.org/officeDocument/2006/relationships/hyperlink" Target="https://meche.mit.edu/people/staff/mjester@MIT.EDU" TargetMode="External"/><Relationship Id="rId2759" Type="http://schemas.openxmlformats.org/officeDocument/2006/relationships/hyperlink" Target="https://engineering.buffalo.edu/mechanical-aerospace/people/faculty/ladder.host.html/content/shared/engineering/mechanical-aerospace/profiles/chowdhury-souma.detail.html" TargetMode="External"/><Relationship Id="rId2966" Type="http://schemas.openxmlformats.org/officeDocument/2006/relationships/hyperlink" Target="http://eng.auburn.edu/directory/jacksr7" TargetMode="External"/><Relationship Id="rId5165" Type="http://schemas.openxmlformats.org/officeDocument/2006/relationships/hyperlink" Target="https://www.ohio.edu/engineering/about/people/bwisner" TargetMode="External"/><Relationship Id="rId5372" Type="http://schemas.openxmlformats.org/officeDocument/2006/relationships/hyperlink" Target="https://directory.nau.edu/?person=ae2284" TargetMode="External"/><Relationship Id="rId938" Type="http://schemas.openxmlformats.org/officeDocument/2006/relationships/hyperlink" Target="https://www.mccormick.northwestern.edu/mechanical/research/areas/micro-nanoengineering.html" TargetMode="External"/><Relationship Id="rId1568" Type="http://schemas.openxmlformats.org/officeDocument/2006/relationships/hyperlink" Target="https://mae.osu.edu/people/agarwal.60" TargetMode="External"/><Relationship Id="rId1775" Type="http://schemas.openxmlformats.org/officeDocument/2006/relationships/hyperlink" Target="https://mae.ufl.edu/people/faculty/primary/associate-professor/profiles/ashok-kumar/" TargetMode="External"/><Relationship Id="rId2619" Type="http://schemas.openxmlformats.org/officeDocument/2006/relationships/hyperlink" Target="https://me.udel.edu/people/faculty/" TargetMode="External"/><Relationship Id="rId2826" Type="http://schemas.openxmlformats.org/officeDocument/2006/relationships/hyperlink" Target="https://ame.engineering.arizona.edu/faculty-staff/faculty/yitshak-zohar" TargetMode="External"/><Relationship Id="rId4181" Type="http://schemas.openxmlformats.org/officeDocument/2006/relationships/hyperlink" Target="http://engineering.uga.edu/people/profile/jaime-camelio" TargetMode="External"/><Relationship Id="rId5025" Type="http://schemas.openxmlformats.org/officeDocument/2006/relationships/hyperlink" Target="https://www.unr.edu/me/people/yanyao-jiang" TargetMode="External"/><Relationship Id="rId5232" Type="http://schemas.openxmlformats.org/officeDocument/2006/relationships/hyperlink" Target="https://expertise.utep.edu/profiles/mrahman15" TargetMode="External"/><Relationship Id="rId67" Type="http://schemas.openxmlformats.org/officeDocument/2006/relationships/hyperlink" Target="https://meche.mit.edu/people/faculty/ALBERTOR@MIT.EDU" TargetMode="External"/><Relationship Id="rId1428" Type="http://schemas.openxmlformats.org/officeDocument/2006/relationships/hyperlink" Target="https://me.vt.edu/people/faculty/williams-christopher.html" TargetMode="External"/><Relationship Id="rId1635" Type="http://schemas.openxmlformats.org/officeDocument/2006/relationships/hyperlink" Target="https://mech.rice.edu/people/faculty" TargetMode="External"/><Relationship Id="rId1982" Type="http://schemas.openxmlformats.org/officeDocument/2006/relationships/hyperlink" Target="https://me.ucsb.edu/people/fr%C3%A9d%C3%A9ric-gibou" TargetMode="External"/><Relationship Id="rId4041" Type="http://schemas.openxmlformats.org/officeDocument/2006/relationships/hyperlink" Target="https://www.clarkson.edu/node/5446" TargetMode="External"/><Relationship Id="rId1842" Type="http://schemas.openxmlformats.org/officeDocument/2006/relationships/hyperlink" Target="https://www.me.washington.edu/facultyfinder" TargetMode="External"/><Relationship Id="rId4998" Type="http://schemas.openxmlformats.org/officeDocument/2006/relationships/hyperlink" Target="https://engineering.louisville.edu/faculty/stuart-j-williams/" TargetMode="External"/><Relationship Id="rId1702" Type="http://schemas.openxmlformats.org/officeDocument/2006/relationships/hyperlink" Target="https://www.colorado.edu/mechanical/jeffrey-knutsen" TargetMode="External"/><Relationship Id="rId4858" Type="http://schemas.openxmlformats.org/officeDocument/2006/relationships/hyperlink" Target="https://www.fit.edu/faculty-profiles/b/bleakley-albert/" TargetMode="External"/><Relationship Id="rId3667" Type="http://schemas.openxmlformats.org/officeDocument/2006/relationships/hyperlink" Target="https://ceat.okstate.edu/mae/faculty-staff/faculty-bios/andy-arena.html" TargetMode="External"/><Relationship Id="rId3874" Type="http://schemas.openxmlformats.org/officeDocument/2006/relationships/hyperlink" Target="https://engineering.unl.edu/mme/faculty/nitesh-nama/" TargetMode="External"/><Relationship Id="rId4718" Type="http://schemas.openxmlformats.org/officeDocument/2006/relationships/hyperlink" Target="https://eas.uccs.edu/mae/faculty/Dr_Jena_McCollum" TargetMode="External"/><Relationship Id="rId4925" Type="http://schemas.openxmlformats.org/officeDocument/2006/relationships/hyperlink" Target="https://uakron.edu/engineering/me/our-people/profile.dot?u=sfelicelli" TargetMode="External"/><Relationship Id="rId588" Type="http://schemas.openxmlformats.org/officeDocument/2006/relationships/hyperlink" Target="https://engineering.purdue.edu/ME/People/ptProfile?resource_id=202318" TargetMode="External"/><Relationship Id="rId795" Type="http://schemas.openxmlformats.org/officeDocument/2006/relationships/hyperlink" Target="https://www.me.utexas.edu/people/faculty-directory/mangolini" TargetMode="External"/><Relationship Id="rId2269" Type="http://schemas.openxmlformats.org/officeDocument/2006/relationships/hyperlink" Target="https://www.mae.ncsu.edu/people/agopalar" TargetMode="External"/><Relationship Id="rId2476" Type="http://schemas.openxmlformats.org/officeDocument/2006/relationships/hyperlink" Target="https://www.bu.edu/eng/academics/departments-and-divisions/mechanical-engineering/people/?department=mechanical-engineering&amp;affiliation=primary-affiliated-faculty&amp;layout=list&amp;num=1" TargetMode="External"/><Relationship Id="rId2683" Type="http://schemas.openxmlformats.org/officeDocument/2006/relationships/hyperlink" Target="https://www.clemson.edu/cecas/departments/me/people/faculty/thompson.html" TargetMode="External"/><Relationship Id="rId2890" Type="http://schemas.openxmlformats.org/officeDocument/2006/relationships/hyperlink" Target="https://engineering.uiowa.edu/people/shaoping-xiao" TargetMode="External"/><Relationship Id="rId3527" Type="http://schemas.openxmlformats.org/officeDocument/2006/relationships/hyperlink" Target="https://www.mtu.edu/mechanical/people/faculty/nguyen/" TargetMode="External"/><Relationship Id="rId3734" Type="http://schemas.openxmlformats.org/officeDocument/2006/relationships/hyperlink" Target="https://eng.ua.edu/eng-directory/dr-hwan-sik-yoon/" TargetMode="External"/><Relationship Id="rId3941" Type="http://schemas.openxmlformats.org/officeDocument/2006/relationships/hyperlink" Target="http://www.hajim.rochester.edu/me/people/faculty/hu_suxing/index.html" TargetMode="External"/><Relationship Id="rId448" Type="http://schemas.openxmlformats.org/officeDocument/2006/relationships/hyperlink" Target="https://me.engin.umich.edu/people/faculty/kira-barton/" TargetMode="External"/><Relationship Id="rId655" Type="http://schemas.openxmlformats.org/officeDocument/2006/relationships/hyperlink" Target="https://www.engineering.cornell.edu/faculty-directory/matthew-peter-miller" TargetMode="External"/><Relationship Id="rId862" Type="http://schemas.openxmlformats.org/officeDocument/2006/relationships/hyperlink" Target="https://www.mccormick.northwestern.edu/mechanical/research/areas/micro-nanoengineering.html" TargetMode="External"/><Relationship Id="rId1078" Type="http://schemas.openxmlformats.org/officeDocument/2006/relationships/hyperlink" Target="https://samueli.ucla.edu/people/pei-yu-eric-chiou/" TargetMode="External"/><Relationship Id="rId1285" Type="http://schemas.openxmlformats.org/officeDocument/2006/relationships/hyperlink" Target="https://directory.seas.upenn.edu/vijay-kumar/" TargetMode="External"/><Relationship Id="rId1492" Type="http://schemas.openxmlformats.org/officeDocument/2006/relationships/hyperlink" Target="https://jacobsschool.ucsd.edu/faculty/profile?id=4" TargetMode="External"/><Relationship Id="rId2129" Type="http://schemas.openxmlformats.org/officeDocument/2006/relationships/hyperlink" Target="https://mae.ucdavis.edu/directory/francis-assadian" TargetMode="External"/><Relationship Id="rId2336" Type="http://schemas.openxmlformats.org/officeDocument/2006/relationships/hyperlink" Target="https://engineering.virginia.edu/faculty/eric-loth" TargetMode="External"/><Relationship Id="rId2543" Type="http://schemas.openxmlformats.org/officeDocument/2006/relationships/hyperlink" Target="https://mechanical.mines.edu/project/frick-carl/" TargetMode="External"/><Relationship Id="rId2750" Type="http://schemas.openxmlformats.org/officeDocument/2006/relationships/hyperlink" Target="https://engineering.tufts.edu/me/node/3051" TargetMode="External"/><Relationship Id="rId3801" Type="http://schemas.openxmlformats.org/officeDocument/2006/relationships/hyperlink" Target="https://www.uah.edu/eng/departments/mae/faculty-staff/sarma-rani" TargetMode="External"/><Relationship Id="rId308" Type="http://schemas.openxmlformats.org/officeDocument/2006/relationships/hyperlink" Target="https://www.me.gatech.edu/faculty/lieuwen" TargetMode="External"/><Relationship Id="rId515" Type="http://schemas.openxmlformats.org/officeDocument/2006/relationships/hyperlink" Target="https://me.engin.umich.edu/people/faculty/kathleen-sienko/" TargetMode="External"/><Relationship Id="rId722" Type="http://schemas.openxmlformats.org/officeDocument/2006/relationships/hyperlink" Target="https://www.meche.engineering.cmu.edu/directory/bios/deboer-maarten.html" TargetMode="External"/><Relationship Id="rId1145" Type="http://schemas.openxmlformats.org/officeDocument/2006/relationships/hyperlink" Target="https://www.me.psu.edu/department/directory-detail-g.aspx?q=hxp5027" TargetMode="External"/><Relationship Id="rId1352" Type="http://schemas.openxmlformats.org/officeDocument/2006/relationships/hyperlink" Target="https://directory.engr.wisc.edu/me/Faculty/Waleffe_Fabian/" TargetMode="External"/><Relationship Id="rId1797" Type="http://schemas.openxmlformats.org/officeDocument/2006/relationships/hyperlink" Target="https://mae.ufl.edu/people/faculty/primary/instructional-professors/profiles/mike-griffis/" TargetMode="External"/><Relationship Id="rId2403" Type="http://schemas.openxmlformats.org/officeDocument/2006/relationships/hyperlink" Target="https://engineering.case.edu/about/school-directory/vedha-nayagam" TargetMode="External"/><Relationship Id="rId2848" Type="http://schemas.openxmlformats.org/officeDocument/2006/relationships/hyperlink" Target="https://me.engr.uconn.edu/blog/faculty/lee-jason/" TargetMode="External"/><Relationship Id="rId5461" Type="http://schemas.openxmlformats.org/officeDocument/2006/relationships/hyperlink" Target="https://www.lamar.edu/engineering/mechanical/faculty-staff/xianchang-li/index.html" TargetMode="External"/><Relationship Id="rId5559" Type="http://schemas.openxmlformats.org/officeDocument/2006/relationships/hyperlink" Target="https://www.udmercy.edu/about/people/university/ces/mechanical/mehrabi-mostafa" TargetMode="External"/><Relationship Id="rId89" Type="http://schemas.openxmlformats.org/officeDocument/2006/relationships/hyperlink" Target="https://meche.mit.edu/people/faculty/sherwang@mit.edu" TargetMode="External"/><Relationship Id="rId1005" Type="http://schemas.openxmlformats.org/officeDocument/2006/relationships/hyperlink" Target="https://engineering.tamu.edu/mechanical/profiles/grunlan-jaime.html" TargetMode="External"/><Relationship Id="rId1212" Type="http://schemas.openxmlformats.org/officeDocument/2006/relationships/hyperlink" Target="https://enme.umd.edu/clark/faculty/600/Chandrasekhar-Thamire" TargetMode="External"/><Relationship Id="rId1657" Type="http://schemas.openxmlformats.org/officeDocument/2006/relationships/hyperlink" Target="https://www.me.columbia.edu/faculty/gerard-ateshian" TargetMode="External"/><Relationship Id="rId1864" Type="http://schemas.openxmlformats.org/officeDocument/2006/relationships/hyperlink" Target="https://www.me.washington.edu/facultyfinder/krithika-manohar" TargetMode="External"/><Relationship Id="rId2610" Type="http://schemas.openxmlformats.org/officeDocument/2006/relationships/hyperlink" Target="https://mae.rutgers.edu/annalisa-scacchioli" TargetMode="External"/><Relationship Id="rId2708" Type="http://schemas.openxmlformats.org/officeDocument/2006/relationships/hyperlink" Target="https://drexel.edu/engineering/about/faculty-staff/F/farouk-bakhtier/" TargetMode="External"/><Relationship Id="rId2915" Type="http://schemas.openxmlformats.org/officeDocument/2006/relationships/hyperlink" Target="https://www.engineering.pitt.edu/people/faculty/ian-nettleship/" TargetMode="External"/><Relationship Id="rId4063" Type="http://schemas.openxmlformats.org/officeDocument/2006/relationships/hyperlink" Target="https://daytonabeach.erau.edu/college-engineering/mechanical/faculty" TargetMode="External"/><Relationship Id="rId4270" Type="http://schemas.openxmlformats.org/officeDocument/2006/relationships/hyperlink" Target="https://engineering.missouri.edu/faculty/yuwen-zhang/" TargetMode="External"/><Relationship Id="rId4368" Type="http://schemas.openxmlformats.org/officeDocument/2006/relationships/hyperlink" Target="https://www.ecs.baylor.edu/person/dr-paul-allison" TargetMode="External"/><Relationship Id="rId4575" Type="http://schemas.openxmlformats.org/officeDocument/2006/relationships/hyperlink" Target="https://www.ou.edu/coe/ame/people/ozawa.html" TargetMode="External"/><Relationship Id="rId5114" Type="http://schemas.openxmlformats.org/officeDocument/2006/relationships/hyperlink" Target="https://mme.fiu.edu/faculty-staff-members/dr-tony-thomas" TargetMode="External"/><Relationship Id="rId5321" Type="http://schemas.openxmlformats.org/officeDocument/2006/relationships/hyperlink" Target="https://people.wright.edu/amir.farajian" TargetMode="External"/><Relationship Id="rId5419" Type="http://schemas.openxmlformats.org/officeDocument/2006/relationships/hyperlink" Target="https://www.memphis.edu/me/research/gao-research.php" TargetMode="External"/><Relationship Id="rId1517" Type="http://schemas.openxmlformats.org/officeDocument/2006/relationships/hyperlink" Target="https://mems.duke.edu/faculty/wilkins-aquino" TargetMode="External"/><Relationship Id="rId1724" Type="http://schemas.openxmlformats.org/officeDocument/2006/relationships/hyperlink" Target="https://www.colorado.edu/mechanical/shalom-ruben" TargetMode="External"/><Relationship Id="rId3177" Type="http://schemas.openxmlformats.org/officeDocument/2006/relationships/hyperlink" Target="https://mabe.utk.edu/people/andrew-dickerson/" TargetMode="External"/><Relationship Id="rId4130" Type="http://schemas.openxmlformats.org/officeDocument/2006/relationships/hyperlink" Target="https://mechanical.sdsu.edu/people/somer-nacy.aspx" TargetMode="External"/><Relationship Id="rId4228" Type="http://schemas.openxmlformats.org/officeDocument/2006/relationships/hyperlink" Target="https://me.ku.edu/people/huazhen-fang" TargetMode="External"/><Relationship Id="rId4782" Type="http://schemas.openxmlformats.org/officeDocument/2006/relationships/hyperlink" Target="https://ceps.unh.edu/person/nathan-laxague" TargetMode="External"/><Relationship Id="rId16" Type="http://schemas.openxmlformats.org/officeDocument/2006/relationships/hyperlink" Target="https://meche.mit.edu/people/faculty/irmgard@mit.edu" TargetMode="External"/><Relationship Id="rId1931" Type="http://schemas.openxmlformats.org/officeDocument/2006/relationships/hyperlink" Target="https://engineering.brown.edu/people/eric-suuberg" TargetMode="External"/><Relationship Id="rId3037" Type="http://schemas.openxmlformats.org/officeDocument/2006/relationships/hyperlink" Target="https://engineering.lehigh.edu/meche/faculty/966" TargetMode="External"/><Relationship Id="rId3384" Type="http://schemas.openxmlformats.org/officeDocument/2006/relationships/hyperlink" Target="https://tricities.wsu.edu/engineering/faculty/mo/" TargetMode="External"/><Relationship Id="rId3591" Type="http://schemas.openxmlformats.org/officeDocument/2006/relationships/hyperlink" Target="https://ecs.syracuse.edu/faculty-staff/quinn-qiao" TargetMode="External"/><Relationship Id="rId3689" Type="http://schemas.openxmlformats.org/officeDocument/2006/relationships/hyperlink" Target="https://ceat.okstate.edu/mae/faculty-staff/faculty-bios/ardeshir-moftakhari.html" TargetMode="External"/><Relationship Id="rId3896" Type="http://schemas.openxmlformats.org/officeDocument/2006/relationships/hyperlink" Target="https://mees.charlotte.edu/directory/amir-ghasemi" TargetMode="External"/><Relationship Id="rId4435" Type="http://schemas.openxmlformats.org/officeDocument/2006/relationships/hyperlink" Target="https://www.lsu.edu/eng/mie/people/faculty/opeowoyele.php" TargetMode="External"/><Relationship Id="rId4642" Type="http://schemas.openxmlformats.org/officeDocument/2006/relationships/hyperlink" Target="https://profiles.howard.edu/mohsen-mosleh" TargetMode="External"/><Relationship Id="rId2193" Type="http://schemas.openxmlformats.org/officeDocument/2006/relationships/hyperlink" Target="https://engineering.uci.edu/users/athanasios-sideris" TargetMode="External"/><Relationship Id="rId2498" Type="http://schemas.openxmlformats.org/officeDocument/2006/relationships/hyperlink" Target="https://www.bu.edu/eng/profile/caleb-farny-ph-d/" TargetMode="External"/><Relationship Id="rId3244" Type="http://schemas.openxmlformats.org/officeDocument/2006/relationships/hyperlink" Target="https://www.engr.colostate.edu/me/faculty/dr-daniel-b-olsen/" TargetMode="External"/><Relationship Id="rId3451" Type="http://schemas.openxmlformats.org/officeDocument/2006/relationships/hyperlink" Target="https://www.me.byu.edu/faculty/larryhowell" TargetMode="External"/><Relationship Id="rId3549" Type="http://schemas.openxmlformats.org/officeDocument/2006/relationships/hyperlink" Target="https://www.stevens.edu/profile/sesche" TargetMode="External"/><Relationship Id="rId4502" Type="http://schemas.openxmlformats.org/officeDocument/2006/relationships/hyperlink" Target="https://me.ucmerced.edu/content/jian-qiao-sun" TargetMode="External"/><Relationship Id="rId4947" Type="http://schemas.openxmlformats.org/officeDocument/2006/relationships/hyperlink" Target="https://www.uab.edu/engineering/mme/" TargetMode="External"/><Relationship Id="rId165" Type="http://schemas.openxmlformats.org/officeDocument/2006/relationships/hyperlink" Target="https://me.stanford.edu/people/michaelle-mayalu" TargetMode="External"/><Relationship Id="rId372" Type="http://schemas.openxmlformats.org/officeDocument/2006/relationships/hyperlink" Target="https://mechse.illinois.edu/people/profile/lilicai" TargetMode="External"/><Relationship Id="rId677" Type="http://schemas.openxmlformats.org/officeDocument/2006/relationships/hyperlink" Target="https://www.engineering.cornell.edu/faculty-directory/mostafa-hassani" TargetMode="External"/><Relationship Id="rId2053" Type="http://schemas.openxmlformats.org/officeDocument/2006/relationships/hyperlink" Target="https://ame.nd.edu/faculty/flint-thomas/" TargetMode="External"/><Relationship Id="rId2260" Type="http://schemas.openxmlformats.org/officeDocument/2006/relationships/hyperlink" Target="https://www.mae.ncsu.edu/people/mbryant" TargetMode="External"/><Relationship Id="rId2358" Type="http://schemas.openxmlformats.org/officeDocument/2006/relationships/hyperlink" Target="https://engineering.wustl.edu/faculty/Emily-Boyd.html" TargetMode="External"/><Relationship Id="rId3104" Type="http://schemas.openxmlformats.org/officeDocument/2006/relationships/hyperlink" Target="https://nps.edu/faculty-profiles/-/cv/ywkwon" TargetMode="External"/><Relationship Id="rId3311" Type="http://schemas.openxmlformats.org/officeDocument/2006/relationships/hyperlink" Target="https://researchdirectory.uc.edu/p/kimwu" TargetMode="External"/><Relationship Id="rId3756" Type="http://schemas.openxmlformats.org/officeDocument/2006/relationships/hyperlink" Target="https://www.uta.edu/academics/faculty/profile?username=haji" TargetMode="External"/><Relationship Id="rId3963" Type="http://schemas.openxmlformats.org/officeDocument/2006/relationships/hyperlink" Target="https://sc.edu/study/colleges_schools/engineering_and_computing/faculty-staff/besmann_theodore.php" TargetMode="External"/><Relationship Id="rId4807" Type="http://schemas.openxmlformats.org/officeDocument/2006/relationships/hyperlink" Target="https://klesse.utsa.edu/faculty/profiles/han-hai-chao.html" TargetMode="External"/><Relationship Id="rId232" Type="http://schemas.openxmlformats.org/officeDocument/2006/relationships/hyperlink" Target="https://me.berkeley.edu/people/kyriakos-komvopoulos/" TargetMode="External"/><Relationship Id="rId884" Type="http://schemas.openxmlformats.org/officeDocument/2006/relationships/hyperlink" Target="https://www.mccormick.northwestern.edu/mechanical/research/areas/micro-nanoengineering.html" TargetMode="External"/><Relationship Id="rId2120" Type="http://schemas.openxmlformats.org/officeDocument/2006/relationships/hyperlink" Target="https://search.asu.edu/profile/4231686" TargetMode="External"/><Relationship Id="rId2565" Type="http://schemas.openxmlformats.org/officeDocument/2006/relationships/hyperlink" Target="https://mechanical.mines.edu/project/rickey-kelly/" TargetMode="External"/><Relationship Id="rId2772" Type="http://schemas.openxmlformats.org/officeDocument/2006/relationships/hyperlink" Target="https://engineering.buffalo.edu/mechanical-aerospace/people/faculty/ladder.host.html/content/shared/engineering/mechanical-aerospace/profiles/lichade-ketki.detail.html" TargetMode="External"/><Relationship Id="rId3409" Type="http://schemas.openxmlformats.org/officeDocument/2006/relationships/hyperlink" Target="https://www.wpi.edu/people/faculty/agnanaskandan" TargetMode="External"/><Relationship Id="rId3616" Type="http://schemas.openxmlformats.org/officeDocument/2006/relationships/hyperlink" Target="https://me.utdallas.edu/faculty-staff/yaoyu-li/" TargetMode="External"/><Relationship Id="rId3823" Type="http://schemas.openxmlformats.org/officeDocument/2006/relationships/hyperlink" Target="https://www.engr.uky.edu/directory/herrin-david" TargetMode="External"/><Relationship Id="rId5069" Type="http://schemas.openxmlformats.org/officeDocument/2006/relationships/hyperlink" Target="http://academic.csuohio.edu/richter_h/" TargetMode="External"/><Relationship Id="rId5276" Type="http://schemas.openxmlformats.org/officeDocument/2006/relationships/hyperlink" Target="https://www.unlv.edu/people/paul-oh-phd" TargetMode="External"/><Relationship Id="rId5483" Type="http://schemas.openxmlformats.org/officeDocument/2006/relationships/hyperlink" Target="https://www.oakland.edu/secs/directory/barber" TargetMode="External"/><Relationship Id="rId537" Type="http://schemas.openxmlformats.org/officeDocument/2006/relationships/hyperlink" Target="https://me.engin.umich.edu/people/faculty/lei-zuo/" TargetMode="External"/><Relationship Id="rId744" Type="http://schemas.openxmlformats.org/officeDocument/2006/relationships/hyperlink" Target="https://www.meche.engineering.cmu.edu/directory/bios/steif-paul.html" TargetMode="External"/><Relationship Id="rId951" Type="http://schemas.openxmlformats.org/officeDocument/2006/relationships/hyperlink" Target="https://me.jhu.edu/faculty/jeremy-brown/" TargetMode="External"/><Relationship Id="rId1167" Type="http://schemas.openxmlformats.org/officeDocument/2006/relationships/hyperlink" Target="https://www.me.psu.edu/department/directory-detail-g.aspx?q=lqz5242" TargetMode="External"/><Relationship Id="rId1374" Type="http://schemas.openxmlformats.org/officeDocument/2006/relationships/hyperlink" Target="https://me.vt.edu/people/faculty/behkam-bahareh.html" TargetMode="External"/><Relationship Id="rId1581" Type="http://schemas.openxmlformats.org/officeDocument/2006/relationships/hyperlink" Target="https://mae.osu.edu/people/dupaix.1" TargetMode="External"/><Relationship Id="rId1679" Type="http://schemas.openxmlformats.org/officeDocument/2006/relationships/hyperlink" Target="https://www.colorado.edu/mechanical/alaa-ahmed" TargetMode="External"/><Relationship Id="rId2218" Type="http://schemas.openxmlformats.org/officeDocument/2006/relationships/hyperlink" Target="https://www.me.iastate.edu/faculty/profile/nastaran" TargetMode="External"/><Relationship Id="rId2425" Type="http://schemas.openxmlformats.org/officeDocument/2006/relationships/hyperlink" Target="https://www.egr.msu.edu/people/profile/pkwon" TargetMode="External"/><Relationship Id="rId2632" Type="http://schemas.openxmlformats.org/officeDocument/2006/relationships/hyperlink" Target="https://me.udel.edu/faculty/john-w-gillespie-jr/" TargetMode="External"/><Relationship Id="rId4085" Type="http://schemas.openxmlformats.org/officeDocument/2006/relationships/hyperlink" Target="https://www.mne.k-state.edu/about/people/faculty/cai/" TargetMode="External"/><Relationship Id="rId4292" Type="http://schemas.openxmlformats.org/officeDocument/2006/relationships/hyperlink" Target="https://www1.villanova.edu/university/engineering/academic-programs/departments/mechanical/directory/biodetail.html?mail=deeksha.seth@villanova.edu&amp;xsl=bio_long" TargetMode="External"/><Relationship Id="rId5136" Type="http://schemas.openxmlformats.org/officeDocument/2006/relationships/hyperlink" Target="https://coes.latech.edu/facultystaff-directory/single-entry/name/leland-weiss/" TargetMode="External"/><Relationship Id="rId5343" Type="http://schemas.openxmlformats.org/officeDocument/2006/relationships/hyperlink" Target="https://www.fau.edu/engineering/directory/faculty/engeberg" TargetMode="External"/><Relationship Id="rId80" Type="http://schemas.openxmlformats.org/officeDocument/2006/relationships/hyperlink" Target="https://meche.mit.edu/people/faculty/russt@mit.edu" TargetMode="External"/><Relationship Id="rId604" Type="http://schemas.openxmlformats.org/officeDocument/2006/relationships/hyperlink" Target="https://engineering.purdue.edu/ME/People/ptProfile?resource_id=12884" TargetMode="External"/><Relationship Id="rId811" Type="http://schemas.openxmlformats.org/officeDocument/2006/relationships/hyperlink" Target="http://www.me.utexas.edu/faculty/faculty-directory/tilton" TargetMode="External"/><Relationship Id="rId1027" Type="http://schemas.openxmlformats.org/officeDocument/2006/relationships/hyperlink" Target="https://engineering.tamu.edu/mechanical/profiles/lee-chabum.html" TargetMode="External"/><Relationship Id="rId1234" Type="http://schemas.openxmlformats.org/officeDocument/2006/relationships/hyperlink" Target="https://cse.umn.edu/me/cari-dutcher" TargetMode="External"/><Relationship Id="rId1441" Type="http://schemas.openxmlformats.org/officeDocument/2006/relationships/hyperlink" Target="https://seas.harvard.edu/person/john-hutchinson" TargetMode="External"/><Relationship Id="rId1886" Type="http://schemas.openxmlformats.org/officeDocument/2006/relationships/hyperlink" Target="https://engineering.brown.edu/people/yuri-bazilevs" TargetMode="External"/><Relationship Id="rId2937" Type="http://schemas.openxmlformats.org/officeDocument/2006/relationships/hyperlink" Target="https://www.engineering.pitt.edu/people/faculty/kurt-beschorner/" TargetMode="External"/><Relationship Id="rId4152" Type="http://schemas.openxmlformats.org/officeDocument/2006/relationships/hyperlink" Target="https://www.depts.ttu.edu/me/faculty/seon_han/index.php" TargetMode="External"/><Relationship Id="rId4597" Type="http://schemas.openxmlformats.org/officeDocument/2006/relationships/hyperlink" Target="https://www.uvm.edu/node/223700" TargetMode="External"/><Relationship Id="rId5203" Type="http://schemas.openxmlformats.org/officeDocument/2006/relationships/hyperlink" Target="https://engineering.siu.edu/me/faculty-staff/faculty/harpalani.php" TargetMode="External"/><Relationship Id="rId5550" Type="http://schemas.openxmlformats.org/officeDocument/2006/relationships/hyperlink" Target="https://und.edu/directory/caixia.yang" TargetMode="External"/><Relationship Id="rId909" Type="http://schemas.openxmlformats.org/officeDocument/2006/relationships/hyperlink" Target="https://www.mccormick.northwestern.edu/research-faculty/directory/profiles/packman-aaron.html" TargetMode="External"/><Relationship Id="rId1301" Type="http://schemas.openxmlformats.org/officeDocument/2006/relationships/hyperlink" Target="https://directory.seas.upenn.edu/ottman-a-tertuliano/" TargetMode="External"/><Relationship Id="rId1539" Type="http://schemas.openxmlformats.org/officeDocument/2006/relationships/hyperlink" Target="https://mems.duke.edu/faculty/david-mitzi" TargetMode="External"/><Relationship Id="rId1746" Type="http://schemas.openxmlformats.org/officeDocument/2006/relationships/hyperlink" Target="https://mae.ufl.edu/people/faculty/primary/professor/profiles/youping-chen/" TargetMode="External"/><Relationship Id="rId1953" Type="http://schemas.openxmlformats.org/officeDocument/2006/relationships/hyperlink" Target="https://engineering.brown.edu/people/william-patterson" TargetMode="External"/><Relationship Id="rId3199" Type="http://schemas.openxmlformats.org/officeDocument/2006/relationships/hyperlink" Target="https://mabe.utk.edu/people/william-miller/" TargetMode="External"/><Relationship Id="rId4457" Type="http://schemas.openxmlformats.org/officeDocument/2006/relationships/hyperlink" Target="http://www.me.msstate.edu/people/faculty/morgan-green/" TargetMode="External"/><Relationship Id="rId4664" Type="http://schemas.openxmlformats.org/officeDocument/2006/relationships/hyperlink" Target="https://mae.nmsu.edu/faculty/dr-qiong-liu.html" TargetMode="External"/><Relationship Id="rId5410" Type="http://schemas.openxmlformats.org/officeDocument/2006/relationships/hyperlink" Target="https://engineering.catholic.edu/research-and-faculty/faculty-profiles/mechanical/wang-zhaoyang/index.html" TargetMode="External"/><Relationship Id="rId5508" Type="http://schemas.openxmlformats.org/officeDocument/2006/relationships/hyperlink" Target="https://www.pdx.edu/profile/chien-wern" TargetMode="External"/><Relationship Id="rId38" Type="http://schemas.openxmlformats.org/officeDocument/2006/relationships/hyperlink" Target="https://meche.mit.edu/people/faculty/NGH@MIT.EDU" TargetMode="External"/><Relationship Id="rId1606" Type="http://schemas.openxmlformats.org/officeDocument/2006/relationships/hyperlink" Target="https://mae.osu.edu/people/noll.34" TargetMode="External"/><Relationship Id="rId1813" Type="http://schemas.openxmlformats.org/officeDocument/2006/relationships/hyperlink" Target="https://viterbi.usc.edu/directory/faculty/Maghsoodi/Ameneh" TargetMode="External"/><Relationship Id="rId3059" Type="http://schemas.openxmlformats.org/officeDocument/2006/relationships/hyperlink" Target="https://works.bepress.com/kelly-homan/about/" TargetMode="External"/><Relationship Id="rId3266" Type="http://schemas.openxmlformats.org/officeDocument/2006/relationships/hyperlink" Target="https://engineering.nyu.edu/faculty/dora-angelaki" TargetMode="External"/><Relationship Id="rId3473" Type="http://schemas.openxmlformats.org/officeDocument/2006/relationships/hyperlink" Target="https://www.iit.edu/directory/people/john-bernhardt" TargetMode="External"/><Relationship Id="rId4012" Type="http://schemas.openxmlformats.org/officeDocument/2006/relationships/hyperlink" Target="https://www.binghamton.edu/mechanical-engineering/people/profile.html?id=cke" TargetMode="External"/><Relationship Id="rId4317" Type="http://schemas.openxmlformats.org/officeDocument/2006/relationships/hyperlink" Target="http://egr.vcu.edu/directory/robert.sexton/" TargetMode="External"/><Relationship Id="rId4524" Type="http://schemas.openxmlformats.org/officeDocument/2006/relationships/hyperlink" Target="https://udayton.edu/directory/engineering/mechanical_and_aerospace/running-carson-l.php" TargetMode="External"/><Relationship Id="rId4871" Type="http://schemas.openxmlformats.org/officeDocument/2006/relationships/hyperlink" Target="https://www.fit.edu/faculty-profiles/n/nguyen-kim-doang/" TargetMode="External"/><Relationship Id="rId4969" Type="http://schemas.openxmlformats.org/officeDocument/2006/relationships/hyperlink" Target="https://ritchieschool.du.edu/about/people/maciej-kumosa" TargetMode="External"/><Relationship Id="rId187" Type="http://schemas.openxmlformats.org/officeDocument/2006/relationships/hyperlink" Target="https://me.stanford.edu/people/dan-somen" TargetMode="External"/><Relationship Id="rId394" Type="http://schemas.openxmlformats.org/officeDocument/2006/relationships/hyperlink" Target="https://mechse.illinois.edu/people/profile/hutchs" TargetMode="External"/><Relationship Id="rId2075" Type="http://schemas.openxmlformats.org/officeDocument/2006/relationships/hyperlink" Target="https://seas.yale.edu/faculty-research/faculty-directory/vidvuds-ozolins" TargetMode="External"/><Relationship Id="rId2282" Type="http://schemas.openxmlformats.org/officeDocument/2006/relationships/hyperlink" Target="https://www.mae.ncsu.edu/people/donggun-lee" TargetMode="External"/><Relationship Id="rId3126" Type="http://schemas.openxmlformats.org/officeDocument/2006/relationships/hyperlink" Target="https://me.stonybrook.edu/commcms/me-eng/people/faculty/Nakamura_Toshio.php" TargetMode="External"/><Relationship Id="rId3680" Type="http://schemas.openxmlformats.org/officeDocument/2006/relationships/hyperlink" Target="https://ceat.okstate.edu/mae/faculty-staff/faculty-bios/jay-hanan.html" TargetMode="External"/><Relationship Id="rId3778" Type="http://schemas.openxmlformats.org/officeDocument/2006/relationships/hyperlink" Target="https://www.uta.edu/academics/faculty/profile?username=subbarao" TargetMode="External"/><Relationship Id="rId3985" Type="http://schemas.openxmlformats.org/officeDocument/2006/relationships/hyperlink" Target="https://sc.edu/study/colleges_schools/engineering_and_computing/faculty-staff/li_chen.php" TargetMode="External"/><Relationship Id="rId4731" Type="http://schemas.openxmlformats.org/officeDocument/2006/relationships/hyperlink" Target="https://me.hawaii.edu/" TargetMode="External"/><Relationship Id="rId4829" Type="http://schemas.openxmlformats.org/officeDocument/2006/relationships/hyperlink" Target="https://engineering.usu.edu/mae/people/faculty/harris-matt.php" TargetMode="External"/><Relationship Id="rId254" Type="http://schemas.openxmlformats.org/officeDocument/2006/relationships/hyperlink" Target="https://me.berkeley.edu/people/masayoshi-tomizuka/" TargetMode="External"/><Relationship Id="rId699" Type="http://schemas.openxmlformats.org/officeDocument/2006/relationships/hyperlink" Target="https://mae.princeton.edu/people/faculty/jenkins" TargetMode="External"/><Relationship Id="rId1091" Type="http://schemas.openxmlformats.org/officeDocument/2006/relationships/hyperlink" Target="https://samueli.ucla.edu/people/tetsuya-iwasaki/" TargetMode="External"/><Relationship Id="rId2587" Type="http://schemas.openxmlformats.org/officeDocument/2006/relationships/hyperlink" Target="https://mae.rutgers.edu/laurent-burlion" TargetMode="External"/><Relationship Id="rId2794" Type="http://schemas.openxmlformats.org/officeDocument/2006/relationships/hyperlink" Target="https://engineering.buffalo.edu/mechanical-aerospace/people/faculty/teaching.host.html/content/shared/engineering/mechanical-aerospace/profiles/khan-jobaidur.detail.html" TargetMode="External"/><Relationship Id="rId3333" Type="http://schemas.openxmlformats.org/officeDocument/2006/relationships/hyperlink" Target="https://www.me.uh.edu/faculty/chen-xuemei" TargetMode="External"/><Relationship Id="rId3540" Type="http://schemas.openxmlformats.org/officeDocument/2006/relationships/hyperlink" Target="https://www.mtu.edu/mechanical/people/faculty/yang/" TargetMode="External"/><Relationship Id="rId3638" Type="http://schemas.openxmlformats.org/officeDocument/2006/relationships/hyperlink" Target="https://me.utdallas.edu/faculty-staff/jie-zhang/" TargetMode="External"/><Relationship Id="rId3845" Type="http://schemas.openxmlformats.org/officeDocument/2006/relationships/hyperlink" Target="https://www.engr.uky.edu/directory/stephens-l-scott" TargetMode="External"/><Relationship Id="rId5298" Type="http://schemas.openxmlformats.org/officeDocument/2006/relationships/hyperlink" Target="https://mechanical.engineering.unt.edu/faculty/reza-mirshams-pe" TargetMode="External"/><Relationship Id="rId114" Type="http://schemas.openxmlformats.org/officeDocument/2006/relationships/hyperlink" Target="https://meche.mit.edu/people/staff/dpgilber@mit.edu" TargetMode="External"/><Relationship Id="rId461" Type="http://schemas.openxmlformats.org/officeDocument/2006/relationships/hyperlink" Target="https://me.engin.umich.edu/people/faculty/david-dowling/" TargetMode="External"/><Relationship Id="rId559" Type="http://schemas.openxmlformats.org/officeDocument/2006/relationships/hyperlink" Target="https://engineering.purdue.edu/ME/People/ptProfile?resource_id=243743" TargetMode="External"/><Relationship Id="rId766" Type="http://schemas.openxmlformats.org/officeDocument/2006/relationships/hyperlink" Target="https://www.me.utexas.edu/people/faculty-directory/chang" TargetMode="External"/><Relationship Id="rId1189" Type="http://schemas.openxmlformats.org/officeDocument/2006/relationships/hyperlink" Target="https://enme.umd.edu/clark/faculty/542/Ashwani-K-Gupta" TargetMode="External"/><Relationship Id="rId1396" Type="http://schemas.openxmlformats.org/officeDocument/2006/relationships/hyperlink" Target="https://me.vt.edu/people/faculty/lattimer-brian.html" TargetMode="External"/><Relationship Id="rId2142" Type="http://schemas.openxmlformats.org/officeDocument/2006/relationships/hyperlink" Target="https://mae.ucdavis.edu/directory/sanjay-joshi" TargetMode="External"/><Relationship Id="rId2447" Type="http://schemas.openxmlformats.org/officeDocument/2006/relationships/hyperlink" Target="https://www.egr.msu.edu/people/profile/taiweich" TargetMode="External"/><Relationship Id="rId3400" Type="http://schemas.openxmlformats.org/officeDocument/2006/relationships/hyperlink" Target="https://www.wpi.edu/academics/departments/mechanical-engineering/faculty-staff" TargetMode="External"/><Relationship Id="rId5060" Type="http://schemas.openxmlformats.org/officeDocument/2006/relationships/hyperlink" Target="https://www.wichita.edu/profiles/academics/engineering/mechanical_engineering/01_Faculty/Rahman-Muhammad.php" TargetMode="External"/><Relationship Id="rId321" Type="http://schemas.openxmlformats.org/officeDocument/2006/relationships/hyperlink" Target="https://www.me.gatech.edu/faculty/pucha" TargetMode="External"/><Relationship Id="rId419" Type="http://schemas.openxmlformats.org/officeDocument/2006/relationships/hyperlink" Target="https://mechse.illinois.edu/people/profile/sanjiv" TargetMode="External"/><Relationship Id="rId626" Type="http://schemas.openxmlformats.org/officeDocument/2006/relationships/hyperlink" Target="https://engineering.purdue.edu/ME/People/ptProfile?resource_id=78578" TargetMode="External"/><Relationship Id="rId973" Type="http://schemas.openxmlformats.org/officeDocument/2006/relationships/hyperlink" Target="https://me.jhu.edu/faculty/sean-sun/" TargetMode="External"/><Relationship Id="rId1049" Type="http://schemas.openxmlformats.org/officeDocument/2006/relationships/hyperlink" Target="https://engineering.tamu.edu/mechanical/profiles/rajagopal-kumbakonam.html" TargetMode="External"/><Relationship Id="rId1256" Type="http://schemas.openxmlformats.org/officeDocument/2006/relationships/hyperlink" Target="https://cse.umn.edu/me/vinod-srinivasan" TargetMode="External"/><Relationship Id="rId2002" Type="http://schemas.openxmlformats.org/officeDocument/2006/relationships/hyperlink" Target="https://me.ucsb.edu/people/yon-visell" TargetMode="External"/><Relationship Id="rId2307" Type="http://schemas.openxmlformats.org/officeDocument/2006/relationships/hyperlink" Target="https://www.mae.ncsu.edu/people/cxu-research" TargetMode="External"/><Relationship Id="rId2654" Type="http://schemas.openxmlformats.org/officeDocument/2006/relationships/hyperlink" Target="https://www.clemson.edu/cecas/departments/me/people/faculty/kelkar.html" TargetMode="External"/><Relationship Id="rId2861" Type="http://schemas.openxmlformats.org/officeDocument/2006/relationships/hyperlink" Target="https://me.engr.uconn.edu/blog/faculty/sheikhi-reza/" TargetMode="External"/><Relationship Id="rId2959" Type="http://schemas.openxmlformats.org/officeDocument/2006/relationships/hyperlink" Target="http://eng.auburn.edu/directory/choeson" TargetMode="External"/><Relationship Id="rId3705" Type="http://schemas.openxmlformats.org/officeDocument/2006/relationships/hyperlink" Target="https://eng.ua.edu/eng-directory/dr-shahriar-sean-amini/" TargetMode="External"/><Relationship Id="rId3912" Type="http://schemas.openxmlformats.org/officeDocument/2006/relationships/hyperlink" Target="https://mees.charlotte.edu/directory/steven-schmid" TargetMode="External"/><Relationship Id="rId5158" Type="http://schemas.openxmlformats.org/officeDocument/2006/relationships/hyperlink" Target="https://www.ohio.edu/engineering/about/people/alim1" TargetMode="External"/><Relationship Id="rId5365" Type="http://schemas.openxmlformats.org/officeDocument/2006/relationships/hyperlink" Target="https://www.ndsu.edu/faculty/xwu/" TargetMode="External"/><Relationship Id="rId833" Type="http://schemas.openxmlformats.org/officeDocument/2006/relationships/hyperlink" Target="https://www.mccormick.northwestern.edu/research-faculty/directory/profiles/cao-jian.html" TargetMode="External"/><Relationship Id="rId1116" Type="http://schemas.openxmlformats.org/officeDocument/2006/relationships/hyperlink" Target="https://www.me.psu.edu/department/directory-detail-g.aspx?q=mpb6420" TargetMode="External"/><Relationship Id="rId1463" Type="http://schemas.openxmlformats.org/officeDocument/2006/relationships/hyperlink" Target="https://jacobsschool.ucsd.edu/faculty/profile?id=263" TargetMode="External"/><Relationship Id="rId1670" Type="http://schemas.openxmlformats.org/officeDocument/2006/relationships/hyperlink" Target="https://www.me.columbia.edu/faculty/arvind-narayanaswamy" TargetMode="External"/><Relationship Id="rId1768" Type="http://schemas.openxmlformats.org/officeDocument/2006/relationships/hyperlink" Target="https://mae.ufl.edu/people/faculty/primary/professor/profiles/james-trainham/" TargetMode="External"/><Relationship Id="rId2514" Type="http://schemas.openxmlformats.org/officeDocument/2006/relationships/hyperlink" Target="https://www.bu.edu/eng/profile/abigail-plummer-ph-d/" TargetMode="External"/><Relationship Id="rId2721" Type="http://schemas.openxmlformats.org/officeDocument/2006/relationships/hyperlink" Target="https://drexel.edu/engineering/about/faculty-staff/N/noh-hongseok/" TargetMode="External"/><Relationship Id="rId2819" Type="http://schemas.openxmlformats.org/officeDocument/2006/relationships/hyperlink" Target="https://ame.engineering.arizona.edu/faculty-staff/faculty/richard-stehle" TargetMode="External"/><Relationship Id="rId4174" Type="http://schemas.openxmlformats.org/officeDocument/2006/relationships/hyperlink" Target="https://www.depts.ttu.edu/me/faculty/yanyan_zhang/index.php" TargetMode="External"/><Relationship Id="rId4381" Type="http://schemas.openxmlformats.org/officeDocument/2006/relationships/hyperlink" Target="https://www.ecs.baylor.edu/person/dr-douglas-e-smith" TargetMode="External"/><Relationship Id="rId5018" Type="http://schemas.openxmlformats.org/officeDocument/2006/relationships/hyperlink" Target="https://www.unr.edu/me/people/lei-cao" TargetMode="External"/><Relationship Id="rId5225" Type="http://schemas.openxmlformats.org/officeDocument/2006/relationships/hyperlink" Target="https://expertise.utep.edu/profiles/adgreig" TargetMode="External"/><Relationship Id="rId5432" Type="http://schemas.openxmlformats.org/officeDocument/2006/relationships/hyperlink" Target="https://engineering.utulsa.edu/mechanical-engineering/faculty/profile/marie-moran" TargetMode="External"/><Relationship Id="rId900" Type="http://schemas.openxmlformats.org/officeDocument/2006/relationships/hyperlink" Target="https://www.mccormick.northwestern.edu/research-faculty/directory/profiles/miksis-michael.html" TargetMode="External"/><Relationship Id="rId1323" Type="http://schemas.openxmlformats.org/officeDocument/2006/relationships/hyperlink" Target="https://directory.engr.wisc.edu/me/Faculty/Li_Ying/" TargetMode="External"/><Relationship Id="rId1530" Type="http://schemas.openxmlformats.org/officeDocument/2006/relationships/hyperlink" Target="https://mems.duke.edu/faculty/earl-dowell" TargetMode="External"/><Relationship Id="rId1628" Type="http://schemas.openxmlformats.org/officeDocument/2006/relationships/hyperlink" Target="https://mae.osu.edu/people/wisniewski.28" TargetMode="External"/><Relationship Id="rId1975" Type="http://schemas.openxmlformats.org/officeDocument/2006/relationships/hyperlink" Target="https://me.ucsb.edu/people/matthew-begley" TargetMode="External"/><Relationship Id="rId3190" Type="http://schemas.openxmlformats.org/officeDocument/2006/relationships/hyperlink" Target="https://mabe.utk.edu/people/phillip-kreth/" TargetMode="External"/><Relationship Id="rId4034" Type="http://schemas.openxmlformats.org/officeDocument/2006/relationships/hyperlink" Target="https://www.clarkson.edu/node/5391" TargetMode="External"/><Relationship Id="rId4241" Type="http://schemas.openxmlformats.org/officeDocument/2006/relationships/hyperlink" Target="https://me.ku.edu/people/sara-e-wilson" TargetMode="External"/><Relationship Id="rId4479" Type="http://schemas.openxmlformats.org/officeDocument/2006/relationships/hyperlink" Target="https://www.smu.edu/Lyle/Departments/ME/People/Faculty/OtugenVolkan" TargetMode="External"/><Relationship Id="rId4686" Type="http://schemas.openxmlformats.org/officeDocument/2006/relationships/hyperlink" Target="https://engineering.temple.edu/academics/departments/mechanical-engineering-department" TargetMode="External"/><Relationship Id="rId4893" Type="http://schemas.openxmlformats.org/officeDocument/2006/relationships/hyperlink" Target="https://www.ncat.edu/employee-bio.php?directoryID=1266824907" TargetMode="External"/><Relationship Id="rId1835" Type="http://schemas.openxmlformats.org/officeDocument/2006/relationships/hyperlink" Target="https://viterbi.usc.edu/directory/faculty/Potnuru/Akshay" TargetMode="External"/><Relationship Id="rId3050" Type="http://schemas.openxmlformats.org/officeDocument/2006/relationships/hyperlink" Target="https://works.bepress.com/david-bayless/about/" TargetMode="External"/><Relationship Id="rId3288" Type="http://schemas.openxmlformats.org/officeDocument/2006/relationships/hyperlink" Target="http://mae.ucf.edu/person/hyoung-jin-joe-cho/" TargetMode="External"/><Relationship Id="rId3495" Type="http://schemas.openxmlformats.org/officeDocument/2006/relationships/hyperlink" Target="https://www.iit.edu/directory/people/ankit-srivastava" TargetMode="External"/><Relationship Id="rId4101" Type="http://schemas.openxmlformats.org/officeDocument/2006/relationships/hyperlink" Target="https://www.mne.k-state.edu/about/people/faculty/wei/" TargetMode="External"/><Relationship Id="rId4339" Type="http://schemas.openxmlformats.org/officeDocument/2006/relationships/hyperlink" Target="https://directory.statler.wvu.edu/faculty-staff-directory/david-mebane" TargetMode="External"/><Relationship Id="rId4546" Type="http://schemas.openxmlformats.org/officeDocument/2006/relationships/hyperlink" Target="https://me.unm.edu/about/directory/faculty/pankaj-kumar.html" TargetMode="External"/><Relationship Id="rId4753" Type="http://schemas.openxmlformats.org/officeDocument/2006/relationships/hyperlink" Target="https://umdearborn.edu/people-um-dearborn/lei-chen" TargetMode="External"/><Relationship Id="rId4960" Type="http://schemas.openxmlformats.org/officeDocument/2006/relationships/hyperlink" Target="https://www.uab.edu/engineering/mme/people/faculty/selvum-pillay" TargetMode="External"/><Relationship Id="rId1902" Type="http://schemas.openxmlformats.org/officeDocument/2006/relationships/hyperlink" Target="https://engineering.brown.edu/people/david-henann" TargetMode="External"/><Relationship Id="rId2097" Type="http://schemas.openxmlformats.org/officeDocument/2006/relationships/hyperlink" Target="https://isearch.asu.edu/profile/3323106" TargetMode="External"/><Relationship Id="rId3148" Type="http://schemas.openxmlformats.org/officeDocument/2006/relationships/hyperlink" Target="https://mie.uic.edu/profiles/parisa-mirbod/" TargetMode="External"/><Relationship Id="rId3355" Type="http://schemas.openxmlformats.org/officeDocument/2006/relationships/hyperlink" Target="https://www.me.uh.edu/faculty/zhao" TargetMode="External"/><Relationship Id="rId3562" Type="http://schemas.openxmlformats.org/officeDocument/2006/relationships/hyperlink" Target="https://www.stevens.edu/profile/arusso" TargetMode="External"/><Relationship Id="rId4406" Type="http://schemas.openxmlformats.org/officeDocument/2006/relationships/hyperlink" Target="https://eng.famu.fsu.edu/me/people/larson" TargetMode="External"/><Relationship Id="rId4613" Type="http://schemas.openxmlformats.org/officeDocument/2006/relationships/hyperlink" Target="https://uwm.edu/engineering/people/qu-deyang/" TargetMode="External"/><Relationship Id="rId276" Type="http://schemas.openxmlformats.org/officeDocument/2006/relationships/hyperlink" Target="https://www.me.gatech.edu/faculty/desai-0" TargetMode="External"/><Relationship Id="rId483" Type="http://schemas.openxmlformats.org/officeDocument/2006/relationships/hyperlink" Target="https://me.engin.umich.edu/people/faculty/uduak-inyang-udoh/" TargetMode="External"/><Relationship Id="rId690" Type="http://schemas.openxmlformats.org/officeDocument/2006/relationships/hyperlink" Target="https://mae.princeton.edu/people/faculty/beeson" TargetMode="External"/><Relationship Id="rId2164" Type="http://schemas.openxmlformats.org/officeDocument/2006/relationships/hyperlink" Target="https://mae.ucdavis.edu/directory/tony-snell" TargetMode="External"/><Relationship Id="rId2371" Type="http://schemas.openxmlformats.org/officeDocument/2006/relationships/hyperlink" Target="https://engineering.wustl.edu/faculty/Amit-Pathak.html" TargetMode="External"/><Relationship Id="rId3008" Type="http://schemas.openxmlformats.org/officeDocument/2006/relationships/hyperlink" Target="https://www.mae.seas.gwu.edu/node/1471" TargetMode="External"/><Relationship Id="rId3215" Type="http://schemas.openxmlformats.org/officeDocument/2006/relationships/hyperlink" Target="https://mabe.utk.edu/people/zhenbo-wang/" TargetMode="External"/><Relationship Id="rId3422" Type="http://schemas.openxmlformats.org/officeDocument/2006/relationships/hyperlink" Target="https://www.wpi.edu/people/faculty/pmrao" TargetMode="External"/><Relationship Id="rId3867" Type="http://schemas.openxmlformats.org/officeDocument/2006/relationships/hyperlink" Target="https://engineering.unl.edu/mme/faculty/qilin-guo/" TargetMode="External"/><Relationship Id="rId4820" Type="http://schemas.openxmlformats.org/officeDocument/2006/relationships/hyperlink" Target="https://klesse.utsa.edu/faculty/profiles/troconis-brendy-rincon.html" TargetMode="External"/><Relationship Id="rId4918" Type="http://schemas.openxmlformats.org/officeDocument/2006/relationships/hyperlink" Target="https://www.uakron.edu/engineering/ME/" TargetMode="External"/><Relationship Id="rId136" Type="http://schemas.openxmlformats.org/officeDocument/2006/relationships/hyperlink" Target="https://meche.mit.edu/people/staff/wardlaw@mit.edu" TargetMode="External"/><Relationship Id="rId343" Type="http://schemas.openxmlformats.org/officeDocument/2006/relationships/hyperlink" Target="https://www.me.gatech.edu/faculty/thadhani" TargetMode="External"/><Relationship Id="rId550" Type="http://schemas.openxmlformats.org/officeDocument/2006/relationships/hyperlink" Target="https://engineering.purdue.edu/ME/People/ptProfile?resource_id=11824" TargetMode="External"/><Relationship Id="rId788" Type="http://schemas.openxmlformats.org/officeDocument/2006/relationships/hyperlink" Target="https://www.me.utexas.edu/people/faculty-directory/kovar" TargetMode="External"/><Relationship Id="rId995" Type="http://schemas.openxmlformats.org/officeDocument/2006/relationships/hyperlink" Target="https://engineering.tamu.edu/mechanical/profiles/cooper-marcia.html" TargetMode="External"/><Relationship Id="rId1180" Type="http://schemas.openxmlformats.org/officeDocument/2006/relationships/hyperlink" Target="https://enme.umd.edu/clark/faculty/528/Abhijit-Dasgupta" TargetMode="External"/><Relationship Id="rId2024" Type="http://schemas.openxmlformats.org/officeDocument/2006/relationships/hyperlink" Target="https://ame.nd.edu/faculty/aleksandar-jemcov/" TargetMode="External"/><Relationship Id="rId2231" Type="http://schemas.openxmlformats.org/officeDocument/2006/relationships/hyperlink" Target="https://www.me.iastate.edu/faculty/profile/markmw" TargetMode="External"/><Relationship Id="rId2469" Type="http://schemas.openxmlformats.org/officeDocument/2006/relationships/hyperlink" Target="https://engineering.vanderbilt.edu/bio/jason-valentine" TargetMode="External"/><Relationship Id="rId2676" Type="http://schemas.openxmlformats.org/officeDocument/2006/relationships/hyperlink" Target="https://www.clemson.edu/cecas/departments/me/people/faculty/ramnath.html" TargetMode="External"/><Relationship Id="rId2883" Type="http://schemas.openxmlformats.org/officeDocument/2006/relationships/hyperlink" Target="https://engineering.uiowa.edu/people/kamran-samani" TargetMode="External"/><Relationship Id="rId3727" Type="http://schemas.openxmlformats.org/officeDocument/2006/relationships/hyperlink" Target="https://eng.ua.edu/eng-directory/dr-w-steve-shepard-jr/" TargetMode="External"/><Relationship Id="rId3934" Type="http://schemas.openxmlformats.org/officeDocument/2006/relationships/hyperlink" Target="http://www.hajim.rochester.edu/me/people/faculty/davies_jonathan/index.html" TargetMode="External"/><Relationship Id="rId5082" Type="http://schemas.openxmlformats.org/officeDocument/2006/relationships/hyperlink" Target="https://mme.fiu.edu/faculty-staff-members/benjamin-boesl" TargetMode="External"/><Relationship Id="rId5387" Type="http://schemas.openxmlformats.org/officeDocument/2006/relationships/hyperlink" Target="https://www.sdstate.edu/directory/zac-chapman" TargetMode="External"/><Relationship Id="rId203" Type="http://schemas.openxmlformats.org/officeDocument/2006/relationships/hyperlink" Target="https://mce.caltech.edu/people/rubyfu" TargetMode="External"/><Relationship Id="rId648" Type="http://schemas.openxmlformats.org/officeDocument/2006/relationships/hyperlink" Target="https://www.engineering.cornell.edu/faculty-directory/olivier-desjardins" TargetMode="External"/><Relationship Id="rId855" Type="http://schemas.openxmlformats.org/officeDocument/2006/relationships/hyperlink" Target="https://www.mccormick.northwestern.edu/mechanical/research/areas/biosystems-health.html" TargetMode="External"/><Relationship Id="rId1040" Type="http://schemas.openxmlformats.org/officeDocument/2006/relationships/hyperlink" Target="https://engineering.tamu.edu/mechanical/profiles/oneill-zheng.html" TargetMode="External"/><Relationship Id="rId1278" Type="http://schemas.openxmlformats.org/officeDocument/2006/relationships/hyperlink" Target="https://directory.seas.upenn.edu/nadia-figueroa/" TargetMode="External"/><Relationship Id="rId1485" Type="http://schemas.openxmlformats.org/officeDocument/2006/relationships/hyperlink" Target="https://jacobsschool.ucsd.edu/faculty/profile?id=290" TargetMode="External"/><Relationship Id="rId1692" Type="http://schemas.openxmlformats.org/officeDocument/2006/relationships/hyperlink" Target="https://www.colorado.edu/mechanical/yifu-ding" TargetMode="External"/><Relationship Id="rId2329" Type="http://schemas.openxmlformats.org/officeDocument/2006/relationships/hyperlink" Target="https://engineering.virginia.edu/faculty/david-l-green" TargetMode="External"/><Relationship Id="rId2536" Type="http://schemas.openxmlformats.org/officeDocument/2006/relationships/hyperlink" Target="https://mechanical.mines.edu/project/ciobanu-cristian/" TargetMode="External"/><Relationship Id="rId2743" Type="http://schemas.openxmlformats.org/officeDocument/2006/relationships/hyperlink" Target="https://engineering.tufts.edu/me/node/3036" TargetMode="External"/><Relationship Id="rId4196" Type="http://schemas.openxmlformats.org/officeDocument/2006/relationships/hyperlink" Target="http://engineering.uga.edu/people/profile/sung-hee-sonny-kim" TargetMode="External"/><Relationship Id="rId5247" Type="http://schemas.openxmlformats.org/officeDocument/2006/relationships/hyperlink" Target="https://www.uidaho.edu/engr/departments/me/our-people/faculty/daniel-robertson" TargetMode="External"/><Relationship Id="rId410" Type="http://schemas.openxmlformats.org/officeDocument/2006/relationships/hyperlink" Target="https://mechse.illinois.edu/people/profile/nmiljkov" TargetMode="External"/><Relationship Id="rId508" Type="http://schemas.openxmlformats.org/officeDocument/2006/relationships/hyperlink" Target="https://me.engin.umich.edu/people/faculty/kazu-saitou/" TargetMode="External"/><Relationship Id="rId715" Type="http://schemas.openxmlformats.org/officeDocument/2006/relationships/hyperlink" Target="https://mae.princeton.edu/people/faculty/stone" TargetMode="External"/><Relationship Id="rId922" Type="http://schemas.openxmlformats.org/officeDocument/2006/relationships/hyperlink" Target="https://www.mccormick.northwestern.edu/research-faculty/directory/profiles/rogers-john.html" TargetMode="External"/><Relationship Id="rId1138" Type="http://schemas.openxmlformats.org/officeDocument/2006/relationships/hyperlink" Target="https://www.me.psu.edu/department/directory-detail-g.aspx?q=gum53" TargetMode="External"/><Relationship Id="rId1345" Type="http://schemas.openxmlformats.org/officeDocument/2006/relationships/hyperlink" Target="https://directory.engr.wisc.edu/me/Faculty/Suresh_Krishnan/" TargetMode="External"/><Relationship Id="rId1552" Type="http://schemas.openxmlformats.org/officeDocument/2006/relationships/hyperlink" Target="https://mems.duke.edu/faculty/johann-guilleminot" TargetMode="External"/><Relationship Id="rId1997" Type="http://schemas.openxmlformats.org/officeDocument/2006/relationships/hyperlink" Target="https://me.ucsb.edu/people/alban-sauret" TargetMode="External"/><Relationship Id="rId2603" Type="http://schemas.openxmlformats.org/officeDocument/2006/relationships/hyperlink" Target="https://mae.rutgers.edu/jennifer-lynch" TargetMode="External"/><Relationship Id="rId2950" Type="http://schemas.openxmlformats.org/officeDocument/2006/relationships/hyperlink" Target="http://eng.auburn.edu/directory/aza0060" TargetMode="External"/><Relationship Id="rId4056" Type="http://schemas.openxmlformats.org/officeDocument/2006/relationships/hyperlink" Target="https://daytonabeach.erau.edu/college-engineering/mechanical/faculty" TargetMode="External"/><Relationship Id="rId5454" Type="http://schemas.openxmlformats.org/officeDocument/2006/relationships/hyperlink" Target="https://wmich.edu/mechanical-aerospace/directory/ro" TargetMode="External"/><Relationship Id="rId1205" Type="http://schemas.openxmlformats.org/officeDocument/2006/relationships/hyperlink" Target="https://enme.umd.edu/clark/faculty/577/Reinhard-Radermacher" TargetMode="External"/><Relationship Id="rId1857" Type="http://schemas.openxmlformats.org/officeDocument/2006/relationships/hyperlink" Target="https://www.me.washington.edu/facultyfinder/soyoung-kang" TargetMode="External"/><Relationship Id="rId2810" Type="http://schemas.openxmlformats.org/officeDocument/2006/relationships/hyperlink" Target="https://ame.engineering.arizona.edu/faculty-staff/faculty/jeffrey-w-jacobs" TargetMode="External"/><Relationship Id="rId2908" Type="http://schemas.openxmlformats.org/officeDocument/2006/relationships/hyperlink" Target="https://www.engineering.pitt.edu/people/faculty/tevis-jacobs/" TargetMode="External"/><Relationship Id="rId4263" Type="http://schemas.openxmlformats.org/officeDocument/2006/relationships/hyperlink" Target="https://engineering.missouri.edu/faculty/christopher-obryan/" TargetMode="External"/><Relationship Id="rId4470" Type="http://schemas.openxmlformats.org/officeDocument/2006/relationships/hyperlink" Target="https://www.smu.edu/Lyle/Departments/ME/People/Faculty" TargetMode="External"/><Relationship Id="rId4568" Type="http://schemas.openxmlformats.org/officeDocument/2006/relationships/hyperlink" Target="https://www.ou.edu/coe/ame/people/ghamarian.html" TargetMode="External"/><Relationship Id="rId5107" Type="http://schemas.openxmlformats.org/officeDocument/2006/relationships/hyperlink" Target="https://mme.fiu.edu/faculty-staff-members/andriy-durygin" TargetMode="External"/><Relationship Id="rId5314" Type="http://schemas.openxmlformats.org/officeDocument/2006/relationships/hyperlink" Target="https://mechanical.engineering.unt.edu/faculty/haifeng-zhang" TargetMode="External"/><Relationship Id="rId5521" Type="http://schemas.openxmlformats.org/officeDocument/2006/relationships/hyperlink" Target="https://www.slu.edu/science-and-engineering/academics/aerospace-and-mechanical-engineering/faculty/gururajan-srikanth.php" TargetMode="External"/><Relationship Id="rId51" Type="http://schemas.openxmlformats.org/officeDocument/2006/relationships/hyperlink" Target="https://meche.mit.edu/people/faculty/SANGBAE@MIT.EDU" TargetMode="External"/><Relationship Id="rId1412" Type="http://schemas.openxmlformats.org/officeDocument/2006/relationships/hyperlink" Target="https://me.vt.edu/people/faculty/pitchumani-ranga.html" TargetMode="External"/><Relationship Id="rId1717" Type="http://schemas.openxmlformats.org/officeDocument/2006/relationships/hyperlink" Target="https://www.colorado.edu/mechanical/corey-neu" TargetMode="External"/><Relationship Id="rId1924" Type="http://schemas.openxmlformats.org/officeDocument/2006/relationships/hyperlink" Target="https://engineering.brown.edu/people/mauro-rodriguez" TargetMode="External"/><Relationship Id="rId3072" Type="http://schemas.openxmlformats.org/officeDocument/2006/relationships/hyperlink" Target="https://works.bepress.com/j-keith-nisbett/about/" TargetMode="External"/><Relationship Id="rId3377" Type="http://schemas.openxmlformats.org/officeDocument/2006/relationships/hyperlink" Target="https://mme.wsu.edu/faculty/yuehe-lin/" TargetMode="External"/><Relationship Id="rId4123" Type="http://schemas.openxmlformats.org/officeDocument/2006/relationships/hyperlink" Target="https://mechanical.sdsu.edu/people/yang-yang.aspx" TargetMode="External"/><Relationship Id="rId4330" Type="http://schemas.openxmlformats.org/officeDocument/2006/relationships/hyperlink" Target="https://directory.statler.wvu.edu/faculty-staff-directory/yu-gu" TargetMode="External"/><Relationship Id="rId4775" Type="http://schemas.openxmlformats.org/officeDocument/2006/relationships/hyperlink" Target="https://ceps.unh.edu/mechanical-engineering/faculty-staff-directory" TargetMode="External"/><Relationship Id="rId4982" Type="http://schemas.openxmlformats.org/officeDocument/2006/relationships/hyperlink" Target="https://engineering.louisville.edu/faculty/roger-d-bradshaw/" TargetMode="External"/><Relationship Id="rId298" Type="http://schemas.openxmlformats.org/officeDocument/2006/relationships/hyperlink" Target="https://www.me.gatech.edu/faculty/kalidindi" TargetMode="External"/><Relationship Id="rId3584" Type="http://schemas.openxmlformats.org/officeDocument/2006/relationships/hyperlink" Target="https://ecs.syracuse.edu/faculty-staff/zhenyu-gan" TargetMode="External"/><Relationship Id="rId3791" Type="http://schemas.openxmlformats.org/officeDocument/2006/relationships/hyperlink" Target="https://www.uah.edu/eng/departments/mae/faculty-staff/lorenzo-coley" TargetMode="External"/><Relationship Id="rId3889" Type="http://schemas.openxmlformats.org/officeDocument/2006/relationships/hyperlink" Target="https://mees.charlotte.edu/directory/jonathan-beaman" TargetMode="External"/><Relationship Id="rId4428" Type="http://schemas.openxmlformats.org/officeDocument/2006/relationships/hyperlink" Target="https://www.lsu.edu/eng/mie/people/faculty/khonsari.php" TargetMode="External"/><Relationship Id="rId4635" Type="http://schemas.openxmlformats.org/officeDocument/2006/relationships/hyperlink" Target="https://www.ccny.cuny.edu/profiles/ioana-voiculescu" TargetMode="External"/><Relationship Id="rId4842" Type="http://schemas.openxmlformats.org/officeDocument/2006/relationships/hyperlink" Target="https://engineering.wayne.edu/profile/hj1948" TargetMode="External"/><Relationship Id="rId158" Type="http://schemas.openxmlformats.org/officeDocument/2006/relationships/hyperlink" Target="https://me.stanford.edu/people/thomas-kenny" TargetMode="External"/><Relationship Id="rId2186" Type="http://schemas.openxmlformats.org/officeDocument/2006/relationships/hyperlink" Target="https://engineering.uci.edu/users/sungwoo-nam" TargetMode="External"/><Relationship Id="rId2393" Type="http://schemas.openxmlformats.org/officeDocument/2006/relationships/hyperlink" Target="https://engineering.case.edu/about/school-directory/roger-quinn" TargetMode="External"/><Relationship Id="rId2698" Type="http://schemas.openxmlformats.org/officeDocument/2006/relationships/hyperlink" Target="https://drexel.edu/engineering/academics/departments/mechanical-engineering/faculty-staff/?department=%7B15907D3E-C086-4715-9E82-085AEE9D46A0%7D&amp;q&amp;sortBy=relevance&amp;sortOrder=asc&amp;page=1" TargetMode="External"/><Relationship Id="rId3237" Type="http://schemas.openxmlformats.org/officeDocument/2006/relationships/hyperlink" Target="https://www.engr.colostate.edu/me/faculty/dr-shantanu-jathar/" TargetMode="External"/><Relationship Id="rId3444" Type="http://schemas.openxmlformats.org/officeDocument/2006/relationships/hyperlink" Target="https://www.me.byu.edu/directory/julie-crockett" TargetMode="External"/><Relationship Id="rId3651" Type="http://schemas.openxmlformats.org/officeDocument/2006/relationships/hyperlink" Target="https://profiles.ucr.edu/app/home/profile/cozkan" TargetMode="External"/><Relationship Id="rId4702" Type="http://schemas.openxmlformats.org/officeDocument/2006/relationships/hyperlink" Target="https://mechanical-engineering.uark.edu/Directory/index/uid/dnutter/name/Darin+W.+Nutter/" TargetMode="External"/><Relationship Id="rId365" Type="http://schemas.openxmlformats.org/officeDocument/2006/relationships/hyperlink" Target="https://www.me.gatech.edu/faculty/mohamed" TargetMode="External"/><Relationship Id="rId572" Type="http://schemas.openxmlformats.org/officeDocument/2006/relationships/hyperlink" Target="https://engineering.purdue.edu/ME/People/ptProfile?resource_id=273141" TargetMode="External"/><Relationship Id="rId2046" Type="http://schemas.openxmlformats.org/officeDocument/2006/relationships/hyperlink" Target="https://ame.nd.edu/faculty/ryan-roeder/" TargetMode="External"/><Relationship Id="rId2253" Type="http://schemas.openxmlformats.org/officeDocument/2006/relationships/hyperlink" Target="https://www.me.iastate.edu/faculty/profile/wickert" TargetMode="External"/><Relationship Id="rId2460" Type="http://schemas.openxmlformats.org/officeDocument/2006/relationships/hyperlink" Target="https://engineering.vanderbilt.edu/bio/josh-caldwell" TargetMode="External"/><Relationship Id="rId3304" Type="http://schemas.openxmlformats.org/officeDocument/2006/relationships/hyperlink" Target="https://researchdirectory.uc.edu/p/elgafya" TargetMode="External"/><Relationship Id="rId3511" Type="http://schemas.openxmlformats.org/officeDocument/2006/relationships/hyperlink" Target="https://www.mtu.edu/mechanical/people/faculty/endres/" TargetMode="External"/><Relationship Id="rId3749" Type="http://schemas.openxmlformats.org/officeDocument/2006/relationships/hyperlink" Target="https://www.uta.edu/academics/faculty/profile?username=chudoba" TargetMode="External"/><Relationship Id="rId3956" Type="http://schemas.openxmlformats.org/officeDocument/2006/relationships/hyperlink" Target="http://www.hajim.rochester.edu/me/people/faculty/singh_sobhit/index.html" TargetMode="External"/><Relationship Id="rId5171" Type="http://schemas.openxmlformats.org/officeDocument/2006/relationships/hyperlink" Target="https://engineering.rowan.edu/faculty_staff/listing/krishan-bhatiabio.html" TargetMode="External"/><Relationship Id="rId225" Type="http://schemas.openxmlformats.org/officeDocument/2006/relationships/hyperlink" Target="https://me.berkeley.edu/people/kosa-goucher-lambert/" TargetMode="External"/><Relationship Id="rId432" Type="http://schemas.openxmlformats.org/officeDocument/2006/relationships/hyperlink" Target="https://mechse.illinois.edu/people/profile/nwangrw" TargetMode="External"/><Relationship Id="rId877" Type="http://schemas.openxmlformats.org/officeDocument/2006/relationships/hyperlink" Target="https://www.mccormick.northwestern.edu/mechanical/research/areas/computational-engineering.html" TargetMode="External"/><Relationship Id="rId1062" Type="http://schemas.openxmlformats.org/officeDocument/2006/relationships/hyperlink" Target="https://engineering.tamu.edu/mechanical/profiles/tarazaga-pablo.html" TargetMode="External"/><Relationship Id="rId2113" Type="http://schemas.openxmlformats.org/officeDocument/2006/relationships/hyperlink" Target="https://isearch.asu.edu/profile/1967429" TargetMode="External"/><Relationship Id="rId2320" Type="http://schemas.openxmlformats.org/officeDocument/2006/relationships/hyperlink" Target="https://engineering.virginia.edu/faculty/harsha-k-chelliah" TargetMode="External"/><Relationship Id="rId2558" Type="http://schemas.openxmlformats.org/officeDocument/2006/relationships/hyperlink" Target="https://mechanical.mines.edu/project/nave-gary/" TargetMode="External"/><Relationship Id="rId2765" Type="http://schemas.openxmlformats.org/officeDocument/2006/relationships/hyperlink" Target="https://engineering.buffalo.edu/mechanical-aerospace/people/faculty/ladder.host.html/content/shared/engineering/mechanical-aerospace/profiles/faghihi-danial.detail.html" TargetMode="External"/><Relationship Id="rId2972" Type="http://schemas.openxmlformats.org/officeDocument/2006/relationships/hyperlink" Target="http://eng.auburn.edu/directory/smm0008" TargetMode="External"/><Relationship Id="rId3609" Type="http://schemas.openxmlformats.org/officeDocument/2006/relationships/hyperlink" Target="https://me.utdallas.edu/faculty-staff/giacomo-valerio-iungo/" TargetMode="External"/><Relationship Id="rId3816" Type="http://schemas.openxmlformats.org/officeDocument/2006/relationships/hyperlink" Target="https://www.engr.uky.edu/directory/doerre-mark" TargetMode="External"/><Relationship Id="rId5269" Type="http://schemas.openxmlformats.org/officeDocument/2006/relationships/hyperlink" Target="https://www.unlv.edu/people/jeremy-cho" TargetMode="External"/><Relationship Id="rId5476" Type="http://schemas.openxmlformats.org/officeDocument/2006/relationships/hyperlink" Target="https://nmt.edu/academics/mecheng/faculty/lkooktae.php" TargetMode="External"/><Relationship Id="rId737" Type="http://schemas.openxmlformats.org/officeDocument/2006/relationships/hyperlink" Target="https://www.meche.engineering.cmu.edu/directory/bios/narra-sneha.html" TargetMode="External"/><Relationship Id="rId944" Type="http://schemas.openxmlformats.org/officeDocument/2006/relationships/hyperlink" Target="https://www.mccormick.northwestern.edu/mechanical/research/areas/energy-sustainability.html" TargetMode="External"/><Relationship Id="rId1367" Type="http://schemas.openxmlformats.org/officeDocument/2006/relationships/hyperlink" Target="https://me.vt.edu/people/faculty/acar-pinar.html" TargetMode="External"/><Relationship Id="rId1574" Type="http://schemas.openxmlformats.org/officeDocument/2006/relationships/hyperlink" Target="https://mae.osu.edu/people/canova.1" TargetMode="External"/><Relationship Id="rId1781" Type="http://schemas.openxmlformats.org/officeDocument/2006/relationships/hyperlink" Target="https://mae.ufl.edu/people/faculty/primary/assistant-professor/profiles/kerry-costello/" TargetMode="External"/><Relationship Id="rId2418" Type="http://schemas.openxmlformats.org/officeDocument/2006/relationships/hyperlink" Target="https://www.egr.msu.edu/people/profile/yguo" TargetMode="External"/><Relationship Id="rId2625" Type="http://schemas.openxmlformats.org/officeDocument/2006/relationships/hyperlink" Target="https://me.udel.edu/faculty/david-l-burris/" TargetMode="External"/><Relationship Id="rId2832" Type="http://schemas.openxmlformats.org/officeDocument/2006/relationships/hyperlink" Target="https://me.engr.uconn.edu/blog/faculty/ruimin-chen/" TargetMode="External"/><Relationship Id="rId4078" Type="http://schemas.openxmlformats.org/officeDocument/2006/relationships/hyperlink" Target="https://daytonabeach.erau.edu/college-engineering/mechanical/faculty" TargetMode="External"/><Relationship Id="rId4285" Type="http://schemas.openxmlformats.org/officeDocument/2006/relationships/hyperlink" Target="https://www1.villanova.edu/university/engineering/academic-programs/departments/mechanical/directory/biodetail.html?mail=rebecca.mcgill@villanova.edu&amp;xsl=bio_long" TargetMode="External"/><Relationship Id="rId4492" Type="http://schemas.openxmlformats.org/officeDocument/2006/relationships/hyperlink" Target="https://me.ucmerced.edu/content/gerardo-diaz" TargetMode="External"/><Relationship Id="rId5031" Type="http://schemas.openxmlformats.org/officeDocument/2006/relationships/hyperlink" Target="https://www.unr.edu/me/people/ryan-tung" TargetMode="External"/><Relationship Id="rId5129" Type="http://schemas.openxmlformats.org/officeDocument/2006/relationships/hyperlink" Target="https://coes.latech.edu/facultystaff-directory/single-entry/name/hisham-hegab/" TargetMode="External"/><Relationship Id="rId5336" Type="http://schemas.openxmlformats.org/officeDocument/2006/relationships/hyperlink" Target="https://www.fau.edu/engineering/directory/faculty/beaujean/" TargetMode="External"/><Relationship Id="rId5543" Type="http://schemas.openxmlformats.org/officeDocument/2006/relationships/hyperlink" Target="https://und.edu/directory/jeremiah.neubert" TargetMode="External"/><Relationship Id="rId73" Type="http://schemas.openxmlformats.org/officeDocument/2006/relationships/hyperlink" Target="https://meche.mit.edu/people/faculty/shaohorn@mit.edu" TargetMode="External"/><Relationship Id="rId804" Type="http://schemas.openxmlformats.org/officeDocument/2006/relationships/hyperlink" Target="https://www.me.utexas.edu/people/faculty-directory/seepersad" TargetMode="External"/><Relationship Id="rId1227" Type="http://schemas.openxmlformats.org/officeDocument/2006/relationships/hyperlink" Target="https://cse.umn.edu/me/andrew-alleyne" TargetMode="External"/><Relationship Id="rId1434" Type="http://schemas.openxmlformats.org/officeDocument/2006/relationships/hyperlink" Target="https://seas.harvard.edu/person/michael-aziz" TargetMode="External"/><Relationship Id="rId1641" Type="http://schemas.openxmlformats.org/officeDocument/2006/relationships/hyperlink" Target="https://profiles.rice.edu/faculty/fathi-h-ghorbel" TargetMode="External"/><Relationship Id="rId1879" Type="http://schemas.openxmlformats.org/officeDocument/2006/relationships/hyperlink" Target="https://www.me.washington.edu/people/faculty/duane_storti" TargetMode="External"/><Relationship Id="rId3094" Type="http://schemas.openxmlformats.org/officeDocument/2006/relationships/hyperlink" Target="https://nps.edu/faculty-profiles/-/cv/ibrahim.e.gunduz" TargetMode="External"/><Relationship Id="rId4145" Type="http://schemas.openxmlformats.org/officeDocument/2006/relationships/hyperlink" Target="https://www.depts.ttu.edu/me/faculty/jerzy_blawzdziewicz/index.php" TargetMode="External"/><Relationship Id="rId4797" Type="http://schemas.openxmlformats.org/officeDocument/2006/relationships/hyperlink" Target="https://klesse.utsa.edu/faculty/profiles/bhaganagar-kiran.html" TargetMode="External"/><Relationship Id="rId1501" Type="http://schemas.openxmlformats.org/officeDocument/2006/relationships/hyperlink" Target="https://jacobsschool.ucsd.edu/faculty/profile?id=512" TargetMode="External"/><Relationship Id="rId1739" Type="http://schemas.openxmlformats.org/officeDocument/2006/relationships/hyperlink" Target="https://www.colorado.edu/mechanical/nicole-w-xu" TargetMode="External"/><Relationship Id="rId1946" Type="http://schemas.openxmlformats.org/officeDocument/2006/relationships/hyperlink" Target="https://engineering.brown.edu/people/nabil-lawandy" TargetMode="External"/><Relationship Id="rId3399" Type="http://schemas.openxmlformats.org/officeDocument/2006/relationships/hyperlink" Target="https://www.wpi.edu/people/faculty/rwhyers" TargetMode="External"/><Relationship Id="rId4005" Type="http://schemas.openxmlformats.org/officeDocument/2006/relationships/hyperlink" Target="https://sc.edu/study/colleges_schools/engineering_and_computing/faculty-staff/lang_yuan.php" TargetMode="External"/><Relationship Id="rId4352" Type="http://schemas.openxmlformats.org/officeDocument/2006/relationships/hyperlink" Target="https://directory.statler.wvu.edu/faculty-staff-directory/gregory-thompson" TargetMode="External"/><Relationship Id="rId4657" Type="http://schemas.openxmlformats.org/officeDocument/2006/relationships/hyperlink" Target="https://mae.nmsu.edu/faculty/dr-krishna-kota.html" TargetMode="External"/><Relationship Id="rId4864" Type="http://schemas.openxmlformats.org/officeDocument/2006/relationships/hyperlink" Target="https://www.fit.edu/faculty-profiles/h/hong-seong-hyeon/" TargetMode="External"/><Relationship Id="rId5403" Type="http://schemas.openxmlformats.org/officeDocument/2006/relationships/hyperlink" Target="https://engineering.catholic.edu/research-and-faculty/faculty-profiles/mechanical/judge-john/index.html" TargetMode="External"/><Relationship Id="rId1806" Type="http://schemas.openxmlformats.org/officeDocument/2006/relationships/hyperlink" Target="https://viterbi.usc.edu/directory/faculty/Domaradzki/Julian" TargetMode="External"/><Relationship Id="rId3161" Type="http://schemas.openxmlformats.org/officeDocument/2006/relationships/hyperlink" Target="https://mabe.utk.edu/faculty/" TargetMode="External"/><Relationship Id="rId3259" Type="http://schemas.openxmlformats.org/officeDocument/2006/relationships/hyperlink" Target="https://www.engr.colostate.edu/me/faculty/dr-bret-windom/" TargetMode="External"/><Relationship Id="rId3466" Type="http://schemas.openxmlformats.org/officeDocument/2006/relationships/hyperlink" Target="https://www.me.byu.edu/directory/benjamin-terry" TargetMode="External"/><Relationship Id="rId4212" Type="http://schemas.openxmlformats.org/officeDocument/2006/relationships/hyperlink" Target="http://engineering.uga.edu/people/profile/hillary-tanner" TargetMode="External"/><Relationship Id="rId4517" Type="http://schemas.openxmlformats.org/officeDocument/2006/relationships/hyperlink" Target="https://udayton.edu/directory/engineering/mechanical_and_aerospace/perkins_david.php" TargetMode="External"/><Relationship Id="rId387" Type="http://schemas.openxmlformats.org/officeDocument/2006/relationships/hyperlink" Target="https://mechse.illinois.edu/people/profile/tfg" TargetMode="External"/><Relationship Id="rId594" Type="http://schemas.openxmlformats.org/officeDocument/2006/relationships/hyperlink" Target="https://engineering.purdue.edu/ME/People/ptProfile?resource_id=11427" TargetMode="External"/><Relationship Id="rId2068" Type="http://schemas.openxmlformats.org/officeDocument/2006/relationships/hyperlink" Target="https://seas.yale.edu/faculty-research/faculty-directory/aaron-m-dollar" TargetMode="External"/><Relationship Id="rId2275" Type="http://schemas.openxmlformats.org/officeDocument/2006/relationships/hyperlink" Target="https://www.mae.ncsu.edu/people/tjhorn" TargetMode="External"/><Relationship Id="rId3021" Type="http://schemas.openxmlformats.org/officeDocument/2006/relationships/hyperlink" Target="https://engineering.lehigh.edu/meche/faculty/796" TargetMode="External"/><Relationship Id="rId3119" Type="http://schemas.openxmlformats.org/officeDocument/2006/relationships/hyperlink" Target="https://me.stonybrook.edu/commcms/me-eng/people/faculty/Ge_Jeffrey.php" TargetMode="External"/><Relationship Id="rId3326" Type="http://schemas.openxmlformats.org/officeDocument/2006/relationships/hyperlink" Target="https://www.me.uh.edu/faculty/agrawal" TargetMode="External"/><Relationship Id="rId3673" Type="http://schemas.openxmlformats.org/officeDocument/2006/relationships/hyperlink" Target="https://ceat.okstate.edu/mae/faculty-staff/faculty-bios/jake-bair.html" TargetMode="External"/><Relationship Id="rId3880" Type="http://schemas.openxmlformats.org/officeDocument/2006/relationships/hyperlink" Target="https://engineering.unl.edu/mme/sangjin-ryu/" TargetMode="External"/><Relationship Id="rId3978" Type="http://schemas.openxmlformats.org/officeDocument/2006/relationships/hyperlink" Target="https://sc.edu/study/colleges_schools/engineering_and_computing/faculty-staff/minghu.php" TargetMode="External"/><Relationship Id="rId4724" Type="http://schemas.openxmlformats.org/officeDocument/2006/relationships/hyperlink" Target="https://eas.uccs.edu/mae/faculty/xin-cindy-yee" TargetMode="External"/><Relationship Id="rId4931" Type="http://schemas.openxmlformats.org/officeDocument/2006/relationships/hyperlink" Target="https://uakron.edu/engineering/me/our-people/profile.dot?u=majay" TargetMode="External"/><Relationship Id="rId247" Type="http://schemas.openxmlformats.org/officeDocument/2006/relationships/hyperlink" Target="https://me.berkeley.edu/people/thomas-schutzius/" TargetMode="External"/><Relationship Id="rId899" Type="http://schemas.openxmlformats.org/officeDocument/2006/relationships/hyperlink" Target="https://www.mccormick.northwestern.edu/mechanical/research/areas/robotics-autonomy.html" TargetMode="External"/><Relationship Id="rId1084" Type="http://schemas.openxmlformats.org/officeDocument/2006/relationships/hyperlink" Target="https://samueli.ucla.edu/people/tim-fisher/" TargetMode="External"/><Relationship Id="rId2482" Type="http://schemas.openxmlformats.org/officeDocument/2006/relationships/hyperlink" Target="https://www.bu.edu/eng/profile/paul-barbone-me/" TargetMode="External"/><Relationship Id="rId2787" Type="http://schemas.openxmlformats.org/officeDocument/2006/relationships/hyperlink" Target="https://engineering.buffalo.edu/mechanical-aerospace/people/faculty/teaching.host.html/content/shared/engineering/mechanical-aerospace/profiles/adams-jw.detail.html" TargetMode="External"/><Relationship Id="rId3533" Type="http://schemas.openxmlformats.org/officeDocument/2006/relationships/hyperlink" Target="https://www.mtu.edu/mechanical/people/faculty/sain/" TargetMode="External"/><Relationship Id="rId3740" Type="http://schemas.openxmlformats.org/officeDocument/2006/relationships/hyperlink" Target="https://www.uta.edu/academics/faculty/profile?username=agonafer" TargetMode="External"/><Relationship Id="rId3838" Type="http://schemas.openxmlformats.org/officeDocument/2006/relationships/hyperlink" Target="https://www.engr.uky.edu/directory/poovathingal-savio" TargetMode="External"/><Relationship Id="rId5193" Type="http://schemas.openxmlformats.org/officeDocument/2006/relationships/hyperlink" Target="https://www.scu.edu/engineering/academic-programs/department-of-mechanical-engineering/faculty-and-staff/taylor.html" TargetMode="External"/><Relationship Id="rId107" Type="http://schemas.openxmlformats.org/officeDocument/2006/relationships/hyperlink" Target="https://meche.mit.edu/people/staff/sgtist@mit.edu" TargetMode="External"/><Relationship Id="rId454" Type="http://schemas.openxmlformats.org/officeDocument/2006/relationships/hyperlink" Target="https://me.engin.umich.edu/people/faculty/erin-cech/" TargetMode="External"/><Relationship Id="rId661" Type="http://schemas.openxmlformats.org/officeDocument/2006/relationships/hyperlink" Target="https://www.engineering.cornell.edu/faculty-directory/alan-taylor-zehnder" TargetMode="External"/><Relationship Id="rId759" Type="http://schemas.openxmlformats.org/officeDocument/2006/relationships/hyperlink" Target="https://www.me.utexas.edu/people/faculty-directory/beaman" TargetMode="External"/><Relationship Id="rId966" Type="http://schemas.openxmlformats.org/officeDocument/2006/relationships/hyperlink" Target="https://me.jhu.edu/faculty/charles-meneveau/" TargetMode="External"/><Relationship Id="rId1291" Type="http://schemas.openxmlformats.org/officeDocument/2006/relationships/hyperlink" Target="https://directory.seas.upenn.edu/pedro-ponte-castaneda/" TargetMode="External"/><Relationship Id="rId1389" Type="http://schemas.openxmlformats.org/officeDocument/2006/relationships/hyperlink" Target="https://me.vt.edu/people/faculty/hin-celine.html" TargetMode="External"/><Relationship Id="rId1596" Type="http://schemas.openxmlformats.org/officeDocument/2006/relationships/hyperlink" Target="https://mae.osu.edu/people/kim.6776" TargetMode="External"/><Relationship Id="rId2135" Type="http://schemas.openxmlformats.org/officeDocument/2006/relationships/hyperlink" Target="https://mae.ucdavis.edu/directory/paul-erickson" TargetMode="External"/><Relationship Id="rId2342" Type="http://schemas.openxmlformats.org/officeDocument/2006/relationships/hyperlink" Target="https://engineering.virginia.edu/faculty/matthew-reidenbach" TargetMode="External"/><Relationship Id="rId2647" Type="http://schemas.openxmlformats.org/officeDocument/2006/relationships/hyperlink" Target="https://me.udel.edu/faculty/erik-thostenson/" TargetMode="External"/><Relationship Id="rId2994" Type="http://schemas.openxmlformats.org/officeDocument/2006/relationships/hyperlink" Target="https://www.mae.seas.gwu.edu/node/776" TargetMode="External"/><Relationship Id="rId3600" Type="http://schemas.openxmlformats.org/officeDocument/2006/relationships/hyperlink" Target="https://ecs.syracuse.edu/faculty-staff/teng-zhang" TargetMode="External"/><Relationship Id="rId5053" Type="http://schemas.openxmlformats.org/officeDocument/2006/relationships/hyperlink" Target="https://www.wichita.edu/profiles/academics/engineering/mechanical_engineering/01_Faculty/Driessen-Brian.php" TargetMode="External"/><Relationship Id="rId5260" Type="http://schemas.openxmlformats.org/officeDocument/2006/relationships/hyperlink" Target="https://engineering.olemiss.edu/people-taiho-yeom/" TargetMode="External"/><Relationship Id="rId5498" Type="http://schemas.openxmlformats.org/officeDocument/2006/relationships/hyperlink" Target="https://www.pdx.edu/profile/raul-bayoan-cal" TargetMode="External"/><Relationship Id="rId314" Type="http://schemas.openxmlformats.org/officeDocument/2006/relationships/hyperlink" Target="https://www.me.gatech.edu/faculty/mcdowell-1" TargetMode="External"/><Relationship Id="rId521" Type="http://schemas.openxmlformats.org/officeDocument/2006/relationships/hyperlink" Target="https://me.engin.umich.edu/people/faculty/alan-taub/" TargetMode="External"/><Relationship Id="rId619" Type="http://schemas.openxmlformats.org/officeDocument/2006/relationships/hyperlink" Target="https://engineering.purdue.edu/ME/People/ptProfile?resource_id=11244" TargetMode="External"/><Relationship Id="rId1151" Type="http://schemas.openxmlformats.org/officeDocument/2006/relationships/hyperlink" Target="https://www.me.psu.edu/department/directory-detail-g.aspx?q=AXR2" TargetMode="External"/><Relationship Id="rId1249" Type="http://schemas.openxmlformats.org/officeDocument/2006/relationships/hyperlink" Target="https://cse.umn.edu/me/nichole-morris" TargetMode="External"/><Relationship Id="rId2202" Type="http://schemas.openxmlformats.org/officeDocument/2006/relationships/hyperlink" Target="https://www.me.iastate.edu/faculty/profile/eagba" TargetMode="External"/><Relationship Id="rId2854" Type="http://schemas.openxmlformats.org/officeDocument/2006/relationships/hyperlink" Target="https://me.engr.uconn.edu/blog/faculty/norato-julian/" TargetMode="External"/><Relationship Id="rId3905" Type="http://schemas.openxmlformats.org/officeDocument/2006/relationships/hyperlink" Target="https://mees.charlotte.edu/directory/lin-ma" TargetMode="External"/><Relationship Id="rId5120" Type="http://schemas.openxmlformats.org/officeDocument/2006/relationships/hyperlink" Target="https://coes.latech.edu/facultystaff-directory/single-entry/name/prabhu-arumugam/" TargetMode="External"/><Relationship Id="rId5358" Type="http://schemas.openxmlformats.org/officeDocument/2006/relationships/hyperlink" Target="https://www.fau.edu/engineering/directory/faculty/verma/" TargetMode="External"/><Relationship Id="rId5565" Type="http://schemas.openxmlformats.org/officeDocument/2006/relationships/comments" Target="../comments1.xml"/><Relationship Id="rId95" Type="http://schemas.openxmlformats.org/officeDocument/2006/relationships/hyperlink" Target="https://meche.mit.edu/people/faculty/YOUCEF@MIT.EDU" TargetMode="External"/><Relationship Id="rId826" Type="http://schemas.openxmlformats.org/officeDocument/2006/relationships/hyperlink" Target="https://www.mccormick.northwestern.edu/mechanical/research/areas/robotics-autonomy.html" TargetMode="External"/><Relationship Id="rId1011" Type="http://schemas.openxmlformats.org/officeDocument/2006/relationships/hyperlink" Target="https://engineering.tamu.edu/mechanical/profiles/hogan-harry.html" TargetMode="External"/><Relationship Id="rId1109" Type="http://schemas.openxmlformats.org/officeDocument/2006/relationships/hyperlink" Target="https://samueli.ucla.edu/people/tsu-chin-tsao/" TargetMode="External"/><Relationship Id="rId1456" Type="http://schemas.openxmlformats.org/officeDocument/2006/relationships/hyperlink" Target="https://jacobsschool.ucsd.edu/faculty/profile?id=64" TargetMode="External"/><Relationship Id="rId1663" Type="http://schemas.openxmlformats.org/officeDocument/2006/relationships/hyperlink" Target="https://www.me.columbia.edu/faculty/karen-kasza" TargetMode="External"/><Relationship Id="rId1870" Type="http://schemas.openxmlformats.org/officeDocument/2006/relationships/hyperlink" Target="https://www.me.washington.edu/people/faculty/brian_polagye" TargetMode="External"/><Relationship Id="rId1968" Type="http://schemas.openxmlformats.org/officeDocument/2006/relationships/hyperlink" Target="https://faculty.rpi.edu/ali-shahsavari" TargetMode="External"/><Relationship Id="rId2507" Type="http://schemas.openxmlformats.org/officeDocument/2006/relationships/hyperlink" Target="https://www.bu.edu/eng/profile/sean-lubner/" TargetMode="External"/><Relationship Id="rId2714" Type="http://schemas.openxmlformats.org/officeDocument/2006/relationships/hyperlink" Target="https://drexel.edu/engineering/about/faculty-staff/K/kim-euisun/" TargetMode="External"/><Relationship Id="rId2921" Type="http://schemas.openxmlformats.org/officeDocument/2006/relationships/hyperlink" Target="https://www.engineering.pitt.edu/people/faculty/william-slaughter/" TargetMode="External"/><Relationship Id="rId4167" Type="http://schemas.openxmlformats.org/officeDocument/2006/relationships/hyperlink" Target="https://www.depts.ttu.edu/me/faculty/jahan_rasty/index.php" TargetMode="External"/><Relationship Id="rId4374" Type="http://schemas.openxmlformats.org/officeDocument/2006/relationships/hyperlink" Target="https://www.ecs.baylor.edu/person/dr-benjamin-s-kelley" TargetMode="External"/><Relationship Id="rId4581" Type="http://schemas.openxmlformats.org/officeDocument/2006/relationships/hyperlink" Target="https://www.ou.edu/coe/ame/people/stalford.html" TargetMode="External"/><Relationship Id="rId5218" Type="http://schemas.openxmlformats.org/officeDocument/2006/relationships/hyperlink" Target="https://expertise.utep.edu/profiles/macedenomor" TargetMode="External"/><Relationship Id="rId5425" Type="http://schemas.openxmlformats.org/officeDocument/2006/relationships/hyperlink" Target="https://engineering.utulsa.edu/mechanical-engineering/" TargetMode="External"/><Relationship Id="rId1316" Type="http://schemas.openxmlformats.org/officeDocument/2006/relationships/hyperlink" Target="https://directory.engr.wisc.edu/me/Faculty/Franck_Jennifer/" TargetMode="External"/><Relationship Id="rId1523" Type="http://schemas.openxmlformats.org/officeDocument/2006/relationships/hyperlink" Target="https://mems.duke.edu/faculty/leila-bridgeman" TargetMode="External"/><Relationship Id="rId1730" Type="http://schemas.openxmlformats.org/officeDocument/2006/relationships/hyperlink" Target="https://www.colorado.edu/mechanical/marina-vance" TargetMode="External"/><Relationship Id="rId3183" Type="http://schemas.openxmlformats.org/officeDocument/2006/relationships/hyperlink" Target="https://mabe.utk.edu/people/sara-hanrahan/" TargetMode="External"/><Relationship Id="rId3390" Type="http://schemas.openxmlformats.org/officeDocument/2006/relationships/hyperlink" Target="https://mme.wsu.edu/faculty/lloyd-smith/" TargetMode="External"/><Relationship Id="rId4027" Type="http://schemas.openxmlformats.org/officeDocument/2006/relationships/hyperlink" Target="https://www.binghamton.edu/mechanical-engineering/people/profile.html?id=kzaychik" TargetMode="External"/><Relationship Id="rId4234" Type="http://schemas.openxmlformats.org/officeDocument/2006/relationships/hyperlink" Target="https://me.ku.edu/people/lorin-p-maletsky" TargetMode="External"/><Relationship Id="rId4441" Type="http://schemas.openxmlformats.org/officeDocument/2006/relationships/hyperlink" Target="https://www.lsu.edu/eng/mie/people/faculty/wahab.php" TargetMode="External"/><Relationship Id="rId4679" Type="http://schemas.openxmlformats.org/officeDocument/2006/relationships/hyperlink" Target="https://www.sdsmt.edu/Directories/Personnel/Musto,-Joseph/" TargetMode="External"/><Relationship Id="rId4886" Type="http://schemas.openxmlformats.org/officeDocument/2006/relationships/hyperlink" Target="https://www.ncat.edu/employee-bio.php?directoryID=519361071" TargetMode="External"/><Relationship Id="rId22" Type="http://schemas.openxmlformats.org/officeDocument/2006/relationships/hyperlink" Target="https://meche.mit.edu/people/faculty/jacopo@mit.edu" TargetMode="External"/><Relationship Id="rId1828" Type="http://schemas.openxmlformats.org/officeDocument/2006/relationships/hyperlink" Target="https://viterbi.usc.edu/directory/faculty/Zhao/Hangbo" TargetMode="External"/><Relationship Id="rId3043" Type="http://schemas.openxmlformats.org/officeDocument/2006/relationships/hyperlink" Target="https://engineering.lehigh.edu/meche/faculty/11355" TargetMode="External"/><Relationship Id="rId3250" Type="http://schemas.openxmlformats.org/officeDocument/2006/relationships/hyperlink" Target="https://www.engr.colostate.edu/me/faculty/dr-bonnie-roberts/" TargetMode="External"/><Relationship Id="rId3488" Type="http://schemas.openxmlformats.org/officeDocument/2006/relationships/hyperlink" Target="https://www.iit.edu/directory/people/boris-pervan" TargetMode="External"/><Relationship Id="rId3695" Type="http://schemas.openxmlformats.org/officeDocument/2006/relationships/hyperlink" Target="https://ceat.okstate.edu/mae/faculty-staff/faculty-bios/omer-san.html" TargetMode="External"/><Relationship Id="rId4539" Type="http://schemas.openxmlformats.org/officeDocument/2006/relationships/hyperlink" Target="https://people.miami.edu/profile/9ea70c744061dbac2391b5f5c3e19582" TargetMode="External"/><Relationship Id="rId4746" Type="http://schemas.openxmlformats.org/officeDocument/2006/relationships/hyperlink" Target="http://me.hawaii.edu/miller/" TargetMode="External"/><Relationship Id="rId4953" Type="http://schemas.openxmlformats.org/officeDocument/2006/relationships/hyperlink" Target="https://www.uab.edu/engineering/mme/people/faculty/roy-koomullil" TargetMode="External"/><Relationship Id="rId171" Type="http://schemas.openxmlformats.org/officeDocument/2006/relationships/hyperlink" Target="https://me.stanford.edu/people/bernard-roth" TargetMode="External"/><Relationship Id="rId2297" Type="http://schemas.openxmlformats.org/officeDocument/2006/relationships/hyperlink" Target="https://www.mae.ncsu.edu/people/avsaveli" TargetMode="External"/><Relationship Id="rId3348" Type="http://schemas.openxmlformats.org/officeDocument/2006/relationships/hyperlink" Target="https://www.me.uh.edu/faculty/ryou" TargetMode="External"/><Relationship Id="rId3555" Type="http://schemas.openxmlformats.org/officeDocument/2006/relationships/hyperlink" Target="https://www.stevens.edu/profile/cjoo" TargetMode="External"/><Relationship Id="rId3762" Type="http://schemas.openxmlformats.org/officeDocument/2006/relationships/hyperlink" Target="https://www.uta.edu/academics/faculty/profile?username=jaina" TargetMode="External"/><Relationship Id="rId4301" Type="http://schemas.openxmlformats.org/officeDocument/2006/relationships/hyperlink" Target="http://egr.vcu.edu/directory/charles.cartin/" TargetMode="External"/><Relationship Id="rId4606" Type="http://schemas.openxmlformats.org/officeDocument/2006/relationships/hyperlink" Target="https://uwm.edu/engineering/people/armstrong-brian/" TargetMode="External"/><Relationship Id="rId4813" Type="http://schemas.openxmlformats.org/officeDocument/2006/relationships/hyperlink" Target="https://klesse.utsa.edu/faculty/profiles/montoya-arturo.html" TargetMode="External"/><Relationship Id="rId269" Type="http://schemas.openxmlformats.org/officeDocument/2006/relationships/hyperlink" Target="https://www.me.gatech.edu/faculty/choi" TargetMode="External"/><Relationship Id="rId476" Type="http://schemas.openxmlformats.org/officeDocument/2006/relationships/hyperlink" Target="https://me.engin.umich.edu/people/faculty/nakhiah-goulbourne/" TargetMode="External"/><Relationship Id="rId683" Type="http://schemas.openxmlformats.org/officeDocument/2006/relationships/hyperlink" Target="https://www.engineering.cornell.edu/faculty-directory/jingjie-yeo" TargetMode="External"/><Relationship Id="rId890" Type="http://schemas.openxmlformats.org/officeDocument/2006/relationships/hyperlink" Target="https://www.mccormick.northwestern.edu/mechanical/research/areas/computational-engineering.html" TargetMode="External"/><Relationship Id="rId2157" Type="http://schemas.openxmlformats.org/officeDocument/2006/relationships/hyperlink" Target="https://mae.ucdavis.edu/directory/masakazu-soshi" TargetMode="External"/><Relationship Id="rId2364" Type="http://schemas.openxmlformats.org/officeDocument/2006/relationships/hyperlink" Target="https://engineering.wustl.edu/faculty/Jeff-Krampf.html" TargetMode="External"/><Relationship Id="rId2571" Type="http://schemas.openxmlformats.org/officeDocument/2006/relationships/hyperlink" Target="https://mechanical.mines.edu/project/tabares-velasco-paulo-cesar/" TargetMode="External"/><Relationship Id="rId3110" Type="http://schemas.openxmlformats.org/officeDocument/2006/relationships/hyperlink" Target="https://nps.edu/faculty-profiles/-/cv/oayakime" TargetMode="External"/><Relationship Id="rId3208" Type="http://schemas.openxmlformats.org/officeDocument/2006/relationships/hyperlink" Target="https://mabe.utk.edu/people/tony-schmitz/" TargetMode="External"/><Relationship Id="rId3415" Type="http://schemas.openxmlformats.org/officeDocument/2006/relationships/hyperlink" Target="https://www.wpi.edu/people/faculty/yliu11" TargetMode="External"/><Relationship Id="rId129" Type="http://schemas.openxmlformats.org/officeDocument/2006/relationships/hyperlink" Target="https://meche.mit.edu/people/staff/podoloff@mit.edu" TargetMode="External"/><Relationship Id="rId336" Type="http://schemas.openxmlformats.org/officeDocument/2006/relationships/hyperlink" Target="https://www.me.gatech.edu/faculty/smet" TargetMode="External"/><Relationship Id="rId543" Type="http://schemas.openxmlformats.org/officeDocument/2006/relationships/hyperlink" Target="https://engineering.purdue.edu/ME/People/ptProfile?resource_id=273456" TargetMode="External"/><Relationship Id="rId988" Type="http://schemas.openxmlformats.org/officeDocument/2006/relationships/hyperlink" Target="https://engineering.tamu.edu/mechanical/profiles/bandyopadhyay-arkasama.html" TargetMode="External"/><Relationship Id="rId1173" Type="http://schemas.openxmlformats.org/officeDocument/2006/relationships/hyperlink" Target="https://enme.umd.edu/clark/faculty/516/David-Bigio" TargetMode="External"/><Relationship Id="rId1380" Type="http://schemas.openxmlformats.org/officeDocument/2006/relationships/hyperlink" Target="https://me.vt.edu/people/faculty/dancey-clinton.html" TargetMode="External"/><Relationship Id="rId2017" Type="http://schemas.openxmlformats.org/officeDocument/2006/relationships/hyperlink" Target="https://ame.nd.edu/faculty/david-go/" TargetMode="External"/><Relationship Id="rId2224" Type="http://schemas.openxmlformats.org/officeDocument/2006/relationships/hyperlink" Target="https://www.me.iastate.edu/faculty/profile/kingston" TargetMode="External"/><Relationship Id="rId2669" Type="http://schemas.openxmlformats.org/officeDocument/2006/relationships/hyperlink" Target="https://www.clemson.edu/cecas/departments/me/people/faculty/martinez-duarte.html" TargetMode="External"/><Relationship Id="rId2876" Type="http://schemas.openxmlformats.org/officeDocument/2006/relationships/hyperlink" Target="https://engineering.uiowa.edu/people/caterina-lamuta" TargetMode="External"/><Relationship Id="rId3622" Type="http://schemas.openxmlformats.org/officeDocument/2006/relationships/hyperlink" Target="https://me.utdallas.edu/faculty-staff/wooram-park/" TargetMode="External"/><Relationship Id="rId3927" Type="http://schemas.openxmlformats.org/officeDocument/2006/relationships/hyperlink" Target="http://www.hajim.rochester.edu/me/people/faculty/askari_hesam/index.html" TargetMode="External"/><Relationship Id="rId5075" Type="http://schemas.openxmlformats.org/officeDocument/2006/relationships/hyperlink" Target="https://mme.fiu.edu/faculty-staff-members/arvind-agarwal" TargetMode="External"/><Relationship Id="rId5282" Type="http://schemas.openxmlformats.org/officeDocument/2006/relationships/hyperlink" Target="https://www.unlv.edu/people/zhiyong-wang" TargetMode="External"/><Relationship Id="rId403" Type="http://schemas.openxmlformats.org/officeDocument/2006/relationships/hyperlink" Target="https://mechse.illinois.edu/people/profile/pkurath1" TargetMode="External"/><Relationship Id="rId750" Type="http://schemas.openxmlformats.org/officeDocument/2006/relationships/hyperlink" Target="https://www.meche.engineering.cmu.edu/directory/bios/webster-wood-victoria.html" TargetMode="External"/><Relationship Id="rId848" Type="http://schemas.openxmlformats.org/officeDocument/2006/relationships/hyperlink" Target="https://www.mccormick.northwestern.edu/research-faculty/directory/profiles/dunn-jennifer.html" TargetMode="External"/><Relationship Id="rId1033" Type="http://schemas.openxmlformats.org/officeDocument/2006/relationships/hyperlink" Target="https://engineering.tamu.edu/mechanical/profiles/mcadams-daniel.html" TargetMode="External"/><Relationship Id="rId1478" Type="http://schemas.openxmlformats.org/officeDocument/2006/relationships/hyperlink" Target="https://jacobsschool.ucsd.edu/faculty/profile?id=493" TargetMode="External"/><Relationship Id="rId1685" Type="http://schemas.openxmlformats.org/officeDocument/2006/relationships/hyperlink" Target="https://www.colorado.edu/mechanical/victor-m-bright" TargetMode="External"/><Relationship Id="rId1892" Type="http://schemas.openxmlformats.org/officeDocument/2006/relationships/hyperlink" Target="https://engineering.brown.edu/people/lucas-caretta" TargetMode="External"/><Relationship Id="rId2431" Type="http://schemas.openxmlformats.org/officeDocument/2006/relationships/hyperlink" Target="https://www.egr.msu.edu/people/profile/muell107" TargetMode="External"/><Relationship Id="rId2529" Type="http://schemas.openxmlformats.org/officeDocument/2006/relationships/hyperlink" Target="https://mechanical.mines.edu/faculty-and-staff/" TargetMode="External"/><Relationship Id="rId2736" Type="http://schemas.openxmlformats.org/officeDocument/2006/relationships/hyperlink" Target="https://engineering.tufts.edu/me/node/3056" TargetMode="External"/><Relationship Id="rId4091" Type="http://schemas.openxmlformats.org/officeDocument/2006/relationships/hyperlink" Target="https://www.mne.k-state.edu/about/people/faculty/lare/" TargetMode="External"/><Relationship Id="rId4189" Type="http://schemas.openxmlformats.org/officeDocument/2006/relationships/hyperlink" Target="http://engineering.uga.edu/people/profile/christina-fuller" TargetMode="External"/><Relationship Id="rId5142" Type="http://schemas.openxmlformats.org/officeDocument/2006/relationships/hyperlink" Target="https://www.marquette.edu/mechanical-engineering/directory/adam-dempsey.php" TargetMode="External"/><Relationship Id="rId610" Type="http://schemas.openxmlformats.org/officeDocument/2006/relationships/hyperlink" Target="https://engineering.purdue.edu/ME/People/ptProfile?resource_id=113510" TargetMode="External"/><Relationship Id="rId708" Type="http://schemas.openxmlformats.org/officeDocument/2006/relationships/hyperlink" Target="https://mae.princeton.edu/people/faculty/mikhailova" TargetMode="External"/><Relationship Id="rId915" Type="http://schemas.openxmlformats.org/officeDocument/2006/relationships/hyperlink" Target="https://www.mccormick.northwestern.edu/research-faculty/directory/profiles/patankar-neelesh.html" TargetMode="External"/><Relationship Id="rId1240" Type="http://schemas.openxmlformats.org/officeDocument/2006/relationships/hyperlink" Target="https://cse.umn.edu/me/david-kittelson" TargetMode="External"/><Relationship Id="rId1338" Type="http://schemas.openxmlformats.org/officeDocument/2006/relationships/hyperlink" Target="https://directory.engr.wisc.edu/me/Faculty/Reindl_Douglas/" TargetMode="External"/><Relationship Id="rId1545" Type="http://schemas.openxmlformats.org/officeDocument/2006/relationships/hyperlink" Target="https://mems.duke.edu/faculty/lawrence-virgin" TargetMode="External"/><Relationship Id="rId2943" Type="http://schemas.openxmlformats.org/officeDocument/2006/relationships/hyperlink" Target="https://www.engineering.pitt.edu/people/faculty/m.-ravi-shankar/" TargetMode="External"/><Relationship Id="rId4049" Type="http://schemas.openxmlformats.org/officeDocument/2006/relationships/hyperlink" Target="https://www.clarkson.edu/node/10796" TargetMode="External"/><Relationship Id="rId4396" Type="http://schemas.openxmlformats.org/officeDocument/2006/relationships/hyperlink" Target="https://eng.famu.fsu.edu/me/people/hellstrom" TargetMode="External"/><Relationship Id="rId5002" Type="http://schemas.openxmlformats.org/officeDocument/2006/relationships/hyperlink" Target="https://umaine.edu/mecheng/friess/" TargetMode="External"/><Relationship Id="rId5447" Type="http://schemas.openxmlformats.org/officeDocument/2006/relationships/hyperlink" Target="https://wmich.edu/mechanical-aerospace/directory/kujawski" TargetMode="External"/><Relationship Id="rId1100" Type="http://schemas.openxmlformats.org/officeDocument/2006/relationships/hyperlink" Target="https://samueli.ucla.edu/people/neil-lin/" TargetMode="External"/><Relationship Id="rId1405" Type="http://schemas.openxmlformats.org/officeDocument/2006/relationships/hyperlink" Target="https://me.vt.edu/people/faculty/mueller-rolf.html" TargetMode="External"/><Relationship Id="rId1752" Type="http://schemas.openxmlformats.org/officeDocument/2006/relationships/hyperlink" Target="https://mae.ufl.edu/people/faculty/primary/professor/profiles/yong-huang/" TargetMode="External"/><Relationship Id="rId2803" Type="http://schemas.openxmlformats.org/officeDocument/2006/relationships/hyperlink" Target="https://ame.engineering.arizona.edu/faculty-staff/faculty/eniko-t-enikov" TargetMode="External"/><Relationship Id="rId4256" Type="http://schemas.openxmlformats.org/officeDocument/2006/relationships/hyperlink" Target="https://engineering.missouri.edu/faculty/mushuang-liu/" TargetMode="External"/><Relationship Id="rId4463" Type="http://schemas.openxmlformats.org/officeDocument/2006/relationships/hyperlink" Target="https://www.me.msstate.edu/people/faculty/matthew-w-priddy/" TargetMode="External"/><Relationship Id="rId4670" Type="http://schemas.openxmlformats.org/officeDocument/2006/relationships/hyperlink" Target="https://www.sdsmt.edu/Directories/Personnel/Birrenkott,-Cassandra/" TargetMode="External"/><Relationship Id="rId5307" Type="http://schemas.openxmlformats.org/officeDocument/2006/relationships/hyperlink" Target="https://mechanical.engineering.unt.edu/faculty/herman-shen" TargetMode="External"/><Relationship Id="rId5514" Type="http://schemas.openxmlformats.org/officeDocument/2006/relationships/hyperlink" Target="https://www.slu.edu/science-and-engineering/academics/aerospace-and-mechanical-engineering/faculty/lebeau-ray.php" TargetMode="External"/><Relationship Id="rId44" Type="http://schemas.openxmlformats.org/officeDocument/2006/relationships/hyperlink" Target="https://meche.mit.edu/people/faculty/PEKO@MIT.EDU" TargetMode="External"/><Relationship Id="rId1612" Type="http://schemas.openxmlformats.org/officeDocument/2006/relationships/hyperlink" Target="https://mae.osu.edu/people/siston.1" TargetMode="External"/><Relationship Id="rId1917" Type="http://schemas.openxmlformats.org/officeDocument/2006/relationships/hyperlink" Target="https://engineering.brown.edu/people/david-paine" TargetMode="External"/><Relationship Id="rId3065" Type="http://schemas.openxmlformats.org/officeDocument/2006/relationships/hyperlink" Target="https://works.bepress.com/nishant-kumar/about/" TargetMode="External"/><Relationship Id="rId3272" Type="http://schemas.openxmlformats.org/officeDocument/2006/relationships/hyperlink" Target="https://engineering.nyu.edu/faculty/sanghoon-lee" TargetMode="External"/><Relationship Id="rId4116" Type="http://schemas.openxmlformats.org/officeDocument/2006/relationships/hyperlink" Target="https://mechanical.sdsu.edu/people/kee-moon.aspx" TargetMode="External"/><Relationship Id="rId4323" Type="http://schemas.openxmlformats.org/officeDocument/2006/relationships/hyperlink" Target="http://egr.vcu.edu/directory/hong.zhao/" TargetMode="External"/><Relationship Id="rId4530" Type="http://schemas.openxmlformats.org/officeDocument/2006/relationships/hyperlink" Target="https://mae.coe.miami.edu/people/faculty/index.html" TargetMode="External"/><Relationship Id="rId4768" Type="http://schemas.openxmlformats.org/officeDocument/2006/relationships/hyperlink" Target="https://umdearborn.edu/people-um-dearborn/eric-ratts" TargetMode="External"/><Relationship Id="rId4975" Type="http://schemas.openxmlformats.org/officeDocument/2006/relationships/hyperlink" Target="https://ritchieschool.du.edu/about/people/paul-j-rullkoetter" TargetMode="External"/><Relationship Id="rId193" Type="http://schemas.openxmlformats.org/officeDocument/2006/relationships/hyperlink" Target="https://mce.caltech.edu/people/jandrade" TargetMode="External"/><Relationship Id="rId498" Type="http://schemas.openxmlformats.org/officeDocument/2006/relationships/hyperlink" Target="https://me.engin.umich.edu/people/faculty/edgar-meyhofer/" TargetMode="External"/><Relationship Id="rId2081" Type="http://schemas.openxmlformats.org/officeDocument/2006/relationships/hyperlink" Target="https://seas.yale.edu/faculty-research/faculty-directory/mitchell-d-smooke" TargetMode="External"/><Relationship Id="rId2179" Type="http://schemas.openxmlformats.org/officeDocument/2006/relationships/hyperlink" Target="https://engineering.uci.edu/users/jacqueline-huynh" TargetMode="External"/><Relationship Id="rId3132" Type="http://schemas.openxmlformats.org/officeDocument/2006/relationships/hyperlink" Target="https://mie.uic.edu/faculty-and-staff/faculty/?profile_categories%5B0%5D=4" TargetMode="External"/><Relationship Id="rId3577" Type="http://schemas.openxmlformats.org/officeDocument/2006/relationships/hyperlink" Target="https://ecs.syracuse.edu/faculty-staff/jackie-anderson" TargetMode="External"/><Relationship Id="rId3784" Type="http://schemas.openxmlformats.org/officeDocument/2006/relationships/hyperlink" Target="https://www.uta.edu/academics/faculty/profile?username=woods" TargetMode="External"/><Relationship Id="rId3991" Type="http://schemas.openxmlformats.org/officeDocument/2006/relationships/hyperlink" Target="https://sc.edu/study/colleges_schools/engineering_and_computing/faculty-staff/paul_titan.php" TargetMode="External"/><Relationship Id="rId4628" Type="http://schemas.openxmlformats.org/officeDocument/2006/relationships/hyperlink" Target="https://www.ccny.cuny.edu/profiles/jorge-gonzalez" TargetMode="External"/><Relationship Id="rId4835" Type="http://schemas.openxmlformats.org/officeDocument/2006/relationships/hyperlink" Target="https://engineering.usu.edu/mae/people/faculty/smith-barton.php" TargetMode="External"/><Relationship Id="rId260" Type="http://schemas.openxmlformats.org/officeDocument/2006/relationships/hyperlink" Target="https://me.berkeley.edu/people/ala-moradian/" TargetMode="External"/><Relationship Id="rId2386" Type="http://schemas.openxmlformats.org/officeDocument/2006/relationships/hyperlink" Target="https://engineering.case.edu/about/school-directory/kathryn-daltorio" TargetMode="External"/><Relationship Id="rId2593" Type="http://schemas.openxmlformats.org/officeDocument/2006/relationships/hyperlink" Target="https://mae.rutgers.edu/german-drazer" TargetMode="External"/><Relationship Id="rId3437" Type="http://schemas.openxmlformats.org/officeDocument/2006/relationships/hyperlink" Target="https://www.me.byu.edu/directory/matt-allen" TargetMode="External"/><Relationship Id="rId3644" Type="http://schemas.openxmlformats.org/officeDocument/2006/relationships/hyperlink" Target="https://profiles.ucr.edu/app/home/profile/greaney" TargetMode="External"/><Relationship Id="rId3851" Type="http://schemas.openxmlformats.org/officeDocument/2006/relationships/hyperlink" Target="https://www.engr.uky.edu/directory/wenk-jonathan" TargetMode="External"/><Relationship Id="rId4902" Type="http://schemas.openxmlformats.org/officeDocument/2006/relationships/hyperlink" Target="https://www.odu.edu/directory/colin-britcher" TargetMode="External"/><Relationship Id="rId5097" Type="http://schemas.openxmlformats.org/officeDocument/2006/relationships/hyperlink" Target="https://mme.fiu.edu/faculty-staff-members/wei-yu-bao" TargetMode="External"/><Relationship Id="rId120" Type="http://schemas.openxmlformats.org/officeDocument/2006/relationships/hyperlink" Target="https://meche.mit.edu/people/staff/samihns@mit.edu" TargetMode="External"/><Relationship Id="rId358" Type="http://schemas.openxmlformats.org/officeDocument/2006/relationships/hyperlink" Target="https://www.me.gatech.edu/faculty/zhang-2" TargetMode="External"/><Relationship Id="rId565" Type="http://schemas.openxmlformats.org/officeDocument/2006/relationships/hyperlink" Target="https://engineering.purdue.edu/ME/People/ptProfile?resource_id=57291" TargetMode="External"/><Relationship Id="rId772" Type="http://schemas.openxmlformats.org/officeDocument/2006/relationships/hyperlink" Target="https://www.me.utexas.edu/people/faculty-directory/djurdjanovic" TargetMode="External"/><Relationship Id="rId1195" Type="http://schemas.openxmlformats.org/officeDocument/2006/relationships/hyperlink" Target="https://enme.umd.edu/clark/faculty/556/Jungho-Kim" TargetMode="External"/><Relationship Id="rId2039" Type="http://schemas.openxmlformats.org/officeDocument/2006/relationships/hyperlink" Target="https://ame.nd.edu/faculty/glen-niebur/" TargetMode="External"/><Relationship Id="rId2246" Type="http://schemas.openxmlformats.org/officeDocument/2006/relationships/hyperlink" Target="https://www.me.iastate.edu/faculty/profile/esecor" TargetMode="External"/><Relationship Id="rId2453" Type="http://schemas.openxmlformats.org/officeDocument/2006/relationships/hyperlink" Target="https://www.egr.msu.edu/people/profile/zayern" TargetMode="External"/><Relationship Id="rId2660" Type="http://schemas.openxmlformats.org/officeDocument/2006/relationships/hyperlink" Target="https://www.clemson.edu/cecas/departments/me/people/faculty/choi.html" TargetMode="External"/><Relationship Id="rId2898" Type="http://schemas.openxmlformats.org/officeDocument/2006/relationships/hyperlink" Target="https://www.engineering.pitt.edu/people/faculty/mostafa-bedewy/" TargetMode="External"/><Relationship Id="rId3504" Type="http://schemas.openxmlformats.org/officeDocument/2006/relationships/hyperlink" Target="https://www.mtu.edu/mechanical/people/faculty/bar-ziv/" TargetMode="External"/><Relationship Id="rId3711" Type="http://schemas.openxmlformats.org/officeDocument/2006/relationships/hyperlink" Target="https://eng.ua.edu/eng-directory/dr-daniel-j-fonseca/" TargetMode="External"/><Relationship Id="rId3949" Type="http://schemas.openxmlformats.org/officeDocument/2006/relationships/hyperlink" Target="http://www.hajim.rochester.edu/me/people/faculty/pickel_andrea/index.html" TargetMode="External"/><Relationship Id="rId5164" Type="http://schemas.openxmlformats.org/officeDocument/2006/relationships/hyperlink" Target="https://www.ohio.edu/engineering/about/people/williar4" TargetMode="External"/><Relationship Id="rId218" Type="http://schemas.openxmlformats.org/officeDocument/2006/relationships/hyperlink" Target="https://me.berkeley.edu/faculty/" TargetMode="External"/><Relationship Id="rId425" Type="http://schemas.openxmlformats.org/officeDocument/2006/relationships/hyperlink" Target="https://mechse.illinois.edu/people/profile/ketang" TargetMode="External"/><Relationship Id="rId632" Type="http://schemas.openxmlformats.org/officeDocument/2006/relationships/hyperlink" Target="https://engineering.purdue.edu/ME/People/ptProfile?resource_id=29424" TargetMode="External"/><Relationship Id="rId1055" Type="http://schemas.openxmlformats.org/officeDocument/2006/relationships/hyperlink" Target="https://engineering.tamu.edu/mechanical/profiles/san-andres-luis.html" TargetMode="External"/><Relationship Id="rId1262" Type="http://schemas.openxmlformats.org/officeDocument/2006/relationships/hyperlink" Target="https://cse.umn.edu/me/james-van-de-ven" TargetMode="External"/><Relationship Id="rId2106" Type="http://schemas.openxmlformats.org/officeDocument/2006/relationships/hyperlink" Target="https://isearch.asu.edu/profile/2726381" TargetMode="External"/><Relationship Id="rId2313" Type="http://schemas.openxmlformats.org/officeDocument/2006/relationships/hyperlink" Target="https://coe.northeastern.edu/faculty-staff-directory/?pt&amp;dept=10&amp;type&amp;research" TargetMode="External"/><Relationship Id="rId2520" Type="http://schemas.openxmlformats.org/officeDocument/2006/relationships/hyperlink" Target="https://www.bu.edu/eng/profile/andre-sharon-ph-d/" TargetMode="External"/><Relationship Id="rId2758" Type="http://schemas.openxmlformats.org/officeDocument/2006/relationships/hyperlink" Target="https://engineering.buffalo.edu/mechanical-aerospace/people/faculty/ladder.host.html/content/shared/engineering/mechanical-aerospace/profiles/chen-james.detail.html" TargetMode="External"/><Relationship Id="rId2965" Type="http://schemas.openxmlformats.org/officeDocument/2006/relationships/hyperlink" Target="http://eng.auburn.edu/directory/mah0142" TargetMode="External"/><Relationship Id="rId3809" Type="http://schemas.openxmlformats.org/officeDocument/2006/relationships/hyperlink" Target="https://www.engr.uky.edu/research-faculty/departments/mechanical-and-aerospace-engineering/people" TargetMode="External"/><Relationship Id="rId5024" Type="http://schemas.openxmlformats.org/officeDocument/2006/relationships/hyperlink" Target="https://www.unr.edu/me/people/james-hanna" TargetMode="External"/><Relationship Id="rId5371" Type="http://schemas.openxmlformats.org/officeDocument/2006/relationships/hyperlink" Target="https://nau.edu/mechanical-engineering/zhongwang-dou/" TargetMode="External"/><Relationship Id="rId5469" Type="http://schemas.openxmlformats.org/officeDocument/2006/relationships/hyperlink" Target="https://www.nmt.edu/academics/mecheng/index.php" TargetMode="External"/><Relationship Id="rId937" Type="http://schemas.openxmlformats.org/officeDocument/2006/relationships/hyperlink" Target="https://www.mccormick.northwestern.edu/research-faculty/directory/profiles/vlahovska-petia.html" TargetMode="External"/><Relationship Id="rId1122" Type="http://schemas.openxmlformats.org/officeDocument/2006/relationships/hyperlink" Target="https://www.me.psu.edu/department/directory-detail-g.aspx?q=DHC13" TargetMode="External"/><Relationship Id="rId1567" Type="http://schemas.openxmlformats.org/officeDocument/2006/relationships/hyperlink" Target="https://mae.osu.edu/people/adamovich.1" TargetMode="External"/><Relationship Id="rId1774" Type="http://schemas.openxmlformats.org/officeDocument/2006/relationships/hyperlink" Target="https://mae.ufl.edu/people/faculty/primary/associate-professor/profiles/norman-fitz-coy/" TargetMode="External"/><Relationship Id="rId1981" Type="http://schemas.openxmlformats.org/officeDocument/2006/relationships/hyperlink" Target="https://me.ucsb.edu/people/emilie-dressaire" TargetMode="External"/><Relationship Id="rId2618" Type="http://schemas.openxmlformats.org/officeDocument/2006/relationships/hyperlink" Target="https://me.udel.edu/faculty/suresh-advani/" TargetMode="External"/><Relationship Id="rId2825" Type="http://schemas.openxmlformats.org/officeDocument/2006/relationships/hyperlink" Target="https://ame.engineering.arizona.edu/faculty-staff/faculty/olesya-zhupanska" TargetMode="External"/><Relationship Id="rId4180" Type="http://schemas.openxmlformats.org/officeDocument/2006/relationships/hyperlink" Target="http://engineering.uga.edu/people/profile/brian-bledsoe" TargetMode="External"/><Relationship Id="rId4278" Type="http://schemas.openxmlformats.org/officeDocument/2006/relationships/hyperlink" Target="https://www1.villanova.edu/university/engineering/academic-programs/departments/mechanical/directory/biodetail.html?mail=gang.feng@villanova.edu&amp;xsl=bio_long" TargetMode="External"/><Relationship Id="rId4485" Type="http://schemas.openxmlformats.org/officeDocument/2006/relationships/hyperlink" Target="https://me.ucmerced.edu/content/venkattraman-venkatt-ayyaswamy" TargetMode="External"/><Relationship Id="rId5231" Type="http://schemas.openxmlformats.org/officeDocument/2006/relationships/hyperlink" Target="https://expertise.utep.edu/profiles/jquintana" TargetMode="External"/><Relationship Id="rId5329" Type="http://schemas.openxmlformats.org/officeDocument/2006/relationships/hyperlink" Target="https://people.wright.edu/scott.thomas" TargetMode="External"/><Relationship Id="rId5536" Type="http://schemas.openxmlformats.org/officeDocument/2006/relationships/hyperlink" Target="https://und.edu/directory/forrest.ames" TargetMode="External"/><Relationship Id="rId66" Type="http://schemas.openxmlformats.org/officeDocument/2006/relationships/hyperlink" Target="https://meche.mit.edu/people/faculty/etr@mit.edu" TargetMode="External"/><Relationship Id="rId1427" Type="http://schemas.openxmlformats.org/officeDocument/2006/relationships/hyperlink" Target="https://me.vt.edu/people/faculty/wicks-alfred.html" TargetMode="External"/><Relationship Id="rId1634" Type="http://schemas.openxmlformats.org/officeDocument/2006/relationships/hyperlink" Target="https://profiles.rice.edu/faculty/john-e-akin" TargetMode="External"/><Relationship Id="rId1841" Type="http://schemas.openxmlformats.org/officeDocument/2006/relationships/hyperlink" Target="https://www.me.washington.edu/facultyfinder/juan-carlos-del-alamo" TargetMode="External"/><Relationship Id="rId3087" Type="http://schemas.openxmlformats.org/officeDocument/2006/relationships/hyperlink" Target="https://nps.edu/faculty-profiles/-/cv/esalley" TargetMode="External"/><Relationship Id="rId3294" Type="http://schemas.openxmlformats.org/officeDocument/2006/relationships/hyperlink" Target="http://mae.ucf.edu/person/shawn-putnam/" TargetMode="External"/><Relationship Id="rId4040" Type="http://schemas.openxmlformats.org/officeDocument/2006/relationships/hyperlink" Target="https://www.clarkson.edu/node/10496" TargetMode="External"/><Relationship Id="rId4138" Type="http://schemas.openxmlformats.org/officeDocument/2006/relationships/hyperlink" Target="https://premium.usnews.com/best-graduate-schools/top-engineering-schools/texas-tech-university-02175" TargetMode="External"/><Relationship Id="rId4345" Type="http://schemas.openxmlformats.org/officeDocument/2006/relationships/hyperlink" Target="https://directory.statler.wvu.edu/faculty-staff-directory/songgang-qiu" TargetMode="External"/><Relationship Id="rId4692" Type="http://schemas.openxmlformats.org/officeDocument/2006/relationships/hyperlink" Target="https://mechanical-engineering.uark.edu/Directory/index/uid/jhhamil/name/John+H.+Hamilton/" TargetMode="External"/><Relationship Id="rId4997" Type="http://schemas.openxmlformats.org/officeDocument/2006/relationships/hyperlink" Target="https://engineering.louisville.edu/faculty/hui-wang/" TargetMode="External"/><Relationship Id="rId1939" Type="http://schemas.openxmlformats.org/officeDocument/2006/relationships/hyperlink" Target="https://engineering.brown.edu/people/alexander-zaslavsky" TargetMode="External"/><Relationship Id="rId3599" Type="http://schemas.openxmlformats.org/officeDocument/2006/relationships/hyperlink" Target="https://ecs.syracuse.edu/faculty-staff/jianshun-jensen-zhang" TargetMode="External"/><Relationship Id="rId4552" Type="http://schemas.openxmlformats.org/officeDocument/2006/relationships/hyperlink" Target="https://me.unm.edu/about/directory/faculty/francesco-sorrentino.html" TargetMode="External"/><Relationship Id="rId4857" Type="http://schemas.openxmlformats.org/officeDocument/2006/relationships/hyperlink" Target="https://engineering.wayne.edu/profile/aa3199" TargetMode="External"/><Relationship Id="rId1701" Type="http://schemas.openxmlformats.org/officeDocument/2006/relationships/hyperlink" Target="https://www.colorado.edu/mechanical/daniel-knight" TargetMode="External"/><Relationship Id="rId3154" Type="http://schemas.openxmlformats.org/officeDocument/2006/relationships/hyperlink" Target="https://mie.uic.edu/profiles/reza-shahbazian-yassar/" TargetMode="External"/><Relationship Id="rId3361" Type="http://schemas.openxmlformats.org/officeDocument/2006/relationships/hyperlink" Target="https://mme.wsu.edu/faculty/scott-beckman/" TargetMode="External"/><Relationship Id="rId3459" Type="http://schemas.openxmlformats.org/officeDocument/2006/relationships/hyperlink" Target="https://www.me.byu.edu/directory/chris-mattson" TargetMode="External"/><Relationship Id="rId3666" Type="http://schemas.openxmlformats.org/officeDocument/2006/relationships/hyperlink" Target="https://profiles.ucr.edu/app/home/profile/dmytroz" TargetMode="External"/><Relationship Id="rId4205" Type="http://schemas.openxmlformats.org/officeDocument/2006/relationships/hyperlink" Target="http://engineering.uga.edu/people/profile/ramana-m.-pidaparti-ph.d" TargetMode="External"/><Relationship Id="rId4412" Type="http://schemas.openxmlformats.org/officeDocument/2006/relationships/hyperlink" Target="https://eng.famu.fsu.edu/me/people/ordonez-j" TargetMode="External"/><Relationship Id="rId282" Type="http://schemas.openxmlformats.org/officeDocument/2006/relationships/hyperlink" Target="https://www.me.gatech.edu/faculty/genzale" TargetMode="External"/><Relationship Id="rId587" Type="http://schemas.openxmlformats.org/officeDocument/2006/relationships/hyperlink" Target="https://engineering.purdue.edu/ME/People/ptProfile?resource_id=117602" TargetMode="External"/><Relationship Id="rId2170" Type="http://schemas.openxmlformats.org/officeDocument/2006/relationships/hyperlink" Target="https://engineering.uci.edu/users/roger-rangel" TargetMode="External"/><Relationship Id="rId2268" Type="http://schemas.openxmlformats.org/officeDocument/2006/relationships/hyperlink" Target="https://www.mae.ncsu.edu/people/smfergu2" TargetMode="External"/><Relationship Id="rId3014" Type="http://schemas.openxmlformats.org/officeDocument/2006/relationships/hyperlink" Target="https://www.mae.seas.gwu.edu/node/766" TargetMode="External"/><Relationship Id="rId3221" Type="http://schemas.openxmlformats.org/officeDocument/2006/relationships/hyperlink" Target="https://www.engr.colostate.edu/me/faculty/dr-mohammad-abutayeh/" TargetMode="External"/><Relationship Id="rId3319" Type="http://schemas.openxmlformats.org/officeDocument/2006/relationships/hyperlink" Target="https://researchdirectory.uc.edu/p/sundarmi" TargetMode="External"/><Relationship Id="rId3873" Type="http://schemas.openxmlformats.org/officeDocument/2006/relationships/hyperlink" Target="https://engineering.unl.edu/mme/faculty/keegan-moore/" TargetMode="External"/><Relationship Id="rId4717" Type="http://schemas.openxmlformats.org/officeDocument/2006/relationships/hyperlink" Target="https://eas.uccs.edu/mae/faculty/Leal_Lauderbaugh" TargetMode="External"/><Relationship Id="rId4924" Type="http://schemas.openxmlformats.org/officeDocument/2006/relationships/hyperlink" Target="https://uakron.edu/engineering/me/our-people/profile.dot?u=sfarhad" TargetMode="External"/><Relationship Id="rId8" Type="http://schemas.openxmlformats.org/officeDocument/2006/relationships/hyperlink" Target="https://meche.mit.edu/people/faculty/TRAKYLAS@MIT.EDU" TargetMode="External"/><Relationship Id="rId142" Type="http://schemas.openxmlformats.org/officeDocument/2006/relationships/hyperlink" Target="https://me.stanford.edu/people/mark-cappelli" TargetMode="External"/><Relationship Id="rId447" Type="http://schemas.openxmlformats.org/officeDocument/2006/relationships/hyperlink" Target="https://me.engin.umich.edu/people/faculty/james-barber/" TargetMode="External"/><Relationship Id="rId794" Type="http://schemas.openxmlformats.org/officeDocument/2006/relationships/hyperlink" Target="https://www.me.utexas.edu/people/faculty-directory/longoria" TargetMode="External"/><Relationship Id="rId1077" Type="http://schemas.openxmlformats.org/officeDocument/2006/relationships/hyperlink" Target="https://samueli.ucla.edu/people/yong-chen/" TargetMode="External"/><Relationship Id="rId2030" Type="http://schemas.openxmlformats.org/officeDocument/2006/relationships/hyperlink" Target="https://ame.nd.edu/faculty/sergey-leonov/" TargetMode="External"/><Relationship Id="rId2128" Type="http://schemas.openxmlformats.org/officeDocument/2006/relationships/hyperlink" Target="https://mae.ucdavis.edu/directory/ralph-aldredge" TargetMode="External"/><Relationship Id="rId2475" Type="http://schemas.openxmlformats.org/officeDocument/2006/relationships/hyperlink" Target="https://www.bu.edu/eng/profile/michael-albro-ph-d/" TargetMode="External"/><Relationship Id="rId2682" Type="http://schemas.openxmlformats.org/officeDocument/2006/relationships/hyperlink" Target="https://www.clemson.edu/cecas/departments/me/people/faculty/tallapragada.html" TargetMode="External"/><Relationship Id="rId2987" Type="http://schemas.openxmlformats.org/officeDocument/2006/relationships/hyperlink" Target="https://engineering.dartmouth.edu/community/faculty?filter=byProgramArea" TargetMode="External"/><Relationship Id="rId3526" Type="http://schemas.openxmlformats.org/officeDocument/2006/relationships/hyperlink" Target="https://www.mtu.edu/mechanical/people/faculty/narain/" TargetMode="External"/><Relationship Id="rId3733" Type="http://schemas.openxmlformats.org/officeDocument/2006/relationships/hyperlink" Target="https://eng.ua.edu/eng-directory/dr-keith-a-williams/" TargetMode="External"/><Relationship Id="rId3940" Type="http://schemas.openxmlformats.org/officeDocument/2006/relationships/hyperlink" Target="http://www.hajim.rochester.edu/me/people/faculty/goncharov_valeri/index.html" TargetMode="External"/><Relationship Id="rId5186" Type="http://schemas.openxmlformats.org/officeDocument/2006/relationships/hyperlink" Target="https://www.scu.edu/engineering/academic-programs/department-of-mechanical-engineering/faculty-and-staff/lee.html" TargetMode="External"/><Relationship Id="rId5393" Type="http://schemas.openxmlformats.org/officeDocument/2006/relationships/hyperlink" Target="https://www.sdstate.edu/directory/gregory-michna" TargetMode="External"/><Relationship Id="rId654" Type="http://schemas.openxmlformats.org/officeDocument/2006/relationships/hyperlink" Target="https://www.engineering.cornell.edu/faculty-directory/james-lloyd" TargetMode="External"/><Relationship Id="rId861" Type="http://schemas.openxmlformats.org/officeDocument/2006/relationships/hyperlink" Target="https://www.mccormick.northwestern.edu/mechanical/research/areas/micro-nanoengineering.html" TargetMode="External"/><Relationship Id="rId959" Type="http://schemas.openxmlformats.org/officeDocument/2006/relationships/hyperlink" Target="https://me.jhu.edu/faculty/sung-hoon-kang/" TargetMode="External"/><Relationship Id="rId1284" Type="http://schemas.openxmlformats.org/officeDocument/2006/relationships/hyperlink" Target="https://directory.seas.upenn.edu/bruce-kothmann/" TargetMode="External"/><Relationship Id="rId1491" Type="http://schemas.openxmlformats.org/officeDocument/2006/relationships/hyperlink" Target="https://jacobsschool.ucsd.edu/faculty/profile?id=239" TargetMode="External"/><Relationship Id="rId1589" Type="http://schemas.openxmlformats.org/officeDocument/2006/relationships/hyperlink" Target="https://mae.osu.edu/people/hoelzle.1" TargetMode="External"/><Relationship Id="rId2335" Type="http://schemas.openxmlformats.org/officeDocument/2006/relationships/hyperlink" Target="https://engineering.virginia.edu/faculty/xiaodong-chris-li" TargetMode="External"/><Relationship Id="rId2542" Type="http://schemas.openxmlformats.org/officeDocument/2006/relationships/hyperlink" Target="https://mechanical.mines.edu/project/eliasson-veronica/" TargetMode="External"/><Relationship Id="rId3800" Type="http://schemas.openxmlformats.org/officeDocument/2006/relationships/hyperlink" Target="https://www.uah.edu/eng/departments/mae/faculty-staff/george-j-nelson" TargetMode="External"/><Relationship Id="rId5046" Type="http://schemas.openxmlformats.org/officeDocument/2006/relationships/hyperlink" Target="https://www.uwyo.edu/mechanical/faculty-staff/faculty/xiang-zhang/index.html" TargetMode="External"/><Relationship Id="rId5253" Type="http://schemas.openxmlformats.org/officeDocument/2006/relationships/hyperlink" Target="https://engineering.olemiss.edu/people-raj-rajendran/" TargetMode="External"/><Relationship Id="rId5460" Type="http://schemas.openxmlformats.org/officeDocument/2006/relationships/hyperlink" Target="https://www.lamar.edu/engineering/mechanical/faculty-staff/xuejun-fan/index.html" TargetMode="External"/><Relationship Id="rId307" Type="http://schemas.openxmlformats.org/officeDocument/2006/relationships/hyperlink" Target="https://www.me.gatech.edu/faculty/liang" TargetMode="External"/><Relationship Id="rId514" Type="http://schemas.openxmlformats.org/officeDocument/2006/relationships/hyperlink" Target="https://me.engin.umich.edu/people/faculty/volker-sick/" TargetMode="External"/><Relationship Id="rId721" Type="http://schemas.openxmlformats.org/officeDocument/2006/relationships/hyperlink" Target="https://www.meche.engineering.cmu.edu/directory/bios/cagan-jonathan.html" TargetMode="External"/><Relationship Id="rId1144" Type="http://schemas.openxmlformats.org/officeDocument/2006/relationships/hyperlink" Target="https://www.me.psu.edu/department/directory-detail-g.aspx?q=JXO22" TargetMode="External"/><Relationship Id="rId1351" Type="http://schemas.openxmlformats.org/officeDocument/2006/relationships/hyperlink" Target="https://directory.engr.wisc.edu/me/Faculty/Wagner_Michael/" TargetMode="External"/><Relationship Id="rId1449" Type="http://schemas.openxmlformats.org/officeDocument/2006/relationships/hyperlink" Target="https://seas.harvard.edu/person/robert-wood" TargetMode="External"/><Relationship Id="rId1796" Type="http://schemas.openxmlformats.org/officeDocument/2006/relationships/hyperlink" Target="https://mae.ufl.edu/people/faculty/primary/instructional-professors/profiles/ting-dong/" TargetMode="External"/><Relationship Id="rId2402" Type="http://schemas.openxmlformats.org/officeDocument/2006/relationships/hyperlink" Target="https://engineering.case.edu/about/school-directory/jun-kojima" TargetMode="External"/><Relationship Id="rId2847" Type="http://schemas.openxmlformats.org/officeDocument/2006/relationships/hyperlink" Target="https://me.engr.uconn.edu/blog/faculty/kim-kyungjin/" TargetMode="External"/><Relationship Id="rId4062" Type="http://schemas.openxmlformats.org/officeDocument/2006/relationships/hyperlink" Target="https://daytonabeach.erau.edu/college-engineering/mechanical/faculty" TargetMode="External"/><Relationship Id="rId5113" Type="http://schemas.openxmlformats.org/officeDocument/2006/relationships/hyperlink" Target="mailto:sunju@fiu.edu" TargetMode="External"/><Relationship Id="rId5558" Type="http://schemas.openxmlformats.org/officeDocument/2006/relationships/hyperlink" Target="https://www.udmercy.edu/about/people/university/ces/mechanical/kleinke-darrell" TargetMode="External"/><Relationship Id="rId88" Type="http://schemas.openxmlformats.org/officeDocument/2006/relationships/hyperlink" Target="https://meche.mit.edu/people/faculty/enwang@mit.edu" TargetMode="External"/><Relationship Id="rId819" Type="http://schemas.openxmlformats.org/officeDocument/2006/relationships/hyperlink" Target="https://www.me.utexas.edu/people/faculty-directory/l-zhou" TargetMode="External"/><Relationship Id="rId1004" Type="http://schemas.openxmlformats.org/officeDocument/2006/relationships/hyperlink" Target="https://engineering.tamu.edu/mechanical/profiles/gopalswamy-s.html" TargetMode="External"/><Relationship Id="rId1211" Type="http://schemas.openxmlformats.org/officeDocument/2006/relationships/hyperlink" Target="https://enme.umd.edu/clark/faculty/632/Stanislav-I-Stoliarov" TargetMode="External"/><Relationship Id="rId1656" Type="http://schemas.openxmlformats.org/officeDocument/2006/relationships/hyperlink" Target="https://www.me.columbia.edu/directory" TargetMode="External"/><Relationship Id="rId1863" Type="http://schemas.openxmlformats.org/officeDocument/2006/relationships/hyperlink" Target="https://www.me.washington.edu/people/faculty/ramulu_mamidala" TargetMode="External"/><Relationship Id="rId2707" Type="http://schemas.openxmlformats.org/officeDocument/2006/relationships/hyperlink" Target="https://drexel.edu/engineering/about/faculty-staff/F/fafalis-dimitrios/" TargetMode="External"/><Relationship Id="rId2914" Type="http://schemas.openxmlformats.org/officeDocument/2006/relationships/hyperlink" Target="https://www.engineering.pitt.edu/people/faculty/juan-jose-mendoza-arenas/" TargetMode="External"/><Relationship Id="rId4367" Type="http://schemas.openxmlformats.org/officeDocument/2006/relationships/hyperlink" Target="https://www.ecs.baylor.edu/departments/mechanical-engineering/faculty" TargetMode="External"/><Relationship Id="rId4574" Type="http://schemas.openxmlformats.org/officeDocument/2006/relationships/hyperlink" Target="https://www.ou.edu/coe/ame/people/mistree.html" TargetMode="External"/><Relationship Id="rId4781" Type="http://schemas.openxmlformats.org/officeDocument/2006/relationships/hyperlink" Target="https://ceps.unh.edu/person/mrityunjay-kothari-0" TargetMode="External"/><Relationship Id="rId5320" Type="http://schemas.openxmlformats.org/officeDocument/2006/relationships/hyperlink" Target="https://people.wright.edu/craig.baudendistel" TargetMode="External"/><Relationship Id="rId5418" Type="http://schemas.openxmlformats.org/officeDocument/2006/relationships/hyperlink" Target="https://www.memphis.edu/me/faculty/foti.php" TargetMode="External"/><Relationship Id="rId1309" Type="http://schemas.openxmlformats.org/officeDocument/2006/relationships/hyperlink" Target="https://directory.engr.wisc.edu/me/Faculty/Andrews_Joseph/" TargetMode="External"/><Relationship Id="rId1516" Type="http://schemas.openxmlformats.org/officeDocument/2006/relationships/hyperlink" Target="https://mems.duke.edu/faculty/stefan-zauscher" TargetMode="External"/><Relationship Id="rId1723" Type="http://schemas.openxmlformats.org/officeDocument/2006/relationships/hyperlink" Target="https://www.colorado.edu/mechanical/greg-rieker" TargetMode="External"/><Relationship Id="rId1930" Type="http://schemas.openxmlformats.org/officeDocument/2006/relationships/hyperlink" Target="https://engineering.brown.edu/people/vikas-srivastava" TargetMode="External"/><Relationship Id="rId3176" Type="http://schemas.openxmlformats.org/officeDocument/2006/relationships/hyperlink" Target="https://mabe.utk.edu/people/hans-desmidt/" TargetMode="External"/><Relationship Id="rId3383" Type="http://schemas.openxmlformats.org/officeDocument/2006/relationships/hyperlink" Target="https://mme.wsu.edu/faculty/sinisa-mesarovic/" TargetMode="External"/><Relationship Id="rId3590" Type="http://schemas.openxmlformats.org/officeDocument/2006/relationships/hyperlink" Target="https://ecs.syracuse.edu/faculty-staff/anupam-pandey" TargetMode="External"/><Relationship Id="rId4227" Type="http://schemas.openxmlformats.org/officeDocument/2006/relationships/hyperlink" Target="https://me.ku.edu/people/christopher-depcik" TargetMode="External"/><Relationship Id="rId4434" Type="http://schemas.openxmlformats.org/officeDocument/2006/relationships/hyperlink" Target="https://www.lsu.edu/eng/mie/people/faculty/nikitopoulos.php" TargetMode="External"/><Relationship Id="rId4879" Type="http://schemas.openxmlformats.org/officeDocument/2006/relationships/hyperlink" Target="https://www.fit.edu/faculty-profiles/s/suksawang-nakin/" TargetMode="External"/><Relationship Id="rId15" Type="http://schemas.openxmlformats.org/officeDocument/2006/relationships/hyperlink" Target="https://meche.mit.edu/people/faculty/kait@mit.edu" TargetMode="External"/><Relationship Id="rId2192" Type="http://schemas.openxmlformats.org/officeDocument/2006/relationships/hyperlink" Target="https://engineering.uci.edu/users/xian-shi" TargetMode="External"/><Relationship Id="rId3036" Type="http://schemas.openxmlformats.org/officeDocument/2006/relationships/hyperlink" Target="https://engineering.lehigh.edu/meche/faculty/963" TargetMode="External"/><Relationship Id="rId3243" Type="http://schemas.openxmlformats.org/officeDocument/2006/relationships/hyperlink" Target="https://www.engr.colostate.edu/me/faculty/dr-reza-nazemi/" TargetMode="External"/><Relationship Id="rId3688" Type="http://schemas.openxmlformats.org/officeDocument/2006/relationships/hyperlink" Target="https://ceat.okstate.edu/mae/faculty-staff/faculty-bios/james-manimala.html" TargetMode="External"/><Relationship Id="rId3895" Type="http://schemas.openxmlformats.org/officeDocument/2006/relationships/hyperlink" Target="https://mees.charlotte.edu/directory/terence-j-fagan" TargetMode="External"/><Relationship Id="rId4641" Type="http://schemas.openxmlformats.org/officeDocument/2006/relationships/hyperlink" Target="https://profiles.howard.edu/achille-messac" TargetMode="External"/><Relationship Id="rId4739" Type="http://schemas.openxmlformats.org/officeDocument/2006/relationships/hyperlink" Target="http://me.hawaii.edu/hihara/" TargetMode="External"/><Relationship Id="rId4946" Type="http://schemas.openxmlformats.org/officeDocument/2006/relationships/hyperlink" Target="https://uakron.edu/engineering/me/our-people/profile.dot?u=jzhe" TargetMode="External"/><Relationship Id="rId164" Type="http://schemas.openxmlformats.org/officeDocument/2006/relationships/hyperlink" Target="https://me.stanford.edu/people/ali-mani" TargetMode="External"/><Relationship Id="rId371" Type="http://schemas.openxmlformats.org/officeDocument/2006/relationships/hyperlink" Target="https://mechse.illinois.edu/people/profile/bullard" TargetMode="External"/><Relationship Id="rId2052" Type="http://schemas.openxmlformats.org/officeDocument/2006/relationships/hyperlink" Target="https://ame.nd.edu/faculty/michael-stanisic/" TargetMode="External"/><Relationship Id="rId2497" Type="http://schemas.openxmlformats.org/officeDocument/2006/relationships/hyperlink" Target="https://www.bu.edu/eng/profile/kamil-ekinci-ph-d/" TargetMode="External"/><Relationship Id="rId3450" Type="http://schemas.openxmlformats.org/officeDocument/2006/relationships/hyperlink" Target="https://www.me.byu.edu/directory/eric-homer" TargetMode="External"/><Relationship Id="rId3548" Type="http://schemas.openxmlformats.org/officeDocument/2006/relationships/hyperlink" Target="https://www.stevens.edu/profile/benglot" TargetMode="External"/><Relationship Id="rId3755" Type="http://schemas.openxmlformats.org/officeDocument/2006/relationships/hyperlink" Target="https://www.uta.edu/academics/faculty/profile?username=gopalv" TargetMode="External"/><Relationship Id="rId4501" Type="http://schemas.openxmlformats.org/officeDocument/2006/relationships/hyperlink" Target="https://me.ucmerced.edu/content/ricardo-pinto-de-castro" TargetMode="External"/><Relationship Id="rId4806" Type="http://schemas.openxmlformats.org/officeDocument/2006/relationships/hyperlink" Target="https://klesse.utsa.edu/faculty/profiles/govindaraju-madhavrao.html" TargetMode="External"/><Relationship Id="rId469" Type="http://schemas.openxmlformats.org/officeDocument/2006/relationships/hyperlink" Target="https://me.engin.umich.edu/people/faculty/theodor-freiheit/" TargetMode="External"/><Relationship Id="rId676" Type="http://schemas.openxmlformats.org/officeDocument/2006/relationships/hyperlink" Target="https://www.engineering.cornell.edu/faculty-directory/maha-haji" TargetMode="External"/><Relationship Id="rId883" Type="http://schemas.openxmlformats.org/officeDocument/2006/relationships/hyperlink" Target="https://www.mccormick.northwestern.edu/mechanical/research/areas/micro-nanoengineering.html" TargetMode="External"/><Relationship Id="rId1099" Type="http://schemas.openxmlformats.org/officeDocument/2006/relationships/hyperlink" Target="https://samueli.ucla.edu/people/xiaochun-li/" TargetMode="External"/><Relationship Id="rId2357" Type="http://schemas.openxmlformats.org/officeDocument/2006/relationships/hyperlink" Target="https://engineering.wustl.edu/faculty/Matthew-Bersi.html" TargetMode="External"/><Relationship Id="rId2564" Type="http://schemas.openxmlformats.org/officeDocument/2006/relationships/hyperlink" Target="https://mechanical.mines.edu/project/porter-jason/" TargetMode="External"/><Relationship Id="rId3103" Type="http://schemas.openxmlformats.org/officeDocument/2006/relationships/hyperlink" Target="https://nps.edu/faculty-profiles/-/cv/spkragel" TargetMode="External"/><Relationship Id="rId3310" Type="http://schemas.openxmlformats.org/officeDocument/2006/relationships/hyperlink" Target="https://researchdirectory.uc.edu/p/kimj" TargetMode="External"/><Relationship Id="rId3408" Type="http://schemas.openxmlformats.org/officeDocument/2006/relationships/hyperlink" Target="https://www.wpi.edu/people/faculty/cfurlong" TargetMode="External"/><Relationship Id="rId3615" Type="http://schemas.openxmlformats.org/officeDocument/2006/relationships/hyperlink" Target="https://me.utdallas.edu/faculty-staff/wei-li/" TargetMode="External"/><Relationship Id="rId3962" Type="http://schemas.openxmlformats.org/officeDocument/2006/relationships/hyperlink" Target="https://sc.edu/study/colleges_schools/engineering_and_computing/faculty-staff/bayoumi_abdel.php" TargetMode="External"/><Relationship Id="rId5068" Type="http://schemas.openxmlformats.org/officeDocument/2006/relationships/hyperlink" Target="http://expertise.csuohio.edu/csufacultyprofile/detail.cfm?FacultyID=s_farahani" TargetMode="External"/><Relationship Id="rId231" Type="http://schemas.openxmlformats.org/officeDocument/2006/relationships/hyperlink" Target="https://me.berkeley.edu/people/tony-m-keaveny/" TargetMode="External"/><Relationship Id="rId329" Type="http://schemas.openxmlformats.org/officeDocument/2006/relationships/hyperlink" Target="https://www.me.gatech.edu/faculty/sawicki" TargetMode="External"/><Relationship Id="rId536" Type="http://schemas.openxmlformats.org/officeDocument/2006/relationships/hyperlink" Target="https://me.engin.umich.edu/people/faculty/euisik-yoon/" TargetMode="External"/><Relationship Id="rId1166" Type="http://schemas.openxmlformats.org/officeDocument/2006/relationships/hyperlink" Target="https://www.me.psu.edu/department/directory-detail-g.aspx?q=RAY8" TargetMode="External"/><Relationship Id="rId1373" Type="http://schemas.openxmlformats.org/officeDocument/2006/relationships/hyperlink" Target="https://me.vt.edu/people/faculty/bartlett-michael.html" TargetMode="External"/><Relationship Id="rId2217" Type="http://schemas.openxmlformats.org/officeDocument/2006/relationships/hyperlink" Target="https://www.me.iastate.edu/faculty/profile/fforty" TargetMode="External"/><Relationship Id="rId2771" Type="http://schemas.openxmlformats.org/officeDocument/2006/relationships/hyperlink" Target="https://engineering.buffalo.edu/mechanical-aerospace/people/faculty/ladder.host.html/content/shared/engineering/mechanical-aerospace/profiles/li-jiaoyan.detail.html" TargetMode="External"/><Relationship Id="rId2869" Type="http://schemas.openxmlformats.org/officeDocument/2006/relationships/hyperlink" Target="https://engineering.uiowa.edu/people/james-buchholz" TargetMode="External"/><Relationship Id="rId3822" Type="http://schemas.openxmlformats.org/officeDocument/2006/relationships/hyperlink" Target="https://www.engr.uky.edu/directory/henninger-tom" TargetMode="External"/><Relationship Id="rId5275" Type="http://schemas.openxmlformats.org/officeDocument/2006/relationships/hyperlink" Target="https://www.unlv.edu/people/brendan-otoole" TargetMode="External"/><Relationship Id="rId5482" Type="http://schemas.openxmlformats.org/officeDocument/2006/relationships/hyperlink" Target="https://www.oakland.edu/secs/directory/" TargetMode="External"/><Relationship Id="rId743" Type="http://schemas.openxmlformats.org/officeDocument/2006/relationships/hyperlink" Target="https://www.meche.engineering.cmu.edu/directory/bios/singh-satbir.html" TargetMode="External"/><Relationship Id="rId950" Type="http://schemas.openxmlformats.org/officeDocument/2006/relationships/hyperlink" Target="https://me.jhu.edu/faculty/james-bellingham/" TargetMode="External"/><Relationship Id="rId1026" Type="http://schemas.openxmlformats.org/officeDocument/2006/relationships/hyperlink" Target="https://engineering.tamu.edu/mechanical/profiles/layton-astrid.html" TargetMode="External"/><Relationship Id="rId1580" Type="http://schemas.openxmlformats.org/officeDocument/2006/relationships/hyperlink" Target="https://mae.osu.edu/people/dapino.1" TargetMode="External"/><Relationship Id="rId1678" Type="http://schemas.openxmlformats.org/officeDocument/2006/relationships/hyperlink" Target="https://www.colorado.edu/mechanical/people/faculty" TargetMode="External"/><Relationship Id="rId1885" Type="http://schemas.openxmlformats.org/officeDocument/2006/relationships/hyperlink" Target="https://engineering.brown.edu/people/nora-ayanian" TargetMode="External"/><Relationship Id="rId2424" Type="http://schemas.openxmlformats.org/officeDocument/2006/relationships/hyperlink" Target="https://www.egr.msu.edu/people/profile/koochesf" TargetMode="External"/><Relationship Id="rId2631" Type="http://schemas.openxmlformats.org/officeDocument/2006/relationships/hyperlink" Target="https://me.udel.edu/faculty/kun-kelvin-fu/" TargetMode="External"/><Relationship Id="rId2729" Type="http://schemas.openxmlformats.org/officeDocument/2006/relationships/hyperlink" Target="https://drexel.edu/engineering/about/faculty-staff/Z/zheng-yue/" TargetMode="External"/><Relationship Id="rId2936" Type="http://schemas.openxmlformats.org/officeDocument/2006/relationships/hyperlink" Target="https://www.engineering.pitt.edu/people/faculty/mark-miller/" TargetMode="External"/><Relationship Id="rId4084" Type="http://schemas.openxmlformats.org/officeDocument/2006/relationships/hyperlink" Target="https://www.mne.k-state.edu/about/people/faculty/brockhoff/" TargetMode="External"/><Relationship Id="rId4291" Type="http://schemas.openxmlformats.org/officeDocument/2006/relationships/hyperlink" Target="https://www1.villanova.edu/university/engineering/academic-programs/departments/mechanical/directory/biodetail.html?mail=t.radhakrishnan@villanova.edu&amp;xsl=bio_long" TargetMode="External"/><Relationship Id="rId4389" Type="http://schemas.openxmlformats.org/officeDocument/2006/relationships/hyperlink" Target="https://eng.famu.fsu.edu/directory/twan-capehart" TargetMode="External"/><Relationship Id="rId5135" Type="http://schemas.openxmlformats.org/officeDocument/2006/relationships/hyperlink" Target="https://coes.latech.edu/facultystaff-directory/single-entry/name/michael-swanbom/" TargetMode="External"/><Relationship Id="rId5342" Type="http://schemas.openxmlformats.org/officeDocument/2006/relationships/hyperlink" Target="https://www.fau.edu/engineering/directory/faculty/elishakoff/" TargetMode="External"/><Relationship Id="rId603" Type="http://schemas.openxmlformats.org/officeDocument/2006/relationships/hyperlink" Target="https://engineering.purdue.edu/ME/People/ptProfile?resource_id=184725" TargetMode="External"/><Relationship Id="rId810" Type="http://schemas.openxmlformats.org/officeDocument/2006/relationships/hyperlink" Target="https://www.me.utexas.edu/people/faculty-directory/taleff" TargetMode="External"/><Relationship Id="rId908" Type="http://schemas.openxmlformats.org/officeDocument/2006/relationships/hyperlink" Target="https://www.mccormick.northwestern.edu/mechanical/research/areas/computational-engineering.html" TargetMode="External"/><Relationship Id="rId1233" Type="http://schemas.openxmlformats.org/officeDocument/2006/relationships/hyperlink" Target="https://cse.umn.edu/me/traian-dumitrica" TargetMode="External"/><Relationship Id="rId1440" Type="http://schemas.openxmlformats.org/officeDocument/2006/relationships/hyperlink" Target="https://seas.harvard.edu/person/robert-howe" TargetMode="External"/><Relationship Id="rId1538" Type="http://schemas.openxmlformats.org/officeDocument/2006/relationships/hyperlink" Target="https://mems.duke.edu/faculty/piotr-marszalek" TargetMode="External"/><Relationship Id="rId4151" Type="http://schemas.openxmlformats.org/officeDocument/2006/relationships/hyperlink" Target="https://www.depts.ttu.edu/me/faculty/atila_ertas/index.php" TargetMode="External"/><Relationship Id="rId4596" Type="http://schemas.openxmlformats.org/officeDocument/2006/relationships/hyperlink" Target="https://www.uvm.edu/node/223696" TargetMode="External"/><Relationship Id="rId5202" Type="http://schemas.openxmlformats.org/officeDocument/2006/relationships/hyperlink" Target="https://engineering.siu.edu/me/faculty-staff/faculty/filip.php" TargetMode="External"/><Relationship Id="rId1300" Type="http://schemas.openxmlformats.org/officeDocument/2006/relationships/hyperlink" Target="https://directory.seas.upenn.edu/cynthia-sung/" TargetMode="External"/><Relationship Id="rId1745" Type="http://schemas.openxmlformats.org/officeDocument/2006/relationships/hyperlink" Target="https://mae.ufl.edu/people/faculty/primary/professor/profiles/oana-cazacu/" TargetMode="External"/><Relationship Id="rId1952" Type="http://schemas.openxmlformats.org/officeDocument/2006/relationships/hyperlink" Target="https://engineering.brown.edu/people/indrek-kulaots" TargetMode="External"/><Relationship Id="rId3198" Type="http://schemas.openxmlformats.org/officeDocument/2006/relationships/hyperlink" Target="https://mabe.utk.edu/people/matthew-mench/" TargetMode="External"/><Relationship Id="rId4011" Type="http://schemas.openxmlformats.org/officeDocument/2006/relationships/hyperlink" Target="https://www.binghamton.edu/mechanical-engineering/people/profile.html?id=phuang" TargetMode="External"/><Relationship Id="rId4249" Type="http://schemas.openxmlformats.org/officeDocument/2006/relationships/hyperlink" Target="https://engineering.missouri.edu/faculty/frank-feng/" TargetMode="External"/><Relationship Id="rId4456" Type="http://schemas.openxmlformats.org/officeDocument/2006/relationships/hyperlink" Target="https://www.me.msstate.edu/people/faculty/omar-essahli/" TargetMode="External"/><Relationship Id="rId4663" Type="http://schemas.openxmlformats.org/officeDocument/2006/relationships/hyperlink" Target="https://mae.nmsu.edu/faculty/dr-mahdi.html" TargetMode="External"/><Relationship Id="rId4870" Type="http://schemas.openxmlformats.org/officeDocument/2006/relationships/hyperlink" Target="https://www.fit.edu/faculty-profiles/n/nguyen-troy/" TargetMode="External"/><Relationship Id="rId5507" Type="http://schemas.openxmlformats.org/officeDocument/2006/relationships/hyperlink" Target="https://www.pdx.edu/profile/david-turcic" TargetMode="External"/><Relationship Id="rId37" Type="http://schemas.openxmlformats.org/officeDocument/2006/relationships/hyperlink" Target="https://meche.mit.edu/people/faculty/GUTOWSKI@MIT.EDU" TargetMode="External"/><Relationship Id="rId1605" Type="http://schemas.openxmlformats.org/officeDocument/2006/relationships/hyperlink" Target="https://mae.osu.edu/people/niezgoda.6" TargetMode="External"/><Relationship Id="rId1812" Type="http://schemas.openxmlformats.org/officeDocument/2006/relationships/hyperlink" Target="https://viterbi.usc.edu/directory/faculty/Luhar/Mitul" TargetMode="External"/><Relationship Id="rId3058" Type="http://schemas.openxmlformats.org/officeDocument/2006/relationships/hyperlink" Target="https://works.bepress.com/daoru-han/about/" TargetMode="External"/><Relationship Id="rId3265" Type="http://schemas.openxmlformats.org/officeDocument/2006/relationships/hyperlink" Target="https://engineering.nyu.edu/academics/departments/mechanical-and-aerospace-engineering/people" TargetMode="External"/><Relationship Id="rId3472" Type="http://schemas.openxmlformats.org/officeDocument/2006/relationships/hyperlink" Target="https://www.iit.edu/directory/people/hamid-arastoopour" TargetMode="External"/><Relationship Id="rId4109" Type="http://schemas.openxmlformats.org/officeDocument/2006/relationships/hyperlink" Target="https://mechanical.sdsu.edu/people/joaquin-camacho.aspx" TargetMode="External"/><Relationship Id="rId4316" Type="http://schemas.openxmlformats.org/officeDocument/2006/relationships/hyperlink" Target="http://egr.vcu.edu/directory/jessika.rojas/" TargetMode="External"/><Relationship Id="rId4523" Type="http://schemas.openxmlformats.org/officeDocument/2006/relationships/hyperlink" Target="https://udayton.edu/directory/engineering/mechanical_and_aerospace/rumpfkeil_markus.php" TargetMode="External"/><Relationship Id="rId4730" Type="http://schemas.openxmlformats.org/officeDocument/2006/relationships/hyperlink" Target="http://me.hawaii.edu/allen/" TargetMode="External"/><Relationship Id="rId4968" Type="http://schemas.openxmlformats.org/officeDocument/2006/relationships/hyperlink" Target="https://ritchieschool.du.edu/about/people/ali-azadani" TargetMode="External"/><Relationship Id="rId186" Type="http://schemas.openxmlformats.org/officeDocument/2006/relationships/hyperlink" Target="https://me.stanford.edu/people/christian-simamora" TargetMode="External"/><Relationship Id="rId393" Type="http://schemas.openxmlformats.org/officeDocument/2006/relationships/hyperlink" Target="https://mechse.illinois.edu/people/profile/ethw" TargetMode="External"/><Relationship Id="rId2074" Type="http://schemas.openxmlformats.org/officeDocument/2006/relationships/hyperlink" Target="https://seas.yale.edu/faculty-research/faculty-directory/corey-s-ohern" TargetMode="External"/><Relationship Id="rId2281" Type="http://schemas.openxmlformats.org/officeDocument/2006/relationships/hyperlink" Target="https://www.mae.ncsu.edu/people/avkuznet" TargetMode="External"/><Relationship Id="rId3125" Type="http://schemas.openxmlformats.org/officeDocument/2006/relationships/hyperlink" Target="https://me.stonybrook.edu/commcms/me-eng/people/faculty/Longtin_Jon.php" TargetMode="External"/><Relationship Id="rId3332" Type="http://schemas.openxmlformats.org/officeDocument/2006/relationships/hyperlink" Target="https://www.me.uh.edu/faculty/chen-tian" TargetMode="External"/><Relationship Id="rId3777" Type="http://schemas.openxmlformats.org/officeDocument/2006/relationships/hyperlink" Target="https://www.uta.edu/academics/faculty/profile?username=shiakola" TargetMode="External"/><Relationship Id="rId3984" Type="http://schemas.openxmlformats.org/officeDocument/2006/relationships/hyperlink" Target="https://sc.edu/study/colleges_schools/engineering_and_computing/faculty-staff/junsoo_lee.php" TargetMode="External"/><Relationship Id="rId4828" Type="http://schemas.openxmlformats.org/officeDocument/2006/relationships/hyperlink" Target="https://engineering.usu.edu/mae/people/faculty/dutta-som.php" TargetMode="External"/><Relationship Id="rId253" Type="http://schemas.openxmlformats.org/officeDocument/2006/relationships/hyperlink" Target="https://me.berkeley.edu/people/hayden-taylor/" TargetMode="External"/><Relationship Id="rId460" Type="http://schemas.openxmlformats.org/officeDocument/2006/relationships/hyperlink" Target="https://me.engin.umich.edu/people/faculty/pingsha-dong/" TargetMode="External"/><Relationship Id="rId698" Type="http://schemas.openxmlformats.org/officeDocument/2006/relationships/hyperlink" Target="https://mae.princeton.edu/people/faculty/hultmark" TargetMode="External"/><Relationship Id="rId1090" Type="http://schemas.openxmlformats.org/officeDocument/2006/relationships/hyperlink" Target="https://samueli.ucla.edu/people/yongjie-hu/" TargetMode="External"/><Relationship Id="rId2141" Type="http://schemas.openxmlformats.org/officeDocument/2006/relationships/hyperlink" Target="https://mae.ucdavis.edu/directory/david-horsley" TargetMode="External"/><Relationship Id="rId2379" Type="http://schemas.openxmlformats.org/officeDocument/2006/relationships/hyperlink" Target="https://engineering.case.edu/about/school-directory/robert-gao" TargetMode="External"/><Relationship Id="rId2586" Type="http://schemas.openxmlformats.org/officeDocument/2006/relationships/hyperlink" Target="https://mae.rutgers.edu/william-j-bottega" TargetMode="External"/><Relationship Id="rId2793" Type="http://schemas.openxmlformats.org/officeDocument/2006/relationships/hyperlink" Target="https://engineering.buffalo.edu/mechanical-aerospace/people/faculty/teaching.host.html/content/shared/engineering/mechanical-aerospace/profiles/hassan-ali-alaa-eldeen-a.detail.html" TargetMode="External"/><Relationship Id="rId3637" Type="http://schemas.openxmlformats.org/officeDocument/2006/relationships/hyperlink" Target="https://me.utdallas.edu/faculty-staff/armin-zare/" TargetMode="External"/><Relationship Id="rId3844" Type="http://schemas.openxmlformats.org/officeDocument/2006/relationships/hyperlink" Target="https://www.engr.uky.edu/directory/smith-suzanne" TargetMode="External"/><Relationship Id="rId5297" Type="http://schemas.openxmlformats.org/officeDocument/2006/relationships/hyperlink" Target="https://mechanical.engineering.unt.edu/faculty/maurizio-manzo" TargetMode="External"/><Relationship Id="rId113" Type="http://schemas.openxmlformats.org/officeDocument/2006/relationships/hyperlink" Target="https://meche.mit.edu/people/staff/fantone@mit.edu" TargetMode="External"/><Relationship Id="rId320" Type="http://schemas.openxmlformats.org/officeDocument/2006/relationships/hyperlink" Target="https://www.me.gatech.edu/faculty/pierron" TargetMode="External"/><Relationship Id="rId558" Type="http://schemas.openxmlformats.org/officeDocument/2006/relationships/hyperlink" Target="https://engineering.purdue.edu/ME/People/ptProfile?resource_id=50402" TargetMode="External"/><Relationship Id="rId765" Type="http://schemas.openxmlformats.org/officeDocument/2006/relationships/hyperlink" Target="https://www.me.utexas.edu/people/faculty-directory/borrego" TargetMode="External"/><Relationship Id="rId972" Type="http://schemas.openxmlformats.org/officeDocument/2006/relationships/hyperlink" Target="https://me.jhu.edu/faculty/kaliat-kt-ramesh/" TargetMode="External"/><Relationship Id="rId1188" Type="http://schemas.openxmlformats.org/officeDocument/2006/relationships/hyperlink" Target="https://enme.umd.edu/clark/faculty/807/Katrina-Groth" TargetMode="External"/><Relationship Id="rId1395" Type="http://schemas.openxmlformats.org/officeDocument/2006/relationships/hyperlink" Target="https://me.vt.edu/people/faculty/kurdila-andrew.html" TargetMode="External"/><Relationship Id="rId2001" Type="http://schemas.openxmlformats.org/officeDocument/2006/relationships/hyperlink" Target="https://me.ucsb.edu/people/megan-valentine" TargetMode="External"/><Relationship Id="rId2239" Type="http://schemas.openxmlformats.org/officeDocument/2006/relationships/hyperlink" Target="https://www.me.iastate.edu/faculty/profile/arpawar" TargetMode="External"/><Relationship Id="rId2446" Type="http://schemas.openxmlformats.org/officeDocument/2006/relationships/hyperlink" Target="https://www.egr.msu.edu/people/profile/shawsw" TargetMode="External"/><Relationship Id="rId2653" Type="http://schemas.openxmlformats.org/officeDocument/2006/relationships/hyperlink" Target="https://me.udel.edu/faculty/pierre-yao/" TargetMode="External"/><Relationship Id="rId2860" Type="http://schemas.openxmlformats.org/officeDocument/2006/relationships/hyperlink" Target="https://me.engr.uconn.edu/blog/faculty/poludnenko-alexei/" TargetMode="External"/><Relationship Id="rId3704" Type="http://schemas.openxmlformats.org/officeDocument/2006/relationships/hyperlink" Target="https://eng.ua.edu/departments/mechanical-engineering/" TargetMode="External"/><Relationship Id="rId5157" Type="http://schemas.openxmlformats.org/officeDocument/2006/relationships/hyperlink" Target="https://www.ohio.edu/engineering/about/people/almajali" TargetMode="External"/><Relationship Id="rId418" Type="http://schemas.openxmlformats.org/officeDocument/2006/relationships/hyperlink" Target="https://mechse.illinois.edu/people/profile/chshao" TargetMode="External"/><Relationship Id="rId625" Type="http://schemas.openxmlformats.org/officeDocument/2006/relationships/hyperlink" Target="https://engineering.purdue.edu/ME/People/ptProfile?resource_id=268748" TargetMode="External"/><Relationship Id="rId832" Type="http://schemas.openxmlformats.org/officeDocument/2006/relationships/hyperlink" Target="https://www.mccormick.northwestern.edu/mechanical/research/areas/micro-nanoengineering.html" TargetMode="External"/><Relationship Id="rId1048" Type="http://schemas.openxmlformats.org/officeDocument/2006/relationships/hyperlink" Target="https://engineering.tamu.edu/mechanical/profiles/qui-jenny.html" TargetMode="External"/><Relationship Id="rId1255" Type="http://schemas.openxmlformats.org/officeDocument/2006/relationships/hyperlink" Target="https://cse.umn.edu/me/terrence-simon" TargetMode="External"/><Relationship Id="rId1462" Type="http://schemas.openxmlformats.org/officeDocument/2006/relationships/hyperlink" Target="https://jacobsschool.ucsd.edu/faculty/profile?id=324" TargetMode="External"/><Relationship Id="rId2306" Type="http://schemas.openxmlformats.org/officeDocument/2006/relationships/hyperlink" Target="https://www.mae.ncsu.edu/people/liming-xiong" TargetMode="External"/><Relationship Id="rId2513" Type="http://schemas.openxmlformats.org/officeDocument/2006/relationships/hyperlink" Target="https://www.bu.edu/eng/profile/james-r-perkins/" TargetMode="External"/><Relationship Id="rId2958" Type="http://schemas.openxmlformats.org/officeDocument/2006/relationships/hyperlink" Target="http://eng.auburn.edu/directory/hzc0074" TargetMode="External"/><Relationship Id="rId3911" Type="http://schemas.openxmlformats.org/officeDocument/2006/relationships/hyperlink" Target="https://mees.charlotte.edu/directory/jeffrey-raquet" TargetMode="External"/><Relationship Id="rId5017" Type="http://schemas.openxmlformats.org/officeDocument/2006/relationships/hyperlink" Target="https://www.unr.edu/me" TargetMode="External"/><Relationship Id="rId5364" Type="http://schemas.openxmlformats.org/officeDocument/2006/relationships/hyperlink" Target="https://www.ndsu.edu/faculty/yewang/" TargetMode="External"/><Relationship Id="rId1115" Type="http://schemas.openxmlformats.org/officeDocument/2006/relationships/hyperlink" Target="https://www.me.psu.edu/department/directory-detail-g.aspx?q=mcb5351" TargetMode="External"/><Relationship Id="rId1322" Type="http://schemas.openxmlformats.org/officeDocument/2006/relationships/hyperlink" Target="https://directory.engr.wisc.edu/me/Faculty/Krupenkin_Tom/" TargetMode="External"/><Relationship Id="rId1767" Type="http://schemas.openxmlformats.org/officeDocument/2006/relationships/hyperlink" Target="https://mae.ufl.edu/people/faculty/primary/professor/profiles/ghatu-subhash/" TargetMode="External"/><Relationship Id="rId1974" Type="http://schemas.openxmlformats.org/officeDocument/2006/relationships/hyperlink" Target="https://me.ucsb.edu/people/directory" TargetMode="External"/><Relationship Id="rId2720" Type="http://schemas.openxmlformats.org/officeDocument/2006/relationships/hyperlink" Target="https://drexel.edu/engineering/about/faculty-staff/N/najafi-ahmadr/" TargetMode="External"/><Relationship Id="rId2818" Type="http://schemas.openxmlformats.org/officeDocument/2006/relationships/hyperlink" Target="https://ame.engineering.arizona.edu/faculty-staff/faculty/sergey-v-shkarayev" TargetMode="External"/><Relationship Id="rId4173" Type="http://schemas.openxmlformats.org/officeDocument/2006/relationships/hyperlink" Target="https://www.depts.ttu.edu/me/faculty/changdong_yeo/index.php" TargetMode="External"/><Relationship Id="rId4380" Type="http://schemas.openxmlformats.org/officeDocument/2006/relationships/hyperlink" Target="https://www.ecs.baylor.edu/person/dr-carolyn-skurla" TargetMode="External"/><Relationship Id="rId4478" Type="http://schemas.openxmlformats.org/officeDocument/2006/relationships/hyperlink" Target="https://www.smu.edu/Lyle/Departments/ME/People/Faculty/NieXu" TargetMode="External"/><Relationship Id="rId5224" Type="http://schemas.openxmlformats.org/officeDocument/2006/relationships/hyperlink" Target="https://zgan.my.canva.site/" TargetMode="External"/><Relationship Id="rId5431" Type="http://schemas.openxmlformats.org/officeDocument/2006/relationships/hyperlink" Target="https://engineering.utulsa.edu/mechanical-engineering/faculty/profile/ram-mohan" TargetMode="External"/><Relationship Id="rId5529" Type="http://schemas.openxmlformats.org/officeDocument/2006/relationships/hyperlink" Target="https://www.uno.edu/profile/faculty/uttam_chakravarty" TargetMode="External"/><Relationship Id="rId59" Type="http://schemas.openxmlformats.org/officeDocument/2006/relationships/hyperlink" Target="https://meche.mit.edu/people/faculty/mueller_@mit.edu" TargetMode="External"/><Relationship Id="rId1627" Type="http://schemas.openxmlformats.org/officeDocument/2006/relationships/hyperlink" Target="https://mae.osu.edu/people/whitfield.22" TargetMode="External"/><Relationship Id="rId1834" Type="http://schemas.openxmlformats.org/officeDocument/2006/relationships/hyperlink" Target="https://viterbi.usc.edu/directory/faculty/Jin/BoCheng" TargetMode="External"/><Relationship Id="rId3287" Type="http://schemas.openxmlformats.org/officeDocument/2006/relationships/hyperlink" Target="http://mae.ucf.edu/person/yuanli-bai/" TargetMode="External"/><Relationship Id="rId4033" Type="http://schemas.openxmlformats.org/officeDocument/2006/relationships/hyperlink" Target="https://www.clarkson.edu/node/5201" TargetMode="External"/><Relationship Id="rId4240" Type="http://schemas.openxmlformats.org/officeDocument/2006/relationships/hyperlink" Target="https://me.ku.edu/people/peter-w-tenpas" TargetMode="External"/><Relationship Id="rId4338" Type="http://schemas.openxmlformats.org/officeDocument/2006/relationships/hyperlink" Target="https://directory.statler.wvu.edu/faculty-staff-directory/pedro-j-mago" TargetMode="External"/><Relationship Id="rId4685" Type="http://schemas.openxmlformats.org/officeDocument/2006/relationships/hyperlink" Target="https://www.sdsmt.edu/Directories/Personnel/Xing,-Weibing/" TargetMode="External"/><Relationship Id="rId4892" Type="http://schemas.openxmlformats.org/officeDocument/2006/relationships/hyperlink" Target="https://www.ncat.edu/employee-bio.php?directoryID=17578080" TargetMode="External"/><Relationship Id="rId2096" Type="http://schemas.openxmlformats.org/officeDocument/2006/relationships/hyperlink" Target="https://search.asu.edu/profile/4837210" TargetMode="External"/><Relationship Id="rId3494" Type="http://schemas.openxmlformats.org/officeDocument/2006/relationships/hyperlink" Target="https://www.iit.edu/directory/people/matthew-spenko" TargetMode="External"/><Relationship Id="rId3799" Type="http://schemas.openxmlformats.org/officeDocument/2006/relationships/hyperlink" Target="https://www.uah.edu/eng/departments/mae/faculty-staff/mark-w-lin" TargetMode="External"/><Relationship Id="rId4100" Type="http://schemas.openxmlformats.org/officeDocument/2006/relationships/hyperlink" Target="https://www.mne.k-state.edu/about/people/faculty/wanklyn/" TargetMode="External"/><Relationship Id="rId4545" Type="http://schemas.openxmlformats.org/officeDocument/2006/relationships/hyperlink" Target="https://me.unm.edu/about/directory/faculty/tariq-khraishi.html" TargetMode="External"/><Relationship Id="rId4752" Type="http://schemas.openxmlformats.org/officeDocument/2006/relationships/hyperlink" Target="https://umdearborn.edu/people-um-dearborn/hugo-casquero" TargetMode="External"/><Relationship Id="rId1901" Type="http://schemas.openxmlformats.org/officeDocument/2006/relationships/hyperlink" Target="https://engineering.brown.edu/people/daniel-m-harris" TargetMode="External"/><Relationship Id="rId3147" Type="http://schemas.openxmlformats.org/officeDocument/2006/relationships/hyperlink" Target="https://mie.uic.edu/profiles/constantine-m-megaridis/" TargetMode="External"/><Relationship Id="rId3354" Type="http://schemas.openxmlformats.org/officeDocument/2006/relationships/hyperlink" Target="https://www.me.uh.edu/faculty/yang" TargetMode="External"/><Relationship Id="rId3561" Type="http://schemas.openxmlformats.org/officeDocument/2006/relationships/hyperlink" Target="https://www.stevens.edu/profile/jrabinov" TargetMode="External"/><Relationship Id="rId3659" Type="http://schemas.openxmlformats.org/officeDocument/2006/relationships/hyperlink" Target="https://profiles.ucr.edu/app/home/profile/tsutsui" TargetMode="External"/><Relationship Id="rId4405" Type="http://schemas.openxmlformats.org/officeDocument/2006/relationships/hyperlink" Target="https://eng.famu.fsu.edu/me/people/larbalestier" TargetMode="External"/><Relationship Id="rId4612" Type="http://schemas.openxmlformats.org/officeDocument/2006/relationships/hyperlink" Target="https://uwm.edu/engineering/people/pillai-krishna/" TargetMode="External"/><Relationship Id="rId275" Type="http://schemas.openxmlformats.org/officeDocument/2006/relationships/hyperlink" Target="https://www.me.gatech.edu/faculty/deo" TargetMode="External"/><Relationship Id="rId482" Type="http://schemas.openxmlformats.org/officeDocument/2006/relationships/hyperlink" Target="https://me.engin.umich.edu/people/faculty/greg-hulbert/" TargetMode="External"/><Relationship Id="rId2163" Type="http://schemas.openxmlformats.org/officeDocument/2006/relationships/hyperlink" Target="https://mae.ucdavis.edu/directory/marti-sarigul-klijn" TargetMode="External"/><Relationship Id="rId2370" Type="http://schemas.openxmlformats.org/officeDocument/2006/relationships/hyperlink" Target="https://engineering.wustl.edu/faculty/Ruth-Okamoto.html" TargetMode="External"/><Relationship Id="rId3007" Type="http://schemas.openxmlformats.org/officeDocument/2006/relationships/hyperlink" Target="https://www.mae.seas.gwu.edu/node/1491" TargetMode="External"/><Relationship Id="rId3214" Type="http://schemas.openxmlformats.org/officeDocument/2006/relationships/hyperlink" Target="https://mabe.utk.edu/people/wei-wang/" TargetMode="External"/><Relationship Id="rId3421" Type="http://schemas.openxmlformats.org/officeDocument/2006/relationships/hyperlink" Target="https://www.wpi.edu/people/faculty/pradhakrishnan" TargetMode="External"/><Relationship Id="rId3866" Type="http://schemas.openxmlformats.org/officeDocument/2006/relationships/hyperlink" Target="https://engineering.unl.edu/mme/faculty/piyush-grover/" TargetMode="External"/><Relationship Id="rId4917" Type="http://schemas.openxmlformats.org/officeDocument/2006/relationships/hyperlink" Target="https://www.odu.edu/directory/xiaoyu-zhang" TargetMode="External"/><Relationship Id="rId5081" Type="http://schemas.openxmlformats.org/officeDocument/2006/relationships/hyperlink" Target="https://mme.fiu.edu/faculty-staff-members/chunlei-wang" TargetMode="External"/><Relationship Id="rId135" Type="http://schemas.openxmlformats.org/officeDocument/2006/relationships/hyperlink" Target="https://meche.mit.edu/people/staff/mspector@MIT.EDU" TargetMode="External"/><Relationship Id="rId342" Type="http://schemas.openxmlformats.org/officeDocument/2006/relationships/hyperlink" Target="https://www.me.gatech.edu/faculty/sun" TargetMode="External"/><Relationship Id="rId787" Type="http://schemas.openxmlformats.org/officeDocument/2006/relationships/hyperlink" Target="https://www.me.utexas.edu/people/faculty-directory/klein" TargetMode="External"/><Relationship Id="rId994" Type="http://schemas.openxmlformats.org/officeDocument/2006/relationships/hyperlink" Target="https://engineering.tamu.edu/mechanical/profiles/claridge-david.html" TargetMode="External"/><Relationship Id="rId2023" Type="http://schemas.openxmlformats.org/officeDocument/2006/relationships/hyperlink" Target="https://ame.nd.edu/faculty/robert-hughes/" TargetMode="External"/><Relationship Id="rId2230" Type="http://schemas.openxmlformats.org/officeDocument/2006/relationships/hyperlink" Target="https://www.me.iastate.edu/faculty/profile/mm1" TargetMode="External"/><Relationship Id="rId2468" Type="http://schemas.openxmlformats.org/officeDocument/2006/relationships/hyperlink" Target="https://engineering.vanderbilt.edu/bio/alvin-strauss" TargetMode="External"/><Relationship Id="rId2675" Type="http://schemas.openxmlformats.org/officeDocument/2006/relationships/hyperlink" Target="https://www.clemson.edu/cecas/departments/me/people/faculty/pataky.html" TargetMode="External"/><Relationship Id="rId2882" Type="http://schemas.openxmlformats.org/officeDocument/2006/relationships/hyperlink" Target="https://engineering.uiowa.edu/people/albert-ratner" TargetMode="External"/><Relationship Id="rId3519" Type="http://schemas.openxmlformats.org/officeDocument/2006/relationships/hyperlink" Target="https://www.mtu.edu/mechanical/people/faculty/long/" TargetMode="External"/><Relationship Id="rId3726" Type="http://schemas.openxmlformats.org/officeDocument/2006/relationships/hyperlink" Target="https://eng.ua.edu/eng-directory/dr-xiangrong-shen/" TargetMode="External"/><Relationship Id="rId3933" Type="http://schemas.openxmlformats.org/officeDocument/2006/relationships/hyperlink" Target="http://www.hajim.rochester.edu/me/people/faculty/collins_rip/index.html" TargetMode="External"/><Relationship Id="rId5179" Type="http://schemas.openxmlformats.org/officeDocument/2006/relationships/hyperlink" Target="https://engineering.rowan.edu/faculty_staff/listing/wei-xue.html" TargetMode="External"/><Relationship Id="rId5386" Type="http://schemas.openxmlformats.org/officeDocument/2006/relationships/hyperlink" Target="https://www.sdstate.edu/directory/saikat-basu" TargetMode="External"/><Relationship Id="rId202" Type="http://schemas.openxmlformats.org/officeDocument/2006/relationships/hyperlink" Target="https://mce.caltech.edu/people/daraio" TargetMode="External"/><Relationship Id="rId647" Type="http://schemas.openxmlformats.org/officeDocument/2006/relationships/hyperlink" Target="https://www.engineering.cornell.edu/faculty-directory/lawrence-bonassar" TargetMode="External"/><Relationship Id="rId854" Type="http://schemas.openxmlformats.org/officeDocument/2006/relationships/hyperlink" Target="https://www.mccormick.northwestern.edu/research-faculty/directory/affiliated/gard-steven.html" TargetMode="External"/><Relationship Id="rId1277" Type="http://schemas.openxmlformats.org/officeDocument/2006/relationships/hyperlink" Target="https://directory.seas.upenn.edu/dennis-e-discher/" TargetMode="External"/><Relationship Id="rId1484" Type="http://schemas.openxmlformats.org/officeDocument/2006/relationships/hyperlink" Target="https://jacobsschool.ucsd.edu/faculty/profile?id=8" TargetMode="External"/><Relationship Id="rId1691" Type="http://schemas.openxmlformats.org/officeDocument/2006/relationships/hyperlink" Target="https://www.colorado.edu/mechanical/xiaoyun-sean-ding" TargetMode="External"/><Relationship Id="rId2328" Type="http://schemas.openxmlformats.org/officeDocument/2006/relationships/hyperlink" Target="https://engineering.virginia.edu/faculty/christopher-goyne" TargetMode="External"/><Relationship Id="rId2535" Type="http://schemas.openxmlformats.org/officeDocument/2006/relationships/hyperlink" Target="https://mechanical.mines.edu/project/braun-robert/" TargetMode="External"/><Relationship Id="rId2742" Type="http://schemas.openxmlformats.org/officeDocument/2006/relationships/hyperlink" Target="https://engineering.tufts.edu/me/node/2991" TargetMode="External"/><Relationship Id="rId4195" Type="http://schemas.openxmlformats.org/officeDocument/2006/relationships/hyperlink" Target="http://engineering.uga.edu/people/profile/caner-kazanci1" TargetMode="External"/><Relationship Id="rId5039" Type="http://schemas.openxmlformats.org/officeDocument/2006/relationships/hyperlink" Target="https://premium.usnews.com/best-graduate-schools/top-engineering-schools/university-of-wyoming-02194" TargetMode="External"/><Relationship Id="rId5246" Type="http://schemas.openxmlformats.org/officeDocument/2006/relationships/hyperlink" Target="https://www.uidaho.edu/engr/departments/me/our-people/faculty/joel-perry" TargetMode="External"/><Relationship Id="rId5453" Type="http://schemas.openxmlformats.org/officeDocument/2006/relationships/hyperlink" Target="https://wmich.edu/mechanical-aerospace/directory/montefort" TargetMode="External"/><Relationship Id="rId507" Type="http://schemas.openxmlformats.org/officeDocument/2006/relationships/hyperlink" Target="https://me.engin.umich.edu/people/faculty/elliott-rouse/" TargetMode="External"/><Relationship Id="rId714" Type="http://schemas.openxmlformats.org/officeDocument/2006/relationships/hyperlink" Target="https://mae.princeton.edu/people/faculty/wissa" TargetMode="External"/><Relationship Id="rId921" Type="http://schemas.openxmlformats.org/officeDocument/2006/relationships/hyperlink" Target="https://www.sralab.org/researchers/jose-pons-phd" TargetMode="External"/><Relationship Id="rId1137" Type="http://schemas.openxmlformats.org/officeDocument/2006/relationships/hyperlink" Target="https://www.me.psu.edu/department/directory-detail-g.aspx?q=SPL11" TargetMode="External"/><Relationship Id="rId1344" Type="http://schemas.openxmlformats.org/officeDocument/2006/relationships/hyperlink" Target="https://directory.engr.wisc.edu/me/Faculty/Sanders_Scott/" TargetMode="External"/><Relationship Id="rId1551" Type="http://schemas.openxmlformats.org/officeDocument/2006/relationships/hyperlink" Target="https://mems.duke.edu/faculty/jeffrey-glass" TargetMode="External"/><Relationship Id="rId1789" Type="http://schemas.openxmlformats.org/officeDocument/2006/relationships/hyperlink" Target="https://mae.ufl.edu/people/faculty/primary/assistant-professor/profiles/jingjing-shi/" TargetMode="External"/><Relationship Id="rId1996" Type="http://schemas.openxmlformats.org/officeDocument/2006/relationships/hyperlink" Target="https://me.ucsb.edu/people/beth-pruitt" TargetMode="External"/><Relationship Id="rId2602" Type="http://schemas.openxmlformats.org/officeDocument/2006/relationships/hyperlink" Target="https://mae.rutgers.edu/liping-liu" TargetMode="External"/><Relationship Id="rId4055" Type="http://schemas.openxmlformats.org/officeDocument/2006/relationships/hyperlink" Target="https://www.clarkson.edu/node/5716" TargetMode="External"/><Relationship Id="rId4262" Type="http://schemas.openxmlformats.org/officeDocument/2006/relationships/hyperlink" Target="https://engineering.missouri.edu/faculty/huy-nguyen/" TargetMode="External"/><Relationship Id="rId5106" Type="http://schemas.openxmlformats.org/officeDocument/2006/relationships/hyperlink" Target="mailto:mdowney@fiu.edu" TargetMode="External"/><Relationship Id="rId50" Type="http://schemas.openxmlformats.org/officeDocument/2006/relationships/hyperlink" Target="https://meche.mit.edu/people/faculty/SANGKIM@MIT.EDU" TargetMode="External"/><Relationship Id="rId1204" Type="http://schemas.openxmlformats.org/officeDocument/2006/relationships/hyperlink" Target="https://enme.umd.edu/clark/faculty/574/Michael-Pecht" TargetMode="External"/><Relationship Id="rId1411" Type="http://schemas.openxmlformats.org/officeDocument/2006/relationships/hyperlink" Target="https://me.vt.edu/people/faculty/paul-mark.html" TargetMode="External"/><Relationship Id="rId1649" Type="http://schemas.openxmlformats.org/officeDocument/2006/relationships/hyperlink" Target="https://profiles.rice.edu/faculty/laura-schaefer" TargetMode="External"/><Relationship Id="rId1856" Type="http://schemas.openxmlformats.org/officeDocument/2006/relationships/hyperlink" Target="https://www.me.washington.edu/people/faculty/julia_jones" TargetMode="External"/><Relationship Id="rId2907" Type="http://schemas.openxmlformats.org/officeDocument/2006/relationships/hyperlink" Target="https://www.engineering.pitt.edu/people/faculty/katherine-hornbostel/" TargetMode="External"/><Relationship Id="rId3071" Type="http://schemas.openxmlformats.org/officeDocument/2006/relationships/hyperlink" Target="https://works.bepress.com/phillip-mulligan/about/" TargetMode="External"/><Relationship Id="rId4567" Type="http://schemas.openxmlformats.org/officeDocument/2006/relationships/hyperlink" Target="https://www.ou.edu/coe/ame/people/garg.html" TargetMode="External"/><Relationship Id="rId4774" Type="http://schemas.openxmlformats.org/officeDocument/2006/relationships/hyperlink" Target="https://ceps.unh.edu/person/christopher-white" TargetMode="External"/><Relationship Id="rId5313" Type="http://schemas.openxmlformats.org/officeDocument/2006/relationships/hyperlink" Target="https://mechanical.engineering.unt.edu/faculty/cheng-yu-pe-fsei" TargetMode="External"/><Relationship Id="rId5520" Type="http://schemas.openxmlformats.org/officeDocument/2006/relationships/hyperlink" Target="https://www.slu.edu/science-and-engineering/academics/aerospace-and-mechanical-engineering/faculty/gorlewicz-jenna.php" TargetMode="External"/><Relationship Id="rId1509" Type="http://schemas.openxmlformats.org/officeDocument/2006/relationships/hyperlink" Target="https://jacobsschool.ucsd.edu/faculty/profile?id=379" TargetMode="External"/><Relationship Id="rId1716" Type="http://schemas.openxmlformats.org/officeDocument/2006/relationships/hyperlink" Target="https://www.colorado.edu/mechanical/todd-murray" TargetMode="External"/><Relationship Id="rId1923" Type="http://schemas.openxmlformats.org/officeDocument/2006/relationships/hyperlink" Target="https://engineering.brown.edu/people/sherief-reda" TargetMode="External"/><Relationship Id="rId3169" Type="http://schemas.openxmlformats.org/officeDocument/2006/relationships/hyperlink" Target="https://mabe.utk.edu/people/robert-e-bond/" TargetMode="External"/><Relationship Id="rId3376" Type="http://schemas.openxmlformats.org/officeDocument/2006/relationships/hyperlink" Target="https://mme.wsu.edu/faculty/qizhen-li/" TargetMode="External"/><Relationship Id="rId3583" Type="http://schemas.openxmlformats.org/officeDocument/2006/relationships/hyperlink" Target="https://ecs.syracuse.edu/faculty-staff/matthew-erdman" TargetMode="External"/><Relationship Id="rId4122" Type="http://schemas.openxmlformats.org/officeDocument/2006/relationships/hyperlink" Target="https://mechanical.sdsu.edu/people/wenwu-xu.aspx" TargetMode="External"/><Relationship Id="rId4427" Type="http://schemas.openxmlformats.org/officeDocument/2006/relationships/hyperlink" Target="https://www.lsu.edu/eng/mie/people/faculty/guo.php" TargetMode="External"/><Relationship Id="rId4981" Type="http://schemas.openxmlformats.org/officeDocument/2006/relationships/hyperlink" Target="https://engineering.louisville.edu/faculty/bikram-bhatia/" TargetMode="External"/><Relationship Id="rId297" Type="http://schemas.openxmlformats.org/officeDocument/2006/relationships/hyperlink" Target="https://www.me.gatech.edu/faculty/jiao" TargetMode="External"/><Relationship Id="rId2185" Type="http://schemas.openxmlformats.org/officeDocument/2006/relationships/hyperlink" Target="https://engineering.uci.edu/users/j-michael-mccarthy" TargetMode="External"/><Relationship Id="rId2392" Type="http://schemas.openxmlformats.org/officeDocument/2006/relationships/hyperlink" Target="https://engineering.case.edu/about/school-directory/ya-ting-liao" TargetMode="External"/><Relationship Id="rId3029" Type="http://schemas.openxmlformats.org/officeDocument/2006/relationships/hyperlink" Target="https://engineering.lehigh.edu/meche/faculty/939" TargetMode="External"/><Relationship Id="rId3236" Type="http://schemas.openxmlformats.org/officeDocument/2006/relationships/hyperlink" Target="https://www.engr.colostate.edu/me/faculty/dr-susan-james/" TargetMode="External"/><Relationship Id="rId3790" Type="http://schemas.openxmlformats.org/officeDocument/2006/relationships/hyperlink" Target="https://www.uah.edu/eng/departments/mae/faculty-staff/jason-cassibry" TargetMode="External"/><Relationship Id="rId3888" Type="http://schemas.openxmlformats.org/officeDocument/2006/relationships/hyperlink" Target="https://engineering.unl.edu/mme/zhaoyan-zhang/" TargetMode="External"/><Relationship Id="rId4634" Type="http://schemas.openxmlformats.org/officeDocument/2006/relationships/hyperlink" Target="https://www.ccny.cuny.edu/profiles/ali-sadegh" TargetMode="External"/><Relationship Id="rId4841" Type="http://schemas.openxmlformats.org/officeDocument/2006/relationships/hyperlink" Target="https://engineering.wayne.edu/mechanical" TargetMode="External"/><Relationship Id="rId4939" Type="http://schemas.openxmlformats.org/officeDocument/2006/relationships/hyperlink" Target="https://uakron.edu/engineering/me/our-people/profile.dot?u=ssawyer" TargetMode="External"/><Relationship Id="rId157" Type="http://schemas.openxmlformats.org/officeDocument/2006/relationships/hyperlink" Target="https://me.stanford.edu/people/monroe-kennedy" TargetMode="External"/><Relationship Id="rId364" Type="http://schemas.openxmlformats.org/officeDocument/2006/relationships/hyperlink" Target="https://www.me.gatech.edu/faculty/dorozhkin" TargetMode="External"/><Relationship Id="rId2045" Type="http://schemas.openxmlformats.org/officeDocument/2006/relationships/hyperlink" Target="https://ame.nd.edu/faculty/jeffrey-f-rhoads/" TargetMode="External"/><Relationship Id="rId2697" Type="http://schemas.openxmlformats.org/officeDocument/2006/relationships/hyperlink" Target="https://drexel.edu/engineering/about/faculty-staff/A/agar-joshua/" TargetMode="External"/><Relationship Id="rId3443" Type="http://schemas.openxmlformats.org/officeDocument/2006/relationships/hyperlink" Target="https://www.me.byu.edu/directory/nathan-crane" TargetMode="External"/><Relationship Id="rId3650" Type="http://schemas.openxmlformats.org/officeDocument/2006/relationships/hyperlink" Target="https://profiles.ucr.edu/app/home/profile/erfann" TargetMode="External"/><Relationship Id="rId3748" Type="http://schemas.openxmlformats.org/officeDocument/2006/relationships/hyperlink" Target="https://www.uta.edu/academics/faculty/profile?username=chakravarthya" TargetMode="External"/><Relationship Id="rId4701" Type="http://schemas.openxmlformats.org/officeDocument/2006/relationships/hyperlink" Target="https://mechanical-engineering.uark.edu/Directory/index/uid/nair/name/Arun+Nair/" TargetMode="External"/><Relationship Id="rId571" Type="http://schemas.openxmlformats.org/officeDocument/2006/relationships/hyperlink" Target="https://engineering.purdue.edu/ME/People/ptProfile?resource_id=11748" TargetMode="External"/><Relationship Id="rId669" Type="http://schemas.openxmlformats.org/officeDocument/2006/relationships/hyperlink" Target="https://www.engineering.cornell.edu/faculty-directory/robert-f-shepherd" TargetMode="External"/><Relationship Id="rId876" Type="http://schemas.openxmlformats.org/officeDocument/2006/relationships/hyperlink" Target="https://www.mccormick.northwestern.edu/mechanical/research/areas/computational-engineering.html" TargetMode="External"/><Relationship Id="rId1299" Type="http://schemas.openxmlformats.org/officeDocument/2006/relationships/hyperlink" Target="https://directory.seas.upenn.edu/kathleen-j-stebe/" TargetMode="External"/><Relationship Id="rId2252" Type="http://schemas.openxmlformats.org/officeDocument/2006/relationships/hyperlink" Target="https://www.me.iastate.edu/faculty/profile/xwang3" TargetMode="External"/><Relationship Id="rId2557" Type="http://schemas.openxmlformats.org/officeDocument/2006/relationships/hyperlink" Target="https://mechanical.mines.edu/project/mistry-aashutosh/" TargetMode="External"/><Relationship Id="rId3303" Type="http://schemas.openxmlformats.org/officeDocument/2006/relationships/hyperlink" Target="https://researchdirectory.uc.edu/p/dongjg" TargetMode="External"/><Relationship Id="rId3510" Type="http://schemas.openxmlformats.org/officeDocument/2006/relationships/hyperlink" Target="https://www.mtu.edu/mechanical/people/faculty/dyreson/" TargetMode="External"/><Relationship Id="rId3608" Type="http://schemas.openxmlformats.org/officeDocument/2006/relationships/hyperlink" Target="https://me.utdallas.edu/faculty-staff/fatemeh-hassanipour/" TargetMode="External"/><Relationship Id="rId3955" Type="http://schemas.openxmlformats.org/officeDocument/2006/relationships/hyperlink" Target="http://www.hajim.rochester.edu/me/people/faculty/shang_jessica/index.html" TargetMode="External"/><Relationship Id="rId5170" Type="http://schemas.openxmlformats.org/officeDocument/2006/relationships/hyperlink" Target="https://engineering.rowan.edu/faculty_staff/listing/smitesh-bakrania.html" TargetMode="External"/><Relationship Id="rId224" Type="http://schemas.openxmlformats.org/officeDocument/2006/relationships/hyperlink" Target="https://me.berkeley.edu/people/michael-gollner/" TargetMode="External"/><Relationship Id="rId431" Type="http://schemas.openxmlformats.org/officeDocument/2006/relationships/hyperlink" Target="https://mechse.illinois.edu/people/profile/ajwj" TargetMode="External"/><Relationship Id="rId529" Type="http://schemas.openxmlformats.org/officeDocument/2006/relationships/hyperlink" Target="https://me.engin.umich.edu/people/faculty/hugo-g-villasanti/" TargetMode="External"/><Relationship Id="rId736" Type="http://schemas.openxmlformats.org/officeDocument/2006/relationships/hyperlink" Target="https://www.meche.engineering.cmu.edu/directory/bios/michalek-jeremy.html" TargetMode="External"/><Relationship Id="rId1061" Type="http://schemas.openxmlformats.org/officeDocument/2006/relationships/hyperlink" Target="https://engineering.tamu.edu/mechanical/profiles/tai-bruce.html" TargetMode="External"/><Relationship Id="rId1159" Type="http://schemas.openxmlformats.org/officeDocument/2006/relationships/hyperlink" Target="https://www.me.psu.edu/department/directory-detail-g.aspx?q=CXW31" TargetMode="External"/><Relationship Id="rId1366" Type="http://schemas.openxmlformats.org/officeDocument/2006/relationships/hyperlink" Target="https://directory.engr.wisc.edu/me/Faculty/Wang_Wei/" TargetMode="External"/><Relationship Id="rId2112" Type="http://schemas.openxmlformats.org/officeDocument/2006/relationships/hyperlink" Target="https://isearch.asu.edu/profile/3702805" TargetMode="External"/><Relationship Id="rId2417" Type="http://schemas.openxmlformats.org/officeDocument/2006/relationships/hyperlink" Target="https://www.egr.msu.edu/people/profile/mgrimm" TargetMode="External"/><Relationship Id="rId2764" Type="http://schemas.openxmlformats.org/officeDocument/2006/relationships/hyperlink" Target="https://engineering.buffalo.edu/mechanical-aerospace/people/faculty/ladder.host.html/content/shared/engineering/mechanical-aerospace/profiles/esfahani-ehsan.detail.html" TargetMode="External"/><Relationship Id="rId2971" Type="http://schemas.openxmlformats.org/officeDocument/2006/relationships/hyperlink" Target="http://eng.auburn.edu/directory/marghdb" TargetMode="External"/><Relationship Id="rId3815" Type="http://schemas.openxmlformats.org/officeDocument/2006/relationships/hyperlink" Target="https://www.engr.uky.edu/directory/chen-hailong" TargetMode="External"/><Relationship Id="rId5030" Type="http://schemas.openxmlformats.org/officeDocument/2006/relationships/hyperlink" Target="https://www.unr.edu/me/people/angelina-padilla" TargetMode="External"/><Relationship Id="rId5268" Type="http://schemas.openxmlformats.org/officeDocument/2006/relationships/hyperlink" Target="https://www.unlv.edu/people/heejin-cho" TargetMode="External"/><Relationship Id="rId5475" Type="http://schemas.openxmlformats.org/officeDocument/2006/relationships/hyperlink" Target="https://nmt.edu/academics/mecheng/faculty/jkimberley/index.php" TargetMode="External"/><Relationship Id="rId943" Type="http://schemas.openxmlformats.org/officeDocument/2006/relationships/hyperlink" Target="https://www.mccormick.northwestern.edu/research-faculty/directory/profiles/wang-jane-qian.html" TargetMode="External"/><Relationship Id="rId1019" Type="http://schemas.openxmlformats.org/officeDocument/2006/relationships/hyperlink" Target="https://engineering.tamu.edu/mechanical/profiles/krishnamoorthy-aravind.html" TargetMode="External"/><Relationship Id="rId1573" Type="http://schemas.openxmlformats.org/officeDocument/2006/relationships/hyperlink" Target="https://mae.osu.edu/people/bons.2" TargetMode="External"/><Relationship Id="rId1780" Type="http://schemas.openxmlformats.org/officeDocument/2006/relationships/hyperlink" Target="https://mae.ufl.edu/people/faculty/primary/assistant-professor/profiles/jessica-allen/" TargetMode="External"/><Relationship Id="rId1878" Type="http://schemas.openxmlformats.org/officeDocument/2006/relationships/hyperlink" Target="https://www.me.washington.edu/facultyfinder/kat-m-steele" TargetMode="External"/><Relationship Id="rId2624" Type="http://schemas.openxmlformats.org/officeDocument/2006/relationships/hyperlink" Target="https://me.udel.edu/faculty/jennifer-buckley/" TargetMode="External"/><Relationship Id="rId2831" Type="http://schemas.openxmlformats.org/officeDocument/2006/relationships/hyperlink" Target="https://me.engr.uconn.edu/blog/faculty/cetegen-baki/" TargetMode="External"/><Relationship Id="rId2929" Type="http://schemas.openxmlformats.org/officeDocument/2006/relationships/hyperlink" Target="https://www.engineering.pitt.edu/people/faculty/sylvanus-wosu/" TargetMode="External"/><Relationship Id="rId4077" Type="http://schemas.openxmlformats.org/officeDocument/2006/relationships/hyperlink" Target="https://daytonabeach.erau.edu/college-engineering/mechanical/faculty" TargetMode="External"/><Relationship Id="rId4284" Type="http://schemas.openxmlformats.org/officeDocument/2006/relationships/hyperlink" Target="https://www1.villanova.edu/university/engineering/academic-programs/departments/mechanical/directory/biodetail.html?mail=leila.malekmotiei@villanova.edu&amp;xsl=bio_long" TargetMode="External"/><Relationship Id="rId4491" Type="http://schemas.openxmlformats.org/officeDocument/2006/relationships/hyperlink" Target="https://me.ucmerced.edu/content/francesco-danzi" TargetMode="External"/><Relationship Id="rId5128" Type="http://schemas.openxmlformats.org/officeDocument/2006/relationships/hyperlink" Target="https://coes.latech.edu/facultystaff-directory/single-entry/name/david-e-hall/" TargetMode="External"/><Relationship Id="rId5335" Type="http://schemas.openxmlformats.org/officeDocument/2006/relationships/hyperlink" Target="https://www.fau.edu/engineering/directory/faculty/an/" TargetMode="External"/><Relationship Id="rId5542" Type="http://schemas.openxmlformats.org/officeDocument/2006/relationships/hyperlink" Target="https://und.edu/directory/dustin.mcnally" TargetMode="External"/><Relationship Id="rId72" Type="http://schemas.openxmlformats.org/officeDocument/2006/relationships/hyperlink" Target="https://meche.mit.edu/people/faculty/Seering@MIT.edu" TargetMode="External"/><Relationship Id="rId803" Type="http://schemas.openxmlformats.org/officeDocument/2006/relationships/hyperlink" Target="http://www.me.utexas.edu/faculty/faculty-directory/rylandermn" TargetMode="External"/><Relationship Id="rId1226" Type="http://schemas.openxmlformats.org/officeDocument/2006/relationships/hyperlink" Target="https://cse.umn.edu/me/jennifer-alexander" TargetMode="External"/><Relationship Id="rId1433" Type="http://schemas.openxmlformats.org/officeDocument/2006/relationships/hyperlink" Target="https://seas.harvard.edu/materials-science-mechanical-engineering/people" TargetMode="External"/><Relationship Id="rId1640" Type="http://schemas.openxmlformats.org/officeDocument/2006/relationships/hyperlink" Target="https://profiles.rice.edu/faculty/bj-fregly" TargetMode="External"/><Relationship Id="rId1738" Type="http://schemas.openxmlformats.org/officeDocument/2006/relationships/hyperlink" Target="https://www.colorado.edu/mechanical/jianliang-xiao" TargetMode="External"/><Relationship Id="rId3093" Type="http://schemas.openxmlformats.org/officeDocument/2006/relationships/hyperlink" Target="https://nps.edu/faculty-profiles/-/cv/jgordis" TargetMode="External"/><Relationship Id="rId4144" Type="http://schemas.openxmlformats.org/officeDocument/2006/relationships/hyperlink" Target="https://www.depts.ttu.edu/me/faculty/sukalyan_bhattacharya/index.php" TargetMode="External"/><Relationship Id="rId4351" Type="http://schemas.openxmlformats.org/officeDocument/2006/relationships/hyperlink" Target="https://directory.statler.wvu.edu/faculty-staff-directory/nicholas-szczecinski" TargetMode="External"/><Relationship Id="rId4589" Type="http://schemas.openxmlformats.org/officeDocument/2006/relationships/hyperlink" Target="https://www.uvm.edu/node/223680" TargetMode="External"/><Relationship Id="rId4796" Type="http://schemas.openxmlformats.org/officeDocument/2006/relationships/hyperlink" Target="https://klesse.utsa.edu/faculty/profiles/axler-keith.html" TargetMode="External"/><Relationship Id="rId5402" Type="http://schemas.openxmlformats.org/officeDocument/2006/relationships/hyperlink" Target="https://engineering.catholic.edu/research-and-faculty/faculty-profiles/mechanical/herrmann-jeffrey/index.html" TargetMode="External"/><Relationship Id="rId1500" Type="http://schemas.openxmlformats.org/officeDocument/2006/relationships/hyperlink" Target="https://jacobsschool.ucsd.edu/faculty/profile?id=368" TargetMode="External"/><Relationship Id="rId1945" Type="http://schemas.openxmlformats.org/officeDocument/2006/relationships/hyperlink" Target="https://engineering.brown.edu/people/seunghyun-kim" TargetMode="External"/><Relationship Id="rId3160" Type="http://schemas.openxmlformats.org/officeDocument/2006/relationships/hyperlink" Target="https://mabe.utk.edu/people/kivanc-ekici/" TargetMode="External"/><Relationship Id="rId3398" Type="http://schemas.openxmlformats.org/officeDocument/2006/relationships/hyperlink" Target="https://premium.usnews.com/best-graduate-schools/top-engineering-schools/worcester-polytechnic-institute-02083" TargetMode="External"/><Relationship Id="rId4004" Type="http://schemas.openxmlformats.org/officeDocument/2006/relationships/hyperlink" Target="https://sc.edu/study/colleges_schools/engineering_and_computing/faculty-staff/yu_lingyu.php" TargetMode="External"/><Relationship Id="rId4211" Type="http://schemas.openxmlformats.org/officeDocument/2006/relationships/hyperlink" Target="http://engineering.uga.edu/people/profile/david-stooksbury" TargetMode="External"/><Relationship Id="rId4449" Type="http://schemas.openxmlformats.org/officeDocument/2006/relationships/hyperlink" Target="https://www.me.msstate.edu/people/christopher-barrett/" TargetMode="External"/><Relationship Id="rId4656" Type="http://schemas.openxmlformats.org/officeDocument/2006/relationships/hyperlink" Target="https://mae.nmsu.edu/faculty/dr-andreas-gross.html" TargetMode="External"/><Relationship Id="rId4863" Type="http://schemas.openxmlformats.org/officeDocument/2006/relationships/hyperlink" Target="https://www.fit.edu/faculty-profiles/h/he-xiang/" TargetMode="External"/><Relationship Id="rId1805" Type="http://schemas.openxmlformats.org/officeDocument/2006/relationships/hyperlink" Target="https://viterbi.usc.edu/directory/faculty/Chen/Yong" TargetMode="External"/><Relationship Id="rId3020" Type="http://schemas.openxmlformats.org/officeDocument/2006/relationships/hyperlink" Target="https://engineering.lehigh.edu/meche/faculty/792" TargetMode="External"/><Relationship Id="rId3258" Type="http://schemas.openxmlformats.org/officeDocument/2006/relationships/hyperlink" Target="https://www.engr.colostate.edu/me/faculty/dr-bryan-d-willson/" TargetMode="External"/><Relationship Id="rId3465" Type="http://schemas.openxmlformats.org/officeDocument/2006/relationships/hyperlink" Target="https://www.me.byu.edu/directory/carl-sorensen" TargetMode="External"/><Relationship Id="rId3672" Type="http://schemas.openxmlformats.org/officeDocument/2006/relationships/hyperlink" Target="https://ceat.okstate.edu/mae/faculty-staff/faculty-bios/he-bai.html" TargetMode="External"/><Relationship Id="rId4309" Type="http://schemas.openxmlformats.org/officeDocument/2006/relationships/hyperlink" Target="http://egr.vcu.edu/directory/ravi.hadimani/" TargetMode="External"/><Relationship Id="rId4516" Type="http://schemas.openxmlformats.org/officeDocument/2006/relationships/hyperlink" Target="https://udayton.edu/directory/engineering/mechanical_and_aerospace/narvaez-javier-a.php" TargetMode="External"/><Relationship Id="rId4723" Type="http://schemas.openxmlformats.org/officeDocument/2006/relationships/hyperlink" Target="https://eas.uccs.edu/mae/faculty/Dr_Hui_Wan" TargetMode="External"/><Relationship Id="rId179" Type="http://schemas.openxmlformats.org/officeDocument/2006/relationships/hyperlink" Target="https://me.stanford.edu/people/kathleen-davies" TargetMode="External"/><Relationship Id="rId386" Type="http://schemas.openxmlformats.org/officeDocument/2006/relationships/hyperlink" Target="https://mechse.illinois.edu/people/profile/glumac" TargetMode="External"/><Relationship Id="rId593" Type="http://schemas.openxmlformats.org/officeDocument/2006/relationships/hyperlink" Target="https://engineering.purdue.edu/ME/People/ptProfile?resource_id=242960" TargetMode="External"/><Relationship Id="rId2067" Type="http://schemas.openxmlformats.org/officeDocument/2006/relationships/hyperlink" Target="https://seas.yale.edu/faculty-research/faculty-directory/juan-fernandez-de-la-mora" TargetMode="External"/><Relationship Id="rId2274" Type="http://schemas.openxmlformats.org/officeDocument/2006/relationships/hyperlink" Target="https://www.mae.ncsu.edu/people/mohammad-heiranian/" TargetMode="External"/><Relationship Id="rId2481" Type="http://schemas.openxmlformats.org/officeDocument/2006/relationships/hyperlink" Target="https://www.bu.edu/eng/profile/john-baillieul-ph-d-me-se/" TargetMode="External"/><Relationship Id="rId3118" Type="http://schemas.openxmlformats.org/officeDocument/2006/relationships/hyperlink" Target="https://me.stonybrook.edu/commcms/me-eng/people/faculty/Gao_Jie.php" TargetMode="External"/><Relationship Id="rId3325" Type="http://schemas.openxmlformats.org/officeDocument/2006/relationships/hyperlink" Target="https://researchdirectory.uc.edu/p/wu2jj" TargetMode="External"/><Relationship Id="rId3532" Type="http://schemas.openxmlformats.org/officeDocument/2006/relationships/hyperlink" Target="https://www.mtu.edu/mechanical/people/faculty/robinette/" TargetMode="External"/><Relationship Id="rId3977" Type="http://schemas.openxmlformats.org/officeDocument/2006/relationships/hyperlink" Target="https://sc.edu/study/colleges_schools/engineering_and_computing/faculty-staff/harik_ramy.php" TargetMode="External"/><Relationship Id="rId4930" Type="http://schemas.openxmlformats.org/officeDocument/2006/relationships/hyperlink" Target="https://uakron.edu/engineering/me/our-people/profile.dot?u=cl99" TargetMode="External"/><Relationship Id="rId246" Type="http://schemas.openxmlformats.org/officeDocument/2006/relationships/hyperlink" Target="https://me.berkeley.edu/people/omer-savas/" TargetMode="External"/><Relationship Id="rId453" Type="http://schemas.openxmlformats.org/officeDocument/2006/relationships/hyperlink" Target="https://me.engin.umich.edu/people/faculty/steve-ceccio/" TargetMode="External"/><Relationship Id="rId660" Type="http://schemas.openxmlformats.org/officeDocument/2006/relationships/hyperlink" Target="https://www.engineering.cornell.edu/faculty-directory/jane-wang" TargetMode="External"/><Relationship Id="rId898" Type="http://schemas.openxmlformats.org/officeDocument/2006/relationships/hyperlink" Target="https://www.mccormick.northwestern.edu/mechanical/research/areas/robotics-autonomy.html" TargetMode="External"/><Relationship Id="rId1083" Type="http://schemas.openxmlformats.org/officeDocument/2006/relationships/hyperlink" Target="https://samueli.ucla.edu/people/jeff-eldredge/" TargetMode="External"/><Relationship Id="rId1290" Type="http://schemas.openxmlformats.org/officeDocument/2006/relationships/hyperlink" Target="https://directory.seas.upenn.edu/paris-perdikaris/" TargetMode="External"/><Relationship Id="rId2134" Type="http://schemas.openxmlformats.org/officeDocument/2006/relationships/hyperlink" Target="https://mae.ucdavis.edu/directory/jean-pierre-delplanque" TargetMode="External"/><Relationship Id="rId2341" Type="http://schemas.openxmlformats.org/officeDocument/2006/relationships/hyperlink" Target="https://engineering.virginia.edu/faculty/daniel-quinn" TargetMode="External"/><Relationship Id="rId2579" Type="http://schemas.openxmlformats.org/officeDocument/2006/relationships/hyperlink" Target="https://mechanical.mines.edu/project/zhu-huayang/" TargetMode="External"/><Relationship Id="rId2786" Type="http://schemas.openxmlformats.org/officeDocument/2006/relationships/hyperlink" Target="https://engineering.buffalo.edu/mechanical-aerospace/people/faculty/ladder.host.html/content/shared/engineering/mechanical-aerospace/profiles/zheng-minghui.detail.html" TargetMode="External"/><Relationship Id="rId2993" Type="http://schemas.openxmlformats.org/officeDocument/2006/relationships/hyperlink" Target="https://www.mae.seas.gwu.edu/node/766" TargetMode="External"/><Relationship Id="rId3837" Type="http://schemas.openxmlformats.org/officeDocument/2006/relationships/hyperlink" Target="https://www.engr.uky.edu/directory/poonawala-hasan" TargetMode="External"/><Relationship Id="rId5192" Type="http://schemas.openxmlformats.org/officeDocument/2006/relationships/hyperlink" Target="https://www.scu.edu/engineering/academic-programs/department-of-mechanical-engineering/faculty-and-staff/sepehrband.html" TargetMode="External"/><Relationship Id="rId5497" Type="http://schemas.openxmlformats.org/officeDocument/2006/relationships/hyperlink" Target="https://www.oakland.edu/secs/directory/yang" TargetMode="External"/><Relationship Id="rId106" Type="http://schemas.openxmlformats.org/officeDocument/2006/relationships/hyperlink" Target="https://meche.mit.edu/people/faculty/SACHS@MIT.EDU" TargetMode="External"/><Relationship Id="rId313" Type="http://schemas.openxmlformats.org/officeDocument/2006/relationships/hyperlink" Target="https://www.me.gatech.edu/faculty/mazumdar-0" TargetMode="External"/><Relationship Id="rId758" Type="http://schemas.openxmlformats.org/officeDocument/2006/relationships/hyperlink" Target="https://www.me.utexas.edu/people/faculty-directory/bard" TargetMode="External"/><Relationship Id="rId965" Type="http://schemas.openxmlformats.org/officeDocument/2006/relationships/hyperlink" Target="https://me.jhu.edu/faculty/steven-marra/" TargetMode="External"/><Relationship Id="rId1150" Type="http://schemas.openxmlformats.org/officeDocument/2006/relationships/hyperlink" Target="https://www.me.psu.edu/department/directory-detail-g.aspx?q=ASR20" TargetMode="External"/><Relationship Id="rId1388" Type="http://schemas.openxmlformats.org/officeDocument/2006/relationships/hyperlink" Target="https://me.vt.edu/people/faculty/hardy-warren.html" TargetMode="External"/><Relationship Id="rId1595" Type="http://schemas.openxmlformats.org/officeDocument/2006/relationships/hyperlink" Target="https://mae.osu.edu/people/khafizov.1" TargetMode="External"/><Relationship Id="rId2439" Type="http://schemas.openxmlformats.org/officeDocument/2006/relationships/hyperlink" Target="https://www.egr.msu.edu/people/profile/petrasc1" TargetMode="External"/><Relationship Id="rId2646" Type="http://schemas.openxmlformats.org/officeDocument/2006/relationships/hyperlink" Target="https://me.udel.edu/faculty/herbert-tanner/" TargetMode="External"/><Relationship Id="rId2853" Type="http://schemas.openxmlformats.org/officeDocument/2006/relationships/hyperlink" Target="https://me.engr.uconn.edu/blog/faculty/nguyen-thanh-duc/" TargetMode="External"/><Relationship Id="rId3904" Type="http://schemas.openxmlformats.org/officeDocument/2006/relationships/hyperlink" Target="https://mees.charlotte.edu/directory/bamdad-lessani" TargetMode="External"/><Relationship Id="rId4099" Type="http://schemas.openxmlformats.org/officeDocument/2006/relationships/hyperlink" Target="https://www.mne.k-state.edu/about/people/faculty/wang/" TargetMode="External"/><Relationship Id="rId5052" Type="http://schemas.openxmlformats.org/officeDocument/2006/relationships/hyperlink" Target="https://www.wichita.edu/profiles/academics/engineering/mechanical_engineering/01_Faculty/Asmatulu-Ramazan.php" TargetMode="External"/><Relationship Id="rId5357" Type="http://schemas.openxmlformats.org/officeDocument/2006/relationships/hyperlink" Target="https://www.fau.edu/engineering/directory/faculty/vanzwieten/" TargetMode="External"/><Relationship Id="rId94" Type="http://schemas.openxmlformats.org/officeDocument/2006/relationships/hyperlink" Target="https://meche.mit.edu/people/faculty/YANNAS@MIT.EDU" TargetMode="External"/><Relationship Id="rId520" Type="http://schemas.openxmlformats.org/officeDocument/2006/relationships/hyperlink" Target="https://me.engin.umich.edu/people/faculty/wenda-tan/" TargetMode="External"/><Relationship Id="rId618" Type="http://schemas.openxmlformats.org/officeDocument/2006/relationships/hyperlink" Target="https://engineering.purdue.edu/ME/People/ptProfile?resource_id=277732" TargetMode="External"/><Relationship Id="rId825" Type="http://schemas.openxmlformats.org/officeDocument/2006/relationships/hyperlink" Target="https://www.mccormick.northwestern.edu/mechanical/research/areas/robotics-autonomy.html" TargetMode="External"/><Relationship Id="rId1248" Type="http://schemas.openxmlformats.org/officeDocument/2006/relationships/hyperlink" Target="https://cse.umn.edu/me/michael-mcalpine" TargetMode="External"/><Relationship Id="rId1455" Type="http://schemas.openxmlformats.org/officeDocument/2006/relationships/hyperlink" Target="https://jacobsschool.ucsd.edu/faculty/profile?id=212" TargetMode="External"/><Relationship Id="rId1662" Type="http://schemas.openxmlformats.org/officeDocument/2006/relationships/hyperlink" Target="https://www.me.columbia.edu/faculty/bianca-howard" TargetMode="External"/><Relationship Id="rId2201" Type="http://schemas.openxmlformats.org/officeDocument/2006/relationships/hyperlink" Target="https://premium.usnews.com/best-graduate-schools/top-engineering-schools/iowa-state-university-02060" TargetMode="External"/><Relationship Id="rId2506" Type="http://schemas.openxmlformats.org/officeDocument/2006/relationships/hyperlink" Target="https://www.bu.edu/eng/profile/emma-lejeune/" TargetMode="External"/><Relationship Id="rId5564" Type="http://schemas.openxmlformats.org/officeDocument/2006/relationships/vmlDrawing" Target="../drawings/vmlDrawing1.vml"/><Relationship Id="rId1010" Type="http://schemas.openxmlformats.org/officeDocument/2006/relationships/hyperlink" Target="https://engineering.tamu.edu/mechanical/profiles/hipwell-m-cynthia.html" TargetMode="External"/><Relationship Id="rId1108" Type="http://schemas.openxmlformats.org/officeDocument/2006/relationships/hyperlink" Target="https://samueli.ucla.edu/people/kunihiko-taira/" TargetMode="External"/><Relationship Id="rId1315" Type="http://schemas.openxmlformats.org/officeDocument/2006/relationships/hyperlink" Target="https://directory.engr.wisc.edu/me/Faculty/Franck_Christian/" TargetMode="External"/><Relationship Id="rId1967" Type="http://schemas.openxmlformats.org/officeDocument/2006/relationships/hyperlink" Target="https://faculty.rpi.edu/johnson-samuel" TargetMode="External"/><Relationship Id="rId2713" Type="http://schemas.openxmlformats.org/officeDocument/2006/relationships/hyperlink" Target="https://drexel.edu/engineering/about/faculty-staff/J/jablokow-andrei/" TargetMode="External"/><Relationship Id="rId2920" Type="http://schemas.openxmlformats.org/officeDocument/2006/relationships/hyperlink" Target="https://www.engineering.pitt.edu/people/faculty/inanc-senocak/" TargetMode="External"/><Relationship Id="rId4166" Type="http://schemas.openxmlformats.org/officeDocument/2006/relationships/hyperlink" Target="https://www.depts.ttu.edu/me/faculty/kalana_pothuvila/index.php" TargetMode="External"/><Relationship Id="rId4373" Type="http://schemas.openxmlformats.org/officeDocument/2006/relationships/hyperlink" Target="https://www.ecs.baylor.edu/person/dr-lulin-jiang" TargetMode="External"/><Relationship Id="rId4580" Type="http://schemas.openxmlformats.org/officeDocument/2006/relationships/hyperlink" Target="https://www.ou.edu/coe/ame/people/song.html" TargetMode="External"/><Relationship Id="rId4678" Type="http://schemas.openxmlformats.org/officeDocument/2006/relationships/hyperlink" Target="https://www.sdsmt.edu/Directories/Personnel/McKeon,-Peter/" TargetMode="External"/><Relationship Id="rId5217" Type="http://schemas.openxmlformats.org/officeDocument/2006/relationships/hyperlink" Target="https://expertise.utep.edu/profiles/castellanosa" TargetMode="External"/><Relationship Id="rId5424" Type="http://schemas.openxmlformats.org/officeDocument/2006/relationships/hyperlink" Target="https://engineering.utulsa.edu/mechanical-engineering/faculty/profile/john-henshaw" TargetMode="External"/><Relationship Id="rId1522" Type="http://schemas.openxmlformats.org/officeDocument/2006/relationships/hyperlink" Target="https://mems.duke.edu/faculty/volker-blum" TargetMode="External"/><Relationship Id="rId4885" Type="http://schemas.openxmlformats.org/officeDocument/2006/relationships/hyperlink" Target="https://www.ncat.edu/employee-bio.php?directoryID=1633514228" TargetMode="External"/><Relationship Id="rId21" Type="http://schemas.openxmlformats.org/officeDocument/2006/relationships/hyperlink" Target="https://meche.mit.edu/people/faculty/buonassi@mit.edu" TargetMode="External"/><Relationship Id="rId2089" Type="http://schemas.openxmlformats.org/officeDocument/2006/relationships/hyperlink" Target="https://isearch.asu.edu/profile/1943720" TargetMode="External"/><Relationship Id="rId3487" Type="http://schemas.openxmlformats.org/officeDocument/2006/relationships/hyperlink" Target="https://www.iit.edu/directory/people/aleksandar-ostrogorsky" TargetMode="External"/><Relationship Id="rId3694" Type="http://schemas.openxmlformats.org/officeDocument/2006/relationships/hyperlink" Target="https://ceat.okstate.edu/mae/faculty-staff/faculty-bios/khaled-sallam.html" TargetMode="External"/><Relationship Id="rId4538" Type="http://schemas.openxmlformats.org/officeDocument/2006/relationships/hyperlink" Target="https://people.miami.edu/profile/a6643319443d32bfa39c015dc83634cd" TargetMode="External"/><Relationship Id="rId4745" Type="http://schemas.openxmlformats.org/officeDocument/2006/relationships/hyperlink" Target="http://me.hawaii.edu/kobayashi/" TargetMode="External"/><Relationship Id="rId4952" Type="http://schemas.openxmlformats.org/officeDocument/2006/relationships/hyperlink" Target="https://www.uab.edu/engineering/mme/people/faculty/gregg-janowski" TargetMode="External"/><Relationship Id="rId2296" Type="http://schemas.openxmlformats.org/officeDocument/2006/relationships/hyperlink" Target="https://www.mae.ncsu.edu/people/ksaul" TargetMode="External"/><Relationship Id="rId3347" Type="http://schemas.openxmlformats.org/officeDocument/2006/relationships/hyperlink" Target="https://www.me.uh.edu/faculty/rao" TargetMode="External"/><Relationship Id="rId3554" Type="http://schemas.openxmlformats.org/officeDocument/2006/relationships/hyperlink" Target="https://www.stevens.edu/profile/hjafarne" TargetMode="External"/><Relationship Id="rId3761" Type="http://schemas.openxmlformats.org/officeDocument/2006/relationships/hyperlink" Target="https://www.uta.edu/academics/faculty/profile?username=iarvee" TargetMode="External"/><Relationship Id="rId4605" Type="http://schemas.openxmlformats.org/officeDocument/2006/relationships/hyperlink" Target="https://uwm.edu/engineering/people/amano-ryoichi/" TargetMode="External"/><Relationship Id="rId4812" Type="http://schemas.openxmlformats.org/officeDocument/2006/relationships/hyperlink" Target="https://klesse.utsa.edu/faculty/profiles/millwater-harry.html" TargetMode="External"/><Relationship Id="rId268" Type="http://schemas.openxmlformats.org/officeDocument/2006/relationships/hyperlink" Target="https://www.me.gatech.edu/faculty/chen-0" TargetMode="External"/><Relationship Id="rId475" Type="http://schemas.openxmlformats.org/officeDocument/2006/relationships/hyperlink" Target="https://me.engin.umich.edu/people/faculty/jerard-gordon/" TargetMode="External"/><Relationship Id="rId682" Type="http://schemas.openxmlformats.org/officeDocument/2006/relationships/hyperlink" Target="https://www.engineering.cornell.edu/faculty-directory/sadaf-sobhani" TargetMode="External"/><Relationship Id="rId2156" Type="http://schemas.openxmlformats.org/officeDocument/2006/relationships/hyperlink" Target="https://mae.ucdavis.edu/directory/iman-soltani" TargetMode="External"/><Relationship Id="rId2363" Type="http://schemas.openxmlformats.org/officeDocument/2006/relationships/hyperlink" Target="https://engineering.wustl.edu/faculty/Mark-Jakiela.html" TargetMode="External"/><Relationship Id="rId2570" Type="http://schemas.openxmlformats.org/officeDocument/2006/relationships/hyperlink" Target="https://mechanical.mines.edu/project/sullivan-neal/" TargetMode="External"/><Relationship Id="rId3207" Type="http://schemas.openxmlformats.org/officeDocument/2006/relationships/hyperlink" Target="https://mabe.utk.edu/people/john-schmisseur/" TargetMode="External"/><Relationship Id="rId3414" Type="http://schemas.openxmlformats.org/officeDocument/2006/relationships/hyperlink" Target="https://www.wpi.edu/people/faculty/jianyul" TargetMode="External"/><Relationship Id="rId3621" Type="http://schemas.openxmlformats.org/officeDocument/2006/relationships/hyperlink" Target="https://me.utdallas.edu/faculty-staff/hui-ouyang/" TargetMode="External"/><Relationship Id="rId128" Type="http://schemas.openxmlformats.org/officeDocument/2006/relationships/hyperlink" Target="https://meche.mit.edu/people/staff/wplummer@mit.edu" TargetMode="External"/><Relationship Id="rId335" Type="http://schemas.openxmlformats.org/officeDocument/2006/relationships/hyperlink" Target="https://www.me.gatech.edu/faculty/sitaraman" TargetMode="External"/><Relationship Id="rId542" Type="http://schemas.openxmlformats.org/officeDocument/2006/relationships/hyperlink" Target="https://engineering.purdue.edu/ME/People/ptProfile?resource_id=11316" TargetMode="External"/><Relationship Id="rId1172" Type="http://schemas.openxmlformats.org/officeDocument/2006/relationships/hyperlink" Target="https://enme.umd.edu/clark/faculty/511/Amr-Baz" TargetMode="External"/><Relationship Id="rId2016" Type="http://schemas.openxmlformats.org/officeDocument/2006/relationships/hyperlink" Target="https://ame.nd.edu/faculty/meenal-datta/" TargetMode="External"/><Relationship Id="rId2223" Type="http://schemas.openxmlformats.org/officeDocument/2006/relationships/hyperlink" Target="https://www.me.iastate.edu/faculty/profile/jjuarez" TargetMode="External"/><Relationship Id="rId2430" Type="http://schemas.openxmlformats.org/officeDocument/2006/relationships/hyperlink" Target="https://www.egr.msu.edu/people/profile/modaresh" TargetMode="External"/><Relationship Id="rId5379" Type="http://schemas.openxmlformats.org/officeDocument/2006/relationships/hyperlink" Target="https://nau.edu/mechanical-engineering/michael-shafer/" TargetMode="External"/><Relationship Id="rId402" Type="http://schemas.openxmlformats.org/officeDocument/2006/relationships/hyperlink" Target="https://mechse.illinois.edu/people/profile/krier" TargetMode="External"/><Relationship Id="rId1032" Type="http://schemas.openxmlformats.org/officeDocument/2006/relationships/hyperlink" Target="https://engineering.tamu.edu/mechanical/profiles/mathieu-olivier.html" TargetMode="External"/><Relationship Id="rId4188" Type="http://schemas.openxmlformats.org/officeDocument/2006/relationships/hyperlink" Target="http://engineering.uga.edu/people/profile/eric-freeman1" TargetMode="External"/><Relationship Id="rId4395" Type="http://schemas.openxmlformats.org/officeDocument/2006/relationships/hyperlink" Target="https://eng.famu.fsu.edu/me/people/guo" TargetMode="External"/><Relationship Id="rId5239" Type="http://schemas.openxmlformats.org/officeDocument/2006/relationships/hyperlink" Target="https://www.uidaho.edu/engr/departments/me/our-people/faculty/gianluca-blois" TargetMode="External"/><Relationship Id="rId5446" Type="http://schemas.openxmlformats.org/officeDocument/2006/relationships/hyperlink" Target="https://wmich.edu/mechanical-aerospace/directory/kim" TargetMode="External"/><Relationship Id="rId1989" Type="http://schemas.openxmlformats.org/officeDocument/2006/relationships/hyperlink" Target="https://me.ucsb.edu/people/robert-mcmeeking" TargetMode="External"/><Relationship Id="rId4048" Type="http://schemas.openxmlformats.org/officeDocument/2006/relationships/hyperlink" Target="https://www.clarkson.edu/node/5566" TargetMode="External"/><Relationship Id="rId4255" Type="http://schemas.openxmlformats.org/officeDocument/2006/relationships/hyperlink" Target="https://engineering.missouri.edu/faculty/yuyi-lin/" TargetMode="External"/><Relationship Id="rId5306" Type="http://schemas.openxmlformats.org/officeDocument/2006/relationships/hyperlink" Target="https://mechanical.engineering.unt.edu/faculty/hamid-sadat" TargetMode="External"/><Relationship Id="rId1849" Type="http://schemas.openxmlformats.org/officeDocument/2006/relationships/hyperlink" Target="https://www.me.washington.edu/people/faculty/peter_dahl" TargetMode="External"/><Relationship Id="rId3064" Type="http://schemas.openxmlformats.org/officeDocument/2006/relationships/hyperlink" Target="https://works.bepress.com/k-krishnamurthy/about/" TargetMode="External"/><Relationship Id="rId4462" Type="http://schemas.openxmlformats.org/officeDocument/2006/relationships/hyperlink" Target="https://www.me.msstate.edu/people/faculty/alejandro-martinez/" TargetMode="External"/><Relationship Id="rId5513" Type="http://schemas.openxmlformats.org/officeDocument/2006/relationships/hyperlink" Target="https://www.slu.edu/science-and-engineering/academics/aerospace-and-mechanical-engineering/faculty/index.php" TargetMode="External"/><Relationship Id="rId192" Type="http://schemas.openxmlformats.org/officeDocument/2006/relationships/hyperlink" Target="https://mce.caltech.edu/people" TargetMode="External"/><Relationship Id="rId1709" Type="http://schemas.openxmlformats.org/officeDocument/2006/relationships/hyperlink" Target="https://www.colorado.edu/mechanical/robert-maccurdy" TargetMode="External"/><Relationship Id="rId1916" Type="http://schemas.openxmlformats.org/officeDocument/2006/relationships/hyperlink" Target="https://engineering.brown.edu/people/nitin-padture" TargetMode="External"/><Relationship Id="rId3271" Type="http://schemas.openxmlformats.org/officeDocument/2006/relationships/hyperlink" Target="https://engineering.nyu.edu/faculty/katepalli-sreenivasan" TargetMode="External"/><Relationship Id="rId4115" Type="http://schemas.openxmlformats.org/officeDocument/2006/relationships/hyperlink" Target="https://mechanical.sdsu.edu/people/fletcher-miller.aspx" TargetMode="External"/><Relationship Id="rId4322" Type="http://schemas.openxmlformats.org/officeDocument/2006/relationships/hyperlink" Target="http://egr.vcu.edu/directory/zeyun.wu/" TargetMode="External"/><Relationship Id="rId2080" Type="http://schemas.openxmlformats.org/officeDocument/2006/relationships/hyperlink" Target="https://seas.yale.edu/faculty-research/faculty-directory/udo-d-schwarz" TargetMode="External"/><Relationship Id="rId3131" Type="http://schemas.openxmlformats.org/officeDocument/2006/relationships/hyperlink" Target="https://mie.uic.edu/profiles/jeremiah-abiade-phd/" TargetMode="External"/><Relationship Id="rId2897" Type="http://schemas.openxmlformats.org/officeDocument/2006/relationships/hyperlink" Target="https://www.engineering.pitt.edu/people/faculty/matthew-barry/" TargetMode="External"/><Relationship Id="rId3948" Type="http://schemas.openxmlformats.org/officeDocument/2006/relationships/hyperlink" Target="http://www.hajim.rochester.edu/me/people/faculty/perucchio_renato/index.html" TargetMode="External"/><Relationship Id="rId5096" Type="http://schemas.openxmlformats.org/officeDocument/2006/relationships/hyperlink" Target="https://mme.fiu.edu/faculty-staff-members/dr-aaron-tallman" TargetMode="External"/><Relationship Id="rId869" Type="http://schemas.openxmlformats.org/officeDocument/2006/relationships/hyperlink" Target="https://www.mccormick.northwestern.edu/research-faculty/directory/profiles/huang-yonggang.html" TargetMode="External"/><Relationship Id="rId1499" Type="http://schemas.openxmlformats.org/officeDocument/2006/relationships/hyperlink" Target="https://jacobsschool.ucsd.edu/faculty/profile?id=520" TargetMode="External"/><Relationship Id="rId5163" Type="http://schemas.openxmlformats.org/officeDocument/2006/relationships/hyperlink" Target="https://www.ohio.edu/engineering/about/people/wilhelj1" TargetMode="External"/><Relationship Id="rId5370" Type="http://schemas.openxmlformats.org/officeDocument/2006/relationships/hyperlink" Target="https://nau.edu/mechanical-engineering/subhayan-de/" TargetMode="External"/><Relationship Id="rId729" Type="http://schemas.openxmlformats.org/officeDocument/2006/relationships/hyperlink" Target="https://www.meche.engineering.cmu.edu/directory/bios/kang-inseung.html" TargetMode="External"/><Relationship Id="rId1359" Type="http://schemas.openxmlformats.org/officeDocument/2006/relationships/hyperlink" Target="https://directory.engr.wisc.edu/me/Faculty/Cheadle_Michael/" TargetMode="External"/><Relationship Id="rId2757" Type="http://schemas.openxmlformats.org/officeDocument/2006/relationships/hyperlink" Target="https://engineering.buffalo.edu/mechanical-aerospace/people/faculty/ladder.host.html/content/shared/engineering/mechanical-aerospace/profiles/botta-eleonora.detail.html" TargetMode="External"/><Relationship Id="rId2964" Type="http://schemas.openxmlformats.org/officeDocument/2006/relationships/hyperlink" Target="http://eng.auburn.edu/directory/harridk" TargetMode="External"/><Relationship Id="rId3808" Type="http://schemas.openxmlformats.org/officeDocument/2006/relationships/hyperlink" Target="https://www.engr.uky.edu/directory/akafuah-nelson" TargetMode="External"/><Relationship Id="rId5023" Type="http://schemas.openxmlformats.org/officeDocument/2006/relationships/hyperlink" Target="https://www.unr.edu/me/people/mustafa-hadj-nacer" TargetMode="External"/><Relationship Id="rId5230" Type="http://schemas.openxmlformats.org/officeDocument/2006/relationships/hyperlink" Target="https://expertise.utep.edu/profiles/frmedina" TargetMode="External"/><Relationship Id="rId936" Type="http://schemas.openxmlformats.org/officeDocument/2006/relationships/hyperlink" Target="https://www.mccormick.northwestern.edu/mechanical/research/areas/robotics-autonomy.html" TargetMode="External"/><Relationship Id="rId1219" Type="http://schemas.openxmlformats.org/officeDocument/2006/relationships/hyperlink" Target="https://enme.umd.edu/clark/faculty/1165/Steve-Mitchell" TargetMode="External"/><Relationship Id="rId1566" Type="http://schemas.openxmlformats.org/officeDocument/2006/relationships/hyperlink" Target="https://mae.osu.edu/directory/faculty" TargetMode="External"/><Relationship Id="rId1773" Type="http://schemas.openxmlformats.org/officeDocument/2006/relationships/hyperlink" Target="https://mae.ufl.edu/people/faculty/primary/associate-professor/profiles/john-conklin/" TargetMode="External"/><Relationship Id="rId1980" Type="http://schemas.openxmlformats.org/officeDocument/2006/relationships/hyperlink" Target="https://me.ucsb.edu/people/samantha-daly" TargetMode="External"/><Relationship Id="rId2617" Type="http://schemas.openxmlformats.org/officeDocument/2006/relationships/hyperlink" Target="https://mae.rutgers.edu/qingze-zou" TargetMode="External"/><Relationship Id="rId2824" Type="http://schemas.openxmlformats.org/officeDocument/2006/relationships/hyperlink" Target="https://ame.engineering.arizona.edu/faculty-staff/faculty/vitaliy-yurkiv" TargetMode="External"/><Relationship Id="rId65" Type="http://schemas.openxmlformats.org/officeDocument/2006/relationships/hyperlink" Target="https://meche.mit.edu/people/faculty/ritur@mit.edu" TargetMode="External"/><Relationship Id="rId1426" Type="http://schemas.openxmlformats.org/officeDocument/2006/relationships/hyperlink" Target="https://me.vt.edu/people/faculty/west-robert.html" TargetMode="External"/><Relationship Id="rId1633" Type="http://schemas.openxmlformats.org/officeDocument/2006/relationships/hyperlink" Target="https://premium.usnews.com/best-graduate-schools/top-engineering-schools/rice-university-02171" TargetMode="External"/><Relationship Id="rId1840" Type="http://schemas.openxmlformats.org/officeDocument/2006/relationships/hyperlink" Target="https://premium.usnews.com/best-graduate-schools/top-engineering-schools/university-of-washington-seattle-campus-02188" TargetMode="External"/><Relationship Id="rId4789" Type="http://schemas.openxmlformats.org/officeDocument/2006/relationships/hyperlink" Target="https://ceps.unh.edu/person/igor-tsukrov" TargetMode="External"/><Relationship Id="rId4996" Type="http://schemas.openxmlformats.org/officeDocument/2006/relationships/hyperlink" Target="https://engineering.louisville.edu/faculty/christopher-richards/" TargetMode="External"/><Relationship Id="rId1700" Type="http://schemas.openxmlformats.org/officeDocument/2006/relationships/hyperlink" Target="https://www.colorado.edu/mechanical/svenja-knappe" TargetMode="External"/><Relationship Id="rId3598" Type="http://schemas.openxmlformats.org/officeDocument/2006/relationships/hyperlink" Target="https://ecs.syracuse.edu/faculty-staff/yeqing-wang" TargetMode="External"/><Relationship Id="rId4649" Type="http://schemas.openxmlformats.org/officeDocument/2006/relationships/hyperlink" Target="https://mae.nmsu.edu/people/faculty.html" TargetMode="External"/><Relationship Id="rId4856" Type="http://schemas.openxmlformats.org/officeDocument/2006/relationships/hyperlink" Target="https://engineering.wayne.edu/profile/af8007" TargetMode="External"/><Relationship Id="rId3458" Type="http://schemas.openxmlformats.org/officeDocument/2006/relationships/hyperlink" Target="https://compliantmechanisms.byu.edu/" TargetMode="External"/><Relationship Id="rId3665" Type="http://schemas.openxmlformats.org/officeDocument/2006/relationships/hyperlink" Target="https://profiles.ucr.edu/app/home/profile/guanshxu" TargetMode="External"/><Relationship Id="rId3872" Type="http://schemas.openxmlformats.org/officeDocument/2006/relationships/hyperlink" Target="https://engineering.unl.edu/mme/faculty/fanben-meng/" TargetMode="External"/><Relationship Id="rId4509" Type="http://schemas.openxmlformats.org/officeDocument/2006/relationships/hyperlink" Target="https://udayton.edu/directory/engineering/mechanical_and_aerospace/kashani_reza.php" TargetMode="External"/><Relationship Id="rId4716" Type="http://schemas.openxmlformats.org/officeDocument/2006/relationships/hyperlink" Target="https://eas.uccs.edu/mae/faculty/Dr_Michael_Larson" TargetMode="External"/><Relationship Id="rId379" Type="http://schemas.openxmlformats.org/officeDocument/2006/relationships/hyperlink" Target="https://mechse.illinois.edu/people/profile/ertekin" TargetMode="External"/><Relationship Id="rId586" Type="http://schemas.openxmlformats.org/officeDocument/2006/relationships/hyperlink" Target="https://engineering.purdue.edu/ME/People/ptProfile?resource_id=286292" TargetMode="External"/><Relationship Id="rId793" Type="http://schemas.openxmlformats.org/officeDocument/2006/relationships/hyperlink" Target="https://www.me.utexas.edu/people/faculty-directory/liu" TargetMode="External"/><Relationship Id="rId2267" Type="http://schemas.openxmlformats.org/officeDocument/2006/relationships/hyperlink" Target="https://www.mae.ncsu.edu/people/tfang2" TargetMode="External"/><Relationship Id="rId2474" Type="http://schemas.openxmlformats.org/officeDocument/2006/relationships/hyperlink" Target="https://engineering.vanderbilt.edu/bio/kevin-galloway" TargetMode="External"/><Relationship Id="rId2681" Type="http://schemas.openxmlformats.org/officeDocument/2006/relationships/hyperlink" Target="https://www.clemson.edu/cecas/departments/me/people/faculty/sun.html" TargetMode="External"/><Relationship Id="rId3318" Type="http://schemas.openxmlformats.org/officeDocument/2006/relationships/hyperlink" Target="https://researchdirectory.uc.edu/p/spitzh" TargetMode="External"/><Relationship Id="rId3525" Type="http://schemas.openxmlformats.org/officeDocument/2006/relationships/hyperlink" Target="https://www.mtu.edu/mechanical/people/faculty/naber/" TargetMode="External"/><Relationship Id="rId4923" Type="http://schemas.openxmlformats.org/officeDocument/2006/relationships/hyperlink" Target="https://uakron.edu/engineering/me/our-people/profile.dot?u=ydong" TargetMode="External"/><Relationship Id="rId239" Type="http://schemas.openxmlformats.org/officeDocument/2006/relationships/hyperlink" Target="https://me.berkeley.edu/people/mohammad-r-k-mofrad/" TargetMode="External"/><Relationship Id="rId446" Type="http://schemas.openxmlformats.org/officeDocument/2006/relationships/hyperlink" Target="https://me.engin.umich.edu/people/faculty/mihaela-banu/" TargetMode="External"/><Relationship Id="rId653" Type="http://schemas.openxmlformats.org/officeDocument/2006/relationships/hyperlink" Target="https://www.engineering.cornell.edu/faculty-directory/hadas-kress-gazit" TargetMode="External"/><Relationship Id="rId1076" Type="http://schemas.openxmlformats.org/officeDocument/2006/relationships/hyperlink" Target="https://samueli.ucla.edu/people/gregory-carman/" TargetMode="External"/><Relationship Id="rId1283" Type="http://schemas.openxmlformats.org/officeDocument/2006/relationships/hyperlink" Target="https://directory.seas.upenn.edu/daniel-e-koditschek/" TargetMode="External"/><Relationship Id="rId1490" Type="http://schemas.openxmlformats.org/officeDocument/2006/relationships/hyperlink" Target="https://profiles.ucsd.edu/alessandro.marinoni?_gl=1*180933j*_ga*NjQzNjk2MDM4LjE3MDEzODA3MDM.*_ga_PWJGRGMV0T*MTcwMTU3MDg4NC4yLjEuMTcwMTU3MTQwOS4wLjAuMA.." TargetMode="External"/><Relationship Id="rId2127" Type="http://schemas.openxmlformats.org/officeDocument/2006/relationships/hyperlink" Target="https://mae.ucdavis.edu/directory" TargetMode="External"/><Relationship Id="rId2334" Type="http://schemas.openxmlformats.org/officeDocument/2006/relationships/hyperlink" Target="https://engineering.virginia.edu/faculty/frank-lagor" TargetMode="External"/><Relationship Id="rId3732" Type="http://schemas.openxmlformats.org/officeDocument/2006/relationships/hyperlink" Target="https://eng.ua.edu/eng-directory/dr-alexey-n-volkov/" TargetMode="External"/><Relationship Id="rId306" Type="http://schemas.openxmlformats.org/officeDocument/2006/relationships/hyperlink" Target="https://www.me.gatech.edu/faculty/lee-0" TargetMode="External"/><Relationship Id="rId860" Type="http://schemas.openxmlformats.org/officeDocument/2006/relationships/hyperlink" Target="https://www.mccormick.northwestern.edu/research-faculty/directory/profiles/ghosal-sandip.html" TargetMode="External"/><Relationship Id="rId1143" Type="http://schemas.openxmlformats.org/officeDocument/2006/relationships/hyperlink" Target="https://www.me.psu.edu/department/directory-detail-g.aspx?q=jsn5211" TargetMode="External"/><Relationship Id="rId2541" Type="http://schemas.openxmlformats.org/officeDocument/2006/relationships/hyperlink" Target="https://mechanical.mines.edu/project/duran-adam/" TargetMode="External"/><Relationship Id="rId4299" Type="http://schemas.openxmlformats.org/officeDocument/2006/relationships/hyperlink" Target="http://egr.vcu.edu/directory/radhika.barua/" TargetMode="External"/><Relationship Id="rId513" Type="http://schemas.openxmlformats.org/officeDocument/2006/relationships/hyperlink" Target="https://me.engin.umich.edu/people/faculty/alex-shorter/" TargetMode="External"/><Relationship Id="rId720" Type="http://schemas.openxmlformats.org/officeDocument/2006/relationships/hyperlink" Target="https://www.meche.engineering.cmu.edu/directory/bios/bolmin-ophelia.html" TargetMode="External"/><Relationship Id="rId1350" Type="http://schemas.openxmlformats.org/officeDocument/2006/relationships/hyperlink" Target="https://directory.engr.wisc.edu/me/Faculty/Turng_Lih-sheng/" TargetMode="External"/><Relationship Id="rId2401" Type="http://schemas.openxmlformats.org/officeDocument/2006/relationships/hyperlink" Target="https://engineering.case.edu/about/school-directory/mohammad-kassemi" TargetMode="External"/><Relationship Id="rId4159" Type="http://schemas.openxmlformats.org/officeDocument/2006/relationships/hyperlink" Target="https://www.depts.ttu.edu/me/faculty/jingfei_liu/index.php" TargetMode="External"/><Relationship Id="rId5557" Type="http://schemas.openxmlformats.org/officeDocument/2006/relationships/hyperlink" Target="https://www.udmercy.edu/about/people/university/ces/deans-office/hill-richard" TargetMode="External"/><Relationship Id="rId1003" Type="http://schemas.openxmlformats.org/officeDocument/2006/relationships/hyperlink" Target="https://engineering.tamu.edu/mechanical/profiles/gao-wei.html" TargetMode="External"/><Relationship Id="rId1210" Type="http://schemas.openxmlformats.org/officeDocument/2006/relationships/hyperlink" Target="https://enme.umd.edu/clark/faculty/597/Jelena-Srebric" TargetMode="External"/><Relationship Id="rId4366" Type="http://schemas.openxmlformats.org/officeDocument/2006/relationships/hyperlink" Target="https://www.ecs.baylor.edu/person/dr-paul-ro" TargetMode="External"/><Relationship Id="rId4573" Type="http://schemas.openxmlformats.org/officeDocument/2006/relationships/hyperlink" Target="https://www.ou.edu/coe/ame/people/merchan-merchan.html" TargetMode="External"/><Relationship Id="rId4780" Type="http://schemas.openxmlformats.org/officeDocument/2006/relationships/hyperlink" Target="https://ceps.unh.edu/person/marko-knezevic" TargetMode="External"/><Relationship Id="rId5417" Type="http://schemas.openxmlformats.org/officeDocument/2006/relationships/hyperlink" Target="https://www.memphis.edu/me/" TargetMode="External"/><Relationship Id="rId3175" Type="http://schemas.openxmlformats.org/officeDocument/2006/relationships/hyperlink" Target="https://mabe.utk.edu/people/dustin-crouch/" TargetMode="External"/><Relationship Id="rId3382" Type="http://schemas.openxmlformats.org/officeDocument/2006/relationships/hyperlink" Target="https://mme.wsu.edu/faculty/dustin-mclarty/" TargetMode="External"/><Relationship Id="rId4019" Type="http://schemas.openxmlformats.org/officeDocument/2006/relationships/hyperlink" Target="https://www.binghamton.edu/mechanical-engineering/people/profile.html?id=bahgat" TargetMode="External"/><Relationship Id="rId4226" Type="http://schemas.openxmlformats.org/officeDocument/2006/relationships/hyperlink" Target="https://me.ku.edu/people/theodore-l-bergman" TargetMode="External"/><Relationship Id="rId4433" Type="http://schemas.openxmlformats.org/officeDocument/2006/relationships/hyperlink" Target="https://www.lsu.edu/eng/mie/people/faculty/moldovan.php" TargetMode="External"/><Relationship Id="rId4640" Type="http://schemas.openxmlformats.org/officeDocument/2006/relationships/hyperlink" Target="https://profiles.howard.edu/emmanuel-glakpe" TargetMode="External"/><Relationship Id="rId2191" Type="http://schemas.openxmlformats.org/officeDocument/2006/relationships/hyperlink" Target="https://engineering.uci.edu/users/andrei-shkel" TargetMode="External"/><Relationship Id="rId3035" Type="http://schemas.openxmlformats.org/officeDocument/2006/relationships/hyperlink" Target="https://engineering.lehigh.edu/meche/faculty/960" TargetMode="External"/><Relationship Id="rId3242" Type="http://schemas.openxmlformats.org/officeDocument/2006/relationships/hyperlink" Target="https://www.engr.colostate.edu/me/faculty/dr-amit-haren-munshi/" TargetMode="External"/><Relationship Id="rId4500" Type="http://schemas.openxmlformats.org/officeDocument/2006/relationships/hyperlink" Target="https://me.ucmerced.edu/content/james-palko" TargetMode="External"/><Relationship Id="rId163" Type="http://schemas.openxmlformats.org/officeDocument/2006/relationships/hyperlink" Target="https://me.stanford.edu/people/arunava-majumdar" TargetMode="External"/><Relationship Id="rId370" Type="http://schemas.openxmlformats.org/officeDocument/2006/relationships/hyperlink" Target="https://mechse.illinois.edu/people/profile/brewster" TargetMode="External"/><Relationship Id="rId2051" Type="http://schemas.openxmlformats.org/officeDocument/2006/relationships/hyperlink" Target="https://ame.nd.edu/faculty/michael-j-seelinger/" TargetMode="External"/><Relationship Id="rId3102" Type="http://schemas.openxmlformats.org/officeDocument/2006/relationships/hyperlink" Target="https://nps.edu/faculty-profiles/-/cv/jki1" TargetMode="External"/><Relationship Id="rId230" Type="http://schemas.openxmlformats.org/officeDocument/2006/relationships/hyperlink" Target="https://me.berkeley.edu/people/homayoon-kazerooni/" TargetMode="External"/><Relationship Id="rId5067" Type="http://schemas.openxmlformats.org/officeDocument/2006/relationships/hyperlink" Target="https://www.csuohio.edu/engineering/mce/asuquo-b-ebiana-phd" TargetMode="External"/><Relationship Id="rId5274" Type="http://schemas.openxmlformats.org/officeDocument/2006/relationships/hyperlink" Target="https://www.unlv.edu/people/samir-moujaes" TargetMode="External"/><Relationship Id="rId2868" Type="http://schemas.openxmlformats.org/officeDocument/2006/relationships/hyperlink" Target="https://engineering.uiowa.edu/people/me-people/me-faculty" TargetMode="External"/><Relationship Id="rId3919" Type="http://schemas.openxmlformats.org/officeDocument/2006/relationships/hyperlink" Target="https://mees.charlotte.edu/directory/jun-xu" TargetMode="External"/><Relationship Id="rId4083" Type="http://schemas.openxmlformats.org/officeDocument/2006/relationships/hyperlink" Target="https://www.mne.k-state.edu/about/people/faculty/betz/" TargetMode="External"/><Relationship Id="rId5481" Type="http://schemas.openxmlformats.org/officeDocument/2006/relationships/hyperlink" Target="https://www.oakland.edu/secs/directory/sangeorzan" TargetMode="External"/><Relationship Id="rId1677" Type="http://schemas.openxmlformats.org/officeDocument/2006/relationships/hyperlink" Target="https://www.colorado.edu/mechanical/andrew-affrunti" TargetMode="External"/><Relationship Id="rId1884" Type="http://schemas.openxmlformats.org/officeDocument/2006/relationships/hyperlink" Target="https://engineering.brown.edu/people/jesse-ault" TargetMode="External"/><Relationship Id="rId2728" Type="http://schemas.openxmlformats.org/officeDocument/2006/relationships/hyperlink" Target="https://drexel.edu/engineering/about/faculty-staff/Z/zavaliangos-antonios/" TargetMode="External"/><Relationship Id="rId2935" Type="http://schemas.openxmlformats.org/officeDocument/2006/relationships/hyperlink" Target="https://www.engineering.pitt.edu/people/faculty/daniel-lamont/" TargetMode="External"/><Relationship Id="rId4290" Type="http://schemas.openxmlformats.org/officeDocument/2006/relationships/hyperlink" Target="https://www1.villanova.edu/university/engineering/academic-programs/departments/mechanical/directory/biodetail.html?mail=alfonso.ortega@villanova.edu&amp;xsl=bio_long" TargetMode="External"/><Relationship Id="rId5134" Type="http://schemas.openxmlformats.org/officeDocument/2006/relationships/hyperlink" Target="https://coes.latech.edu/facultystaff-directory/single-entry/name/louis-reis/" TargetMode="External"/><Relationship Id="rId5341" Type="http://schemas.openxmlformats.org/officeDocument/2006/relationships/hyperlink" Target="https://www.fau.edu/engineering/directory/faculty/du/" TargetMode="External"/><Relationship Id="rId907" Type="http://schemas.openxmlformats.org/officeDocument/2006/relationships/hyperlink" Target="https://www.mccormick.northwestern.edu/mechanical/research/areas/computational-engineering.html" TargetMode="External"/><Relationship Id="rId1537" Type="http://schemas.openxmlformats.org/officeDocument/2006/relationships/hyperlink" Target="https://mems.duke.edu/faculty/brian-mann" TargetMode="External"/><Relationship Id="rId1744" Type="http://schemas.openxmlformats.org/officeDocument/2006/relationships/hyperlink" Target="https://mae.ufl.edu/people/faculty/primary/professor/profiles/prabir-barooah/" TargetMode="External"/><Relationship Id="rId1951" Type="http://schemas.openxmlformats.org/officeDocument/2006/relationships/hyperlink" Target="https://engineering.brown.edu/people/celinda-kofron" TargetMode="External"/><Relationship Id="rId4150" Type="http://schemas.openxmlformats.org/officeDocument/2006/relationships/hyperlink" Target="https://www.depts.ttu.edu/me/faculty/stephen_ekwaro-osire/index.php" TargetMode="External"/><Relationship Id="rId5201" Type="http://schemas.openxmlformats.org/officeDocument/2006/relationships/hyperlink" Target="https://engineering.siu.edu/me/faculty-staff/faculty/farhang.php" TargetMode="External"/><Relationship Id="rId36" Type="http://schemas.openxmlformats.org/officeDocument/2006/relationships/hyperlink" Target="https://meche.mit.edu/people/faculty/guom@mit.edu" TargetMode="External"/><Relationship Id="rId1604" Type="http://schemas.openxmlformats.org/officeDocument/2006/relationships/hyperlink" Target="https://mae.osu.edu/people/metzler.136" TargetMode="External"/><Relationship Id="rId4010" Type="http://schemas.openxmlformats.org/officeDocument/2006/relationships/hyperlink" Target="https://www.binghamton.edu/mechanical-engineering/people/profile.html?id=cdaskiran" TargetMode="External"/><Relationship Id="rId4967" Type="http://schemas.openxmlformats.org/officeDocument/2006/relationships/hyperlink" Target="https://ritchieschool.du.edu/about/people/joe-d-hoffman" TargetMode="External"/><Relationship Id="rId1811" Type="http://schemas.openxmlformats.org/officeDocument/2006/relationships/hyperlink" Target="https://viterbi.usc.edu/directory/faculty/Kanso/Eva" TargetMode="External"/><Relationship Id="rId3569" Type="http://schemas.openxmlformats.org/officeDocument/2006/relationships/hyperlink" Target="https://www.stevens.edu/profile/eyang" TargetMode="External"/><Relationship Id="rId697" Type="http://schemas.openxmlformats.org/officeDocument/2006/relationships/hyperlink" Target="https://mae.princeton.edu/people/faculty/hatzell" TargetMode="External"/><Relationship Id="rId2378" Type="http://schemas.openxmlformats.org/officeDocument/2006/relationships/hyperlink" Target="https://engineering.wustl.edu/faculty/Louis-Woodhams.html" TargetMode="External"/><Relationship Id="rId3429" Type="http://schemas.openxmlformats.org/officeDocument/2006/relationships/hyperlink" Target="https://www.wpi.edu/people/faculty/vvantsevich" TargetMode="External"/><Relationship Id="rId3776" Type="http://schemas.openxmlformats.org/officeDocument/2006/relationships/hyperlink" Target="https://www.uta.edu/academics/faculty/profile?username=shayestehmogn" TargetMode="External"/><Relationship Id="rId3983" Type="http://schemas.openxmlformats.org/officeDocument/2006/relationships/hyperlink" Target="https://sc.edu/study/colleges_schools/engineering_and_computing/faculty-staff/dongkyulee.php" TargetMode="External"/><Relationship Id="rId4827" Type="http://schemas.openxmlformats.org/officeDocument/2006/relationships/hyperlink" Target="https://engineering.usu.edu/mae/people/faculty/berke-ryan.php" TargetMode="External"/><Relationship Id="rId1187" Type="http://schemas.openxmlformats.org/officeDocument/2006/relationships/hyperlink" Target="https://enme.umd.edu/clark/faculty/1618/Samuel-GrahamJr" TargetMode="External"/><Relationship Id="rId2585" Type="http://schemas.openxmlformats.org/officeDocument/2006/relationships/hyperlink" Target="https://mae.rutgers.edu/onur-bilgen" TargetMode="External"/><Relationship Id="rId2792" Type="http://schemas.openxmlformats.org/officeDocument/2006/relationships/hyperlink" Target="https://engineering.buffalo.edu/mechanical-aerospace/people/faculty/teaching.host.html/content/shared/engineering/mechanical-aerospace/profiles/estes-aaron.detail.html" TargetMode="External"/><Relationship Id="rId3636" Type="http://schemas.openxmlformats.org/officeDocument/2006/relationships/hyperlink" Target="https://me.utdallas.edu/faculty-staff/kianoosh-yousefi/" TargetMode="External"/><Relationship Id="rId3843" Type="http://schemas.openxmlformats.org/officeDocument/2006/relationships/hyperlink" Target="https://www.engr.uky.edu/directory/sekulic-dusan" TargetMode="External"/><Relationship Id="rId557" Type="http://schemas.openxmlformats.org/officeDocument/2006/relationships/hyperlink" Target="https://engineering.purdue.edu/ME/People/ptProfile?resource_id=12482" TargetMode="External"/><Relationship Id="rId764" Type="http://schemas.openxmlformats.org/officeDocument/2006/relationships/hyperlink" Target="https://www.me.utexas.edu/people/faculty-directory/bollapragada" TargetMode="External"/><Relationship Id="rId971" Type="http://schemas.openxmlformats.org/officeDocument/2006/relationships/hyperlink" Target="https://me.jhu.edu/faculty/rui-ni/" TargetMode="External"/><Relationship Id="rId1394" Type="http://schemas.openxmlformats.org/officeDocument/2006/relationships/hyperlink" Target="https://me.vt.edu/people/faculty/komendera-erik.html" TargetMode="External"/><Relationship Id="rId2238" Type="http://schemas.openxmlformats.org/officeDocument/2006/relationships/hyperlink" Target="https://www.me.iastate.edu/faculty/profile/albertop" TargetMode="External"/><Relationship Id="rId2445" Type="http://schemas.openxmlformats.org/officeDocument/2006/relationships/hyperlink" Target="https://www.egr.msu.edu/people/profile/sepulve6" TargetMode="External"/><Relationship Id="rId2652" Type="http://schemas.openxmlformats.org/officeDocument/2006/relationships/hyperlink" Target="https://me.udel.edu/faculty/jun-xu/" TargetMode="External"/><Relationship Id="rId3703" Type="http://schemas.openxmlformats.org/officeDocument/2006/relationships/hyperlink" Target="https://eng.ua.edu/eng-directory/dr-ajay-k-agrawal/" TargetMode="External"/><Relationship Id="rId3910" Type="http://schemas.openxmlformats.org/officeDocument/2006/relationships/hyperlink" Target="https://mees.charlotte.edu/directory/praveen-ramaprabhu" TargetMode="External"/><Relationship Id="rId417" Type="http://schemas.openxmlformats.org/officeDocument/2006/relationships/hyperlink" Target="https://mechse.illinois.edu/people/profile/huseyin" TargetMode="External"/><Relationship Id="rId624" Type="http://schemas.openxmlformats.org/officeDocument/2006/relationships/hyperlink" Target="https://engineering.purdue.edu/ME/People/ptProfile?resource_id=25572" TargetMode="External"/><Relationship Id="rId831" Type="http://schemas.openxmlformats.org/officeDocument/2006/relationships/hyperlink" Target="https://www.mccormick.northwestern.edu/mechanical/research/areas/micro-nanoengineering.html" TargetMode="External"/><Relationship Id="rId1047" Type="http://schemas.openxmlformats.org/officeDocument/2006/relationships/hyperlink" Target="https://engineering.tamu.edu/mechanical/profiles/polycarpou-andreas-a.html" TargetMode="External"/><Relationship Id="rId1254" Type="http://schemas.openxmlformats.org/officeDocument/2006/relationships/hyperlink" Target="https://cse.umn.edu/me/marien-simeni" TargetMode="External"/><Relationship Id="rId1461" Type="http://schemas.openxmlformats.org/officeDocument/2006/relationships/hyperlink" Target="https://jacobsschool.ucsd.edu/faculty/profile?id=288" TargetMode="External"/><Relationship Id="rId2305" Type="http://schemas.openxmlformats.org/officeDocument/2006/relationships/hyperlink" Target="https://www.mae.ncsu.edu/people/fwu" TargetMode="External"/><Relationship Id="rId2512" Type="http://schemas.openxmlformats.org/officeDocument/2006/relationships/hyperlink" Target="https://www.bu.edu/eng/profile/harold-park-ph-d/" TargetMode="External"/><Relationship Id="rId1114" Type="http://schemas.openxmlformats.org/officeDocument/2006/relationships/hyperlink" Target="https://www.me.psu.edu/department/directory-detail-g.aspx?q=SNB10" TargetMode="External"/><Relationship Id="rId1321" Type="http://schemas.openxmlformats.org/officeDocument/2006/relationships/hyperlink" Target="https://directory.engr.wisc.edu/me/Faculty/Kokjohn_Sage/" TargetMode="External"/><Relationship Id="rId4477" Type="http://schemas.openxmlformats.org/officeDocument/2006/relationships/hyperlink" Target="https://www.smu.edu/Lyle/Departments/ME/People/Faculty/LoboaElizabeth" TargetMode="External"/><Relationship Id="rId4684" Type="http://schemas.openxmlformats.org/officeDocument/2006/relationships/hyperlink" Target="https://www.sdsmt.edu/Directories/Personnel/Shahbazi,-Khosro/" TargetMode="External"/><Relationship Id="rId4891" Type="http://schemas.openxmlformats.org/officeDocument/2006/relationships/hyperlink" Target="https://www.ncat.edu/employee-bio.php?directoryID=2071871437" TargetMode="External"/><Relationship Id="rId5528" Type="http://schemas.openxmlformats.org/officeDocument/2006/relationships/hyperlink" Target="https://www.uno.edu/academics/coe/mechanical" TargetMode="External"/><Relationship Id="rId3079" Type="http://schemas.openxmlformats.org/officeDocument/2006/relationships/hyperlink" Target="https://works.bepress.com/yun-seong-song/about/" TargetMode="External"/><Relationship Id="rId3286" Type="http://schemas.openxmlformats.org/officeDocument/2006/relationships/hyperlink" Target="https://mae.ucf.edu/faculty-directory/" TargetMode="External"/><Relationship Id="rId3493" Type="http://schemas.openxmlformats.org/officeDocument/2006/relationships/hyperlink" Target="https://www.iit.edu/directory/people/leon-shaw" TargetMode="External"/><Relationship Id="rId4337" Type="http://schemas.openxmlformats.org/officeDocument/2006/relationships/hyperlink" Target="https://directory.statler.wvu.edu/faculty-staff-directory/xingbo-liu" TargetMode="External"/><Relationship Id="rId4544" Type="http://schemas.openxmlformats.org/officeDocument/2006/relationships/hyperlink" Target="https://me.unm.edu/about/directory/faculty/nathan-jackson.html" TargetMode="External"/><Relationship Id="rId2095" Type="http://schemas.openxmlformats.org/officeDocument/2006/relationships/hyperlink" Target="https://isearch.asu.edu/profile/1272055" TargetMode="External"/><Relationship Id="rId3146" Type="http://schemas.openxmlformats.org/officeDocument/2006/relationships/hyperlink" Target="https://mie.uic.edu/profiles/saeed-manafzadeh/" TargetMode="External"/><Relationship Id="rId3353" Type="http://schemas.openxmlformats.org/officeDocument/2006/relationships/hyperlink" Target="https://www.me.uh.edu/faculty/wang" TargetMode="External"/><Relationship Id="rId4751" Type="http://schemas.openxmlformats.org/officeDocument/2006/relationships/hyperlink" Target="https://umdearborn.edu/people-um-dearborn/alan-argento" TargetMode="External"/><Relationship Id="rId274" Type="http://schemas.openxmlformats.org/officeDocument/2006/relationships/hyperlink" Target="https://www.me.gatech.edu/faculty/degertekin" TargetMode="External"/><Relationship Id="rId481" Type="http://schemas.openxmlformats.org/officeDocument/2006/relationships/hyperlink" Target="https://me.engin.umich.edu/people/faculty/xun-ryan-huan/" TargetMode="External"/><Relationship Id="rId2162" Type="http://schemas.openxmlformats.org/officeDocument/2006/relationships/hyperlink" Target="https://mae.ucdavis.edu/directory/tony-rizk" TargetMode="External"/><Relationship Id="rId3006" Type="http://schemas.openxmlformats.org/officeDocument/2006/relationships/hyperlink" Target="https://www.mae.seas.gwu.edu/node/1466" TargetMode="External"/><Relationship Id="rId3560" Type="http://schemas.openxmlformats.org/officeDocument/2006/relationships/hyperlink" Target="https://www.stevens.edu/profile/zpournor" TargetMode="External"/><Relationship Id="rId4404" Type="http://schemas.openxmlformats.org/officeDocument/2006/relationships/hyperlink" Target="https://eng.famu.fsu.edu/me/people/kumar" TargetMode="External"/><Relationship Id="rId4611" Type="http://schemas.openxmlformats.org/officeDocument/2006/relationships/hyperlink" Target="https://uwm.edu/engineering/people/nosonovsky-michael/" TargetMode="External"/><Relationship Id="rId134" Type="http://schemas.openxmlformats.org/officeDocument/2006/relationships/hyperlink" Target="https://meche.mit.edu/people/staff/juhan@mit.edu" TargetMode="External"/><Relationship Id="rId3213" Type="http://schemas.openxmlformats.org/officeDocument/2006/relationships/hyperlink" Target="https://mabe.utk.edu/people/uday-vaidya/" TargetMode="External"/><Relationship Id="rId3420" Type="http://schemas.openxmlformats.org/officeDocument/2006/relationships/hyperlink" Target="https://www.wpi.edu/people/faculty/acpowell" TargetMode="External"/><Relationship Id="rId341" Type="http://schemas.openxmlformats.org/officeDocument/2006/relationships/hyperlink" Target="https://www.me.gatech.edu/faculty/sulchek" TargetMode="External"/><Relationship Id="rId2022" Type="http://schemas.openxmlformats.org/officeDocument/2006/relationships/hyperlink" Target="https://ame.nd.edu/faculty/maria-holland/" TargetMode="External"/><Relationship Id="rId2979" Type="http://schemas.openxmlformats.org/officeDocument/2006/relationships/hyperlink" Target="http://eng.auburn.edu/directory/szs0244" TargetMode="External"/><Relationship Id="rId5178" Type="http://schemas.openxmlformats.org/officeDocument/2006/relationships/hyperlink" Target="https://engineering.rowan.edu/faculty_staff/listing/mitja-trkov.html" TargetMode="External"/><Relationship Id="rId5385" Type="http://schemas.openxmlformats.org/officeDocument/2006/relationships/hyperlink" Target="https://www.sdstate.edu/mechanical-engineering" TargetMode="External"/><Relationship Id="rId201" Type="http://schemas.openxmlformats.org/officeDocument/2006/relationships/hyperlink" Target="https://mce.caltech.edu/people/jodabiri" TargetMode="External"/><Relationship Id="rId1788" Type="http://schemas.openxmlformats.org/officeDocument/2006/relationships/hyperlink" Target="https://mae.ufl.edu/people/faculty/primary/assistant-professor/profiles/chris-petersen/" TargetMode="External"/><Relationship Id="rId1995" Type="http://schemas.openxmlformats.org/officeDocument/2006/relationships/hyperlink" Target="https://me.ucsb.edu/people/linda-petzold" TargetMode="External"/><Relationship Id="rId2839" Type="http://schemas.openxmlformats.org/officeDocument/2006/relationships/hyperlink" Target="https://me.engr.uconn.edu/blog/faculty/giblin-david-j/" TargetMode="External"/><Relationship Id="rId4194" Type="http://schemas.openxmlformats.org/officeDocument/2006/relationships/hyperlink" Target="http://engineering.uga.edu/people/profile/wayne-johnson-ph.d" TargetMode="External"/><Relationship Id="rId5038" Type="http://schemas.openxmlformats.org/officeDocument/2006/relationships/hyperlink" Target="https://www.utoledo.edu/engineering/mechanical-industrial-manufacturing-engineering/faculty_staff.html" TargetMode="External"/><Relationship Id="rId5245" Type="http://schemas.openxmlformats.org/officeDocument/2006/relationships/hyperlink" Target="https://www.uidaho.edu/engr/departments/me/our-people/faculty/edwin-odom" TargetMode="External"/><Relationship Id="rId5452" Type="http://schemas.openxmlformats.org/officeDocument/2006/relationships/hyperlink" Target="https://wmich.edu/mechanical-aerospace/directory/meyer" TargetMode="External"/><Relationship Id="rId1648" Type="http://schemas.openxmlformats.org/officeDocument/2006/relationships/hyperlink" Target="https://profiles.rice.edu/faculty/vanessa-sanchez" TargetMode="External"/><Relationship Id="rId4054" Type="http://schemas.openxmlformats.org/officeDocument/2006/relationships/hyperlink" Target="https://www.clarkson.edu/node/12376" TargetMode="External"/><Relationship Id="rId4261" Type="http://schemas.openxmlformats.org/officeDocument/2006/relationships/hyperlink" Target="https://engineering.missouri.edu/faculty/hussein-nassar/" TargetMode="External"/><Relationship Id="rId5105" Type="http://schemas.openxmlformats.org/officeDocument/2006/relationships/hyperlink" Target="mailto:mdowney@fiu.edu" TargetMode="External"/><Relationship Id="rId5312" Type="http://schemas.openxmlformats.org/officeDocument/2006/relationships/hyperlink" Target="https://mechanical.engineering.unt.edu/faculty/rattaya-yalamanchili" TargetMode="External"/><Relationship Id="rId1508" Type="http://schemas.openxmlformats.org/officeDocument/2006/relationships/hyperlink" Target="https://jacobsschool.ucsd.edu/faculty/profile?id=155" TargetMode="External"/><Relationship Id="rId1855" Type="http://schemas.openxmlformats.org/officeDocument/2006/relationships/hyperlink" Target="https://www.me.washington.edu/people/faculty/joseph_garbini" TargetMode="External"/><Relationship Id="rId2906" Type="http://schemas.openxmlformats.org/officeDocument/2006/relationships/hyperlink" Target="https://www.engineering.pitt.edu/people/faculty/zachary-harris/" TargetMode="External"/><Relationship Id="rId3070" Type="http://schemas.openxmlformats.org/officeDocument/2006/relationships/hyperlink" Target="https://works.bepress.com/ashok-midha/about/" TargetMode="External"/><Relationship Id="rId4121" Type="http://schemas.openxmlformats.org/officeDocument/2006/relationships/hyperlink" Target="https://mechanical.sdsu.edu/people/elisa-torresani.aspx" TargetMode="External"/><Relationship Id="rId1715" Type="http://schemas.openxmlformats.org/officeDocument/2006/relationships/hyperlink" Target="https://www.colorado.edu/mechanical/debanjan-mukherjee" TargetMode="External"/><Relationship Id="rId1922" Type="http://schemas.openxmlformats.org/officeDocument/2006/relationships/hyperlink" Target="https://engineering.brown.edu/people/yue-qi" TargetMode="External"/><Relationship Id="rId3887" Type="http://schemas.openxmlformats.org/officeDocument/2006/relationships/hyperlink" Target="https://engineering.unl.edu/mme/faculty/ruiguo-yang/" TargetMode="External"/><Relationship Id="rId4938" Type="http://schemas.openxmlformats.org/officeDocument/2006/relationships/hyperlink" Target="https://uakron.edu/engineering/me/our-people/profile.dot?u=sramlo" TargetMode="External"/><Relationship Id="rId2489" Type="http://schemas.openxmlformats.org/officeDocument/2006/relationships/hyperlink" Target="https://www.bu.edu/eng/profile/david-bishop/" TargetMode="External"/><Relationship Id="rId2696" Type="http://schemas.openxmlformats.org/officeDocument/2006/relationships/hyperlink" Target="https://www.clemson.edu/cecas/departments/me/people/faculty/zhao_x.html" TargetMode="External"/><Relationship Id="rId3747" Type="http://schemas.openxmlformats.org/officeDocument/2006/relationships/hyperlink" Target="https://www.uta.edu/academics/faculty/profile?username=bozlarm" TargetMode="External"/><Relationship Id="rId3954" Type="http://schemas.openxmlformats.org/officeDocument/2006/relationships/hyperlink" Target="http://www.hajim.rochester.edu/me/people/faculty/Sefkow_Adam/index.html" TargetMode="External"/><Relationship Id="rId668" Type="http://schemas.openxmlformats.org/officeDocument/2006/relationships/hyperlink" Target="https://www.engineering.cornell.edu/faculty-directory/dmitry-savransky" TargetMode="External"/><Relationship Id="rId875" Type="http://schemas.openxmlformats.org/officeDocument/2006/relationships/hyperlink" Target="https://www.mccormick.northwestern.edu/research-faculty/directory/profiles/keten-sinan.html" TargetMode="External"/><Relationship Id="rId1298" Type="http://schemas.openxmlformats.org/officeDocument/2006/relationships/hyperlink" Target="https://directory.seas.upenn.edu/talid-r-sinno/" TargetMode="External"/><Relationship Id="rId2349" Type="http://schemas.openxmlformats.org/officeDocument/2006/relationships/hyperlink" Target="https://engineering.virginia.edu/faculty/ye-sarah-sun" TargetMode="External"/><Relationship Id="rId2556" Type="http://schemas.openxmlformats.org/officeDocument/2006/relationships/hyperlink" Target="https://mechanical.mines.edu/project/lamberson-leslie/" TargetMode="External"/><Relationship Id="rId2763" Type="http://schemas.openxmlformats.org/officeDocument/2006/relationships/hyperlink" Target="https://engineering.buffalo.edu/mechanical-aerospace/people/faculty/ladder.host.html/content/shared/engineering/mechanical-aerospace/profiles/desjardin-paul.detail.html" TargetMode="External"/><Relationship Id="rId2970" Type="http://schemas.openxmlformats.org/officeDocument/2006/relationships/hyperlink" Target="http://eng.auburn.edu/directory/lallpra" TargetMode="External"/><Relationship Id="rId3607" Type="http://schemas.openxmlformats.org/officeDocument/2006/relationships/hyperlink" Target="https://me.utdallas.edu/faculty-staff/todd-griffith/" TargetMode="External"/><Relationship Id="rId3814" Type="http://schemas.openxmlformats.org/officeDocument/2006/relationships/hyperlink" Target="https://www.engr.uky.edu/directory/berry-scott" TargetMode="External"/><Relationship Id="rId528" Type="http://schemas.openxmlformats.org/officeDocument/2006/relationships/hyperlink" Target="https://me.engin.umich.edu/people/faculty/christopher-vermillion/" TargetMode="External"/><Relationship Id="rId735" Type="http://schemas.openxmlformats.org/officeDocument/2006/relationships/hyperlink" Target="https://www.meche.engineering.cmu.edu/directory/bios/mccomb-christopher.html" TargetMode="External"/><Relationship Id="rId942" Type="http://schemas.openxmlformats.org/officeDocument/2006/relationships/hyperlink" Target="https://www.mccormick.northwestern.edu/mechanical/research/areas/computational-engineering.html" TargetMode="External"/><Relationship Id="rId1158" Type="http://schemas.openxmlformats.org/officeDocument/2006/relationships/hyperlink" Target="https://www.me.psu.edu/department/directory-detail-g.aspx?q=prv2" TargetMode="External"/><Relationship Id="rId1365" Type="http://schemas.openxmlformats.org/officeDocument/2006/relationships/hyperlink" Target="https://directory.engr.wisc.edu/me/Faculty/Oakley_Jason/" TargetMode="External"/><Relationship Id="rId1572" Type="http://schemas.openxmlformats.org/officeDocument/2006/relationships/hyperlink" Target="https://mae.osu.edu/people/atkinson.284" TargetMode="External"/><Relationship Id="rId2209" Type="http://schemas.openxmlformats.org/officeDocument/2006/relationships/hyperlink" Target="https://www.me.iastate.edu/faculty/profile/rcbrown3" TargetMode="External"/><Relationship Id="rId2416" Type="http://schemas.openxmlformats.org/officeDocument/2006/relationships/hyperlink" Target="https://www.egr.msu.edu/people/profile/gaotong" TargetMode="External"/><Relationship Id="rId2623" Type="http://schemas.openxmlformats.org/officeDocument/2006/relationships/hyperlink" Target="https://me.udel.edu/faculty/thomas-s-buchanan/" TargetMode="External"/><Relationship Id="rId1018" Type="http://schemas.openxmlformats.org/officeDocument/2006/relationships/hyperlink" Target="https://engineering.tamu.edu/mechanical/profiles/kim-yong-joe.html" TargetMode="External"/><Relationship Id="rId1225" Type="http://schemas.openxmlformats.org/officeDocument/2006/relationships/hyperlink" Target="https://cse.umn.edu/me/alptekin-aksan" TargetMode="External"/><Relationship Id="rId1432" Type="http://schemas.openxmlformats.org/officeDocument/2006/relationships/hyperlink" Target="https://seas.harvard.edu/person/joanna-aizenberg" TargetMode="External"/><Relationship Id="rId2830" Type="http://schemas.openxmlformats.org/officeDocument/2006/relationships/hyperlink" Target="https://me.engr.uconn.edu/blog/faculty/carbone-francesco/" TargetMode="External"/><Relationship Id="rId4588" Type="http://schemas.openxmlformats.org/officeDocument/2006/relationships/hyperlink" Target="https://premium.usnews.com/best-graduate-schools/top-engineering-schools/university-of-vermont-02183" TargetMode="External"/><Relationship Id="rId71" Type="http://schemas.openxmlformats.org/officeDocument/2006/relationships/hyperlink" Target="https://meche.mit.edu/people/faculty/PAULS@MIT.EDU" TargetMode="External"/><Relationship Id="rId802" Type="http://schemas.openxmlformats.org/officeDocument/2006/relationships/hyperlink" Target="https://www.me.utexas.edu/people/faculty-directory/rylanderc" TargetMode="External"/><Relationship Id="rId3397" Type="http://schemas.openxmlformats.org/officeDocument/2006/relationships/hyperlink" Target="https://mme.wsu.edu/weihong-zhong/" TargetMode="External"/><Relationship Id="rId4795" Type="http://schemas.openxmlformats.org/officeDocument/2006/relationships/hyperlink" Target="https://klesse.utsa.edu/faculty/profiles/araya-guillermo.html" TargetMode="External"/><Relationship Id="rId4448" Type="http://schemas.openxmlformats.org/officeDocument/2006/relationships/hyperlink" Target="https://www.me.msstate.edu/people/faculty/" TargetMode="External"/><Relationship Id="rId4655" Type="http://schemas.openxmlformats.org/officeDocument/2006/relationships/hyperlink" Target="https://mae.nmsu.edu/faculty/dr-gabe-garcia.html" TargetMode="External"/><Relationship Id="rId4862" Type="http://schemas.openxmlformats.org/officeDocument/2006/relationships/hyperlink" Target="https://www.fit.edu/faculty-profiles/g/gutierrez-hector/" TargetMode="External"/><Relationship Id="rId178" Type="http://schemas.openxmlformats.org/officeDocument/2006/relationships/hyperlink" Target="https://me.stanford.edu/people/anna-boslough" TargetMode="External"/><Relationship Id="rId3257" Type="http://schemas.openxmlformats.org/officeDocument/2006/relationships/hyperlink" Target="https://www.engr.colostate.edu/me/faculty/dr-john-d-williams/" TargetMode="External"/><Relationship Id="rId3464" Type="http://schemas.openxmlformats.org/officeDocument/2006/relationships/hyperlink" Target="https://www.me.byu.edu/directory/john-salmon" TargetMode="External"/><Relationship Id="rId3671" Type="http://schemas.openxmlformats.org/officeDocument/2006/relationships/hyperlink" Target="https://ceat.okstate.edu/mae/faculty-staff/faculty-bios/christian-bach.html" TargetMode="External"/><Relationship Id="rId4308" Type="http://schemas.openxmlformats.org/officeDocument/2006/relationships/hyperlink" Target="http://egr.vcu.edu/directory/ibrahim.guven/" TargetMode="External"/><Relationship Id="rId4515" Type="http://schemas.openxmlformats.org/officeDocument/2006/relationships/hyperlink" Target="https://udayton.edu/directory/engineering/mechanical_and_aerospace/myszka_david.php" TargetMode="External"/><Relationship Id="rId4722" Type="http://schemas.openxmlformats.org/officeDocument/2006/relationships/hyperlink" Target="https://eas.uccs.edu/mae/faculty/steven-tragesser" TargetMode="External"/><Relationship Id="rId385" Type="http://schemas.openxmlformats.org/officeDocument/2006/relationships/hyperlink" Target="https://mechse.illinois.edu/people/profile/mgazzola" TargetMode="External"/><Relationship Id="rId592" Type="http://schemas.openxmlformats.org/officeDocument/2006/relationships/hyperlink" Target="https://engineering.purdue.edu/ME/People/ptProfile?resource_id=86360" TargetMode="External"/><Relationship Id="rId2066" Type="http://schemas.openxmlformats.org/officeDocument/2006/relationships/hyperlink" Target="https://seas.yale.edu/faculty-research/faculty-directory/joran-booth" TargetMode="External"/><Relationship Id="rId2273" Type="http://schemas.openxmlformats.org/officeDocument/2006/relationships/hyperlink" Target="https://www.mae.ncsu.edu/people/veeraraghava-raju-hasti" TargetMode="External"/><Relationship Id="rId2480" Type="http://schemas.openxmlformats.org/officeDocument/2006/relationships/hyperlink" Target="https://www.bu.edu/eng/profile/louis-n-awad-ph-d/" TargetMode="External"/><Relationship Id="rId3117" Type="http://schemas.openxmlformats.org/officeDocument/2006/relationships/hyperlink" Target="https://me.stonybrook.edu/commcms/me-eng/people/faculty/Cubaud_Thomas.php" TargetMode="External"/><Relationship Id="rId3324" Type="http://schemas.openxmlformats.org/officeDocument/2006/relationships/hyperlink" Target="https://researchdirectory.uc.edu/p/banerjr" TargetMode="External"/><Relationship Id="rId3531" Type="http://schemas.openxmlformats.org/officeDocument/2006/relationships/hyperlink" Target="https://www.mtu.edu/mechanical/people/faculty/ra/" TargetMode="External"/><Relationship Id="rId245" Type="http://schemas.openxmlformats.org/officeDocument/2006/relationships/hyperlink" Target="https://me.berkeley.edu/people/lisa-pruitt/" TargetMode="External"/><Relationship Id="rId452" Type="http://schemas.openxmlformats.org/officeDocument/2006/relationships/hyperlink" Target="https://me.engin.umich.edu/people/faculty/jesse-capecelatro/" TargetMode="External"/><Relationship Id="rId1082" Type="http://schemas.openxmlformats.org/officeDocument/2006/relationships/hyperlink" Target="https://samueli.ucla.edu/people/anushri-dixit/" TargetMode="External"/><Relationship Id="rId2133" Type="http://schemas.openxmlformats.org/officeDocument/2006/relationships/hyperlink" Target="https://mae.ucdavis.edu/directory/cristina-davis" TargetMode="External"/><Relationship Id="rId2340" Type="http://schemas.openxmlformats.org/officeDocument/2006/relationships/hyperlink" Target="https://engineering.virginia.edu/faculty/matthew-b-panzer" TargetMode="External"/><Relationship Id="rId5289" Type="http://schemas.openxmlformats.org/officeDocument/2006/relationships/hyperlink" Target="https://mechanical.engineering.unt.edu/faculty/wonbong-choi" TargetMode="External"/><Relationship Id="rId5496" Type="http://schemas.openxmlformats.org/officeDocument/2006/relationships/hyperlink" Target="https://www.oakland.edu/secs/directory/ankun-yang" TargetMode="External"/><Relationship Id="rId105" Type="http://schemas.openxmlformats.org/officeDocument/2006/relationships/hyperlink" Target="https://meche.mit.edu/people/faculty/SRM@MIT.EDU" TargetMode="External"/><Relationship Id="rId312" Type="http://schemas.openxmlformats.org/officeDocument/2006/relationships/hyperlink" Target="https://www.me.gatech.edu/faculty/mazumdar" TargetMode="External"/><Relationship Id="rId2200" Type="http://schemas.openxmlformats.org/officeDocument/2006/relationships/hyperlink" Target="https://engineering.uci.edu/users/yoonjin-won" TargetMode="External"/><Relationship Id="rId4098" Type="http://schemas.openxmlformats.org/officeDocument/2006/relationships/hyperlink" Target="https://www.mne.k-state.edu/about/people/faculty/spaulding/" TargetMode="External"/><Relationship Id="rId5149" Type="http://schemas.openxmlformats.org/officeDocument/2006/relationships/hyperlink" Target="https://www.marquette.edu/mechanical-engineering/directory/hyunjae-park.php" TargetMode="External"/><Relationship Id="rId5356" Type="http://schemas.openxmlformats.org/officeDocument/2006/relationships/hyperlink" Target="https://www.fau.edu/engineering/directory/faculty/tsai/" TargetMode="External"/><Relationship Id="rId5563" Type="http://schemas.openxmlformats.org/officeDocument/2006/relationships/drawing" Target="../drawings/drawing1.xml"/><Relationship Id="rId1899" Type="http://schemas.openxmlformats.org/officeDocument/2006/relationships/hyperlink" Target="https://engineering.brown.edu/people/c-franklin-goldsmith" TargetMode="External"/><Relationship Id="rId4165" Type="http://schemas.openxmlformats.org/officeDocument/2006/relationships/hyperlink" Target="https://www.depts.ttu.edu/me/faculty/siva_parameswaran/index.php" TargetMode="External"/><Relationship Id="rId4372" Type="http://schemas.openxmlformats.org/officeDocument/2006/relationships/hyperlink" Target="https://www.ecs.baylor.edu/person/dr-david-jack" TargetMode="External"/><Relationship Id="rId5009" Type="http://schemas.openxmlformats.org/officeDocument/2006/relationships/hyperlink" Target="https://umaine.edu/mecheng/martin/" TargetMode="External"/><Relationship Id="rId5216" Type="http://schemas.openxmlformats.org/officeDocument/2006/relationships/hyperlink" Target="https://hb2504.utep.edu/Home/Profile?username=abronson" TargetMode="External"/><Relationship Id="rId1759" Type="http://schemas.openxmlformats.org/officeDocument/2006/relationships/hyperlink" Target="https://mae.ufl.edu/people/faculty/primary/professor/profiles/subrata-roy/" TargetMode="External"/><Relationship Id="rId1966" Type="http://schemas.openxmlformats.org/officeDocument/2006/relationships/hyperlink" Target="https://faculty.rpi.edu/catalin-picu" TargetMode="External"/><Relationship Id="rId3181" Type="http://schemas.openxmlformats.org/officeDocument/2006/relationships/hyperlink" Target="https://mabe.utk.edu/people/bryan-good/" TargetMode="External"/><Relationship Id="rId4025" Type="http://schemas.openxmlformats.org/officeDocument/2006/relationships/hyperlink" Target="https://www.binghamton.edu/mechanical-engineering/people/profile.html?id=myounis" TargetMode="External"/><Relationship Id="rId5423" Type="http://schemas.openxmlformats.org/officeDocument/2006/relationships/hyperlink" Target="https://www.memphis.edu/me/faculty/marchetta.php" TargetMode="External"/><Relationship Id="rId1619" Type="http://schemas.openxmlformats.org/officeDocument/2006/relationships/hyperlink" Target="https://mae.osu.edu/people/sutradhar.1" TargetMode="External"/><Relationship Id="rId1826" Type="http://schemas.openxmlformats.org/officeDocument/2006/relationships/hyperlink" Target="https://viterbi.usc.edu/directory/faculty/Uranga/Alejandra" TargetMode="External"/><Relationship Id="rId4232" Type="http://schemas.openxmlformats.org/officeDocument/2006/relationships/hyperlink" Target="https://me.ku.edu/people/lin-liu" TargetMode="External"/><Relationship Id="rId3041" Type="http://schemas.openxmlformats.org/officeDocument/2006/relationships/hyperlink" Target="https://engineering.lehigh.edu/meche/faculty/961" TargetMode="External"/><Relationship Id="rId3998" Type="http://schemas.openxmlformats.org/officeDocument/2006/relationships/hyperlink" Target="https://sc.edu/study/colleges_schools/engineering_and_computing/faculty-staff/tatting_brian.php" TargetMode="External"/><Relationship Id="rId3858" Type="http://schemas.openxmlformats.org/officeDocument/2006/relationships/hyperlink" Target="https://engineering.unl.edu/mme/florin-bobaru/" TargetMode="External"/><Relationship Id="rId4909" Type="http://schemas.openxmlformats.org/officeDocument/2006/relationships/hyperlink" Target="https://www.odu.edu/directory/miltos-kotinis" TargetMode="External"/><Relationship Id="rId779" Type="http://schemas.openxmlformats.org/officeDocument/2006/relationships/hyperlink" Target="https://www.me.utexas.edu/people/faculty-directory/ghattas" TargetMode="External"/><Relationship Id="rId986" Type="http://schemas.openxmlformats.org/officeDocument/2006/relationships/hyperlink" Target="https://engineering.tamu.edu/mechanical/profiles/balas-mark.html" TargetMode="External"/><Relationship Id="rId2667" Type="http://schemas.openxmlformats.org/officeDocument/2006/relationships/hyperlink" Target="https://www.clemson.edu/cecas/departments/me/people/faculty/Lv.html" TargetMode="External"/><Relationship Id="rId3718" Type="http://schemas.openxmlformats.org/officeDocument/2006/relationships/hyperlink" Target="https://eng.ua.edu/eng-directory/dr-s-nima-mahmoodi/" TargetMode="External"/><Relationship Id="rId5073" Type="http://schemas.openxmlformats.org/officeDocument/2006/relationships/hyperlink" Target="http://www.csuohio.edu/engineering/wei-zhang-phd" TargetMode="External"/><Relationship Id="rId5280" Type="http://schemas.openxmlformats.org/officeDocument/2006/relationships/hyperlink" Target="https://www.unlv.edu/people/mohamed-trabia" TargetMode="External"/><Relationship Id="rId639" Type="http://schemas.openxmlformats.org/officeDocument/2006/relationships/hyperlink" Target="https://engineering.purdue.edu/ME/People/ptProfile?resource_id=188404" TargetMode="External"/><Relationship Id="rId1269" Type="http://schemas.openxmlformats.org/officeDocument/2006/relationships/hyperlink" Target="https://directory.seas.upenn.edu/paulo-e-arratia/" TargetMode="External"/><Relationship Id="rId1476" Type="http://schemas.openxmlformats.org/officeDocument/2006/relationships/hyperlink" Target="https://jacobsschool.ucsd.edu/faculty/profile?id=511" TargetMode="External"/><Relationship Id="rId2874" Type="http://schemas.openxmlformats.org/officeDocument/2006/relationships/hyperlink" Target="https://engineering.uiowa.edu/people/casey-harwood" TargetMode="External"/><Relationship Id="rId3925" Type="http://schemas.openxmlformats.org/officeDocument/2006/relationships/hyperlink" Target="http://www.hajim.rochester.edu/me/people/staff/index.html" TargetMode="External"/><Relationship Id="rId5140" Type="http://schemas.openxmlformats.org/officeDocument/2006/relationships/hyperlink" Target="https://www.marquette.edu/mechanical-engineering/directory/anthony-bowman.php" TargetMode="External"/><Relationship Id="rId846" Type="http://schemas.openxmlformats.org/officeDocument/2006/relationships/hyperlink" Target="https://www.mccormick.northwestern.edu/mechanical/research/areas/computational-engineering.html" TargetMode="External"/><Relationship Id="rId1129" Type="http://schemas.openxmlformats.org/officeDocument/2006/relationships/hyperlink" Target="https://www.me.psu.edu/department/directory-detail-g.aspx?q=tpg5326" TargetMode="External"/><Relationship Id="rId1683" Type="http://schemas.openxmlformats.org/officeDocument/2006/relationships/hyperlink" Target="https://www.colorado.edu/mechanical/mark-borden" TargetMode="External"/><Relationship Id="rId1890" Type="http://schemas.openxmlformats.org/officeDocument/2006/relationships/hyperlink" Target="https://engineering.brown.edu/people/david-borton" TargetMode="External"/><Relationship Id="rId2527" Type="http://schemas.openxmlformats.org/officeDocument/2006/relationships/hyperlink" Target="https://www.bu.edu/eng/profile/xin-zhang-ph-d/" TargetMode="External"/><Relationship Id="rId2734" Type="http://schemas.openxmlformats.org/officeDocument/2006/relationships/hyperlink" Target="https://engineering.tufts.edu/me/node/2926" TargetMode="External"/><Relationship Id="rId2941" Type="http://schemas.openxmlformats.org/officeDocument/2006/relationships/hyperlink" Target="https://www.engineering.pitt.edu/people/faculty/paul-leu/" TargetMode="External"/><Relationship Id="rId5000" Type="http://schemas.openxmlformats.org/officeDocument/2006/relationships/hyperlink" Target="https://umaine.edu/mecheng/" TargetMode="External"/><Relationship Id="rId706" Type="http://schemas.openxmlformats.org/officeDocument/2006/relationships/hyperlink" Target="https://mae.princeton.edu/people/faculty/majumdar" TargetMode="External"/><Relationship Id="rId913" Type="http://schemas.openxmlformats.org/officeDocument/2006/relationships/hyperlink" Target="https://www.mccormick.northwestern.edu/mechanical/research/areas/energy-sustainability.html" TargetMode="External"/><Relationship Id="rId1336" Type="http://schemas.openxmlformats.org/officeDocument/2006/relationships/hyperlink" Target="https://directory.engr.wisc.edu/cee/Faculty/Prabhakar_Pavana/" TargetMode="External"/><Relationship Id="rId1543" Type="http://schemas.openxmlformats.org/officeDocument/2006/relationships/hyperlink" Target="https://mems.duke.edu/faculty/michael-rubinstein" TargetMode="External"/><Relationship Id="rId1750" Type="http://schemas.openxmlformats.org/officeDocument/2006/relationships/hyperlink" Target="https://mae.ufl.edu/people/faculty/primary/professor/profiles/hugh-fan/" TargetMode="External"/><Relationship Id="rId2801" Type="http://schemas.openxmlformats.org/officeDocument/2006/relationships/hyperlink" Target="https://ame.engineering.arizona.edu/faculty-staff/faculty/cholik-chan" TargetMode="External"/><Relationship Id="rId4699" Type="http://schemas.openxmlformats.org/officeDocument/2006/relationships/hyperlink" Target="https://mechanical-engineering.uark.edu/Directory/index/uid/xbmeng/name/Xiangbo+Meng/" TargetMode="External"/><Relationship Id="rId42" Type="http://schemas.openxmlformats.org/officeDocument/2006/relationships/hyperlink" Target="https://meche.mit.edu/people/faculty/ase@mit.edu" TargetMode="External"/><Relationship Id="rId1403" Type="http://schemas.openxmlformats.org/officeDocument/2006/relationships/hyperlink" Target="https://me.vt.edu/people/faculty/losey-dylan.html" TargetMode="External"/><Relationship Id="rId1610" Type="http://schemas.openxmlformats.org/officeDocument/2006/relationships/hyperlink" Target="https://mae.osu.edu/people/selamet.1" TargetMode="External"/><Relationship Id="rId4559" Type="http://schemas.openxmlformats.org/officeDocument/2006/relationships/hyperlink" Target="https://www.ou.edu/coe/ame/people/baldwin.html" TargetMode="External"/><Relationship Id="rId4766" Type="http://schemas.openxmlformats.org/officeDocument/2006/relationships/hyperlink" Target="https://umdearborn.edu/people-um-dearborn/pravansu-mohanty" TargetMode="External"/><Relationship Id="rId4973" Type="http://schemas.openxmlformats.org/officeDocument/2006/relationships/hyperlink" Target="https://ritchieschool.du.edu/about/people/jason-roney" TargetMode="External"/><Relationship Id="rId3368" Type="http://schemas.openxmlformats.org/officeDocument/2006/relationships/hyperlink" Target="https://mme.wsu.edu/faculty/philip-dodge/" TargetMode="External"/><Relationship Id="rId3575" Type="http://schemas.openxmlformats.org/officeDocument/2006/relationships/hyperlink" Target="https://ecs.syracuse.edu/faculty-staff/?category=mechanical-and-aerospace-engineering&amp;people=" TargetMode="External"/><Relationship Id="rId3782" Type="http://schemas.openxmlformats.org/officeDocument/2006/relationships/hyperlink" Target="https://www.uta.edu/academics/faculty/profile?username=wangy7" TargetMode="External"/><Relationship Id="rId4419" Type="http://schemas.openxmlformats.org/officeDocument/2006/relationships/hyperlink" Target="https://www.lsu.edu/eng/mie/people/faculty/barbalata.php" TargetMode="External"/><Relationship Id="rId4626" Type="http://schemas.openxmlformats.org/officeDocument/2006/relationships/hyperlink" Target="https://www.ccny.cuny.edu/profiles/jing-fan" TargetMode="External"/><Relationship Id="rId4833" Type="http://schemas.openxmlformats.org/officeDocument/2006/relationships/hyperlink" Target="https://engineering.usu.edu/mae/people/faculty/lee-juhyeong.php" TargetMode="External"/><Relationship Id="rId289" Type="http://schemas.openxmlformats.org/officeDocument/2006/relationships/hyperlink" Target="https://www.me.gatech.edu/faculty/hatzell" TargetMode="External"/><Relationship Id="rId496" Type="http://schemas.openxmlformats.org/officeDocument/2006/relationships/hyperlink" Target="https://me.engin.umich.edu/people/faculty/jon-luntz/" TargetMode="External"/><Relationship Id="rId2177" Type="http://schemas.openxmlformats.org/officeDocument/2006/relationships/hyperlink" Target="https://engineering.uci.edu/users/manuel-gamero-castano" TargetMode="External"/><Relationship Id="rId2384" Type="http://schemas.openxmlformats.org/officeDocument/2006/relationships/hyperlink" Target="https://engineering.case.edu/about/school-directory/changyong-cao" TargetMode="External"/><Relationship Id="rId2591" Type="http://schemas.openxmlformats.org/officeDocument/2006/relationships/hyperlink" Target="https://mae.rutgers.edu/mitsunori-mitch-denda" TargetMode="External"/><Relationship Id="rId3228" Type="http://schemas.openxmlformats.org/officeDocument/2006/relationships/hyperlink" Target="https://www.engr.colostate.edu/me/faculty/dr-ciprian-dumitrache/" TargetMode="External"/><Relationship Id="rId3435" Type="http://schemas.openxmlformats.org/officeDocument/2006/relationships/hyperlink" Target="https://www.me.byu.edu/directory/brad-adams" TargetMode="External"/><Relationship Id="rId3642" Type="http://schemas.openxmlformats.org/officeDocument/2006/relationships/hyperlink" Target="https://profiles.ucr.edu/app/home/profile/sinisa" TargetMode="External"/><Relationship Id="rId149" Type="http://schemas.openxmlformats.org/officeDocument/2006/relationships/hyperlink" Target="https://me.stanford.edu/people/charbel-farhat" TargetMode="External"/><Relationship Id="rId356" Type="http://schemas.openxmlformats.org/officeDocument/2006/relationships/hyperlink" Target="https://www.me.gatech.edu/faculty/young" TargetMode="External"/><Relationship Id="rId563" Type="http://schemas.openxmlformats.org/officeDocument/2006/relationships/hyperlink" Target="https://engineering.purdue.edu/ME/People/ptProfile?resource_id=12475" TargetMode="External"/><Relationship Id="rId770" Type="http://schemas.openxmlformats.org/officeDocument/2006/relationships/hyperlink" Target="https://www.me.utexas.edu/people/faculty-directory/cullinan" TargetMode="External"/><Relationship Id="rId1193" Type="http://schemas.openxmlformats.org/officeDocument/2006/relationships/hyperlink" Target="https://enme.umd.edu/clark/faculty/1617/Cecilia-Huertas-Cerdeira" TargetMode="External"/><Relationship Id="rId2037" Type="http://schemas.openxmlformats.org/officeDocument/2006/relationships/hyperlink" Target="https://ame.nd.edu/faculty/prakash-d-nallathamby/" TargetMode="External"/><Relationship Id="rId2244" Type="http://schemas.openxmlformats.org/officeDocument/2006/relationships/hyperlink" Target="https://www.me.iastate.edu/faculty/profile/soumiks" TargetMode="External"/><Relationship Id="rId2451" Type="http://schemas.openxmlformats.org/officeDocument/2006/relationships/hyperlink" Target="https://www.egr.msu.edu/people/profile/xinran" TargetMode="External"/><Relationship Id="rId4900" Type="http://schemas.openxmlformats.org/officeDocument/2006/relationships/hyperlink" Target="https://www.odu.edu/directory/sebastian-bawab" TargetMode="External"/><Relationship Id="rId216" Type="http://schemas.openxmlformats.org/officeDocument/2006/relationships/hyperlink" Target="https://mce.caltech.edu/people/pstovall" TargetMode="External"/><Relationship Id="rId423" Type="http://schemas.openxmlformats.org/officeDocument/2006/relationships/hyperlink" Target="https://mechse.illinois.edu/people/profile/ksteph" TargetMode="External"/><Relationship Id="rId1053" Type="http://schemas.openxmlformats.org/officeDocument/2006/relationships/hyperlink" Target="https://engineering.tamu.edu/mechanical/profiles/restrepo-vanessa.html" TargetMode="External"/><Relationship Id="rId1260" Type="http://schemas.openxmlformats.org/officeDocument/2006/relationships/hyperlink" Target="https://cse.umn.edu/me/kumar-tamma" TargetMode="External"/><Relationship Id="rId2104" Type="http://schemas.openxmlformats.org/officeDocument/2006/relationships/hyperlink" Target="https://isearch.asu.edu/profile/436365" TargetMode="External"/><Relationship Id="rId3502" Type="http://schemas.openxmlformats.org/officeDocument/2006/relationships/hyperlink" Target="https://www.mtu.edu/mechanical/people/faculty/allen/" TargetMode="External"/><Relationship Id="rId630" Type="http://schemas.openxmlformats.org/officeDocument/2006/relationships/hyperlink" Target="https://engineering.purdue.edu/ME/People/ptProfile?resource_id=11271" TargetMode="External"/><Relationship Id="rId2311" Type="http://schemas.openxmlformats.org/officeDocument/2006/relationships/hyperlink" Target="https://www.mae.ncsu.edu/people/mary-zadeh" TargetMode="External"/><Relationship Id="rId4069" Type="http://schemas.openxmlformats.org/officeDocument/2006/relationships/hyperlink" Target="https://daytonabeach.erau.edu/college-engineering/mechanical/faculty" TargetMode="External"/><Relationship Id="rId5467" Type="http://schemas.openxmlformats.org/officeDocument/2006/relationships/hyperlink" Target="https://www.ltu.edu/engineering/mrie/faculty-staff" TargetMode="External"/><Relationship Id="rId1120" Type="http://schemas.openxmlformats.org/officeDocument/2006/relationships/hyperlink" Target="https://www.me.psu.edu/department/directory-detail-g.aspx?q=SFC5185" TargetMode="External"/><Relationship Id="rId4276" Type="http://schemas.openxmlformats.org/officeDocument/2006/relationships/hyperlink" Target="https://www1.villanova.edu/university/engineering/academic-programs/departments/mechanical/directory/biodetail.html?mail=david.cereceda@villanova.edu&amp;xsl=bio_long" TargetMode="External"/><Relationship Id="rId4483" Type="http://schemas.openxmlformats.org/officeDocument/2006/relationships/hyperlink" Target="https://www.smu.edu/Lyle/Departments/ME/People/Faculty/WilliamsSheila" TargetMode="External"/><Relationship Id="rId4690" Type="http://schemas.openxmlformats.org/officeDocument/2006/relationships/hyperlink" Target="https://mechanical-engineering.uark.edu/Directory/index/uid/jennc/name/Jenn+Campbell/" TargetMode="External"/><Relationship Id="rId5327" Type="http://schemas.openxmlformats.org/officeDocument/2006/relationships/hyperlink" Target="https://people.wright.edu/james.menart" TargetMode="External"/><Relationship Id="rId5534" Type="http://schemas.openxmlformats.org/officeDocument/2006/relationships/hyperlink" Target="https://www.uno.edu/profile/faculty/damon_smith" TargetMode="External"/><Relationship Id="rId1937" Type="http://schemas.openxmlformats.org/officeDocument/2006/relationships/hyperlink" Target="https://engineering.brown.edu/people/ian-wong" TargetMode="External"/><Relationship Id="rId3085" Type="http://schemas.openxmlformats.org/officeDocument/2006/relationships/hyperlink" Target="https://nps.edu/faculty-profiles/-/cv/caadams" TargetMode="External"/><Relationship Id="rId3292" Type="http://schemas.openxmlformats.org/officeDocument/2006/relationships/hyperlink" Target="http://mae.ucf.edu/person/joon-hyuk-park/" TargetMode="External"/><Relationship Id="rId4136" Type="http://schemas.openxmlformats.org/officeDocument/2006/relationships/hyperlink" Target="https://mechanical.sdsu.edu/people/gregory-veca.aspx" TargetMode="External"/><Relationship Id="rId4343" Type="http://schemas.openxmlformats.org/officeDocument/2006/relationships/hyperlink" Target="https://directory.statler.wvu.edu/faculty-staff-directory/andrew-c-nix" TargetMode="External"/><Relationship Id="rId4550" Type="http://schemas.openxmlformats.org/officeDocument/2006/relationships/hyperlink" Target="https://me.unm.edu/about/directory/faculty/john-russell.html" TargetMode="External"/><Relationship Id="rId3152" Type="http://schemas.openxmlformats.org/officeDocument/2006/relationships/hyperlink" Target="https://mie.uic.edu/profiles/michael-j-scott/" TargetMode="External"/><Relationship Id="rId4203" Type="http://schemas.openxmlformats.org/officeDocument/2006/relationships/hyperlink" Target="http://engineering.uga.edu/people/profile/barbara-mccord" TargetMode="External"/><Relationship Id="rId4410" Type="http://schemas.openxmlformats.org/officeDocument/2006/relationships/hyperlink" Target="https://eng.famu.fsu.edu/me/people/oates" TargetMode="External"/><Relationship Id="rId280" Type="http://schemas.openxmlformats.org/officeDocument/2006/relationships/hyperlink" Target="https://www.me.gatech.edu/faculty/ferri" TargetMode="External"/><Relationship Id="rId3012" Type="http://schemas.openxmlformats.org/officeDocument/2006/relationships/hyperlink" Target="https://www.mae.seas.gwu.edu/node/771" TargetMode="External"/><Relationship Id="rId140" Type="http://schemas.openxmlformats.org/officeDocument/2006/relationships/hyperlink" Target="https://me.stanford.edu/people/wei-cai" TargetMode="External"/><Relationship Id="rId3969" Type="http://schemas.openxmlformats.org/officeDocument/2006/relationships/hyperlink" Target="https://sc.edu/study/colleges_schools/engineering_and_computing/faculty-staff/dryer.php" TargetMode="External"/><Relationship Id="rId5184" Type="http://schemas.openxmlformats.org/officeDocument/2006/relationships/hyperlink" Target="https://www.scu.edu/engineering/academic-programs/department-of-mechanical-engineering/faculty-and-staff/heydari.html" TargetMode="External"/><Relationship Id="rId5391" Type="http://schemas.openxmlformats.org/officeDocument/2006/relationships/hyperlink" Target="https://www.sdstate.edu/directory/zhong-hu" TargetMode="External"/><Relationship Id="rId6" Type="http://schemas.openxmlformats.org/officeDocument/2006/relationships/hyperlink" Target="https://meche.mit.edu/people/faculty/rohan@mit.edu" TargetMode="External"/><Relationship Id="rId2778" Type="http://schemas.openxmlformats.org/officeDocument/2006/relationships/hyperlink" Target="https://engineering.buffalo.edu/mechanical-aerospace/people/faculty/ladder.host.html/content/shared/engineering/mechanical-aerospace/profiles/ringuette-matthew.detail.html" TargetMode="External"/><Relationship Id="rId2985" Type="http://schemas.openxmlformats.org/officeDocument/2006/relationships/hyperlink" Target="http://eng.auburn.edu/directory/zabalme" TargetMode="External"/><Relationship Id="rId3829" Type="http://schemas.openxmlformats.org/officeDocument/2006/relationships/hyperlink" Target="https://www.engr.uky.edu/directory/li-wei-mike" TargetMode="External"/><Relationship Id="rId5044" Type="http://schemas.openxmlformats.org/officeDocument/2006/relationships/hyperlink" Target="https://www.uwyo.edu/mechanical/faculty-staff/faculty/Jonathan-Naughton/index.html" TargetMode="External"/><Relationship Id="rId957" Type="http://schemas.openxmlformats.org/officeDocument/2006/relationships/hyperlink" Target="https://me.jhu.edu/faculty/soojung-claire-hur/" TargetMode="External"/><Relationship Id="rId1587" Type="http://schemas.openxmlformats.org/officeDocument/2006/relationships/hyperlink" Target="https://mae.osu.edu/people/hereid.1" TargetMode="External"/><Relationship Id="rId1794" Type="http://schemas.openxmlformats.org/officeDocument/2006/relationships/hyperlink" Target="https://mae.ufl.edu/people/faculty/primary/instructional-professors/profiles/jonathan-brooks/" TargetMode="External"/><Relationship Id="rId2638" Type="http://schemas.openxmlformats.org/officeDocument/2006/relationships/hyperlink" Target="https://me.udel.edu/faculty/x-lucas-lu/" TargetMode="External"/><Relationship Id="rId2845" Type="http://schemas.openxmlformats.org/officeDocument/2006/relationships/hyperlink" Target="https://me.engr.uconn.edu/blog/faculty/kazerounian-kazem/" TargetMode="External"/><Relationship Id="rId5251" Type="http://schemas.openxmlformats.org/officeDocument/2006/relationships/hyperlink" Target="https://www.uidaho.edu/engr/departments/me/our-people/faculty/eric-wolbrecht" TargetMode="External"/><Relationship Id="rId86" Type="http://schemas.openxmlformats.org/officeDocument/2006/relationships/hyperlink" Target="https://meche.mit.edu/people/faculty/kripa@mit.edu" TargetMode="External"/><Relationship Id="rId817" Type="http://schemas.openxmlformats.org/officeDocument/2006/relationships/hyperlink" Target="https://www.me.utexas.edu/people/faculty-directory/yu" TargetMode="External"/><Relationship Id="rId1447" Type="http://schemas.openxmlformats.org/officeDocument/2006/relationships/hyperlink" Target="https://seas.harvard.edu/person/joost-vlassak" TargetMode="External"/><Relationship Id="rId1654" Type="http://schemas.openxmlformats.org/officeDocument/2006/relationships/hyperlink" Target="https://premium.usnews.com/best-graduate-schools/top-engineering-schools/columbia-university-02116" TargetMode="External"/><Relationship Id="rId1861" Type="http://schemas.openxmlformats.org/officeDocument/2006/relationships/hyperlink" Target="https://www.me.washington.edu/people/faculty/jonathan_liu" TargetMode="External"/><Relationship Id="rId2705" Type="http://schemas.openxmlformats.org/officeDocument/2006/relationships/hyperlink" Target="https://drexel.edu/engineering/about/faculty-staff/C/cho-young/" TargetMode="External"/><Relationship Id="rId2912" Type="http://schemas.openxmlformats.org/officeDocument/2006/relationships/hyperlink" Target="https://www.engineering.pitt.edu/people/faculty/qihan-liu/" TargetMode="External"/><Relationship Id="rId4060" Type="http://schemas.openxmlformats.org/officeDocument/2006/relationships/hyperlink" Target="https://daytonabeach.erau.edu/college-engineering/mechanical/faculty" TargetMode="External"/><Relationship Id="rId5111" Type="http://schemas.openxmlformats.org/officeDocument/2006/relationships/hyperlink" Target="https://mme.fiu.edu/faculty-staff-members/ju-sun" TargetMode="External"/><Relationship Id="rId1307" Type="http://schemas.openxmlformats.org/officeDocument/2006/relationships/hyperlink" Target="https://directory.engr.wisc.edu/me/Faculty/Adamczyk_Peter/" TargetMode="External"/><Relationship Id="rId1514" Type="http://schemas.openxmlformats.org/officeDocument/2006/relationships/hyperlink" Target="https://mems.duke.edu/faculty/catherine-brinson" TargetMode="External"/><Relationship Id="rId1721" Type="http://schemas.openxmlformats.org/officeDocument/2006/relationships/hyperlink" Target="https://www.colorado.edu/mechanical/keith-regner" TargetMode="External"/><Relationship Id="rId4877" Type="http://schemas.openxmlformats.org/officeDocument/2006/relationships/hyperlink" Target="https://www.fit.edu/faculty-profiles/s/sen-chiradeep/" TargetMode="External"/><Relationship Id="rId13" Type="http://schemas.openxmlformats.org/officeDocument/2006/relationships/hyperlink" Target="https://meche.mit.edu/people/faculty/kjb@mit.edu" TargetMode="External"/><Relationship Id="rId3479" Type="http://schemas.openxmlformats.org/officeDocument/2006/relationships/hyperlink" Target="https://www.iit.edu/directory/people/seebany-datta-barua" TargetMode="External"/><Relationship Id="rId3686" Type="http://schemas.openxmlformats.org/officeDocument/2006/relationships/hyperlink" Target="https://ceat.okstate.edu/mae/faculty-staff/faculty-bios/kursat-kara.html" TargetMode="External"/><Relationship Id="rId2288" Type="http://schemas.openxmlformats.org/officeDocument/2006/relationships/hyperlink" Target="https://www.mae.ncsu.edu/people/njmoore3" TargetMode="External"/><Relationship Id="rId2495" Type="http://schemas.openxmlformats.org/officeDocument/2006/relationships/hyperlink" Target="https://www.bu.edu/eng/profile/dan-cole-ph-d/" TargetMode="External"/><Relationship Id="rId3339" Type="http://schemas.openxmlformats.org/officeDocument/2006/relationships/hyperlink" Target="https://www.me.uh.edu/faculty/grigoriadis" TargetMode="External"/><Relationship Id="rId3893" Type="http://schemas.openxmlformats.org/officeDocument/2006/relationships/hyperlink" Target="https://mees.charlotte.edu/directory/harish-cherukuri" TargetMode="External"/><Relationship Id="rId4737" Type="http://schemas.openxmlformats.org/officeDocument/2006/relationships/hyperlink" Target="http://me.hawaii.edu/azimov/" TargetMode="External"/><Relationship Id="rId4944" Type="http://schemas.openxmlformats.org/officeDocument/2006/relationships/hyperlink" Target="https://uakron.edu/engineering/me/our-people/profile.dot?u=wangs" TargetMode="External"/><Relationship Id="rId467" Type="http://schemas.openxmlformats.org/officeDocument/2006/relationships/hyperlink" Target="https://me.engin.umich.edu/people/faculty/nima-fazeli/" TargetMode="External"/><Relationship Id="rId1097" Type="http://schemas.openxmlformats.org/officeDocument/2006/relationships/hyperlink" Target="https://samueli.ucla.edu/people/chang-jin-kim/" TargetMode="External"/><Relationship Id="rId2148" Type="http://schemas.openxmlformats.org/officeDocument/2006/relationships/hyperlink" Target="https://mae.ucdavis.edu/directory/barbara-linke" TargetMode="External"/><Relationship Id="rId3546" Type="http://schemas.openxmlformats.org/officeDocument/2006/relationships/hyperlink" Target="https://www.stevens.edu/profile/cchoi" TargetMode="External"/><Relationship Id="rId3753" Type="http://schemas.openxmlformats.org/officeDocument/2006/relationships/hyperlink" Target="https://www.uta.edu/academics/faculty/profile?username=dogan" TargetMode="External"/><Relationship Id="rId3960" Type="http://schemas.openxmlformats.org/officeDocument/2006/relationships/hyperlink" Target="https://sc.edu/study/colleges_schools/engineering_and_computing/departments/mechanical_engineering/our_people/index.php" TargetMode="External"/><Relationship Id="rId4804" Type="http://schemas.openxmlformats.org/officeDocument/2006/relationships/hyperlink" Target="https://klesse.utsa.edu/faculty/profiles/finol-ender.html" TargetMode="External"/><Relationship Id="rId674" Type="http://schemas.openxmlformats.org/officeDocument/2006/relationships/hyperlink" Target="https://www.engineering.cornell.edu/faculty-directory/mahdi-esmaily-moghadam" TargetMode="External"/><Relationship Id="rId881" Type="http://schemas.openxmlformats.org/officeDocument/2006/relationships/hyperlink" Target="https://www.mccormick.northwestern.edu/mechanical/research/areas/ai-design.html" TargetMode="External"/><Relationship Id="rId2355" Type="http://schemas.openxmlformats.org/officeDocument/2006/relationships/hyperlink" Target="https://engineering.wustl.edu/faculty/Chiamaka-Asinugo.html" TargetMode="External"/><Relationship Id="rId2562" Type="http://schemas.openxmlformats.org/officeDocument/2006/relationships/hyperlink" Target="https://mechanical.mines.edu/project/petrella-anthony/" TargetMode="External"/><Relationship Id="rId3406" Type="http://schemas.openxmlformats.org/officeDocument/2006/relationships/hyperlink" Target="https://www.wpi.edu/people/faculty/aebadi" TargetMode="External"/><Relationship Id="rId3613" Type="http://schemas.openxmlformats.org/officeDocument/2006/relationships/hyperlink" Target="https://me.utdallas.edu/faculty-staff/juyoung-leem" TargetMode="External"/><Relationship Id="rId3820" Type="http://schemas.openxmlformats.org/officeDocument/2006/relationships/hyperlink" Target="https://www.engr.uky.edu/directory/grady-martha" TargetMode="External"/><Relationship Id="rId327" Type="http://schemas.openxmlformats.org/officeDocument/2006/relationships/hyperlink" Target="https://www.me.gatech.edu/faculty/saldana" TargetMode="External"/><Relationship Id="rId534" Type="http://schemas.openxmlformats.org/officeDocument/2006/relationships/hyperlink" Target="https://me.engin.umich.edu/people/faculty/margaret-wooldridge/" TargetMode="External"/><Relationship Id="rId741" Type="http://schemas.openxmlformats.org/officeDocument/2006/relationships/hyperlink" Target="https://www.meche.engineering.cmu.edu/directory/bios/shen-sheng.html" TargetMode="External"/><Relationship Id="rId1164" Type="http://schemas.openxmlformats.org/officeDocument/2006/relationships/hyperlink" Target="https://www.me.psu.edu/department/directory-detail-g.aspx?q=YUX19" TargetMode="External"/><Relationship Id="rId1371" Type="http://schemas.openxmlformats.org/officeDocument/2006/relationships/hyperlink" Target="https://me.vt.edu/people/faculty/asbeck-alan.html" TargetMode="External"/><Relationship Id="rId2008" Type="http://schemas.openxmlformats.org/officeDocument/2006/relationships/hyperlink" Target="https://me.ucsb.edu/people/trevor-marks-0" TargetMode="External"/><Relationship Id="rId2215" Type="http://schemas.openxmlformats.org/officeDocument/2006/relationships/hyperlink" Target="https://www.me.iastate.edu/faculty/profile/baskarg" TargetMode="External"/><Relationship Id="rId2422" Type="http://schemas.openxmlformats.org/officeDocument/2006/relationships/hyperlink" Target="https://www.egr.msu.edu/people/profile/khasawn3" TargetMode="External"/><Relationship Id="rId601" Type="http://schemas.openxmlformats.org/officeDocument/2006/relationships/hyperlink" Target="https://engineering.purdue.edu/ME/People/ptProfile?resource_id=113506" TargetMode="External"/><Relationship Id="rId1024" Type="http://schemas.openxmlformats.org/officeDocument/2006/relationships/hyperlink" Target="https://engineering.tamu.edu/mechanical/profiles/langari-reza.html" TargetMode="External"/><Relationship Id="rId1231" Type="http://schemas.openxmlformats.org/officeDocument/2006/relationships/hyperlink" Target="https://cse.umn.edu/me/tianhong-cui" TargetMode="External"/><Relationship Id="rId4387" Type="http://schemas.openxmlformats.org/officeDocument/2006/relationships/hyperlink" Target="https://eng.famu.fsu.edu/me/people/alvi" TargetMode="External"/><Relationship Id="rId4594" Type="http://schemas.openxmlformats.org/officeDocument/2006/relationships/hyperlink" Target="https://www.uvm.edu/node/223706" TargetMode="External"/><Relationship Id="rId5438" Type="http://schemas.openxmlformats.org/officeDocument/2006/relationships/hyperlink" Target="https://wmich.edu/mechanical-aerospace" TargetMode="External"/><Relationship Id="rId3196" Type="http://schemas.openxmlformats.org/officeDocument/2006/relationships/hyperlink" Target="https://mabe.utk.edu/people/madhu-s-madhukar/" TargetMode="External"/><Relationship Id="rId4247" Type="http://schemas.openxmlformats.org/officeDocument/2006/relationships/hyperlink" Target="https://engineering.missouri.edu/faculty/chung-lung-c-l-chen/" TargetMode="External"/><Relationship Id="rId4454" Type="http://schemas.openxmlformats.org/officeDocument/2006/relationships/hyperlink" Target="http://www.me.msstate.edu/people/faculty/doyl-dickel/" TargetMode="External"/><Relationship Id="rId4661" Type="http://schemas.openxmlformats.org/officeDocument/2006/relationships/hyperlink" Target="https://mae.nmsu.edu/faculty/dr-liang-sun.html" TargetMode="External"/><Relationship Id="rId5505" Type="http://schemas.openxmlformats.org/officeDocument/2006/relationships/hyperlink" Target="https://www.pdx.edu/profile/robert-paxton" TargetMode="External"/><Relationship Id="rId3056" Type="http://schemas.openxmlformats.org/officeDocument/2006/relationships/hyperlink" Target="https://works.bepress.com/xiaosong-du/about/" TargetMode="External"/><Relationship Id="rId3263" Type="http://schemas.openxmlformats.org/officeDocument/2006/relationships/hyperlink" Target="https://www.engr.colostate.edu/me/faculty/dr-jianguo-zhao/" TargetMode="External"/><Relationship Id="rId3470" Type="http://schemas.openxmlformats.org/officeDocument/2006/relationships/hyperlink" Target="https://www.iit.edu/directory/people/sumanta-acharya" TargetMode="External"/><Relationship Id="rId4107" Type="http://schemas.openxmlformats.org/officeDocument/2006/relationships/hyperlink" Target="https://mechanical.sdsu.edu/people/amneet-bhalla.aspx" TargetMode="External"/><Relationship Id="rId4314" Type="http://schemas.openxmlformats.org/officeDocument/2006/relationships/hyperlink" Target="http://egr.vcu.edu/directory/bradley.nichols/" TargetMode="External"/><Relationship Id="rId184" Type="http://schemas.openxmlformats.org/officeDocument/2006/relationships/hyperlink" Target="https://me.stanford.edu/people/nicholas-robles" TargetMode="External"/><Relationship Id="rId391" Type="http://schemas.openxmlformats.org/officeDocument/2006/relationships/hyperlink" Target="https://mechse.illinois.edu/people/profile/sascha" TargetMode="External"/><Relationship Id="rId1908" Type="http://schemas.openxmlformats.org/officeDocument/2006/relationships/hyperlink" Target="https://engineering.brown.edu/people/benjamin-kimia" TargetMode="External"/><Relationship Id="rId2072" Type="http://schemas.openxmlformats.org/officeDocument/2006/relationships/hyperlink" Target="https://seas.yale.edu/faculty-research/faculty-directory/rebecca-kramer-bottiglio" TargetMode="External"/><Relationship Id="rId3123" Type="http://schemas.openxmlformats.org/officeDocument/2006/relationships/hyperlink" Target="https://me.stonybrook.edu/commcms/me-eng/people/faculty/Kukta_Robert.php" TargetMode="External"/><Relationship Id="rId4521" Type="http://schemas.openxmlformats.org/officeDocument/2006/relationships/hyperlink" Target="https://udayton.edu/directory/engineering/mechanical_and_aerospace/reissman-timothy.php" TargetMode="External"/><Relationship Id="rId251" Type="http://schemas.openxmlformats.org/officeDocument/2006/relationships/hyperlink" Target="https://me.berkeley.edu/people/david-steigmann/" TargetMode="External"/><Relationship Id="rId3330" Type="http://schemas.openxmlformats.org/officeDocument/2006/relationships/hyperlink" Target="https://www.me.uh.edu/faculty/cescon" TargetMode="External"/><Relationship Id="rId5088" Type="http://schemas.openxmlformats.org/officeDocument/2006/relationships/hyperlink" Target="https://mme.fiu.edu/faculty-staff-members/anamika-prasad" TargetMode="External"/><Relationship Id="rId2889" Type="http://schemas.openxmlformats.org/officeDocument/2006/relationships/hyperlink" Target="https://engineering.uiowa.edu/people/cong-wang" TargetMode="External"/><Relationship Id="rId5295" Type="http://schemas.openxmlformats.org/officeDocument/2006/relationships/hyperlink" Target="https://mechanical.engineering.unt.edu/faculty/paul-krueger" TargetMode="External"/><Relationship Id="rId111" Type="http://schemas.openxmlformats.org/officeDocument/2006/relationships/hyperlink" Target="https://meche.mit.edu/people/staff/hchin@mit.edu" TargetMode="External"/><Relationship Id="rId1698" Type="http://schemas.openxmlformats.org/officeDocument/2006/relationships/hyperlink" Target="https://www.colorado.edu/mechanical/j-sean-humbert" TargetMode="External"/><Relationship Id="rId2749" Type="http://schemas.openxmlformats.org/officeDocument/2006/relationships/hyperlink" Target="https://engineering.tufts.edu/me/node/2911" TargetMode="External"/><Relationship Id="rId2956" Type="http://schemas.openxmlformats.org/officeDocument/2006/relationships/hyperlink" Target="http://eng.auburn.edu/directory/bhavnsh" TargetMode="External"/><Relationship Id="rId5155" Type="http://schemas.openxmlformats.org/officeDocument/2006/relationships/hyperlink" Target="https://www.ohio.edu/engineering/about/people/kremer" TargetMode="External"/><Relationship Id="rId5362" Type="http://schemas.openxmlformats.org/officeDocument/2006/relationships/hyperlink" Target="https://sites.google.com/view/prakashparthiban/home/" TargetMode="External"/><Relationship Id="rId928" Type="http://schemas.openxmlformats.org/officeDocument/2006/relationships/hyperlink" Target="https://www.mccormick.northwestern.edu/research-faculty/directory/profiles/rudnicki-john.html" TargetMode="External"/><Relationship Id="rId1558" Type="http://schemas.openxmlformats.org/officeDocument/2006/relationships/hyperlink" Target="https://mems.duke.edu/faculty/amanda-randles" TargetMode="External"/><Relationship Id="rId1765" Type="http://schemas.openxmlformats.org/officeDocument/2006/relationships/hyperlink" Target="https://mae.ufl.edu/people/faculty/primary/professor/profiles/sa-sherif/" TargetMode="External"/><Relationship Id="rId2609" Type="http://schemas.openxmlformats.org/officeDocument/2006/relationships/hyperlink" Target="https://mae.rutgers.edu/amin-reihani" TargetMode="External"/><Relationship Id="rId4171" Type="http://schemas.openxmlformats.org/officeDocument/2006/relationships/hyperlink" Target="https://www.depts.ttu.edu/me/faculty/shu_xia_tang/index.php" TargetMode="External"/><Relationship Id="rId5015" Type="http://schemas.openxmlformats.org/officeDocument/2006/relationships/hyperlink" Target="https://umaine.edu/mecheng/yang/" TargetMode="External"/><Relationship Id="rId5222" Type="http://schemas.openxmlformats.org/officeDocument/2006/relationships/hyperlink" Target="https://expertise.utep.edu/profiles/leverett" TargetMode="External"/><Relationship Id="rId57" Type="http://schemas.openxmlformats.org/officeDocument/2006/relationships/hyperlink" Target="https://meche.mit.edu/people/faculty/wojciech@mit.edu" TargetMode="External"/><Relationship Id="rId1418" Type="http://schemas.openxmlformats.org/officeDocument/2006/relationships/hyperlink" Target="https://me.vt.edu/people/faculty/son-changmin.html" TargetMode="External"/><Relationship Id="rId1972" Type="http://schemas.openxmlformats.org/officeDocument/2006/relationships/hyperlink" Target="https://faculty.rpi.edu/mark-shephard" TargetMode="External"/><Relationship Id="rId2816" Type="http://schemas.openxmlformats.org/officeDocument/2006/relationships/hyperlink" Target="https://ame.engineering.arizona.edu/faculty-staff/faculty/bernard-parent" TargetMode="External"/><Relationship Id="rId4031" Type="http://schemas.openxmlformats.org/officeDocument/2006/relationships/hyperlink" Target="https://www.clarkson.edu/node/5451" TargetMode="External"/><Relationship Id="rId1625" Type="http://schemas.openxmlformats.org/officeDocument/2006/relationships/hyperlink" Target="https://mae.osu.edu/people/wang.8516" TargetMode="External"/><Relationship Id="rId1832" Type="http://schemas.openxmlformats.org/officeDocument/2006/relationships/hyperlink" Target="https://viterbi.usc.edu/directory/faculty/Gilpin/Matthew" TargetMode="External"/><Relationship Id="rId4988" Type="http://schemas.openxmlformats.org/officeDocument/2006/relationships/hyperlink" Target="https://engineering.louisville.edu/faculty/yongsheng-lian/" TargetMode="External"/><Relationship Id="rId3797" Type="http://schemas.openxmlformats.org/officeDocument/2006/relationships/hyperlink" Target="https://www.uah.edu/eng/departments/mae/faculty-staff/chang-kwon-kang" TargetMode="External"/><Relationship Id="rId4848" Type="http://schemas.openxmlformats.org/officeDocument/2006/relationships/hyperlink" Target="https://engineering.wayne.edu/profile/bb1599" TargetMode="External"/><Relationship Id="rId2399" Type="http://schemas.openxmlformats.org/officeDocument/2006/relationships/hyperlink" Target="https://engineering.case.edu/about/school-directory/uday-hegde" TargetMode="External"/><Relationship Id="rId3657" Type="http://schemas.openxmlformats.org/officeDocument/2006/relationships/hyperlink" Target="https://profiles.ucr.edu/app/home/profile/juns" TargetMode="External"/><Relationship Id="rId3864" Type="http://schemas.openxmlformats.org/officeDocument/2006/relationships/hyperlink" Target="https://engineering.unl.edu/mme/faculty/mohammad-ghashami/" TargetMode="External"/><Relationship Id="rId4708" Type="http://schemas.openxmlformats.org/officeDocument/2006/relationships/hyperlink" Target="https://mechanical-engineering.uark.edu/Directory/index/uid/uwejinya/name/Uche+Wejinya/" TargetMode="External"/><Relationship Id="rId4915" Type="http://schemas.openxmlformats.org/officeDocument/2006/relationships/hyperlink" Target="https://www.odu.edu/directory/willy-wriggers" TargetMode="External"/><Relationship Id="rId578" Type="http://schemas.openxmlformats.org/officeDocument/2006/relationships/hyperlink" Target="https://engineering.purdue.edu/ME/People/ptProfile?resource_id=34222" TargetMode="External"/><Relationship Id="rId785" Type="http://schemas.openxmlformats.org/officeDocument/2006/relationships/hyperlink" Target="https://www.me.utexas.edu/people/faculty-directory/hasenbein" TargetMode="External"/><Relationship Id="rId992" Type="http://schemas.openxmlformats.org/officeDocument/2006/relationships/hyperlink" Target="https://engineering.tamu.edu/mechanical/profiles/charoenphol-ploy.html" TargetMode="External"/><Relationship Id="rId2259" Type="http://schemas.openxmlformats.org/officeDocument/2006/relationships/hyperlink" Target="https://www.mae.ncsu.edu/people/james-braun" TargetMode="External"/><Relationship Id="rId2466" Type="http://schemas.openxmlformats.org/officeDocument/2006/relationships/hyperlink" Target="https://engineering.vanderbilt.edu/bio/nilanjan-sarkar" TargetMode="External"/><Relationship Id="rId2673" Type="http://schemas.openxmlformats.org/officeDocument/2006/relationships/hyperlink" Target="https://www.clemson.edu/cecas/departments/me/people/faculty/myers.html" TargetMode="External"/><Relationship Id="rId2880" Type="http://schemas.openxmlformats.org/officeDocument/2006/relationships/hyperlink" Target="https://engineering.uiowa.edu/people/ann-mckenna" TargetMode="External"/><Relationship Id="rId3517" Type="http://schemas.openxmlformats.org/officeDocument/2006/relationships/hyperlink" Target="https://www.mtu.edu/mechanical/people/faculty/king/" TargetMode="External"/><Relationship Id="rId3724" Type="http://schemas.openxmlformats.org/officeDocument/2006/relationships/hyperlink" Target="https://eng.ua.edu/eng-directory/dr-forooza-samadi/" TargetMode="External"/><Relationship Id="rId3931" Type="http://schemas.openxmlformats.org/officeDocument/2006/relationships/hyperlink" Target="http://www.hajim.rochester.edu/me/people/faculty/burnhamfay_ethan/index.html" TargetMode="External"/><Relationship Id="rId438" Type="http://schemas.openxmlformats.org/officeDocument/2006/relationships/hyperlink" Target="https://me.engin.umich.edu/people/faculty/solomon-adera/" TargetMode="External"/><Relationship Id="rId645" Type="http://schemas.openxmlformats.org/officeDocument/2006/relationships/hyperlink" Target="https://www.mae.cornell.edu/mae/faculty-directory" TargetMode="External"/><Relationship Id="rId852" Type="http://schemas.openxmlformats.org/officeDocument/2006/relationships/hyperlink" Target="https://www.mccormick.northwestern.edu/mechanical/research/areas/micro-nanoengineering.html" TargetMode="External"/><Relationship Id="rId1068" Type="http://schemas.openxmlformats.org/officeDocument/2006/relationships/hyperlink" Target="https://engineering.tamu.edu/mechanical/profiles/weaver-rosen-jonathan.html" TargetMode="External"/><Relationship Id="rId1275" Type="http://schemas.openxmlformats.org/officeDocument/2006/relationships/hyperlink" Target="https://directory.seas.upenn.edu/michael-a-carchidi/" TargetMode="External"/><Relationship Id="rId1482" Type="http://schemas.openxmlformats.org/officeDocument/2006/relationships/hyperlink" Target="https://jacobsschool.ucsd.edu/faculty/profile?id=492" TargetMode="External"/><Relationship Id="rId2119" Type="http://schemas.openxmlformats.org/officeDocument/2006/relationships/hyperlink" Target="https://isearch.asu.edu/profile/2156638" TargetMode="External"/><Relationship Id="rId2326" Type="http://schemas.openxmlformats.org/officeDocument/2006/relationships/hyperlink" Target="https://engineering.virginia.edu/faculty/gavin-garner" TargetMode="External"/><Relationship Id="rId2533" Type="http://schemas.openxmlformats.org/officeDocument/2006/relationships/hyperlink" Target="https://mechanical.mines.edu/project/berger-john/" TargetMode="External"/><Relationship Id="rId2740" Type="http://schemas.openxmlformats.org/officeDocument/2006/relationships/hyperlink" Target="https://engineering.tufts.edu/me/node/3121" TargetMode="External"/><Relationship Id="rId505" Type="http://schemas.openxmlformats.org/officeDocument/2006/relationships/hyperlink" Target="https://me.engin.umich.edu/people/faculty/venkat-raman/" TargetMode="External"/><Relationship Id="rId712" Type="http://schemas.openxmlformats.org/officeDocument/2006/relationships/hyperlink" Target="https://mae.princeton.edu/people/faculty/rowley" TargetMode="External"/><Relationship Id="rId1135" Type="http://schemas.openxmlformats.org/officeDocument/2006/relationships/hyperlink" Target="https://www.me.psu.edu/department/directory-detail-g.aspx?q=AKK" TargetMode="External"/><Relationship Id="rId1342" Type="http://schemas.openxmlformats.org/officeDocument/2006/relationships/hyperlink" Target="https://directory.engr.wisc.edu/me/Faculty/Rudraraju_Shiva/" TargetMode="External"/><Relationship Id="rId4498" Type="http://schemas.openxmlformats.org/officeDocument/2006/relationships/hyperlink" Target="https://me.ucmerced.edu/content/yanbao-ma" TargetMode="External"/><Relationship Id="rId5549" Type="http://schemas.openxmlformats.org/officeDocument/2006/relationships/hyperlink" Target="https://und.edu/directory/yachao.wang" TargetMode="External"/><Relationship Id="rId1202" Type="http://schemas.openxmlformats.org/officeDocument/2006/relationships/hyperlink" Target="https://enme.umd.edu/clark/faculty/570/CD-Dan-Mote-Jr" TargetMode="External"/><Relationship Id="rId2600" Type="http://schemas.openxmlformats.org/officeDocument/2006/relationships/hyperlink" Target="https://mae.rutgers.edu/noshir-langrana" TargetMode="External"/><Relationship Id="rId4358" Type="http://schemas.openxmlformats.org/officeDocument/2006/relationships/hyperlink" Target="https://directory.statler.wvu.edu/faculty-staff-directory/christopher-d-griffin" TargetMode="External"/><Relationship Id="rId5409" Type="http://schemas.openxmlformats.org/officeDocument/2006/relationships/hyperlink" Target="https://engineering.catholic.edu/research-and-faculty/faculty-profiles/mechanical/vignola-joseph/index.html" TargetMode="External"/><Relationship Id="rId3167" Type="http://schemas.openxmlformats.org/officeDocument/2006/relationships/hyperlink" Target="https://mabe.utk.edu/people/elizabeth-barker/" TargetMode="External"/><Relationship Id="rId4565" Type="http://schemas.openxmlformats.org/officeDocument/2006/relationships/hyperlink" Target="https://www.ou.edu/coe/ame/people/hding" TargetMode="External"/><Relationship Id="rId4772" Type="http://schemas.openxmlformats.org/officeDocument/2006/relationships/hyperlink" Target="https://umdearborn.edu/people-um-dearborn/taehyun-shim" TargetMode="External"/><Relationship Id="rId295" Type="http://schemas.openxmlformats.org/officeDocument/2006/relationships/hyperlink" Target="https://www.me.gatech.edu/faculty/jacobs" TargetMode="External"/><Relationship Id="rId3374" Type="http://schemas.openxmlformats.org/officeDocument/2006/relationships/hyperlink" Target="https://mme.wsu.edu/emily-larsen-2/" TargetMode="External"/><Relationship Id="rId3581" Type="http://schemas.openxmlformats.org/officeDocument/2006/relationships/hyperlink" Target="https://ecs.syracuse.edu/faculty-staff/bing-dong" TargetMode="External"/><Relationship Id="rId4218" Type="http://schemas.openxmlformats.org/officeDocument/2006/relationships/hyperlink" Target="http://engineering.uga.edu/people/profile/xianqiao-wang-ph.d" TargetMode="External"/><Relationship Id="rId4425" Type="http://schemas.openxmlformats.org/officeDocument/2006/relationships/hyperlink" Target="https://www.lsu.edu/eng/mie/people/researchfaculty/gilbert.php" TargetMode="External"/><Relationship Id="rId4632" Type="http://schemas.openxmlformats.org/officeDocument/2006/relationships/hyperlink" Target="https://www.ccny.cuny.edu/profiles/yang-liu" TargetMode="External"/><Relationship Id="rId2183" Type="http://schemas.openxmlformats.org/officeDocument/2006/relationships/hyperlink" Target="https://engineering.uci.edu/users/jaeho-lee" TargetMode="External"/><Relationship Id="rId2390" Type="http://schemas.openxmlformats.org/officeDocument/2006/relationships/hyperlink" Target="https://engineering.case.edu/about/school-directory/chirag-kharangate" TargetMode="External"/><Relationship Id="rId3027" Type="http://schemas.openxmlformats.org/officeDocument/2006/relationships/hyperlink" Target="https://engineering.lehigh.edu/meche/faculty/820" TargetMode="External"/><Relationship Id="rId3234" Type="http://schemas.openxmlformats.org/officeDocument/2006/relationships/hyperlink" Target="https://www.engr.colostate.edu/me/faculty/dr-soham-ghosh/" TargetMode="External"/><Relationship Id="rId3441" Type="http://schemas.openxmlformats.org/officeDocument/2006/relationships/hyperlink" Target="https://www.me.byu.edu/directory/mark-colton" TargetMode="External"/><Relationship Id="rId155" Type="http://schemas.openxmlformats.org/officeDocument/2006/relationships/hyperlink" Target="https://me.stanford.edu/people/matthias-ihme" TargetMode="External"/><Relationship Id="rId362" Type="http://schemas.openxmlformats.org/officeDocument/2006/relationships/hyperlink" Target="https://www.me.gatech.edu/faculty/zhu-0" TargetMode="External"/><Relationship Id="rId2043" Type="http://schemas.openxmlformats.org/officeDocument/2006/relationships/hyperlink" Target="https://ame.nd.edu/faculty/joseph-powers/" TargetMode="External"/><Relationship Id="rId2250" Type="http://schemas.openxmlformats.org/officeDocument/2006/relationships/hyperlink" Target="https://www.me.iastate.edu/faculty/profile/shankar" TargetMode="External"/><Relationship Id="rId3301" Type="http://schemas.openxmlformats.org/officeDocument/2006/relationships/hyperlink" Target="https://researchdirectory.uc.edu/p/bahkjg" TargetMode="External"/><Relationship Id="rId5199" Type="http://schemas.openxmlformats.org/officeDocument/2006/relationships/hyperlink" Target="https://engineering.siu.edu/me/faculty-staff/faculty/eslamiat.php" TargetMode="External"/><Relationship Id="rId222" Type="http://schemas.openxmlformats.org/officeDocument/2006/relationships/hyperlink" Target="https://me.berkeley.edu/people/chris-dames/" TargetMode="External"/><Relationship Id="rId2110" Type="http://schemas.openxmlformats.org/officeDocument/2006/relationships/hyperlink" Target="https://isearch.asu.edu/profile/1550520" TargetMode="External"/><Relationship Id="rId5059" Type="http://schemas.openxmlformats.org/officeDocument/2006/relationships/hyperlink" Target="https://www.wichita.edu/profiles/academics/engineering/mechanical_engineering/01_Faculty/Nair-Rajeev.php" TargetMode="External"/><Relationship Id="rId5266" Type="http://schemas.openxmlformats.org/officeDocument/2006/relationships/hyperlink" Target="https://www.unlv.edu/people/alexander-barzilov" TargetMode="External"/><Relationship Id="rId5473" Type="http://schemas.openxmlformats.org/officeDocument/2006/relationships/hyperlink" Target="https://nmt.edu/academics/mecheng/faculty/mhargather/index.php" TargetMode="External"/><Relationship Id="rId4075" Type="http://schemas.openxmlformats.org/officeDocument/2006/relationships/hyperlink" Target="https://daytonabeach.erau.edu/college-engineering/mechanical/faculty" TargetMode="External"/><Relationship Id="rId4282" Type="http://schemas.openxmlformats.org/officeDocument/2006/relationships/hyperlink" Target="https://www1.villanova.edu/university/engineering/academic-programs/departments/mechanical/directory/biodetail.html?mail=calvin.li@villanova.edu&amp;xsl=bio_long" TargetMode="External"/><Relationship Id="rId5126" Type="http://schemas.openxmlformats.org/officeDocument/2006/relationships/hyperlink" Target="https://coes.latech.edu/facultystaff-directory/single-entry/name/krystal-corbett/" TargetMode="External"/><Relationship Id="rId5333" Type="http://schemas.openxmlformats.org/officeDocument/2006/relationships/hyperlink" Target="https://www.fau.edu/engineering/directory/faculty/abtahi/" TargetMode="External"/><Relationship Id="rId1669" Type="http://schemas.openxmlformats.org/officeDocument/2006/relationships/hyperlink" Target="https://www.me.columbia.edu/faculty/kristin-myers" TargetMode="External"/><Relationship Id="rId1876" Type="http://schemas.openxmlformats.org/officeDocument/2006/relationships/hyperlink" Target="https://www.me.washington.edu/people/faculty/steve_shen" TargetMode="External"/><Relationship Id="rId2927" Type="http://schemas.openxmlformats.org/officeDocument/2006/relationships/hyperlink" Target="https://www.engineering.pitt.edu/people/faculty/john-whitefoot/" TargetMode="External"/><Relationship Id="rId3091" Type="http://schemas.openxmlformats.org/officeDocument/2006/relationships/hyperlink" Target="https://nps.edu/faculty-profiles/-/cv/vndobrok" TargetMode="External"/><Relationship Id="rId4142" Type="http://schemas.openxmlformats.org/officeDocument/2006/relationships/hyperlink" Target="https://www.depts.ttu.edu/me/faculty/turgut_baturalp/index.php" TargetMode="External"/><Relationship Id="rId5540" Type="http://schemas.openxmlformats.org/officeDocument/2006/relationships/hyperlink" Target="https://und.edu/directory/surojit.gupta" TargetMode="External"/><Relationship Id="rId1529" Type="http://schemas.openxmlformats.org/officeDocument/2006/relationships/hyperlink" Target="https://mems.duke.edu/faculty/john-dolbow" TargetMode="External"/><Relationship Id="rId1736" Type="http://schemas.openxmlformats.org/officeDocument/2006/relationships/hyperlink" Target="https://www.colorado.edu/mechanical/gregory-l-whiting" TargetMode="External"/><Relationship Id="rId1943" Type="http://schemas.openxmlformats.org/officeDocument/2006/relationships/hyperlink" Target="https://engineering.brown.edu/people/jj-trey-crisco" TargetMode="External"/><Relationship Id="rId5400" Type="http://schemas.openxmlformats.org/officeDocument/2006/relationships/hyperlink" Target="https://engineering.catholic.edu/research-and-faculty/faculty-profiles/mechanical/bomela-christian/index.html" TargetMode="External"/><Relationship Id="rId28" Type="http://schemas.openxmlformats.org/officeDocument/2006/relationships/hyperlink" Target="https://meche.mit.edu/people/faculty/mculpepp@MIT.EDU" TargetMode="External"/><Relationship Id="rId1803" Type="http://schemas.openxmlformats.org/officeDocument/2006/relationships/hyperlink" Target="https://viterbi.usc.edu/directory/faculty/Bermejo-Moreno/Ivan" TargetMode="External"/><Relationship Id="rId4002" Type="http://schemas.openxmlformats.org/officeDocument/2006/relationships/hyperlink" Target="https://sc.edu/study/colleges_schools/engineering_and_computing/faculty-staff/sang_hee_won.php" TargetMode="External"/><Relationship Id="rId4959" Type="http://schemas.openxmlformats.org/officeDocument/2006/relationships/hyperlink" Target="https://www.uab.edu/engineering/mme/people/faculty/haibin-ning" TargetMode="External"/><Relationship Id="rId3768" Type="http://schemas.openxmlformats.org/officeDocument/2006/relationships/hyperlink" Target="https://www.uta.edu/academics/faculty/profile?username=chengluo" TargetMode="External"/><Relationship Id="rId3975" Type="http://schemas.openxmlformats.org/officeDocument/2006/relationships/hyperlink" Target="https://sc.edu/study/colleges_schools/engineering_and_computing/faculty-staff/andrewgross.php" TargetMode="External"/><Relationship Id="rId4819" Type="http://schemas.openxmlformats.org/officeDocument/2006/relationships/hyperlink" Target="https://klesse.utsa.edu/faculty/profiles/testik-firat.html" TargetMode="External"/><Relationship Id="rId689" Type="http://schemas.openxmlformats.org/officeDocument/2006/relationships/hyperlink" Target="https://mae.princeton.edu/people/faculty/arnold" TargetMode="External"/><Relationship Id="rId896" Type="http://schemas.openxmlformats.org/officeDocument/2006/relationships/hyperlink" Target="https://www.mccormick.northwestern.edu/mechanical/research/areas/robotics-autonomy.html" TargetMode="External"/><Relationship Id="rId2577" Type="http://schemas.openxmlformats.org/officeDocument/2006/relationships/hyperlink" Target="https://mechanical.mines.edu/project/zhang-ruichong/" TargetMode="External"/><Relationship Id="rId2784" Type="http://schemas.openxmlformats.org/officeDocument/2006/relationships/hyperlink" Target="https://engineering.buffalo.edu/mechanical-aerospace/people/faculty/ladder.host.html/content/shared/engineering/mechanical-aerospace/profiles/snoeyink-craig.detail.html" TargetMode="External"/><Relationship Id="rId3628" Type="http://schemas.openxmlformats.org/officeDocument/2006/relationships/hyperlink" Target="https://me.utdallas.edu/faculty-staff/ill-ryu/" TargetMode="External"/><Relationship Id="rId5190" Type="http://schemas.openxmlformats.org/officeDocument/2006/relationships/hyperlink" Target="https://www.scu.edu/engineering/academic-programs/department-of-mechanical-engineering/faculty-and-staff/pak.html" TargetMode="External"/><Relationship Id="rId549" Type="http://schemas.openxmlformats.org/officeDocument/2006/relationships/hyperlink" Target="https://engineering.purdue.edu/ME/People/ptProfile?resource_id=11026" TargetMode="External"/><Relationship Id="rId756" Type="http://schemas.openxmlformats.org/officeDocument/2006/relationships/hyperlink" Target="https://www.me.utexas.edu/people/faculty-directory/aluru" TargetMode="External"/><Relationship Id="rId1179" Type="http://schemas.openxmlformats.org/officeDocument/2006/relationships/hyperlink" Target="https://enme.umd.edu/clark/faculty/527/Siddhartha-Das" TargetMode="External"/><Relationship Id="rId1386" Type="http://schemas.openxmlformats.org/officeDocument/2006/relationships/hyperlink" Target="https://me.vt.edu/people/faculty/gonzales-david.html" TargetMode="External"/><Relationship Id="rId1593" Type="http://schemas.openxmlformats.org/officeDocument/2006/relationships/hyperlink" Target="https://mae.osu.edu/people/kandlakunta.1" TargetMode="External"/><Relationship Id="rId2437" Type="http://schemas.openxmlformats.org/officeDocument/2006/relationships/hyperlink" Target="https://www.egr.msu.edu/people/profile/pence" TargetMode="External"/><Relationship Id="rId2991" Type="http://schemas.openxmlformats.org/officeDocument/2006/relationships/hyperlink" Target="https://www.mae.seas.gwu.edu/node/756" TargetMode="External"/><Relationship Id="rId3835" Type="http://schemas.openxmlformats.org/officeDocument/2006/relationships/hyperlink" Target="https://www.engr.uky.edu/directory/martin-alexandre" TargetMode="External"/><Relationship Id="rId5050" Type="http://schemas.openxmlformats.org/officeDocument/2006/relationships/hyperlink" Target="https://www.wichita.edu/profiles/academics/engineering/mechanical_engineering/01_Faculty/Askari-Davood.php" TargetMode="External"/><Relationship Id="rId409" Type="http://schemas.openxmlformats.org/officeDocument/2006/relationships/hyperlink" Target="https://mechse.illinois.edu/people/profile/bmercer" TargetMode="External"/><Relationship Id="rId963" Type="http://schemas.openxmlformats.org/officeDocument/2006/relationships/hyperlink" Target="https://me.jhu.edu/faculty/axel-krieger/" TargetMode="External"/><Relationship Id="rId1039" Type="http://schemas.openxmlformats.org/officeDocument/2006/relationships/hyperlink" Target="https://engineering.tamu.edu/materials/profiles/aneedleman.html" TargetMode="External"/><Relationship Id="rId1246" Type="http://schemas.openxmlformats.org/officeDocument/2006/relationships/hyperlink" Target="https://cse.umn.edu/me/perry-li" TargetMode="External"/><Relationship Id="rId2644" Type="http://schemas.openxmlformats.org/officeDocument/2006/relationships/hyperlink" Target="https://me.udel.edu/faculty/michael-santare/" TargetMode="External"/><Relationship Id="rId2851" Type="http://schemas.openxmlformats.org/officeDocument/2006/relationships/hyperlink" Target="https://me.engr.uconn.edu/blog/faculty/george-matheou/" TargetMode="External"/><Relationship Id="rId3902" Type="http://schemas.openxmlformats.org/officeDocument/2006/relationships/hyperlink" Target="https://mees.charlotte.edu/directory/kevin-lawton" TargetMode="External"/><Relationship Id="rId92" Type="http://schemas.openxmlformats.org/officeDocument/2006/relationships/hyperlink" Target="https://meche.mit.edu/people/faculty/jhwill@mit.edu" TargetMode="External"/><Relationship Id="rId616" Type="http://schemas.openxmlformats.org/officeDocument/2006/relationships/hyperlink" Target="https://engineering.purdue.edu/ME/People/ptProfile?resource_id=12303" TargetMode="External"/><Relationship Id="rId823" Type="http://schemas.openxmlformats.org/officeDocument/2006/relationships/hyperlink" Target="https://www.mccormick.northwestern.edu/mechanical/people/faculty/" TargetMode="External"/><Relationship Id="rId1453" Type="http://schemas.openxmlformats.org/officeDocument/2006/relationships/hyperlink" Target="https://jacobsschool.ucsd.edu/faculty/profile?id=211" TargetMode="External"/><Relationship Id="rId1660" Type="http://schemas.openxmlformats.org/officeDocument/2006/relationships/hyperlink" Target="https://www.me.columbia.edu/faculty/matei-ciocarlie" TargetMode="External"/><Relationship Id="rId2504" Type="http://schemas.openxmlformats.org/officeDocument/2006/relationships/hyperlink" Target="https://www.bu.edu/eng/profile/douglas-p-holmes/" TargetMode="External"/><Relationship Id="rId2711" Type="http://schemas.openxmlformats.org/officeDocument/2006/relationships/hyperlink" Target="https://drexel.edu/engineering/about/faculty-staff/G/glaser-michael/" TargetMode="External"/><Relationship Id="rId1106" Type="http://schemas.openxmlformats.org/officeDocument/2006/relationships/hyperlink" Target="https://samueli.ucla.edu/people/mitchell-spearrin/" TargetMode="External"/><Relationship Id="rId1313" Type="http://schemas.openxmlformats.org/officeDocument/2006/relationships/hyperlink" Target="https://directory.engr.wisc.edu/neep/Faculty/Crone_Wendy/" TargetMode="External"/><Relationship Id="rId1520" Type="http://schemas.openxmlformats.org/officeDocument/2006/relationships/hyperlink" Target="https://mems.duke.edu/faculty/adrian-bejan" TargetMode="External"/><Relationship Id="rId4469" Type="http://schemas.openxmlformats.org/officeDocument/2006/relationships/hyperlink" Target="https://www.smu.edu/Lyle/Departments/ME/People/Faculty/BeskokAli" TargetMode="External"/><Relationship Id="rId4676" Type="http://schemas.openxmlformats.org/officeDocument/2006/relationships/hyperlink" Target="https://www.sdsmt.edu/Directories/Personnel/Lande,-Micah/" TargetMode="External"/><Relationship Id="rId4883" Type="http://schemas.openxmlformats.org/officeDocument/2006/relationships/hyperlink" Target="https://www.ncat.edu/employee-bio.php?directoryID=1660133240" TargetMode="External"/><Relationship Id="rId3278" Type="http://schemas.openxmlformats.org/officeDocument/2006/relationships/hyperlink" Target="https://engineering.nyu.edu/faculty/nikhil-gupta" TargetMode="External"/><Relationship Id="rId3485" Type="http://schemas.openxmlformats.org/officeDocument/2006/relationships/hyperlink" Target="https://www.iit.edu/directory/people/amir-mostafaei" TargetMode="External"/><Relationship Id="rId3692" Type="http://schemas.openxmlformats.org/officeDocument/2006/relationships/hyperlink" Target="https://ceat.okstate.edu/mae/faculty-staff/faculty-bios/kurt-rouser.html" TargetMode="External"/><Relationship Id="rId4329" Type="http://schemas.openxmlformats.org/officeDocument/2006/relationships/hyperlink" Target="https://directory.statler.wvu.edu/faculty-staff-directory/jason-gross" TargetMode="External"/><Relationship Id="rId4536" Type="http://schemas.openxmlformats.org/officeDocument/2006/relationships/hyperlink" Target="https://people.miami.edu/profile/d0037edfd765729cdb8653c5c052f4a5" TargetMode="External"/><Relationship Id="rId4743" Type="http://schemas.openxmlformats.org/officeDocument/2006/relationships/hyperlink" Target="http://me.hawaii.edu/berkelman/" TargetMode="External"/><Relationship Id="rId4950" Type="http://schemas.openxmlformats.org/officeDocument/2006/relationships/hyperlink" Target="https://www.uab.edu/engineering/mme/people/faculty/john-a-griffin" TargetMode="External"/><Relationship Id="rId199" Type="http://schemas.openxmlformats.org/officeDocument/2006/relationships/hyperlink" Target="https://mce.caltech.edu/people/jburdick" TargetMode="External"/><Relationship Id="rId2087" Type="http://schemas.openxmlformats.org/officeDocument/2006/relationships/hyperlink" Target="https://isearch.asu.edu/profile/772992" TargetMode="External"/><Relationship Id="rId2294" Type="http://schemas.openxmlformats.org/officeDocument/2006/relationships/hyperlink" Target="https://www.mae.ncsu.edu/people/arabiei" TargetMode="External"/><Relationship Id="rId3138" Type="http://schemas.openxmlformats.org/officeDocument/2006/relationships/hyperlink" Target="https://mie.uic.edu/profiles/sabri-cetin/" TargetMode="External"/><Relationship Id="rId3345" Type="http://schemas.openxmlformats.org/officeDocument/2006/relationships/hyperlink" Target="https://www.me.uh.edu/faculty/love" TargetMode="External"/><Relationship Id="rId3552" Type="http://schemas.openxmlformats.org/officeDocument/2006/relationships/hyperlink" Target="https://www.stevens.edu/profile/ahadim" TargetMode="External"/><Relationship Id="rId4603" Type="http://schemas.openxmlformats.org/officeDocument/2006/relationships/hyperlink" Target="https://uwm.edu/engineering/people/alqam-hanaa/" TargetMode="External"/><Relationship Id="rId266" Type="http://schemas.openxmlformats.org/officeDocument/2006/relationships/hyperlink" Target="https://www.me.gatech.edu/faculty/arvanitis" TargetMode="External"/><Relationship Id="rId473" Type="http://schemas.openxmlformats.org/officeDocument/2006/relationships/hyperlink" Target="https://me.engin.umich.edu/people/faculty/yogesh-gianchandani/" TargetMode="External"/><Relationship Id="rId680" Type="http://schemas.openxmlformats.org/officeDocument/2006/relationships/hyperlink" Target="https://www.engineering.cornell.edu/faculty-directory/elaine-petro" TargetMode="External"/><Relationship Id="rId2154" Type="http://schemas.openxmlformats.org/officeDocument/2006/relationships/hyperlink" Target="https://mae.ucdavis.edu/directory/nesrin-sarigul-klijn" TargetMode="External"/><Relationship Id="rId2361" Type="http://schemas.openxmlformats.org/officeDocument/2006/relationships/hyperlink" Target="https://engineering.wustl.edu/faculty/Jianjun-Guan.html" TargetMode="External"/><Relationship Id="rId3205" Type="http://schemas.openxmlformats.org/officeDocument/2006/relationships/hyperlink" Target="https://mabe.utk.edu/people/devina-sanjaya/" TargetMode="External"/><Relationship Id="rId3412" Type="http://schemas.openxmlformats.org/officeDocument/2006/relationships/hyperlink" Target="https://www.wpi.edu/people/faculty/lados" TargetMode="External"/><Relationship Id="rId4810" Type="http://schemas.openxmlformats.org/officeDocument/2006/relationships/hyperlink" Target="https://klesse.utsa.edu/faculty/profiles/karimi-amir.html" TargetMode="External"/><Relationship Id="rId126" Type="http://schemas.openxmlformats.org/officeDocument/2006/relationships/hyperlink" Target="https://meche.mit.edu/people/staff/pennjam@mit.edu" TargetMode="External"/><Relationship Id="rId333" Type="http://schemas.openxmlformats.org/officeDocument/2006/relationships/hyperlink" Target="https://www.me.gatech.edu/faculty/singh" TargetMode="External"/><Relationship Id="rId540" Type="http://schemas.openxmlformats.org/officeDocument/2006/relationships/hyperlink" Target="https://engineering.purdue.edu/ME/People/ptProfile?resource_id=110641" TargetMode="External"/><Relationship Id="rId1170" Type="http://schemas.openxmlformats.org/officeDocument/2006/relationships/hyperlink" Target="https://enme.umd.edu/clark/faculty/507/Shapour-Azarm" TargetMode="External"/><Relationship Id="rId2014" Type="http://schemas.openxmlformats.org/officeDocument/2006/relationships/hyperlink" Target="https://ame.nd.edu/faculty/margaret-coad/" TargetMode="External"/><Relationship Id="rId2221" Type="http://schemas.openxmlformats.org/officeDocument/2006/relationships/hyperlink" Target="https://www.me.iastate.edu/faculty/profile/jmchsu" TargetMode="External"/><Relationship Id="rId5377" Type="http://schemas.openxmlformats.org/officeDocument/2006/relationships/hyperlink" Target="https://nau.edu/mechanical-engineering/carson-pete/" TargetMode="External"/><Relationship Id="rId1030" Type="http://schemas.openxmlformats.org/officeDocument/2006/relationships/hyperlink" Target="https://engineering.tamu.edu/mechanical/profiles/liang-hong.html" TargetMode="External"/><Relationship Id="rId4186" Type="http://schemas.openxmlformats.org/officeDocument/2006/relationships/hyperlink" Target="http://engineering.uga.edu/people/profile/benjamin-fahrman-ph.d" TargetMode="External"/><Relationship Id="rId400" Type="http://schemas.openxmlformats.org/officeDocument/2006/relationships/hyperlink" Target="https://mechse.illinois.edu/people/profile/mkersh" TargetMode="External"/><Relationship Id="rId1987" Type="http://schemas.openxmlformats.org/officeDocument/2006/relationships/hyperlink" Target="https://me.ucsb.edu/people/paolo" TargetMode="External"/><Relationship Id="rId4393" Type="http://schemas.openxmlformats.org/officeDocument/2006/relationships/hyperlink" Target="https://eng.famu.fsu.edu/me/people/de" TargetMode="External"/><Relationship Id="rId5237" Type="http://schemas.openxmlformats.org/officeDocument/2006/relationships/hyperlink" Target="https://www.uidaho.edu/engr/departments/me" TargetMode="External"/><Relationship Id="rId5444" Type="http://schemas.openxmlformats.org/officeDocument/2006/relationships/hyperlink" Target="https://wmich.edu/mechanical-aerospace/directory/ghantasala" TargetMode="External"/><Relationship Id="rId1847" Type="http://schemas.openxmlformats.org/officeDocument/2006/relationships/hyperlink" Target="https://www.me.washington.edu/people/faculty/jae_hyun_chung" TargetMode="External"/><Relationship Id="rId4046" Type="http://schemas.openxmlformats.org/officeDocument/2006/relationships/hyperlink" Target="https://www.clarkson.edu/node/44547" TargetMode="External"/><Relationship Id="rId4253" Type="http://schemas.openxmlformats.org/officeDocument/2006/relationships/hyperlink" Target="https://engineering.missouri.edu/faculty/jaewon-lee/" TargetMode="External"/><Relationship Id="rId4460" Type="http://schemas.openxmlformats.org/officeDocument/2006/relationships/hyperlink" Target="https://www.me.msstate.edu/people/faculty/alta-knizley/" TargetMode="External"/><Relationship Id="rId5304" Type="http://schemas.openxmlformats.org/officeDocument/2006/relationships/hyperlink" Target="https://mechanical.engineering.unt.edu/faculty/salar-shirkhanloo" TargetMode="External"/><Relationship Id="rId5511" Type="http://schemas.openxmlformats.org/officeDocument/2006/relationships/hyperlink" Target="http://pdx.edu/profile/xiaowei-luke-zhu" TargetMode="External"/><Relationship Id="rId1707" Type="http://schemas.openxmlformats.org/officeDocument/2006/relationships/hyperlink" Target="https://www.colorado.edu/mechanical/rong-long" TargetMode="External"/><Relationship Id="rId3062" Type="http://schemas.openxmlformats.org/officeDocument/2006/relationships/hyperlink" Target="https://sites.mst.edu/donnajennings/" TargetMode="External"/><Relationship Id="rId4113" Type="http://schemas.openxmlformats.org/officeDocument/2006/relationships/hyperlink" Target="https://mechanical.sdsu.edu/people/parag-katira.aspx" TargetMode="External"/><Relationship Id="rId4320" Type="http://schemas.openxmlformats.org/officeDocument/2006/relationships/hyperlink" Target="http://egr.vcu.edu/directory/john.speich/" TargetMode="External"/><Relationship Id="rId190" Type="http://schemas.openxmlformats.org/officeDocument/2006/relationships/hyperlink" Target="https://me.stanford.edu/people/shanice-webb" TargetMode="External"/><Relationship Id="rId1914" Type="http://schemas.openxmlformats.org/officeDocument/2006/relationships/hyperlink" Target="https://engineering.brown.edu/people/arto-nurmikko" TargetMode="External"/><Relationship Id="rId3879" Type="http://schemas.openxmlformats.org/officeDocument/2006/relationships/hyperlink" Target="https://engineering.unl.edu/mme/kp-rajurkar/" TargetMode="External"/><Relationship Id="rId5094" Type="http://schemas.openxmlformats.org/officeDocument/2006/relationships/hyperlink" Target="https://mme.fiu.edu/faculty-staff-members/stephen-d-secules" TargetMode="External"/><Relationship Id="rId2688" Type="http://schemas.openxmlformats.org/officeDocument/2006/relationships/hyperlink" Target="https://www.clemson.edu/cecas/departments/me/people/faculty/Vaidya.html" TargetMode="External"/><Relationship Id="rId2895" Type="http://schemas.openxmlformats.org/officeDocument/2006/relationships/hyperlink" Target="https://www.engineering.pitt.edu/people/faculty/nikhil-bajaj/" TargetMode="External"/><Relationship Id="rId3739" Type="http://schemas.openxmlformats.org/officeDocument/2006/relationships/hyperlink" Target="https://www.uta.edu/academics/schools-colleges/engineering/academics/departments/mechanical-aerospace/faculty-directory" TargetMode="External"/><Relationship Id="rId3946" Type="http://schemas.openxmlformats.org/officeDocument/2006/relationships/hyperlink" Target="http://www.hajim.rochester.edu/me/people/faculty/nam_jong-hoon/index.html" TargetMode="External"/><Relationship Id="rId5161" Type="http://schemas.openxmlformats.org/officeDocument/2006/relationships/hyperlink" Target="https://www.ohio.edu/engineering/about/people/petittc" TargetMode="External"/><Relationship Id="rId867" Type="http://schemas.openxmlformats.org/officeDocument/2006/relationships/hyperlink" Target="https://www.mccormick.northwestern.edu/mechanical/research/areas/robotics-autonomy.html" TargetMode="External"/><Relationship Id="rId1497" Type="http://schemas.openxmlformats.org/officeDocument/2006/relationships/hyperlink" Target="https://jacobsschool.ucsd.edu/faculty/profile?id=341" TargetMode="External"/><Relationship Id="rId2548" Type="http://schemas.openxmlformats.org/officeDocument/2006/relationships/hyperlink" Target="https://mechanical.mines.edu/project/hildreth-owen/" TargetMode="External"/><Relationship Id="rId2755" Type="http://schemas.openxmlformats.org/officeDocument/2006/relationships/hyperlink" Target="https://engineering.buffalo.edu/mechanical-aerospace/people/faculty.html" TargetMode="External"/><Relationship Id="rId2962" Type="http://schemas.openxmlformats.org/officeDocument/2006/relationships/hyperlink" Target="http://eng.auburn.edu/directory/flowegt" TargetMode="External"/><Relationship Id="rId3806" Type="http://schemas.openxmlformats.org/officeDocument/2006/relationships/hyperlink" Target="https://www.uah.edu/eng/departments/mae/faculty-staff/kunning-gabriel-xu" TargetMode="External"/><Relationship Id="rId727" Type="http://schemas.openxmlformats.org/officeDocument/2006/relationships/hyperlink" Target="https://www.meche.engineering.cmu.edu/directory/bios/johnson-aaron.html" TargetMode="External"/><Relationship Id="rId934" Type="http://schemas.openxmlformats.org/officeDocument/2006/relationships/hyperlink" Target="https://www.mccormick.northwestern.edu/research-faculty/directory/profiles/truby-ryan.html" TargetMode="External"/><Relationship Id="rId1357" Type="http://schemas.openxmlformats.org/officeDocument/2006/relationships/hyperlink" Target="https://directory.engr.wisc.edu/me/Faculty/Zhou_Lei/" TargetMode="External"/><Relationship Id="rId1564" Type="http://schemas.openxmlformats.org/officeDocument/2006/relationships/hyperlink" Target="https://mems.duke.edu/faculty/sabino-zani" TargetMode="External"/><Relationship Id="rId1771" Type="http://schemas.openxmlformats.org/officeDocument/2006/relationships/hyperlink" Target="https://mae.ufl.edu/people/faculty/primary/associate-professor/profiles/thomas-angelini/" TargetMode="External"/><Relationship Id="rId2408" Type="http://schemas.openxmlformats.org/officeDocument/2006/relationships/hyperlink" Target="https://www.egr.msu.edu/people/profile/benard" TargetMode="External"/><Relationship Id="rId2615" Type="http://schemas.openxmlformats.org/officeDocument/2006/relationships/hyperlink" Target="https://mae.rutgers.edu/george-weng" TargetMode="External"/><Relationship Id="rId2822" Type="http://schemas.openxmlformats.org/officeDocument/2006/relationships/hyperlink" Target="https://ame.engineering.arizona.edu/faculty-staff/faculty/israel-j-wygnanski" TargetMode="External"/><Relationship Id="rId5021" Type="http://schemas.openxmlformats.org/officeDocument/2006/relationships/hyperlink" Target="https://www.unr.edu/me/people/daichi-fujioka" TargetMode="External"/><Relationship Id="rId63" Type="http://schemas.openxmlformats.org/officeDocument/2006/relationships/hyperlink" Target="https://meche.mit.edu/people/faculty/tomp@mit.edu" TargetMode="External"/><Relationship Id="rId1217" Type="http://schemas.openxmlformats.org/officeDocument/2006/relationships/hyperlink" Target="https://enme.umd.edu/clark/faculty/1313/Sami-Ainane" TargetMode="External"/><Relationship Id="rId1424" Type="http://schemas.openxmlformats.org/officeDocument/2006/relationships/hyperlink" Target="https://me.vt.edu/people/faculty/vonspakovsky-michael.html" TargetMode="External"/><Relationship Id="rId1631" Type="http://schemas.openxmlformats.org/officeDocument/2006/relationships/hyperlink" Target="https://mae.osu.edu/people/zhuang.15" TargetMode="External"/><Relationship Id="rId4787" Type="http://schemas.openxmlformats.org/officeDocument/2006/relationships/hyperlink" Target="https://ceps.unh.edu/person/john-roth" TargetMode="External"/><Relationship Id="rId4994" Type="http://schemas.openxmlformats.org/officeDocument/2006/relationships/hyperlink" Target="https://engineering.louisville.edu/faculty/peter-m-quesada/" TargetMode="External"/><Relationship Id="rId3389" Type="http://schemas.openxmlformats.org/officeDocument/2006/relationships/hyperlink" Target="https://mme.wsu.edu/anura-rathnayake/" TargetMode="External"/><Relationship Id="rId3596" Type="http://schemas.openxmlformats.org/officeDocument/2006/relationships/hyperlink" Target="https://ecs.syracuse.edu/faculty-staff/wanliang-shan" TargetMode="External"/><Relationship Id="rId4647" Type="http://schemas.openxmlformats.org/officeDocument/2006/relationships/hyperlink" Target="https://premium.usnews.com/best-graduate-schools/top-engineering-schools/new-mexico-state-university-main-campus-02112" TargetMode="External"/><Relationship Id="rId2198" Type="http://schemas.openxmlformats.org/officeDocument/2006/relationships/hyperlink" Target="https://engineering.uci.edu/users/mark-walter" TargetMode="External"/><Relationship Id="rId3249" Type="http://schemas.openxmlformats.org/officeDocument/2006/relationships/hyperlink" Target="https://www.engr.colostate.edu/me/faculty/dr-donald-w-radford/" TargetMode="External"/><Relationship Id="rId3456" Type="http://schemas.openxmlformats.org/officeDocument/2006/relationships/hyperlink" Target="https://www.me.byu.edu/directory/marc-killpack" TargetMode="External"/><Relationship Id="rId4854" Type="http://schemas.openxmlformats.org/officeDocument/2006/relationships/hyperlink" Target="https://engineering.wayne.edu/profile/eg8067" TargetMode="External"/><Relationship Id="rId377" Type="http://schemas.openxmlformats.org/officeDocument/2006/relationships/hyperlink" Target="https://mechse.illinois.edu/people/profile/acd" TargetMode="External"/><Relationship Id="rId584" Type="http://schemas.openxmlformats.org/officeDocument/2006/relationships/hyperlink" Target="https://engineering.purdue.edu/ME/People/ptProfile?resource_id=286140" TargetMode="External"/><Relationship Id="rId2058" Type="http://schemas.openxmlformats.org/officeDocument/2006/relationships/hyperlink" Target="https://ame.nd.edu/faculty/patrick-wensing/" TargetMode="External"/><Relationship Id="rId2265" Type="http://schemas.openxmlformats.org/officeDocument/2006/relationships/hyperlink" Target="https://www.mae.ncsu.edu/people/sekkad" TargetMode="External"/><Relationship Id="rId3109" Type="http://schemas.openxmlformats.org/officeDocument/2006/relationships/hyperlink" Target="https://nps.edu/faculty-profiles/-/cv/walter.smith" TargetMode="External"/><Relationship Id="rId3663" Type="http://schemas.openxmlformats.org/officeDocument/2006/relationships/hyperlink" Target="https://profiles.ucr.edu/app/home/profile/luatv" TargetMode="External"/><Relationship Id="rId3870" Type="http://schemas.openxmlformats.org/officeDocument/2006/relationships/hyperlink" Target="https://engineering.unl.edu/mme/jung-yul-lim/" TargetMode="External"/><Relationship Id="rId4507" Type="http://schemas.openxmlformats.org/officeDocument/2006/relationships/hyperlink" Target="https://udayton.edu/directory/engineering/mechanical_and_aerospace/gunasekaran-sidaard.php" TargetMode="External"/><Relationship Id="rId4714" Type="http://schemas.openxmlformats.org/officeDocument/2006/relationships/hyperlink" Target="https://eas.uccs.edu/mae/faculty/Dr_Michael_Calvisi" TargetMode="External"/><Relationship Id="rId4921" Type="http://schemas.openxmlformats.org/officeDocument/2006/relationships/hyperlink" Target="https://uakron.edu/engineering/me/our-people/profile.dot?u=jchoi1" TargetMode="External"/><Relationship Id="rId237" Type="http://schemas.openxmlformats.org/officeDocument/2006/relationships/hyperlink" Target="https://me.berkeley.edu/people/sara-mcmains/" TargetMode="External"/><Relationship Id="rId791" Type="http://schemas.openxmlformats.org/officeDocument/2006/relationships/hyperlink" Target="https://www.me.utexas.edu/people/faculty-directory/leibowicz" TargetMode="External"/><Relationship Id="rId1074" Type="http://schemas.openxmlformats.org/officeDocument/2006/relationships/hyperlink" Target="https://samueli.ucla.edu/people/xiaolin-zhong/" TargetMode="External"/><Relationship Id="rId2472" Type="http://schemas.openxmlformats.org/officeDocument/2006/relationships/hyperlink" Target="https://engineering.vanderbilt.edu/bio/karl-zelik" TargetMode="External"/><Relationship Id="rId3316" Type="http://schemas.openxmlformats.org/officeDocument/2006/relationships/hyperlink" Target="https://researchdirectory.uc.edu/p/shij3" TargetMode="External"/><Relationship Id="rId3523" Type="http://schemas.openxmlformats.org/officeDocument/2006/relationships/hyperlink" Target="https://www.mtu.edu/mechanical/people/faculty/miskioglu/" TargetMode="External"/><Relationship Id="rId3730" Type="http://schemas.openxmlformats.org/officeDocument/2006/relationships/hyperlink" Target="https://eng.ua.edu/eng-directory/dr-majid-vaseghi/" TargetMode="External"/><Relationship Id="rId444" Type="http://schemas.openxmlformats.org/officeDocument/2006/relationships/hyperlink" Target="https://me.engin.umich.edu/people/faculty/shorya-awtar/" TargetMode="External"/><Relationship Id="rId651" Type="http://schemas.openxmlformats.org/officeDocument/2006/relationships/hyperlink" Target="https://www.engineering.cornell.edu/faculty-directory/christopher-j-hernandez" TargetMode="External"/><Relationship Id="rId1281" Type="http://schemas.openxmlformats.org/officeDocument/2006/relationships/hyperlink" Target="https://directory.seas.upenn.edu/howard-h-hu/" TargetMode="External"/><Relationship Id="rId2125" Type="http://schemas.openxmlformats.org/officeDocument/2006/relationships/hyperlink" Target="https://isearch.asu.edu/profile/3152899" TargetMode="External"/><Relationship Id="rId2332" Type="http://schemas.openxmlformats.org/officeDocument/2006/relationships/hyperlink" Target="https://engineering.virginia.edu/faculty/richard-w-kent" TargetMode="External"/><Relationship Id="rId5488" Type="http://schemas.openxmlformats.org/officeDocument/2006/relationships/hyperlink" Target="https://www.oakland.edu/secs/directory/guessous" TargetMode="External"/><Relationship Id="rId304" Type="http://schemas.openxmlformats.org/officeDocument/2006/relationships/hyperlink" Target="https://www.me.gatech.edu/faculty/leamy" TargetMode="External"/><Relationship Id="rId511" Type="http://schemas.openxmlformats.org/officeDocument/2006/relationships/hyperlink" Target="https://me.engin.umich.edu/people/faculty/chenhui-shao/" TargetMode="External"/><Relationship Id="rId1141" Type="http://schemas.openxmlformats.org/officeDocument/2006/relationships/hyperlink" Target="https://www.me.psu.edu/department/directory-detail-g.aspx?q=jmm1175" TargetMode="External"/><Relationship Id="rId4297" Type="http://schemas.openxmlformats.org/officeDocument/2006/relationships/hyperlink" Target="http://egr.vcu.edu/directory/jayasimha.atulasimha/" TargetMode="External"/><Relationship Id="rId5348" Type="http://schemas.openxmlformats.org/officeDocument/2006/relationships/hyperlink" Target="https://www.fau.edu/engineering/directory/faculty/mahfuz/" TargetMode="External"/><Relationship Id="rId5555" Type="http://schemas.openxmlformats.org/officeDocument/2006/relationships/hyperlink" Target="https://www.udmercy.edu/about/people/university/ces/mechanical/das-shuvra" TargetMode="External"/><Relationship Id="rId1001" Type="http://schemas.openxmlformats.org/officeDocument/2006/relationships/hyperlink" Target="https://engineering.tamu.edu/mechanical/profiles/felts-jonathan.html" TargetMode="External"/><Relationship Id="rId4157" Type="http://schemas.openxmlformats.org/officeDocument/2006/relationships/hyperlink" Target="https://www.depts.ttu.edu/me/faculty/alexander_idesman/index.php" TargetMode="External"/><Relationship Id="rId4364" Type="http://schemas.openxmlformats.org/officeDocument/2006/relationships/hyperlink" Target="https://directory.statler.wvu.edu/faculty-staff-directory/eduardo-sosa" TargetMode="External"/><Relationship Id="rId4571" Type="http://schemas.openxmlformats.org/officeDocument/2006/relationships/hyperlink" Target="https://www.ou.edu/coe/ame/people/lee.html" TargetMode="External"/><Relationship Id="rId5208" Type="http://schemas.openxmlformats.org/officeDocument/2006/relationships/hyperlink" Target="https://engineering.siu.edu/me/faculty-staff/faculty/nsofor.php" TargetMode="External"/><Relationship Id="rId5415" Type="http://schemas.openxmlformats.org/officeDocument/2006/relationships/hyperlink" Target="https://directory.ualr.edu/search?p=3245" TargetMode="External"/><Relationship Id="rId1958" Type="http://schemas.openxmlformats.org/officeDocument/2006/relationships/hyperlink" Target="https://faculty.rpi.edu/fudong-han" TargetMode="External"/><Relationship Id="rId3173" Type="http://schemas.openxmlformats.org/officeDocument/2006/relationships/hyperlink" Target="https://mabe.utk.edu/people/lino-costa/" TargetMode="External"/><Relationship Id="rId3380" Type="http://schemas.openxmlformats.org/officeDocument/2006/relationships/hyperlink" Target="https://mme.wsu.edu/faculty/konstantin-matveev/" TargetMode="External"/><Relationship Id="rId4017" Type="http://schemas.openxmlformats.org/officeDocument/2006/relationships/hyperlink" Target="https://www.binghamton.edu/mechanical-engineering/people/profile.html?id=jmp" TargetMode="External"/><Relationship Id="rId4224" Type="http://schemas.openxmlformats.org/officeDocument/2006/relationships/hyperlink" Target="https://me.ku.edu/people/elizabeth-friis" TargetMode="External"/><Relationship Id="rId4431" Type="http://schemas.openxmlformats.org/officeDocument/2006/relationships/hyperlink" Target="https://www.lsu.edu/eng/mie/people/faculty/meng.php" TargetMode="External"/><Relationship Id="rId1818" Type="http://schemas.openxmlformats.org/officeDocument/2006/relationships/hyperlink" Target="https://viterbi.usc.edu/directory/faculty/Pantano-Rubino/Carlos" TargetMode="External"/><Relationship Id="rId3033" Type="http://schemas.openxmlformats.org/officeDocument/2006/relationships/hyperlink" Target="https://engineering.lehigh.edu/meche/faculty/588" TargetMode="External"/><Relationship Id="rId3240" Type="http://schemas.openxmlformats.org/officeDocument/2006/relationships/hyperlink" Target="https://www.engr.colostate.edu/me/faculty/dr-kaka-ma/" TargetMode="External"/><Relationship Id="rId161" Type="http://schemas.openxmlformats.org/officeDocument/2006/relationships/hyperlink" Target="https://me.stanford.edu/people/marc-levenston" TargetMode="External"/><Relationship Id="rId2799" Type="http://schemas.openxmlformats.org/officeDocument/2006/relationships/hyperlink" Target="https://ame.engineering.arizona.edu/faculty-staff/faculty/majid-beidaghi" TargetMode="External"/><Relationship Id="rId3100" Type="http://schemas.openxmlformats.org/officeDocument/2006/relationships/hyperlink" Target="https://nps.edu/faculty-profiles/-/cv/kaminer" TargetMode="External"/><Relationship Id="rId978" Type="http://schemas.openxmlformats.org/officeDocument/2006/relationships/hyperlink" Target="https://engineering.tamu.edu/mechanical/profiles/aguilar-guillermo.html" TargetMode="External"/><Relationship Id="rId2659" Type="http://schemas.openxmlformats.org/officeDocument/2006/relationships/hyperlink" Target="https://www.clemson.edu/cecas/departments/me/people/faculty/brunt.html" TargetMode="External"/><Relationship Id="rId2866" Type="http://schemas.openxmlformats.org/officeDocument/2006/relationships/hyperlink" Target="https://me.engr.uconn.edu/blog/faculty/zhao-xinyu/" TargetMode="External"/><Relationship Id="rId3917" Type="http://schemas.openxmlformats.org/officeDocument/2006/relationships/hyperlink" Target="https://mees.charlotte.edu/directory/qiuming-wei" TargetMode="External"/><Relationship Id="rId5065" Type="http://schemas.openxmlformats.org/officeDocument/2006/relationships/hyperlink" Target="http://www.csuohio.edu/engineering/mce/tushar-borkar" TargetMode="External"/><Relationship Id="rId5272" Type="http://schemas.openxmlformats.org/officeDocument/2006/relationships/hyperlink" Target="https://www.unlv.edu/people/jaeyun-moon" TargetMode="External"/><Relationship Id="rId838" Type="http://schemas.openxmlformats.org/officeDocument/2006/relationships/hyperlink" Target="https://www.mccormick.northwestern.edu/mechanical/research/areas/ai-design.html" TargetMode="External"/><Relationship Id="rId1468" Type="http://schemas.openxmlformats.org/officeDocument/2006/relationships/hyperlink" Target="https://jacobsschool.ucsd.edu/faculty/profile?id=459" TargetMode="External"/><Relationship Id="rId1675" Type="http://schemas.openxmlformats.org/officeDocument/2006/relationships/hyperlink" Target="https://www.me.columbia.edu/faculty/yevgeniy-yesilevskiy" TargetMode="External"/><Relationship Id="rId1882" Type="http://schemas.openxmlformats.org/officeDocument/2006/relationships/hyperlink" Target="https://engineering.brown.edu/people/linda-m-abriola" TargetMode="External"/><Relationship Id="rId2519" Type="http://schemas.openxmlformats.org/officeDocument/2006/relationships/hyperlink" Target="https://www.bu.edu/eng/profile/andrew-sabelhaus/" TargetMode="External"/><Relationship Id="rId2726" Type="http://schemas.openxmlformats.org/officeDocument/2006/relationships/hyperlink" Target="https://drexel.edu/engineering/about/faculty-staff/T/tangorra-james/" TargetMode="External"/><Relationship Id="rId4081" Type="http://schemas.openxmlformats.org/officeDocument/2006/relationships/hyperlink" Target="https://www.mne.k-state.edu/about/people/faculty/bahadori/" TargetMode="External"/><Relationship Id="rId5132" Type="http://schemas.openxmlformats.org/officeDocument/2006/relationships/hyperlink" Target="https://coes.latech.edu/facultystaff-directory/single-entry/name/shafiqur-rahman/" TargetMode="External"/><Relationship Id="rId1328" Type="http://schemas.openxmlformats.org/officeDocument/2006/relationships/hyperlink" Target="https://directory.engr.wisc.edu/me/Faculty/Negrut_Dan/" TargetMode="External"/><Relationship Id="rId1535" Type="http://schemas.openxmlformats.org/officeDocument/2006/relationships/hyperlink" Target="https://mems.duke.edu/faculty/tony-jun-huang" TargetMode="External"/><Relationship Id="rId2933" Type="http://schemas.openxmlformats.org/officeDocument/2006/relationships/hyperlink" Target="https://www.engineering.pitt.edu/people/faculty/ashish-avachat/" TargetMode="External"/><Relationship Id="rId905" Type="http://schemas.openxmlformats.org/officeDocument/2006/relationships/hyperlink" Target="https://www.mccormick.northwestern.edu/mechanical/research/areas/robotics-autonomy.html" TargetMode="External"/><Relationship Id="rId1742" Type="http://schemas.openxmlformats.org/officeDocument/2006/relationships/hyperlink" Target="https://mae.ufl.edu/people/faculty/primary/professor/profiles/bala-balachandar/" TargetMode="External"/><Relationship Id="rId4898" Type="http://schemas.openxmlformats.org/officeDocument/2006/relationships/hyperlink" Target="https://www.odu.edu/mechanical-aerospace-engineering" TargetMode="External"/><Relationship Id="rId34" Type="http://schemas.openxmlformats.org/officeDocument/2006/relationships/hyperlink" Target="https://meche.mit.edu/people/faculty/ghoniem@mit.edu" TargetMode="External"/><Relationship Id="rId1602" Type="http://schemas.openxmlformats.org/officeDocument/2006/relationships/hyperlink" Target="https://mae.osu.edu/people/mccrink.2" TargetMode="External"/><Relationship Id="rId4758" Type="http://schemas.openxmlformats.org/officeDocument/2006/relationships/hyperlink" Target="https://umdearborn.edu/people-um-dearborn/hongtae-kang" TargetMode="External"/><Relationship Id="rId4965" Type="http://schemas.openxmlformats.org/officeDocument/2006/relationships/hyperlink" Target="https://ritchieschool.du.edu/about/people/chadd-w-clary" TargetMode="External"/><Relationship Id="rId3567" Type="http://schemas.openxmlformats.org/officeDocument/2006/relationships/hyperlink" Target="https://www.stevens.edu/profile/cvallabh" TargetMode="External"/><Relationship Id="rId3774" Type="http://schemas.openxmlformats.org/officeDocument/2006/relationships/hyperlink" Target="https://www.uta.edu/academics/faculty/profile?username=raihanm" TargetMode="External"/><Relationship Id="rId3981" Type="http://schemas.openxmlformats.org/officeDocument/2006/relationships/hyperlink" Target="https://sc.edu/study/colleges_schools/engineering_and_computing/faculty-staff/khan_jamil.php" TargetMode="External"/><Relationship Id="rId4618" Type="http://schemas.openxmlformats.org/officeDocument/2006/relationships/hyperlink" Target="https://uwm.edu/engineering/people/salowitz-nathan/" TargetMode="External"/><Relationship Id="rId4825" Type="http://schemas.openxmlformats.org/officeDocument/2006/relationships/hyperlink" Target="https://engineering.usu.edu/mae/people/faculty/berk-tim.php" TargetMode="External"/><Relationship Id="rId488" Type="http://schemas.openxmlformats.org/officeDocument/2006/relationships/hyperlink" Target="https://me.engin.umich.edu/people/faculty/julia-kramer/" TargetMode="External"/><Relationship Id="rId695" Type="http://schemas.openxmlformats.org/officeDocument/2006/relationships/hyperlink" Target="https://mae.princeton.edu/people/faculty/glaser" TargetMode="External"/><Relationship Id="rId2169" Type="http://schemas.openxmlformats.org/officeDocument/2006/relationships/hyperlink" Target="https://mae.ucdavis.edu/directory/stavros-vougioukas" TargetMode="External"/><Relationship Id="rId2376" Type="http://schemas.openxmlformats.org/officeDocument/2006/relationships/hyperlink" Target="https://engineering.wustl.edu/faculty/Jessica-Wagenseil.html" TargetMode="External"/><Relationship Id="rId2583" Type="http://schemas.openxmlformats.org/officeDocument/2006/relationships/hyperlink" Target="https://mae.rutgers.edu/haim-baruh" TargetMode="External"/><Relationship Id="rId2790" Type="http://schemas.openxmlformats.org/officeDocument/2006/relationships/hyperlink" Target="https://engineering.buffalo.edu/mechanical-aerospace/people/faculty/teaching.host.html/content/shared/engineering/mechanical-aerospace/profiles/burge-matt.detail.html" TargetMode="External"/><Relationship Id="rId3427" Type="http://schemas.openxmlformats.org/officeDocument/2006/relationships/hyperlink" Target="https://www.wpi.edu/people/faculty/jastabile" TargetMode="External"/><Relationship Id="rId3634" Type="http://schemas.openxmlformats.org/officeDocument/2006/relationships/hyperlink" Target="https://me.utdallas.edu/faculty-staff/guoping-xiong/" TargetMode="External"/><Relationship Id="rId3841" Type="http://schemas.openxmlformats.org/officeDocument/2006/relationships/hyperlink" Target="https://www.engr.uky.edu/directory/schoop-julius" TargetMode="External"/><Relationship Id="rId348" Type="http://schemas.openxmlformats.org/officeDocument/2006/relationships/hyperlink" Target="https://www.me.gatech.edu/faculty/wang-1" TargetMode="External"/><Relationship Id="rId555" Type="http://schemas.openxmlformats.org/officeDocument/2006/relationships/hyperlink" Target="https://engineering.purdue.edu/ME/People/ptProfile?resource_id=173054" TargetMode="External"/><Relationship Id="rId762" Type="http://schemas.openxmlformats.org/officeDocument/2006/relationships/hyperlink" Target="https://www.me.utexas.edu/people/faculty-directory/biros" TargetMode="External"/><Relationship Id="rId1185" Type="http://schemas.openxmlformats.org/officeDocument/2006/relationships/hyperlink" Target="https://enme.umd.edu/clark/faculty/1216/Hosam-Fathy" TargetMode="External"/><Relationship Id="rId1392" Type="http://schemas.openxmlformats.org/officeDocument/2006/relationships/hyperlink" Target="https://me.vt.edu/people/faculty/kasarda-mary.html" TargetMode="External"/><Relationship Id="rId2029" Type="http://schemas.openxmlformats.org/officeDocument/2006/relationships/hyperlink" Target="https://ame.nd.edu/faculty/robert-landers/" TargetMode="External"/><Relationship Id="rId2236" Type="http://schemas.openxmlformats.org/officeDocument/2006/relationships/hyperlink" Target="https://www.me.iastate.edu/faculty/profile/mgolsen" TargetMode="External"/><Relationship Id="rId2443" Type="http://schemas.openxmlformats.org/officeDocument/2006/relationships/hyperlink" Target="https://www.egr.msu.edu/people/profile/schock" TargetMode="External"/><Relationship Id="rId2650" Type="http://schemas.openxmlformats.org/officeDocument/2006/relationships/hyperlink" Target="https://me.udel.edu/faculty/bingqing-wei/" TargetMode="External"/><Relationship Id="rId3701" Type="http://schemas.openxmlformats.org/officeDocument/2006/relationships/hyperlink" Target="https://ceat.okstate.edu/mae/faculty-staff/faculty-bios/yujiang-xiang.html" TargetMode="External"/><Relationship Id="rId208" Type="http://schemas.openxmlformats.org/officeDocument/2006/relationships/hyperlink" Target="https://mce.caltech.edu/people/aminnich" TargetMode="External"/><Relationship Id="rId415" Type="http://schemas.openxmlformats.org/officeDocument/2006/relationships/hyperlink" Target="https://mechse.illinois.edu/people/profile/saif" TargetMode="External"/><Relationship Id="rId622" Type="http://schemas.openxmlformats.org/officeDocument/2006/relationships/hyperlink" Target="https://engineering.purdue.edu/ME/People/ptProfile?resource_id=90129" TargetMode="External"/><Relationship Id="rId1045" Type="http://schemas.openxmlformats.org/officeDocument/2006/relationships/hyperlink" Target="https://engineering.tamu.edu/mechanical/profiles/petersen-eric.html" TargetMode="External"/><Relationship Id="rId1252" Type="http://schemas.openxmlformats.org/officeDocument/2006/relationships/hyperlink" Target="https://cse.umn.edu/me/eric-severson-0" TargetMode="External"/><Relationship Id="rId2303" Type="http://schemas.openxmlformats.org/officeDocument/2006/relationships/hyperlink" Target="https://www.mae.ncsu.edu/people/cvermil" TargetMode="External"/><Relationship Id="rId2510" Type="http://schemas.openxmlformats.org/officeDocument/2006/relationships/hyperlink" Target="https://www.bu.edu/eng/profile/ray-nagem-ph-d/" TargetMode="External"/><Relationship Id="rId5459" Type="http://schemas.openxmlformats.org/officeDocument/2006/relationships/hyperlink" Target="https://www.lamar.edu/engineering/mechanical/faculty-staff/jenny-zhou/index.html" TargetMode="External"/><Relationship Id="rId1112" Type="http://schemas.openxmlformats.org/officeDocument/2006/relationships/hyperlink" Target="https://www.me.psu.edu/department/faculty-staff-list.aspx" TargetMode="External"/><Relationship Id="rId4268" Type="http://schemas.openxmlformats.org/officeDocument/2006/relationships/hyperlink" Target="https://engineering.missouri.edu/faculty/qingsong-yu/" TargetMode="External"/><Relationship Id="rId4475" Type="http://schemas.openxmlformats.org/officeDocument/2006/relationships/hyperlink" Target="https://www.smu.edu/Lyle/Departments/ME/People/Faculty/KimMinJun" TargetMode="External"/><Relationship Id="rId5319" Type="http://schemas.openxmlformats.org/officeDocument/2006/relationships/hyperlink" Target="https://people.wright.edu/harok.bae" TargetMode="External"/><Relationship Id="rId3077" Type="http://schemas.openxmlformats.org/officeDocument/2006/relationships/hyperlink" Target="https://works.bepress.com/david-riggins/about/" TargetMode="External"/><Relationship Id="rId3284" Type="http://schemas.openxmlformats.org/officeDocument/2006/relationships/hyperlink" Target="https://engineering.nyu.edu/faculty/nialah-wilson-small" TargetMode="External"/><Relationship Id="rId4128" Type="http://schemas.openxmlformats.org/officeDocument/2006/relationships/hyperlink" Target="https://mechanical.sdsu.edu/people/alexander-lehman.aspx" TargetMode="External"/><Relationship Id="rId4682" Type="http://schemas.openxmlformats.org/officeDocument/2006/relationships/hyperlink" Target="https://www.sdsmt.edu/Directories/Personnel/Rodriguez,-Juan/" TargetMode="External"/><Relationship Id="rId5526" Type="http://schemas.openxmlformats.org/officeDocument/2006/relationships/hyperlink" Target="https://www.slu.edu/science-and-engineering/academics/aerospace-and-mechanical-engineering/faculty/swartwout-michael.php" TargetMode="External"/><Relationship Id="rId1929" Type="http://schemas.openxmlformats.org/officeDocument/2006/relationships/hyperlink" Target="https://engineering.brown.edu/people/harvey-silverman" TargetMode="External"/><Relationship Id="rId2093" Type="http://schemas.openxmlformats.org/officeDocument/2006/relationships/hyperlink" Target="https://isearch.asu.edu/profile/1668085" TargetMode="External"/><Relationship Id="rId3491" Type="http://schemas.openxmlformats.org/officeDocument/2006/relationships/hyperlink" Target="https://www.iit.edu/directory/people/sayed-saghaian" TargetMode="External"/><Relationship Id="rId4335" Type="http://schemas.openxmlformats.org/officeDocument/2006/relationships/hyperlink" Target="https://directory.statler.wvu.edu/faculty-staff-directory/hang-woon-lee" TargetMode="External"/><Relationship Id="rId4542" Type="http://schemas.openxmlformats.org/officeDocument/2006/relationships/hyperlink" Target="https://me.unm.edu/about/directory/faculty/claus-danielson.html" TargetMode="External"/><Relationship Id="rId3144" Type="http://schemas.openxmlformats.org/officeDocument/2006/relationships/hyperlink" Target="https://mie.uic.edu/profiles/carmen-lilley/" TargetMode="External"/><Relationship Id="rId3351" Type="http://schemas.openxmlformats.org/officeDocument/2006/relationships/hyperlink" Target="https://www.me.uh.edu/faculty/song" TargetMode="External"/><Relationship Id="rId4402" Type="http://schemas.openxmlformats.org/officeDocument/2006/relationships/hyperlink" Target="https://eng.famu.fsu.edu/me/people/kametani" TargetMode="External"/><Relationship Id="rId272" Type="http://schemas.openxmlformats.org/officeDocument/2006/relationships/hyperlink" Target="https://www.me.gatech.edu/faculty/das" TargetMode="External"/><Relationship Id="rId2160" Type="http://schemas.openxmlformats.org/officeDocument/2006/relationships/hyperlink" Target="https://mae.ucdavis.edu/directory/nader-bagheri" TargetMode="External"/><Relationship Id="rId3004" Type="http://schemas.openxmlformats.org/officeDocument/2006/relationships/hyperlink" Target="https://www.mae.seas.gwu.edu/matthew-rau" TargetMode="External"/><Relationship Id="rId3211" Type="http://schemas.openxmlformats.org/officeDocument/2006/relationships/hyperlink" Target="https://mabe.utk.edu/people/prashant-singh-2/" TargetMode="External"/><Relationship Id="rId132" Type="http://schemas.openxmlformats.org/officeDocument/2006/relationships/hyperlink" Target="https://meche.mit.edu/people/staff/mmadinot@mit.edu" TargetMode="External"/><Relationship Id="rId2020" Type="http://schemas.openxmlformats.org/officeDocument/2006/relationships/hyperlink" Target="https://ame.nd.edu/faculty/stanislav-gordeyev/" TargetMode="External"/><Relationship Id="rId5176" Type="http://schemas.openxmlformats.org/officeDocument/2006/relationships/hyperlink" Target="https://engineering.rowan.edu/faculty_staff/listing/vinayak_ranjan.html" TargetMode="External"/><Relationship Id="rId5383" Type="http://schemas.openxmlformats.org/officeDocument/2006/relationships/hyperlink" Target="https://nau.edu/mechanical-engineering/perry-wood/" TargetMode="External"/><Relationship Id="rId1579" Type="http://schemas.openxmlformats.org/officeDocument/2006/relationships/hyperlink" Target="https://mae.osu.edu/people/dsouza.60" TargetMode="External"/><Relationship Id="rId2977" Type="http://schemas.openxmlformats.org/officeDocument/2006/relationships/hyperlink" Target="http://eng.auburn.edu/directory/kds0069" TargetMode="External"/><Relationship Id="rId4192" Type="http://schemas.openxmlformats.org/officeDocument/2006/relationships/hyperlink" Target="http://engineering.uga.edu/people/profile/s.-jack-hu" TargetMode="External"/><Relationship Id="rId5036" Type="http://schemas.openxmlformats.org/officeDocument/2006/relationships/hyperlink" Target="https://www.unr.edu/me/people/jun-zhang" TargetMode="External"/><Relationship Id="rId5243" Type="http://schemas.openxmlformats.org/officeDocument/2006/relationships/hyperlink" Target="https://www.uidaho.edu/engr/departments/me/our-people/faculty/kamal-kumar" TargetMode="External"/><Relationship Id="rId5450" Type="http://schemas.openxmlformats.org/officeDocument/2006/relationships/hyperlink" Target="https://wmich.edu/mechanical-aerospace/directory/liu" TargetMode="External"/><Relationship Id="rId949" Type="http://schemas.openxmlformats.org/officeDocument/2006/relationships/hyperlink" Target="https://me.jhu.edu/faculty/" TargetMode="External"/><Relationship Id="rId1786" Type="http://schemas.openxmlformats.org/officeDocument/2006/relationships/hyperlink" Target="https://mae.ufl.edu/people/faculty/primary/assistant-professor/profiles/jing-pan/" TargetMode="External"/><Relationship Id="rId1993" Type="http://schemas.openxmlformats.org/officeDocument/2006/relationships/hyperlink" Target="https://me.ucsb.edu/people/jeff-moehlis" TargetMode="External"/><Relationship Id="rId2837" Type="http://schemas.openxmlformats.org/officeDocument/2006/relationships/hyperlink" Target="https://me.engr.uconn.edu/blog/faculty/cunha-frank/" TargetMode="External"/><Relationship Id="rId4052" Type="http://schemas.openxmlformats.org/officeDocument/2006/relationships/hyperlink" Target="https://www.clarkson.edu/node/5661" TargetMode="External"/><Relationship Id="rId5103" Type="http://schemas.openxmlformats.org/officeDocument/2006/relationships/hyperlink" Target="mailto:kboutsen@fiu.edu" TargetMode="External"/><Relationship Id="rId78" Type="http://schemas.openxmlformats.org/officeDocument/2006/relationships/hyperlink" Target="https://meche.mit.edu/people/faculty/lozat@mit.edu" TargetMode="External"/><Relationship Id="rId809" Type="http://schemas.openxmlformats.org/officeDocument/2006/relationships/hyperlink" Target="https://www.me.utexas.edu/people/faculty-directory/subramanian" TargetMode="External"/><Relationship Id="rId1439" Type="http://schemas.openxmlformats.org/officeDocument/2006/relationships/hyperlink" Target="https://seas.harvard.edu/person/roy-gordon" TargetMode="External"/><Relationship Id="rId1646" Type="http://schemas.openxmlformats.org/officeDocument/2006/relationships/hyperlink" Target="https://profiles.rice.edu/faculty/marcia-omalley" TargetMode="External"/><Relationship Id="rId1853" Type="http://schemas.openxmlformats.org/officeDocument/2006/relationships/hyperlink" Target="https://www.me.washington.edu/people/faculty/sawyer_fuller" TargetMode="External"/><Relationship Id="rId2904" Type="http://schemas.openxmlformats.org/officeDocument/2006/relationships/hyperlink" Target="https://www.engineering.pitt.edu/people/faculty/g.-paolo-galdi/" TargetMode="External"/><Relationship Id="rId5310" Type="http://schemas.openxmlformats.org/officeDocument/2006/relationships/hyperlink" Target="https://mechanical.engineering.unt.edu/faculty/mark-wasikowski" TargetMode="External"/><Relationship Id="rId1506" Type="http://schemas.openxmlformats.org/officeDocument/2006/relationships/hyperlink" Target="https://jacobsschool.ucsd.edu/faculty/profile?id=479" TargetMode="External"/><Relationship Id="rId1713" Type="http://schemas.openxmlformats.org/officeDocument/2006/relationships/hyperlink" Target="https://www.colorado.edu/mechanical/peter-mitrano" TargetMode="External"/><Relationship Id="rId1920" Type="http://schemas.openxmlformats.org/officeDocument/2006/relationships/hyperlink" Target="https://engineering.brown.edu/people/andrew-peterson" TargetMode="External"/><Relationship Id="rId4869" Type="http://schemas.openxmlformats.org/officeDocument/2006/relationships/hyperlink" Target="https://www.fit.edu/faculty-profiles/n/nellippallil-anand-balu/" TargetMode="External"/><Relationship Id="rId3678" Type="http://schemas.openxmlformats.org/officeDocument/2006/relationships/hyperlink" Target="https://ceat.okstate.edu/mae/faculty-staff/faculty-bios/daniel-fisher.html" TargetMode="External"/><Relationship Id="rId3885" Type="http://schemas.openxmlformats.org/officeDocument/2006/relationships/hyperlink" Target="https://engineering.unl.edu/mme/robert-williams/" TargetMode="External"/><Relationship Id="rId4729" Type="http://schemas.openxmlformats.org/officeDocument/2006/relationships/hyperlink" Target="https://eas.uccs.edu/mae/faculty/Dr_Benjamin_Wilcox" TargetMode="External"/><Relationship Id="rId4936" Type="http://schemas.openxmlformats.org/officeDocument/2006/relationships/hyperlink" Target="https://uakron.edu/engineering/me/our-people/profile.dot?u=povitsky" TargetMode="External"/><Relationship Id="rId599" Type="http://schemas.openxmlformats.org/officeDocument/2006/relationships/hyperlink" Target="https://engineering.purdue.edu/ME/People/ptProfile?resource_id=80190" TargetMode="External"/><Relationship Id="rId2487" Type="http://schemas.openxmlformats.org/officeDocument/2006/relationships/hyperlink" Target="https://www.bu.edu/eng/profile/thomas-bifano-ph-d/" TargetMode="External"/><Relationship Id="rId2694" Type="http://schemas.openxmlformats.org/officeDocument/2006/relationships/hyperlink" Target="https://www.clemson.edu/cecas/departments/me/people/faculty/xuan.html" TargetMode="External"/><Relationship Id="rId3538" Type="http://schemas.openxmlformats.org/officeDocument/2006/relationships/hyperlink" Target="https://www.mtu.edu/mechanical/people/faculty/weaver/" TargetMode="External"/><Relationship Id="rId3745" Type="http://schemas.openxmlformats.org/officeDocument/2006/relationships/hyperlink" Target="https://www.uta.edu/academics/faculty/profile?username=benavidesjc" TargetMode="External"/><Relationship Id="rId459" Type="http://schemas.openxmlformats.org/officeDocument/2006/relationships/hyperlink" Target="https://me.engin.umich.edu/people/faculty/cheri-deng/" TargetMode="External"/><Relationship Id="rId666" Type="http://schemas.openxmlformats.org/officeDocument/2006/relationships/hyperlink" Target="https://www.engineering.cornell.edu/faculty-directory/douglas-macmartin" TargetMode="External"/><Relationship Id="rId873" Type="http://schemas.openxmlformats.org/officeDocument/2006/relationships/hyperlink" Target="https://www.mccormick.northwestern.edu/mechanical/research/areas/biosystems-health.html" TargetMode="External"/><Relationship Id="rId1089" Type="http://schemas.openxmlformats.org/officeDocument/2006/relationships/hyperlink" Target="https://samueli.ucla.edu/people/jonathan-hopkins/" TargetMode="External"/><Relationship Id="rId1296" Type="http://schemas.openxmlformats.org/officeDocument/2006/relationships/hyperlink" Target="https://directory.seas.upenn.edu/jenna-shanis/" TargetMode="External"/><Relationship Id="rId2347" Type="http://schemas.openxmlformats.org/officeDocument/2006/relationships/hyperlink" Target="https://engineering.virginia.edu/faculty/natasha-smith" TargetMode="External"/><Relationship Id="rId2554" Type="http://schemas.openxmlformats.org/officeDocument/2006/relationships/hyperlink" Target="https://mechanical.mines.edu/project/knaus-katie/" TargetMode="External"/><Relationship Id="rId3952" Type="http://schemas.openxmlformats.org/officeDocument/2006/relationships/hyperlink" Target="http://www.hajim.rochester.edu/me/people/faculty/ren_chuang/index.html" TargetMode="External"/><Relationship Id="rId319" Type="http://schemas.openxmlformats.org/officeDocument/2006/relationships/hyperlink" Target="https://www.me.gatech.edu/faculty/petrovic" TargetMode="External"/><Relationship Id="rId526" Type="http://schemas.openxmlformats.org/officeDocument/2006/relationships/hyperlink" Target="https://me.engin.umich.edu/people/faculty/michael-umbriac/" TargetMode="External"/><Relationship Id="rId1156" Type="http://schemas.openxmlformats.org/officeDocument/2006/relationships/hyperlink" Target="https://www.me.psu.edu/department/directory-detail-g.aspx?q=KAT18" TargetMode="External"/><Relationship Id="rId1363" Type="http://schemas.openxmlformats.org/officeDocument/2006/relationships/hyperlink" Target="https://directory.engr.wisc.edu/me/Faculty/De-cicco_Michael/" TargetMode="External"/><Relationship Id="rId2207" Type="http://schemas.openxmlformats.org/officeDocument/2006/relationships/hyperlink" Target="https://www.me.iastate.edu/faculty/profile/sbentil" TargetMode="External"/><Relationship Id="rId2761" Type="http://schemas.openxmlformats.org/officeDocument/2006/relationships/hyperlink" Target="https://engineering.buffalo.edu/mechanical-aerospace/people/faculty/ladder.host.html/content/shared/engineering/mechanical-aerospace/profiles/crassidis-john.detail.html" TargetMode="External"/><Relationship Id="rId3605" Type="http://schemas.openxmlformats.org/officeDocument/2006/relationships/hyperlink" Target="https://me.utdallas.edu/faculty-staff/shuang-cynthia-cui/" TargetMode="External"/><Relationship Id="rId3812" Type="http://schemas.openxmlformats.org/officeDocument/2006/relationships/hyperlink" Target="https://www.engr.uky.edu/directory/bailey-sean" TargetMode="External"/><Relationship Id="rId733" Type="http://schemas.openxmlformats.org/officeDocument/2006/relationships/hyperlink" Target="https://www.meche.engineering.cmu.edu/directory/bios/majidi-carmel.html" TargetMode="External"/><Relationship Id="rId940" Type="http://schemas.openxmlformats.org/officeDocument/2006/relationships/hyperlink" Target="https://www.mccormick.northwestern.edu/research-faculty/directory/profiles/wagner-gregory.html" TargetMode="External"/><Relationship Id="rId1016" Type="http://schemas.openxmlformats.org/officeDocument/2006/relationships/hyperlink" Target="https://engineering.tamu.edu/mechanical/profiles/kim-haejune.html" TargetMode="External"/><Relationship Id="rId1570" Type="http://schemas.openxmlformats.org/officeDocument/2006/relationships/hyperlink" Target="https://mae.osu.edu/people/aksunguvenc.1" TargetMode="External"/><Relationship Id="rId2414" Type="http://schemas.openxmlformats.org/officeDocument/2006/relationships/hyperlink" Target="https://www.egr.msu.edu/people/profile/fanbei1" TargetMode="External"/><Relationship Id="rId2621" Type="http://schemas.openxmlformats.org/officeDocument/2006/relationships/hyperlink" Target="https://me.udel.edu/faculty/panagiotis-artemiadis/" TargetMode="External"/><Relationship Id="rId800" Type="http://schemas.openxmlformats.org/officeDocument/2006/relationships/hyperlink" Target="http://www.me.utexas.edu/faculty/faculty-directory/neptune" TargetMode="External"/><Relationship Id="rId1223" Type="http://schemas.openxmlformats.org/officeDocument/2006/relationships/hyperlink" Target="https://cse.umn.edu/me/julianna-abel" TargetMode="External"/><Relationship Id="rId1430" Type="http://schemas.openxmlformats.org/officeDocument/2006/relationships/hyperlink" Target="https://me.vt.edu/people/faculty/clark-richard.html" TargetMode="External"/><Relationship Id="rId4379" Type="http://schemas.openxmlformats.org/officeDocument/2006/relationships/hyperlink" Target="https://www.ecs.baylor.edu/person/dr-abhendra-singh" TargetMode="External"/><Relationship Id="rId4586" Type="http://schemas.openxmlformats.org/officeDocument/2006/relationships/hyperlink" Target="https://www.ou.edu/coe/ame/people/zhang.html" TargetMode="External"/><Relationship Id="rId4793" Type="http://schemas.openxmlformats.org/officeDocument/2006/relationships/hyperlink" Target="https://klesse.utsa.edu/mechanical/" TargetMode="External"/><Relationship Id="rId3188" Type="http://schemas.openxmlformats.org/officeDocument/2006/relationships/hyperlink" Target="https://mabe.utk.edu/people/kenneth-d-kihm/" TargetMode="External"/><Relationship Id="rId3395" Type="http://schemas.openxmlformats.org/officeDocument/2006/relationships/hyperlink" Target="https://mme.wsu.edu/faculty/gordon-taub/" TargetMode="External"/><Relationship Id="rId4239" Type="http://schemas.openxmlformats.org/officeDocument/2006/relationships/hyperlink" Target="https://me.ku.edu/people/candan-tamerler" TargetMode="External"/><Relationship Id="rId4446" Type="http://schemas.openxmlformats.org/officeDocument/2006/relationships/hyperlink" Target="https://www.lsu.edu/eng/mie/people/faculty/khonsari.php" TargetMode="External"/><Relationship Id="rId4653" Type="http://schemas.openxmlformats.org/officeDocument/2006/relationships/hyperlink" Target="https://mae.nmsu.edu/faculty/dr-abdessattar-abdelkefi.html" TargetMode="External"/><Relationship Id="rId4860" Type="http://schemas.openxmlformats.org/officeDocument/2006/relationships/hyperlink" Target="https://www.fit.edu/faculty-profiles/c/cosentino-paul/" TargetMode="External"/><Relationship Id="rId3048" Type="http://schemas.openxmlformats.org/officeDocument/2006/relationships/hyperlink" Target="https://works.bepress.com/abdulaziz-abutunis/about/" TargetMode="External"/><Relationship Id="rId3255" Type="http://schemas.openxmlformats.org/officeDocument/2006/relationships/hyperlink" Target="https://www.engr.colostate.edu/me/faculty/dr-zhijie-wang/" TargetMode="External"/><Relationship Id="rId3462" Type="http://schemas.openxmlformats.org/officeDocument/2006/relationships/hyperlink" Target="https://www.me.byu.edu/directory/troy-munro" TargetMode="External"/><Relationship Id="rId4306" Type="http://schemas.openxmlformats.org/officeDocument/2006/relationships/hyperlink" Target="http://egr.vcu.edu/directory/laleh.golshahi/" TargetMode="External"/><Relationship Id="rId4513" Type="http://schemas.openxmlformats.org/officeDocument/2006/relationships/hyperlink" Target="https://udayton.edu/directory/engineering/mechanical_and_aerospace/mulford-rydge-b.php" TargetMode="External"/><Relationship Id="rId4720" Type="http://schemas.openxmlformats.org/officeDocument/2006/relationships/hyperlink" Target="https://eas.uccs.edu/mae/faculty/Brandon_Runnels" TargetMode="External"/><Relationship Id="rId176" Type="http://schemas.openxmlformats.org/officeDocument/2006/relationships/hyperlink" Target="https://me.stanford.edu/people/renee-zhao" TargetMode="External"/><Relationship Id="rId383" Type="http://schemas.openxmlformats.org/officeDocument/2006/relationships/hyperlink" Target="https://mechse.illinois.edu/people/profile/fischerp" TargetMode="External"/><Relationship Id="rId590" Type="http://schemas.openxmlformats.org/officeDocument/2006/relationships/hyperlink" Target="https://engineering.purdue.edu/ME/People/ptProfile?resource_id=211078" TargetMode="External"/><Relationship Id="rId2064" Type="http://schemas.openxmlformats.org/officeDocument/2006/relationships/hyperlink" Target="https://seas.yale.edu/faculty-research/faculty-directory/charles-ahn" TargetMode="External"/><Relationship Id="rId2271" Type="http://schemas.openxmlformats.org/officeDocument/2006/relationships/hyperlink" Target="https://www.mae.ncsu.edu/people/lgrace2" TargetMode="External"/><Relationship Id="rId3115" Type="http://schemas.openxmlformats.org/officeDocument/2006/relationships/hyperlink" Target="https://me.stonybrook.edu/commcms/me-eng/people/faculty/Chen_Shikui.php" TargetMode="External"/><Relationship Id="rId3322" Type="http://schemas.openxmlformats.org/officeDocument/2006/relationships/hyperlink" Target="https://researchdirectory.uc.edu/p/watzmasj" TargetMode="External"/><Relationship Id="rId243" Type="http://schemas.openxmlformats.org/officeDocument/2006/relationships/hyperlink" Target="https://me.berkeley.edu/people/panayiotis-papadopoulos/" TargetMode="External"/><Relationship Id="rId450" Type="http://schemas.openxmlformats.org/officeDocument/2006/relationships/hyperlink" Target="https://me.engin.umich.edu/people/faculty/andre-boehman/" TargetMode="External"/><Relationship Id="rId1080" Type="http://schemas.openxmlformats.org/officeDocument/2006/relationships/hyperlink" Target="https://samueli.ucla.edu/people/artur-davoyan/" TargetMode="External"/><Relationship Id="rId2131" Type="http://schemas.openxmlformats.org/officeDocument/2006/relationships/hyperlink" Target="https://mae.ucdavis.edu/directory/harry-cheng" TargetMode="External"/><Relationship Id="rId5287" Type="http://schemas.openxmlformats.org/officeDocument/2006/relationships/hyperlink" Target="https://mechanical.engineering.unt.edu/faculty/huseyin-bostanci" TargetMode="External"/><Relationship Id="rId5494" Type="http://schemas.openxmlformats.org/officeDocument/2006/relationships/hyperlink" Target="https://www.oakland.edu/secs/directory/nassar" TargetMode="External"/><Relationship Id="rId103" Type="http://schemas.openxmlformats.org/officeDocument/2006/relationships/hyperlink" Target="https://meche.mit.edu/people/faculty/JHEYWOOD@MIT.EDU" TargetMode="External"/><Relationship Id="rId310" Type="http://schemas.openxmlformats.org/officeDocument/2006/relationships/hyperlink" Target="https://www.me.gatech.edu/faculty/loutzenhiser" TargetMode="External"/><Relationship Id="rId4096" Type="http://schemas.openxmlformats.org/officeDocument/2006/relationships/hyperlink" Target="https://www.mne.k-state.edu/about/people/faculty/roberts/" TargetMode="External"/><Relationship Id="rId5147" Type="http://schemas.openxmlformats.org/officeDocument/2006/relationships/hyperlink" Target="https://www.marquette.edu/mechanical-engineering/directory/john-moore.php" TargetMode="External"/><Relationship Id="rId1897" Type="http://schemas.openxmlformats.org/officeDocument/2006/relationships/hyperlink" Target="https://engineering.brown.edu/people/tejal-desai" TargetMode="External"/><Relationship Id="rId2948" Type="http://schemas.openxmlformats.org/officeDocument/2006/relationships/hyperlink" Target="http://eng.auburn.edu/directory/suhlijc" TargetMode="External"/><Relationship Id="rId5354" Type="http://schemas.openxmlformats.org/officeDocument/2006/relationships/hyperlink" Target="https://www.fau.edu/engineering/directory/faculty/salivar/" TargetMode="External"/><Relationship Id="rId5561" Type="http://schemas.openxmlformats.org/officeDocument/2006/relationships/hyperlink" Target="https://www.udmercy.edu/about/people/university/ces/mechanical/rayess-nassif" TargetMode="External"/><Relationship Id="rId1757" Type="http://schemas.openxmlformats.org/officeDocument/2006/relationships/hyperlink" Target="https://mae.ufl.edu/people/faculty/primary/professor/profiles/kamran-mohseni/" TargetMode="External"/><Relationship Id="rId1964" Type="http://schemas.openxmlformats.org/officeDocument/2006/relationships/hyperlink" Target="https://faculty.rpi.edu/shankar-narayan" TargetMode="External"/><Relationship Id="rId2808" Type="http://schemas.openxmlformats.org/officeDocument/2006/relationships/hyperlink" Target="https://ame.engineering.arizona.edu/faculty-staff/faculty/qing-hao" TargetMode="External"/><Relationship Id="rId4163" Type="http://schemas.openxmlformats.org/officeDocument/2006/relationships/hyperlink" Target="https://www.depts.ttu.edu/me/faculty/hanna_moussa/index.php" TargetMode="External"/><Relationship Id="rId4370" Type="http://schemas.openxmlformats.org/officeDocument/2006/relationships/hyperlink" Target="https://www.ecs.baylor.edu/person/dr-brian-garner" TargetMode="External"/><Relationship Id="rId5007" Type="http://schemas.openxmlformats.org/officeDocument/2006/relationships/hyperlink" Target="https://umaine.edu/mecheng/kimball/" TargetMode="External"/><Relationship Id="rId5214" Type="http://schemas.openxmlformats.org/officeDocument/2006/relationships/hyperlink" Target="https://expertise.utep.edu/profiles/babenedict" TargetMode="External"/><Relationship Id="rId5421" Type="http://schemas.openxmlformats.org/officeDocument/2006/relationships/hyperlink" Target="https://www.memphis.edu/me/faculty/index.php" TargetMode="External"/><Relationship Id="rId49" Type="http://schemas.openxmlformats.org/officeDocument/2006/relationships/hyperlink" Target="https://meche.mit.edu/people/faculty/jeehwan@mit.edu" TargetMode="External"/><Relationship Id="rId1617" Type="http://schemas.openxmlformats.org/officeDocument/2006/relationships/hyperlink" Target="https://mae.osu.edu/people/stockar.1" TargetMode="External"/><Relationship Id="rId1824" Type="http://schemas.openxmlformats.org/officeDocument/2006/relationships/hyperlink" Target="https://viterbi.usc.edu/directory/faculty/Spedding/Geoff" TargetMode="External"/><Relationship Id="rId4023" Type="http://schemas.openxmlformats.org/officeDocument/2006/relationships/hyperlink" Target="https://www.binghamton.edu/mechanical-engineering/people/profile.html?id=stowfigh" TargetMode="External"/><Relationship Id="rId4230" Type="http://schemas.openxmlformats.org/officeDocument/2006/relationships/hyperlink" Target="https://me.ku.edu/people/elizabeth-friis" TargetMode="External"/><Relationship Id="rId3789" Type="http://schemas.openxmlformats.org/officeDocument/2006/relationships/hyperlink" Target="https://www.uah.edu/eng/departments/mae/faculty-staff/daniel-armentrout" TargetMode="External"/><Relationship Id="rId2598" Type="http://schemas.openxmlformats.org/officeDocument/2006/relationships/hyperlink" Target="https://mae.rutgers.edu/yogesh-jaluria" TargetMode="External"/><Relationship Id="rId3996" Type="http://schemas.openxmlformats.org/officeDocument/2006/relationships/hyperlink" Target="https://sc.edu/study/colleges_schools/engineering_and_computing/faculty-staff/subramani_sockalingam.php" TargetMode="External"/><Relationship Id="rId3649" Type="http://schemas.openxmlformats.org/officeDocument/2006/relationships/hyperlink" Target="https://profiles.ucr.edu/app/home/profile/tamarm" TargetMode="External"/><Relationship Id="rId3856" Type="http://schemas.openxmlformats.org/officeDocument/2006/relationships/hyperlink" Target="https://engineering.unl.edu/mme/faculty/mohamed-amar/" TargetMode="External"/><Relationship Id="rId4907" Type="http://schemas.openxmlformats.org/officeDocument/2006/relationships/hyperlink" Target="https://www.odu.edu/directory/gene-hou" TargetMode="External"/><Relationship Id="rId5071" Type="http://schemas.openxmlformats.org/officeDocument/2006/relationships/hyperlink" Target="http://www.csuohio.edu/engineering/eric-shearer-phd" TargetMode="External"/><Relationship Id="rId777" Type="http://schemas.openxmlformats.org/officeDocument/2006/relationships/hyperlink" Target="https://www.me.utexas.edu/people/faculty-directory/amfey" TargetMode="External"/><Relationship Id="rId984" Type="http://schemas.openxmlformats.org/officeDocument/2006/relationships/hyperlink" Target="https://engineering.tamu.edu/mechanical/profiles/andani-mohsen-taheri.html" TargetMode="External"/><Relationship Id="rId2458" Type="http://schemas.openxmlformats.org/officeDocument/2006/relationships/hyperlink" Target="https://engineering.vanderbilt.edu/bio/leon-bellan" TargetMode="External"/><Relationship Id="rId2665" Type="http://schemas.openxmlformats.org/officeDocument/2006/relationships/hyperlink" Target="https://www.clemson.edu/cecas/departments/me/people/faculty/li.html" TargetMode="External"/><Relationship Id="rId2872" Type="http://schemas.openxmlformats.org/officeDocument/2006/relationships/hyperlink" Target="https://engineering.uiowa.edu/people/hongtao-ding" TargetMode="External"/><Relationship Id="rId3509" Type="http://schemas.openxmlformats.org/officeDocument/2006/relationships/hyperlink" Target="https://www.mtu.edu/mechanical/people/faculty/narendranath/" TargetMode="External"/><Relationship Id="rId3716" Type="http://schemas.openxmlformats.org/officeDocument/2006/relationships/hyperlink" Target="https://eng.ua.edu/eng-directory/dr-negin-koutahzadeh/" TargetMode="External"/><Relationship Id="rId3923" Type="http://schemas.openxmlformats.org/officeDocument/2006/relationships/hyperlink" Target="https://mees.charlotte.edu/directory/naiquan-nigel-zheng" TargetMode="External"/><Relationship Id="rId637" Type="http://schemas.openxmlformats.org/officeDocument/2006/relationships/hyperlink" Target="https://engineering.purdue.edu/ME/People/ptProfile?resource_id=217842" TargetMode="External"/><Relationship Id="rId844" Type="http://schemas.openxmlformats.org/officeDocument/2006/relationships/hyperlink" Target="https://www.mccormick.northwestern.edu/mechanical/research/areas/robotics-autonomy.html" TargetMode="External"/><Relationship Id="rId1267" Type="http://schemas.openxmlformats.org/officeDocument/2006/relationships/hyperlink" Target="https://directory.seas.upenn.edu/mechanical-engineering-and-applied-mechanics/" TargetMode="External"/><Relationship Id="rId1474" Type="http://schemas.openxmlformats.org/officeDocument/2006/relationships/hyperlink" Target="https://jacobsschool.ucsd.edu/people/profile/xuanting-hao" TargetMode="External"/><Relationship Id="rId1681" Type="http://schemas.openxmlformats.org/officeDocument/2006/relationships/hyperlink" Target="https://www.colorado.edu/mechanical/francois-barthelat" TargetMode="External"/><Relationship Id="rId2318" Type="http://schemas.openxmlformats.org/officeDocument/2006/relationships/hyperlink" Target="https://engineering.virginia.edu/faculty/silvia-salinas-blemker" TargetMode="External"/><Relationship Id="rId2525" Type="http://schemas.openxmlformats.org/officeDocument/2006/relationships/hyperlink" Target="https://www.bu.edu/eng/profile/alice-white-ph-d/" TargetMode="External"/><Relationship Id="rId2732" Type="http://schemas.openxmlformats.org/officeDocument/2006/relationships/hyperlink" Target="https://engineering.tufts.edu/me/people/faculty" TargetMode="External"/><Relationship Id="rId704" Type="http://schemas.openxmlformats.org/officeDocument/2006/relationships/hyperlink" Target="https://mae.princeton.edu/people/faculty/leonard" TargetMode="External"/><Relationship Id="rId911" Type="http://schemas.openxmlformats.org/officeDocument/2006/relationships/hyperlink" Target="https://www.mccormick.northwestern.edu/mechanical/research/areas/energy-sustainability.html" TargetMode="External"/><Relationship Id="rId1127" Type="http://schemas.openxmlformats.org/officeDocument/2006/relationships/hyperlink" Target="https://www.me.psu.edu/department/directory-detail-g.aspx?q=bmf141" TargetMode="External"/><Relationship Id="rId1334" Type="http://schemas.openxmlformats.org/officeDocument/2006/relationships/hyperlink" Target="https://directory.engr.wisc.edu/me/Faculty/Pfotenhauer_John/" TargetMode="External"/><Relationship Id="rId1541" Type="http://schemas.openxmlformats.org/officeDocument/2006/relationships/hyperlink" Target="https://mems.duke.edu/faculty/xiaoyue-ni" TargetMode="External"/><Relationship Id="rId4697" Type="http://schemas.openxmlformats.org/officeDocument/2006/relationships/hyperlink" Target="https://mechanical-engineering.uark.edu/Directory/index/uid/jleylek/name/Jim+Leylek/" TargetMode="External"/><Relationship Id="rId40" Type="http://schemas.openxmlformats.org/officeDocument/2006/relationships/hyperlink" Target="https://meche.mit.edu/people/faculty/ajhart@mit.edu" TargetMode="External"/><Relationship Id="rId1401" Type="http://schemas.openxmlformats.org/officeDocument/2006/relationships/hyperlink" Target="https://me.vt.edu/people/faculty/li-zheng.html" TargetMode="External"/><Relationship Id="rId3299" Type="http://schemas.openxmlformats.org/officeDocument/2006/relationships/hyperlink" Target="https://researchdirectory.uc.edu/p/alexanmj" TargetMode="External"/><Relationship Id="rId4557" Type="http://schemas.openxmlformats.org/officeDocument/2006/relationships/hyperlink" Target="https://www.ou.edu/coe/ame/people/faculty" TargetMode="External"/><Relationship Id="rId4764" Type="http://schemas.openxmlformats.org/officeDocument/2006/relationships/hyperlink" Target="https://umdearborn.edu/people-um-dearborn/pankaj-mallick" TargetMode="External"/><Relationship Id="rId3159" Type="http://schemas.openxmlformats.org/officeDocument/2006/relationships/hyperlink" Target="https://www.umass.edu/engineering/about/directory?s=&amp;field_person__department_target_id%5B301%5D=301" TargetMode="External"/><Relationship Id="rId3366" Type="http://schemas.openxmlformats.org/officeDocument/2006/relationships/hyperlink" Target="https://mme.wsu.edu/faculty/kuen-ren-chen/" TargetMode="External"/><Relationship Id="rId3573" Type="http://schemas.openxmlformats.org/officeDocument/2006/relationships/hyperlink" Target="https://www.stevens.edu/profile/xzhang4" TargetMode="External"/><Relationship Id="rId4417" Type="http://schemas.openxmlformats.org/officeDocument/2006/relationships/hyperlink" Target="https://eng.famu.fsu.edu/me/people/vanderlaan" TargetMode="External"/><Relationship Id="rId4971" Type="http://schemas.openxmlformats.org/officeDocument/2006/relationships/hyperlink" Target="https://ritchieschool.du.edu/about/people/casey-myers" TargetMode="External"/><Relationship Id="rId287" Type="http://schemas.openxmlformats.org/officeDocument/2006/relationships/hyperlink" Target="https://www.me.gatech.edu/faculty/hammond" TargetMode="External"/><Relationship Id="rId494" Type="http://schemas.openxmlformats.org/officeDocument/2006/relationships/hyperlink" Target="https://me.engin.umich.edu/people/faculty/allen-liu/" TargetMode="External"/><Relationship Id="rId2175" Type="http://schemas.openxmlformats.org/officeDocument/2006/relationships/hyperlink" Target="https://engineering.uci.edu/users/penghui-cao" TargetMode="External"/><Relationship Id="rId2382" Type="http://schemas.openxmlformats.org/officeDocument/2006/relationships/hyperlink" Target="https://engineering.case.edu/about/school-directory/richard-bachmann" TargetMode="External"/><Relationship Id="rId3019" Type="http://schemas.openxmlformats.org/officeDocument/2006/relationships/hyperlink" Target="https://engineering.lehigh.edu/meche/faculty/782" TargetMode="External"/><Relationship Id="rId3226" Type="http://schemas.openxmlformats.org/officeDocument/2006/relationships/hyperlink" Target="https://www.engr.colostate.edu/me/people/marco-ciarcia/" TargetMode="External"/><Relationship Id="rId3780" Type="http://schemas.openxmlformats.org/officeDocument/2006/relationships/hyperlink" Target="https://www.uta.edu/academics/faculty/profile?username=wensyet" TargetMode="External"/><Relationship Id="rId4624" Type="http://schemas.openxmlformats.org/officeDocument/2006/relationships/hyperlink" Target="https://www.ccny.cuny.edu/mecheng" TargetMode="External"/><Relationship Id="rId4831" Type="http://schemas.openxmlformats.org/officeDocument/2006/relationships/hyperlink" Target="https://engineering.usu.edu/mae/people/faculty/hunsaker-douglas.php" TargetMode="External"/><Relationship Id="rId147" Type="http://schemas.openxmlformats.org/officeDocument/2006/relationships/hyperlink" Target="https://me.stanford.edu/people/scott-delp" TargetMode="External"/><Relationship Id="rId354" Type="http://schemas.openxmlformats.org/officeDocument/2006/relationships/hyperlink" Target="https://www.me.gatech.edu/faculty/yeung" TargetMode="External"/><Relationship Id="rId1191" Type="http://schemas.openxmlformats.org/officeDocument/2006/relationships/hyperlink" Target="https://enme.umd.edu/clark/faculty/546/Bongtae-Han" TargetMode="External"/><Relationship Id="rId2035" Type="http://schemas.openxmlformats.org/officeDocument/2006/relationships/hyperlink" Target="https://ame.nd.edu/faculty/ryan-mcclarren/" TargetMode="External"/><Relationship Id="rId3433" Type="http://schemas.openxmlformats.org/officeDocument/2006/relationships/hyperlink" Target="https://www.wpi.edu/people/faculty/yzhong" TargetMode="External"/><Relationship Id="rId3640" Type="http://schemas.openxmlformats.org/officeDocument/2006/relationships/hyperlink" Target="https://profiles.ucr.edu/app/home/profile/rabba" TargetMode="External"/><Relationship Id="rId561" Type="http://schemas.openxmlformats.org/officeDocument/2006/relationships/hyperlink" Target="https://engineering.purdue.edu/ME/People/ptProfile?resource_id=241060" TargetMode="External"/><Relationship Id="rId2242" Type="http://schemas.openxmlformats.org/officeDocument/2006/relationships/hyperlink" Target="https://www.me.iastate.edu/faculty/profile/juanren" TargetMode="External"/><Relationship Id="rId3500" Type="http://schemas.openxmlformats.org/officeDocument/2006/relationships/hyperlink" Target="https://www.mtu.edu/mechanical/people/faculty/blough/" TargetMode="External"/><Relationship Id="rId5398" Type="http://schemas.openxmlformats.org/officeDocument/2006/relationships/hyperlink" Target="https://engineering.catholic.edu/research-and-faculty/faculty-profiles/mechanical/abot-jandro/index.html" TargetMode="External"/><Relationship Id="rId214" Type="http://schemas.openxmlformats.org/officeDocument/2006/relationships/hyperlink" Target="https://mce.caltech.edu/people/stroian" TargetMode="External"/><Relationship Id="rId421" Type="http://schemas.openxmlformats.org/officeDocument/2006/relationships/hyperlink" Target="https://mechse.illinois.edu/people/profile/dsocie" TargetMode="External"/><Relationship Id="rId1051" Type="http://schemas.openxmlformats.org/officeDocument/2006/relationships/hyperlink" Target="https://engineering.tamu.edu/mechanical/profiles/rathinam-sivakumar.html" TargetMode="External"/><Relationship Id="rId2102" Type="http://schemas.openxmlformats.org/officeDocument/2006/relationships/hyperlink" Target="https://isearch.asu.edu/profile/11175" TargetMode="External"/><Relationship Id="rId5258" Type="http://schemas.openxmlformats.org/officeDocument/2006/relationships/hyperlink" Target="https://engineering.olemiss.edu/people-yiwei-han/" TargetMode="External"/><Relationship Id="rId5465" Type="http://schemas.openxmlformats.org/officeDocument/2006/relationships/hyperlink" Target="https://www.lamar.edu/engineering/mechanical/faculty-staff/sushil-doranga/index.html" TargetMode="External"/><Relationship Id="rId1868" Type="http://schemas.openxmlformats.org/officeDocument/2006/relationships/hyperlink" Target="https://www.me.washington.edu/facultyfinder/ayokunle-olanrewaju" TargetMode="External"/><Relationship Id="rId4067" Type="http://schemas.openxmlformats.org/officeDocument/2006/relationships/hyperlink" Target="https://daytonabeach.erau.edu/college-engineering/mechanical/faculty" TargetMode="External"/><Relationship Id="rId4274" Type="http://schemas.openxmlformats.org/officeDocument/2006/relationships/hyperlink" Target="https://www1.villanova.edu/university/engineering/academic-programs/departments/mechanical/directory.html" TargetMode="External"/><Relationship Id="rId4481" Type="http://schemas.openxmlformats.org/officeDocument/2006/relationships/hyperlink" Target="https://www.smu.edu/Lyle/Departments/ME/People/Faculty/RicherEdmond" TargetMode="External"/><Relationship Id="rId5118" Type="http://schemas.openxmlformats.org/officeDocument/2006/relationships/hyperlink" Target="mailto:tremante@fiu.edu" TargetMode="External"/><Relationship Id="rId5325" Type="http://schemas.openxmlformats.org/officeDocument/2006/relationships/hyperlink" Target="https://people.wright.edu/sheng.li" TargetMode="External"/><Relationship Id="rId5532" Type="http://schemas.openxmlformats.org/officeDocument/2006/relationships/hyperlink" Target="https://www.uno.edu/profile/faculty/david_hui" TargetMode="External"/><Relationship Id="rId2919" Type="http://schemas.openxmlformats.org/officeDocument/2006/relationships/hyperlink" Target="https://www.engineering.pitt.edu/people/faculty/david-schmidt/" TargetMode="External"/><Relationship Id="rId3083" Type="http://schemas.openxmlformats.org/officeDocument/2006/relationships/hyperlink" Target="https://nps.edu/faculty-profiles/-/cv/bsbingha" TargetMode="External"/><Relationship Id="rId3290" Type="http://schemas.openxmlformats.org/officeDocument/2006/relationships/hyperlink" Target="http://mae.ucf.edu/person/sagnik-mazumdar/" TargetMode="External"/><Relationship Id="rId4134" Type="http://schemas.openxmlformats.org/officeDocument/2006/relationships/hyperlink" Target="https://mechanical.sdsu.edu/people/scott-shaffar.aspx" TargetMode="External"/><Relationship Id="rId4341" Type="http://schemas.openxmlformats.org/officeDocument/2006/relationships/hyperlink" Target="https://directory.statler.wvu.edu/faculty-staff-directory/terence-musho" TargetMode="External"/><Relationship Id="rId1728" Type="http://schemas.openxmlformats.org/officeDocument/2006/relationships/hyperlink" Target="https://www.colorado.edu/mechanical/wei-tan" TargetMode="External"/><Relationship Id="rId1935" Type="http://schemas.openxmlformats.org/officeDocument/2006/relationships/hyperlink" Target="https://engineering.brown.edu/people/axel-van-de-walle" TargetMode="External"/><Relationship Id="rId3150" Type="http://schemas.openxmlformats.org/officeDocument/2006/relationships/hyperlink" Target="https://mie.uic.edu/profiles/amin-salehi-khojin/" TargetMode="External"/><Relationship Id="rId4201" Type="http://schemas.openxmlformats.org/officeDocument/2006/relationships/hyperlink" Target="http://engineering.uga.edu/people/profile/john-mativo" TargetMode="External"/><Relationship Id="rId3010" Type="http://schemas.openxmlformats.org/officeDocument/2006/relationships/hyperlink" Target="https://www.mae.seas.gwu.edu/node/1481" TargetMode="External"/><Relationship Id="rId3967" Type="http://schemas.openxmlformats.org/officeDocument/2006/relationships/hyperlink" Target="https://sc.edu/study/colleges_schools/engineering_and_computing/faculty-staff/deng_xiaomin.php" TargetMode="External"/><Relationship Id="rId4" Type="http://schemas.openxmlformats.org/officeDocument/2006/relationships/hyperlink" Target="https://meche.mit.edu/people/faculty/pierrel@mit.edu" TargetMode="External"/><Relationship Id="rId888" Type="http://schemas.openxmlformats.org/officeDocument/2006/relationships/hyperlink" Target="https://www.mccormick.northwestern.edu/research-faculty/directory/profiles/liu-kam-wing.html" TargetMode="External"/><Relationship Id="rId2569" Type="http://schemas.openxmlformats.org/officeDocument/2006/relationships/hyperlink" Target="https://mechanical.mines.edu/project/silverman-anne/" TargetMode="External"/><Relationship Id="rId2776" Type="http://schemas.openxmlformats.org/officeDocument/2006/relationships/hyperlink" Target="https://engineering.buffalo.edu/mechanical-aerospace/people/faculty/ladder.host.html/content/shared/engineering/mechanical-aerospace/profiles/mook-d-joseph.detail.html" TargetMode="External"/><Relationship Id="rId2983" Type="http://schemas.openxmlformats.org/officeDocument/2006/relationships/hyperlink" Target="http://eng.auburn.edu/directory/nzt0020" TargetMode="External"/><Relationship Id="rId3827" Type="http://schemas.openxmlformats.org/officeDocument/2006/relationships/hyperlink" Target="https://www.engr.uky.edu/directory/jin-xu" TargetMode="External"/><Relationship Id="rId5182" Type="http://schemas.openxmlformats.org/officeDocument/2006/relationships/hyperlink" Target="https://www.scu.edu/engineering/academic-programs/department-of-mechanical-engineering/" TargetMode="External"/><Relationship Id="rId748" Type="http://schemas.openxmlformats.org/officeDocument/2006/relationships/hyperlink" Target="https://www.meche.engineering.cmu.edu/directory/bios/viswanathan-venkat.html" TargetMode="External"/><Relationship Id="rId955" Type="http://schemas.openxmlformats.org/officeDocument/2006/relationships/hyperlink" Target="https://me.jhu.edu/faculty/dennice-gayme/" TargetMode="External"/><Relationship Id="rId1378" Type="http://schemas.openxmlformats.org/officeDocument/2006/relationships/hyperlink" Target="https://me.vt.edu/people/faculty/cheng-jiangtao.html" TargetMode="External"/><Relationship Id="rId1585" Type="http://schemas.openxmlformats.org/officeDocument/2006/relationships/hyperlink" Target="https://mae.osu.edu/people/guvenc.1" TargetMode="External"/><Relationship Id="rId1792" Type="http://schemas.openxmlformats.org/officeDocument/2006/relationships/hyperlink" Target="https://mae.ufl.edu/people/faculty/primary/assistant-professor/profiles/yu-wang/" TargetMode="External"/><Relationship Id="rId2429" Type="http://schemas.openxmlformats.org/officeDocument/2006/relationships/hyperlink" Target="https://www.egr.msu.edu/people/profile/rimejal" TargetMode="External"/><Relationship Id="rId2636" Type="http://schemas.openxmlformats.org/officeDocument/2006/relationships/hyperlink" Target="https://me.udel.edu/faculty/guoquan-huang/" TargetMode="External"/><Relationship Id="rId2843" Type="http://schemas.openxmlformats.org/officeDocument/2006/relationships/hyperlink" Target="https://me.engr.uconn.edu/blog/faculty/imani-farhad/" TargetMode="External"/><Relationship Id="rId5042" Type="http://schemas.openxmlformats.org/officeDocument/2006/relationships/hyperlink" Target="https://www.uwyo.edu/mechanical/faculty-staff/faculty/Ray-Fertig/index.html" TargetMode="External"/><Relationship Id="rId84" Type="http://schemas.openxmlformats.org/officeDocument/2006/relationships/hyperlink" Target="https://meche.mit.edu/people/faculty/wvanrees@mit.edu" TargetMode="External"/><Relationship Id="rId608" Type="http://schemas.openxmlformats.org/officeDocument/2006/relationships/hyperlink" Target="https://engineering.purdue.edu/ME/People/ptProfile?resource_id=23987" TargetMode="External"/><Relationship Id="rId815" Type="http://schemas.openxmlformats.org/officeDocument/2006/relationships/hyperlink" Target="https://www.me.utexas.edu/people/faculty-directory/webber" TargetMode="External"/><Relationship Id="rId1238" Type="http://schemas.openxmlformats.org/officeDocument/2006/relationships/hyperlink" Target="https://cse.umn.edu/me/allison-hubel" TargetMode="External"/><Relationship Id="rId1445" Type="http://schemas.openxmlformats.org/officeDocument/2006/relationships/hyperlink" Target="https://seas.harvard.edu/person/frans-spaepen" TargetMode="External"/><Relationship Id="rId1652" Type="http://schemas.openxmlformats.org/officeDocument/2006/relationships/hyperlink" Target="https://profiles.rice.edu/faculty/david-trevas" TargetMode="External"/><Relationship Id="rId1305" Type="http://schemas.openxmlformats.org/officeDocument/2006/relationships/hyperlink" Target="https://directory.engr.wisc.edu/me/Faculty/Thelen_Darryl/" TargetMode="External"/><Relationship Id="rId2703" Type="http://schemas.openxmlformats.org/officeDocument/2006/relationships/hyperlink" Target="https://drexel.edu/engineering/about/faculty-staff/C/chang-wesley/" TargetMode="External"/><Relationship Id="rId2910" Type="http://schemas.openxmlformats.org/officeDocument/2006/relationships/hyperlink" Target="https://www.engineering.pitt.edu/people/faculty/jung-kun-lee/" TargetMode="External"/><Relationship Id="rId1512" Type="http://schemas.openxmlformats.org/officeDocument/2006/relationships/hyperlink" Target="https://jacobsschool.ucsd.edu/faculty/profile?id=503" TargetMode="External"/><Relationship Id="rId4668" Type="http://schemas.openxmlformats.org/officeDocument/2006/relationships/hyperlink" Target="https://www.sdsmt.edu/Academics/Departments/Mechanical-Engineering/Personnel/Faculty-and-Staff/" TargetMode="External"/><Relationship Id="rId4875" Type="http://schemas.openxmlformats.org/officeDocument/2006/relationships/hyperlink" Target="https://www.fit.edu/faculty-profiles/s/saedi-soheil/" TargetMode="External"/><Relationship Id="rId11" Type="http://schemas.openxmlformats.org/officeDocument/2006/relationships/hyperlink" Target="https://meche.mit.edu/people/faculty/azizan@mit.edu" TargetMode="External"/><Relationship Id="rId398" Type="http://schemas.openxmlformats.org/officeDocument/2006/relationships/hyperlink" Target="https://mechse.illinois.edu/people/profile/htj" TargetMode="External"/><Relationship Id="rId2079" Type="http://schemas.openxmlformats.org/officeDocument/2006/relationships/hyperlink" Target="https://seas.yale.edu/faculty-research/faculty-directory/jan-schroers" TargetMode="External"/><Relationship Id="rId3477" Type="http://schemas.openxmlformats.org/officeDocument/2006/relationships/hyperlink" Target="https://www.iit.edu/directory/people/wei-chen" TargetMode="External"/><Relationship Id="rId3684" Type="http://schemas.openxmlformats.org/officeDocument/2006/relationships/hyperlink" Target="https://ceat.okstate.edu/mae/faculty-staff/faculty-bios/kaan-kalkan.html" TargetMode="External"/><Relationship Id="rId3891" Type="http://schemas.openxmlformats.org/officeDocument/2006/relationships/hyperlink" Target="https://mees.charlotte.edu/directory/anthony-bombik" TargetMode="External"/><Relationship Id="rId4528" Type="http://schemas.openxmlformats.org/officeDocument/2006/relationships/hyperlink" Target="https://udayton.edu/directory/engineering/mechanical_and_aerospace/ervin_jamie.php" TargetMode="External"/><Relationship Id="rId4735" Type="http://schemas.openxmlformats.org/officeDocument/2006/relationships/hyperlink" Target="http://me.hawaii.edu/qu/" TargetMode="External"/><Relationship Id="rId4942" Type="http://schemas.openxmlformats.org/officeDocument/2006/relationships/hyperlink" Target="https://uakron.edu/engineering/me/our-people/profile.dot?u=ktan" TargetMode="External"/><Relationship Id="rId2286" Type="http://schemas.openxmlformats.org/officeDocument/2006/relationships/hyperlink" Target="https://www.mae.ncsu.edu/people/lyons" TargetMode="External"/><Relationship Id="rId2493" Type="http://schemas.openxmlformats.org/officeDocument/2006/relationships/hyperlink" Target="https://www.bu.edu/eng/profile/michael-caramanis-ph-d/" TargetMode="External"/><Relationship Id="rId3337" Type="http://schemas.openxmlformats.org/officeDocument/2006/relationships/hyperlink" Target="https://www.me.uh.edu/faculty/franchek" TargetMode="External"/><Relationship Id="rId3544" Type="http://schemas.openxmlformats.org/officeDocument/2006/relationships/hyperlink" Target="https://www.stevens.edu/profile/eaziz" TargetMode="External"/><Relationship Id="rId3751" Type="http://schemas.openxmlformats.org/officeDocument/2006/relationships/hyperlink" Target="https://www.uta.edu/academics/faculty/profile?username=davidsonp" TargetMode="External"/><Relationship Id="rId4802" Type="http://schemas.openxmlformats.org/officeDocument/2006/relationships/hyperlink" Target="https://klesse.utsa.edu/faculty/profiles/crom-alifer.html" TargetMode="External"/><Relationship Id="rId258" Type="http://schemas.openxmlformats.org/officeDocument/2006/relationships/hyperlink" Target="https://me.berkeley.edu/people/gabriel-gomes/" TargetMode="External"/><Relationship Id="rId465" Type="http://schemas.openxmlformats.org/officeDocument/2006/relationships/hyperlink" Target="https://me.engin.umich.edu/people/faculty/tulga-ersal/" TargetMode="External"/><Relationship Id="rId672" Type="http://schemas.openxmlformats.org/officeDocument/2006/relationships/hyperlink" Target="https://www.engineering.cornell.edu/faculty-directory/gregory-paul-bewley" TargetMode="External"/><Relationship Id="rId1095" Type="http://schemas.openxmlformats.org/officeDocument/2006/relationships/hyperlink" Target="https://samueli.ucla.edu/people/pirouz-kavehpour/" TargetMode="External"/><Relationship Id="rId2146" Type="http://schemas.openxmlformats.org/officeDocument/2006/relationships/hyperlink" Target="https://mae.ucdavis.edu/directory/seongkyu-lee" TargetMode="External"/><Relationship Id="rId2353" Type="http://schemas.openxmlformats.org/officeDocument/2006/relationships/hyperlink" Target="https://engineering.wustl.edu/faculty/index.html" TargetMode="External"/><Relationship Id="rId2560" Type="http://schemas.openxmlformats.org/officeDocument/2006/relationships/hyperlink" Target="https://mechanical.mines.edu/project/nilsen-oyvind/" TargetMode="External"/><Relationship Id="rId3404" Type="http://schemas.openxmlformats.org/officeDocument/2006/relationships/hyperlink" Target="https://www.wpi.edu/people/faculty/dlcote2" TargetMode="External"/><Relationship Id="rId3611" Type="http://schemas.openxmlformats.org/officeDocument/2006/relationships/hyperlink" Target="https://me.utdallas.edu/faculty-staff/justin-koeln/" TargetMode="External"/><Relationship Id="rId118" Type="http://schemas.openxmlformats.org/officeDocument/2006/relationships/hyperlink" Target="https://meche.mit.edu/people/staff/bhughey@mit.edu" TargetMode="External"/><Relationship Id="rId325" Type="http://schemas.openxmlformats.org/officeDocument/2006/relationships/hyperlink" Target="https://www.me.gatech.edu/faculty/sadegh" TargetMode="External"/><Relationship Id="rId532" Type="http://schemas.openxmlformats.org/officeDocument/2006/relationships/hyperlink" Target="https://me.engin.umich.edu/people/faculty/kon-well-wang/" TargetMode="External"/><Relationship Id="rId1162" Type="http://schemas.openxmlformats.org/officeDocument/2006/relationships/hyperlink" Target="https://www.me.psu.edu/department/directory-detail-g.aspx?q=dmw72" TargetMode="External"/><Relationship Id="rId2006" Type="http://schemas.openxmlformats.org/officeDocument/2006/relationships/hyperlink" Target="https://me.ucsb.edu/people/kirk" TargetMode="External"/><Relationship Id="rId2213" Type="http://schemas.openxmlformats.org/officeDocument/2006/relationships/hyperlink" Target="https://www.me.iastate.edu/faculty/profile/sfeve" TargetMode="External"/><Relationship Id="rId2420" Type="http://schemas.openxmlformats.org/officeDocument/2006/relationships/hyperlink" Target="https://www.egr.msu.edu/people/profile/jaberi" TargetMode="External"/><Relationship Id="rId5369" Type="http://schemas.openxmlformats.org/officeDocument/2006/relationships/hyperlink" Target="https://nau.edu/mechanical-engineering/constantin-ciocanel/" TargetMode="External"/><Relationship Id="rId1022" Type="http://schemas.openxmlformats.org/officeDocument/2006/relationships/hyperlink" Target="https://engineering.tamu.edu/mechanical/profiles/lacy-tom.html" TargetMode="External"/><Relationship Id="rId4178" Type="http://schemas.openxmlformats.org/officeDocument/2006/relationships/hyperlink" Target="http://engineering.uga.edu/people/profile/matthew-v.-bilskie" TargetMode="External"/><Relationship Id="rId4385" Type="http://schemas.openxmlformats.org/officeDocument/2006/relationships/hyperlink" Target="https://eng.famu.fsu.edu/me/people/yousuf-ali" TargetMode="External"/><Relationship Id="rId4592" Type="http://schemas.openxmlformats.org/officeDocument/2006/relationships/hyperlink" Target="https://www.uvm.edu/node/223687" TargetMode="External"/><Relationship Id="rId5229" Type="http://schemas.openxmlformats.org/officeDocument/2006/relationships/hyperlink" Target="https://expertise.utep.edu/profiles/emac" TargetMode="External"/><Relationship Id="rId5436" Type="http://schemas.openxmlformats.org/officeDocument/2006/relationships/hyperlink" Target="https://wmich.edu/mechanical-aerospace/directory" TargetMode="External"/><Relationship Id="rId1979" Type="http://schemas.openxmlformats.org/officeDocument/2006/relationships/hyperlink" Target="https://me.ucsb.edu/people/francesco-bullo" TargetMode="External"/><Relationship Id="rId3194" Type="http://schemas.openxmlformats.org/officeDocument/2006/relationships/hyperlink" Target="https://mabe.utk.edu/people/xiangyu-li/" TargetMode="External"/><Relationship Id="rId4038" Type="http://schemas.openxmlformats.org/officeDocument/2006/relationships/hyperlink" Target="https://www.clarkson.edu/node/5426" TargetMode="External"/><Relationship Id="rId4245" Type="http://schemas.openxmlformats.org/officeDocument/2006/relationships/hyperlink" Target="https://www.uml.edu/engineering/mechanical/" TargetMode="External"/><Relationship Id="rId1839" Type="http://schemas.openxmlformats.org/officeDocument/2006/relationships/hyperlink" Target="https://viterbi.usc.edu/directory/faculty/Ioannou/Petros" TargetMode="External"/><Relationship Id="rId3054" Type="http://schemas.openxmlformats.org/officeDocument/2006/relationships/hyperlink" Target="https://works.bepress.com/lokeswarappa-dharani/about/" TargetMode="External"/><Relationship Id="rId4452" Type="http://schemas.openxmlformats.org/officeDocument/2006/relationships/hyperlink" Target="https://www.me.msstate.edu/people/faculty/heejin-cho/" TargetMode="External"/><Relationship Id="rId5503" Type="http://schemas.openxmlformats.org/officeDocument/2006/relationships/hyperlink" Target="https://www.pdx.edu/profile/jun-jiao" TargetMode="External"/><Relationship Id="rId182" Type="http://schemas.openxmlformats.org/officeDocument/2006/relationships/hyperlink" Target="https://me.stanford.edu/people/dustin-liu" TargetMode="External"/><Relationship Id="rId1906" Type="http://schemas.openxmlformats.org/officeDocument/2006/relationships/hyperlink" Target="https://engineering.brown.edu/people/haneesh-kesari" TargetMode="External"/><Relationship Id="rId3261" Type="http://schemas.openxmlformats.org/officeDocument/2006/relationships/hyperlink" Target="https://www.engr.colostate.edu/me/faculty/dr-azer-p-yalin/" TargetMode="External"/><Relationship Id="rId4105" Type="http://schemas.openxmlformats.org/officeDocument/2006/relationships/hyperlink" Target="https://mechanical.sdsu.edu/people/sara-adibi.aspx" TargetMode="External"/><Relationship Id="rId4312" Type="http://schemas.openxmlformats.org/officeDocument/2006/relationships/hyperlink" Target="http://egr.vcu.edu/directory/reza.mohammadi/" TargetMode="External"/><Relationship Id="rId2070" Type="http://schemas.openxmlformats.org/officeDocument/2006/relationships/hyperlink" Target="https://seas.yale.edu/faculty-research/faculty-directory/sohrab-ismail-beigi" TargetMode="External"/><Relationship Id="rId3121" Type="http://schemas.openxmlformats.org/officeDocument/2006/relationships/hyperlink" Target="https://me.stonybrook.edu/commcms/me-eng/people/faculty/Kao_Imin.php" TargetMode="External"/><Relationship Id="rId999" Type="http://schemas.openxmlformats.org/officeDocument/2006/relationships/hyperlink" Target="https://engineering.tamu.edu/mechanical/profiles/elliott-matt.html" TargetMode="External"/><Relationship Id="rId2887" Type="http://schemas.openxmlformats.org/officeDocument/2006/relationships/hyperlink" Target="https://engineering.uiowa.edu/people/hs-udaykumar" TargetMode="External"/><Relationship Id="rId5086" Type="http://schemas.openxmlformats.org/officeDocument/2006/relationships/hyperlink" Target="https://mme.fiu.edu/faculty-staff-members/pezhman-mardanpour" TargetMode="External"/><Relationship Id="rId5293" Type="http://schemas.openxmlformats.org/officeDocument/2006/relationships/hyperlink" Target="https://mechanical.engineering.unt.edu/faculty/zhenhua-huang" TargetMode="External"/><Relationship Id="rId859" Type="http://schemas.openxmlformats.org/officeDocument/2006/relationships/hyperlink" Target="https://www.mccormick.northwestern.edu/mechanical/research/areas/ai-design.html" TargetMode="External"/><Relationship Id="rId1489" Type="http://schemas.openxmlformats.org/officeDocument/2006/relationships/hyperlink" Target="https://jacobsschool.ucsd.edu/faculty/profile?id=139" TargetMode="External"/><Relationship Id="rId1696" Type="http://schemas.openxmlformats.org/officeDocument/2006/relationships/hyperlink" Target="https://www.colorado.edu/mechanical/daven-henze" TargetMode="External"/><Relationship Id="rId3938" Type="http://schemas.openxmlformats.org/officeDocument/2006/relationships/hyperlink" Target="http://www.hajim.rochester.edu/me/people/faculty/funkenbusch_paul/index.html" TargetMode="External"/><Relationship Id="rId5153" Type="http://schemas.openxmlformats.org/officeDocument/2006/relationships/hyperlink" Target="https://www.marquette.edu/mechanical-engineering/directory/le-zhou.php" TargetMode="External"/><Relationship Id="rId5360" Type="http://schemas.openxmlformats.org/officeDocument/2006/relationships/hyperlink" Target="https://www.ndsu.edu/me/" TargetMode="External"/><Relationship Id="rId1349" Type="http://schemas.openxmlformats.org/officeDocument/2006/relationships/hyperlink" Target="https://directory.engr.wisc.edu/me/Faculty/Trujillo_Mario/" TargetMode="External"/><Relationship Id="rId2747" Type="http://schemas.openxmlformats.org/officeDocument/2006/relationships/hyperlink" Target="https://engineering.tufts.edu/me/node/4281" TargetMode="External"/><Relationship Id="rId2954" Type="http://schemas.openxmlformats.org/officeDocument/2006/relationships/hyperlink" Target="http://eng.auburn.edu/directory/aza0082" TargetMode="External"/><Relationship Id="rId5013" Type="http://schemas.openxmlformats.org/officeDocument/2006/relationships/hyperlink" Target="https://umaine.edu/mecheng/vel/" TargetMode="External"/><Relationship Id="rId5220" Type="http://schemas.openxmlformats.org/officeDocument/2006/relationships/hyperlink" Target="https://expertise.utep.edu/profiles/ahsan" TargetMode="External"/><Relationship Id="rId719" Type="http://schemas.openxmlformats.org/officeDocument/2006/relationships/hyperlink" Target="https://www.meche.engineering.cmu.edu/directory/bios/beuth-jack.html" TargetMode="External"/><Relationship Id="rId926" Type="http://schemas.openxmlformats.org/officeDocument/2006/relationships/hyperlink" Target="https://www.mccormick.northwestern.edu/mechanical/research/areas/robotics-autonomy.html" TargetMode="External"/><Relationship Id="rId1556" Type="http://schemas.openxmlformats.org/officeDocument/2006/relationships/hyperlink" Target="https://mems.duke.edu/faculty/shivanand-lad" TargetMode="External"/><Relationship Id="rId1763" Type="http://schemas.openxmlformats.org/officeDocument/2006/relationships/hyperlink" Target="https://mae.ufl.edu/people/faculty/primary/professor/profiles/corin-segal/" TargetMode="External"/><Relationship Id="rId1970" Type="http://schemas.openxmlformats.org/officeDocument/2006/relationships/hyperlink" Target="https://faculty.rpi.edu/daniel-walczyk" TargetMode="External"/><Relationship Id="rId2607" Type="http://schemas.openxmlformats.org/officeDocument/2006/relationships/hyperlink" Target="https://mae.rutgers.edu/andrew-norris" TargetMode="External"/><Relationship Id="rId2814" Type="http://schemas.openxmlformats.org/officeDocument/2006/relationships/hyperlink" Target="https://ame.engineering.arizona.edu/faculty-staff/faculty/farzad-mashayek" TargetMode="External"/><Relationship Id="rId55" Type="http://schemas.openxmlformats.org/officeDocument/2006/relationships/hyperlink" Target="https://meche.mit.edu/people/faculty/SLLOYD@MIT.EDU" TargetMode="External"/><Relationship Id="rId1209" Type="http://schemas.openxmlformats.org/officeDocument/2006/relationships/hyperlink" Target="https://enme.umd.edu/clark/faculty/595/Ryan-D-Sochol" TargetMode="External"/><Relationship Id="rId1416" Type="http://schemas.openxmlformats.org/officeDocument/2006/relationships/hyperlink" Target="https://me.vt.edu/people/faculty/scarff-kelly.html" TargetMode="External"/><Relationship Id="rId1623" Type="http://schemas.openxmlformats.org/officeDocument/2006/relationships/hyperlink" Target="https://mae.osu.edu/people/vasques.4" TargetMode="External"/><Relationship Id="rId1830" Type="http://schemas.openxmlformats.org/officeDocument/2006/relationships/hyperlink" Target="https://viterbi.usc.edu/directory/faculty/Byahut/Saakar" TargetMode="External"/><Relationship Id="rId4779" Type="http://schemas.openxmlformats.org/officeDocument/2006/relationships/hyperlink" Target="https://ceps.unh.edu/person/jinjin-ha" TargetMode="External"/><Relationship Id="rId4986" Type="http://schemas.openxmlformats.org/officeDocument/2006/relationships/hyperlink" Target="https://engineering.louisville.edu/faculty/arinan-dourado/" TargetMode="External"/><Relationship Id="rId3588" Type="http://schemas.openxmlformats.org/officeDocument/2006/relationships/hyperlink" Target="https://ecs.syracuse.edu/faculty-staff/shalabh-c-maroo" TargetMode="External"/><Relationship Id="rId3795" Type="http://schemas.openxmlformats.org/officeDocument/2006/relationships/hyperlink" Target="https://www.uah.edu/eng/departments/mae/faculty-staff/kader-frendi" TargetMode="External"/><Relationship Id="rId4639" Type="http://schemas.openxmlformats.org/officeDocument/2006/relationships/hyperlink" Target="https://profiles.howard.edu/hyung-bae" TargetMode="External"/><Relationship Id="rId4846" Type="http://schemas.openxmlformats.org/officeDocument/2006/relationships/hyperlink" Target="https://engineering.wayne.edu/profile/hj1787" TargetMode="External"/><Relationship Id="rId2397" Type="http://schemas.openxmlformats.org/officeDocument/2006/relationships/hyperlink" Target="https://engineering.case.edu/about/school-directory/chris-yingchun-yuan" TargetMode="External"/><Relationship Id="rId3448" Type="http://schemas.openxmlformats.org/officeDocument/2006/relationships/hyperlink" Target="https://www.me.byu.edu/directory/steve-gorrell" TargetMode="External"/><Relationship Id="rId3655" Type="http://schemas.openxmlformats.org/officeDocument/2006/relationships/hyperlink" Target="https://profiles.ucr.edu/app/home/profile/mprao" TargetMode="External"/><Relationship Id="rId3862" Type="http://schemas.openxmlformats.org/officeDocument/2006/relationships/hyperlink" Target="https://engineering.unl.edu/mme/shane-farritor/" TargetMode="External"/><Relationship Id="rId4706" Type="http://schemas.openxmlformats.org/officeDocument/2006/relationships/hyperlink" Target="https://mechanical-engineering.uark.edu/Directory/index/uid/chstung/name/Steve+Tung/" TargetMode="External"/><Relationship Id="rId369" Type="http://schemas.openxmlformats.org/officeDocument/2006/relationships/hyperlink" Target="https://mechse.illinois.edu/people/profile/jbentsma" TargetMode="External"/><Relationship Id="rId576" Type="http://schemas.openxmlformats.org/officeDocument/2006/relationships/hyperlink" Target="https://engineering.purdue.edu/ME/People/ptProfile?resource_id=12829" TargetMode="External"/><Relationship Id="rId783" Type="http://schemas.openxmlformats.org/officeDocument/2006/relationships/hyperlink" Target="https://www.me.utexas.edu/people/faculty-directory/hall" TargetMode="External"/><Relationship Id="rId990" Type="http://schemas.openxmlformats.org/officeDocument/2006/relationships/hyperlink" Target="https://engineering.tamu.edu/mechanical/profiles/benjamin-chandler.html" TargetMode="External"/><Relationship Id="rId2257" Type="http://schemas.openxmlformats.org/officeDocument/2006/relationships/hyperlink" Target="https://www.mae.ncsu.edu/people/sbigham" TargetMode="External"/><Relationship Id="rId2464" Type="http://schemas.openxmlformats.org/officeDocument/2006/relationships/hyperlink" Target="https://engineering.vanderbilt.edu/bio/haoxiang-luo" TargetMode="External"/><Relationship Id="rId2671" Type="http://schemas.openxmlformats.org/officeDocument/2006/relationships/hyperlink" Target="https://www.clemson.edu/cecas/departments/me/people/faculty/zmeng.html" TargetMode="External"/><Relationship Id="rId3308" Type="http://schemas.openxmlformats.org/officeDocument/2006/relationships/hyperlink" Target="https://researchdirectory.uc.edu/p/jiaxg" TargetMode="External"/><Relationship Id="rId3515" Type="http://schemas.openxmlformats.org/officeDocument/2006/relationships/hyperlink" Target="https://www.mtu.edu/mechanical/people/faculty/iyer/" TargetMode="External"/><Relationship Id="rId4913" Type="http://schemas.openxmlformats.org/officeDocument/2006/relationships/hyperlink" Target="https://www.odu.edu/directory/brett-newman" TargetMode="External"/><Relationship Id="rId229" Type="http://schemas.openxmlformats.org/officeDocument/2006/relationships/hyperlink" Target="https://me.berkeley.edu/people/alexis-kaminski/" TargetMode="External"/><Relationship Id="rId436" Type="http://schemas.openxmlformats.org/officeDocument/2006/relationships/hyperlink" Target="https://me.engin.umich.edu/people/faculty/ellen-arruda/" TargetMode="External"/><Relationship Id="rId643" Type="http://schemas.openxmlformats.org/officeDocument/2006/relationships/hyperlink" Target="https://engineering.purdue.edu/ME/People/ptProfile?resource_id=156619" TargetMode="External"/><Relationship Id="rId1066" Type="http://schemas.openxmlformats.org/officeDocument/2006/relationships/hyperlink" Target="https://engineering.tamu.edu/mechanical/profiles/tsenn-joanna.html" TargetMode="External"/><Relationship Id="rId1273" Type="http://schemas.openxmlformats.org/officeDocument/2006/relationships/hyperlink" Target="https://directory.seas.upenn.edu/matthew-f-campbell/" TargetMode="External"/><Relationship Id="rId1480" Type="http://schemas.openxmlformats.org/officeDocument/2006/relationships/hyperlink" Target="https://jacobsschool.ucsd.edu/faculty/profile?id=255" TargetMode="External"/><Relationship Id="rId2117" Type="http://schemas.openxmlformats.org/officeDocument/2006/relationships/hyperlink" Target="https://isearch.asu.edu/profile/1821501" TargetMode="External"/><Relationship Id="rId2324" Type="http://schemas.openxmlformats.org/officeDocument/2006/relationships/hyperlink" Target="https://engineering.virginia.edu/faculty/jason-forman" TargetMode="External"/><Relationship Id="rId3722" Type="http://schemas.openxmlformats.org/officeDocument/2006/relationships/hyperlink" Target="https://eng.ua.edu/eng-directory/dr-sree-kalyan-patiballa/" TargetMode="External"/><Relationship Id="rId850" Type="http://schemas.openxmlformats.org/officeDocument/2006/relationships/hyperlink" Target="https://www.mccormick.northwestern.edu/mechanical/research/areas/energy-sustainability.html" TargetMode="External"/><Relationship Id="rId1133" Type="http://schemas.openxmlformats.org/officeDocument/2006/relationships/hyperlink" Target="https://www.me.psu.edu/department/directory-detail-g.aspx?q=iqk5135" TargetMode="External"/><Relationship Id="rId2531" Type="http://schemas.openxmlformats.org/officeDocument/2006/relationships/hyperlink" Target="https://mechanical.mines.edu/project/babaie-rizvandi_omid/" TargetMode="External"/><Relationship Id="rId4289" Type="http://schemas.openxmlformats.org/officeDocument/2006/relationships/hyperlink" Target="https://www1.villanova.edu/university/engineering/academic-programs/departments/mechanical/directory/biodetail.html?mail=james.obrien@villanova.edu&amp;xsl=bio_long" TargetMode="External"/><Relationship Id="rId503" Type="http://schemas.openxmlformats.org/officeDocument/2006/relationships/hyperlink" Target="https://me.engin.umich.edu/people/faculty/kevin-pipe/" TargetMode="External"/><Relationship Id="rId710" Type="http://schemas.openxmlformats.org/officeDocument/2006/relationships/hyperlink" Target="https://mae.princeton.edu/people/faculty/nagpal" TargetMode="External"/><Relationship Id="rId1340" Type="http://schemas.openxmlformats.org/officeDocument/2006/relationships/hyperlink" Target="https://directory.engr.wisc.edu/me/Faculty/Roth_Josh/" TargetMode="External"/><Relationship Id="rId3098" Type="http://schemas.openxmlformats.org/officeDocument/2006/relationships/hyperlink" Target="https://nps.edu/faculty-profiles/-/cv/jennifer.hudson" TargetMode="External"/><Relationship Id="rId4496" Type="http://schemas.openxmlformats.org/officeDocument/2006/relationships/hyperlink" Target="https://me.ucmerced.edu/content/marcus-lee" TargetMode="External"/><Relationship Id="rId5547" Type="http://schemas.openxmlformats.org/officeDocument/2006/relationships/hyperlink" Target="https://und.edu/directory/dominik.steinhauer" TargetMode="External"/><Relationship Id="rId1200" Type="http://schemas.openxmlformats.org/officeDocument/2006/relationships/hyperlink" Target="https://enme.umd.edu/clark/faculty/567/F-Patrick-McCluskey" TargetMode="External"/><Relationship Id="rId4149" Type="http://schemas.openxmlformats.org/officeDocument/2006/relationships/hyperlink" Target="https://www.depts.ttu.edu/me/faculty/paul_egan/index.php" TargetMode="External"/><Relationship Id="rId4356" Type="http://schemas.openxmlformats.org/officeDocument/2006/relationships/hyperlink" Target="https://directory.statler.wvu.edu/faculty-staff-directory/patrick-browning" TargetMode="External"/><Relationship Id="rId4563" Type="http://schemas.openxmlformats.org/officeDocument/2006/relationships/hyperlink" Target="https://www.ou.edu/coe/ame/people/dai.html" TargetMode="External"/><Relationship Id="rId4770" Type="http://schemas.openxmlformats.org/officeDocument/2006/relationships/hyperlink" Target="https://umdearborn.edu/people-um-dearborn/rafael-ruiz" TargetMode="External"/><Relationship Id="rId5407" Type="http://schemas.openxmlformats.org/officeDocument/2006/relationships/hyperlink" Target="https://engineering.catholic.edu/research-and-faculty/faculty-profiles/mechanical/solares-santiago/index.html" TargetMode="External"/><Relationship Id="rId3165" Type="http://schemas.openxmlformats.org/officeDocument/2006/relationships/hyperlink" Target="https://mabe.utk.edu/people/sudarsanam-suresh-babu-2/" TargetMode="External"/><Relationship Id="rId3372" Type="http://schemas.openxmlformats.org/officeDocument/2006/relationships/hyperlink" Target="https://mme.wsu.edu/mme-personnel-faculty/mehdi-hosseinzadeh/" TargetMode="External"/><Relationship Id="rId4009" Type="http://schemas.openxmlformats.org/officeDocument/2006/relationships/hyperlink" Target="https://www.binghamton.edu/mechanical-engineering/people/profile.html?id=jcho" TargetMode="External"/><Relationship Id="rId4216" Type="http://schemas.openxmlformats.org/officeDocument/2006/relationships/hyperlink" Target="http://engineering.uga.edu/people/profile/gokul-dev-vasudevan-ph.d" TargetMode="External"/><Relationship Id="rId4423" Type="http://schemas.openxmlformats.org/officeDocument/2006/relationships/hyperlink" Target="https://www.lsu.edu/eng/mie/people/faculty/devireddy.php" TargetMode="External"/><Relationship Id="rId4630" Type="http://schemas.openxmlformats.org/officeDocument/2006/relationships/hyperlink" Target="https://www.ccny.cuny.edu/profiles/taehun-lee" TargetMode="External"/><Relationship Id="rId293" Type="http://schemas.openxmlformats.org/officeDocument/2006/relationships/hyperlink" Target="https://www.me.gatech.edu/faculty/hu-2" TargetMode="External"/><Relationship Id="rId2181" Type="http://schemas.openxmlformats.org/officeDocument/2006/relationships/hyperlink" Target="https://engineering.uci.edu/users/perry-johnson" TargetMode="External"/><Relationship Id="rId3025" Type="http://schemas.openxmlformats.org/officeDocument/2006/relationships/hyperlink" Target="https://engineering.lehigh.edu/meche/faculty/817" TargetMode="External"/><Relationship Id="rId3232" Type="http://schemas.openxmlformats.org/officeDocument/2006/relationships/hyperlink" Target="https://www.engr.colostate.edu/me/faculty/dr-soham-ghosh/" TargetMode="External"/><Relationship Id="rId153" Type="http://schemas.openxmlformats.org/officeDocument/2006/relationships/hyperlink" Target="https://me.stanford.edu/people/ronald-hanson" TargetMode="External"/><Relationship Id="rId360" Type="http://schemas.openxmlformats.org/officeDocument/2006/relationships/hyperlink" Target="https://www.me.gatech.edu/faculty/zhou-0" TargetMode="External"/><Relationship Id="rId2041" Type="http://schemas.openxmlformats.org/officeDocument/2006/relationships/hyperlink" Target="https://ame.nd.edu/faculty/timothy-ovaert/" TargetMode="External"/><Relationship Id="rId5197" Type="http://schemas.openxmlformats.org/officeDocument/2006/relationships/hyperlink" Target="https://engineering.siu.edu/me/faculty-staff/faculty/" TargetMode="External"/><Relationship Id="rId220" Type="http://schemas.openxmlformats.org/officeDocument/2006/relationships/hyperlink" Target="https://me.berkeley.edu/people/van-p-carey/" TargetMode="External"/><Relationship Id="rId2998" Type="http://schemas.openxmlformats.org/officeDocument/2006/relationships/hyperlink" Target="https://www.mae.seas.gwu.edu/node/801" TargetMode="External"/><Relationship Id="rId5057" Type="http://schemas.openxmlformats.org/officeDocument/2006/relationships/hyperlink" Target="https://www.wichita.edu/profiles/academics/engineering/mechanical_engineering/01_Faculty/Lankarani-Hamid.php" TargetMode="External"/><Relationship Id="rId5264" Type="http://schemas.openxmlformats.org/officeDocument/2006/relationships/hyperlink" Target="https://www.unlv.edu/people/yitung-chen" TargetMode="External"/><Relationship Id="rId2858" Type="http://schemas.openxmlformats.org/officeDocument/2006/relationships/hyperlink" Target="https://me.engr.uconn.edu/blog/faculty/pavlidis-georges/" TargetMode="External"/><Relationship Id="rId3909" Type="http://schemas.openxmlformats.org/officeDocument/2006/relationships/hyperlink" Target="https://mees.charlotte.edu/directory/jay-raja" TargetMode="External"/><Relationship Id="rId4073" Type="http://schemas.openxmlformats.org/officeDocument/2006/relationships/hyperlink" Target="https://daytonabeach.erau.edu/college-engineering/mechanical/faculty" TargetMode="External"/><Relationship Id="rId5471" Type="http://schemas.openxmlformats.org/officeDocument/2006/relationships/hyperlink" Target="https://nmt.edu/academics/mecheng/faculty/jford.php" TargetMode="External"/><Relationship Id="rId99" Type="http://schemas.openxmlformats.org/officeDocument/2006/relationships/hyperlink" Target="https://meche.mit.edu/people/faculty/glicks@mit.edu" TargetMode="External"/><Relationship Id="rId1667" Type="http://schemas.openxmlformats.org/officeDocument/2006/relationships/hyperlink" Target="https://www.me.columbia.edu/faculty/richard-longman" TargetMode="External"/><Relationship Id="rId1874" Type="http://schemas.openxmlformats.org/officeDocument/2006/relationships/hyperlink" Target="https://www.me.washington.edu/facultyfinder/jenny-robinson" TargetMode="External"/><Relationship Id="rId2718" Type="http://schemas.openxmlformats.org/officeDocument/2006/relationships/hyperlink" Target="https://drexel.edu/engineering/about/faculty-staff/M/mccarthy-matthew/" TargetMode="External"/><Relationship Id="rId2925" Type="http://schemas.openxmlformats.org/officeDocument/2006/relationships/hyperlink" Target="https://www.engineering.pitt.edu/people/faculty/guofeng-wang/" TargetMode="External"/><Relationship Id="rId4280" Type="http://schemas.openxmlformats.org/officeDocument/2006/relationships/hyperlink" Target="https://www1.villanova.edu/university/engineering/academic-programs/departments/mechanical/directory/biodetail.html?mail=jens.karlsson@villanova.edu&amp;xsl=bio_long" TargetMode="External"/><Relationship Id="rId5124" Type="http://schemas.openxmlformats.org/officeDocument/2006/relationships/hyperlink" Target="https://coes.latech.edu/facultystaff-directory/single-entry/name/xiang-shawn-chen-1/" TargetMode="External"/><Relationship Id="rId5331" Type="http://schemas.openxmlformats.org/officeDocument/2006/relationships/hyperlink" Target="https://people.wright.edu/zifeng.yang" TargetMode="External"/><Relationship Id="rId1527" Type="http://schemas.openxmlformats.org/officeDocument/2006/relationships/hyperlink" Target="https://mems.duke.edu/faculty/stefano-curtarolo" TargetMode="External"/><Relationship Id="rId1734" Type="http://schemas.openxmlformats.org/officeDocument/2006/relationships/hyperlink" Target="https://www.colorado.edu/mechanical/michael-walker" TargetMode="External"/><Relationship Id="rId1941" Type="http://schemas.openxmlformats.org/officeDocument/2006/relationships/hyperlink" Target="https://engineering.brown.edu/people/rashid-zia" TargetMode="External"/><Relationship Id="rId4140" Type="http://schemas.openxmlformats.org/officeDocument/2006/relationships/hyperlink" Target="https://www.depts.ttu.edu/me/faculty/index.php" TargetMode="External"/><Relationship Id="rId26" Type="http://schemas.openxmlformats.org/officeDocument/2006/relationships/hyperlink" Target="https://meche.mit.edu/people/faculty/jchun@mit.edu" TargetMode="External"/><Relationship Id="rId3699" Type="http://schemas.openxmlformats.org/officeDocument/2006/relationships/hyperlink" Target="https://ceat.okstate.edu/mae/faculty-staff/faculty-bios/jeffrey-spitler.html" TargetMode="External"/><Relationship Id="rId4000" Type="http://schemas.openxmlformats.org/officeDocument/2006/relationships/hyperlink" Target="https://sc.edu/study/colleges_schools/engineering_and_computing/faculty-staff/wang_guiren.php" TargetMode="External"/><Relationship Id="rId1801" Type="http://schemas.openxmlformats.org/officeDocument/2006/relationships/hyperlink" Target="https://mae.ufl.edu/people/faculty/primary/instructional-professors/profiles/andres-rubiano/" TargetMode="External"/><Relationship Id="rId3559" Type="http://schemas.openxmlformats.org/officeDocument/2006/relationships/hyperlink" Target="https://www.stevens.edu/profile/kpochira" TargetMode="External"/><Relationship Id="rId4957" Type="http://schemas.openxmlformats.org/officeDocument/2006/relationships/hyperlink" Target="https://www.uab.edu/engineering/mme/people/faculty/david-mcdaniel" TargetMode="External"/><Relationship Id="rId687" Type="http://schemas.openxmlformats.org/officeDocument/2006/relationships/hyperlink" Target="https://mae.princeton.edu/people/faculty/allen-blanchette" TargetMode="External"/><Relationship Id="rId2368" Type="http://schemas.openxmlformats.org/officeDocument/2006/relationships/hyperlink" Target="https://engineering.wustl.edu/faculty/Rohan-Mishra.html" TargetMode="External"/><Relationship Id="rId3766" Type="http://schemas.openxmlformats.org/officeDocument/2006/relationships/hyperlink" Target="https://www.uta.edu/academics/faculty/profile?username=klawrenc" TargetMode="External"/><Relationship Id="rId3973" Type="http://schemas.openxmlformats.org/officeDocument/2006/relationships/hyperlink" Target="https://sc.edu/study/colleges_schools/engineering_and_computing/faculty-staff/odellglenn.php" TargetMode="External"/><Relationship Id="rId4817" Type="http://schemas.openxmlformats.org/officeDocument/2006/relationships/hyperlink" Target="https://klesse.utsa.edu/faculty/profiles/restrepo-david.html" TargetMode="External"/><Relationship Id="rId894" Type="http://schemas.openxmlformats.org/officeDocument/2006/relationships/hyperlink" Target="https://www.mccormick.northwestern.edu/research-faculty/directory/profiles/lynch-kevin.html" TargetMode="External"/><Relationship Id="rId1177" Type="http://schemas.openxmlformats.org/officeDocument/2006/relationships/hyperlink" Target="https://enme.umd.edu/clark/faculty/522/Peter-W-Chung" TargetMode="External"/><Relationship Id="rId2575" Type="http://schemas.openxmlformats.org/officeDocument/2006/relationships/hyperlink" Target="https://mechanical.mines.edu/project/wheeler-jeffrey/" TargetMode="External"/><Relationship Id="rId2782" Type="http://schemas.openxmlformats.org/officeDocument/2006/relationships/hyperlink" Target="https://engineering.buffalo.edu/mechanical-aerospace/people/faculty/ladder.host.html/content/shared/engineering/mechanical-aerospace/profiles/shin-sangwoo.detail.html" TargetMode="External"/><Relationship Id="rId3419" Type="http://schemas.openxmlformats.org/officeDocument/2006/relationships/hyperlink" Target="https://www.wpi.edu/people/faculty/mmortazavi" TargetMode="External"/><Relationship Id="rId3626" Type="http://schemas.openxmlformats.org/officeDocument/2006/relationships/hyperlink" Target="https://me.utdallas.edu/faculty-staff/mario-rotea/" TargetMode="External"/><Relationship Id="rId3833" Type="http://schemas.openxmlformats.org/officeDocument/2006/relationships/hyperlink" Target="https://www.engr.uky.edu/directory/maginnis-m-abbot" TargetMode="External"/><Relationship Id="rId547" Type="http://schemas.openxmlformats.org/officeDocument/2006/relationships/hyperlink" Target="https://engineering.purdue.edu/ME/People/ptProfile?resource_id=113500" TargetMode="External"/><Relationship Id="rId754" Type="http://schemas.openxmlformats.org/officeDocument/2006/relationships/hyperlink" Target="https://www.me.utexas.edu/people/faculty-directory/alambeigi" TargetMode="External"/><Relationship Id="rId961" Type="http://schemas.openxmlformats.org/officeDocument/2006/relationships/hyperlink" Target="https://me.jhu.edu/faculty/marin-kobilarov/" TargetMode="External"/><Relationship Id="rId1384" Type="http://schemas.openxmlformats.org/officeDocument/2006/relationships/hyperlink" Target="https://me.vt.edu/people/faculty/ferris-john.html" TargetMode="External"/><Relationship Id="rId1591" Type="http://schemas.openxmlformats.org/officeDocument/2006/relationships/hyperlink" Target="https://mae.osu.edu/people/horack.1" TargetMode="External"/><Relationship Id="rId2228" Type="http://schemas.openxmlformats.org/officeDocument/2006/relationships/hyperlink" Target="https://www.me.iastate.edu/faculty/profile/beiwen" TargetMode="External"/><Relationship Id="rId2435" Type="http://schemas.openxmlformats.org/officeDocument/2006/relationships/hyperlink" Target="https://www.egr.msu.edu/people/profile/olsond12" TargetMode="External"/><Relationship Id="rId2642" Type="http://schemas.openxmlformats.org/officeDocument/2006/relationships/hyperlink" Target="https://me.udel.edu/faculty/ajay-prasad/" TargetMode="External"/><Relationship Id="rId3900" Type="http://schemas.openxmlformats.org/officeDocument/2006/relationships/hyperlink" Target="https://mees.charlotte.edu/directory/russell-keanini" TargetMode="External"/><Relationship Id="rId90" Type="http://schemas.openxmlformats.org/officeDocument/2006/relationships/hyperlink" Target="https://meche.mit.edu/people/faculty/wardle@mit.edu" TargetMode="External"/><Relationship Id="rId407" Type="http://schemas.openxmlformats.org/officeDocument/2006/relationships/hyperlink" Target="https://mechse.illinois.edu/people/profile/kmatlack" TargetMode="External"/><Relationship Id="rId614" Type="http://schemas.openxmlformats.org/officeDocument/2006/relationships/hyperlink" Target="https://engineering.purdue.edu/ME/People/ptProfile?resource_id=29361" TargetMode="External"/><Relationship Id="rId821" Type="http://schemas.openxmlformats.org/officeDocument/2006/relationships/hyperlink" Target="https://www.mccormick.northwestern.edu/mechanical/research/areas/micro-nanoengineering.html" TargetMode="External"/><Relationship Id="rId1037" Type="http://schemas.openxmlformats.org/officeDocument/2006/relationships/hyperlink" Target="https://engineering.tamu.edu/mechanical/profiles/moreno-michael.html" TargetMode="External"/><Relationship Id="rId1244" Type="http://schemas.openxmlformats.org/officeDocument/2006/relationships/hyperlink" Target="https://cse.umn.edu/me/sungyon-lee" TargetMode="External"/><Relationship Id="rId1451" Type="http://schemas.openxmlformats.org/officeDocument/2006/relationships/hyperlink" Target="https://jacobsschool.ucsd.edu/faculty/profile?id=291" TargetMode="External"/><Relationship Id="rId2502" Type="http://schemas.openxmlformats.org/officeDocument/2006/relationships/hyperlink" Target="https://www.bu.edu/eng/profile/sheryl-grace-ph-d/" TargetMode="External"/><Relationship Id="rId1104" Type="http://schemas.openxmlformats.org/officeDocument/2006/relationships/hyperlink" Target="https://samueli.ucla.edu/people/jacob-rosen/" TargetMode="External"/><Relationship Id="rId1311" Type="http://schemas.openxmlformats.org/officeDocument/2006/relationships/hyperlink" Target="https://directory.engr.wisc.edu/me/Faculty/Bronkhorst_Curt/" TargetMode="External"/><Relationship Id="rId4467" Type="http://schemas.openxmlformats.org/officeDocument/2006/relationships/hyperlink" Target="https://www.me.msstate.edu/people/faculty/tonya-w-stone/" TargetMode="External"/><Relationship Id="rId4674" Type="http://schemas.openxmlformats.org/officeDocument/2006/relationships/hyperlink" Target="https://www.sdsmt.edu/Directories/Personnel/Knudson,-Ardell/" TargetMode="External"/><Relationship Id="rId4881" Type="http://schemas.openxmlformats.org/officeDocument/2006/relationships/hyperlink" Target="https://www.ncat.edu/employee-bio.php?directoryID=643324693" TargetMode="External"/><Relationship Id="rId5518" Type="http://schemas.openxmlformats.org/officeDocument/2006/relationships/hyperlink" Target="https://www.slu.edu/science-and-engineering/academics/aerospace-and-mechanical-engineering/faculty/lebeau-ray.php" TargetMode="External"/><Relationship Id="rId3069" Type="http://schemas.openxmlformats.org/officeDocument/2006/relationships/hyperlink" Target="https://works.bepress.com/warner-meeks/about/" TargetMode="External"/><Relationship Id="rId3276" Type="http://schemas.openxmlformats.org/officeDocument/2006/relationships/hyperlink" Target="https://engineering.nyu.edu/faculty/george-vradis" TargetMode="External"/><Relationship Id="rId3483" Type="http://schemas.openxmlformats.org/officeDocument/2006/relationships/hyperlink" Target="https://www.iit.edu/directory/people/baisravan-homchaudhuri" TargetMode="External"/><Relationship Id="rId3690" Type="http://schemas.openxmlformats.org/officeDocument/2006/relationships/hyperlink" Target="https://ceat.okstate.edu/mae/faculty-staff/faculty-bios/hadi-noori.html" TargetMode="External"/><Relationship Id="rId4327" Type="http://schemas.openxmlformats.org/officeDocument/2006/relationships/hyperlink" Target="https://directory.statler.wvu.edu/faculty-staff-directory/ever-barbero" TargetMode="External"/><Relationship Id="rId4534" Type="http://schemas.openxmlformats.org/officeDocument/2006/relationships/hyperlink" Target="https://people.miami.edu/profile/0eeb5834b020710324c7d9eeb671f61e" TargetMode="External"/><Relationship Id="rId197" Type="http://schemas.openxmlformats.org/officeDocument/2006/relationships/hyperlink" Target="https://mce.caltech.edu/people/gblanqu" TargetMode="External"/><Relationship Id="rId2085" Type="http://schemas.openxmlformats.org/officeDocument/2006/relationships/hyperlink" Target="https://search.asu.edu/profile/4499340" TargetMode="External"/><Relationship Id="rId2292" Type="http://schemas.openxmlformats.org/officeDocument/2006/relationships/hyperlink" Target="https://www.mae.ncsu.edu/people/btoconno" TargetMode="External"/><Relationship Id="rId3136" Type="http://schemas.openxmlformats.org/officeDocument/2006/relationships/hyperlink" Target="https://mie.uic.edu/profiles/kenneth-brezinsky/" TargetMode="External"/><Relationship Id="rId3343" Type="http://schemas.openxmlformats.org/officeDocument/2006/relationships/hyperlink" Target="https://www.me.uh.edu/faculty/lee-myoungkyu" TargetMode="External"/><Relationship Id="rId4741" Type="http://schemas.openxmlformats.org/officeDocument/2006/relationships/hyperlink" Target="http://me.hawaii.edu/ray/" TargetMode="External"/><Relationship Id="rId264" Type="http://schemas.openxmlformats.org/officeDocument/2006/relationships/hyperlink" Target="https://www.me.gatech.edu/faculty/alexeev" TargetMode="External"/><Relationship Id="rId471" Type="http://schemas.openxmlformats.org/officeDocument/2006/relationships/hyperlink" Target="https://me.engin.umich.edu/people/faculty/krishna-garikipati/" TargetMode="External"/><Relationship Id="rId2152" Type="http://schemas.openxmlformats.org/officeDocument/2006/relationships/hyperlink" Target="https://mae.ucdavis.edu/directory/bahram-ravani" TargetMode="External"/><Relationship Id="rId3550" Type="http://schemas.openxmlformats.org/officeDocument/2006/relationships/hyperlink" Target="https://www.stevens.edu/profile/ffisher" TargetMode="External"/><Relationship Id="rId4601" Type="http://schemas.openxmlformats.org/officeDocument/2006/relationships/hyperlink" Target="https://www.uvm.edu/node/223715" TargetMode="External"/><Relationship Id="rId124" Type="http://schemas.openxmlformats.org/officeDocument/2006/relationships/hyperlink" Target="https://meche.mit.edu/people/staff/rsmccord@mit.edu" TargetMode="External"/><Relationship Id="rId3203" Type="http://schemas.openxmlformats.org/officeDocument/2006/relationships/hyperlink" Target="https://mabe.utk.edu/people/d-caleb-rucker/" TargetMode="External"/><Relationship Id="rId3410" Type="http://schemas.openxmlformats.org/officeDocument/2006/relationships/hyperlink" Target="https://www.wpi.edu/people/faculty/guceri" TargetMode="External"/><Relationship Id="rId331" Type="http://schemas.openxmlformats.org/officeDocument/2006/relationships/hyperlink" Target="https://www.me.gatech.edu/faculty/shi" TargetMode="External"/><Relationship Id="rId2012" Type="http://schemas.openxmlformats.org/officeDocument/2006/relationships/hyperlink" Target="https://ame.nd.edu/faculty/gianluca-blois/" TargetMode="External"/><Relationship Id="rId2969" Type="http://schemas.openxmlformats.org/officeDocument/2006/relationships/hyperlink" Target="http://eng.auburn.edu/directory/kimdon2" TargetMode="External"/><Relationship Id="rId5168" Type="http://schemas.openxmlformats.org/officeDocument/2006/relationships/hyperlink" Target="https://engineering.rowan.edu/faculty_staff/listing/melanie-amadoro.html" TargetMode="External"/><Relationship Id="rId5375" Type="http://schemas.openxmlformats.org/officeDocument/2006/relationships/hyperlink" Target="https://directory.nau.edu/?person=aik42" TargetMode="External"/><Relationship Id="rId1778" Type="http://schemas.openxmlformats.org/officeDocument/2006/relationships/hyperlink" Target="https://mae.ufl.edu/people/faculty/primary/associate-professor/profiles/jonathan-scheffe/" TargetMode="External"/><Relationship Id="rId1985" Type="http://schemas.openxmlformats.org/officeDocument/2006/relationships/hyperlink" Target="https://me.ucsb.edu/people/carlos-g-levi" TargetMode="External"/><Relationship Id="rId2829" Type="http://schemas.openxmlformats.org/officeDocument/2006/relationships/hyperlink" Target="https://me.engr.uconn.edu/blog/faculty/bruno-claudio/" TargetMode="External"/><Relationship Id="rId4184" Type="http://schemas.openxmlformats.org/officeDocument/2006/relationships/hyperlink" Target="http://engineering.uga.edu/people/profile/r.-benjamin-davis-ph.d1" TargetMode="External"/><Relationship Id="rId4391" Type="http://schemas.openxmlformats.org/officeDocument/2006/relationships/hyperlink" Target="https://eng.famu.fsu.edu/me/people/clark" TargetMode="External"/><Relationship Id="rId5028" Type="http://schemas.openxmlformats.org/officeDocument/2006/relationships/hyperlink" Target="https://www.unr.edu/me/people/aditya-nair" TargetMode="External"/><Relationship Id="rId5235" Type="http://schemas.openxmlformats.org/officeDocument/2006/relationships/hyperlink" Target="https://expertise.utep.edu/profiles/rwicker" TargetMode="External"/><Relationship Id="rId5442" Type="http://schemas.openxmlformats.org/officeDocument/2006/relationships/hyperlink" Target="https://wmich.edu/mechanical-aerospace/directory/cho" TargetMode="External"/><Relationship Id="rId1638" Type="http://schemas.openxmlformats.org/officeDocument/2006/relationships/hyperlink" Target="https://profiles.rice.edu/faculty/matthew-brake" TargetMode="External"/><Relationship Id="rId4044" Type="http://schemas.openxmlformats.org/officeDocument/2006/relationships/hyperlink" Target="https://www.clarkson.edu/node/12241" TargetMode="External"/><Relationship Id="rId4251" Type="http://schemas.openxmlformats.org/officeDocument/2006/relationships/hyperlink" Target="https://engineering.missouri.edu/faculty/yue-jin/" TargetMode="External"/><Relationship Id="rId5302" Type="http://schemas.openxmlformats.org/officeDocument/2006/relationships/hyperlink" Target="https://mechanical.engineering.unt.edu/faculty/hassan-qandil" TargetMode="External"/><Relationship Id="rId1845" Type="http://schemas.openxmlformats.org/officeDocument/2006/relationships/hyperlink" Target="https://www.me.washington.edu/people/faculty/steve_brunton" TargetMode="External"/><Relationship Id="rId3060" Type="http://schemas.openxmlformats.org/officeDocument/2006/relationships/hyperlink" Target="https://works.bepress.com/serhat-hosder/about/" TargetMode="External"/><Relationship Id="rId4111" Type="http://schemas.openxmlformats.org/officeDocument/2006/relationships/hyperlink" Target="https://mechanical.sdsu.edu/people/sungbum-kang.aspx" TargetMode="External"/><Relationship Id="rId1705" Type="http://schemas.openxmlformats.org/officeDocument/2006/relationships/hyperlink" Target="https://www.colorado.edu/mechanical/nicole-labbe" TargetMode="External"/><Relationship Id="rId1912" Type="http://schemas.openxmlformats.org/officeDocument/2006/relationships/hyperlink" Target="https://engineering.brown.edu/people/jonghwan-lee" TargetMode="External"/><Relationship Id="rId3877" Type="http://schemas.openxmlformats.org/officeDocument/2006/relationships/hyperlink" Target="https://engineering.unl.edu/mme/faculty/ryan-pedrigi/" TargetMode="External"/><Relationship Id="rId4928" Type="http://schemas.openxmlformats.org/officeDocument/2006/relationships/hyperlink" Target="https://uakron.edu/engineering/me/our-people/profile.dot?u=hoofatt" TargetMode="External"/><Relationship Id="rId5092" Type="http://schemas.openxmlformats.org/officeDocument/2006/relationships/hyperlink" Target="https://mme.fiu.edu/faculty-staff-members/dr-abderrachid-hamrani" TargetMode="External"/><Relationship Id="rId798" Type="http://schemas.openxmlformats.org/officeDocument/2006/relationships/hyperlink" Target="https://www.me.utexas.edu/people/faculty-directory/mitlin" TargetMode="External"/><Relationship Id="rId2479" Type="http://schemas.openxmlformats.org/officeDocument/2006/relationships/hyperlink" Target="https://www.bu.edu/eng/profile/stormy-attaway/" TargetMode="External"/><Relationship Id="rId2686" Type="http://schemas.openxmlformats.org/officeDocument/2006/relationships/hyperlink" Target="https://www.clemson.edu/cecas/departments/me/people/faculty/vahidi.html" TargetMode="External"/><Relationship Id="rId2893" Type="http://schemas.openxmlformats.org/officeDocument/2006/relationships/hyperlink" Target="https://www.engineering.pitt.edu/departments/mems/People/faculty/" TargetMode="External"/><Relationship Id="rId3737" Type="http://schemas.openxmlformats.org/officeDocument/2006/relationships/hyperlink" Target="https://premium.usnews.com/best-graduate-schools/top-engineering-schools/the-university-of-texas-at-arlington-02177" TargetMode="External"/><Relationship Id="rId3944" Type="http://schemas.openxmlformats.org/officeDocument/2006/relationships/hyperlink" Target="http://www.hajim.rochester.edu/me/people/faculty/lerner_amy/index.html" TargetMode="External"/><Relationship Id="rId658" Type="http://schemas.openxmlformats.org/officeDocument/2006/relationships/hyperlink" Target="https://www.engineering.cornell.edu/faculty-directory/richard-herbert-rand" TargetMode="External"/><Relationship Id="rId865" Type="http://schemas.openxmlformats.org/officeDocument/2006/relationships/hyperlink" Target="https://www.mccormick.northwestern.edu/mechanical/research/areas/advanced-manufacturing.html" TargetMode="External"/><Relationship Id="rId1288" Type="http://schemas.openxmlformats.org/officeDocument/2006/relationships/hyperlink" Target="https://directory.seas.upenn.edu/george-j-pappas/" TargetMode="External"/><Relationship Id="rId1495" Type="http://schemas.openxmlformats.org/officeDocument/2006/relationships/hyperlink" Target="https://jacobsschool.ucsd.edu/faculty/profile?id=73" TargetMode="External"/><Relationship Id="rId2339" Type="http://schemas.openxmlformats.org/officeDocument/2006/relationships/hyperlink" Target="https://engineering.virginia.edu/faculty/elizabeth-j-opila" TargetMode="External"/><Relationship Id="rId2546" Type="http://schemas.openxmlformats.org/officeDocument/2006/relationships/hyperlink" Target="https://mechanical.mines.edu/project/gupta-ankit/" TargetMode="External"/><Relationship Id="rId2753" Type="http://schemas.openxmlformats.org/officeDocument/2006/relationships/hyperlink" Target="https://engineering.tufts.edu/me/node/3141" TargetMode="External"/><Relationship Id="rId2960" Type="http://schemas.openxmlformats.org/officeDocument/2006/relationships/hyperlink" Target="http://eng.auburn.edu/directory/lzc0047" TargetMode="External"/><Relationship Id="rId3804" Type="http://schemas.openxmlformats.org/officeDocument/2006/relationships/hyperlink" Target="https://www.uah.edu/eng/departments/mae/faculty-staff/dr-richard-n-tantaris" TargetMode="External"/><Relationship Id="rId518" Type="http://schemas.openxmlformats.org/officeDocument/2006/relationships/hyperlink" Target="https://me.engin.umich.edu/people/faculty/jing-sun/" TargetMode="External"/><Relationship Id="rId725" Type="http://schemas.openxmlformats.org/officeDocument/2006/relationships/hyperlink" Target="https://www.meche.engineering.cmu.edu/directory/bios/halilaj-eni.html" TargetMode="External"/><Relationship Id="rId932" Type="http://schemas.openxmlformats.org/officeDocument/2006/relationships/hyperlink" Target="https://www.mccormick.northwestern.edu/mechanical/research/areas/advanced-manufacturing.html" TargetMode="External"/><Relationship Id="rId1148" Type="http://schemas.openxmlformats.org/officeDocument/2006/relationships/hyperlink" Target="https://www.me.psu.edu/department/directory-detail-g.aspx?q=CDR10" TargetMode="External"/><Relationship Id="rId1355" Type="http://schemas.openxmlformats.org/officeDocument/2006/relationships/hyperlink" Target="https://directory.engr.wisc.edu/me/Faculty/Xiong_Xiaobin/" TargetMode="External"/><Relationship Id="rId1562" Type="http://schemas.openxmlformats.org/officeDocument/2006/relationships/hyperlink" Target="https://mems.duke.edu/faculty/benjamin-wiley" TargetMode="External"/><Relationship Id="rId2406" Type="http://schemas.openxmlformats.org/officeDocument/2006/relationships/hyperlink" Target="https://www.egr.msu.edu/people/profile/anthon92" TargetMode="External"/><Relationship Id="rId2613" Type="http://schemas.openxmlformats.org/officeDocument/2006/relationships/hyperlink" Target="https://mae.rutgers.edu/stephen-d-tse" TargetMode="External"/><Relationship Id="rId1008" Type="http://schemas.openxmlformats.org/officeDocument/2006/relationships/hyperlink" Target="https://engineering.tamu.edu/mechanical/profiles/hasnain-zohaib.html" TargetMode="External"/><Relationship Id="rId1215" Type="http://schemas.openxmlformats.org/officeDocument/2006/relationships/hyperlink" Target="https://enme.umd.edu/clark/faculty/607/Miao-Yu" TargetMode="External"/><Relationship Id="rId1422" Type="http://schemas.openxmlformats.org/officeDocument/2006/relationships/hyperlink" Target="https://me.vt.edu/people/faculty/tian-zhenhua.html" TargetMode="External"/><Relationship Id="rId2820" Type="http://schemas.openxmlformats.org/officeDocument/2006/relationships/hyperlink" Target="https://ame.engineering.arizona.edu/faculty-staff/faculty/jekan-thanga" TargetMode="External"/><Relationship Id="rId4578" Type="http://schemas.openxmlformats.org/officeDocument/2006/relationships/hyperlink" Target="https://www.ou.edu/coe/ame/people/shabgard.html" TargetMode="External"/><Relationship Id="rId61" Type="http://schemas.openxmlformats.org/officeDocument/2006/relationships/hyperlink" Target="https://meche.mit.edu/people/faculty/patera@mit.edu" TargetMode="External"/><Relationship Id="rId3387" Type="http://schemas.openxmlformats.org/officeDocument/2006/relationships/hyperlink" Target="https://mme.wsu.edu/faculty/charles-pezeshki/" TargetMode="External"/><Relationship Id="rId4785" Type="http://schemas.openxmlformats.org/officeDocument/2006/relationships/hyperlink" Target="https://ceps.unh.edu/person/bingxian-mu" TargetMode="External"/><Relationship Id="rId4992" Type="http://schemas.openxmlformats.org/officeDocument/2006/relationships/hyperlink" Target="https://engineering.louisville.edu/faculty/sam-d-park/" TargetMode="External"/><Relationship Id="rId2196" Type="http://schemas.openxmlformats.org/officeDocument/2006/relationships/hyperlink" Target="https://engineering.uci.edu/users/camilo-velez-cuervo" TargetMode="External"/><Relationship Id="rId3594" Type="http://schemas.openxmlformats.org/officeDocument/2006/relationships/hyperlink" Target="https://ecs.syracuse.edu/faculty-staff/mehmet-sarimurat" TargetMode="External"/><Relationship Id="rId4438" Type="http://schemas.openxmlformats.org/officeDocument/2006/relationships/hyperlink" Target="https://www.lsu.edu/eng/mie/people/faculty/pettrey.php" TargetMode="External"/><Relationship Id="rId4645" Type="http://schemas.openxmlformats.org/officeDocument/2006/relationships/hyperlink" Target="https://profiles.howard.edu/naren-vira" TargetMode="External"/><Relationship Id="rId4852" Type="http://schemas.openxmlformats.org/officeDocument/2006/relationships/hyperlink" Target="https://engineering.wayne.edu/profile/aa3513" TargetMode="External"/><Relationship Id="rId168" Type="http://schemas.openxmlformats.org/officeDocument/2006/relationships/hyperlink" Target="https://me.stanford.edu/people/drew-nelson" TargetMode="External"/><Relationship Id="rId3247" Type="http://schemas.openxmlformats.org/officeDocument/2006/relationships/hyperlink" Target="https://www.engr.colostate.edu/me/faculty/dr-christian-m-puttlitz/" TargetMode="External"/><Relationship Id="rId3454" Type="http://schemas.openxmlformats.org/officeDocument/2006/relationships/hyperlink" Target="https://www.me.byu.edu/directory/oliver-johnson" TargetMode="External"/><Relationship Id="rId3661" Type="http://schemas.openxmlformats.org/officeDocument/2006/relationships/hyperlink" Target="https://profiles.ucr.edu/app/home/profile/sundarv" TargetMode="External"/><Relationship Id="rId4505" Type="http://schemas.openxmlformats.org/officeDocument/2006/relationships/hyperlink" Target="https://udayton.edu/engineering/departments/mechanical_and_aerospace/faculty-staff/index.php" TargetMode="External"/><Relationship Id="rId4712" Type="http://schemas.openxmlformats.org/officeDocument/2006/relationships/hyperlink" Target="https://eas.uccs.edu/mae" TargetMode="External"/><Relationship Id="rId375" Type="http://schemas.openxmlformats.org/officeDocument/2006/relationships/hyperlink" Target="https://mechse.illinois.edu/people/profile/danko" TargetMode="External"/><Relationship Id="rId582" Type="http://schemas.openxmlformats.org/officeDocument/2006/relationships/hyperlink" Target="https://engineering.purdue.edu/ME/People/ptProfile?resource_id=11333" TargetMode="External"/><Relationship Id="rId2056" Type="http://schemas.openxmlformats.org/officeDocument/2006/relationships/hyperlink" Target="https://ame.nd.edu/faculty/jing-wang/" TargetMode="External"/><Relationship Id="rId2263" Type="http://schemas.openxmlformats.org/officeDocument/2006/relationships/hyperlink" Target="https://www.mae.ncsu.edu/people/mingtai-chen" TargetMode="External"/><Relationship Id="rId2470" Type="http://schemas.openxmlformats.org/officeDocument/2006/relationships/hyperlink" Target="https://engineering.vanderbilt.edu/bio/greg-walker" TargetMode="External"/><Relationship Id="rId3107" Type="http://schemas.openxmlformats.org/officeDocument/2006/relationships/hyperlink" Target="https://nps.edu/faculty-profiles/-/cv/tasands" TargetMode="External"/><Relationship Id="rId3314" Type="http://schemas.openxmlformats.org/officeDocument/2006/relationships/hyperlink" Target="https://researchdirectory.uc.edu/p/philliaw" TargetMode="External"/><Relationship Id="rId3521" Type="http://schemas.openxmlformats.org/officeDocument/2006/relationships/hyperlink" Target="https://www.mtu.edu/mechanical/people/faculty/masoud/" TargetMode="External"/><Relationship Id="rId235" Type="http://schemas.openxmlformats.org/officeDocument/2006/relationships/hyperlink" Target="https://me.berkeley.edu/people/simo-makiharju/" TargetMode="External"/><Relationship Id="rId442" Type="http://schemas.openxmlformats.org/officeDocument/2006/relationships/hyperlink" Target="https://me.engin.umich.edu/people/faculty/james-ashton-miller/" TargetMode="External"/><Relationship Id="rId1072" Type="http://schemas.openxmlformats.org/officeDocument/2006/relationships/hyperlink" Target="https://engineering.tamu.edu/mechanical/profiles/yu-choongho.html" TargetMode="External"/><Relationship Id="rId2123" Type="http://schemas.openxmlformats.org/officeDocument/2006/relationships/hyperlink" Target="https://isearch.asu.edu/profile/107463" TargetMode="External"/><Relationship Id="rId2330" Type="http://schemas.openxmlformats.org/officeDocument/2006/relationships/hyperlink" Target="https://engineering.virginia.edu/faculty/thomas-r-hartka" TargetMode="External"/><Relationship Id="rId5279" Type="http://schemas.openxmlformats.org/officeDocument/2006/relationships/hyperlink" Target="https://www.unlv.edu/people/douglas-reynolds-phd" TargetMode="External"/><Relationship Id="rId5486" Type="http://schemas.openxmlformats.org/officeDocument/2006/relationships/hyperlink" Target="https://www.oakland.edu/secs/directory/golovashchenko" TargetMode="External"/><Relationship Id="rId302" Type="http://schemas.openxmlformats.org/officeDocument/2006/relationships/hyperlink" Target="https://www.me.gatech.edu/faculty/ku" TargetMode="External"/><Relationship Id="rId4088" Type="http://schemas.openxmlformats.org/officeDocument/2006/relationships/hyperlink" Target="https://www.mne.k-state.edu/about/people/faculty/baboly/" TargetMode="External"/><Relationship Id="rId4295" Type="http://schemas.openxmlformats.org/officeDocument/2006/relationships/hyperlink" Target="https://www1.villanova.edu/university/engineering/academic-programs/departments/mechanical/directory/biodetail.html?mail=qianhong.wu@villanova.edu&amp;xsl=bio_long" TargetMode="External"/><Relationship Id="rId5139" Type="http://schemas.openxmlformats.org/officeDocument/2006/relationships/hyperlink" Target="https://www.marquette.edu/mechanical-engineering/directory/casey-allen.php" TargetMode="External"/><Relationship Id="rId5346" Type="http://schemas.openxmlformats.org/officeDocument/2006/relationships/hyperlink" Target="https://www.fau.edu/engineering/directory/faculty/kang/" TargetMode="External"/><Relationship Id="rId5553" Type="http://schemas.openxmlformats.org/officeDocument/2006/relationships/hyperlink" Target="https://www.udmercy.edu/about/people/university/ces/mechanical/conrad-megan" TargetMode="External"/><Relationship Id="rId1889" Type="http://schemas.openxmlformats.org/officeDocument/2006/relationships/hyperlink" Target="https://engineering.brown.edu/people/janet-blume" TargetMode="External"/><Relationship Id="rId4155" Type="http://schemas.openxmlformats.org/officeDocument/2006/relationships/hyperlink" Target="https://www.depts.ttu.edu/me/faculty/zhongkui_hong/untitled.php" TargetMode="External"/><Relationship Id="rId4362" Type="http://schemas.openxmlformats.org/officeDocument/2006/relationships/hyperlink" Target="https://directory.statler.wvu.edu/faculty-staff-directory/shanshan-hu" TargetMode="External"/><Relationship Id="rId5206" Type="http://schemas.openxmlformats.org/officeDocument/2006/relationships/hyperlink" Target="https://engineering.siu.edu/me/faculty-staff/faculty/mathias.php" TargetMode="External"/><Relationship Id="rId1749" Type="http://schemas.openxmlformats.org/officeDocument/2006/relationships/hyperlink" Target="https://mae.ufl.edu/people/faculty/primary/professor/profiles/warren-dixon/" TargetMode="External"/><Relationship Id="rId1956" Type="http://schemas.openxmlformats.org/officeDocument/2006/relationships/hyperlink" Target="https://faculty.rpi.edu/diana-borca-tasciuc" TargetMode="External"/><Relationship Id="rId3171" Type="http://schemas.openxmlformats.org/officeDocument/2006/relationships/hyperlink" Target="https://mabe.utk.edu/people/subhadeep-chakraborty/" TargetMode="External"/><Relationship Id="rId4015" Type="http://schemas.openxmlformats.org/officeDocument/2006/relationships/hyperlink" Target="https://www.binghamton.edu/mechanical-engineering/people/profile.html?id=miles" TargetMode="External"/><Relationship Id="rId5413" Type="http://schemas.openxmlformats.org/officeDocument/2006/relationships/hyperlink" Target="https://directory.ualr.edu/search?p=2740" TargetMode="External"/><Relationship Id="rId1609" Type="http://schemas.openxmlformats.org/officeDocument/2006/relationships/hyperlink" Target="https://mae.osu.edu/people/seidt.2" TargetMode="External"/><Relationship Id="rId1816" Type="http://schemas.openxmlformats.org/officeDocument/2006/relationships/hyperlink" Target="https://viterbi.usc.edu/directory/faculty/Oberai/Assad" TargetMode="External"/><Relationship Id="rId4222" Type="http://schemas.openxmlformats.org/officeDocument/2006/relationships/hyperlink" Target="http://engineering.uga.edu/people/profile/c.-brock-woodson-ph.d" TargetMode="External"/><Relationship Id="rId3031" Type="http://schemas.openxmlformats.org/officeDocument/2006/relationships/hyperlink" Target="https://engineering.lehigh.edu/meche/faculty/163731" TargetMode="External"/><Relationship Id="rId3988" Type="http://schemas.openxmlformats.org/officeDocument/2006/relationships/hyperlink" Target="https://sc.edu/study/colleges_schools/engineering_and_computing/faculty-staff/mccants_dale.php" TargetMode="External"/><Relationship Id="rId2797" Type="http://schemas.openxmlformats.org/officeDocument/2006/relationships/hyperlink" Target="https://ame.engineering.arizona.edu/faculty-staff/faculty/ara-arabyan" TargetMode="External"/><Relationship Id="rId3848" Type="http://schemas.openxmlformats.org/officeDocument/2006/relationships/hyperlink" Target="https://www.engr.uky.edu/directory/taghaddosi-farzad" TargetMode="External"/><Relationship Id="rId769" Type="http://schemas.openxmlformats.org/officeDocument/2006/relationships/hyperlink" Target="http://www.me.utexas.edu/faculty/faculty-directory/crawford" TargetMode="External"/><Relationship Id="rId976" Type="http://schemas.openxmlformats.org/officeDocument/2006/relationships/hyperlink" Target="https://me.jhu.edu/faculty/louis-whitcomb/" TargetMode="External"/><Relationship Id="rId1399" Type="http://schemas.openxmlformats.org/officeDocument/2006/relationships/hyperlink" Target="https://me.vt.edu/people/faculty/li-ling.html" TargetMode="External"/><Relationship Id="rId2657" Type="http://schemas.openxmlformats.org/officeDocument/2006/relationships/hyperlink" Target="https://www.clemson.edu/cecas/departments/me/people/faculty/bostwick.html" TargetMode="External"/><Relationship Id="rId5063" Type="http://schemas.openxmlformats.org/officeDocument/2006/relationships/hyperlink" Target="http://facultyprofile.csuohio.edu/csufacultyprofile/detail.cfm?FacultyID=y_tao19&amp;_ga=2.95231455.2116857493.1581365441-1611302580.1577985857" TargetMode="External"/><Relationship Id="rId5270" Type="http://schemas.openxmlformats.org/officeDocument/2006/relationships/hyperlink" Target="https://www.unlv.edu/people/nima-ghafoorianfar" TargetMode="External"/><Relationship Id="rId629" Type="http://schemas.openxmlformats.org/officeDocument/2006/relationships/hyperlink" Target="https://engineering.purdue.edu/ME/People/ptProfile?resource_id=11267" TargetMode="External"/><Relationship Id="rId1259" Type="http://schemas.openxmlformats.org/officeDocument/2006/relationships/hyperlink" Target="https://cse.umn.edu/me/zongxuan-sun" TargetMode="External"/><Relationship Id="rId1466" Type="http://schemas.openxmlformats.org/officeDocument/2006/relationships/hyperlink" Target="https://jacobsschool.ucsd.edu/faculty/profile?id=318" TargetMode="External"/><Relationship Id="rId2864" Type="http://schemas.openxmlformats.org/officeDocument/2006/relationships/hyperlink" Target="https://me.engr.uconn.edu/blog/faculty/5559/" TargetMode="External"/><Relationship Id="rId3708" Type="http://schemas.openxmlformats.org/officeDocument/2006/relationships/hyperlink" Target="https://eng.ua.edu/eng-directory/dr-joseph-p-carpenter/" TargetMode="External"/><Relationship Id="rId3915" Type="http://schemas.openxmlformats.org/officeDocument/2006/relationships/hyperlink" Target="https://mees.charlotte.edu/directory/alireza-tabarraei" TargetMode="External"/><Relationship Id="rId5130" Type="http://schemas.openxmlformats.org/officeDocument/2006/relationships/hyperlink" Target="https://coes.latech.edu/facultystaff-directory/single-entry/name/william-long/" TargetMode="External"/><Relationship Id="rId836" Type="http://schemas.openxmlformats.org/officeDocument/2006/relationships/hyperlink" Target="https://www.mccormick.northwestern.edu/research-faculty/directory/profiles/chen-wei.html" TargetMode="External"/><Relationship Id="rId1119" Type="http://schemas.openxmlformats.org/officeDocument/2006/relationships/hyperlink" Target="https://www.me.psu.edu/department/directory-detail-g.aspx?q=FXC4" TargetMode="External"/><Relationship Id="rId1673" Type="http://schemas.openxmlformats.org/officeDocument/2006/relationships/hyperlink" Target="https://www.me.columbia.edu/faculty/sinisa-vukelic" TargetMode="External"/><Relationship Id="rId1880" Type="http://schemas.openxmlformats.org/officeDocument/2006/relationships/hyperlink" Target="https://www.me.washington.edu/facultyfinder/aniruddh-vashisth" TargetMode="External"/><Relationship Id="rId2517" Type="http://schemas.openxmlformats.org/officeDocument/2006/relationships/hyperlink" Target="https://www.bu.edu/eng/profile/sheila-russo-phd/" TargetMode="External"/><Relationship Id="rId2724" Type="http://schemas.openxmlformats.org/officeDocument/2006/relationships/hyperlink" Target="https://drexel.edu/engineering/about/faculty-staff/S/spanier-jonathan/" TargetMode="External"/><Relationship Id="rId2931" Type="http://schemas.openxmlformats.org/officeDocument/2006/relationships/hyperlink" Target="https://www.engineering.pitt.edu/people/faculty/xiayun-zhao/" TargetMode="External"/><Relationship Id="rId903" Type="http://schemas.openxmlformats.org/officeDocument/2006/relationships/hyperlink" Target="https://www.mccormick.northwestern.edu/research-faculty/directory/profiles/murphey-todd.html" TargetMode="External"/><Relationship Id="rId1326" Type="http://schemas.openxmlformats.org/officeDocument/2006/relationships/hyperlink" Target="https://directory.engr.wisc.edu/me/Faculty/Miller_Franklin/" TargetMode="External"/><Relationship Id="rId1533" Type="http://schemas.openxmlformats.org/officeDocument/2006/relationships/hyperlink" Target="https://mems.duke.edu/faculty/kenneth-hall" TargetMode="External"/><Relationship Id="rId1740" Type="http://schemas.openxmlformats.org/officeDocument/2006/relationships/hyperlink" Target="https://mae.ufl.edu/people/faculty/primary/professor/profiles/nagaraj-arakere/" TargetMode="External"/><Relationship Id="rId4689" Type="http://schemas.openxmlformats.org/officeDocument/2006/relationships/hyperlink" Target="https://mechanical-engineering.uark.edu/Directory/index/uid/tjbaile/name/Jason+Bailey/" TargetMode="External"/><Relationship Id="rId4896" Type="http://schemas.openxmlformats.org/officeDocument/2006/relationships/hyperlink" Target="https://www.ncat.edu/employee-bio.php?directoryID=111448731" TargetMode="External"/><Relationship Id="rId32" Type="http://schemas.openxmlformats.org/officeDocument/2006/relationships/hyperlink" Target="https://meche.mit.edu/people/faculty/danfrey@mit.edu" TargetMode="External"/><Relationship Id="rId1600" Type="http://schemas.openxmlformats.org/officeDocument/2006/relationships/hyperlink" Target="https://mae.osu.edu/people/mathison.4" TargetMode="External"/><Relationship Id="rId3498" Type="http://schemas.openxmlformats.org/officeDocument/2006/relationships/hyperlink" Target="https://www.iit.edu/directory/people/heng-wang" TargetMode="External"/><Relationship Id="rId4549" Type="http://schemas.openxmlformats.org/officeDocument/2006/relationships/hyperlink" Target="https://me.unm.edu/about/directory/faculty/svetlana-poroseva.html" TargetMode="External"/><Relationship Id="rId4756" Type="http://schemas.openxmlformats.org/officeDocument/2006/relationships/hyperlink" Target="https://umdearborn.edu/people-um-dearborn/dewey-dohoy-jung" TargetMode="External"/><Relationship Id="rId4963" Type="http://schemas.openxmlformats.org/officeDocument/2006/relationships/hyperlink" Target="https://ritchieschool.du.edu/about/people/ali-azadani" TargetMode="External"/><Relationship Id="rId3358" Type="http://schemas.openxmlformats.org/officeDocument/2006/relationships/hyperlink" Target="https://mme.wsu.edu/mme-personnel-faculty/" TargetMode="External"/><Relationship Id="rId3565" Type="http://schemas.openxmlformats.org/officeDocument/2006/relationships/hyperlink" Target="https://www.stevens.edu/profile/lshnayde" TargetMode="External"/><Relationship Id="rId3772" Type="http://schemas.openxmlformats.org/officeDocument/2006/relationships/hyperlink" Target="https://www.uta.edu/academics/faculty/profile?username=hjmoon" TargetMode="External"/><Relationship Id="rId4409" Type="http://schemas.openxmlformats.org/officeDocument/2006/relationships/hyperlink" Target="https://eng.famu.fsu.edu/me/people/sasidharan-nair" TargetMode="External"/><Relationship Id="rId4616" Type="http://schemas.openxmlformats.org/officeDocument/2006/relationships/hyperlink" Target="https://uwm.edu/engineering/people/renken-kevin/" TargetMode="External"/><Relationship Id="rId4823" Type="http://schemas.openxmlformats.org/officeDocument/2006/relationships/hyperlink" Target="https://klesse.utsa.edu/faculty/profiles/zeng-xiaowei.html" TargetMode="External"/><Relationship Id="rId279" Type="http://schemas.openxmlformats.org/officeDocument/2006/relationships/hyperlink" Target="https://www.me.gatech.edu/faculty/erickson" TargetMode="External"/><Relationship Id="rId486" Type="http://schemas.openxmlformats.org/officeDocument/2006/relationships/hyperlink" Target="https://me.engin.umich.edu/people/faculty/brian-kish/" TargetMode="External"/><Relationship Id="rId693" Type="http://schemas.openxmlformats.org/officeDocument/2006/relationships/hyperlink" Target="https://mae.princeton.edu/people/faculty/cohen" TargetMode="External"/><Relationship Id="rId2167" Type="http://schemas.openxmlformats.org/officeDocument/2006/relationships/hyperlink" Target="https://mae.ucdavis.edu/directory/farzaneh-khorsandi" TargetMode="External"/><Relationship Id="rId2374" Type="http://schemas.openxmlformats.org/officeDocument/2006/relationships/hyperlink" Target="https://engineering.wustl.edu/faculty/Shaun-Sellers.html" TargetMode="External"/><Relationship Id="rId2581" Type="http://schemas.openxmlformats.org/officeDocument/2006/relationships/hyperlink" Target="https://mae.rutgers.edu/fac/" TargetMode="External"/><Relationship Id="rId3218" Type="http://schemas.openxmlformats.org/officeDocument/2006/relationships/hyperlink" Target="https://mabe.utk.edu/people/feng-yuan-zhang/" TargetMode="External"/><Relationship Id="rId3425" Type="http://schemas.openxmlformats.org/officeDocument/2006/relationships/hyperlink" Target="https://www.wpi.edu/people/faculty/shivkuma" TargetMode="External"/><Relationship Id="rId3632" Type="http://schemas.openxmlformats.org/officeDocument/2006/relationships/hyperlink" Target="https://me.utdallas.edu/faculty-staff/thamban/" TargetMode="External"/><Relationship Id="rId139" Type="http://schemas.openxmlformats.org/officeDocument/2006/relationships/hyperlink" Target="https://meche.mit.edu/people/staff/zolot@MIT.EDU" TargetMode="External"/><Relationship Id="rId346" Type="http://schemas.openxmlformats.org/officeDocument/2006/relationships/hyperlink" Target="https://www.me.gatech.edu/faculty/ueda" TargetMode="External"/><Relationship Id="rId553" Type="http://schemas.openxmlformats.org/officeDocument/2006/relationships/hyperlink" Target="https://engineering.purdue.edu/ME/People/ptProfile?resource_id=144060" TargetMode="External"/><Relationship Id="rId760" Type="http://schemas.openxmlformats.org/officeDocument/2006/relationships/hyperlink" Target="https://www.me.utexas.edu/people/faculty-directory/ben-yakar" TargetMode="External"/><Relationship Id="rId1183" Type="http://schemas.openxmlformats.org/officeDocument/2006/relationships/hyperlink" Target="https://enme.umd.edu/clark/faculty/535/James-Duncan" TargetMode="External"/><Relationship Id="rId1390" Type="http://schemas.openxmlformats.org/officeDocument/2006/relationships/hyperlink" Target="https://me.vt.edu/people/faculty/huxtable-scott.html" TargetMode="External"/><Relationship Id="rId2027" Type="http://schemas.openxmlformats.org/officeDocument/2006/relationships/hyperlink" Target="https://ame.nd.edu/faculty/eric-jumper/" TargetMode="External"/><Relationship Id="rId2234" Type="http://schemas.openxmlformats.org/officeDocument/2006/relationships/hyperlink" Target="https://www.me.iastate.edu/faculty/profile/saikatm" TargetMode="External"/><Relationship Id="rId2441" Type="http://schemas.openxmlformats.org/officeDocument/2006/relationships/hyperlink" Target="https://www.egr.msu.edu/people/profile/roccabis" TargetMode="External"/><Relationship Id="rId206" Type="http://schemas.openxmlformats.org/officeDocument/2006/relationships/hyperlink" Target="https://mce.caltech.edu/people/lapusta" TargetMode="External"/><Relationship Id="rId413" Type="http://schemas.openxmlformats.org/officeDocument/2006/relationships/hyperlink" Target="https://mechse.illinois.edu/people/profile/mphilpot" TargetMode="External"/><Relationship Id="rId1043" Type="http://schemas.openxmlformats.org/officeDocument/2006/relationships/hyperlink" Target="https://engineering.tamu.edu/mechanical/profiles/pan-heng.html" TargetMode="External"/><Relationship Id="rId4199" Type="http://schemas.openxmlformats.org/officeDocument/2006/relationships/hyperlink" Target="http://engineering.uga.edu/people/profile/edwin-lim-ph.d" TargetMode="External"/><Relationship Id="rId620" Type="http://schemas.openxmlformats.org/officeDocument/2006/relationships/hyperlink" Target="https://engineering.purdue.edu/ME/People/ptProfile?resource_id=57089" TargetMode="External"/><Relationship Id="rId1250" Type="http://schemas.openxmlformats.org/officeDocument/2006/relationships/hyperlink" Target="https://cse.umn.edu/me/william-northrop" TargetMode="External"/><Relationship Id="rId2301" Type="http://schemas.openxmlformats.org/officeDocument/2006/relationships/hyperlink" Target="https://www.mae.ncsu.edu/people/cmtran" TargetMode="External"/><Relationship Id="rId4059" Type="http://schemas.openxmlformats.org/officeDocument/2006/relationships/hyperlink" Target="https://daytonabeach.erau.edu/college-engineering/mechanical/faculty" TargetMode="External"/><Relationship Id="rId5457" Type="http://schemas.openxmlformats.org/officeDocument/2006/relationships/hyperlink" Target="https://www.lamar.edu/engineering/mechanical/faculty-staff/mansour-karkoub/index.html" TargetMode="External"/><Relationship Id="rId1110" Type="http://schemas.openxmlformats.org/officeDocument/2006/relationships/hyperlink" Target="https://samueli.ucla.edu/people/amiya-chatterjee/" TargetMode="External"/><Relationship Id="rId4266" Type="http://schemas.openxmlformats.org/officeDocument/2006/relationships/hyperlink" Target="https://engineering.missouri.edu/faculty/ming-xin/" TargetMode="External"/><Relationship Id="rId4473" Type="http://schemas.openxmlformats.org/officeDocument/2006/relationships/hyperlink" Target="https://www.smu.edu/Lyle/Departments/ME/People/Faculty/GnadeBruce" TargetMode="External"/><Relationship Id="rId4680" Type="http://schemas.openxmlformats.org/officeDocument/2006/relationships/hyperlink" Target="https://www.sdsmt.edu/Directories/Personnel/Pollachi-Veluswamy,-Navaneethaa-Krishnan/" TargetMode="External"/><Relationship Id="rId5317" Type="http://schemas.openxmlformats.org/officeDocument/2006/relationships/hyperlink" Target="https://engineering-computer-science.wright.edu/mechanical-and-materials-engineering" TargetMode="External"/><Relationship Id="rId5524" Type="http://schemas.openxmlformats.org/officeDocument/2006/relationships/hyperlink" Target="https://www.slu.edu/science-and-engineering/academics/aerospace-and-mechanical-engineering/faculty/ma-jeff.php" TargetMode="External"/><Relationship Id="rId1927" Type="http://schemas.openxmlformats.org/officeDocument/2006/relationships/hyperlink" Target="https://engineering.brown.edu/people/brian-sheldon" TargetMode="External"/><Relationship Id="rId3075" Type="http://schemas.openxmlformats.org/officeDocument/2006/relationships/hyperlink" Target="https://sites.mst.edu/smritinandanpaul/" TargetMode="External"/><Relationship Id="rId3282" Type="http://schemas.openxmlformats.org/officeDocument/2006/relationships/hyperlink" Target="https://engineering.nyu.edu/faculty/ludovic-righetti" TargetMode="External"/><Relationship Id="rId4126" Type="http://schemas.openxmlformats.org/officeDocument/2006/relationships/hyperlink" Target="https://mechanical.sdsu.edu/people/luis-escalona-galvis.aspx" TargetMode="External"/><Relationship Id="rId4333" Type="http://schemas.openxmlformats.org/officeDocument/2006/relationships/hyperlink" Target="https://directory.statler.wvu.edu/faculty-staff-directory/bruce-kang" TargetMode="External"/><Relationship Id="rId4540" Type="http://schemas.openxmlformats.org/officeDocument/2006/relationships/hyperlink" Target="https://me.unm.edu/about/directory/faculty/sakineh-chabi.html" TargetMode="External"/><Relationship Id="rId2091" Type="http://schemas.openxmlformats.org/officeDocument/2006/relationships/hyperlink" Target="https://isearch.asu.edu/profile/22809" TargetMode="External"/><Relationship Id="rId3142" Type="http://schemas.openxmlformats.org/officeDocument/2006/relationships/hyperlink" Target="https://mie.uic.edu/profiles/myunghee-kim-phd/" TargetMode="External"/><Relationship Id="rId4400" Type="http://schemas.openxmlformats.org/officeDocument/2006/relationships/hyperlink" Target="https://eng.famu.fsu.edu/me/people/hubicki" TargetMode="External"/><Relationship Id="rId270" Type="http://schemas.openxmlformats.org/officeDocument/2006/relationships/hyperlink" Target="https://www.me.gatech.edu/faculty/cola" TargetMode="External"/><Relationship Id="rId3002" Type="http://schemas.openxmlformats.org/officeDocument/2006/relationships/hyperlink" Target="https://www.mae.seas.gwu.edu/node/4151" TargetMode="External"/><Relationship Id="rId130" Type="http://schemas.openxmlformats.org/officeDocument/2006/relationships/hyperlink" Target="https://meche.mit.edu/people/staff/haraldqb@MIT.EDU" TargetMode="External"/><Relationship Id="rId3959" Type="http://schemas.openxmlformats.org/officeDocument/2006/relationships/hyperlink" Target="https://sc.edu/study/colleges_schools/engineering_and_computing/faculty-staff/ahmed_alshareef.php" TargetMode="External"/><Relationship Id="rId5174" Type="http://schemas.openxmlformats.org/officeDocument/2006/relationships/hyperlink" Target="https://engineering.rowan.edu/faculty_staff/listing/sohaib-obeid.html" TargetMode="External"/><Relationship Id="rId5381" Type="http://schemas.openxmlformats.org/officeDocument/2006/relationships/hyperlink" Target="https://nau.edu/mechanical-engineering/jennifer-wade/" TargetMode="External"/><Relationship Id="rId2768" Type="http://schemas.openxmlformats.org/officeDocument/2006/relationships/hyperlink" Target="https://engineering.buffalo.edu/mechanical-aerospace/people/faculty/ladder.host.html/content/shared/engineering/mechanical-aerospace/profiles/karami-m-amin.detail.html" TargetMode="External"/><Relationship Id="rId2975" Type="http://schemas.openxmlformats.org/officeDocument/2006/relationships/hyperlink" Target="http://eng.auburn.edu/directory/roberj4" TargetMode="External"/><Relationship Id="rId3819" Type="http://schemas.openxmlformats.org/officeDocument/2006/relationships/hyperlink" Target="https://www.engr.uky.edu/directory/goble-christine" TargetMode="External"/><Relationship Id="rId5034" Type="http://schemas.openxmlformats.org/officeDocument/2006/relationships/hyperlink" Target="https://www.unr.edu/me/people/eric-wang" TargetMode="External"/><Relationship Id="rId947" Type="http://schemas.openxmlformats.org/officeDocument/2006/relationships/hyperlink" Target="https://www.mccormick.northwestern.edu/research-faculty/directory/affiliated/marchuk-nicholas.html" TargetMode="External"/><Relationship Id="rId1577" Type="http://schemas.openxmlformats.org/officeDocument/2006/relationships/hyperlink" Target="https://mae.osu.edu/people/cho.867" TargetMode="External"/><Relationship Id="rId1784" Type="http://schemas.openxmlformats.org/officeDocument/2006/relationships/hyperlink" Target="https://mae.ufl.edu/people/faculty/primary/assistant-professor/profiles/amor-menezes/" TargetMode="External"/><Relationship Id="rId1991" Type="http://schemas.openxmlformats.org/officeDocument/2006/relationships/hyperlink" Target="https://me.ucsb.edu/people/carl-meinhart" TargetMode="External"/><Relationship Id="rId2628" Type="http://schemas.openxmlformats.org/officeDocument/2006/relationships/hyperlink" Target="https://me.udel.edu/faculty/alexander-de-rosa/" TargetMode="External"/><Relationship Id="rId2835" Type="http://schemas.openxmlformats.org/officeDocument/2006/relationships/hyperlink" Target="https://me.engr.uconn.edu/blog/faculty/cooper-ryan/" TargetMode="External"/><Relationship Id="rId4190" Type="http://schemas.openxmlformats.org/officeDocument/2006/relationships/hyperlink" Target="http://engineering.uga.edu/people/profile/david-gattie-ph.d" TargetMode="External"/><Relationship Id="rId5241" Type="http://schemas.openxmlformats.org/officeDocument/2006/relationships/hyperlink" Target="https://www.uidaho.edu/engr/our-people/john-crepeau" TargetMode="External"/><Relationship Id="rId76" Type="http://schemas.openxmlformats.org/officeDocument/2006/relationships/hyperlink" Target="https://meche.mit.edu/people/faculty/ptso@mit.edu" TargetMode="External"/><Relationship Id="rId807" Type="http://schemas.openxmlformats.org/officeDocument/2006/relationships/hyperlink" Target="https://www.me.utexas.edu/people/faculty-directory/siegel" TargetMode="External"/><Relationship Id="rId1437" Type="http://schemas.openxmlformats.org/officeDocument/2006/relationships/hyperlink" Target="https://seas.harvard.edu/person/david-clarke" TargetMode="External"/><Relationship Id="rId1644" Type="http://schemas.openxmlformats.org/officeDocument/2006/relationships/hyperlink" Target="https://profiles.rice.edu/faculty/peter-b-lillehoj" TargetMode="External"/><Relationship Id="rId1851" Type="http://schemas.openxmlformats.org/officeDocument/2006/relationships/hyperlink" Target="https://www.me.washington.edu/facultyfinder/michelle-dibenedetto" TargetMode="External"/><Relationship Id="rId2902" Type="http://schemas.openxmlformats.org/officeDocument/2006/relationships/hyperlink" Target="https://www.engineering.pitt.edu/people/faculty/william-buddy-clark/" TargetMode="External"/><Relationship Id="rId4050" Type="http://schemas.openxmlformats.org/officeDocument/2006/relationships/hyperlink" Target="https://www.clarkson.edu/node/5606" TargetMode="External"/><Relationship Id="rId5101" Type="http://schemas.openxmlformats.org/officeDocument/2006/relationships/hyperlink" Target="https://mme.fiu.edu/faculty-staff-members/dr-kevin-boutsen" TargetMode="External"/><Relationship Id="rId1504" Type="http://schemas.openxmlformats.org/officeDocument/2006/relationships/hyperlink" Target="https://jacobsschool.ucsd.edu/faculty/profile?id=380" TargetMode="External"/><Relationship Id="rId1711" Type="http://schemas.openxmlformats.org/officeDocument/2006/relationships/hyperlink" Target="https://www.colorado.edu/mechanical/hope-michelsen" TargetMode="External"/><Relationship Id="rId4867" Type="http://schemas.openxmlformats.org/officeDocument/2006/relationships/hyperlink" Target="https://www.fit.edu/faculty-profiles/m/mingareev-ilya/" TargetMode="External"/><Relationship Id="rId3469" Type="http://schemas.openxmlformats.org/officeDocument/2006/relationships/hyperlink" Target="https://premium.usnews.com/best-graduate-schools/top-engineering-schools/illinois-institute-of-technology-02053" TargetMode="External"/><Relationship Id="rId3676" Type="http://schemas.openxmlformats.org/officeDocument/2006/relationships/hyperlink" Target="https://ceat.okstate.edu/mae/faculty-staff/faculty-bios/nicoletta-fala.html" TargetMode="External"/><Relationship Id="rId597" Type="http://schemas.openxmlformats.org/officeDocument/2006/relationships/hyperlink" Target="https://engineering.purdue.edu/ME/People/ptProfile?resource_id=29296" TargetMode="External"/><Relationship Id="rId2278" Type="http://schemas.openxmlformats.org/officeDocument/2006/relationships/hyperlink" Target="https://www.mae.ncsu.edu/people/hshuang" TargetMode="External"/><Relationship Id="rId2485" Type="http://schemas.openxmlformats.org/officeDocument/2006/relationships/hyperlink" Target="https://www.bu.edu/eng/profile/calin-belta-ph-d-me-se/" TargetMode="External"/><Relationship Id="rId3329" Type="http://schemas.openxmlformats.org/officeDocument/2006/relationships/hyperlink" Target="https://www.me.uh.edu/faculty/baxevanis" TargetMode="External"/><Relationship Id="rId3883" Type="http://schemas.openxmlformats.org/officeDocument/2006/relationships/hyperlink" Target="https://engineering.unl.edu/mme/li-tan/" TargetMode="External"/><Relationship Id="rId4727" Type="http://schemas.openxmlformats.org/officeDocument/2006/relationships/hyperlink" Target="https://eas.uccs.edu/mae/faculty/dr-christopher-foley" TargetMode="External"/><Relationship Id="rId4934" Type="http://schemas.openxmlformats.org/officeDocument/2006/relationships/hyperlink" Target="https://uakron.edu/engineering/me/our-people/profile.dot?u=nourhani" TargetMode="External"/><Relationship Id="rId457" Type="http://schemas.openxmlformats.org/officeDocument/2006/relationships/hyperlink" Target="https://me.engin.umich.edu/people/faculty/shanna-daly/" TargetMode="External"/><Relationship Id="rId1087" Type="http://schemas.openxmlformats.org/officeDocument/2006/relationships/hyperlink" Target="https://samueli.ucla.edu/people/vijay-gupta/" TargetMode="External"/><Relationship Id="rId1294" Type="http://schemas.openxmlformats.org/officeDocument/2006/relationships/hyperlink" Target="https://directory.seas.upenn.edu/jordan-r-raney/" TargetMode="External"/><Relationship Id="rId2138" Type="http://schemas.openxmlformats.org/officeDocument/2006/relationships/hyperlink" Target="https://mae.ucdavis.edu/directory/mohamed-hafez" TargetMode="External"/><Relationship Id="rId2692" Type="http://schemas.openxmlformats.org/officeDocument/2006/relationships/hyperlink" Target="https://www.clemson.edu/cecas/departments/me/people/faculty/wilson.html" TargetMode="External"/><Relationship Id="rId3536" Type="http://schemas.openxmlformats.org/officeDocument/2006/relationships/hyperlink" Target="https://www.mtu.edu/mechanical/people/faculty/van-susante/" TargetMode="External"/><Relationship Id="rId3743" Type="http://schemas.openxmlformats.org/officeDocument/2006/relationships/hyperlink" Target="https://www.uta.edu/academics/faculty/profile?username=armanios" TargetMode="External"/><Relationship Id="rId3950" Type="http://schemas.openxmlformats.org/officeDocument/2006/relationships/hyperlink" Target="http://www.hajim.rochester.edu/me/people/faculty/polsin_danae/index.html" TargetMode="External"/><Relationship Id="rId664" Type="http://schemas.openxmlformats.org/officeDocument/2006/relationships/hyperlink" Target="https://www.engineering.cornell.edu/faculty-directory/elizabeth-m-fisher" TargetMode="External"/><Relationship Id="rId871" Type="http://schemas.openxmlformats.org/officeDocument/2006/relationships/hyperlink" Target="https://www.mccormick.northwestern.edu/mechanical/research/areas/computational-engineering.html" TargetMode="External"/><Relationship Id="rId2345" Type="http://schemas.openxmlformats.org/officeDocument/2006/relationships/hyperlink" Target="https://engineering.virginia.edu/faculty/robert-s-salzar" TargetMode="External"/><Relationship Id="rId2552" Type="http://schemas.openxmlformats.org/officeDocument/2006/relationships/hyperlink" Target="https://mechanical.mines.edu/project/karaivanov-ventzi/" TargetMode="External"/><Relationship Id="rId3603" Type="http://schemas.openxmlformats.org/officeDocument/2006/relationships/hyperlink" Target="https://me.utdallas.edu/faculty/" TargetMode="External"/><Relationship Id="rId3810" Type="http://schemas.openxmlformats.org/officeDocument/2006/relationships/hyperlink" Target="https://www.engr.uky.edu/directory/andrews-rodney" TargetMode="External"/><Relationship Id="rId317" Type="http://schemas.openxmlformats.org/officeDocument/2006/relationships/hyperlink" Target="https://www.me.gatech.edu/faculty/melkote" TargetMode="External"/><Relationship Id="rId524" Type="http://schemas.openxmlformats.org/officeDocument/2006/relationships/hyperlink" Target="https://me.engin.umich.edu/people/faculty/serife-tol/" TargetMode="External"/><Relationship Id="rId731" Type="http://schemas.openxmlformats.org/officeDocument/2006/relationships/hyperlink" Target="https://www.meche.engineering.cmu.edu/directory/bios/leduc-philip.html" TargetMode="External"/><Relationship Id="rId1154" Type="http://schemas.openxmlformats.org/officeDocument/2006/relationships/hyperlink" Target="https://www.me.psu.edu/department/directory-detail-g.aspx?q=TWS8" TargetMode="External"/><Relationship Id="rId1361" Type="http://schemas.openxmlformats.org/officeDocument/2006/relationships/hyperlink" Target="https://directory.engr.wisc.edu/services/Faculty/Rodgers_Lennon/" TargetMode="External"/><Relationship Id="rId2205" Type="http://schemas.openxmlformats.org/officeDocument/2006/relationships/hyperlink" Target="https://www.me.iastate.edu/faculty/profile/abhaybr" TargetMode="External"/><Relationship Id="rId2412" Type="http://schemas.openxmlformats.org/officeDocument/2006/relationships/hyperlink" Target="https://engineering.msu.edu/faculty/Gary-Cloud" TargetMode="External"/><Relationship Id="rId1014" Type="http://schemas.openxmlformats.org/officeDocument/2006/relationships/hyperlink" Target="https://engineering.tamu.edu/mechanical/profiles/jacobs-tim.html" TargetMode="External"/><Relationship Id="rId1221" Type="http://schemas.openxmlformats.org/officeDocument/2006/relationships/hyperlink" Target="https://enme.umd.edu/clark/faculty/1189/Robert-Sanders" TargetMode="External"/><Relationship Id="rId4377" Type="http://schemas.openxmlformats.org/officeDocument/2006/relationships/hyperlink" Target="https://www.ecs.baylor.edu/person/dr-byron-newberry" TargetMode="External"/><Relationship Id="rId4584" Type="http://schemas.openxmlformats.org/officeDocument/2006/relationships/hyperlink" Target="https://www.ou.edu/coe/ame/people/xu.html" TargetMode="External"/><Relationship Id="rId4791" Type="http://schemas.openxmlformats.org/officeDocument/2006/relationships/hyperlink" Target="https://www.usf.edu/engineering/me/" TargetMode="External"/><Relationship Id="rId5428" Type="http://schemas.openxmlformats.org/officeDocument/2006/relationships/hyperlink" Target="https://engineering.utulsa.edu/mechanical-engineering/faculty/profile/michael-keller" TargetMode="External"/><Relationship Id="rId3186" Type="http://schemas.openxmlformats.org/officeDocument/2006/relationships/hyperlink" Target="https://mabe.utk.edu/people/bradley-jared/" TargetMode="External"/><Relationship Id="rId3393" Type="http://schemas.openxmlformats.org/officeDocument/2006/relationships/hyperlink" Target="https://mme.wsu.edu/faculty/derek-strong/" TargetMode="External"/><Relationship Id="rId4237" Type="http://schemas.openxmlformats.org/officeDocument/2006/relationships/hyperlink" Target="https://me.ku.edu/people/paulette-spencer" TargetMode="External"/><Relationship Id="rId4444" Type="http://schemas.openxmlformats.org/officeDocument/2006/relationships/hyperlink" Target="https://www.lsu.edu/eng/mie/people/faculty/wangying.php" TargetMode="External"/><Relationship Id="rId4651" Type="http://schemas.openxmlformats.org/officeDocument/2006/relationships/hyperlink" Target="https://mae.nmsu.edu/faculty/dr-vimal-chaitanya.html" TargetMode="External"/><Relationship Id="rId3046" Type="http://schemas.openxmlformats.org/officeDocument/2006/relationships/hyperlink" Target="https://engineering.lehigh.edu/meche/faculty/948" TargetMode="External"/><Relationship Id="rId3253" Type="http://schemas.openxmlformats.org/officeDocument/2006/relationships/hyperlink" Target="https://www.engr.colostate.edu/me/faculty/dr-wade-o-troxell/" TargetMode="External"/><Relationship Id="rId3460" Type="http://schemas.openxmlformats.org/officeDocument/2006/relationships/hyperlink" Target="https://www.me.byu.edu/directory/daniel-maynes" TargetMode="External"/><Relationship Id="rId4304" Type="http://schemas.openxmlformats.org/officeDocument/2006/relationships/hyperlink" Target="http://egr.vcu.edu/directory/shawn.chen/" TargetMode="External"/><Relationship Id="rId174" Type="http://schemas.openxmlformats.org/officeDocument/2006/relationships/hyperlink" Target="https://me.stanford.edu/people/sindy-tang" TargetMode="External"/><Relationship Id="rId381" Type="http://schemas.openxmlformats.org/officeDocument/2006/relationships/hyperlink" Target="https://mechse.illinois.edu/people/profile/jiefeng" TargetMode="External"/><Relationship Id="rId2062" Type="http://schemas.openxmlformats.org/officeDocument/2006/relationships/hyperlink" Target="https://seas.yale.edu/faculty-research/faculty-directory/ian-abraham" TargetMode="External"/><Relationship Id="rId3113" Type="http://schemas.openxmlformats.org/officeDocument/2006/relationships/hyperlink" Target="https://me.stonybrook.edu/commcms/me-eng/people/faculty/Chakraborty_Nilanjan.php" TargetMode="External"/><Relationship Id="rId4511" Type="http://schemas.openxmlformats.org/officeDocument/2006/relationships/hyperlink" Target="https://udayton.edu/directory/engineering/mechanical_and_aerospace/kinney_allison.php" TargetMode="External"/><Relationship Id="rId241" Type="http://schemas.openxmlformats.org/officeDocument/2006/relationships/hyperlink" Target="https://me.berkeley.edu/people/grace-d-oconnell/" TargetMode="External"/><Relationship Id="rId3320" Type="http://schemas.openxmlformats.org/officeDocument/2006/relationships/hyperlink" Target="https://researchdirectory.uc.edu/p/tabieia" TargetMode="External"/><Relationship Id="rId5078" Type="http://schemas.openxmlformats.org/officeDocument/2006/relationships/hyperlink" Target="https://mme.fiu.edu/faculty-staff-members/jiuhua-chen" TargetMode="External"/><Relationship Id="rId2879" Type="http://schemas.openxmlformats.org/officeDocument/2006/relationships/hyperlink" Target="https://engineering.uiowa.edu/people/corey-markfort" TargetMode="External"/><Relationship Id="rId5285" Type="http://schemas.openxmlformats.org/officeDocument/2006/relationships/hyperlink" Target="https://mechanical.engineering.unt.edu/faculty/al-attah" TargetMode="External"/><Relationship Id="rId5492" Type="http://schemas.openxmlformats.org/officeDocument/2006/relationships/hyperlink" Target="http://www.secs.oakland.edu/~ryanmonroe/" TargetMode="External"/><Relationship Id="rId101" Type="http://schemas.openxmlformats.org/officeDocument/2006/relationships/hyperlink" Target="https://meche.mit.edu/people/faculty/GRIFF@MIT.EDU" TargetMode="External"/><Relationship Id="rId1688" Type="http://schemas.openxmlformats.org/officeDocument/2006/relationships/hyperlink" Target="https://www.colorado.edu/mechanical/francisco-castro" TargetMode="External"/><Relationship Id="rId1895" Type="http://schemas.openxmlformats.org/officeDocument/2006/relationships/hyperlink" Target="https://engineering.brown.edu/people/kareen-coulombe" TargetMode="External"/><Relationship Id="rId2739" Type="http://schemas.openxmlformats.org/officeDocument/2006/relationships/hyperlink" Target="https://engineering.tufts.edu/me/node/3001" TargetMode="External"/><Relationship Id="rId2946" Type="http://schemas.openxmlformats.org/officeDocument/2006/relationships/hyperlink" Target="https://www.engineering.pitt.edu/people/faculty/jonathan-vande-geest/" TargetMode="External"/><Relationship Id="rId4094" Type="http://schemas.openxmlformats.org/officeDocument/2006/relationships/hyperlink" Target="https://www.mne.k-state.edu/about/people/faculty/pal/" TargetMode="External"/><Relationship Id="rId5145" Type="http://schemas.openxmlformats.org/officeDocument/2006/relationships/hyperlink" Target="https://www.marquette.edu/mechanical-engineering/directory/kyuil-kim.php" TargetMode="External"/><Relationship Id="rId5352" Type="http://schemas.openxmlformats.org/officeDocument/2006/relationships/hyperlink" Target="https://www.fau.edu/engineering/directory/faculty/nayak/" TargetMode="External"/><Relationship Id="rId918" Type="http://schemas.openxmlformats.org/officeDocument/2006/relationships/hyperlink" Target="https://www.mccormick.northwestern.edu/research-faculty/directory/profiles/peshkin-michael.html" TargetMode="External"/><Relationship Id="rId1548" Type="http://schemas.openxmlformats.org/officeDocument/2006/relationships/hyperlink" Target="https://mems.duke.edu/faculty/cameron-bass" TargetMode="External"/><Relationship Id="rId1755" Type="http://schemas.openxmlformats.org/officeDocument/2006/relationships/hyperlink" Target="https://mae.ufl.edu/people/faculty/primary/professor/profiles/renwei-mei/" TargetMode="External"/><Relationship Id="rId4161" Type="http://schemas.openxmlformats.org/officeDocument/2006/relationships/hyperlink" Target="https://www.depts.ttu.edu/me/faculty/victor_maldonado/index.php" TargetMode="External"/><Relationship Id="rId5005" Type="http://schemas.openxmlformats.org/officeDocument/2006/relationships/hyperlink" Target="https://umaine.edu/mecheng/jin/" TargetMode="External"/><Relationship Id="rId5212" Type="http://schemas.openxmlformats.org/officeDocument/2006/relationships/hyperlink" Target="https://www.utep.edu/engineering/mechanical/index.html" TargetMode="External"/><Relationship Id="rId1408" Type="http://schemas.openxmlformats.org/officeDocument/2006/relationships/hyperlink" Target="https://me.vt.edu/people/faculty/ng-wing.html" TargetMode="External"/><Relationship Id="rId1962" Type="http://schemas.openxmlformats.org/officeDocument/2006/relationships/hyperlink" Target="https://faculty.rpi.edu/kristen-mills" TargetMode="External"/><Relationship Id="rId2806" Type="http://schemas.openxmlformats.org/officeDocument/2006/relationships/hyperlink" Target="https://ame.engineering.arizona.edu/faculty-staff/faculty/david-w-hahn" TargetMode="External"/><Relationship Id="rId4021" Type="http://schemas.openxmlformats.org/officeDocument/2006/relationships/hyperlink" Target="https://www.binghamton.edu/mechanical-engineering/people/profile.html?id=cselleck" TargetMode="External"/><Relationship Id="rId47" Type="http://schemas.openxmlformats.org/officeDocument/2006/relationships/hyperlink" Target="https://meche.mit.edu/people/faculty/rdkamm@mit.edu" TargetMode="External"/><Relationship Id="rId1615" Type="http://schemas.openxmlformats.org/officeDocument/2006/relationships/hyperlink" Target="https://mae.osu.edu/people/song.1069" TargetMode="External"/><Relationship Id="rId1822" Type="http://schemas.openxmlformats.org/officeDocument/2006/relationships/hyperlink" Target="https://viterbi.usc.edu/directory/faculty/Sadhal/Satwindar" TargetMode="External"/><Relationship Id="rId4978" Type="http://schemas.openxmlformats.org/officeDocument/2006/relationships/hyperlink" Target="https://engineering.louisville.edu/faculty/sundar-v-atre/" TargetMode="External"/><Relationship Id="rId3787" Type="http://schemas.openxmlformats.org/officeDocument/2006/relationships/hyperlink" Target="https://www.uah.edu/eng/departments/mae/faculty-staff" TargetMode="External"/><Relationship Id="rId3994" Type="http://schemas.openxmlformats.org/officeDocument/2006/relationships/hyperlink" Target="https://sc.edu/study/colleges_schools/engineering_and_computing/faculty-staff/andrewsabalowsky.php" TargetMode="External"/><Relationship Id="rId4838" Type="http://schemas.openxmlformats.org/officeDocument/2006/relationships/hyperlink" Target="https://engineering.usu.edu/mae/people/faculty/wang-haoran.php" TargetMode="External"/><Relationship Id="rId2389" Type="http://schemas.openxmlformats.org/officeDocument/2006/relationships/hyperlink" Target="https://engineering.case.edu/about/school-directory/steve-hostler" TargetMode="External"/><Relationship Id="rId2596" Type="http://schemas.openxmlformats.org/officeDocument/2006/relationships/hyperlink" Target="https://mae.rutgers.edu/yuebin-guo" TargetMode="External"/><Relationship Id="rId3647" Type="http://schemas.openxmlformats.org/officeDocument/2006/relationships/hyperlink" Target="https://profiles.ucr.edu/app/home/profile/christol" TargetMode="External"/><Relationship Id="rId3854" Type="http://schemas.openxmlformats.org/officeDocument/2006/relationships/hyperlink" Target="https://engineering.unl.edu/mme/jeffrey-shield/" TargetMode="External"/><Relationship Id="rId4905" Type="http://schemas.openxmlformats.org/officeDocument/2006/relationships/hyperlink" Target="https://www.odu.edu/directory/dipankar-ghosh" TargetMode="External"/><Relationship Id="rId568" Type="http://schemas.openxmlformats.org/officeDocument/2006/relationships/hyperlink" Target="https://engineering.purdue.edu/ME/People/ptProfile?resource_id=157698" TargetMode="External"/><Relationship Id="rId775" Type="http://schemas.openxmlformats.org/officeDocument/2006/relationships/hyperlink" Target="https://www.me.utexas.edu/people/faculty-directory/fahrenthold" TargetMode="External"/><Relationship Id="rId982" Type="http://schemas.openxmlformats.org/officeDocument/2006/relationships/hyperlink" Target="https://engineering.tamu.edu/mechanical/profiles/amiri-ahmad.html" TargetMode="External"/><Relationship Id="rId1198" Type="http://schemas.openxmlformats.org/officeDocument/2006/relationships/hyperlink" Target="https://enme.umd.edu/clark/faculty/1772/Jay-Lee" TargetMode="External"/><Relationship Id="rId2249" Type="http://schemas.openxmlformats.org/officeDocument/2006/relationships/hyperlink" Target="https://www.me.iastate.edu/faculty/profile/tsippel" TargetMode="External"/><Relationship Id="rId2456" Type="http://schemas.openxmlformats.org/officeDocument/2006/relationships/hyperlink" Target="https://engineering.vanderbilt.edu/bio/eric-barth" TargetMode="External"/><Relationship Id="rId2663" Type="http://schemas.openxmlformats.org/officeDocument/2006/relationships/hyperlink" Target="https://www.clemson.edu/cecas/departments/me/people/faculty/kelkar.html" TargetMode="External"/><Relationship Id="rId2870" Type="http://schemas.openxmlformats.org/officeDocument/2006/relationships/hyperlink" Target="https://engineering.uiowa.edu/people/venanzio-cichella" TargetMode="External"/><Relationship Id="rId3507" Type="http://schemas.openxmlformats.org/officeDocument/2006/relationships/hyperlink" Target="https://www.mtu.edu/mechanical/people/faculty/chen/" TargetMode="External"/><Relationship Id="rId3714" Type="http://schemas.openxmlformats.org/officeDocument/2006/relationships/hyperlink" Target="https://eng.ua.edu/eng-directory/dr-bhupendra-khandelwal/" TargetMode="External"/><Relationship Id="rId3921" Type="http://schemas.openxmlformats.org/officeDocument/2006/relationships/hyperlink" Target="https://mees.charlotte.edu/directory/hong-yang" TargetMode="External"/><Relationship Id="rId428" Type="http://schemas.openxmlformats.org/officeDocument/2006/relationships/hyperlink" Target="https://mechse.illinois.edu/people/profile/ctucker" TargetMode="External"/><Relationship Id="rId635" Type="http://schemas.openxmlformats.org/officeDocument/2006/relationships/hyperlink" Target="https://engineering.purdue.edu/ME/People/ptProfile?resource_id=46202" TargetMode="External"/><Relationship Id="rId842" Type="http://schemas.openxmlformats.org/officeDocument/2006/relationships/hyperlink" Target="https://www.mccormick.northwestern.edu/research-faculty/directory/profiles/colgate-edward.html" TargetMode="External"/><Relationship Id="rId1058" Type="http://schemas.openxmlformats.org/officeDocument/2006/relationships/hyperlink" Target="https://engineering.tamu.edu/mechanical/profiles/staack-david.html" TargetMode="External"/><Relationship Id="rId1265" Type="http://schemas.openxmlformats.org/officeDocument/2006/relationships/hyperlink" Target="https://cse.umn.edu/me/suo-yang" TargetMode="External"/><Relationship Id="rId1472" Type="http://schemas.openxmlformats.org/officeDocument/2006/relationships/hyperlink" Target="https://jacobsschool.ucsd.edu/faculty/profile?id=347" TargetMode="External"/><Relationship Id="rId2109" Type="http://schemas.openxmlformats.org/officeDocument/2006/relationships/hyperlink" Target="https://isearch.asu.edu/profile/3313988" TargetMode="External"/><Relationship Id="rId2316" Type="http://schemas.openxmlformats.org/officeDocument/2006/relationships/hyperlink" Target="https://engineering.virginia.edu/faculty/prasanna-balachandran" TargetMode="External"/><Relationship Id="rId2523" Type="http://schemas.openxmlformats.org/officeDocument/2006/relationships/hyperlink" Target="https://www.bu.edu/eng/profile/hua-wang/" TargetMode="External"/><Relationship Id="rId2730" Type="http://schemas.openxmlformats.org/officeDocument/2006/relationships/hyperlink" Target="https://drexel.edu/engineering/about/faculty-staff/Z/zhou-jack/" TargetMode="External"/><Relationship Id="rId702" Type="http://schemas.openxmlformats.org/officeDocument/2006/relationships/hyperlink" Target="https://mae.princeton.edu/people/faculty/kosmrlj" TargetMode="External"/><Relationship Id="rId1125" Type="http://schemas.openxmlformats.org/officeDocument/2006/relationships/hyperlink" Target="https://www.me.psu.edu/department/directory-detail-g.aspx?q=kzf5356" TargetMode="External"/><Relationship Id="rId1332" Type="http://schemas.openxmlformats.org/officeDocument/2006/relationships/hyperlink" Target="https://directory.engr.wisc.edu/me/Faculty/Pan_Wenxiao/" TargetMode="External"/><Relationship Id="rId4488" Type="http://schemas.openxmlformats.org/officeDocument/2006/relationships/hyperlink" Target="https://me.ucmerced.edu/content/yangquan-chen" TargetMode="External"/><Relationship Id="rId4695" Type="http://schemas.openxmlformats.org/officeDocument/2006/relationships/hyperlink" Target="https://mechanical-engineering.uark.edu/Directory/index/uid/dhuitin/name/David+Huitink/" TargetMode="External"/><Relationship Id="rId5539" Type="http://schemas.openxmlformats.org/officeDocument/2006/relationships/hyperlink" Target="https://und.edu/directory/andrew.dahlen.1" TargetMode="External"/><Relationship Id="rId3297" Type="http://schemas.openxmlformats.org/officeDocument/2006/relationships/hyperlink" Target="https://researchdirectory.uc.edu/p/sunyg" TargetMode="External"/><Relationship Id="rId4348" Type="http://schemas.openxmlformats.org/officeDocument/2006/relationships/hyperlink" Target="https://directory.statler.wvu.edu/faculty-staff-directory/konstantinos-sierros" TargetMode="External"/><Relationship Id="rId3157" Type="http://schemas.openxmlformats.org/officeDocument/2006/relationships/hyperlink" Target="https://mie.uic.edu/profiles/alexander-l-yarin/" TargetMode="External"/><Relationship Id="rId4555" Type="http://schemas.openxmlformats.org/officeDocument/2006/relationships/hyperlink" Target="https://premium.usnews.com/best-graduate-schools/top-engineering-schools/university-of-oklahoma-norman-campus-02148" TargetMode="External"/><Relationship Id="rId4762" Type="http://schemas.openxmlformats.org/officeDocument/2006/relationships/hyperlink" Target="https://umdearborn.edu/people-um-dearborn/ben-q-li" TargetMode="External"/><Relationship Id="rId285" Type="http://schemas.openxmlformats.org/officeDocument/2006/relationships/hyperlink" Target="https://www.me.gatech.edu/faculty/graham" TargetMode="External"/><Relationship Id="rId3364" Type="http://schemas.openxmlformats.org/officeDocument/2006/relationships/hyperlink" Target="https://mme.wsu.edu/narasimha-boddeti/" TargetMode="External"/><Relationship Id="rId3571" Type="http://schemas.openxmlformats.org/officeDocument/2006/relationships/hyperlink" Target="https://www.stevens.edu/profile/cyu" TargetMode="External"/><Relationship Id="rId4208" Type="http://schemas.openxmlformats.org/officeDocument/2006/relationships/hyperlink" Target="http://engineering.uga.edu/people/profile/felix-santiago-collazo-ph.d.-p.e" TargetMode="External"/><Relationship Id="rId4415" Type="http://schemas.openxmlformats.org/officeDocument/2006/relationships/hyperlink" Target="https://eng.famu.fsu.edu/me/people/traynham" TargetMode="External"/><Relationship Id="rId4622" Type="http://schemas.openxmlformats.org/officeDocument/2006/relationships/hyperlink" Target="https://uwm.edu/engineering/people/yahiaoui-mohamed/" TargetMode="External"/><Relationship Id="rId492" Type="http://schemas.openxmlformats.org/officeDocument/2006/relationships/hyperlink" Target="https://me.engin.umich.edu/people/faculty/xiaogan-liang/" TargetMode="External"/><Relationship Id="rId2173" Type="http://schemas.openxmlformats.org/officeDocument/2006/relationships/hyperlink" Target="https://engineering.uci.edu/users/jack-brouwer" TargetMode="External"/><Relationship Id="rId2380" Type="http://schemas.openxmlformats.org/officeDocument/2006/relationships/hyperlink" Target="https://engineering.case.edu/mechanical-and-aerospace-engineering/faculty-and-staff" TargetMode="External"/><Relationship Id="rId3017" Type="http://schemas.openxmlformats.org/officeDocument/2006/relationships/hyperlink" Target="https://engineering.lehigh.edu/meche/faculty" TargetMode="External"/><Relationship Id="rId3224" Type="http://schemas.openxmlformats.org/officeDocument/2006/relationships/hyperlink" Target="https://www.engr.colostate.edu/me/faculty/dr-samuel-bechara/" TargetMode="External"/><Relationship Id="rId3431" Type="http://schemas.openxmlformats.org/officeDocument/2006/relationships/hyperlink" Target="https://www.wpi.edu/people/faculty/jyagoobi" TargetMode="External"/><Relationship Id="rId145" Type="http://schemas.openxmlformats.org/officeDocument/2006/relationships/hyperlink" Target="https://me.stanford.edu/people/mark-cutkosky" TargetMode="External"/><Relationship Id="rId352" Type="http://schemas.openxmlformats.org/officeDocument/2006/relationships/hyperlink" Target="https://www.me.gatech.edu/faculty/yee" TargetMode="External"/><Relationship Id="rId2033" Type="http://schemas.openxmlformats.org/officeDocument/2006/relationships/hyperlink" Target="https://ame.nd.edu/faculty/eric-matlis/" TargetMode="External"/><Relationship Id="rId2240" Type="http://schemas.openxmlformats.org/officeDocument/2006/relationships/hyperlink" Target="https://www.me.iastate.edu/faculty/profile/carypint" TargetMode="External"/><Relationship Id="rId5189" Type="http://schemas.openxmlformats.org/officeDocument/2006/relationships/hyperlink" Target="https://www.scu.edu/engineering/academic-programs/department-of-mechanical-engineering/faculty-and-staff/mungal.html" TargetMode="External"/><Relationship Id="rId5396" Type="http://schemas.openxmlformats.org/officeDocument/2006/relationships/hyperlink" Target="https://www.sdstate.edu/directory/michael-twedt" TargetMode="External"/><Relationship Id="rId212" Type="http://schemas.openxmlformats.org/officeDocument/2006/relationships/hyperlink" Target="https://mce.caltech.edu/people/arosakis" TargetMode="External"/><Relationship Id="rId1799" Type="http://schemas.openxmlformats.org/officeDocument/2006/relationships/hyperlink" Target="https://mae.ufl.edu/people/faculty/primary/instructional-professors/profiles/umesh-persad/" TargetMode="External"/><Relationship Id="rId2100" Type="http://schemas.openxmlformats.org/officeDocument/2006/relationships/hyperlink" Target="https://isearch.asu.edu/profile/3322893" TargetMode="External"/><Relationship Id="rId5049" Type="http://schemas.openxmlformats.org/officeDocument/2006/relationships/hyperlink" Target="https://www.wichita.edu/profiles/academics/engineering/mechanical_engineering/01_Faculty/Ahmed-Ikram.php" TargetMode="External"/><Relationship Id="rId5256" Type="http://schemas.openxmlformats.org/officeDocument/2006/relationships/hyperlink" Target="https://engineering.olemiss.edu/people-samrat-choudhury/" TargetMode="External"/><Relationship Id="rId5463" Type="http://schemas.openxmlformats.org/officeDocument/2006/relationships/hyperlink" Target="https://www.lamar.edu/engineering/mechanical/faculty-staff/ping-he/index.html" TargetMode="External"/><Relationship Id="rId4065" Type="http://schemas.openxmlformats.org/officeDocument/2006/relationships/hyperlink" Target="https://daytonabeach.erau.edu/college-engineering/mechanical/faculty" TargetMode="External"/><Relationship Id="rId4272" Type="http://schemas.openxmlformats.org/officeDocument/2006/relationships/hyperlink" Target="https://engineering.missouri.edu/faculty/hongbin-bill-ma/" TargetMode="External"/><Relationship Id="rId5116" Type="http://schemas.openxmlformats.org/officeDocument/2006/relationships/hyperlink" Target="mailto:tonthoma@fiu.edu" TargetMode="External"/><Relationship Id="rId5323" Type="http://schemas.openxmlformats.org/officeDocument/2006/relationships/hyperlink" Target="https://people.wright.edu/hong.huang" TargetMode="External"/><Relationship Id="rId1659" Type="http://schemas.openxmlformats.org/officeDocument/2006/relationships/hyperlink" Target="https://www.me.columbia.edu/faculty/michael-burke" TargetMode="External"/><Relationship Id="rId1866" Type="http://schemas.openxmlformats.org/officeDocument/2006/relationships/hyperlink" Target="https://www.me.washington.edu/facultyfinder/lucas-r-meza" TargetMode="External"/><Relationship Id="rId2917" Type="http://schemas.openxmlformats.org/officeDocument/2006/relationships/hyperlink" Target="https://www.engineering.pitt.edu/people/faculty/thomas-piccone/" TargetMode="External"/><Relationship Id="rId3081" Type="http://schemas.openxmlformats.org/officeDocument/2006/relationships/hyperlink" Target="https://works.bepress.com/davide-vigano/about/" TargetMode="External"/><Relationship Id="rId4132" Type="http://schemas.openxmlformats.org/officeDocument/2006/relationships/hyperlink" Target="https://mechanical.sdsu.edu/people/alireza-pakravan.aspx" TargetMode="External"/><Relationship Id="rId5530" Type="http://schemas.openxmlformats.org/officeDocument/2006/relationships/hyperlink" Target="https://www.uno.edu/profile/faculty/martin_guillot" TargetMode="External"/><Relationship Id="rId1519" Type="http://schemas.openxmlformats.org/officeDocument/2006/relationships/hyperlink" Target="https://mems.duke.edu/faculty/matthew-becker" TargetMode="External"/><Relationship Id="rId1726" Type="http://schemas.openxmlformats.org/officeDocument/2006/relationships/hyperlink" Target="https://www.colorado.edu/mechanical/jacob-segil" TargetMode="External"/><Relationship Id="rId1933" Type="http://schemas.openxmlformats.org/officeDocument/2006/relationships/hyperlink" Target="https://engineering.brown.edu/people/kimani-toussaint" TargetMode="External"/><Relationship Id="rId18" Type="http://schemas.openxmlformats.org/officeDocument/2006/relationships/hyperlink" Target="https://meche.mit.edu/people/faculty/BRISSON@MIT.EDU" TargetMode="External"/><Relationship Id="rId3898" Type="http://schemas.openxmlformats.org/officeDocument/2006/relationships/hyperlink" Target="https://mees.charlotte.edu/directory/robert-e-johnson" TargetMode="External"/><Relationship Id="rId4949" Type="http://schemas.openxmlformats.org/officeDocument/2006/relationships/hyperlink" Target="https://www.uab.edu/engineering/mme/people/faculty/amber-genau" TargetMode="External"/><Relationship Id="rId3758" Type="http://schemas.openxmlformats.org/officeDocument/2006/relationships/hyperlink" Target="https://www.uta.edu/academics/faculty/profile?username=haystang" TargetMode="External"/><Relationship Id="rId3965" Type="http://schemas.openxmlformats.org/officeDocument/2006/relationships/hyperlink" Target="https://sc.edu/study/colleges_schools/engineering_and_computing/faculty-staff/chen_frank.php" TargetMode="External"/><Relationship Id="rId4809" Type="http://schemas.openxmlformats.org/officeDocument/2006/relationships/hyperlink" Target="https://klesse.utsa.edu/faculty/profiles/hood-r-lyle.html" TargetMode="External"/><Relationship Id="rId679" Type="http://schemas.openxmlformats.org/officeDocument/2006/relationships/hyperlink" Target="https://www.engineering.cornell.edu/faculty-directory/cara-nunez" TargetMode="External"/><Relationship Id="rId886" Type="http://schemas.openxmlformats.org/officeDocument/2006/relationships/hyperlink" Target="https://www.mccormick.northwestern.edu/mechanical/research/areas/micro-nanoengineering.html" TargetMode="External"/><Relationship Id="rId2567" Type="http://schemas.openxmlformats.org/officeDocument/2006/relationships/hyperlink" Target="https://mechanical.mines.edu/project/ringler-polina/" TargetMode="External"/><Relationship Id="rId2774" Type="http://schemas.openxmlformats.org/officeDocument/2006/relationships/hyperlink" Target="https://engineering.buffalo.edu/mechanical-aerospace/people/faculty/ladder.host.html/content/shared/engineering/mechanical-aerospace/profiles/meng-hui.detail.html" TargetMode="External"/><Relationship Id="rId3618" Type="http://schemas.openxmlformats.org/officeDocument/2006/relationships/hyperlink" Target="https://me.utdallas.edu/faculty-staff/arif-s-malik/" TargetMode="External"/><Relationship Id="rId5180" Type="http://schemas.openxmlformats.org/officeDocument/2006/relationships/hyperlink" Target="https://engineering.rowan.edu/faculty_staff/listing/hong-zhang.html" TargetMode="External"/><Relationship Id="rId2" Type="http://schemas.openxmlformats.org/officeDocument/2006/relationships/hyperlink" Target="https://scholar.google.com/citations?hl=en&amp;user=U6qwtCcAAAAJ" TargetMode="External"/><Relationship Id="rId539" Type="http://schemas.openxmlformats.org/officeDocument/2006/relationships/hyperlink" Target="https://engineering.purdue.edu/ME/People/faculty.html" TargetMode="External"/><Relationship Id="rId746" Type="http://schemas.openxmlformats.org/officeDocument/2006/relationships/hyperlink" Target="https://www.meche.engineering.cmu.edu/directory/bios/taylor-rebecca.html" TargetMode="External"/><Relationship Id="rId1169" Type="http://schemas.openxmlformats.org/officeDocument/2006/relationships/hyperlink" Target="https://enme.umd.edu/clark/facultydir?drfilter=1" TargetMode="External"/><Relationship Id="rId1376" Type="http://schemas.openxmlformats.org/officeDocument/2006/relationships/hyperlink" Target="https://me.vt.edu/people/faculty/bohn-janhelge.html" TargetMode="External"/><Relationship Id="rId1583" Type="http://schemas.openxmlformats.org/officeDocument/2006/relationships/hyperlink" Target="https://mae.osu.edu/people/goswami.78" TargetMode="External"/><Relationship Id="rId2427" Type="http://schemas.openxmlformats.org/officeDocument/2006/relationships/hyperlink" Target="https://www.egr.msu.edu/people/profile/lizhaoj1" TargetMode="External"/><Relationship Id="rId2981" Type="http://schemas.openxmlformats.org/officeDocument/2006/relationships/hyperlink" Target="http://eng.auburn.edu/directory/tippuhv" TargetMode="External"/><Relationship Id="rId3825" Type="http://schemas.openxmlformats.org/officeDocument/2006/relationships/hyperlink" Target="https://www.engr.uky.edu/directory/huber-justin" TargetMode="External"/><Relationship Id="rId5040" Type="http://schemas.openxmlformats.org/officeDocument/2006/relationships/hyperlink" Target="https://www.uwyo.edu/mechanical/faculty-staff/faculty/Erica-Belmont/index.html" TargetMode="External"/><Relationship Id="rId953" Type="http://schemas.openxmlformats.org/officeDocument/2006/relationships/hyperlink" Target="https://me.jhu.edu/faculty/noah-cowan/" TargetMode="External"/><Relationship Id="rId1029" Type="http://schemas.openxmlformats.org/officeDocument/2006/relationships/hyperlink" Target="https://engineering.tamu.edu/mechanical/profiles/li-ying.html" TargetMode="External"/><Relationship Id="rId1236" Type="http://schemas.openxmlformats.org/officeDocument/2006/relationships/hyperlink" Target="https://cse.umn.edu/me/chris-hogan" TargetMode="External"/><Relationship Id="rId1790" Type="http://schemas.openxmlformats.org/officeDocument/2006/relationships/hyperlink" Target="https://mae.ufl.edu/people/faculty/primary/assistant-professor/profiles/jane-jaejeong-shin/" TargetMode="External"/><Relationship Id="rId2634" Type="http://schemas.openxmlformats.org/officeDocument/2006/relationships/hyperlink" Target="https://me.udel.edu/faculty/jill-higginson/" TargetMode="External"/><Relationship Id="rId2841" Type="http://schemas.openxmlformats.org/officeDocument/2006/relationships/hyperlink" Target="https://me.engr.uconn.edu/blog/faculty/huber-martin/" TargetMode="External"/><Relationship Id="rId82" Type="http://schemas.openxmlformats.org/officeDocument/2006/relationships/hyperlink" Target="https://meche.mit.edu/people/faculty/MISTETRI@MIT.EDU" TargetMode="External"/><Relationship Id="rId606" Type="http://schemas.openxmlformats.org/officeDocument/2006/relationships/hyperlink" Target="https://engineering.purdue.edu/ME/People/ptProfile?resource_id=34218" TargetMode="External"/><Relationship Id="rId813" Type="http://schemas.openxmlformats.org/officeDocument/2006/relationships/hyperlink" Target="https://www.me.utexas.edu/people/faculty-directory/jwang" TargetMode="External"/><Relationship Id="rId1443" Type="http://schemas.openxmlformats.org/officeDocument/2006/relationships/hyperlink" Target="https://seas.harvard.edu/person/jennifer-lewis" TargetMode="External"/><Relationship Id="rId1650" Type="http://schemas.openxmlformats.org/officeDocument/2006/relationships/hyperlink" Target="https://profiles.rice.edu/faculty/pol-d-spanos" TargetMode="External"/><Relationship Id="rId2701" Type="http://schemas.openxmlformats.org/officeDocument/2006/relationships/hyperlink" Target="https://drexel.edu/engineering/about/faculty-staff/B/baetica-ania/" TargetMode="External"/><Relationship Id="rId4599" Type="http://schemas.openxmlformats.org/officeDocument/2006/relationships/hyperlink" Target="https://www.uvm.edu/node/223704" TargetMode="External"/><Relationship Id="rId1303" Type="http://schemas.openxmlformats.org/officeDocument/2006/relationships/hyperlink" Target="https://directory.seas.upenn.edu/graham-wabiszewski/" TargetMode="External"/><Relationship Id="rId1510" Type="http://schemas.openxmlformats.org/officeDocument/2006/relationships/hyperlink" Target="https://jacobsschool.ucsd.edu/faculty/profile?id=71" TargetMode="External"/><Relationship Id="rId4459" Type="http://schemas.openxmlformats.org/officeDocument/2006/relationships/hyperlink" Target="http://www.me.msstate.edu/people/faculty/joonsik-hwang/" TargetMode="External"/><Relationship Id="rId4666" Type="http://schemas.openxmlformats.org/officeDocument/2006/relationships/hyperlink" Target="https://mae.nmsu.edu/faculty/dr-yanxing-wang.html" TargetMode="External"/><Relationship Id="rId4873" Type="http://schemas.openxmlformats.org/officeDocument/2006/relationships/hyperlink" Target="https://www.fit.edu/faculty-profiles/p/pandit-ashok/" TargetMode="External"/><Relationship Id="rId3268" Type="http://schemas.openxmlformats.org/officeDocument/2006/relationships/hyperlink" Target="https://engineering.nyu.edu/faculty/rakesh-behera" TargetMode="External"/><Relationship Id="rId3475" Type="http://schemas.openxmlformats.org/officeDocument/2006/relationships/hyperlink" Target="https://www.iit.edu/directory/people/louis-cattafesta-iii" TargetMode="External"/><Relationship Id="rId3682" Type="http://schemas.openxmlformats.org/officeDocument/2006/relationships/hyperlink" Target="https://ceat.okstate.edu/mae/faculty-staff/faculty-bios/jerome-hausselle.html" TargetMode="External"/><Relationship Id="rId4319" Type="http://schemas.openxmlformats.org/officeDocument/2006/relationships/hyperlink" Target="http://egr.vcu.edu/directory/fotis.sotiropoulos/" TargetMode="External"/><Relationship Id="rId4526" Type="http://schemas.openxmlformats.org/officeDocument/2006/relationships/hyperlink" Target="https://udayton.edu/directory/engineering/mechanical_and_aerospace/vijayan-vinayak.php" TargetMode="External"/><Relationship Id="rId4733" Type="http://schemas.openxmlformats.org/officeDocument/2006/relationships/hyperlink" Target="http://me.hawaii.edu/ghorbani/" TargetMode="External"/><Relationship Id="rId4940" Type="http://schemas.openxmlformats.org/officeDocument/2006/relationships/hyperlink" Target="https://uakron.edu/engineering/me/our-people/profile.dot?u=ysingh" TargetMode="External"/><Relationship Id="rId189" Type="http://schemas.openxmlformats.org/officeDocument/2006/relationships/hyperlink" Target="https://me.stanford.edu/people/urmila-venkatesh" TargetMode="External"/><Relationship Id="rId396" Type="http://schemas.openxmlformats.org/officeDocument/2006/relationships/hyperlink" Target="https://mechse.illinois.edu/people/profile/ijasiuk" TargetMode="External"/><Relationship Id="rId2077" Type="http://schemas.openxmlformats.org/officeDocument/2006/relationships/hyperlink" Target="https://seas.yale.edu/faculty-research/faculty-directory/diana-qiu" TargetMode="External"/><Relationship Id="rId2284" Type="http://schemas.openxmlformats.org/officeDocument/2006/relationships/hyperlink" Target="https://www.mae.ncsu.edu/people/jliu38" TargetMode="External"/><Relationship Id="rId2491" Type="http://schemas.openxmlformats.org/officeDocument/2006/relationships/hyperlink" Target="https://www.bu.edu/eng/profile/keith-brown/" TargetMode="External"/><Relationship Id="rId3128" Type="http://schemas.openxmlformats.org/officeDocument/2006/relationships/hyperlink" Target="https://me.stonybrook.edu/commcms/me-eng/people/faculty/Stewart_William.php" TargetMode="External"/><Relationship Id="rId3335" Type="http://schemas.openxmlformats.org/officeDocument/2006/relationships/hyperlink" Target="https://www.me.uh.edu/faculty/chen-zheng" TargetMode="External"/><Relationship Id="rId3542" Type="http://schemas.openxmlformats.org/officeDocument/2006/relationships/hyperlink" Target="https://www.stevens.edu/profile/gacar" TargetMode="External"/><Relationship Id="rId256" Type="http://schemas.openxmlformats.org/officeDocument/2006/relationships/hyperlink" Target="https://me.berkeley.edu/people/tarek-i-zohdi/" TargetMode="External"/><Relationship Id="rId463" Type="http://schemas.openxmlformats.org/officeDocument/2006/relationships/hyperlink" Target="https://me.engin.umich.edu/people/faculty/bogdan-epureanu/" TargetMode="External"/><Relationship Id="rId670" Type="http://schemas.openxmlformats.org/officeDocument/2006/relationships/hyperlink" Target="https://www.engineering.cornell.edu/faculty-directory/meredith-silberstein" TargetMode="External"/><Relationship Id="rId1093" Type="http://schemas.openxmlformats.org/officeDocument/2006/relationships/hyperlink" Target="https://samueli.ucla.edu/people/yongho-sungtaek-ju/" TargetMode="External"/><Relationship Id="rId2144" Type="http://schemas.openxmlformats.org/officeDocument/2006/relationships/hyperlink" Target="https://mae.ucdavis.edu/directory/zhaodan-kong" TargetMode="External"/><Relationship Id="rId2351" Type="http://schemas.openxmlformats.org/officeDocument/2006/relationships/hyperlink" Target="https://engineering.virginia.edu/faculty/baoxing-xu" TargetMode="External"/><Relationship Id="rId3402" Type="http://schemas.openxmlformats.org/officeDocument/2006/relationships/hyperlink" Target="https://www.wpi.edu/people/faculty/mabhatia" TargetMode="External"/><Relationship Id="rId4800" Type="http://schemas.openxmlformats.org/officeDocument/2006/relationships/hyperlink" Target="https://klesse.utsa.edu/faculty/profiles/chen-f-frank.html" TargetMode="External"/><Relationship Id="rId116" Type="http://schemas.openxmlformats.org/officeDocument/2006/relationships/hyperlink" Target="https://meche.mit.edu/people/staff/phayward@mit.edu" TargetMode="External"/><Relationship Id="rId323" Type="http://schemas.openxmlformats.org/officeDocument/2006/relationships/hyperlink" Target="https://www.me.gatech.edu/faculty/rahnema" TargetMode="External"/><Relationship Id="rId530" Type="http://schemas.openxmlformats.org/officeDocument/2006/relationships/hyperlink" Target="https://me.engin.umich.edu/people/faculty/angela-violi/" TargetMode="External"/><Relationship Id="rId1160" Type="http://schemas.openxmlformats.org/officeDocument/2006/relationships/hyperlink" Target="https://www.me.psu.edu/department/directory-detail-g.aspx?q=DUW13" TargetMode="External"/><Relationship Id="rId2004" Type="http://schemas.openxmlformats.org/officeDocument/2006/relationships/hyperlink" Target="https://me.ucsb.edu/people/enoch-yeung" TargetMode="External"/><Relationship Id="rId2211" Type="http://schemas.openxmlformats.org/officeDocument/2006/relationships/hyperlink" Target="https://www.me.iastate.edu/faculty/profile/jcclauss" TargetMode="External"/><Relationship Id="rId5367" Type="http://schemas.openxmlformats.org/officeDocument/2006/relationships/hyperlink" Target="https://directory.nau.edu/departments?id=10640&amp;person=kc564" TargetMode="External"/><Relationship Id="rId4176" Type="http://schemas.openxmlformats.org/officeDocument/2006/relationships/hyperlink" Target="http://engineering.uga.edu/people/school-of-environmental-civil-agricultural-and-mechanical-engineering" TargetMode="External"/><Relationship Id="rId1020" Type="http://schemas.openxmlformats.org/officeDocument/2006/relationships/hyperlink" Target="https://engineering.tamu.edu/mechanical/profiles/vinayak.html" TargetMode="External"/><Relationship Id="rId1977" Type="http://schemas.openxmlformats.org/officeDocument/2006/relationships/hyperlink" Target="https://me.ucsb.edu/people/ted-bennett" TargetMode="External"/><Relationship Id="rId4383" Type="http://schemas.openxmlformats.org/officeDocument/2006/relationships/hyperlink" Target="https://www.ecs.baylor.edu/person/dr-elon-terrell" TargetMode="External"/><Relationship Id="rId4590" Type="http://schemas.openxmlformats.org/officeDocument/2006/relationships/hyperlink" Target="https://www.uvm.edu/cems/me" TargetMode="External"/><Relationship Id="rId5227" Type="http://schemas.openxmlformats.org/officeDocument/2006/relationships/hyperlink" Target="https://expertise.utep.edu/profiles/arkhan" TargetMode="External"/><Relationship Id="rId5434" Type="http://schemas.openxmlformats.org/officeDocument/2006/relationships/hyperlink" Target="https://engineering.utulsa.edu/mechanical-engineering/faculty/profile/siamack-shirazi" TargetMode="External"/><Relationship Id="rId1837" Type="http://schemas.openxmlformats.org/officeDocument/2006/relationships/hyperlink" Target="https://viterbi.usc.edu/directory/faculty/Sheikhhassani/Ramtin" TargetMode="External"/><Relationship Id="rId3192" Type="http://schemas.openxmlformats.org/officeDocument/2006/relationships/hyperlink" Target="https://mabe.utk.edu/people/bruce-lamattina/" TargetMode="External"/><Relationship Id="rId4036" Type="http://schemas.openxmlformats.org/officeDocument/2006/relationships/hyperlink" Target="https://www.clarkson.edu/node/51849" TargetMode="External"/><Relationship Id="rId4243" Type="http://schemas.openxmlformats.org/officeDocument/2006/relationships/hyperlink" Target="https://me.umbc.edu/directory/" TargetMode="External"/><Relationship Id="rId4450" Type="http://schemas.openxmlformats.org/officeDocument/2006/relationships/hyperlink" Target="https://www.me.msstate.edu/people/shanti-bhushan/" TargetMode="External"/><Relationship Id="rId5501" Type="http://schemas.openxmlformats.org/officeDocument/2006/relationships/hyperlink" Target="https://www.pdx.edu/profile/elliott-gall" TargetMode="External"/><Relationship Id="rId3052" Type="http://schemas.openxmlformats.org/officeDocument/2006/relationships/hyperlink" Target="https://works.bepress.com/douglas-bristow/about/" TargetMode="External"/><Relationship Id="rId4103" Type="http://schemas.openxmlformats.org/officeDocument/2006/relationships/hyperlink" Target="https://mechanical.sdsu.edu/people/john-abraham.aspx" TargetMode="External"/><Relationship Id="rId4310" Type="http://schemas.openxmlformats.org/officeDocument/2006/relationships/hyperlink" Target="http://egr.vcu.edu/directory/worth.longest/" TargetMode="External"/><Relationship Id="rId180" Type="http://schemas.openxmlformats.org/officeDocument/2006/relationships/hyperlink" Target="https://me.stanford.edu/people/vadim-khayms" TargetMode="External"/><Relationship Id="rId1904" Type="http://schemas.openxmlformats.org/officeDocument/2006/relationships/hyperlink" Target="https://engineering.brown.edu/people/robert-hurt" TargetMode="External"/><Relationship Id="rId3869" Type="http://schemas.openxmlformats.org/officeDocument/2006/relationships/hyperlink" Target="https://engineering.unl.edu/mme/amy-lehman/" TargetMode="External"/><Relationship Id="rId5084" Type="http://schemas.openxmlformats.org/officeDocument/2006/relationships/hyperlink" Target="https://mme.fiu.edu/faculty-staff-members/bilal-el-zahab" TargetMode="External"/><Relationship Id="rId5291" Type="http://schemas.openxmlformats.org/officeDocument/2006/relationships/hyperlink" Target="https://mechanical.engineering.unt.edu/faculty/nandika-dsouza" TargetMode="External"/><Relationship Id="rId997" Type="http://schemas.openxmlformats.org/officeDocument/2006/relationships/hyperlink" Target="https://engineering.tamu.edu/mechanical/profiles/darbha-swaroop.html" TargetMode="External"/><Relationship Id="rId2678" Type="http://schemas.openxmlformats.org/officeDocument/2006/relationships/hyperlink" Target="https://www.clemson.edu/cecas/departments/me/people/faculty/schweisinger.html" TargetMode="External"/><Relationship Id="rId2885" Type="http://schemas.openxmlformats.org/officeDocument/2006/relationships/hyperlink" Target="https://engineering.uiowa.edu/people/hiroyuki-sugiyama" TargetMode="External"/><Relationship Id="rId3729" Type="http://schemas.openxmlformats.org/officeDocument/2006/relationships/hyperlink" Target="https://eng.ua.edu/eng-directory/dr-beth-ann-todd/" TargetMode="External"/><Relationship Id="rId3936" Type="http://schemas.openxmlformats.org/officeDocument/2006/relationships/hyperlink" Target="http://www.hajim.rochester.edu/me/people/faculty/dissanayake_sachith/index.html" TargetMode="External"/><Relationship Id="rId5151" Type="http://schemas.openxmlformats.org/officeDocument/2006/relationships/hyperlink" Target="https://www.marquette.edu/mechanical-engineering/directory/simcha-singer.php" TargetMode="External"/><Relationship Id="rId857" Type="http://schemas.openxmlformats.org/officeDocument/2006/relationships/hyperlink" Target="https://www.mccormick.northwestern.edu/research-faculty/directory/profiles/gerber-elizabeth.html" TargetMode="External"/><Relationship Id="rId1487" Type="http://schemas.openxmlformats.org/officeDocument/2006/relationships/hyperlink" Target="https://jacobsschool.ucsd.edu/faculty/profile?id=138" TargetMode="External"/><Relationship Id="rId1694" Type="http://schemas.openxmlformats.org/officeDocument/2006/relationships/hyperlink" Target="https://www.colorado.edu/mechanical/peter-hamlington" TargetMode="External"/><Relationship Id="rId2538" Type="http://schemas.openxmlformats.org/officeDocument/2006/relationships/hyperlink" Target="https://mechanical.mines.edu/project/decaluwe-steven/" TargetMode="External"/><Relationship Id="rId2745" Type="http://schemas.openxmlformats.org/officeDocument/2006/relationships/hyperlink" Target="https://engineering.tufts.edu/me/node/2976" TargetMode="External"/><Relationship Id="rId2952" Type="http://schemas.openxmlformats.org/officeDocument/2006/relationships/hyperlink" Target="http://eng.auburn.edu/directory/bca0027" TargetMode="External"/><Relationship Id="rId717" Type="http://schemas.openxmlformats.org/officeDocument/2006/relationships/hyperlink" Target="https://www.meche.engineering.cmu.edu/directory/index.html" TargetMode="External"/><Relationship Id="rId924" Type="http://schemas.openxmlformats.org/officeDocument/2006/relationships/hyperlink" Target="https://www.mccormick.northwestern.edu/mechanical/research/areas/biosystems-health.html" TargetMode="External"/><Relationship Id="rId1347" Type="http://schemas.openxmlformats.org/officeDocument/2006/relationships/hyperlink" Target="https://directory.engr.wisc.edu/me/Faculty/Thevamaran_Ramathasan/" TargetMode="External"/><Relationship Id="rId1554" Type="http://schemas.openxmlformats.org/officeDocument/2006/relationships/hyperlink" Target="https://mems.duke.edu/faculty/tomasz-hueckel" TargetMode="External"/><Relationship Id="rId1761" Type="http://schemas.openxmlformats.org/officeDocument/2006/relationships/hyperlink" Target="https://mae.ufl.edu/people/faculty/primary/professor/profiles/malisa-sarntinoranont/" TargetMode="External"/><Relationship Id="rId2605" Type="http://schemas.openxmlformats.org/officeDocument/2006/relationships/hyperlink" Target="https://mae.rutgers.edu/aaron-mazzeo" TargetMode="External"/><Relationship Id="rId2812" Type="http://schemas.openxmlformats.org/officeDocument/2006/relationships/hyperlink" Target="https://ame.engineering.arizona.edu/faculty-staff/faculty/jesse-little" TargetMode="External"/><Relationship Id="rId5011" Type="http://schemas.openxmlformats.org/officeDocument/2006/relationships/hyperlink" Target="https://umaine.edu/mecheng/putzeys/" TargetMode="External"/><Relationship Id="rId53" Type="http://schemas.openxmlformats.org/officeDocument/2006/relationships/hyperlink" Target="https://meche.mit.edu/people/faculty/RLANGER@MIT.EDU" TargetMode="External"/><Relationship Id="rId1207" Type="http://schemas.openxmlformats.org/officeDocument/2006/relationships/hyperlink" Target="https://enme.umd.edu/clark/faculty/582/Peter-Sandborn" TargetMode="External"/><Relationship Id="rId1414" Type="http://schemas.openxmlformats.org/officeDocument/2006/relationships/hyperlink" Target="https://me.vt.edu/people/faculty/raeymaekers-bart.html" TargetMode="External"/><Relationship Id="rId1621" Type="http://schemas.openxmlformats.org/officeDocument/2006/relationships/hyperlink" Target="https://mae.osu.edu/people/talbot.11" TargetMode="External"/><Relationship Id="rId4777" Type="http://schemas.openxmlformats.org/officeDocument/2006/relationships/hyperlink" Target="https://ceps.unh.edu/person/juan-carlos-cuevas-bautista" TargetMode="External"/><Relationship Id="rId4984" Type="http://schemas.openxmlformats.org/officeDocument/2006/relationships/hyperlink" Target="https://engineering.louisville.edu/faculty/yanyu-chen/" TargetMode="External"/><Relationship Id="rId3379" Type="http://schemas.openxmlformats.org/officeDocument/2006/relationships/hyperlink" Target="https://mme.wsu.edu/ming-luo/" TargetMode="External"/><Relationship Id="rId3586" Type="http://schemas.openxmlformats.org/officeDocument/2006/relationships/hyperlink" Target="https://ecs.syracuse.edu/faculty-staff/xiyuan-liu" TargetMode="External"/><Relationship Id="rId3793" Type="http://schemas.openxmlformats.org/officeDocument/2006/relationships/hyperlink" Target="https://www.uah.edu/eng/departments/mae/faculty-staff/david-fikes" TargetMode="External"/><Relationship Id="rId4637" Type="http://schemas.openxmlformats.org/officeDocument/2006/relationships/hyperlink" Target="https://profiles.howard.edu/nadir-yilmaz" TargetMode="External"/><Relationship Id="rId2188" Type="http://schemas.openxmlformats.org/officeDocument/2006/relationships/hyperlink" Target="https://engineering.uci.edu/users/dimitri-papamoschou" TargetMode="External"/><Relationship Id="rId2395" Type="http://schemas.openxmlformats.org/officeDocument/2006/relationships/hyperlink" Target="https://engineering.case.edu/about/school-directory/bryan-schmidt" TargetMode="External"/><Relationship Id="rId3239" Type="http://schemas.openxmlformats.org/officeDocument/2006/relationships/hyperlink" Target="https://www.engr.colostate.edu/me/people/kevin-labus/" TargetMode="External"/><Relationship Id="rId3446" Type="http://schemas.openxmlformats.org/officeDocument/2006/relationships/hyperlink" Target="https://www.me.byu.edu/directory/christopher-dillon" TargetMode="External"/><Relationship Id="rId4844" Type="http://schemas.openxmlformats.org/officeDocument/2006/relationships/hyperlink" Target="https://engineering.wayne.edu/profile/ab9714" TargetMode="External"/><Relationship Id="rId367" Type="http://schemas.openxmlformats.org/officeDocument/2006/relationships/hyperlink" Target="https://mechse.illinois.edu/people/faculty" TargetMode="External"/><Relationship Id="rId574" Type="http://schemas.openxmlformats.org/officeDocument/2006/relationships/hyperlink" Target="https://engineering.purdue.edu/ME/People/ptProfile?resource_id=2976" TargetMode="External"/><Relationship Id="rId2048" Type="http://schemas.openxmlformats.org/officeDocument/2006/relationships/hyperlink" Target="https://ame.nd.edu/faculty/paul-rumbach/" TargetMode="External"/><Relationship Id="rId2255" Type="http://schemas.openxmlformats.org/officeDocument/2006/relationships/hyperlink" Target="https://www.me.iastate.edu/faculty/profile/qzhong1" TargetMode="External"/><Relationship Id="rId3653" Type="http://schemas.openxmlformats.org/officeDocument/2006/relationships/hyperlink" Target="https://profiles.ucr.edu/app/home/profile/markop" TargetMode="External"/><Relationship Id="rId3860" Type="http://schemas.openxmlformats.org/officeDocument/2006/relationships/hyperlink" Target="https://engineering.unl.edu/mme/faculty/jessica-deters/" TargetMode="External"/><Relationship Id="rId4704" Type="http://schemas.openxmlformats.org/officeDocument/2006/relationships/hyperlink" Target="https://mechanical-engineering.uark.edu/Directory/index/uid/lar/name/Larry+Roe/" TargetMode="External"/><Relationship Id="rId4911" Type="http://schemas.openxmlformats.org/officeDocument/2006/relationships/hyperlink" Target="https://www.odu.edu/directory/drew-landman-phd-pe" TargetMode="External"/><Relationship Id="rId227" Type="http://schemas.openxmlformats.org/officeDocument/2006/relationships/hyperlink" Target="https://me.berkeley.edu/people/grace-x-gu/" TargetMode="External"/><Relationship Id="rId781" Type="http://schemas.openxmlformats.org/officeDocument/2006/relationships/hyperlink" Target="https://www.me.utexas.edu/people/faculty-directory/haas" TargetMode="External"/><Relationship Id="rId2462" Type="http://schemas.openxmlformats.org/officeDocument/2006/relationships/hyperlink" Target="https://engineering.vanderbilt.edu/bio/michael-goldfarb" TargetMode="External"/><Relationship Id="rId3306" Type="http://schemas.openxmlformats.org/officeDocument/2006/relationships/hyperlink" Target="https://researchdirectory.uc.edu/p/gernerfm" TargetMode="External"/><Relationship Id="rId3513" Type="http://schemas.openxmlformats.org/officeDocument/2006/relationships/hyperlink" Target="https://www.mtu.edu/mechanical/people/faculty/hadden/" TargetMode="External"/><Relationship Id="rId3720" Type="http://schemas.openxmlformats.org/officeDocument/2006/relationships/hyperlink" Target="https://eng.ua.edu/eng-directory/dr-kasra-momeni/" TargetMode="External"/><Relationship Id="rId434" Type="http://schemas.openxmlformats.org/officeDocument/2006/relationships/hyperlink" Target="https://mechse.illinois.edu/people/profile/mwest" TargetMode="External"/><Relationship Id="rId641" Type="http://schemas.openxmlformats.org/officeDocument/2006/relationships/hyperlink" Target="https://engineering.purdue.edu/ME/People/ptProfile?resource_id=94300" TargetMode="External"/><Relationship Id="rId1064" Type="http://schemas.openxmlformats.org/officeDocument/2006/relationships/hyperlink" Target="https://engineering.tamu.edu/mechanical/profiles/thomas-naveen.html" TargetMode="External"/><Relationship Id="rId1271" Type="http://schemas.openxmlformats.org/officeDocument/2006/relationships/hyperlink" Target="https://directory.seas.upenn.edu/john-l-bassani/" TargetMode="External"/><Relationship Id="rId2115" Type="http://schemas.openxmlformats.org/officeDocument/2006/relationships/hyperlink" Target="https://isearch.asu.edu/profile/197020" TargetMode="External"/><Relationship Id="rId2322" Type="http://schemas.openxmlformats.org/officeDocument/2006/relationships/hyperlink" Target="https://engineering.virginia.edu/faculty/haibo-dong" TargetMode="External"/><Relationship Id="rId5478" Type="http://schemas.openxmlformats.org/officeDocument/2006/relationships/hyperlink" Target="https://nmt.edu/academics/mecheng/faculty/dryu.php" TargetMode="External"/><Relationship Id="rId501" Type="http://schemas.openxmlformats.org/officeDocument/2006/relationships/hyperlink" Target="https://me.engin.umich.edu/people/faculty/chinedum-okwudire/" TargetMode="External"/><Relationship Id="rId1131" Type="http://schemas.openxmlformats.org/officeDocument/2006/relationships/hyperlink" Target="https://www.me.psu.edu/department/directory-detail-g.aspx?q=MAH37" TargetMode="External"/><Relationship Id="rId4287" Type="http://schemas.openxmlformats.org/officeDocument/2006/relationships/hyperlink" Target="https://www1.villanova.edu/university/engineering/academic-programs/departments/mechanical/directory/biodetail.html?mail=c.nataraj@villanova.edu&amp;xsl=bio_long" TargetMode="External"/><Relationship Id="rId4494" Type="http://schemas.openxmlformats.org/officeDocument/2006/relationships/hyperlink" Target="https://me.ucmerced.edu/content/sachin-goyal" TargetMode="External"/><Relationship Id="rId5338" Type="http://schemas.openxmlformats.org/officeDocument/2006/relationships/hyperlink" Target="https://www.fau.edu/engineering/directory/faculty/carlsson/" TargetMode="External"/><Relationship Id="rId5545" Type="http://schemas.openxmlformats.org/officeDocument/2006/relationships/hyperlink" Target="https://und.edu/directory/anjali.sandip" TargetMode="External"/><Relationship Id="rId3096" Type="http://schemas.openxmlformats.org/officeDocument/2006/relationships/hyperlink" Target="https://nps.edu/faculty-profiles/-/cv/jphooper" TargetMode="External"/><Relationship Id="rId4147" Type="http://schemas.openxmlformats.org/officeDocument/2006/relationships/hyperlink" Target="https://www.depts.ttu.edu/me/faculty/ming_chyu/index.php" TargetMode="External"/><Relationship Id="rId4354" Type="http://schemas.openxmlformats.org/officeDocument/2006/relationships/hyperlink" Target="https://directory.statler.wvu.edu/faculty-staff-directory/xi-yu" TargetMode="External"/><Relationship Id="rId4561" Type="http://schemas.openxmlformats.org/officeDocument/2006/relationships/hyperlink" Target="https://www.ou.edu/coe/ame/people/Cai.html" TargetMode="External"/><Relationship Id="rId5405" Type="http://schemas.openxmlformats.org/officeDocument/2006/relationships/hyperlink" Target="https://engineering.catholic.edu/research-and-faculty/faculty-profiles/mechanical/luo-xiaolong/index.html" TargetMode="External"/><Relationship Id="rId1948" Type="http://schemas.openxmlformats.org/officeDocument/2006/relationships/hyperlink" Target="https://engineering.brown.edu/people/john-simeral" TargetMode="External"/><Relationship Id="rId3163" Type="http://schemas.openxmlformats.org/officeDocument/2006/relationships/hyperlink" Target="https://mabe.utk.edu/people/reza-abedi/" TargetMode="External"/><Relationship Id="rId3370" Type="http://schemas.openxmlformats.org/officeDocument/2006/relationships/hyperlink" Target="https://mme.wsu.edu/faculty/prashanta-dutta/" TargetMode="External"/><Relationship Id="rId4007" Type="http://schemas.openxmlformats.org/officeDocument/2006/relationships/hyperlink" Target="https://www.binghamton.edu/mechanical-engineering/people/profile.html?id=pchiarot" TargetMode="External"/><Relationship Id="rId4214" Type="http://schemas.openxmlformats.org/officeDocument/2006/relationships/hyperlink" Target="http://engineering.uga.edu/people/profile/sidney-thompson-ph.d" TargetMode="External"/><Relationship Id="rId4421" Type="http://schemas.openxmlformats.org/officeDocument/2006/relationships/hyperlink" Target="https://www.lsu.edu/eng/mie/people/faculty/becnel.php" TargetMode="External"/><Relationship Id="rId291" Type="http://schemas.openxmlformats.org/officeDocument/2006/relationships/hyperlink" Target="https://www.me.gatech.edu/faculty/hesketh" TargetMode="External"/><Relationship Id="rId1808" Type="http://schemas.openxmlformats.org/officeDocument/2006/relationships/hyperlink" Target="https://viterbi.usc.edu/directory/faculty/Flashner/Henryk" TargetMode="External"/><Relationship Id="rId3023" Type="http://schemas.openxmlformats.org/officeDocument/2006/relationships/hyperlink" Target="https://engineering.lehigh.edu/meche/faculty/812" TargetMode="External"/><Relationship Id="rId151" Type="http://schemas.openxmlformats.org/officeDocument/2006/relationships/hyperlink" Target="https://me.stanford.edu/people/kenneth-goodson" TargetMode="External"/><Relationship Id="rId3230" Type="http://schemas.openxmlformats.org/officeDocument/2006/relationships/hyperlink" Target="https://www.engr.colostate.edu/me/faculty/dr-soheil-fatehiboroujeni/" TargetMode="External"/><Relationship Id="rId5195" Type="http://schemas.openxmlformats.org/officeDocument/2006/relationships/hyperlink" Target="https://www.scu.edu/engineering/academic-programs/department-of-mechanical-engineering/faculty-and-staff/woytowitz.html" TargetMode="External"/><Relationship Id="rId2789" Type="http://schemas.openxmlformats.org/officeDocument/2006/relationships/hyperlink" Target="https://engineering.buffalo.edu/mechanical-aerospace/people/faculty/teaching.host.html/content/shared/engineering/mechanical-aerospace/profiles/armstrong-jason.detail.html" TargetMode="External"/><Relationship Id="rId2996" Type="http://schemas.openxmlformats.org/officeDocument/2006/relationships/hyperlink" Target="https://www.mae.seas.gwu.edu/node/791" TargetMode="External"/><Relationship Id="rId968" Type="http://schemas.openxmlformats.org/officeDocument/2006/relationships/hyperlink" Target="https://me.jhu.edu/faculty/rajat-mittal/" TargetMode="External"/><Relationship Id="rId1598" Type="http://schemas.openxmlformats.org/officeDocument/2006/relationships/hyperlink" Target="https://mae.osu.edu/people/kumar.672" TargetMode="External"/><Relationship Id="rId2649" Type="http://schemas.openxmlformats.org/officeDocument/2006/relationships/hyperlink" Target="https://me.udel.edu/faculty/liyun-wang/" TargetMode="External"/><Relationship Id="rId2856" Type="http://schemas.openxmlformats.org/officeDocument/2006/relationships/hyperlink" Target="https://me.engr.uconn.edu/blog/faculty/paricio-jorge/" TargetMode="External"/><Relationship Id="rId3907" Type="http://schemas.openxmlformats.org/officeDocument/2006/relationships/hyperlink" Target="https://mees.charlotte.edu/directory/brigid-mullany" TargetMode="External"/><Relationship Id="rId5055" Type="http://schemas.openxmlformats.org/officeDocument/2006/relationships/hyperlink" Target="https://www.wichita.edu/profiles/academics/engineering/mechanical_engineering/01_Faculty/Hwang-Gisuk.php" TargetMode="External"/><Relationship Id="rId5262" Type="http://schemas.openxmlformats.org/officeDocument/2006/relationships/hyperlink" Target="https://engineering.olemiss.edu/people-damian-stoddard/" TargetMode="External"/><Relationship Id="rId97" Type="http://schemas.openxmlformats.org/officeDocument/2006/relationships/hyperlink" Target="https://meche.mit.edu/people/faculty/zhaox@mit.edu" TargetMode="External"/><Relationship Id="rId828" Type="http://schemas.openxmlformats.org/officeDocument/2006/relationships/hyperlink" Target="https://www.mccormick.northwestern.edu/mechanical/research/areas/micro-nanoengineering.html" TargetMode="External"/><Relationship Id="rId1458" Type="http://schemas.openxmlformats.org/officeDocument/2006/relationships/hyperlink" Target="https://jacobsschool.ucsd.edu/faculty/profile?id=435" TargetMode="External"/><Relationship Id="rId1665" Type="http://schemas.openxmlformats.org/officeDocument/2006/relationships/hyperlink" Target="https://www.me.columbia.edu/faculty/qiao-lin" TargetMode="External"/><Relationship Id="rId1872" Type="http://schemas.openxmlformats.org/officeDocument/2006/relationships/hyperlink" Target="https://www.me.washington.edu/facultyfinder/joe-powers" TargetMode="External"/><Relationship Id="rId2509" Type="http://schemas.openxmlformats.org/officeDocument/2006/relationships/hyperlink" Target="https://www.bu.edu/eng/profile/elise-morgan-ph-d/" TargetMode="External"/><Relationship Id="rId2716" Type="http://schemas.openxmlformats.org/officeDocument/2006/relationships/hyperlink" Target="https://drexel.edu/engineering/about/faculty-staff/K/kumbur-ecaglan/" TargetMode="External"/><Relationship Id="rId4071" Type="http://schemas.openxmlformats.org/officeDocument/2006/relationships/hyperlink" Target="https://daytonabeach.erau.edu/college-engineering/mechanical/faculty" TargetMode="External"/><Relationship Id="rId5122" Type="http://schemas.openxmlformats.org/officeDocument/2006/relationships/hyperlink" Target="https://coes.latech.edu/facultystaff-directory/single-entry/name/hamzeh-bardaweel/" TargetMode="External"/><Relationship Id="rId1318" Type="http://schemas.openxmlformats.org/officeDocument/2006/relationships/hyperlink" Target="https://directory.engr.wisc.edu/me/Faculty/Ghandhi_Jaal/" TargetMode="External"/><Relationship Id="rId1525" Type="http://schemas.openxmlformats.org/officeDocument/2006/relationships/hyperlink" Target="https://mems.duke.edu/faculty/chuan-hua-chen" TargetMode="External"/><Relationship Id="rId2923" Type="http://schemas.openxmlformats.org/officeDocument/2006/relationships/hyperlink" Target="https://www.engineering.pitt.edu/people/faculty/albert-to/" TargetMode="External"/><Relationship Id="rId1732" Type="http://schemas.openxmlformats.org/officeDocument/2006/relationships/hyperlink" Target="https://www.colorado.edu/mechanical/franck-vernerey" TargetMode="External"/><Relationship Id="rId4888" Type="http://schemas.openxmlformats.org/officeDocument/2006/relationships/hyperlink" Target="https://www.ncat.edu/employee-bio.php?directoryID=1586734422" TargetMode="External"/><Relationship Id="rId24" Type="http://schemas.openxmlformats.org/officeDocument/2006/relationships/hyperlink" Target="https://meche.mit.edu/people/faculty/WKCHENG@MIT.EDU" TargetMode="External"/><Relationship Id="rId2299" Type="http://schemas.openxmlformats.org/officeDocument/2006/relationships/hyperlink" Target="https://www.mae.ncsu.edu/people/hao-su" TargetMode="External"/><Relationship Id="rId3697" Type="http://schemas.openxmlformats.org/officeDocument/2006/relationships/hyperlink" Target="https://ceat.okstate.edu/mae/faculty-staff/faculty-bios/raman-singh.html" TargetMode="External"/><Relationship Id="rId4748" Type="http://schemas.openxmlformats.org/officeDocument/2006/relationships/hyperlink" Target="https://premium.usnews.com/best-graduate-schools/top-engineering-schools/university-of-michigan-dearborn-02400" TargetMode="External"/><Relationship Id="rId4955" Type="http://schemas.openxmlformats.org/officeDocument/2006/relationships/hyperlink" Target="https://www.uab.edu/engineering/mme/people/faculty/david-littlefield" TargetMode="External"/><Relationship Id="rId3557" Type="http://schemas.openxmlformats.org/officeDocument/2006/relationships/hyperlink" Target="https://www.stevens.edu/profile/nparzial" TargetMode="External"/><Relationship Id="rId3764" Type="http://schemas.openxmlformats.org/officeDocument/2006/relationships/hyperlink" Target="https://www.uta.edu/academics/faculty/profile?username=kilmainch" TargetMode="External"/><Relationship Id="rId3971" Type="http://schemas.openxmlformats.org/officeDocument/2006/relationships/hyperlink" Target="https://sc.edu/study/colleges_schools/engineering_and_computing/faculty-staff/farouk_tanvir.php" TargetMode="External"/><Relationship Id="rId4608" Type="http://schemas.openxmlformats.org/officeDocument/2006/relationships/hyperlink" Target="https://uwm.edu/engineering/people/chang-woo-jin/" TargetMode="External"/><Relationship Id="rId4815" Type="http://schemas.openxmlformats.org/officeDocument/2006/relationships/hyperlink" Target="https://klesse.utsa.edu/faculty/profiles/nedungadi-ashok.html" TargetMode="External"/><Relationship Id="rId478" Type="http://schemas.openxmlformats.org/officeDocument/2006/relationships/hyperlink" Target="https://me.engin.umich.edu/people/faculty/karl-grosh/" TargetMode="External"/><Relationship Id="rId685" Type="http://schemas.openxmlformats.org/officeDocument/2006/relationships/hyperlink" Target="https://www.engineering.cornell.edu/faculty-directory/hadas-ritz" TargetMode="External"/><Relationship Id="rId892" Type="http://schemas.openxmlformats.org/officeDocument/2006/relationships/hyperlink" Target="https://www.mccormick.northwestern.edu/mechanical/research/areas/energy-sustainability.html" TargetMode="External"/><Relationship Id="rId2159" Type="http://schemas.openxmlformats.org/officeDocument/2006/relationships/hyperlink" Target="https://mae.ucdavis.edu/directory/eric-anderson" TargetMode="External"/><Relationship Id="rId2366" Type="http://schemas.openxmlformats.org/officeDocument/2006/relationships/hyperlink" Target="https://engineering.wustl.edu/faculty/Xianglin-Li.html" TargetMode="External"/><Relationship Id="rId2573" Type="http://schemas.openxmlformats.org/officeDocument/2006/relationships/hyperlink" Target="https://mechanical.mines.edu/project/tilton-nils/" TargetMode="External"/><Relationship Id="rId2780" Type="http://schemas.openxmlformats.org/officeDocument/2006/relationships/hyperlink" Target="https://engineering.buffalo.edu/mechanical-aerospace/people/faculty/ladder.host.html/content/shared/engineering/mechanical-aerospace/profiles/ringuette-matthew.detail.html" TargetMode="External"/><Relationship Id="rId3417" Type="http://schemas.openxmlformats.org/officeDocument/2006/relationships/hyperlink" Target="https://www.wpi.edu/people/faculty/zmao2" TargetMode="External"/><Relationship Id="rId3624" Type="http://schemas.openxmlformats.org/officeDocument/2006/relationships/hyperlink" Target="https://me.utdallas.edu/faculty-staff/zhenpeng-qin/" TargetMode="External"/><Relationship Id="rId3831" Type="http://schemas.openxmlformats.org/officeDocument/2006/relationships/hyperlink" Target="https://www.engr.uky.edu/directory/lu-charles-y" TargetMode="External"/><Relationship Id="rId338" Type="http://schemas.openxmlformats.org/officeDocument/2006/relationships/hyperlink" Target="https://www.me.gatech.edu/faculty/smith-0" TargetMode="External"/><Relationship Id="rId545" Type="http://schemas.openxmlformats.org/officeDocument/2006/relationships/hyperlink" Target="https://engineering.purdue.edu/ME/People/ptProfile?resource_id=256658" TargetMode="External"/><Relationship Id="rId752" Type="http://schemas.openxmlformats.org/officeDocument/2006/relationships/hyperlink" Target="https://www.meche.engineering.cmu.edu/directory/bios/zhang-yongjie.html" TargetMode="External"/><Relationship Id="rId1175" Type="http://schemas.openxmlformats.org/officeDocument/2006/relationships/hyperlink" Target="https://enme.umd.edu/clark/faculty/520/Nikhil-Chopra" TargetMode="External"/><Relationship Id="rId1382" Type="http://schemas.openxmlformats.org/officeDocument/2006/relationships/hyperlink" Target="https://me.vt.edu/people/faculty/ellis-michael.html" TargetMode="External"/><Relationship Id="rId2019" Type="http://schemas.openxmlformats.org/officeDocument/2006/relationships/hyperlink" Target="https://ame.nd.edu/faculty/j-william-goodwine/" TargetMode="External"/><Relationship Id="rId2226" Type="http://schemas.openxmlformats.org/officeDocument/2006/relationships/hyperlink" Target="https://www.me.iastate.edu/faculty/profile/jolee" TargetMode="External"/><Relationship Id="rId2433" Type="http://schemas.openxmlformats.org/officeDocument/2006/relationships/hyperlink" Target="https://www.egr.msu.edu/people/profile/sivan" TargetMode="External"/><Relationship Id="rId2640" Type="http://schemas.openxmlformats.org/officeDocument/2006/relationships/hyperlink" Target="https://me.udel.edu/faculty/andreas-malikopoulos/" TargetMode="External"/><Relationship Id="rId405" Type="http://schemas.openxmlformats.org/officeDocument/2006/relationships/hyperlink" Target="https://mechse.illinois.edu/people/profile/cluetke" TargetMode="External"/><Relationship Id="rId612" Type="http://schemas.openxmlformats.org/officeDocument/2006/relationships/hyperlink" Target="https://engineering.purdue.edu/ME/People/ptProfile?resource_id=126925" TargetMode="External"/><Relationship Id="rId1035" Type="http://schemas.openxmlformats.org/officeDocument/2006/relationships/hyperlink" Target="https://engineering.tamu.edu/mechanical/profiles/mcvay-tillie.html" TargetMode="External"/><Relationship Id="rId1242" Type="http://schemas.openxmlformats.org/officeDocument/2006/relationships/hyperlink" Target="https://cse.umn.edu/me/uwe-kortshagen" TargetMode="External"/><Relationship Id="rId2500" Type="http://schemas.openxmlformats.org/officeDocument/2006/relationships/hyperlink" Target="https://www.bu.edu/eng/profile/michael-gevelber/" TargetMode="External"/><Relationship Id="rId4398" Type="http://schemas.openxmlformats.org/officeDocument/2006/relationships/hyperlink" Target="https://eng.famu.fsu.edu/me/people/hollis" TargetMode="External"/><Relationship Id="rId5449" Type="http://schemas.openxmlformats.org/officeDocument/2006/relationships/hyperlink" Target="https://wmich.edu/mechanical-aerospace/directory/lemmer" TargetMode="External"/><Relationship Id="rId1102" Type="http://schemas.openxmlformats.org/officeDocument/2006/relationships/hyperlink" Target="https://samueli.ucla.edu/people/robert-mcloskey/" TargetMode="External"/><Relationship Id="rId4258" Type="http://schemas.openxmlformats.org/officeDocument/2006/relationships/hyperlink" Target="https://engineering.missouri.edu/faculty/stephen-lombardo/" TargetMode="External"/><Relationship Id="rId4465" Type="http://schemas.openxmlformats.org/officeDocument/2006/relationships/hyperlink" Target="https://www.me.msstate.edu/people/faculty/aaron-smith/" TargetMode="External"/><Relationship Id="rId5309" Type="http://schemas.openxmlformats.org/officeDocument/2006/relationships/hyperlink" Target="https://mechanical.engineering.unt.edu/faculty/hector-r-siller" TargetMode="External"/><Relationship Id="rId3067" Type="http://schemas.openxmlformats.org/officeDocument/2006/relationships/hyperlink" Target="https://works.bepress.com/zhi-liang/about/" TargetMode="External"/><Relationship Id="rId3274" Type="http://schemas.openxmlformats.org/officeDocument/2006/relationships/hyperlink" Target="https://engineering.nyu.edu/faculty/nicholas-dizinno" TargetMode="External"/><Relationship Id="rId4118" Type="http://schemas.openxmlformats.org/officeDocument/2006/relationships/hyperlink" Target="https://mechanical.sdsu.edu/people/peiman-naseradinmousavi.aspx" TargetMode="External"/><Relationship Id="rId4672" Type="http://schemas.openxmlformats.org/officeDocument/2006/relationships/hyperlink" Target="https://www.sdsmt.edu/Directories/Personnel/Diwakar,-Prasoon/" TargetMode="External"/><Relationship Id="rId5516" Type="http://schemas.openxmlformats.org/officeDocument/2006/relationships/hyperlink" Target="https://www.slu.edu/science-and-engineering/academics/aerospace-and-mechanical-engineering/faculty/singh-susheel.php" TargetMode="External"/><Relationship Id="rId195" Type="http://schemas.openxmlformats.org/officeDocument/2006/relationships/hyperlink" Target="https://mce.caltech.edu/people/avouac" TargetMode="External"/><Relationship Id="rId1919" Type="http://schemas.openxmlformats.org/officeDocument/2006/relationships/hyperlink" Target="https://engineering.brown.edu/people/kurt-pennell" TargetMode="External"/><Relationship Id="rId3481" Type="http://schemas.openxmlformats.org/officeDocument/2006/relationships/hyperlink" Target="https://www.iit.edu/directory/people/michael-gosz" TargetMode="External"/><Relationship Id="rId4325" Type="http://schemas.openxmlformats.org/officeDocument/2006/relationships/hyperlink" Target="https://mae.statler.wvu.edu/faculty-staff" TargetMode="External"/><Relationship Id="rId4532" Type="http://schemas.openxmlformats.org/officeDocument/2006/relationships/hyperlink" Target="https://people.miami.edu/profile/9d2998936f27f2b0daa8828b8a709d0c" TargetMode="External"/><Relationship Id="rId2083" Type="http://schemas.openxmlformats.org/officeDocument/2006/relationships/hyperlink" Target="https://seas.yale.edu/faculty-research/faculty-directory/madhusudhan-venkadesan" TargetMode="External"/><Relationship Id="rId2290" Type="http://schemas.openxmlformats.org/officeDocument/2006/relationships/hyperlink" Target="https://www.mae.ncsu.edu/people/vnaraya3" TargetMode="External"/><Relationship Id="rId3134" Type="http://schemas.openxmlformats.org/officeDocument/2006/relationships/hyperlink" Target="https://mie.uic.edu/profiles/anand-sushant/" TargetMode="External"/><Relationship Id="rId3341" Type="http://schemas.openxmlformats.org/officeDocument/2006/relationships/hyperlink" Target="https://www.me.uh.edu/faculty/joshi" TargetMode="External"/><Relationship Id="rId262" Type="http://schemas.openxmlformats.org/officeDocument/2006/relationships/hyperlink" Target="https://www.me.gatech.edu/faculty/aidun" TargetMode="External"/><Relationship Id="rId2150" Type="http://schemas.openxmlformats.org/officeDocument/2006/relationships/hyperlink" Target="https://mae.ucdavis.edu/directory/shima-nazari" TargetMode="External"/><Relationship Id="rId3201" Type="http://schemas.openxmlformats.org/officeDocument/2006/relationships/hyperlink" Target="https://mabe.utk.edu/people/manikandan-palanisamy/" TargetMode="External"/><Relationship Id="rId5099" Type="http://schemas.openxmlformats.org/officeDocument/2006/relationships/hyperlink" Target="mailto:sbeladi@fiu.edu" TargetMode="External"/><Relationship Id="rId122" Type="http://schemas.openxmlformats.org/officeDocument/2006/relationships/hyperlink" Target="https://meche.mit.edu/people/staff/bavand@mit.edu" TargetMode="External"/><Relationship Id="rId2010" Type="http://schemas.openxmlformats.org/officeDocument/2006/relationships/hyperlink" Target="https://ame.nd.edu/faculty/" TargetMode="External"/><Relationship Id="rId5166" Type="http://schemas.openxmlformats.org/officeDocument/2006/relationships/hyperlink" Target="https://www.ohio.edu/engineering/about/people/trembly" TargetMode="External"/><Relationship Id="rId5373" Type="http://schemas.openxmlformats.org/officeDocument/2006/relationships/hyperlink" Target="https://nau.edu/mechanical-engineering/heidi-feigenbaum/" TargetMode="External"/><Relationship Id="rId1569" Type="http://schemas.openxmlformats.org/officeDocument/2006/relationships/hyperlink" Target="https://mae.osu.edu/people/ahmed.358" TargetMode="External"/><Relationship Id="rId2967" Type="http://schemas.openxmlformats.org/officeDocument/2006/relationships/hyperlink" Target="http://eng.auburn.edu/directory/nsj0015" TargetMode="External"/><Relationship Id="rId4182" Type="http://schemas.openxmlformats.org/officeDocument/2006/relationships/hyperlink" Target="http://engineering.uga.edu/people/profile/mi-geum-chorzepa-ph.d.-p.e.-leed-ap" TargetMode="External"/><Relationship Id="rId5026" Type="http://schemas.openxmlformats.org/officeDocument/2006/relationships/hyperlink" Target="https://www.unr.edu/me/people/yifei-jin" TargetMode="External"/><Relationship Id="rId5233" Type="http://schemas.openxmlformats.org/officeDocument/2006/relationships/hyperlink" Target="https://expertise.utep.edu/profiles/eshafirovich2" TargetMode="External"/><Relationship Id="rId5440" Type="http://schemas.openxmlformats.org/officeDocument/2006/relationships/hyperlink" Target="https://wmich.edu/mechanical-aerospace/directory/ari-gur" TargetMode="External"/><Relationship Id="rId939" Type="http://schemas.openxmlformats.org/officeDocument/2006/relationships/hyperlink" Target="https://www.mccormick.northwestern.edu/mechanical/research/areas/micro-nanoengineering.html" TargetMode="External"/><Relationship Id="rId1776" Type="http://schemas.openxmlformats.org/officeDocument/2006/relationships/hyperlink" Target="https://mae.ufl.edu/people/faculty/primary/associate-professor/profiles/richard-lind/" TargetMode="External"/><Relationship Id="rId1983" Type="http://schemas.openxmlformats.org/officeDocument/2006/relationships/hyperlink" Target="https://me.ucsb.edu/people/elliot-hawkes" TargetMode="External"/><Relationship Id="rId2827" Type="http://schemas.openxmlformats.org/officeDocument/2006/relationships/hyperlink" Target="https://me.engr.uconn.edu/blog/faculty/bilal-osama/" TargetMode="External"/><Relationship Id="rId4042" Type="http://schemas.openxmlformats.org/officeDocument/2006/relationships/hyperlink" Target="https://www.clarkson.edu/node/5451" TargetMode="External"/><Relationship Id="rId68" Type="http://schemas.openxmlformats.org/officeDocument/2006/relationships/hyperlink" Target="https://meche.mit.edu/people/faculty/sapsis@MIT.EDU" TargetMode="External"/><Relationship Id="rId1429" Type="http://schemas.openxmlformats.org/officeDocument/2006/relationships/hyperlink" Target="https://me.vt.edu/people/faculty/zhang-jinsuo.html" TargetMode="External"/><Relationship Id="rId1636" Type="http://schemas.openxmlformats.org/officeDocument/2006/relationships/hyperlink" Target="https://profiles.rice.edu/faculty/raudel-avila" TargetMode="External"/><Relationship Id="rId1843" Type="http://schemas.openxmlformats.org/officeDocument/2006/relationships/hyperlink" Target="https://www.me.washington.edu/people/faculty/alberto_aliseda" TargetMode="External"/><Relationship Id="rId4999" Type="http://schemas.openxmlformats.org/officeDocument/2006/relationships/hyperlink" Target="https://umaine.edu/mecheng/caccesse/" TargetMode="External"/><Relationship Id="rId5300" Type="http://schemas.openxmlformats.org/officeDocument/2006/relationships/hyperlink" Target="https://mechanical.engineering.unt.edu/faculty/david-nowicki" TargetMode="External"/><Relationship Id="rId1703" Type="http://schemas.openxmlformats.org/officeDocument/2006/relationships/hyperlink" Target="https://www.colorado.edu/mechanical/jeremy-koch" TargetMode="External"/><Relationship Id="rId1910" Type="http://schemas.openxmlformats.org/officeDocument/2006/relationships/hyperlink" Target="https://engineering.brown.edu/people/sharvan-kumar" TargetMode="External"/><Relationship Id="rId4859" Type="http://schemas.openxmlformats.org/officeDocument/2006/relationships/hyperlink" Target="https://www.fit.edu/mechanical-and-civil-engineering/" TargetMode="External"/><Relationship Id="rId3668" Type="http://schemas.openxmlformats.org/officeDocument/2006/relationships/hyperlink" Target="https://ceat.okstate.edu/mae/faculty-staff/index.html" TargetMode="External"/><Relationship Id="rId3875" Type="http://schemas.openxmlformats.org/officeDocument/2006/relationships/hyperlink" Target="https://engineering.unl.edu/mme/mehrdad-negahban/" TargetMode="External"/><Relationship Id="rId4719" Type="http://schemas.openxmlformats.org/officeDocument/2006/relationships/hyperlink" Target="https://eas.uccs.edu/mae/faculty/Matt_Quinlan" TargetMode="External"/><Relationship Id="rId4926" Type="http://schemas.openxmlformats.org/officeDocument/2006/relationships/hyperlink" Target="https://uakron.edu/engineering/me/our-people/profile.dot?u=xgao" TargetMode="External"/><Relationship Id="rId589" Type="http://schemas.openxmlformats.org/officeDocument/2006/relationships/hyperlink" Target="https://engineering.purdue.edu/ME/People/ptProfile?resource_id=28413" TargetMode="External"/><Relationship Id="rId796" Type="http://schemas.openxmlformats.org/officeDocument/2006/relationships/hyperlink" Target="https://www.me.utexas.edu/people/faculty-directory/manthiram" TargetMode="External"/><Relationship Id="rId2477" Type="http://schemas.openxmlformats.org/officeDocument/2006/relationships/hyperlink" Target="https://www.bu.edu/eng/profile/stephan-anderson/" TargetMode="External"/><Relationship Id="rId2684" Type="http://schemas.openxmlformats.org/officeDocument/2006/relationships/hyperlink" Target="https://www.clemson.edu/cecas/departments/me/people/faculty/tong.html" TargetMode="External"/><Relationship Id="rId3528" Type="http://schemas.openxmlformats.org/officeDocument/2006/relationships/hyperlink" Target="https://www.mtu.edu/mechanical/people/faculty/parker/" TargetMode="External"/><Relationship Id="rId3735" Type="http://schemas.openxmlformats.org/officeDocument/2006/relationships/hyperlink" Target="https://eng.ua.edu/eng-directory/dr-anahita-zargarani/" TargetMode="External"/><Relationship Id="rId5090" Type="http://schemas.openxmlformats.org/officeDocument/2006/relationships/hyperlink" Target="https://mme.fiu.edu/faculty-staff-members/alicia-boymelgreen" TargetMode="External"/><Relationship Id="rId449" Type="http://schemas.openxmlformats.org/officeDocument/2006/relationships/hyperlink" Target="https://me.engin.umich.edu/people/faculty/michael-bernitsas/" TargetMode="External"/><Relationship Id="rId656" Type="http://schemas.openxmlformats.org/officeDocument/2006/relationships/hyperlink" Target="https://www.engineering.cornell.edu/faculty-directory/mason-peck" TargetMode="External"/><Relationship Id="rId863" Type="http://schemas.openxmlformats.org/officeDocument/2006/relationships/hyperlink" Target="https://www.mccormick.northwestern.edu/research-faculty/directory/profiles/guo-ping.html" TargetMode="External"/><Relationship Id="rId1079" Type="http://schemas.openxmlformats.org/officeDocument/2006/relationships/hyperlink" Target="https://samueli.ucla.edu/people/tyler-clites/" TargetMode="External"/><Relationship Id="rId1286" Type="http://schemas.openxmlformats.org/officeDocument/2006/relationships/hyperlink" Target="https://directory.seas.upenn.edu/noam-lior/" TargetMode="External"/><Relationship Id="rId1493" Type="http://schemas.openxmlformats.org/officeDocument/2006/relationships/hyperlink" Target="https://jacobsschool.ucsd.edu/faculty/profile?id=150" TargetMode="External"/><Relationship Id="rId2337" Type="http://schemas.openxmlformats.org/officeDocument/2006/relationships/hyperlink" Target="https://engineering.virginia.edu/faculty/lin-ma" TargetMode="External"/><Relationship Id="rId2544" Type="http://schemas.openxmlformats.org/officeDocument/2006/relationships/hyperlink" Target="https://mechanical.mines.edu/project/geer-stephen/" TargetMode="External"/><Relationship Id="rId2891" Type="http://schemas.openxmlformats.org/officeDocument/2006/relationships/hyperlink" Target="https://premium.usnews.com/best-graduate-schools/top-engineering-schools/university-of-pittsburgh-pittsburgh-campus-02157" TargetMode="External"/><Relationship Id="rId3942" Type="http://schemas.openxmlformats.org/officeDocument/2006/relationships/hyperlink" Target="http://www.hajim.rochester.edu/me/people/faculty/kelley_doug/index.html" TargetMode="External"/><Relationship Id="rId309" Type="http://schemas.openxmlformats.org/officeDocument/2006/relationships/hyperlink" Target="https://www.me.gatech.edu/faculty/linsey" TargetMode="External"/><Relationship Id="rId516" Type="http://schemas.openxmlformats.org/officeDocument/2006/relationships/hyperlink" Target="https://me.engin.umich.edu/people/faculty/steve-skerlos/" TargetMode="External"/><Relationship Id="rId1146" Type="http://schemas.openxmlformats.org/officeDocument/2006/relationships/hyperlink" Target="https://www.me.psu.edu/department/directory-detail-g.aspx?q=MBP11" TargetMode="External"/><Relationship Id="rId2751" Type="http://schemas.openxmlformats.org/officeDocument/2006/relationships/hyperlink" Target="https://engineering.tufts.edu/me/node/3081" TargetMode="External"/><Relationship Id="rId3802" Type="http://schemas.openxmlformats.org/officeDocument/2006/relationships/hyperlink" Target="https://www.uah.edu/eng/departments/mae/faculty-staff/judy-schneider" TargetMode="External"/><Relationship Id="rId723" Type="http://schemas.openxmlformats.org/officeDocument/2006/relationships/hyperlink" Target="https://www.meche.engineering.cmu.edu/directory/bios/gomez-nestor.html" TargetMode="External"/><Relationship Id="rId930" Type="http://schemas.openxmlformats.org/officeDocument/2006/relationships/hyperlink" Target="https://www.mccormick.northwestern.edu/mechanical/research/areas/energy-sustainability.html" TargetMode="External"/><Relationship Id="rId1006" Type="http://schemas.openxmlformats.org/officeDocument/2006/relationships/hyperlink" Target="https://engineering.tamu.edu/mechanical/profiles/haglund-john.html" TargetMode="External"/><Relationship Id="rId1353" Type="http://schemas.openxmlformats.org/officeDocument/2006/relationships/hyperlink" Target="https://directory.engr.wisc.edu/me/Faculty/Wehner_Michael/" TargetMode="External"/><Relationship Id="rId1560" Type="http://schemas.openxmlformats.org/officeDocument/2006/relationships/hyperlink" Target="https://mems.duke.edu/faculty/adrienne-stiff-roberts" TargetMode="External"/><Relationship Id="rId2404" Type="http://schemas.openxmlformats.org/officeDocument/2006/relationships/hyperlink" Target="https://www.egr.msu.edu/people/profile/alliso63" TargetMode="External"/><Relationship Id="rId2611" Type="http://schemas.openxmlformats.org/officeDocument/2006/relationships/hyperlink" Target="https://mae.rutgers.edu/jerry-shan" TargetMode="External"/><Relationship Id="rId1213" Type="http://schemas.openxmlformats.org/officeDocument/2006/relationships/hyperlink" Target="https://enme.umd.edu/clark/faculty/1292/Eleonora-Tubaldi" TargetMode="External"/><Relationship Id="rId1420" Type="http://schemas.openxmlformats.org/officeDocument/2006/relationships/hyperlink" Target="https://me.vt.edu/people/faculty/tafti-danesh.html" TargetMode="External"/><Relationship Id="rId4369" Type="http://schemas.openxmlformats.org/officeDocument/2006/relationships/hyperlink" Target="https://www.ecs.baylor.edu/person/dr-trevor-fleck" TargetMode="External"/><Relationship Id="rId4576" Type="http://schemas.openxmlformats.org/officeDocument/2006/relationships/hyperlink" Target="https://www.ou.edu/coe/ame/people/saha.html" TargetMode="External"/><Relationship Id="rId4783" Type="http://schemas.openxmlformats.org/officeDocument/2006/relationships/hyperlink" Target="https://ceps.unh.edu/person/tracy-mandel" TargetMode="External"/><Relationship Id="rId4990" Type="http://schemas.openxmlformats.org/officeDocument/2006/relationships/hyperlink" Target="https://engineering.louisville.edu/faculty/badri-narayanan/" TargetMode="External"/><Relationship Id="rId3178" Type="http://schemas.openxmlformats.org/officeDocument/2006/relationships/hyperlink" Target="https://mabe.utk.edu/people/chad-duty-3/" TargetMode="External"/><Relationship Id="rId3385" Type="http://schemas.openxmlformats.org/officeDocument/2006/relationships/hyperlink" Target="https://mme.wsu.edu/faculty/m-grant-norton/" TargetMode="External"/><Relationship Id="rId3592" Type="http://schemas.openxmlformats.org/officeDocument/2006/relationships/hyperlink" Target="https://ecs.syracuse.edu/faculty-staff/uptal-roy" TargetMode="External"/><Relationship Id="rId4229" Type="http://schemas.openxmlformats.org/officeDocument/2006/relationships/hyperlink" Target="https://me.ku.edu/people/ken-fischer" TargetMode="External"/><Relationship Id="rId4436" Type="http://schemas.openxmlformats.org/officeDocument/2006/relationships/hyperlink" Target="https://www.lsu.edu/eng/mie/people/faculty/palardy.php" TargetMode="External"/><Relationship Id="rId4643" Type="http://schemas.openxmlformats.org/officeDocument/2006/relationships/hyperlink" Target="https://profiles.howard.edu/gbadebo-owolabi" TargetMode="External"/><Relationship Id="rId4850" Type="http://schemas.openxmlformats.org/officeDocument/2006/relationships/hyperlink" Target="https://engineering.wayne.edu/profile/aa0008" TargetMode="External"/><Relationship Id="rId2194" Type="http://schemas.openxmlformats.org/officeDocument/2006/relationships/hyperlink" Target="https://engineering.uci.edu/users/william-sirignano" TargetMode="External"/><Relationship Id="rId3038" Type="http://schemas.openxmlformats.org/officeDocument/2006/relationships/hyperlink" Target="https://engineering.lehigh.edu/meche/faculty/969" TargetMode="External"/><Relationship Id="rId3245" Type="http://schemas.openxmlformats.org/officeDocument/2006/relationships/hyperlink" Target="https://www.engr.colostate.edu/me/faculty/dr-ketul-popat/" TargetMode="External"/><Relationship Id="rId3452" Type="http://schemas.openxmlformats.org/officeDocument/2006/relationships/hyperlink" Target="https://www.me.byu.edu/directory/brian-iverson" TargetMode="External"/><Relationship Id="rId4503" Type="http://schemas.openxmlformats.org/officeDocument/2006/relationships/hyperlink" Target="https://me.ucmerced.edu/content/roland-winston" TargetMode="External"/><Relationship Id="rId4710" Type="http://schemas.openxmlformats.org/officeDocument/2006/relationships/hyperlink" Target="https://mechanical-engineering.uark.edu/Directory/index/uid/mzou/name/Min+Zou/" TargetMode="External"/><Relationship Id="rId166" Type="http://schemas.openxmlformats.org/officeDocument/2006/relationships/hyperlink" Target="https://me.stanford.edu/people/beverley-mckeon" TargetMode="External"/><Relationship Id="rId373" Type="http://schemas.openxmlformats.org/officeDocument/2006/relationships/hyperlink" Target="https://mechse.illinois.edu/people/profile/lpchamo" TargetMode="External"/><Relationship Id="rId580" Type="http://schemas.openxmlformats.org/officeDocument/2006/relationships/hyperlink" Target="https://engineering.purdue.edu/ME/People/ptProfile?resource_id=10894" TargetMode="External"/><Relationship Id="rId2054" Type="http://schemas.openxmlformats.org/officeDocument/2006/relationships/hyperlink" Target="https://ame.nd.edu/faculty/meng-wang/" TargetMode="External"/><Relationship Id="rId2261" Type="http://schemas.openxmlformats.org/officeDocument/2006/relationships/hyperlink" Target="https://www.mae.ncsu.edu/people/gbuckner" TargetMode="External"/><Relationship Id="rId3105" Type="http://schemas.openxmlformats.org/officeDocument/2006/relationships/hyperlink" Target="https://nps.edu/faculty-profiles/-/cv/mromano" TargetMode="External"/><Relationship Id="rId3312" Type="http://schemas.openxmlformats.org/officeDocument/2006/relationships/hyperlink" Target="https://researchdirectory.uc.edu/p/kumarmu" TargetMode="External"/><Relationship Id="rId233" Type="http://schemas.openxmlformats.org/officeDocument/2006/relationships/hyperlink" Target="https://me.berkeley.edu/people/liwei-lin/" TargetMode="External"/><Relationship Id="rId440" Type="http://schemas.openxmlformats.org/officeDocument/2006/relationships/hyperlink" Target="https://me.engin.umich.edu/people/faculty/mitra-aliabouzar/" TargetMode="External"/><Relationship Id="rId1070" Type="http://schemas.openxmlformats.org/officeDocument/2006/relationships/hyperlink" Target="https://engineering.tamu.edu/mechanical/profiles/wilkerson-justin.html" TargetMode="External"/><Relationship Id="rId2121" Type="http://schemas.openxmlformats.org/officeDocument/2006/relationships/hyperlink" Target="https://isearch.asu.edu/profile/1019745" TargetMode="External"/><Relationship Id="rId5277" Type="http://schemas.openxmlformats.org/officeDocument/2006/relationships/hyperlink" Target="https://www.unlv.edu/people/seungman-park-phd" TargetMode="External"/><Relationship Id="rId5484" Type="http://schemas.openxmlformats.org/officeDocument/2006/relationships/hyperlink" Target="https://www.oakland.edu/secs/directory/chang" TargetMode="External"/><Relationship Id="rId300" Type="http://schemas.openxmlformats.org/officeDocument/2006/relationships/hyperlink" Target="https://www.me.gatech.edu/faculty/kotlyar" TargetMode="External"/><Relationship Id="rId4086" Type="http://schemas.openxmlformats.org/officeDocument/2006/relationships/hyperlink" Target="https://www.mne.k-state.edu/about/people/faculty/derby/" TargetMode="External"/><Relationship Id="rId5137" Type="http://schemas.openxmlformats.org/officeDocument/2006/relationships/hyperlink" Target="https://www.marquette.edu/mechanical-engineering/directory/john-borg.php" TargetMode="External"/><Relationship Id="rId1887" Type="http://schemas.openxmlformats.org/officeDocument/2006/relationships/hyperlink" Target="https://engineering.brown.edu/people/rod-beresford" TargetMode="External"/><Relationship Id="rId2938" Type="http://schemas.openxmlformats.org/officeDocument/2006/relationships/hyperlink" Target="https://www.engineering.pitt.edu/people/faculty/rory-cooper/" TargetMode="External"/><Relationship Id="rId4293" Type="http://schemas.openxmlformats.org/officeDocument/2006/relationships/hyperlink" Target="https://www1.villanova.edu/university/engineering/academic-programs/departments/mechanical/directory/biodetail.html?mail=ani.ural@villanova.edu&amp;xsl=bio_long" TargetMode="External"/><Relationship Id="rId5344" Type="http://schemas.openxmlformats.org/officeDocument/2006/relationships/hyperlink" Target="https://www.fau.edu/engineering/directory/faculty/glegg/" TargetMode="External"/><Relationship Id="rId5551" Type="http://schemas.openxmlformats.org/officeDocument/2006/relationships/hyperlink" Target="https://und.edu/directory/dk.zahui" TargetMode="External"/><Relationship Id="rId1747" Type="http://schemas.openxmlformats.org/officeDocument/2006/relationships/hyperlink" Target="https://mae.ufl.edu/people/faculty/primary/professor/profiles/jacob-chung/" TargetMode="External"/><Relationship Id="rId1954" Type="http://schemas.openxmlformats.org/officeDocument/2006/relationships/hyperlink" Target="https://faculty.rpi.edu/thierry-blanchet" TargetMode="External"/><Relationship Id="rId4153" Type="http://schemas.openxmlformats.org/officeDocument/2006/relationships/hyperlink" Target="https://www.depts.ttu.edu/me/faculty/jeff_hanson/index.php" TargetMode="External"/><Relationship Id="rId4360" Type="http://schemas.openxmlformats.org/officeDocument/2006/relationships/hyperlink" Target="https://directory.statler.wvu.edu/faculty-staff-directory/emily-spayde" TargetMode="External"/><Relationship Id="rId5204" Type="http://schemas.openxmlformats.org/officeDocument/2006/relationships/hyperlink" Target="https://engineering.siu.edu/me/faculty-staff/faculty/jung.php" TargetMode="External"/><Relationship Id="rId5411" Type="http://schemas.openxmlformats.org/officeDocument/2006/relationships/hyperlink" Target="https://directory.ualr.edu/search?p=1031" TargetMode="External"/><Relationship Id="rId39" Type="http://schemas.openxmlformats.org/officeDocument/2006/relationships/hyperlink" Target="https://meche.mit.edu/people/faculty/hardt@mit.edu" TargetMode="External"/><Relationship Id="rId1607" Type="http://schemas.openxmlformats.org/officeDocument/2006/relationships/hyperlink" Target="https://mae.osu.edu/people/pourboghrat.2" TargetMode="External"/><Relationship Id="rId1814" Type="http://schemas.openxmlformats.org/officeDocument/2006/relationships/hyperlink" Target="https://viterbi.usc.edu/directory/faculty/Newton/Paul" TargetMode="External"/><Relationship Id="rId4013" Type="http://schemas.openxmlformats.org/officeDocument/2006/relationships/hyperlink" Target="https://www.binghamton.edu/mechanical-engineering/people/profile.html?id=jaeholee" TargetMode="External"/><Relationship Id="rId4220" Type="http://schemas.openxmlformats.org/officeDocument/2006/relationships/hyperlink" Target="http://engineering.uga.edu/people/profile/timothy-whitmoyer-ph.d" TargetMode="External"/><Relationship Id="rId3779" Type="http://schemas.openxmlformats.org/officeDocument/2006/relationships/hyperlink" Target="https://www.uta.edu/academics/faculty/profile?username=tong" TargetMode="External"/><Relationship Id="rId2588" Type="http://schemas.openxmlformats.org/officeDocument/2006/relationships/hyperlink" Target="https://mae.rutgers.edu/gerardo-callegari" TargetMode="External"/><Relationship Id="rId3986" Type="http://schemas.openxmlformats.org/officeDocument/2006/relationships/hyperlink" Target="https://sc.edu/study/colleges_schools/engineering_and_computing/faculty-staff/yue_stanley_ling.php" TargetMode="External"/><Relationship Id="rId1397" Type="http://schemas.openxmlformats.org/officeDocument/2006/relationships/hyperlink" Target="https://me.vt.edu/people/faculty/leonessa-alexander.html" TargetMode="External"/><Relationship Id="rId2795" Type="http://schemas.openxmlformats.org/officeDocument/2006/relationships/hyperlink" Target="https://engineering.buffalo.edu/mechanical-aerospace/people/faculty/teaching.host.html/content/shared/engineering/mechanical-aerospace/profiles/stamm-jennifer.detail.html" TargetMode="External"/><Relationship Id="rId3639" Type="http://schemas.openxmlformats.org/officeDocument/2006/relationships/hyperlink" Target="https://me.utdallas.edu/faculty-staff/yue-zhou/" TargetMode="External"/><Relationship Id="rId3846" Type="http://schemas.openxmlformats.org/officeDocument/2006/relationships/hyperlink" Target="https://www.engr.uky.edu/directory/sun-xingsheng" TargetMode="External"/><Relationship Id="rId5061" Type="http://schemas.openxmlformats.org/officeDocument/2006/relationships/hyperlink" Target="https://www.wichita.edu/profiles/academics/engineering/mechanical_engineering/01_Faculty/Wei-Wei.php" TargetMode="External"/><Relationship Id="rId767" Type="http://schemas.openxmlformats.org/officeDocument/2006/relationships/hyperlink" Target="https://www.me.utexas.edu/people/faculty-directory/chen" TargetMode="External"/><Relationship Id="rId974" Type="http://schemas.openxmlformats.org/officeDocument/2006/relationships/hyperlink" Target="https://me.jhu.edu/faculty/gretar-tryggvason/" TargetMode="External"/><Relationship Id="rId2448" Type="http://schemas.openxmlformats.org/officeDocument/2006/relationships/hyperlink" Target="https://www.egr.msu.edu/people/profile/xbtan" TargetMode="External"/><Relationship Id="rId2655" Type="http://schemas.openxmlformats.org/officeDocument/2006/relationships/hyperlink" Target="https://www.clemson.edu/cecas/departments/me/people/index.html" TargetMode="External"/><Relationship Id="rId2862" Type="http://schemas.openxmlformats.org/officeDocument/2006/relationships/hyperlink" Target="https://me.engr.uconn.edu/blog/faculty/sung-chih-jen-jackie/" TargetMode="External"/><Relationship Id="rId3706" Type="http://schemas.openxmlformats.org/officeDocument/2006/relationships/hyperlink" Target="https://eng.ua.edu/eng-directory/dr-bharat-balasubramanian/" TargetMode="External"/><Relationship Id="rId3913" Type="http://schemas.openxmlformats.org/officeDocument/2006/relationships/hyperlink" Target="https://mees.charlotte.edu/directory/ronald-e-smelser" TargetMode="External"/><Relationship Id="rId627" Type="http://schemas.openxmlformats.org/officeDocument/2006/relationships/hyperlink" Target="https://engineering.purdue.edu/ME/People/ptProfile?resource_id=11641" TargetMode="External"/><Relationship Id="rId834" Type="http://schemas.openxmlformats.org/officeDocument/2006/relationships/hyperlink" Target="https://www.mccormick.northwestern.edu/mechanical/research/areas/advanced-manufacturing.html" TargetMode="External"/><Relationship Id="rId1257" Type="http://schemas.openxmlformats.org/officeDocument/2006/relationships/hyperlink" Target="https://cse.umn.edu/me/kim-stelson" TargetMode="External"/><Relationship Id="rId1464" Type="http://schemas.openxmlformats.org/officeDocument/2006/relationships/hyperlink" Target="https://jacobsschool.ucsd.edu/faculty/profile?id=488" TargetMode="External"/><Relationship Id="rId1671" Type="http://schemas.openxmlformats.org/officeDocument/2006/relationships/hyperlink" Target="https://www.me.columbia.edu/faculty/p-james-schuck" TargetMode="External"/><Relationship Id="rId2308" Type="http://schemas.openxmlformats.org/officeDocument/2006/relationships/hyperlink" Target="https://www.mae.ncsu.edu/people/chi-an-yeh" TargetMode="External"/><Relationship Id="rId2515" Type="http://schemas.openxmlformats.org/officeDocument/2006/relationships/hyperlink" Target="https://www.bu.edu/eng/profile/alyssa-pierson-ph-d/" TargetMode="External"/><Relationship Id="rId2722" Type="http://schemas.openxmlformats.org/officeDocument/2006/relationships/hyperlink" Target="https://drexel.edu/engineering/about/faculty-staff/P/peters-christopher/" TargetMode="External"/><Relationship Id="rId901" Type="http://schemas.openxmlformats.org/officeDocument/2006/relationships/hyperlink" Target="https://www.mccormick.northwestern.edu/mechanical/research/areas/micro-nanoengineering.html" TargetMode="External"/><Relationship Id="rId1117" Type="http://schemas.openxmlformats.org/officeDocument/2006/relationships/hyperlink" Target="https://www.me.psu.edu/department/directory-detail-g.aspx?q=mzb5025" TargetMode="External"/><Relationship Id="rId1324" Type="http://schemas.openxmlformats.org/officeDocument/2006/relationships/hyperlink" Target="https://directory.engr.wisc.edu/me/Faculty/Mahvi_Allison/" TargetMode="External"/><Relationship Id="rId1531" Type="http://schemas.openxmlformats.org/officeDocument/2006/relationships/hyperlink" Target="https://mems.duke.edu/faculty/liang-feng" TargetMode="External"/><Relationship Id="rId4687" Type="http://schemas.openxmlformats.org/officeDocument/2006/relationships/hyperlink" Target="https://mechanical-engineering.uark.edu/Directory/index/uid/malmahak/name/Mohamed+Almahakeri/" TargetMode="External"/><Relationship Id="rId4894" Type="http://schemas.openxmlformats.org/officeDocument/2006/relationships/hyperlink" Target="https://www.ncat.edu/employee-bio.php?directoryID=552206654" TargetMode="External"/><Relationship Id="rId30" Type="http://schemas.openxmlformats.org/officeDocument/2006/relationships/hyperlink" Target="https://meche.mit.edu/people/faculty/silideng@mit.edu" TargetMode="External"/><Relationship Id="rId3289" Type="http://schemas.openxmlformats.org/officeDocument/2006/relationships/hyperlink" Target="http://mae.ucf.edu/person/tuhin-das/" TargetMode="External"/><Relationship Id="rId3496" Type="http://schemas.openxmlformats.org/officeDocument/2006/relationships/hyperlink" Target="https://www.iit.edu/directory/people/jeff-terry" TargetMode="External"/><Relationship Id="rId4547" Type="http://schemas.openxmlformats.org/officeDocument/2006/relationships/hyperlink" Target="https://me.unm.edu/about/directory/faculty/gowtham-mohan.html" TargetMode="External"/><Relationship Id="rId4754" Type="http://schemas.openxmlformats.org/officeDocument/2006/relationships/hyperlink" Target="https://umdearborn.edu/people-um-dearborn/amanda-esquivel" TargetMode="External"/><Relationship Id="rId2098" Type="http://schemas.openxmlformats.org/officeDocument/2006/relationships/hyperlink" Target="https://isearch.asu.edu/profile/3167494" TargetMode="External"/><Relationship Id="rId3149" Type="http://schemas.openxmlformats.org/officeDocument/2006/relationships/hyperlink" Target="https://mie.uic.edu/profiles/yayue-pan/" TargetMode="External"/><Relationship Id="rId3356" Type="http://schemas.openxmlformats.org/officeDocument/2006/relationships/hyperlink" Target="https://www.mech.utah.edu/directory/faculty/" TargetMode="External"/><Relationship Id="rId3563" Type="http://schemas.openxmlformats.org/officeDocument/2006/relationships/hyperlink" Target="https://www.stevens.edu/profile/msalman" TargetMode="External"/><Relationship Id="rId4407" Type="http://schemas.openxmlformats.org/officeDocument/2006/relationships/hyperlink" Target="https://eng.famu.fsu.edu/me/people/mcconomy" TargetMode="External"/><Relationship Id="rId4961" Type="http://schemas.openxmlformats.org/officeDocument/2006/relationships/hyperlink" Target="https://www.uab.edu/engineering/mme/people/faculty/vinoy-thomas" TargetMode="External"/><Relationship Id="rId277" Type="http://schemas.openxmlformats.org/officeDocument/2006/relationships/hyperlink" Target="https://www.me.gatech.edu/faculty/dewji" TargetMode="External"/><Relationship Id="rId484" Type="http://schemas.openxmlformats.org/officeDocument/2006/relationships/hyperlink" Target="https://me.engin.umich.edu/people/faculty/eric-johnsen/" TargetMode="External"/><Relationship Id="rId2165" Type="http://schemas.openxmlformats.org/officeDocument/2006/relationships/hyperlink" Target="https://mae.ucdavis.edu/directory/mason-earles" TargetMode="External"/><Relationship Id="rId3009" Type="http://schemas.openxmlformats.org/officeDocument/2006/relationships/hyperlink" Target="https://www.mae.seas.gwu.edu/node/1476" TargetMode="External"/><Relationship Id="rId3216" Type="http://schemas.openxmlformats.org/officeDocument/2006/relationships/hyperlink" Target="https://mabe.utk.edu/people/kwai-l-wong/" TargetMode="External"/><Relationship Id="rId3770" Type="http://schemas.openxmlformats.org/officeDocument/2006/relationships/hyperlink" Target="https://www.uta.edu/academics/faculty/profile?username=makeev" TargetMode="External"/><Relationship Id="rId4614" Type="http://schemas.openxmlformats.org/officeDocument/2006/relationships/hyperlink" Target="https://uwm.edu/engineering/people/rahman-mohammad/" TargetMode="External"/><Relationship Id="rId4821" Type="http://schemas.openxmlformats.org/officeDocument/2006/relationships/hyperlink" Target="https://klesse.utsa.edu/faculty/profiles/wang-xiaodu.html" TargetMode="External"/><Relationship Id="rId137" Type="http://schemas.openxmlformats.org/officeDocument/2006/relationships/hyperlink" Target="https://meche.mit.edu/people/staff/wwarman@mit.edu" TargetMode="External"/><Relationship Id="rId344" Type="http://schemas.openxmlformats.org/officeDocument/2006/relationships/hyperlink" Target="https://www.me.gatech.edu/faculty/thomas" TargetMode="External"/><Relationship Id="rId691" Type="http://schemas.openxmlformats.org/officeDocument/2006/relationships/hyperlink" Target="https://mae.princeton.edu/people/faculty/carter" TargetMode="External"/><Relationship Id="rId2025" Type="http://schemas.openxmlformats.org/officeDocument/2006/relationships/hyperlink" Target="https://ame.nd.edu/faculty/maria-holland/" TargetMode="External"/><Relationship Id="rId2372" Type="http://schemas.openxmlformats.org/officeDocument/2006/relationships/hyperlink" Target="https://engineering.wustl.edu/faculty/David-Peters.html" TargetMode="External"/><Relationship Id="rId3423" Type="http://schemas.openxmlformats.org/officeDocument/2006/relationships/hyperlink" Target="https://www.wpi.edu/people/faculty/acsabuncu" TargetMode="External"/><Relationship Id="rId3630" Type="http://schemas.openxmlformats.org/officeDocument/2006/relationships/hyperlink" Target="https://me.utdallas.edu/faculty-staff/tyler-summers/" TargetMode="External"/><Relationship Id="rId551" Type="http://schemas.openxmlformats.org/officeDocument/2006/relationships/hyperlink" Target="https://engineering.purdue.edu/ME/People/ptProfile?resource_id=51789" TargetMode="External"/><Relationship Id="rId1181" Type="http://schemas.openxmlformats.org/officeDocument/2006/relationships/hyperlink" Target="https://enme.umd.edu/clark/faculty/531/Don-DeVoe" TargetMode="External"/><Relationship Id="rId2232" Type="http://schemas.openxmlformats.org/officeDocument/2006/relationships/hyperlink" Target="https://www.me.iastate.edu/faculty/profile/jmichael" TargetMode="External"/><Relationship Id="rId5388" Type="http://schemas.openxmlformats.org/officeDocument/2006/relationships/hyperlink" Target="https://www.sdstate.edu/directory/marco-ciarcia" TargetMode="External"/><Relationship Id="rId204" Type="http://schemas.openxmlformats.org/officeDocument/2006/relationships/hyperlink" Target="https://mce.caltech.edu/people/jrgreer" TargetMode="External"/><Relationship Id="rId411" Type="http://schemas.openxmlformats.org/officeDocument/2006/relationships/hyperlink" Target="https://mechse.illinois.edu/people/profile/martinos" TargetMode="External"/><Relationship Id="rId1041" Type="http://schemas.openxmlformats.org/officeDocument/2006/relationships/hyperlink" Target="https://engineering.tamu.edu/mechanical/profiles/pagilla-prabhakar.html" TargetMode="External"/><Relationship Id="rId1998" Type="http://schemas.openxmlformats.org/officeDocument/2006/relationships/hyperlink" Target="https://me.ucsb.edu/people/ryan-stowers" TargetMode="External"/><Relationship Id="rId4197" Type="http://schemas.openxmlformats.org/officeDocument/2006/relationships/hyperlink" Target="http://engineering.uga.edu/people/profile/donald-j.-leo" TargetMode="External"/><Relationship Id="rId5248" Type="http://schemas.openxmlformats.org/officeDocument/2006/relationships/hyperlink" Target="https://www.uidaho.edu/engr/our-people/larry-stauffer" TargetMode="External"/><Relationship Id="rId5455" Type="http://schemas.openxmlformats.org/officeDocument/2006/relationships/hyperlink" Target="https://wmich.edu/mechanical-aerospace/directory/roy" TargetMode="External"/><Relationship Id="rId1858" Type="http://schemas.openxmlformats.org/officeDocument/2006/relationships/hyperlink" Target="https://www.me.washington.edu/people/faculty/john_kramlich" TargetMode="External"/><Relationship Id="rId4057" Type="http://schemas.openxmlformats.org/officeDocument/2006/relationships/hyperlink" Target="https://daytonabeach.erau.edu/college-engineering/mechanical/faculty?p=2" TargetMode="External"/><Relationship Id="rId4264" Type="http://schemas.openxmlformats.org/officeDocument/2006/relationships/hyperlink" Target="https://engineering.missouri.edu/faculty/chanwoo-park/" TargetMode="External"/><Relationship Id="rId4471" Type="http://schemas.openxmlformats.org/officeDocument/2006/relationships/hyperlink" Target="https://www.smu.edu/Lyle/Departments/ME/People/Faculty/BorzovaElena" TargetMode="External"/><Relationship Id="rId5108" Type="http://schemas.openxmlformats.org/officeDocument/2006/relationships/hyperlink" Target="https://mme.fiu.edu/faculty-staff-members/carmen-muller-karger" TargetMode="External"/><Relationship Id="rId5315" Type="http://schemas.openxmlformats.org/officeDocument/2006/relationships/hyperlink" Target="https://mechanical.engineering.unt.edu/faculty/richard-z-zhang" TargetMode="External"/><Relationship Id="rId5522" Type="http://schemas.openxmlformats.org/officeDocument/2006/relationships/hyperlink" Target="https://www.slu.edu/science-and-engineering/academics/aerospace-and-mechanical-engineering/faculty/jayaram-sanjay.php" TargetMode="External"/><Relationship Id="rId2909" Type="http://schemas.openxmlformats.org/officeDocument/2006/relationships/hyperlink" Target="https://www.engineering.pitt.edu/people/faculty/tony-kerzmann/" TargetMode="External"/><Relationship Id="rId3073" Type="http://schemas.openxmlformats.org/officeDocument/2006/relationships/hyperlink" Target="https://works.bepress.com/anthony-okafor/about/" TargetMode="External"/><Relationship Id="rId3280" Type="http://schemas.openxmlformats.org/officeDocument/2006/relationships/hyperlink" Target="https://engineering.nyu.edu/faculty/nialah-wilson-small" TargetMode="External"/><Relationship Id="rId4124" Type="http://schemas.openxmlformats.org/officeDocument/2006/relationships/hyperlink" Target="https://mechanical.sdsu.edu/people/george-youssef.aspx" TargetMode="External"/><Relationship Id="rId4331" Type="http://schemas.openxmlformats.org/officeDocument/2006/relationships/hyperlink" Target="https://directory.statler.wvu.edu/faculty-staff-directory/wade-w-huebsch" TargetMode="External"/><Relationship Id="rId1718" Type="http://schemas.openxmlformats.org/officeDocument/2006/relationships/hyperlink" Target="https://www.colorado.edu/mechanical/john-pellegrino" TargetMode="External"/><Relationship Id="rId1925" Type="http://schemas.openxmlformats.org/officeDocument/2006/relationships/hyperlink" Target="https://engineering.brown.edu/people/christopher-rose" TargetMode="External"/><Relationship Id="rId3140" Type="http://schemas.openxmlformats.org/officeDocument/2006/relationships/hyperlink" Target="https://mie.uic.edu/profiles/hamed-hatami-marbini/" TargetMode="External"/><Relationship Id="rId2699" Type="http://schemas.openxmlformats.org/officeDocument/2006/relationships/hyperlink" Target="https://drexel.edu/engineering/about/faculty-staff/A/atchison-jennifer/" TargetMode="External"/><Relationship Id="rId3000" Type="http://schemas.openxmlformats.org/officeDocument/2006/relationships/hyperlink" Target="https://www.mae.seas.gwu.edu/node/1446" TargetMode="External"/><Relationship Id="rId3957" Type="http://schemas.openxmlformats.org/officeDocument/2006/relationships/hyperlink" Target="http://www.hajim.rochester.edu/me/people/faculty/slane_laura/index.html" TargetMode="External"/><Relationship Id="rId878" Type="http://schemas.openxmlformats.org/officeDocument/2006/relationships/hyperlink" Target="https://www.mccormick.northwestern.edu/research-faculty/directory/profiles/kim-junsoo.html" TargetMode="External"/><Relationship Id="rId2559" Type="http://schemas.openxmlformats.org/officeDocument/2006/relationships/hyperlink" Target="https://mechanical.mines.edu/project/newman-alexandra/" TargetMode="External"/><Relationship Id="rId2766" Type="http://schemas.openxmlformats.org/officeDocument/2006/relationships/hyperlink" Target="https://engineering.buffalo.edu/mechanical-aerospace/people/faculty/ladder.host.html/content/shared/engineering/mechanical-aerospace/profiles/hall-john.detail.html" TargetMode="External"/><Relationship Id="rId2973" Type="http://schemas.openxmlformats.org/officeDocument/2006/relationships/hyperlink" Target="http://eng.auburn.edu/directory/ezm0095" TargetMode="External"/><Relationship Id="rId3817" Type="http://schemas.openxmlformats.org/officeDocument/2006/relationships/hyperlink" Target="https://www.engr.uky.edu/directory/gao-xin" TargetMode="External"/><Relationship Id="rId5172" Type="http://schemas.openxmlformats.org/officeDocument/2006/relationships/hyperlink" Target="https://engineering.rowan.edu/faculty_staff/listing/behrad-koohbor.html" TargetMode="External"/><Relationship Id="rId738" Type="http://schemas.openxmlformats.org/officeDocument/2006/relationships/hyperlink" Target="https://www.meche.engineering.cmu.edu/directory/bios/ozdoganlar-burak.html" TargetMode="External"/><Relationship Id="rId945" Type="http://schemas.openxmlformats.org/officeDocument/2006/relationships/hyperlink" Target="https://www.mccormick.northwestern.edu/mechanical/research/areas/energy-sustainability.html" TargetMode="External"/><Relationship Id="rId1368" Type="http://schemas.openxmlformats.org/officeDocument/2006/relationships/hyperlink" Target="https://me.vt.edu/people/faculty.html" TargetMode="External"/><Relationship Id="rId1575" Type="http://schemas.openxmlformats.org/officeDocument/2006/relationships/hyperlink" Target="https://mae.osu.edu/people/cao.152" TargetMode="External"/><Relationship Id="rId1782" Type="http://schemas.openxmlformats.org/officeDocument/2006/relationships/hyperlink" Target="https://mae.ufl.edu/people/faculty/primary/assistant-professor/profiles/matthew-hale/" TargetMode="External"/><Relationship Id="rId2419" Type="http://schemas.openxmlformats.org/officeDocument/2006/relationships/hyperlink" Target="https://engineering.msu.edu/faculty/Mahmoodul-Haq" TargetMode="External"/><Relationship Id="rId2626" Type="http://schemas.openxmlformats.org/officeDocument/2006/relationships/hyperlink" Target="https://me.udel.edu/faculty/sambeeta-das/" TargetMode="External"/><Relationship Id="rId2833" Type="http://schemas.openxmlformats.org/officeDocument/2006/relationships/hyperlink" Target="https://me.engr.uconn.edu/blog/faculty/cao-chengyu/" TargetMode="External"/><Relationship Id="rId5032" Type="http://schemas.openxmlformats.org/officeDocument/2006/relationships/hyperlink" Target="https://www.unr.edu/me/people/floris-van-breugel" TargetMode="External"/><Relationship Id="rId74" Type="http://schemas.openxmlformats.org/officeDocument/2006/relationships/hyperlink" Target="https://meche.mit.edu/people/faculty/slocum@mit.edu" TargetMode="External"/><Relationship Id="rId805" Type="http://schemas.openxmlformats.org/officeDocument/2006/relationships/hyperlink" Target="https://www.me.utexas.edu/people/faculty-directory/sha" TargetMode="External"/><Relationship Id="rId1228" Type="http://schemas.openxmlformats.org/officeDocument/2006/relationships/hyperlink" Target="https://cse.umn.edu/me/john-bischof" TargetMode="External"/><Relationship Id="rId1435" Type="http://schemas.openxmlformats.org/officeDocument/2006/relationships/hyperlink" Target="https://seas.harvard.edu/person/martin-bechthold" TargetMode="External"/><Relationship Id="rId4798" Type="http://schemas.openxmlformats.org/officeDocument/2006/relationships/hyperlink" Target="https://klesse.utsa.edu/faculty/profiles/bhuiyan-tanveer-hossain.html" TargetMode="External"/><Relationship Id="rId1642" Type="http://schemas.openxmlformats.org/officeDocument/2006/relationships/hyperlink" Target="https://profiles.rice.edu/faculty/pedram-hassanzadeh" TargetMode="External"/><Relationship Id="rId2900" Type="http://schemas.openxmlformats.org/officeDocument/2006/relationships/hyperlink" Target="https://www.engineering.pitt.edu/people/faculty/sung-kwon-cho/" TargetMode="External"/><Relationship Id="rId1502" Type="http://schemas.openxmlformats.org/officeDocument/2006/relationships/hyperlink" Target="https://jacobsschool.ucsd.edu/faculty/profile?id=478" TargetMode="External"/><Relationship Id="rId4658" Type="http://schemas.openxmlformats.org/officeDocument/2006/relationships/hyperlink" Target="https://mae.nmsu.edu/faculty/dr-sarada-kuravi.html" TargetMode="External"/><Relationship Id="rId4865" Type="http://schemas.openxmlformats.org/officeDocument/2006/relationships/hyperlink" Target="https://www.fit.edu/faculty-profiles/h/hsu-pei-feng/" TargetMode="External"/><Relationship Id="rId388" Type="http://schemas.openxmlformats.org/officeDocument/2006/relationships/hyperlink" Target="https://mechse.illinois.edu/people/profile/rbh3" TargetMode="External"/><Relationship Id="rId2069" Type="http://schemas.openxmlformats.org/officeDocument/2006/relationships/hyperlink" Target="https://seas.yale.edu/faculty-research/faculty-directory/alessandro-gomez" TargetMode="External"/><Relationship Id="rId3467" Type="http://schemas.openxmlformats.org/officeDocument/2006/relationships/hyperlink" Target="https://www.me.byu.edu/directory/dale-r-tree" TargetMode="External"/><Relationship Id="rId3674" Type="http://schemas.openxmlformats.org/officeDocument/2006/relationships/hyperlink" Target="https://ceat.okstate.edu/mae/faculty-staff/faculty-bios/craig-bradshaw.html" TargetMode="External"/><Relationship Id="rId3881" Type="http://schemas.openxmlformats.org/officeDocument/2006/relationships/hyperlink" Target="https://engineering.unl.edu/mme/faculty/cody-stolle/" TargetMode="External"/><Relationship Id="rId4518" Type="http://schemas.openxmlformats.org/officeDocument/2006/relationships/hyperlink" Target="https://udayton.edu/directory/provost/pinnell_margaret.php" TargetMode="External"/><Relationship Id="rId4725" Type="http://schemas.openxmlformats.org/officeDocument/2006/relationships/hyperlink" Target="https://eas.uccs.edu/mae/faculty/Dr_Julie_Albertson" TargetMode="External"/><Relationship Id="rId4932" Type="http://schemas.openxmlformats.org/officeDocument/2006/relationships/hyperlink" Target="https://uakron.edu/engineering/me/our-people/profile.dot?u=gm33" TargetMode="External"/><Relationship Id="rId595" Type="http://schemas.openxmlformats.org/officeDocument/2006/relationships/hyperlink" Target="https://engineering.purdue.edu/ME/People/ptProfile?resource_id=124339" TargetMode="External"/><Relationship Id="rId2276" Type="http://schemas.openxmlformats.org/officeDocument/2006/relationships/hyperlink" Target="https://www.mae.ncsu.edu/people/akhowar5" TargetMode="External"/><Relationship Id="rId2483" Type="http://schemas.openxmlformats.org/officeDocument/2006/relationships/hyperlink" Target="https://www.bu.edu/eng/profile/eytan-barouch/" TargetMode="External"/><Relationship Id="rId2690" Type="http://schemas.openxmlformats.org/officeDocument/2006/relationships/hyperlink" Target="https://www.clemson.edu/cecas/departments/me/people/faculty/wang.html" TargetMode="External"/><Relationship Id="rId3327" Type="http://schemas.openxmlformats.org/officeDocument/2006/relationships/hyperlink" Target="https://www.me.uh.edu/faculty" TargetMode="External"/><Relationship Id="rId3534" Type="http://schemas.openxmlformats.org/officeDocument/2006/relationships/hyperlink" Target="https://www.mtu.edu/mechanical/people/faculty/tajiri/" TargetMode="External"/><Relationship Id="rId3741" Type="http://schemas.openxmlformats.org/officeDocument/2006/relationships/hyperlink" Target="https://www.uta.edu/academics/faculty/profile?username=mamaya" TargetMode="External"/><Relationship Id="rId248" Type="http://schemas.openxmlformats.org/officeDocument/2006/relationships/hyperlink" Target="https://me.berkeley.edu/people/shawn-shadden/" TargetMode="External"/><Relationship Id="rId455" Type="http://schemas.openxmlformats.org/officeDocument/2006/relationships/hyperlink" Target="https://me.engin.umich.edu/people/faculty/rhima-coleman/" TargetMode="External"/><Relationship Id="rId662" Type="http://schemas.openxmlformats.org/officeDocument/2006/relationships/hyperlink" Target="https://www.engineering.cornell.edu/faculty-directory/k-max-zhang" TargetMode="External"/><Relationship Id="rId1085" Type="http://schemas.openxmlformats.org/officeDocument/2006/relationships/hyperlink" Target="https://samueli.ucla.edu/people/elisa-franco/" TargetMode="External"/><Relationship Id="rId1292" Type="http://schemas.openxmlformats.org/officeDocument/2006/relationships/hyperlink" Target="https://directory.seas.upenn.edu/michael-posa/" TargetMode="External"/><Relationship Id="rId2136" Type="http://schemas.openxmlformats.org/officeDocument/2006/relationships/hyperlink" Target="https://mae.ucdavis.edu/directory/rida-farouki" TargetMode="External"/><Relationship Id="rId2343" Type="http://schemas.openxmlformats.org/officeDocument/2006/relationships/hyperlink" Target="https://engineering.virginia.edu/faculty/ann-reimers" TargetMode="External"/><Relationship Id="rId2550" Type="http://schemas.openxmlformats.org/officeDocument/2006/relationships/hyperlink" Target="https://mechanical.mines.edu/project/jackson-greg/" TargetMode="External"/><Relationship Id="rId3601" Type="http://schemas.openxmlformats.org/officeDocument/2006/relationships/hyperlink" Target="https://ecs.syracuse.edu/faculty-staff/fernando-zigunov" TargetMode="External"/><Relationship Id="rId5499" Type="http://schemas.openxmlformats.org/officeDocument/2006/relationships/hyperlink" Target="https://www.pdx.edu/mechanical-materials-engineering/" TargetMode="External"/><Relationship Id="rId108" Type="http://schemas.openxmlformats.org/officeDocument/2006/relationships/hyperlink" Target="https://meche.mit.edu/people/staff/dbrauns@mit.edu" TargetMode="External"/><Relationship Id="rId315" Type="http://schemas.openxmlformats.org/officeDocument/2006/relationships/hyperlink" Target="https://www.me.gatech.edu/faculty/mcdowell" TargetMode="External"/><Relationship Id="rId522" Type="http://schemas.openxmlformats.org/officeDocument/2006/relationships/hyperlink" Target="https://me.engin.umich.edu/people/faculty/michael-thouless/" TargetMode="External"/><Relationship Id="rId1152" Type="http://schemas.openxmlformats.org/officeDocument/2006/relationships/hyperlink" Target="https://www.me.psu.edu/department/directory-detail-g.aspx?q=tpr5404" TargetMode="External"/><Relationship Id="rId2203" Type="http://schemas.openxmlformats.org/officeDocument/2006/relationships/hyperlink" Target="https://www.me.iastate.edu/faculty/page/1/" TargetMode="External"/><Relationship Id="rId2410" Type="http://schemas.openxmlformats.org/officeDocument/2006/relationships/hyperlink" Target="https://www.egr.msu.edu/people/profile/csk" TargetMode="External"/><Relationship Id="rId5359" Type="http://schemas.openxmlformats.org/officeDocument/2006/relationships/hyperlink" Target="https://www.ndsu.edu/faculty/azarmi/" TargetMode="External"/><Relationship Id="rId1012" Type="http://schemas.openxmlformats.org/officeDocument/2006/relationships/hyperlink" Target="https://engineering.tamu.edu/mechanical/profiles/hossain-zubaer.html" TargetMode="External"/><Relationship Id="rId4168" Type="http://schemas.openxmlformats.org/officeDocument/2006/relationships/hyperlink" Target="https://www.depts.ttu.edu/me/faculty/beibei_ren/index.php" TargetMode="External"/><Relationship Id="rId4375" Type="http://schemas.openxmlformats.org/officeDocument/2006/relationships/hyperlink" Target="https://www.ecs.baylor.edu/person/dr-taeil-kim" TargetMode="External"/><Relationship Id="rId5219" Type="http://schemas.openxmlformats.org/officeDocument/2006/relationships/hyperlink" Target="https://expertise.utep.edu/profiles/rvchintalapalle" TargetMode="External"/><Relationship Id="rId5426" Type="http://schemas.openxmlformats.org/officeDocument/2006/relationships/hyperlink" Target="https://engineering.utulsa.edu/mechanical-engineering/faculty/profile/dustin-donnell" TargetMode="External"/><Relationship Id="rId1969" Type="http://schemas.openxmlformats.org/officeDocument/2006/relationships/hyperlink" Target="https://faculty.rpi.edu/john-tichy" TargetMode="External"/><Relationship Id="rId3184" Type="http://schemas.openxmlformats.org/officeDocument/2006/relationships/hyperlink" Target="https://mabe.utk.edu/people/sicheng-he/" TargetMode="External"/><Relationship Id="rId4028" Type="http://schemas.openxmlformats.org/officeDocument/2006/relationships/hyperlink" Target="https://www.binghamton.edu/mechanical-engineering/people/profile.html?id=pzhang" TargetMode="External"/><Relationship Id="rId4235" Type="http://schemas.openxmlformats.org/officeDocument/2006/relationships/hyperlink" Target="https://me.ku.edu/people/steven-soper" TargetMode="External"/><Relationship Id="rId4582" Type="http://schemas.openxmlformats.org/officeDocument/2006/relationships/hyperlink" Target="https://www.ou.edu/coe/ame/people/Sun.html" TargetMode="External"/><Relationship Id="rId1829" Type="http://schemas.openxmlformats.org/officeDocument/2006/relationships/hyperlink" Target="https://viterbi.usc.edu/directory/faculty/Abramova/Inna" TargetMode="External"/><Relationship Id="rId3391" Type="http://schemas.openxmlformats.org/officeDocument/2006/relationships/hyperlink" Target="https://mme.wsu.edu/faculty/min-kyu-song/" TargetMode="External"/><Relationship Id="rId4442" Type="http://schemas.openxmlformats.org/officeDocument/2006/relationships/hyperlink" Target="https://www.lsu.edu/eng/mie/people/faculty/walker.php" TargetMode="External"/><Relationship Id="rId3044" Type="http://schemas.openxmlformats.org/officeDocument/2006/relationships/hyperlink" Target="https://engineering.lehigh.edu/meche/faculty/949" TargetMode="External"/><Relationship Id="rId3251" Type="http://schemas.openxmlformats.org/officeDocument/2006/relationships/hyperlink" Target="https://www.engr.colostate.edu/me/faculty/dr-walajabad-s-sampath/" TargetMode="External"/><Relationship Id="rId4302" Type="http://schemas.openxmlformats.org/officeDocument/2006/relationships/hyperlink" Target="http://egr.vcu.edu/directory/carlos.castano/" TargetMode="External"/><Relationship Id="rId172" Type="http://schemas.openxmlformats.org/officeDocument/2006/relationships/hyperlink" Target="https://me.stanford.edu/people/juan-santiago" TargetMode="External"/><Relationship Id="rId2060" Type="http://schemas.openxmlformats.org/officeDocument/2006/relationships/hyperlink" Target="https://ame.nd.edu/faculty/matthew-zahr/" TargetMode="External"/><Relationship Id="rId3111" Type="http://schemas.openxmlformats.org/officeDocument/2006/relationships/hyperlink" Target="https://me.stonybrook.edu/commcms/me-eng/people/faculty/Assanis_Dimitris.php" TargetMode="External"/><Relationship Id="rId989" Type="http://schemas.openxmlformats.org/officeDocument/2006/relationships/hyperlink" Target="https://engineering.tamu.edu/mechanical/profiles/banerjee-debjyoti.html" TargetMode="External"/><Relationship Id="rId2877" Type="http://schemas.openxmlformats.org/officeDocument/2006/relationships/hyperlink" Target="https://engineering.uiowa.edu/people/ching-long-lin" TargetMode="External"/><Relationship Id="rId5076" Type="http://schemas.openxmlformats.org/officeDocument/2006/relationships/hyperlink" Target="https://mme.fiu.edu/" TargetMode="External"/><Relationship Id="rId5283" Type="http://schemas.openxmlformats.org/officeDocument/2006/relationships/hyperlink" Target="https://www.unlv.edu/people/woosoon-yim" TargetMode="External"/><Relationship Id="rId5490" Type="http://schemas.openxmlformats.org/officeDocument/2006/relationships/hyperlink" Target="https://www.oakland.edu/secs/directory/latcha" TargetMode="External"/><Relationship Id="rId849" Type="http://schemas.openxmlformats.org/officeDocument/2006/relationships/hyperlink" Target="https://www.mccormick.northwestern.edu/mechanical/research/areas/energy-sustainability.html" TargetMode="External"/><Relationship Id="rId1479" Type="http://schemas.openxmlformats.org/officeDocument/2006/relationships/hyperlink" Target="https://jacobsschool.ucsd.edu/faculty/profile?id=390" TargetMode="External"/><Relationship Id="rId1686" Type="http://schemas.openxmlformats.org/officeDocument/2006/relationships/hyperlink" Target="https://www.colorado.edu/mechanical/carson-bruns" TargetMode="External"/><Relationship Id="rId3928" Type="http://schemas.openxmlformats.org/officeDocument/2006/relationships/hyperlink" Target="http://www.hajim.rochester.edu/me/people/faculty/athauda_anushika/index.html" TargetMode="External"/><Relationship Id="rId4092" Type="http://schemas.openxmlformats.org/officeDocument/2006/relationships/hyperlink" Target="https://www.mne.k-state.edu/about/people/faculty/mcgregor/" TargetMode="External"/><Relationship Id="rId5143" Type="http://schemas.openxmlformats.org/officeDocument/2006/relationships/hyperlink" Target="https://www.marquette.edu/mechanical-engineering/directory/joseph-domblesky.php" TargetMode="External"/><Relationship Id="rId5350" Type="http://schemas.openxmlformats.org/officeDocument/2006/relationships/hyperlink" Target="https://www.fau.edu/engineering/directory/faculty/merk/" TargetMode="External"/><Relationship Id="rId1339" Type="http://schemas.openxmlformats.org/officeDocument/2006/relationships/hyperlink" Target="https://directory.engr.wisc.edu/me/Faculty/Roldan-alzate_Alejandro/" TargetMode="External"/><Relationship Id="rId1893" Type="http://schemas.openxmlformats.org/officeDocument/2006/relationships/hyperlink" Target="https://engineering.brown.edu/people/eric-chason" TargetMode="External"/><Relationship Id="rId2737" Type="http://schemas.openxmlformats.org/officeDocument/2006/relationships/hyperlink" Target="https://engineering.tufts.edu/me/node/3196" TargetMode="External"/><Relationship Id="rId2944" Type="http://schemas.openxmlformats.org/officeDocument/2006/relationships/hyperlink" Target="https://www.engineering.pitt.edu/people/faculty/jill-millstone/" TargetMode="External"/><Relationship Id="rId5003" Type="http://schemas.openxmlformats.org/officeDocument/2006/relationships/hyperlink" Target="https://umaine.edu/mecheng/goupee/" TargetMode="External"/><Relationship Id="rId5210" Type="http://schemas.openxmlformats.org/officeDocument/2006/relationships/hyperlink" Target="https://engineering.siu.edu/me/faculty-staff/faculty/mondal.php" TargetMode="External"/><Relationship Id="rId709" Type="http://schemas.openxmlformats.org/officeDocument/2006/relationships/hyperlink" Target="https://mae.princeton.edu/people/faculty/mueller" TargetMode="External"/><Relationship Id="rId916" Type="http://schemas.openxmlformats.org/officeDocument/2006/relationships/hyperlink" Target="https://www.mccormick.northwestern.edu/mechanical/research/areas/computational-engineering.html" TargetMode="External"/><Relationship Id="rId1546" Type="http://schemas.openxmlformats.org/officeDocument/2006/relationships/hyperlink" Target="https://mems.duke.edu/faculty/michael-zavlanos" TargetMode="External"/><Relationship Id="rId1753" Type="http://schemas.openxmlformats.org/officeDocument/2006/relationships/hyperlink" Target="https://mae.ufl.edu/people/faculty/primary/professor/profiles/peter-ifju/" TargetMode="External"/><Relationship Id="rId1960" Type="http://schemas.openxmlformats.org/officeDocument/2006/relationships/hyperlink" Target="https://faculty.rpi.edu/kartik-josyula" TargetMode="External"/><Relationship Id="rId2804" Type="http://schemas.openxmlformats.org/officeDocument/2006/relationships/hyperlink" Target="https://ame.engineering.arizona.edu/faculty-staff/faculty/hermann-f-fasel" TargetMode="External"/><Relationship Id="rId45" Type="http://schemas.openxmlformats.org/officeDocument/2006/relationships/hyperlink" Target="https://meche.mit.edu/people/faculty/IHUNTER@MIT.EDU" TargetMode="External"/><Relationship Id="rId1406" Type="http://schemas.openxmlformats.org/officeDocument/2006/relationships/hyperlink" Target="https://me.vt.edu/people/faculty/nain-amrinder.html" TargetMode="External"/><Relationship Id="rId1613" Type="http://schemas.openxmlformats.org/officeDocument/2006/relationships/hyperlink" Target="https://mae.osu.edu/people/smidts.1" TargetMode="External"/><Relationship Id="rId1820" Type="http://schemas.openxmlformats.org/officeDocument/2006/relationships/hyperlink" Target="https://viterbi.usc.edu/directory/faculty/Puri/Ishwar" TargetMode="External"/><Relationship Id="rId4769" Type="http://schemas.openxmlformats.org/officeDocument/2006/relationships/hyperlink" Target="https://umdearborn.edu/people-um-dearborn/german-reyes-villanueva" TargetMode="External"/><Relationship Id="rId4976" Type="http://schemas.openxmlformats.org/officeDocument/2006/relationships/hyperlink" Target="https://ritchieschool.du.edu/about/people/kevin-b-shelburne" TargetMode="External"/><Relationship Id="rId3578" Type="http://schemas.openxmlformats.org/officeDocument/2006/relationships/hyperlink" Target="https://ecs.syracuse.edu/faculty-staff/michelle-m-blum" TargetMode="External"/><Relationship Id="rId3785" Type="http://schemas.openxmlformats.org/officeDocument/2006/relationships/hyperlink" Target="https://www.uta.edu/academics/faculty/profile?username=zhangl6" TargetMode="External"/><Relationship Id="rId3992" Type="http://schemas.openxmlformats.org/officeDocument/2006/relationships/hyperlink" Target="https://sc.edu/study/colleges_schools/engineering_and_computing/faculty-staff/reynolds_tony.php" TargetMode="External"/><Relationship Id="rId4629" Type="http://schemas.openxmlformats.org/officeDocument/2006/relationships/hyperlink" Target="https://www.ccny.cuny.edu/profiles/masahiro-kawaji" TargetMode="External"/><Relationship Id="rId4836" Type="http://schemas.openxmlformats.org/officeDocument/2006/relationships/hyperlink" Target="https://engineering.usu.edu/mae/people/faculty/su-yanqing.php" TargetMode="External"/><Relationship Id="rId499" Type="http://schemas.openxmlformats.org/officeDocument/2006/relationships/hyperlink" Target="https://me.engin.umich.edu/people/faculty/amit-misra/" TargetMode="External"/><Relationship Id="rId2387" Type="http://schemas.openxmlformats.org/officeDocument/2006/relationships/hyperlink" Target="https://engineering.case.edu/about/school-directory/robert-gao" TargetMode="External"/><Relationship Id="rId2594" Type="http://schemas.openxmlformats.org/officeDocument/2006/relationships/hyperlink" Target="https://mae.rutgers.edu/hae-chang-gea" TargetMode="External"/><Relationship Id="rId3438" Type="http://schemas.openxmlformats.org/officeDocument/2006/relationships/hyperlink" Target="https://www.me.byu.edu/directory/jonathan-blotter" TargetMode="External"/><Relationship Id="rId3645" Type="http://schemas.openxmlformats.org/officeDocument/2006/relationships/hyperlink" Target="https://profiles.ucr.edu/app/home/profile/heejung" TargetMode="External"/><Relationship Id="rId3852" Type="http://schemas.openxmlformats.org/officeDocument/2006/relationships/hyperlink" Target="https://www.engr.uky.edu/directory/whitney-julie" TargetMode="External"/><Relationship Id="rId359" Type="http://schemas.openxmlformats.org/officeDocument/2006/relationships/hyperlink" Target="https://www.me.gatech.edu/faculty/zhao" TargetMode="External"/><Relationship Id="rId566" Type="http://schemas.openxmlformats.org/officeDocument/2006/relationships/hyperlink" Target="https://engineering.purdue.edu/ME/People/ptProfile?resource_id=127242" TargetMode="External"/><Relationship Id="rId773" Type="http://schemas.openxmlformats.org/officeDocument/2006/relationships/hyperlink" Target="https://www.me.utexas.edu/people/faculty-directory/ellzey" TargetMode="External"/><Relationship Id="rId1196" Type="http://schemas.openxmlformats.org/officeDocument/2006/relationships/hyperlink" Target="https://enme.umd.edu/clark/faculty/1030/Vasiliy-Krivtsov" TargetMode="External"/><Relationship Id="rId2247" Type="http://schemas.openxmlformats.org/officeDocument/2006/relationships/hyperlink" Target="https://www.me.iastate.edu/faculty/profile/hshapiro" TargetMode="External"/><Relationship Id="rId2454" Type="http://schemas.openxmlformats.org/officeDocument/2006/relationships/hyperlink" Target="https://www.egr.msu.edu/people/profile/zhug" TargetMode="External"/><Relationship Id="rId3505" Type="http://schemas.openxmlformats.org/officeDocument/2006/relationships/hyperlink" Target="https://www.mtu.edu/mechanical/people/faculty/brueshaber/" TargetMode="External"/><Relationship Id="rId4903" Type="http://schemas.openxmlformats.org/officeDocument/2006/relationships/hyperlink" Target="https://www.odu.edu/directory/ayodeji-demuren" TargetMode="External"/><Relationship Id="rId219" Type="http://schemas.openxmlformats.org/officeDocument/2006/relationships/hyperlink" Target="https://me.berkeley.edu/people/francesco-borrelli/" TargetMode="External"/><Relationship Id="rId426" Type="http://schemas.openxmlformats.org/officeDocument/2006/relationships/hyperlink" Target="https://mechse.illinois.edu/people/profile/tawfick" TargetMode="External"/><Relationship Id="rId633" Type="http://schemas.openxmlformats.org/officeDocument/2006/relationships/hyperlink" Target="https://engineering.purdue.edu/ME/People/ptProfile?resource_id=113514" TargetMode="External"/><Relationship Id="rId980" Type="http://schemas.openxmlformats.org/officeDocument/2006/relationships/hyperlink" Target="https://engineering.tamu.edu/mechanical/profiles/allaire-douglas.html" TargetMode="External"/><Relationship Id="rId1056" Type="http://schemas.openxmlformats.org/officeDocument/2006/relationships/hyperlink" Target="https://engineering.tamu.edu/mechanical/profiles/saripalli.html" TargetMode="External"/><Relationship Id="rId1263" Type="http://schemas.openxmlformats.org/officeDocument/2006/relationships/hyperlink" Target="https://cse.umn.edu/me/xiaojia-wang" TargetMode="External"/><Relationship Id="rId2107" Type="http://schemas.openxmlformats.org/officeDocument/2006/relationships/hyperlink" Target="https://isearch.asu.edu/profile/49406" TargetMode="External"/><Relationship Id="rId2314" Type="http://schemas.openxmlformats.org/officeDocument/2006/relationships/hyperlink" Target="https://engineering.virginia.edu/faculty/stephen-baek" TargetMode="External"/><Relationship Id="rId2661" Type="http://schemas.openxmlformats.org/officeDocument/2006/relationships/hyperlink" Target="https://www.clemson.edu/cecas/departments/me/people/faculty/dutta.html" TargetMode="External"/><Relationship Id="rId3712" Type="http://schemas.openxmlformats.org/officeDocument/2006/relationships/hyperlink" Target="https://eng.ua.edu/eng-directory/dr-jiaqi-jackey-gong/" TargetMode="External"/><Relationship Id="rId840" Type="http://schemas.openxmlformats.org/officeDocument/2006/relationships/hyperlink" Target="https://www.mccormick.northwestern.edu/mechanical/research/areas/micro-nanoengineering.html" TargetMode="External"/><Relationship Id="rId1470" Type="http://schemas.openxmlformats.org/officeDocument/2006/relationships/hyperlink" Target="https://jacobsschool.ucsd.edu/faculty/profile?id=403" TargetMode="External"/><Relationship Id="rId2521" Type="http://schemas.openxmlformats.org/officeDocument/2006/relationships/hyperlink" Target="https://www.bu.edu/eng/profile/roberto-tron/" TargetMode="External"/><Relationship Id="rId4279" Type="http://schemas.openxmlformats.org/officeDocument/2006/relationships/hyperlink" Target="https://www1.villanova.edu/university/engineering/academic-programs/departments/mechanical/directory/biodetail.html?mail=gerard.jones@villanova.edu&amp;xsl=bio_long" TargetMode="External"/><Relationship Id="rId700" Type="http://schemas.openxmlformats.org/officeDocument/2006/relationships/hyperlink" Target="https://mae.princeton.edu/people/faculty/ju" TargetMode="External"/><Relationship Id="rId1123" Type="http://schemas.openxmlformats.org/officeDocument/2006/relationships/hyperlink" Target="https://www.me.psu.edu/department/directory-detail-g.aspx?q=skd5685" TargetMode="External"/><Relationship Id="rId1330" Type="http://schemas.openxmlformats.org/officeDocument/2006/relationships/hyperlink" Target="https://directory.engr.wisc.edu/me/Faculty/Notbohm_Jacob/" TargetMode="External"/><Relationship Id="rId3088" Type="http://schemas.openxmlformats.org/officeDocument/2006/relationships/hyperlink" Target="https://nps.edu/faculty-profiles/-/cv/troy.ansell" TargetMode="External"/><Relationship Id="rId4486" Type="http://schemas.openxmlformats.org/officeDocument/2006/relationships/hyperlink" Target="https://me.ucmerced.edu/faculty" TargetMode="External"/><Relationship Id="rId4693" Type="http://schemas.openxmlformats.org/officeDocument/2006/relationships/hyperlink" Target="https://mechanical-engineering.uark.edu/Directory/index/uid/hanhu/name/Han+Hu/" TargetMode="External"/><Relationship Id="rId5537" Type="http://schemas.openxmlformats.org/officeDocument/2006/relationships/hyperlink" Target="https://engineering.und.edu/academics/mechanical/" TargetMode="External"/><Relationship Id="rId3295" Type="http://schemas.openxmlformats.org/officeDocument/2006/relationships/hyperlink" Target="http://mae.ucf.edu/person/tian-tian/" TargetMode="External"/><Relationship Id="rId4139" Type="http://schemas.openxmlformats.org/officeDocument/2006/relationships/hyperlink" Target="https://www.depts.ttu.edu/me/faculty/zeeshan_ahmad/index.php" TargetMode="External"/><Relationship Id="rId4346" Type="http://schemas.openxmlformats.org/officeDocument/2006/relationships/hyperlink" Target="https://directory.statler.wvu.edu/faculty-staff-directory/loren-rieth" TargetMode="External"/><Relationship Id="rId4553" Type="http://schemas.openxmlformats.org/officeDocument/2006/relationships/hyperlink" Target="https://me.unm.edu/about/directory/faculty/peter-vorobieff.html" TargetMode="External"/><Relationship Id="rId4760" Type="http://schemas.openxmlformats.org/officeDocument/2006/relationships/hyperlink" Target="https://umdearborn.edu/people-um-dearborn/youngki-kim" TargetMode="External"/><Relationship Id="rId3155" Type="http://schemas.openxmlformats.org/officeDocument/2006/relationships/hyperlink" Target="https://mie.uic.edu/profiles/arunkumar-subramanian/" TargetMode="External"/><Relationship Id="rId3362" Type="http://schemas.openxmlformats.org/officeDocument/2006/relationships/hyperlink" Target="https://mme.wsu.edu/faculty/xiaopeng-bi/" TargetMode="External"/><Relationship Id="rId4206" Type="http://schemas.openxmlformats.org/officeDocument/2006/relationships/hyperlink" Target="http://engineering.uga.edu/people/profile/brandon-rotavera-ph.d" TargetMode="External"/><Relationship Id="rId4413" Type="http://schemas.openxmlformats.org/officeDocument/2006/relationships/hyperlink" Target="https://eng.famu.fsu.edu/me/people/shih" TargetMode="External"/><Relationship Id="rId4620" Type="http://schemas.openxmlformats.org/officeDocument/2006/relationships/hyperlink" Target="https://uwm.edu/engineering/people/stern-nathaniel/" TargetMode="External"/><Relationship Id="rId283" Type="http://schemas.openxmlformats.org/officeDocument/2006/relationships/hyperlink" Target="https://www.me.gatech.edu/faculty/ghiaasiaan" TargetMode="External"/><Relationship Id="rId490" Type="http://schemas.openxmlformats.org/officeDocument/2006/relationships/hyperlink" Target="https://me.engin.umich.edu/people/faculty/david-kwabi/" TargetMode="External"/><Relationship Id="rId2171" Type="http://schemas.openxmlformats.org/officeDocument/2006/relationships/hyperlink" Target="https://engineering.uci.edu/dept/mae/faculty-staff/faculty" TargetMode="External"/><Relationship Id="rId3015" Type="http://schemas.openxmlformats.org/officeDocument/2006/relationships/hyperlink" Target="https://premium.usnews.com/best-graduate-schools/top-engineering-schools/lehigh-university-02154" TargetMode="External"/><Relationship Id="rId3222" Type="http://schemas.openxmlformats.org/officeDocument/2006/relationships/hyperlink" Target="https://www.engr.colostate.edu/me/people/" TargetMode="External"/><Relationship Id="rId143" Type="http://schemas.openxmlformats.org/officeDocument/2006/relationships/hyperlink" Target="https://me.stanford.edu/people/ovijit-chaudhuri" TargetMode="External"/><Relationship Id="rId350" Type="http://schemas.openxmlformats.org/officeDocument/2006/relationships/hyperlink" Target="https://www.me.gatech.edu/faculty/xia" TargetMode="External"/><Relationship Id="rId2031" Type="http://schemas.openxmlformats.org/officeDocument/2006/relationships/hyperlink" Target="https://ame.nd.edu/faculty/tengfei-luo/" TargetMode="External"/><Relationship Id="rId5187" Type="http://schemas.openxmlformats.org/officeDocument/2006/relationships/hyperlink" Target="https://www.scu.edu/engineering/academic-programs/department-of-mechanical-engineering/faculty-and-staff/mahadev.html" TargetMode="External"/><Relationship Id="rId5394" Type="http://schemas.openxmlformats.org/officeDocument/2006/relationships/hyperlink" Target="https://www.sdstate.edu/directory/sarah-michna" TargetMode="External"/><Relationship Id="rId9" Type="http://schemas.openxmlformats.org/officeDocument/2006/relationships/hyperlink" Target="https://meche.mit.edu/people/faculty/anand@mit.edu" TargetMode="External"/><Relationship Id="rId210" Type="http://schemas.openxmlformats.org/officeDocument/2006/relationships/hyperlink" Target="https://mce.caltech.edu/people/sergiop" TargetMode="External"/><Relationship Id="rId2988" Type="http://schemas.openxmlformats.org/officeDocument/2006/relationships/hyperlink" Target="https://premium.usnews.com/best-graduate-schools/top-engineering-schools/george-washington-university-02040" TargetMode="External"/><Relationship Id="rId5047" Type="http://schemas.openxmlformats.org/officeDocument/2006/relationships/hyperlink" Target="https://www.wichita.edu/profiles/academics/engineering/mechanical_engineering/01_Faculty/Ravi-T.S..php" TargetMode="External"/><Relationship Id="rId5254" Type="http://schemas.openxmlformats.org/officeDocument/2006/relationships/hyperlink" Target="https://mechanical.olemiss.edu/"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ame.engineering.arizona.edu/faculty-staff/faculty" TargetMode="External"/><Relationship Id="rId299" Type="http://schemas.openxmlformats.org/officeDocument/2006/relationships/hyperlink" Target="https://www.uwyo.edu/mechanical/" TargetMode="External"/><Relationship Id="rId303" Type="http://schemas.openxmlformats.org/officeDocument/2006/relationships/hyperlink" Target="https://engineering.csuohio.edu/mce/mce" TargetMode="External"/><Relationship Id="rId21" Type="http://schemas.openxmlformats.org/officeDocument/2006/relationships/hyperlink" Target="https://www.usnews.com/best-graduate-schools/top-engineering-schools/princeton-university-02108" TargetMode="External"/><Relationship Id="rId42" Type="http://schemas.openxmlformats.org/officeDocument/2006/relationships/hyperlink" Target="https://engineering.wisc.edu/departments/mechanical-engineering/people/" TargetMode="External"/><Relationship Id="rId63" Type="http://schemas.openxmlformats.org/officeDocument/2006/relationships/hyperlink" Target="https://mae.ufl.edu/people/faculty/primary/professor/" TargetMode="External"/><Relationship Id="rId84" Type="http://schemas.openxmlformats.org/officeDocument/2006/relationships/hyperlink" Target="https://engineering.uci.edu/dept/mae/faculty-staff/faculty" TargetMode="External"/><Relationship Id="rId138" Type="http://schemas.openxmlformats.org/officeDocument/2006/relationships/hyperlink" Target="https://premium.usnews.com/best-graduate-schools/top-engineering-schools/stony-brook-university-02125" TargetMode="External"/><Relationship Id="rId159" Type="http://schemas.openxmlformats.org/officeDocument/2006/relationships/hyperlink" Target="https://premium.usnews.com/best-graduate-schools/top-engineering-schools/worcester-polytechnic-institute-02083" TargetMode="External"/><Relationship Id="rId324" Type="http://schemas.openxmlformats.org/officeDocument/2006/relationships/hyperlink" Target="https://mechanical.olemiss.edu/" TargetMode="External"/><Relationship Id="rId345" Type="http://schemas.openxmlformats.org/officeDocument/2006/relationships/hyperlink" Target="https://premium.usnews.com/best-graduate-schools/top-engineering-schools/university-of-memphis-02165" TargetMode="External"/><Relationship Id="rId366" Type="http://schemas.openxmlformats.org/officeDocument/2006/relationships/vmlDrawing" Target="../drawings/vmlDrawing2.vml"/><Relationship Id="rId170" Type="http://schemas.openxmlformats.org/officeDocument/2006/relationships/hyperlink" Target="https://premium.usnews.com/best-graduate-schools/top-engineering-schools/syracuse-university-02128" TargetMode="External"/><Relationship Id="rId191" Type="http://schemas.openxmlformats.org/officeDocument/2006/relationships/hyperlink" Target="https://www.usnews.com/best-graduate-schools/top-engineering-schools/university-of-rochester-02129" TargetMode="External"/><Relationship Id="rId205" Type="http://schemas.openxmlformats.org/officeDocument/2006/relationships/hyperlink" Target="https://www.depts.ttu.edu/me/faculty/index.php" TargetMode="External"/><Relationship Id="rId226" Type="http://schemas.openxmlformats.org/officeDocument/2006/relationships/hyperlink" Target="https://www.lsu.edu/eng/mie/people/faculty/index.php" TargetMode="External"/><Relationship Id="rId247" Type="http://schemas.openxmlformats.org/officeDocument/2006/relationships/hyperlink" Target="https://premium.usnews.com/best-graduate-schools/top-engineering-schools/university-of-wisconsin-milwaukee-02193" TargetMode="External"/><Relationship Id="rId107" Type="http://schemas.openxmlformats.org/officeDocument/2006/relationships/hyperlink" Target="https://me.udel.edu/people/faculty/" TargetMode="External"/><Relationship Id="rId268" Type="http://schemas.openxmlformats.org/officeDocument/2006/relationships/hyperlink" Target="https://ceps.unh.edu/mechanical-engineering/faculty-staff-directory" TargetMode="External"/><Relationship Id="rId289" Type="http://schemas.openxmlformats.org/officeDocument/2006/relationships/hyperlink" Target="https://premium.usnews.com/best-graduate-schools/top-engineering-schools/university-of-colorado-denver-02034" TargetMode="External"/><Relationship Id="rId11" Type="http://schemas.openxmlformats.org/officeDocument/2006/relationships/hyperlink" Target="https://premium.usnews.com/best-graduate-schools/top-engineering-schools/georgia-institute-of-technology-02049" TargetMode="External"/><Relationship Id="rId32" Type="http://schemas.openxmlformats.org/officeDocument/2006/relationships/hyperlink" Target="https://samueli.ucla.edu/search-faculty/" TargetMode="External"/><Relationship Id="rId53" Type="http://schemas.openxmlformats.org/officeDocument/2006/relationships/hyperlink" Target="https://www.usnews.com/best-graduate-schools/top-engineering-schools/ohio-state-university-columbus-02139" TargetMode="External"/><Relationship Id="rId74" Type="http://schemas.openxmlformats.org/officeDocument/2006/relationships/hyperlink" Target="https://me.ucsb.edu/people/directory" TargetMode="External"/><Relationship Id="rId128" Type="http://schemas.openxmlformats.org/officeDocument/2006/relationships/hyperlink" Target="https://premium.usnews.com/best-graduate-schools/top-engineering-schools/george-washington-university-02040" TargetMode="External"/><Relationship Id="rId149" Type="http://schemas.openxmlformats.org/officeDocument/2006/relationships/hyperlink" Target="https://ceas.uc.edu/academics/departments/mechanical-materials-engineering/People/mechanical-engineering-faculty.html" TargetMode="External"/><Relationship Id="rId314" Type="http://schemas.openxmlformats.org/officeDocument/2006/relationships/hyperlink" Target="https://engineering.rowan.edu/programs/mechanical/people/" TargetMode="External"/><Relationship Id="rId335" Type="http://schemas.openxmlformats.org/officeDocument/2006/relationships/hyperlink" Target="https://premium.usnews.com/best-graduate-schools/top-engineering-schools/north-dakota-state-university-02135" TargetMode="External"/><Relationship Id="rId356" Type="http://schemas.openxmlformats.org/officeDocument/2006/relationships/hyperlink" Target="https://www.pdx.edu/mechanical-materials-engineering/" TargetMode="External"/><Relationship Id="rId5" Type="http://schemas.openxmlformats.org/officeDocument/2006/relationships/hyperlink" Target="https://premium.usnews.com/best-graduate-schools/top-engineering-schools/stanford-university-02020" TargetMode="External"/><Relationship Id="rId95" Type="http://schemas.openxmlformats.org/officeDocument/2006/relationships/hyperlink" Target="https://engineering.case.edu/mechanical-and-aerospace-engineering/faculty-and-staff" TargetMode="External"/><Relationship Id="rId160" Type="http://schemas.openxmlformats.org/officeDocument/2006/relationships/hyperlink" Target="https://premium.usnews.com/best-graduate-schools/top-engineering-schools/brigham-young-university-02180" TargetMode="External"/><Relationship Id="rId181" Type="http://schemas.openxmlformats.org/officeDocument/2006/relationships/hyperlink" Target="https://premium.usnews.com/best-graduate-schools/top-engineering-schools/the-university-of-texas-at-arlington-02177" TargetMode="External"/><Relationship Id="rId216" Type="http://schemas.openxmlformats.org/officeDocument/2006/relationships/hyperlink" Target="https://www1.villanova.edu/university/engineering/academic-programs/departments/mechanical/directory.html" TargetMode="External"/><Relationship Id="rId237" Type="http://schemas.openxmlformats.org/officeDocument/2006/relationships/hyperlink" Target="https://premium.usnews.com/best-graduate-schools/top-engineering-schools/university-of-miami-02047" TargetMode="External"/><Relationship Id="rId258" Type="http://schemas.openxmlformats.org/officeDocument/2006/relationships/hyperlink" Target="https://premium.usnews.com/best-graduate-schools/top-engineering-schools/temple-university-02206" TargetMode="External"/><Relationship Id="rId279" Type="http://schemas.openxmlformats.org/officeDocument/2006/relationships/hyperlink" Target="https://premium.usnews.com/best-graduate-schools/top-engineering-schools/florida-institute-of-technology-02043" TargetMode="External"/><Relationship Id="rId22" Type="http://schemas.openxmlformats.org/officeDocument/2006/relationships/hyperlink" Target="https://www.meche.engineering.cmu.edu/directory/index.html" TargetMode="External"/><Relationship Id="rId43" Type="http://schemas.openxmlformats.org/officeDocument/2006/relationships/hyperlink" Target="https://www.usnews.com/best-graduate-schools/top-engineering-schools/university-of-wisconsin-madison-02192" TargetMode="External"/><Relationship Id="rId64" Type="http://schemas.openxmlformats.org/officeDocument/2006/relationships/hyperlink" Target="https://www.usnews.com/best-graduate-schools/top-engineering-schools/university-of-florida-02046" TargetMode="External"/><Relationship Id="rId118" Type="http://schemas.openxmlformats.org/officeDocument/2006/relationships/hyperlink" Target="https://premium.usnews.com/best-graduate-schools/top-engineering-schools/university-of-arizona-02007" TargetMode="External"/><Relationship Id="rId139" Type="http://schemas.openxmlformats.org/officeDocument/2006/relationships/hyperlink" Target="https://mie.uic.edu/faculty-and-staff/faculty/?profile_categories%5B0%5D=4" TargetMode="External"/><Relationship Id="rId290" Type="http://schemas.openxmlformats.org/officeDocument/2006/relationships/hyperlink" Target="https://ritchieschool.du.edu/academics-education/departments/mechanical-materials-engineering" TargetMode="External"/><Relationship Id="rId304" Type="http://schemas.openxmlformats.org/officeDocument/2006/relationships/hyperlink" Target="https://premium.usnews.com/best-graduate-schools/top-engineering-schools/cleveland-state-university-02222" TargetMode="External"/><Relationship Id="rId325" Type="http://schemas.openxmlformats.org/officeDocument/2006/relationships/hyperlink" Target="https://premium.usnews.com/best-graduate-schools/university-of-mississippi-main-campus-176017/overall-rankings" TargetMode="External"/><Relationship Id="rId346" Type="http://schemas.openxmlformats.org/officeDocument/2006/relationships/hyperlink" Target="https://engineering.utulsa.edu/mechanical-engineering/" TargetMode="External"/><Relationship Id="rId367" Type="http://schemas.openxmlformats.org/officeDocument/2006/relationships/comments" Target="../comments2.xml"/><Relationship Id="rId85" Type="http://schemas.openxmlformats.org/officeDocument/2006/relationships/hyperlink" Target="https://www.usnews.com/best-graduate-schools/top-engineering-schools/university-of-california-irvine-02023" TargetMode="External"/><Relationship Id="rId150" Type="http://schemas.openxmlformats.org/officeDocument/2006/relationships/hyperlink" Target="https://premium.usnews.com/best-graduate-schools/top-engineering-schools/university-of-cincinnati-02142" TargetMode="External"/><Relationship Id="rId171" Type="http://schemas.openxmlformats.org/officeDocument/2006/relationships/hyperlink" Target="https://me.utdallas.edu/faculty/" TargetMode="External"/><Relationship Id="rId192" Type="http://schemas.openxmlformats.org/officeDocument/2006/relationships/hyperlink" Target="https://sc.edu/study/colleges_schools/engineering_and_computing/departments/mechanical_engineering/our_people/index.php" TargetMode="External"/><Relationship Id="rId206" Type="http://schemas.openxmlformats.org/officeDocument/2006/relationships/hyperlink" Target="https://premium.usnews.com/best-graduate-schools/top-engineering-schools/texas-tech-university-02175" TargetMode="External"/><Relationship Id="rId227" Type="http://schemas.openxmlformats.org/officeDocument/2006/relationships/hyperlink" Target="https://premium.usnews.com/best-graduate-schools/top-engineering-schools/louisiana-state-university-and-agricultural--mechanical-college-02067" TargetMode="External"/><Relationship Id="rId248" Type="http://schemas.openxmlformats.org/officeDocument/2006/relationships/hyperlink" Target="https://www.ccny.cuny.edu/mecheng" TargetMode="External"/><Relationship Id="rId269" Type="http://schemas.openxmlformats.org/officeDocument/2006/relationships/hyperlink" Target="https://premium.usnews.com/best-graduate-schools/top-engineering-schools/university-of-new-hampshire-02104" TargetMode="External"/><Relationship Id="rId12" Type="http://schemas.openxmlformats.org/officeDocument/2006/relationships/hyperlink" Target="https://mechse.illinois.edu/people/faculty" TargetMode="External"/><Relationship Id="rId33" Type="http://schemas.openxmlformats.org/officeDocument/2006/relationships/hyperlink" Target="https://www.usnews.com/best-graduate-schools/top-engineering-schools/university-of-california-los-angeles-02024" TargetMode="External"/><Relationship Id="rId108" Type="http://schemas.openxmlformats.org/officeDocument/2006/relationships/hyperlink" Target="https://www.usnews.com/best-graduate-schools/top-engineering-schools/university-of-delaware-02038" TargetMode="External"/><Relationship Id="rId129" Type="http://schemas.openxmlformats.org/officeDocument/2006/relationships/hyperlink" Target="https://www.mae.seas.gwu.edu/faculty-directory" TargetMode="External"/><Relationship Id="rId280" Type="http://schemas.openxmlformats.org/officeDocument/2006/relationships/hyperlink" Target="https://www.ncat.edu/coe/departments/me/index.php" TargetMode="External"/><Relationship Id="rId315" Type="http://schemas.openxmlformats.org/officeDocument/2006/relationships/hyperlink" Target="https://premium.usnews.com/best-graduate-schools/top-engineering-schools/rowan-university-02274" TargetMode="External"/><Relationship Id="rId336" Type="http://schemas.openxmlformats.org/officeDocument/2006/relationships/hyperlink" Target="https://nau.edu/mechanical-engineering/" TargetMode="External"/><Relationship Id="rId357" Type="http://schemas.openxmlformats.org/officeDocument/2006/relationships/hyperlink" Target="https://premium.usnews.com/best-graduate-schools/top-engineering-schools/portland-state-university-02151" TargetMode="External"/><Relationship Id="rId54" Type="http://schemas.openxmlformats.org/officeDocument/2006/relationships/hyperlink" Target="https://premium.usnews.com/best-graduate-schools/top-engineering-schools/rice-university-02171" TargetMode="External"/><Relationship Id="rId75" Type="http://schemas.openxmlformats.org/officeDocument/2006/relationships/hyperlink" Target="https://www.usnews.com/best-graduate-schools/top-engineering-schools/university-of-california-santa-barbara-02026" TargetMode="External"/><Relationship Id="rId96" Type="http://schemas.openxmlformats.org/officeDocument/2006/relationships/hyperlink" Target="https://www.usnews.com/best-graduate-schools/top-engineering-schools/case-western-reserve-university-02138" TargetMode="External"/><Relationship Id="rId140" Type="http://schemas.openxmlformats.org/officeDocument/2006/relationships/hyperlink" Target="https://premium.usnews.com/best-graduate-schools/top-engineering-schools/university-of-illinois-chicago-02056" TargetMode="External"/><Relationship Id="rId161" Type="http://schemas.openxmlformats.org/officeDocument/2006/relationships/hyperlink" Target="https://www.me.byu.edu/faculty" TargetMode="External"/><Relationship Id="rId182" Type="http://schemas.openxmlformats.org/officeDocument/2006/relationships/hyperlink" Target="https://www.uah.edu/eng/departments/mae/faculty-staff" TargetMode="External"/><Relationship Id="rId217" Type="http://schemas.openxmlformats.org/officeDocument/2006/relationships/hyperlink" Target="https://premium.usnews.com/best-graduate-schools/top-engineering-schools/villanova-university-02418" TargetMode="External"/><Relationship Id="rId6" Type="http://schemas.openxmlformats.org/officeDocument/2006/relationships/hyperlink" Target="https://mce.caltech.edu/people" TargetMode="External"/><Relationship Id="rId238" Type="http://schemas.openxmlformats.org/officeDocument/2006/relationships/hyperlink" Target="https://me.unm.edu/about/directory/faculty/index.html" TargetMode="External"/><Relationship Id="rId259" Type="http://schemas.openxmlformats.org/officeDocument/2006/relationships/hyperlink" Target="https://mechanical-engineering.uark.edu/Directory/index.php" TargetMode="External"/><Relationship Id="rId23" Type="http://schemas.openxmlformats.org/officeDocument/2006/relationships/hyperlink" Target="https://premium.usnews.com/best-graduate-schools/top-engineering-schools/carnegie-mellon-university-02152" TargetMode="External"/><Relationship Id="rId119" Type="http://schemas.openxmlformats.org/officeDocument/2006/relationships/hyperlink" Target="https://me.engr.uconn.edu/people/faculty/" TargetMode="External"/><Relationship Id="rId270" Type="http://schemas.openxmlformats.org/officeDocument/2006/relationships/hyperlink" Target="https://www.usf.edu/engineering/me/" TargetMode="External"/><Relationship Id="rId291" Type="http://schemas.openxmlformats.org/officeDocument/2006/relationships/hyperlink" Target="https://premium.usnews.com/best-graduate-schools/top-engineering-schools/university-of-denver-02230" TargetMode="External"/><Relationship Id="rId305" Type="http://schemas.openxmlformats.org/officeDocument/2006/relationships/hyperlink" Target="https://premium.usnews.com/best-graduate-schools/top-engineering-schools/florida-international-university-02044" TargetMode="External"/><Relationship Id="rId326" Type="http://schemas.openxmlformats.org/officeDocument/2006/relationships/hyperlink" Target="https://www.unlv.edu/me" TargetMode="External"/><Relationship Id="rId347" Type="http://schemas.openxmlformats.org/officeDocument/2006/relationships/hyperlink" Target="https://www.usnews.com/best-graduate-schools/top-engineering-schools/university-of-tulsa-02234" TargetMode="External"/><Relationship Id="rId44" Type="http://schemas.openxmlformats.org/officeDocument/2006/relationships/hyperlink" Target="https://me.vt.edu/people/faculty.html" TargetMode="External"/><Relationship Id="rId65" Type="http://schemas.openxmlformats.org/officeDocument/2006/relationships/hyperlink" Target="https://ame.usc.edu/directory/faculty/" TargetMode="External"/><Relationship Id="rId86" Type="http://schemas.openxmlformats.org/officeDocument/2006/relationships/hyperlink" Target="https://premium.usnews.com/best-graduate-schools/top-engineering-schools/iowa-state-university-02060" TargetMode="External"/><Relationship Id="rId130" Type="http://schemas.openxmlformats.org/officeDocument/2006/relationships/hyperlink" Target="https://premium.usnews.com/best-graduate-schools/top-engineering-schools/george-washington-university-02040" TargetMode="External"/><Relationship Id="rId151" Type="http://schemas.openxmlformats.org/officeDocument/2006/relationships/hyperlink" Target="https://www.me.uh.edu/faculty" TargetMode="External"/><Relationship Id="rId172" Type="http://schemas.openxmlformats.org/officeDocument/2006/relationships/hyperlink" Target="https://premium.usnews.com/best-graduate-schools/top-engineering-schools/the-university-of-texas-at-dallas-02208" TargetMode="External"/><Relationship Id="rId193" Type="http://schemas.openxmlformats.org/officeDocument/2006/relationships/hyperlink" Target="https://premium.usnews.com/best-graduate-schools/top-engineering-schools/university-of-south-carolina-02162" TargetMode="External"/><Relationship Id="rId207" Type="http://schemas.openxmlformats.org/officeDocument/2006/relationships/hyperlink" Target="http://engineering.uga.edu/people/school-of-environmental-civil-agricultural-and-mechanical-engineering" TargetMode="External"/><Relationship Id="rId228" Type="http://schemas.openxmlformats.org/officeDocument/2006/relationships/hyperlink" Target="https://www.me.msstate.edu/people/faculty/" TargetMode="External"/><Relationship Id="rId249" Type="http://schemas.openxmlformats.org/officeDocument/2006/relationships/hyperlink" Target="https://premium.usnews.com/best-graduate-schools/top-engineering-schools/cuny-city-college-02239" TargetMode="External"/><Relationship Id="rId13" Type="http://schemas.openxmlformats.org/officeDocument/2006/relationships/hyperlink" Target="https://premium.usnews.com/best-graduate-schools/top-engineering-schools/university-of-illinois-at-urbana-champaign-02055" TargetMode="External"/><Relationship Id="rId109" Type="http://schemas.openxmlformats.org/officeDocument/2006/relationships/hyperlink" Target="https://www.clemson.edu/cecas/departments/me/people/index.html" TargetMode="External"/><Relationship Id="rId260" Type="http://schemas.openxmlformats.org/officeDocument/2006/relationships/hyperlink" Target="https://premium.usnews.com/best-graduate-schools/top-engineering-schools/university-of-arkansas-02008" TargetMode="External"/><Relationship Id="rId281" Type="http://schemas.openxmlformats.org/officeDocument/2006/relationships/hyperlink" Target="https://premium.usnews.com/best-graduate-schools/top-engineering-schools/north-carolina-a&amp;t-state-university-02131" TargetMode="External"/><Relationship Id="rId316" Type="http://schemas.openxmlformats.org/officeDocument/2006/relationships/hyperlink" Target="https://www.scu.edu/engineering/academic-programs/department-of-mechanical-engineering/" TargetMode="External"/><Relationship Id="rId337" Type="http://schemas.openxmlformats.org/officeDocument/2006/relationships/hyperlink" Target="https://premium.usnews.com/best-graduate-schools/top-engineering-schools/northern-arizona-university-02557" TargetMode="External"/><Relationship Id="rId34" Type="http://schemas.openxmlformats.org/officeDocument/2006/relationships/hyperlink" Target="https://www.me.psu.edu/department/faculty-staff-list.aspx" TargetMode="External"/><Relationship Id="rId55" Type="http://schemas.openxmlformats.org/officeDocument/2006/relationships/hyperlink" Target="https://mech.rice.edu/people/faculty" TargetMode="External"/><Relationship Id="rId76" Type="http://schemas.openxmlformats.org/officeDocument/2006/relationships/hyperlink" Target="https://ame.nd.edu/faculty/" TargetMode="External"/><Relationship Id="rId97" Type="http://schemas.openxmlformats.org/officeDocument/2006/relationships/hyperlink" Target="https://me.msu.edu/directory" TargetMode="External"/><Relationship Id="rId120" Type="http://schemas.openxmlformats.org/officeDocument/2006/relationships/hyperlink" Target="https://premium.usnews.com/best-graduate-schools/top-engineering-schools/university-of-connecticut-02036" TargetMode="External"/><Relationship Id="rId141" Type="http://schemas.openxmlformats.org/officeDocument/2006/relationships/hyperlink" Target="https://mabe.utk.edu/faculty/" TargetMode="External"/><Relationship Id="rId358" Type="http://schemas.openxmlformats.org/officeDocument/2006/relationships/hyperlink" Target="https://www.slu.edu/science-and-engineering/academics/aerospace-and-mechanical-engineering/faculty/index.php" TargetMode="External"/><Relationship Id="rId7" Type="http://schemas.openxmlformats.org/officeDocument/2006/relationships/hyperlink" Target="https://premium.usnews.com/best-graduate-schools/top-engineering-schools/california-institute-of-technology-02009" TargetMode="External"/><Relationship Id="rId162" Type="http://schemas.openxmlformats.org/officeDocument/2006/relationships/hyperlink" Target="https://premium.usnews.com/best-graduate-schools/top-engineering-schools/brigham-young-university-02180" TargetMode="External"/><Relationship Id="rId183" Type="http://schemas.openxmlformats.org/officeDocument/2006/relationships/hyperlink" Target="https://premium.usnews.com/best-graduate-schools/top-engineering-schools/university-of-alabama-in-huntsville-02005" TargetMode="External"/><Relationship Id="rId218" Type="http://schemas.openxmlformats.org/officeDocument/2006/relationships/hyperlink" Target="https://egr.vcu.edu/departments/mechanical/people/faculty/" TargetMode="External"/><Relationship Id="rId239" Type="http://schemas.openxmlformats.org/officeDocument/2006/relationships/hyperlink" Target="https://premium.usnews.com/best-graduate-schools/top-engineering-schools/university-of-new-mexico-main-campus-02113" TargetMode="External"/><Relationship Id="rId250" Type="http://schemas.openxmlformats.org/officeDocument/2006/relationships/hyperlink" Target="https://cea.howard.edu/academics/departments/department-mechanical-engineering" TargetMode="External"/><Relationship Id="rId271" Type="http://schemas.openxmlformats.org/officeDocument/2006/relationships/hyperlink" Target="https://premium.usnews.com/best-graduate-schools/top-engineering-schools/university-of-south-florida-02048" TargetMode="External"/><Relationship Id="rId292" Type="http://schemas.openxmlformats.org/officeDocument/2006/relationships/hyperlink" Target="https://engineering.louisville.edu/academics/departments/mechanical/" TargetMode="External"/><Relationship Id="rId306" Type="http://schemas.openxmlformats.org/officeDocument/2006/relationships/hyperlink" Target="https://mme.fiu.edu/" TargetMode="External"/><Relationship Id="rId24" Type="http://schemas.openxmlformats.org/officeDocument/2006/relationships/hyperlink" Target="https://cockrell.utexas.edu/faculty-directory" TargetMode="External"/><Relationship Id="rId45" Type="http://schemas.openxmlformats.org/officeDocument/2006/relationships/hyperlink" Target="https://www.usnews.com/best-graduate-schools/top-engineering-schools/virginia-polytechnic-institute-and-state-university-02187" TargetMode="External"/><Relationship Id="rId66" Type="http://schemas.openxmlformats.org/officeDocument/2006/relationships/hyperlink" Target="https://www.usnews.com/best-graduate-schools/top-engineering-schools/university-of-southern-california-02027" TargetMode="External"/><Relationship Id="rId87" Type="http://schemas.openxmlformats.org/officeDocument/2006/relationships/hyperlink" Target="https://www.me.iastate.edu/faculty/page/1/" TargetMode="External"/><Relationship Id="rId110" Type="http://schemas.openxmlformats.org/officeDocument/2006/relationships/hyperlink" Target="https://premium.usnews.com/best-graduate-schools/top-engineering-schools/clemson-university-02161" TargetMode="External"/><Relationship Id="rId131" Type="http://schemas.openxmlformats.org/officeDocument/2006/relationships/hyperlink" Target="https://premium.usnews.com/best-graduate-schools/top-engineering-schools/lehigh-university-02154" TargetMode="External"/><Relationship Id="rId327" Type="http://schemas.openxmlformats.org/officeDocument/2006/relationships/hyperlink" Target="https://premium.usnews.com/best-graduate-schools/top-engineering-schools/university-of-nevada-las-vegas-02203" TargetMode="External"/><Relationship Id="rId348" Type="http://schemas.openxmlformats.org/officeDocument/2006/relationships/hyperlink" Target="https://wmich.edu/mechanical-aerospace" TargetMode="External"/><Relationship Id="rId152" Type="http://schemas.openxmlformats.org/officeDocument/2006/relationships/hyperlink" Target="https://premium.usnews.com/best-graduate-schools/top-engineering-schools/university-of-houston-02176" TargetMode="External"/><Relationship Id="rId173" Type="http://schemas.openxmlformats.org/officeDocument/2006/relationships/hyperlink" Target="https://www.me.ucr.edu/about/faculty" TargetMode="External"/><Relationship Id="rId194" Type="http://schemas.openxmlformats.org/officeDocument/2006/relationships/hyperlink" Target="https://www.binghamton.edu/mechanical-engineering/people/index.html" TargetMode="External"/><Relationship Id="rId208" Type="http://schemas.openxmlformats.org/officeDocument/2006/relationships/hyperlink" Target="https://premium.usnews.com/best-graduate-schools/top-engineering-schools/university-of-georgia-02238" TargetMode="External"/><Relationship Id="rId229" Type="http://schemas.openxmlformats.org/officeDocument/2006/relationships/hyperlink" Target="https://premium.usnews.com/best-graduate-schools/top-engineering-schools/mississippi-state-university-02092" TargetMode="External"/><Relationship Id="rId240" Type="http://schemas.openxmlformats.org/officeDocument/2006/relationships/hyperlink" Target="https://premium.usnews.com/best-graduate-schools/top-engineering-schools/university-of-oklahoma-norman-campus-02148" TargetMode="External"/><Relationship Id="rId261" Type="http://schemas.openxmlformats.org/officeDocument/2006/relationships/hyperlink" Target="https://eas.uccs.edu/mae" TargetMode="External"/><Relationship Id="rId14" Type="http://schemas.openxmlformats.org/officeDocument/2006/relationships/hyperlink" Target="https://me.engin.umich.edu/people/faculty/" TargetMode="External"/><Relationship Id="rId35" Type="http://schemas.openxmlformats.org/officeDocument/2006/relationships/hyperlink" Target="https://www.usnews.com/best-graduate-schools/top-engineering-schools/pennsylvania-state-university-main-campus-02155" TargetMode="External"/><Relationship Id="rId56" Type="http://schemas.openxmlformats.org/officeDocument/2006/relationships/hyperlink" Target="https://www.usnews.com/best-graduate-schools/top-engineering-schools/rice-university-02171" TargetMode="External"/><Relationship Id="rId77" Type="http://schemas.openxmlformats.org/officeDocument/2006/relationships/hyperlink" Target="https://www.usnews.com/best-graduate-schools/top-engineering-schools/university-of-notre-dame-02059" TargetMode="External"/><Relationship Id="rId100" Type="http://schemas.openxmlformats.org/officeDocument/2006/relationships/hyperlink" Target="https://www.usnews.com/best-graduate-schools/top-engineering-schools/vanderbilt-university-02169" TargetMode="External"/><Relationship Id="rId282" Type="http://schemas.openxmlformats.org/officeDocument/2006/relationships/hyperlink" Target="https://www.odu.edu/mechanical-aerospace-engineering" TargetMode="External"/><Relationship Id="rId317" Type="http://schemas.openxmlformats.org/officeDocument/2006/relationships/hyperlink" Target="https://premium.usnews.com/best-graduate-schools/top-engineering-schools/santa-clara-university-02019" TargetMode="External"/><Relationship Id="rId338" Type="http://schemas.openxmlformats.org/officeDocument/2006/relationships/hyperlink" Target="https://www.sdstate.edu/mechanical-engineering" TargetMode="External"/><Relationship Id="rId359" Type="http://schemas.openxmlformats.org/officeDocument/2006/relationships/hyperlink" Target="https://premium.usnews.com/best-graduate-schools/top-engineering-schools/saint-louis-university-02255" TargetMode="External"/><Relationship Id="rId8" Type="http://schemas.openxmlformats.org/officeDocument/2006/relationships/hyperlink" Target="https://me.berkeley.edu/faculty/" TargetMode="External"/><Relationship Id="rId98" Type="http://schemas.openxmlformats.org/officeDocument/2006/relationships/hyperlink" Target="https://premium.usnews.com/best-graduate-schools/top-engineering-schools/michigan-state-university-02084" TargetMode="External"/><Relationship Id="rId121" Type="http://schemas.openxmlformats.org/officeDocument/2006/relationships/hyperlink" Target="https://engineering.uiowa.edu/people/me-people/me-faculty" TargetMode="External"/><Relationship Id="rId142" Type="http://schemas.openxmlformats.org/officeDocument/2006/relationships/hyperlink" Target="https://premium.usnews.com/best-graduate-schools/top-engineering-schools/the-university-of-tennessee-02167" TargetMode="External"/><Relationship Id="rId163" Type="http://schemas.openxmlformats.org/officeDocument/2006/relationships/hyperlink" Target="https://premium.usnews.com/best-graduate-schools/top-engineering-schools/illinois-institute-of-technology-02053" TargetMode="External"/><Relationship Id="rId184" Type="http://schemas.openxmlformats.org/officeDocument/2006/relationships/hyperlink" Target="https://www.engr.uky.edu/research-faculty/departments/mechanical-and-aerospace-engineering/people" TargetMode="External"/><Relationship Id="rId219" Type="http://schemas.openxmlformats.org/officeDocument/2006/relationships/hyperlink" Target="https://premium.usnews.com/best-graduate-schools/top-engineering-schools/virginia-commonwealth-university-02241" TargetMode="External"/><Relationship Id="rId230" Type="http://schemas.openxmlformats.org/officeDocument/2006/relationships/hyperlink" Target="https://www.smu.edu/Lyle/Departments/ME/People/Faculty" TargetMode="External"/><Relationship Id="rId251" Type="http://schemas.openxmlformats.org/officeDocument/2006/relationships/hyperlink" Target="https://premium.usnews.com/best-graduate-schools/top-engineering-schools/howard-university-02041" TargetMode="External"/><Relationship Id="rId25" Type="http://schemas.openxmlformats.org/officeDocument/2006/relationships/hyperlink" Target="https://premium.usnews.com/best-graduate-schools/top-engineering-schools/the-university-of-texas-at-austin-02178" TargetMode="External"/><Relationship Id="rId46" Type="http://schemas.openxmlformats.org/officeDocument/2006/relationships/hyperlink" Target="https://seas.harvard.edu/materials-science-mechanical-engineering/people" TargetMode="External"/><Relationship Id="rId67" Type="http://schemas.openxmlformats.org/officeDocument/2006/relationships/hyperlink" Target="https://premium.usnews.com/best-graduate-schools/top-engineering-schools/university-of-washington-seattle-campus-02188" TargetMode="External"/><Relationship Id="rId272" Type="http://schemas.openxmlformats.org/officeDocument/2006/relationships/hyperlink" Target="https://klesse.utsa.edu/mechanical/" TargetMode="External"/><Relationship Id="rId293" Type="http://schemas.openxmlformats.org/officeDocument/2006/relationships/hyperlink" Target="https://premium.usnews.com/best-graduate-schools/top-engineering-schools/university-of-louisville-02066" TargetMode="External"/><Relationship Id="rId307" Type="http://schemas.openxmlformats.org/officeDocument/2006/relationships/hyperlink" Target="https://premium.usnews.com/best-graduate-schools/top-engineering-schools/florida-international-university-02044" TargetMode="External"/><Relationship Id="rId328" Type="http://schemas.openxmlformats.org/officeDocument/2006/relationships/hyperlink" Target="https://mechanical.engineering.unt.edu/" TargetMode="External"/><Relationship Id="rId349" Type="http://schemas.openxmlformats.org/officeDocument/2006/relationships/hyperlink" Target="https://premium.usnews.com/best-graduate-schools/top-engineering-schools/western-michigan-university-02202" TargetMode="External"/><Relationship Id="rId88" Type="http://schemas.openxmlformats.org/officeDocument/2006/relationships/hyperlink" Target="https://www.usnews.com/best-graduate-schools/top-engineering-schools/iowa-state-university-02060" TargetMode="External"/><Relationship Id="rId111" Type="http://schemas.openxmlformats.org/officeDocument/2006/relationships/hyperlink" Target="https://drexel.edu/engineering/academics/departments/mechanical-engineering/faculty-staff/?department=%7B15907D3E-C086-4715-9E82-085AEE9D46A0%7D&amp;q&amp;sortBy=relevance&amp;sortOrder=asc&amp;page=1" TargetMode="External"/><Relationship Id="rId132" Type="http://schemas.openxmlformats.org/officeDocument/2006/relationships/hyperlink" Target="https://engineering.lehigh.edu/meche/faculty" TargetMode="External"/><Relationship Id="rId153" Type="http://schemas.openxmlformats.org/officeDocument/2006/relationships/hyperlink" Target="https://www.mech.utah.edu/directory/faculty/" TargetMode="External"/><Relationship Id="rId174" Type="http://schemas.openxmlformats.org/officeDocument/2006/relationships/hyperlink" Target="https://premium.usnews.com/best-graduate-schools/top-engineering-schools/university-of-california-riverside-02235" TargetMode="External"/><Relationship Id="rId195" Type="http://schemas.openxmlformats.org/officeDocument/2006/relationships/hyperlink" Target="https://premium.usnews.com/best-graduate-schools/top-engineering-schools/binghamton-university-suny-02123" TargetMode="External"/><Relationship Id="rId209" Type="http://schemas.openxmlformats.org/officeDocument/2006/relationships/hyperlink" Target="https://me.ku.edu/faculty" TargetMode="External"/><Relationship Id="rId360" Type="http://schemas.openxmlformats.org/officeDocument/2006/relationships/hyperlink" Target="https://www.uno.edu/academics/coe/mechanical" TargetMode="External"/><Relationship Id="rId220" Type="http://schemas.openxmlformats.org/officeDocument/2006/relationships/hyperlink" Target="https://mae.statler.wvu.edu/faculty-staff" TargetMode="External"/><Relationship Id="rId241" Type="http://schemas.openxmlformats.org/officeDocument/2006/relationships/hyperlink" Target="https://www.ou.edu/coe/ame/people/faculty" TargetMode="External"/><Relationship Id="rId15" Type="http://schemas.openxmlformats.org/officeDocument/2006/relationships/hyperlink" Target="https://premium.usnews.com/best-graduate-schools/top-engineering-schools/university-of-michigan-ann-arbor-02088" TargetMode="External"/><Relationship Id="rId36" Type="http://schemas.openxmlformats.org/officeDocument/2006/relationships/hyperlink" Target="https://enme.umd.edu/clark/facultydir?drfilter=1" TargetMode="External"/><Relationship Id="rId57" Type="http://schemas.openxmlformats.org/officeDocument/2006/relationships/hyperlink" Target="https://premium.usnews.com/best-graduate-schools/top-engineering-schools/columbia-university-02116" TargetMode="External"/><Relationship Id="rId262" Type="http://schemas.openxmlformats.org/officeDocument/2006/relationships/hyperlink" Target="https://premium.usnews.com/best-graduate-schools/top-engineering-schools/university-of-colorado-colorado-springs-02033" TargetMode="External"/><Relationship Id="rId283" Type="http://schemas.openxmlformats.org/officeDocument/2006/relationships/hyperlink" Target="https://premium.usnews.com/best-graduate-schools/top-engineering-schools/old-dominion-university-02185" TargetMode="External"/><Relationship Id="rId318" Type="http://schemas.openxmlformats.org/officeDocument/2006/relationships/hyperlink" Target="https://engineering.siu.edu/me/faculty-staff/faculty/" TargetMode="External"/><Relationship Id="rId339" Type="http://schemas.openxmlformats.org/officeDocument/2006/relationships/hyperlink" Target="https://premium.usnews.com/best-graduate-schools/top-engineering-schools/south-dakota-state-university-02164" TargetMode="External"/><Relationship Id="rId10" Type="http://schemas.openxmlformats.org/officeDocument/2006/relationships/hyperlink" Target="https://www.me.gatech.edu/faculty" TargetMode="External"/><Relationship Id="rId31" Type="http://schemas.openxmlformats.org/officeDocument/2006/relationships/hyperlink" Target="https://www.usnews.com/best-graduate-schools/top-engineering-schools/texas-a-m-university-02174" TargetMode="External"/><Relationship Id="rId52" Type="http://schemas.openxmlformats.org/officeDocument/2006/relationships/hyperlink" Target="https://mae.osu.edu/directory/faculty" TargetMode="External"/><Relationship Id="rId73" Type="http://schemas.openxmlformats.org/officeDocument/2006/relationships/hyperlink" Target="https://www.usnews.com/best-graduate-schools/top-engineering-schools/rensselaer-polytechnic-institute-02121" TargetMode="External"/><Relationship Id="rId78" Type="http://schemas.openxmlformats.org/officeDocument/2006/relationships/hyperlink" Target="https://seas.yale.edu/faculty-research/faculty-directory" TargetMode="External"/><Relationship Id="rId94" Type="http://schemas.openxmlformats.org/officeDocument/2006/relationships/hyperlink" Target="https://www.usnews.com/best-graduate-schools/top-engineering-schools/washington-university-in-st-louis-02097" TargetMode="External"/><Relationship Id="rId99" Type="http://schemas.openxmlformats.org/officeDocument/2006/relationships/hyperlink" Target="https://engineering.vanderbilt.edu/me/faculty-staff/index.php" TargetMode="External"/><Relationship Id="rId101" Type="http://schemas.openxmlformats.org/officeDocument/2006/relationships/hyperlink" Target="https://www.bu.edu/eng/academics/departments-and-divisions/mechanical-engineering/people/?department=mechanical-engineering&amp;affiliation=primary-affiliated-faculty&amp;layout=list&amp;num=1" TargetMode="External"/><Relationship Id="rId122" Type="http://schemas.openxmlformats.org/officeDocument/2006/relationships/hyperlink" Target="https://premium.usnews.com/best-graduate-schools/top-engineering-schools/university-of-iowa-02061" TargetMode="External"/><Relationship Id="rId143" Type="http://schemas.openxmlformats.org/officeDocument/2006/relationships/hyperlink" Target="https://www.engr.colostate.edu/me/people/" TargetMode="External"/><Relationship Id="rId148" Type="http://schemas.openxmlformats.org/officeDocument/2006/relationships/hyperlink" Target="https://premium.usnews.com/best-graduate-schools/top-engineering-schools/university-of-central-florida-02045" TargetMode="External"/><Relationship Id="rId164" Type="http://schemas.openxmlformats.org/officeDocument/2006/relationships/hyperlink" Target="https://www.iit.edu/directory/people?school=All&amp;profile_type=All&amp;organization=2276&amp;faculty_type=4451&amp;expertise=All&amp;page=2" TargetMode="External"/><Relationship Id="rId169" Type="http://schemas.openxmlformats.org/officeDocument/2006/relationships/hyperlink" Target="https://ecs.syracuse.edu/faculty-staff/?category=mechanical-and-aerospace-engineering&amp;people=" TargetMode="External"/><Relationship Id="rId185" Type="http://schemas.openxmlformats.org/officeDocument/2006/relationships/hyperlink" Target="https://premium.usnews.com/best-graduate-schools/top-engineering-schools/university-of-kentucky-02065" TargetMode="External"/><Relationship Id="rId334" Type="http://schemas.openxmlformats.org/officeDocument/2006/relationships/hyperlink" Target="https://www.ndsu.edu/me/" TargetMode="External"/><Relationship Id="rId350" Type="http://schemas.openxmlformats.org/officeDocument/2006/relationships/hyperlink" Target="https://www.lamar.edu/engineering/mechanical/index.html" TargetMode="External"/><Relationship Id="rId355" Type="http://schemas.openxmlformats.org/officeDocument/2006/relationships/hyperlink" Target="https://premium.usnews.com/best-graduate-schools/top-engineering-schools/oakland-university-02086" TargetMode="External"/><Relationship Id="rId4" Type="http://schemas.openxmlformats.org/officeDocument/2006/relationships/hyperlink" Target="https://me.stanford.edu/people/faculty" TargetMode="External"/><Relationship Id="rId9" Type="http://schemas.openxmlformats.org/officeDocument/2006/relationships/hyperlink" Target="https://premium.usnews.com/best-graduate-schools/top-engineering-schools/university-of-california-berkeley-02021" TargetMode="External"/><Relationship Id="rId180" Type="http://schemas.openxmlformats.org/officeDocument/2006/relationships/hyperlink" Target="https://www.uta.edu/academics/schools-colleges/engineering/academics/departments/mechanical-aerospace/faculty-directory" TargetMode="External"/><Relationship Id="rId210" Type="http://schemas.openxmlformats.org/officeDocument/2006/relationships/hyperlink" Target="https://premium.usnews.com/best-graduate-schools/top-engineering-schools/university-of-kansas-02063" TargetMode="External"/><Relationship Id="rId215" Type="http://schemas.openxmlformats.org/officeDocument/2006/relationships/hyperlink" Target="https://premium.usnews.com/best-graduate-schools/top-engineering-schools/university-of-missouri-columbia-02094" TargetMode="External"/><Relationship Id="rId236" Type="http://schemas.openxmlformats.org/officeDocument/2006/relationships/hyperlink" Target="https://mae.coe.miami.edu/people/faculty/index.html" TargetMode="External"/><Relationship Id="rId257" Type="http://schemas.openxmlformats.org/officeDocument/2006/relationships/hyperlink" Target="https://engineering.temple.edu/academics/departments/mechanical-engineering-department" TargetMode="External"/><Relationship Id="rId278" Type="http://schemas.openxmlformats.org/officeDocument/2006/relationships/hyperlink" Target="https://www.fit.edu/mechanical-and-civil-engineering/" TargetMode="External"/><Relationship Id="rId26" Type="http://schemas.openxmlformats.org/officeDocument/2006/relationships/hyperlink" Target="https://www.mccormick.northwestern.edu/mechanical/people/faculty/" TargetMode="External"/><Relationship Id="rId231" Type="http://schemas.openxmlformats.org/officeDocument/2006/relationships/hyperlink" Target="https://premium.usnews.com/best-graduate-schools/top-engineering-schools/southern-methodist-university-02172" TargetMode="External"/><Relationship Id="rId252" Type="http://schemas.openxmlformats.org/officeDocument/2006/relationships/hyperlink" Target="https://premium.usnews.com/best-graduate-schools/top-engineering-schools/new-mexico-state-university-main-campus-02112" TargetMode="External"/><Relationship Id="rId273" Type="http://schemas.openxmlformats.org/officeDocument/2006/relationships/hyperlink" Target="https://premium.usnews.com/best-graduate-schools/top-engineering-schools/the-university-of-texas-at-san-antonio-02257" TargetMode="External"/><Relationship Id="rId294" Type="http://schemas.openxmlformats.org/officeDocument/2006/relationships/hyperlink" Target="https://umaine.edu/mecheng/" TargetMode="External"/><Relationship Id="rId308" Type="http://schemas.openxmlformats.org/officeDocument/2006/relationships/hyperlink" Target="https://mme.fiu.edu/" TargetMode="External"/><Relationship Id="rId329" Type="http://schemas.openxmlformats.org/officeDocument/2006/relationships/hyperlink" Target="https://premium.usnews.com/best-graduate-schools/top-engineering-schools/university-of-north-texas-02436" TargetMode="External"/><Relationship Id="rId47" Type="http://schemas.openxmlformats.org/officeDocument/2006/relationships/hyperlink" Target="https://www.usnews.com/best-graduate-schools/top-engineering-schools/harvard-university-02076" TargetMode="External"/><Relationship Id="rId68" Type="http://schemas.openxmlformats.org/officeDocument/2006/relationships/hyperlink" Target="https://www.me.washington.edu/facultyfinder" TargetMode="External"/><Relationship Id="rId89" Type="http://schemas.openxmlformats.org/officeDocument/2006/relationships/hyperlink" Target="https://www.mae.ncsu.edu/directory/" TargetMode="External"/><Relationship Id="rId112" Type="http://schemas.openxmlformats.org/officeDocument/2006/relationships/hyperlink" Target="https://premium.usnews.com/best-graduate-schools/top-engineering-schools/drexel-university-02153" TargetMode="External"/><Relationship Id="rId133" Type="http://schemas.openxmlformats.org/officeDocument/2006/relationships/hyperlink" Target="https://premium.usnews.com/best-graduate-schools/top-engineering-schools/lehigh-university-02154" TargetMode="External"/><Relationship Id="rId154" Type="http://schemas.openxmlformats.org/officeDocument/2006/relationships/hyperlink" Target="https://premium.usnews.com/best-graduate-schools/top-engineering-schools/university-of-utah-02181" TargetMode="External"/><Relationship Id="rId175" Type="http://schemas.openxmlformats.org/officeDocument/2006/relationships/hyperlink" Target="https://ceat.okstate.edu/mae/faculty-staff/index.html" TargetMode="External"/><Relationship Id="rId340" Type="http://schemas.openxmlformats.org/officeDocument/2006/relationships/hyperlink" Target="https://engineering.catholic.edu/mechanical/about-us/index.html" TargetMode="External"/><Relationship Id="rId361" Type="http://schemas.openxmlformats.org/officeDocument/2006/relationships/hyperlink" Target="https://premium.usnews.com/best-graduate-schools/top-engineering-schools/university-of-new-orleans-02070" TargetMode="External"/><Relationship Id="rId196" Type="http://schemas.openxmlformats.org/officeDocument/2006/relationships/hyperlink" Target="https://premium.usnews.com/best-graduate-schools/top-engineering-schools/clarkson-university-02115" TargetMode="External"/><Relationship Id="rId200" Type="http://schemas.openxmlformats.org/officeDocument/2006/relationships/hyperlink" Target="https://www.mne.k-state.edu/about/people/faculty/" TargetMode="External"/><Relationship Id="rId16" Type="http://schemas.openxmlformats.org/officeDocument/2006/relationships/hyperlink" Target="https://engineering.purdue.edu/ME/People/faculty.html" TargetMode="External"/><Relationship Id="rId221" Type="http://schemas.openxmlformats.org/officeDocument/2006/relationships/hyperlink" Target="https://premium.usnews.com/best-graduate-schools/top-engineering-schools/west-virginia-university-02190" TargetMode="External"/><Relationship Id="rId242" Type="http://schemas.openxmlformats.org/officeDocument/2006/relationships/hyperlink" Target="https://premium.usnews.com/best-graduate-schools/top-engineering-schools/university-of-oklahoma-tulsa-02148" TargetMode="External"/><Relationship Id="rId263" Type="http://schemas.openxmlformats.org/officeDocument/2006/relationships/hyperlink" Target="https://me.hawaii.edu/" TargetMode="External"/><Relationship Id="rId284" Type="http://schemas.openxmlformats.org/officeDocument/2006/relationships/hyperlink" Target="https://www.uakron.edu/engineering/ME/" TargetMode="External"/><Relationship Id="rId319" Type="http://schemas.openxmlformats.org/officeDocument/2006/relationships/hyperlink" Target="https://premium.usnews.com/best-graduate-schools/top-engineering-schools/southern-illinois-university-carbondale-02199" TargetMode="External"/><Relationship Id="rId37" Type="http://schemas.openxmlformats.org/officeDocument/2006/relationships/hyperlink" Target="https://www.usnews.com/best-graduate-schools/top-engineering-schools/university-of-maryland-college-park-02074" TargetMode="External"/><Relationship Id="rId58" Type="http://schemas.openxmlformats.org/officeDocument/2006/relationships/hyperlink" Target="https://www.me.columbia.edu/directory" TargetMode="External"/><Relationship Id="rId79" Type="http://schemas.openxmlformats.org/officeDocument/2006/relationships/hyperlink" Target="https://www.usnews.com/best-graduate-schools/top-engineering-schools/yale-university-02037" TargetMode="External"/><Relationship Id="rId102" Type="http://schemas.openxmlformats.org/officeDocument/2006/relationships/hyperlink" Target="https://www.usnews.com/best-graduate-schools/top-engineering-schools/north-carolina-state-university-raleigh-02132" TargetMode="External"/><Relationship Id="rId123" Type="http://schemas.openxmlformats.org/officeDocument/2006/relationships/hyperlink" Target="https://premium.usnews.com/best-graduate-schools/top-engineering-schools/university-of-pittsburgh-pittsburgh-campus-02157" TargetMode="External"/><Relationship Id="rId144" Type="http://schemas.openxmlformats.org/officeDocument/2006/relationships/hyperlink" Target="https://premium.usnews.com/best-graduate-schools/top-engineering-schools/colorado-state-university-02031" TargetMode="External"/><Relationship Id="rId330" Type="http://schemas.openxmlformats.org/officeDocument/2006/relationships/hyperlink" Target="https://engineering-computer-science.wright.edu/mechanical-and-materials-engineering" TargetMode="External"/><Relationship Id="rId90" Type="http://schemas.openxmlformats.org/officeDocument/2006/relationships/hyperlink" Target="https://www.usnews.com/best-graduate-schools/top-engineering-schools/north-carolina-state-university-raleigh-02132" TargetMode="External"/><Relationship Id="rId165" Type="http://schemas.openxmlformats.org/officeDocument/2006/relationships/hyperlink" Target="https://premium.usnews.com/best-graduate-schools/top-engineering-schools/illinois-institute-of-technology-02053" TargetMode="External"/><Relationship Id="rId186" Type="http://schemas.openxmlformats.org/officeDocument/2006/relationships/hyperlink" Target="https://engineering.unl.edu/mme/mme-faculty-staff/" TargetMode="External"/><Relationship Id="rId351" Type="http://schemas.openxmlformats.org/officeDocument/2006/relationships/hyperlink" Target="https://premium.usnews.com/best-graduate-schools/top-engineering-schools/lamar-university-02170" TargetMode="External"/><Relationship Id="rId211" Type="http://schemas.openxmlformats.org/officeDocument/2006/relationships/hyperlink" Target="https://me.umbc.edu/directory/" TargetMode="External"/><Relationship Id="rId232" Type="http://schemas.openxmlformats.org/officeDocument/2006/relationships/hyperlink" Target="https://me.ucmerced.edu/faculty" TargetMode="External"/><Relationship Id="rId253" Type="http://schemas.openxmlformats.org/officeDocument/2006/relationships/hyperlink" Target="https://mae.nmsu.edu/people/faculty.html" TargetMode="External"/><Relationship Id="rId274" Type="http://schemas.openxmlformats.org/officeDocument/2006/relationships/hyperlink" Target="https://engineering.usu.edu/mae/" TargetMode="External"/><Relationship Id="rId295" Type="http://schemas.openxmlformats.org/officeDocument/2006/relationships/hyperlink" Target="https://premium.usnews.com/best-graduate-schools/top-engineering-schools/university-of-maine-02072" TargetMode="External"/><Relationship Id="rId309" Type="http://schemas.openxmlformats.org/officeDocument/2006/relationships/hyperlink" Target="https://premium.usnews.com/best-graduate-schools/top-engineering-schools/louisiana-tech-university-02068" TargetMode="External"/><Relationship Id="rId27" Type="http://schemas.openxmlformats.org/officeDocument/2006/relationships/hyperlink" Target="https://www.usnews.com/best-graduate-schools/top-engineering-schools/northwestern-university-02054" TargetMode="External"/><Relationship Id="rId48" Type="http://schemas.openxmlformats.org/officeDocument/2006/relationships/hyperlink" Target="https://mae.ucsd.edu/faculty-profiles" TargetMode="External"/><Relationship Id="rId69" Type="http://schemas.openxmlformats.org/officeDocument/2006/relationships/hyperlink" Target="https://www.usnews.com/best-graduate-schools/top-engineering-schools/university-of-washington-seattle-campus-02188" TargetMode="External"/><Relationship Id="rId113" Type="http://schemas.openxmlformats.org/officeDocument/2006/relationships/hyperlink" Target="https://engineering.tufts.edu/me/people/faculty" TargetMode="External"/><Relationship Id="rId134" Type="http://schemas.openxmlformats.org/officeDocument/2006/relationships/hyperlink" Target="https://mae.mst.edu/faculty-directory/" TargetMode="External"/><Relationship Id="rId320" Type="http://schemas.openxmlformats.org/officeDocument/2006/relationships/hyperlink" Target="https://www.utep.edu/engineering/mechanical/index.html" TargetMode="External"/><Relationship Id="rId80" Type="http://schemas.openxmlformats.org/officeDocument/2006/relationships/hyperlink" Target="https://semte.engineering.asu.edu/faculty/aerospace-and-mechanical/" TargetMode="External"/><Relationship Id="rId155" Type="http://schemas.openxmlformats.org/officeDocument/2006/relationships/hyperlink" Target="https://mme.wsu.edu/mme-personnel-faculty/" TargetMode="External"/><Relationship Id="rId176" Type="http://schemas.openxmlformats.org/officeDocument/2006/relationships/hyperlink" Target="https://premium.usnews.com/best-graduate-schools/top-engineering-schools/oklahoma-state-university-main-campus-02147" TargetMode="External"/><Relationship Id="rId197" Type="http://schemas.openxmlformats.org/officeDocument/2006/relationships/hyperlink" Target="https://premium.usnews.com/best-graduate-schools/top-engineering-schools/clarkson-university-02115" TargetMode="External"/><Relationship Id="rId341" Type="http://schemas.openxmlformats.org/officeDocument/2006/relationships/hyperlink" Target="https://premium.usnews.com/best-graduate-schools/top-engineering-schools/the-catholic-university-of-america-02039" TargetMode="External"/><Relationship Id="rId362" Type="http://schemas.openxmlformats.org/officeDocument/2006/relationships/hyperlink" Target="https://engineering.und.edu/academics/mechanical/" TargetMode="External"/><Relationship Id="rId201" Type="http://schemas.openxmlformats.org/officeDocument/2006/relationships/hyperlink" Target="https://premium.usnews.com/best-graduate-schools/top-engineering-schools/kansas-state-university-02062" TargetMode="External"/><Relationship Id="rId222" Type="http://schemas.openxmlformats.org/officeDocument/2006/relationships/hyperlink" Target="https://www.ecs.baylor.edu/departments/mechanical-engineering/faculty" TargetMode="External"/><Relationship Id="rId243" Type="http://schemas.openxmlformats.org/officeDocument/2006/relationships/hyperlink" Target="https://premium.usnews.com/best-graduate-schools/top-engineering-schools/university-of-vermont-02183" TargetMode="External"/><Relationship Id="rId264" Type="http://schemas.openxmlformats.org/officeDocument/2006/relationships/hyperlink" Target="https://premium.usnews.com/best-graduate-schools/top-engineering-schools/university-of-hawaii-manoa-02050" TargetMode="External"/><Relationship Id="rId285" Type="http://schemas.openxmlformats.org/officeDocument/2006/relationships/hyperlink" Target="https://premium.usnews.com/best-graduate-schools/top-engineering-schools/university-of-akron-main-campus-02141" TargetMode="External"/><Relationship Id="rId17" Type="http://schemas.openxmlformats.org/officeDocument/2006/relationships/hyperlink" Target="https://premium.usnews.com/best-graduate-schools/top-engineering-schools/purdue-university-main-campus-02057" TargetMode="External"/><Relationship Id="rId38" Type="http://schemas.openxmlformats.org/officeDocument/2006/relationships/hyperlink" Target="https://cse.umn.edu/me/faculty" TargetMode="External"/><Relationship Id="rId59" Type="http://schemas.openxmlformats.org/officeDocument/2006/relationships/hyperlink" Target="https://www.usnews.com/best-graduate-schools/top-engineering-schools/columbia-university-02116" TargetMode="External"/><Relationship Id="rId103" Type="http://schemas.openxmlformats.org/officeDocument/2006/relationships/hyperlink" Target="https://mechanical.mines.edu/faculty-and-staff/" TargetMode="External"/><Relationship Id="rId124" Type="http://schemas.openxmlformats.org/officeDocument/2006/relationships/hyperlink" Target="https://www.engineering.pitt.edu/departments/mems/People/faculty/" TargetMode="External"/><Relationship Id="rId310" Type="http://schemas.openxmlformats.org/officeDocument/2006/relationships/hyperlink" Target="https://www.marquette.edu/mechanical-engineering/" TargetMode="External"/><Relationship Id="rId70" Type="http://schemas.openxmlformats.org/officeDocument/2006/relationships/hyperlink" Target="https://engineering.brown.edu/people/faculty" TargetMode="External"/><Relationship Id="rId91" Type="http://schemas.openxmlformats.org/officeDocument/2006/relationships/hyperlink" Target="https://engineering.virginia.edu/departments/mechanical-and-aerospace-engineering/people" TargetMode="External"/><Relationship Id="rId145" Type="http://schemas.openxmlformats.org/officeDocument/2006/relationships/hyperlink" Target="https://engineering.nyu.edu/academics/departments/mechanical-and-aerospace-engineering/people" TargetMode="External"/><Relationship Id="rId166" Type="http://schemas.openxmlformats.org/officeDocument/2006/relationships/hyperlink" Target="https://premium.usnews.com/best-graduate-schools/top-engineering-schools/michigan-technological-university-02085" TargetMode="External"/><Relationship Id="rId187" Type="http://schemas.openxmlformats.org/officeDocument/2006/relationships/hyperlink" Target="https://premium.usnews.com/best-graduate-schools/top-engineering-schools/university-of-nebraska-lincoln-02100" TargetMode="External"/><Relationship Id="rId331" Type="http://schemas.openxmlformats.org/officeDocument/2006/relationships/hyperlink" Target="https://premium.usnews.com/best-graduate-schools/top-engineering-schools/wright-state-university-02145" TargetMode="External"/><Relationship Id="rId352" Type="http://schemas.openxmlformats.org/officeDocument/2006/relationships/hyperlink" Target="https://www.nmt.edu/academics/mecheng/index.php" TargetMode="External"/><Relationship Id="rId1" Type="http://schemas.openxmlformats.org/officeDocument/2006/relationships/hyperlink" Target="https://www.usnews.com/best-graduate-schools/top-engineering-schools/eng-rankings" TargetMode="External"/><Relationship Id="rId212" Type="http://schemas.openxmlformats.org/officeDocument/2006/relationships/hyperlink" Target="https://premium.usnews.com/best-graduate-schools/top-engineering-schools/university-of-maryland-baltimore-county-02220" TargetMode="External"/><Relationship Id="rId233" Type="http://schemas.openxmlformats.org/officeDocument/2006/relationships/hyperlink" Target="https://premium.usnews.com/best-graduate-schools/top-engineering-schools/university-of-california-merced-02439" TargetMode="External"/><Relationship Id="rId254" Type="http://schemas.openxmlformats.org/officeDocument/2006/relationships/hyperlink" Target="https://premium.usnews.com/best-graduate-schools/top-engineering-schools/new-mexico-state-university-main-campus-02112" TargetMode="External"/><Relationship Id="rId28" Type="http://schemas.openxmlformats.org/officeDocument/2006/relationships/hyperlink" Target="https://me.jhu.edu/faculty/" TargetMode="External"/><Relationship Id="rId49" Type="http://schemas.openxmlformats.org/officeDocument/2006/relationships/hyperlink" Target="https://www.usnews.com/best-graduate-schools/top-engineering-schools/university-of-california-san-diego-02025" TargetMode="External"/><Relationship Id="rId114" Type="http://schemas.openxmlformats.org/officeDocument/2006/relationships/hyperlink" Target="https://premium.usnews.com/best-graduate-schools/top-engineering-schools/tufts-university-02080" TargetMode="External"/><Relationship Id="rId275" Type="http://schemas.openxmlformats.org/officeDocument/2006/relationships/hyperlink" Target="https://premium.usnews.com/best-graduate-schools/top-engineering-schools/utah-state-university-cehs-02182" TargetMode="External"/><Relationship Id="rId296" Type="http://schemas.openxmlformats.org/officeDocument/2006/relationships/hyperlink" Target="https://www.unr.edu/me" TargetMode="External"/><Relationship Id="rId300" Type="http://schemas.openxmlformats.org/officeDocument/2006/relationships/hyperlink" Target="https://premium.usnews.com/best-graduate-schools/top-engineering-schools/university-of-wyoming-02194" TargetMode="External"/><Relationship Id="rId60" Type="http://schemas.openxmlformats.org/officeDocument/2006/relationships/hyperlink" Target="https://premium.usnews.com/best-graduate-schools/top-engineering-schools/university-of-colorado-at-boulder-02032" TargetMode="External"/><Relationship Id="rId81" Type="http://schemas.openxmlformats.org/officeDocument/2006/relationships/hyperlink" Target="https://www.usnews.com/best-graduate-schools/top-engineering-schools/arizona-state-university-02006" TargetMode="External"/><Relationship Id="rId135" Type="http://schemas.openxmlformats.org/officeDocument/2006/relationships/hyperlink" Target="https://premium.usnews.com/best-graduate-schools/top-engineering-schools/missouri-university-of-science--technology-02095" TargetMode="External"/><Relationship Id="rId156" Type="http://schemas.openxmlformats.org/officeDocument/2006/relationships/hyperlink" Target="https://premium.usnews.com/best-graduate-schools/top-engineering-schools/washington-state-university-02189" TargetMode="External"/><Relationship Id="rId177" Type="http://schemas.openxmlformats.org/officeDocument/2006/relationships/hyperlink" Target="https://eng.ua.edu/departments/mechanical-engineering/" TargetMode="External"/><Relationship Id="rId198" Type="http://schemas.openxmlformats.org/officeDocument/2006/relationships/hyperlink" Target="https://daytonabeach.erau.edu/college-engineering/mechanical/faculty?p=2" TargetMode="External"/><Relationship Id="rId321" Type="http://schemas.openxmlformats.org/officeDocument/2006/relationships/hyperlink" Target="https://premium.usnews.com/best-graduate-schools/top-engineering-schools/the-university-of-texas-at-el-paso-02179" TargetMode="External"/><Relationship Id="rId342" Type="http://schemas.openxmlformats.org/officeDocument/2006/relationships/hyperlink" Target="https://ualr.edu/engineering/msme/" TargetMode="External"/><Relationship Id="rId363" Type="http://schemas.openxmlformats.org/officeDocument/2006/relationships/hyperlink" Target="https://premium.usnews.com/best-graduate-schools/top-engineering-schools/university-of-north-dakota-02136" TargetMode="External"/><Relationship Id="rId202" Type="http://schemas.openxmlformats.org/officeDocument/2006/relationships/hyperlink" Target="https://mechanical.sdsu.edu/people/faculty" TargetMode="External"/><Relationship Id="rId223" Type="http://schemas.openxmlformats.org/officeDocument/2006/relationships/hyperlink" Target="https://premium.usnews.com/best-graduate-schools/top-engineering-schools/baylor-university-02288" TargetMode="External"/><Relationship Id="rId244" Type="http://schemas.openxmlformats.org/officeDocument/2006/relationships/hyperlink" Target="https://www.uvm.edu/cems/me" TargetMode="External"/><Relationship Id="rId18" Type="http://schemas.openxmlformats.org/officeDocument/2006/relationships/hyperlink" Target="https://www.mae.cornell.edu/mae/faculty-directory" TargetMode="External"/><Relationship Id="rId39" Type="http://schemas.openxmlformats.org/officeDocument/2006/relationships/hyperlink" Target="https://www.usnews.com/best-graduate-schools/top-engineering-schools/university-of-minnesota-twin-cities-02091" TargetMode="External"/><Relationship Id="rId265" Type="http://schemas.openxmlformats.org/officeDocument/2006/relationships/hyperlink" Target="https://premium.usnews.com/best-graduate-schools/top-engineering-schools/university-of-michigan-dearborn-02400" TargetMode="External"/><Relationship Id="rId286" Type="http://schemas.openxmlformats.org/officeDocument/2006/relationships/hyperlink" Target="https://www.uab.edu/engineering/mme/" TargetMode="External"/><Relationship Id="rId50" Type="http://schemas.openxmlformats.org/officeDocument/2006/relationships/hyperlink" Target="https://mems.duke.edu/faculty" TargetMode="External"/><Relationship Id="rId104" Type="http://schemas.openxmlformats.org/officeDocument/2006/relationships/hyperlink" Target="https://www.usnews.com/best-graduate-schools/top-engineering-schools/colorado-school-of-mines-02030" TargetMode="External"/><Relationship Id="rId125" Type="http://schemas.openxmlformats.org/officeDocument/2006/relationships/hyperlink" Target="https://www.usnews.com/best-graduate-schools/top-engineering-schools/university-of-pittsburgh-pittsburgh-campus-02157" TargetMode="External"/><Relationship Id="rId146" Type="http://schemas.openxmlformats.org/officeDocument/2006/relationships/hyperlink" Target="https://www.usnews.com/best-graduate-schools/top-engineering-schools/new-york-university-02120" TargetMode="External"/><Relationship Id="rId167" Type="http://schemas.openxmlformats.org/officeDocument/2006/relationships/hyperlink" Target="https://www.stevens.edu/school-engineering-science/departments/mechanical-engineering/faculty" TargetMode="External"/><Relationship Id="rId188" Type="http://schemas.openxmlformats.org/officeDocument/2006/relationships/hyperlink" Target="https://mees.charlotte.edu/directory/faculty" TargetMode="External"/><Relationship Id="rId311" Type="http://schemas.openxmlformats.org/officeDocument/2006/relationships/hyperlink" Target="https://premium.usnews.com/best-graduate-schools/top-engineering-schools/marquette-university-02191" TargetMode="External"/><Relationship Id="rId332" Type="http://schemas.openxmlformats.org/officeDocument/2006/relationships/hyperlink" Target="https://www.fau.edu/engineering/ome/'" TargetMode="External"/><Relationship Id="rId353" Type="http://schemas.openxmlformats.org/officeDocument/2006/relationships/hyperlink" Target="https://premium.usnews.com/best-graduate-schools/top-engineering-schools/new-mexico-institute-of-mining-and-technology-02111" TargetMode="External"/><Relationship Id="rId71" Type="http://schemas.openxmlformats.org/officeDocument/2006/relationships/hyperlink" Target="https://premium.usnews.com/best-graduate-schools/top-engineering-schools/brown-university-02159" TargetMode="External"/><Relationship Id="rId92" Type="http://schemas.openxmlformats.org/officeDocument/2006/relationships/hyperlink" Target="https://www.usnews.com/best-graduate-schools/top-engineering-schools/university-of-virginia-main-campus-02186" TargetMode="External"/><Relationship Id="rId213" Type="http://schemas.openxmlformats.org/officeDocument/2006/relationships/hyperlink" Target="https://premium.usnews.com/best-graduate-schools/top-engineering-schools/university-of-missouri-columbia-02094" TargetMode="External"/><Relationship Id="rId234" Type="http://schemas.openxmlformats.org/officeDocument/2006/relationships/hyperlink" Target="https://udayton.edu/engineering/departments/mechanical_and_aerospace/faculty-staff/index.php" TargetMode="External"/><Relationship Id="rId2" Type="http://schemas.openxmlformats.org/officeDocument/2006/relationships/hyperlink" Target="https://meche.mit.edu/people" TargetMode="External"/><Relationship Id="rId29" Type="http://schemas.openxmlformats.org/officeDocument/2006/relationships/hyperlink" Target="https://www.usnews.com/best-graduate-schools/top-engineering-schools/johns-hopkins-university-02073" TargetMode="External"/><Relationship Id="rId255" Type="http://schemas.openxmlformats.org/officeDocument/2006/relationships/hyperlink" Target="https://www.sdsmt.edu/Academics/Departments/Mechanical-Engineering/Personnel/Faculty-and-Staff/" TargetMode="External"/><Relationship Id="rId276" Type="http://schemas.openxmlformats.org/officeDocument/2006/relationships/hyperlink" Target="https://engineering.wayne.edu/mechanical" TargetMode="External"/><Relationship Id="rId297" Type="http://schemas.openxmlformats.org/officeDocument/2006/relationships/hyperlink" Target="https://premium.usnews.com/best-graduate-schools/top-engineering-schools/university-of-nevada-reno-02101" TargetMode="External"/><Relationship Id="rId40" Type="http://schemas.openxmlformats.org/officeDocument/2006/relationships/hyperlink" Target="https://directory.seas.upenn.edu/mechanical-engineering-and-applied-mechanics/" TargetMode="External"/><Relationship Id="rId115" Type="http://schemas.openxmlformats.org/officeDocument/2006/relationships/hyperlink" Target="https://engineering.buffalo.edu/mechanical-aerospace/people/faculty.html" TargetMode="External"/><Relationship Id="rId136" Type="http://schemas.openxmlformats.org/officeDocument/2006/relationships/hyperlink" Target="https://nps.edu/web/mae/people" TargetMode="External"/><Relationship Id="rId157" Type="http://schemas.openxmlformats.org/officeDocument/2006/relationships/hyperlink" Target="https://premium.usnews.com/best-graduate-schools/top-engineering-schools/worcester-polytechnic-institute-02083" TargetMode="External"/><Relationship Id="rId178" Type="http://schemas.openxmlformats.org/officeDocument/2006/relationships/hyperlink" Target="https://premium.usnews.com/best-graduate-schools/top-engineering-schools/university-of-alabama-02003" TargetMode="External"/><Relationship Id="rId301" Type="http://schemas.openxmlformats.org/officeDocument/2006/relationships/hyperlink" Target="https://www.wichita.edu/academics/engineering/mechanical_engineering/index.php" TargetMode="External"/><Relationship Id="rId322" Type="http://schemas.openxmlformats.org/officeDocument/2006/relationships/hyperlink" Target="https://www.uidaho.edu/engr/departments/me" TargetMode="External"/><Relationship Id="rId343" Type="http://schemas.openxmlformats.org/officeDocument/2006/relationships/hyperlink" Target="https://premium.usnews.com/best-graduate-schools/top-engineering-schools/university-of-arkansas-at-little-rock-02277" TargetMode="External"/><Relationship Id="rId364" Type="http://schemas.openxmlformats.org/officeDocument/2006/relationships/hyperlink" Target="https://eng-sci.udmercy.edu/academics/engineering/mechanical/index" TargetMode="External"/><Relationship Id="rId61" Type="http://schemas.openxmlformats.org/officeDocument/2006/relationships/hyperlink" Target="https://www.colorado.edu/mechanical/people/faculty" TargetMode="External"/><Relationship Id="rId82" Type="http://schemas.openxmlformats.org/officeDocument/2006/relationships/hyperlink" Target="https://mae.ucdavis.edu/directory" TargetMode="External"/><Relationship Id="rId199" Type="http://schemas.openxmlformats.org/officeDocument/2006/relationships/hyperlink" Target="https://premium.usnews.com/best-graduate-schools/top-engineering-schools/embry-riddle-aeronautical-university---daytona-beach-02315" TargetMode="External"/><Relationship Id="rId203" Type="http://schemas.openxmlformats.org/officeDocument/2006/relationships/hyperlink" Target="https://premium.usnews.com/best-graduate-schools/top-engineering-schools/san-diego-state-university-02251" TargetMode="External"/><Relationship Id="rId19" Type="http://schemas.openxmlformats.org/officeDocument/2006/relationships/hyperlink" Target="https://premium.usnews.com/best-graduate-schools/top-engineering-schools/cornell-university-02118" TargetMode="External"/><Relationship Id="rId224" Type="http://schemas.openxmlformats.org/officeDocument/2006/relationships/hyperlink" Target="https://eng.famu.fsu.edu/me/people" TargetMode="External"/><Relationship Id="rId245" Type="http://schemas.openxmlformats.org/officeDocument/2006/relationships/hyperlink" Target="https://premium.usnews.com/best-graduate-schools/top-engineering-schools/university-of-vermont-02183" TargetMode="External"/><Relationship Id="rId266" Type="http://schemas.openxmlformats.org/officeDocument/2006/relationships/hyperlink" Target="https://umdearborn.edu/cecs/departments/mechanical-engineering" TargetMode="External"/><Relationship Id="rId287" Type="http://schemas.openxmlformats.org/officeDocument/2006/relationships/hyperlink" Target="https://premium.usnews.com/best-graduate-schools/top-engineering-schools/university-of-alabama-at-birmingham-02004" TargetMode="External"/><Relationship Id="rId30" Type="http://schemas.openxmlformats.org/officeDocument/2006/relationships/hyperlink" Target="https://engineering.tamu.edu/mechanical/profiles/index.html" TargetMode="External"/><Relationship Id="rId105" Type="http://schemas.openxmlformats.org/officeDocument/2006/relationships/hyperlink" Target="https://mae.rutgers.edu/fac/" TargetMode="External"/><Relationship Id="rId126" Type="http://schemas.openxmlformats.org/officeDocument/2006/relationships/hyperlink" Target="https://eng.auburn.edu/mech/people/" TargetMode="External"/><Relationship Id="rId147" Type="http://schemas.openxmlformats.org/officeDocument/2006/relationships/hyperlink" Target="https://mae.ucf.edu/faculty-directory/" TargetMode="External"/><Relationship Id="rId168" Type="http://schemas.openxmlformats.org/officeDocument/2006/relationships/hyperlink" Target="https://premium.usnews.com/best-graduate-schools/top-engineering-schools/stevens-institute-of-technology-02110" TargetMode="External"/><Relationship Id="rId312" Type="http://schemas.openxmlformats.org/officeDocument/2006/relationships/hyperlink" Target="https://www.ohio.edu/engineering/mechanical/people/faculty" TargetMode="External"/><Relationship Id="rId333" Type="http://schemas.openxmlformats.org/officeDocument/2006/relationships/hyperlink" Target="https://premium.usnews.com/best-graduate-schools/top-engineering-schools/florida-atlantic-university-02042" TargetMode="External"/><Relationship Id="rId354" Type="http://schemas.openxmlformats.org/officeDocument/2006/relationships/hyperlink" Target="https://www.oakland.edu/secs/directory/" TargetMode="External"/><Relationship Id="rId51" Type="http://schemas.openxmlformats.org/officeDocument/2006/relationships/hyperlink" Target="https://www.usnews.com/best-graduate-schools/top-engineering-schools/duke-university-02130" TargetMode="External"/><Relationship Id="rId72" Type="http://schemas.openxmlformats.org/officeDocument/2006/relationships/hyperlink" Target="https://mane.rpi.edu/people/faculty/mechanical-engineering" TargetMode="External"/><Relationship Id="rId93" Type="http://schemas.openxmlformats.org/officeDocument/2006/relationships/hyperlink" Target="https://engineering.wustl.edu/faculty/index.html" TargetMode="External"/><Relationship Id="rId189" Type="http://schemas.openxmlformats.org/officeDocument/2006/relationships/hyperlink" Target="https://premium.usnews.com/best-graduate-schools/top-engineering-schools/university-of-north-carolina-at-charlotte-02134" TargetMode="External"/><Relationship Id="rId3" Type="http://schemas.openxmlformats.org/officeDocument/2006/relationships/hyperlink" Target="https://premium.usnews.com/best-graduate-schools/top-engineering-schools/massachusetts-institute-of-technology-02077" TargetMode="External"/><Relationship Id="rId214" Type="http://schemas.openxmlformats.org/officeDocument/2006/relationships/hyperlink" Target="https://engineering.missouri.edu/departments/mae/faculty/" TargetMode="External"/><Relationship Id="rId235" Type="http://schemas.openxmlformats.org/officeDocument/2006/relationships/hyperlink" Target="https://premium.usnews.com/best-graduate-schools/top-engineering-schools/university-of-dayton-02143" TargetMode="External"/><Relationship Id="rId256" Type="http://schemas.openxmlformats.org/officeDocument/2006/relationships/hyperlink" Target="https://premium.usnews.com/best-graduate-schools/top-engineering-schools/south-dakota-school-of-mines-and-technology-02163" TargetMode="External"/><Relationship Id="rId277" Type="http://schemas.openxmlformats.org/officeDocument/2006/relationships/hyperlink" Target="https://premium.usnews.com/best-graduate-schools/top-engineering-schools/wayne-state-university-02090" TargetMode="External"/><Relationship Id="rId298" Type="http://schemas.openxmlformats.org/officeDocument/2006/relationships/hyperlink" Target="https://premium.usnews.com/best-graduate-schools/top-engineering-schools/university-of-wyoming-02194" TargetMode="External"/><Relationship Id="rId116" Type="http://schemas.openxmlformats.org/officeDocument/2006/relationships/hyperlink" Target="https://premium.usnews.com/best-graduate-schools/top-engineering-schools/university-at-buffalo-02124" TargetMode="External"/><Relationship Id="rId137" Type="http://schemas.openxmlformats.org/officeDocument/2006/relationships/hyperlink" Target="https://premium.usnews.com/best-graduate-schools/top-engineering-schools/naval-postgraduate-school-02244" TargetMode="External"/><Relationship Id="rId158" Type="http://schemas.openxmlformats.org/officeDocument/2006/relationships/hyperlink" Target="https://www.wpi.edu/academics/departments/mechanical-engineering/faculty-staff" TargetMode="External"/><Relationship Id="rId302" Type="http://schemas.openxmlformats.org/officeDocument/2006/relationships/hyperlink" Target="https://premium.usnews.com/best-graduate-schools/top-engineering-schools/wichita-state-university-02064" TargetMode="External"/><Relationship Id="rId323" Type="http://schemas.openxmlformats.org/officeDocument/2006/relationships/hyperlink" Target="https://premium.usnews.com/best-graduate-schools/top-engineering-schools/university-of-idaho-02051" TargetMode="External"/><Relationship Id="rId344" Type="http://schemas.openxmlformats.org/officeDocument/2006/relationships/hyperlink" Target="https://www.memphis.edu/me/" TargetMode="External"/><Relationship Id="rId20" Type="http://schemas.openxmlformats.org/officeDocument/2006/relationships/hyperlink" Target="https://mae.princeton.edu/people/faculty" TargetMode="External"/><Relationship Id="rId41" Type="http://schemas.openxmlformats.org/officeDocument/2006/relationships/hyperlink" Target="https://www.usnews.com/best-graduate-schools/top-engineering-schools/university-of-pennsylvania-02156" TargetMode="External"/><Relationship Id="rId62" Type="http://schemas.openxmlformats.org/officeDocument/2006/relationships/hyperlink" Target="https://www.usnews.com/best-graduate-schools/top-engineering-schools/university-of-colorado-at-boulder-02032" TargetMode="External"/><Relationship Id="rId83" Type="http://schemas.openxmlformats.org/officeDocument/2006/relationships/hyperlink" Target="https://www.usnews.com/best-graduate-schools/top-engineering-schools/university-of-california-davis-02022" TargetMode="External"/><Relationship Id="rId179" Type="http://schemas.openxmlformats.org/officeDocument/2006/relationships/hyperlink" Target="https://premium.usnews.com/best-graduate-schools/top-engineering-schools/the-university-of-texas-at-arlington-02177" TargetMode="External"/><Relationship Id="rId365" Type="http://schemas.openxmlformats.org/officeDocument/2006/relationships/hyperlink" Target="https://premium.usnews.com/best-graduate-schools/top-engineering-schools/university-of-detroit-mercy-02087" TargetMode="External"/><Relationship Id="rId190" Type="http://schemas.openxmlformats.org/officeDocument/2006/relationships/hyperlink" Target="http://www.hajim.rochester.edu/me/people/staff/index.html" TargetMode="External"/><Relationship Id="rId204" Type="http://schemas.openxmlformats.org/officeDocument/2006/relationships/hyperlink" Target="https://premium.usnews.com/best-graduate-schools/top-engineering-schools/texas-tech-university-02175" TargetMode="External"/><Relationship Id="rId225" Type="http://schemas.openxmlformats.org/officeDocument/2006/relationships/hyperlink" Target="https://premium.usnews.com/best-graduate-schools/top-engineering-schools/florida-state-university-02215" TargetMode="External"/><Relationship Id="rId246" Type="http://schemas.openxmlformats.org/officeDocument/2006/relationships/hyperlink" Target="https://uwm.edu/engineering/departments/mechanical-engineering/" TargetMode="External"/><Relationship Id="rId267" Type="http://schemas.openxmlformats.org/officeDocument/2006/relationships/hyperlink" Target="https://premium.usnews.com/best-graduate-schools/top-engineering-schools/university-of-michigan-dearborn-02400" TargetMode="External"/><Relationship Id="rId288" Type="http://schemas.openxmlformats.org/officeDocument/2006/relationships/hyperlink" Target="https://engineering.ucdenver.edu/departments/mechanical-engineering" TargetMode="External"/><Relationship Id="rId106" Type="http://schemas.openxmlformats.org/officeDocument/2006/relationships/hyperlink" Target="https://premium.usnews.com/best-graduate-schools/top-engineering-schools/rutgers-university-02109" TargetMode="External"/><Relationship Id="rId127" Type="http://schemas.openxmlformats.org/officeDocument/2006/relationships/hyperlink" Target="https://premium.usnews.com/best-graduate-schools/top-engineering-schools/auburn-university-02001" TargetMode="External"/><Relationship Id="rId313" Type="http://schemas.openxmlformats.org/officeDocument/2006/relationships/hyperlink" Target="https://premium.usnews.com/best-graduate-schools/top-engineering-schools/ohio-university-02140"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meche.mit.edu/peopl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H6542"/>
  <sheetViews>
    <sheetView workbookViewId="0">
      <pane xSplit="3" ySplit="2" topLeftCell="D3" activePane="bottomRight" state="frozen"/>
      <selection pane="topRight" activeCell="D1" sqref="D1"/>
      <selection pane="bottomLeft" activeCell="A3" sqref="A3"/>
      <selection pane="bottomRight" activeCell="D3" sqref="D3"/>
    </sheetView>
  </sheetViews>
  <sheetFormatPr defaultColWidth="12.5703125" defaultRowHeight="15" customHeight="1"/>
  <cols>
    <col min="1" max="1" width="30.140625" customWidth="1"/>
    <col min="2" max="2" width="18.42578125" customWidth="1"/>
    <col min="3" max="3" width="13" customWidth="1"/>
    <col min="4" max="4" width="15" customWidth="1"/>
    <col min="5" max="5" width="72.140625" customWidth="1"/>
    <col min="6" max="6" width="15.5703125" customWidth="1"/>
    <col min="7" max="7" width="23.140625" customWidth="1"/>
    <col min="8" max="8" width="29.140625" customWidth="1"/>
    <col min="9" max="9" width="23.28515625" customWidth="1"/>
    <col min="11" max="11" width="72.140625" customWidth="1"/>
    <col min="12" max="12" width="15.42578125" customWidth="1"/>
    <col min="16" max="16" width="14.5703125" customWidth="1"/>
    <col min="17" max="18" width="12.7109375" customWidth="1"/>
    <col min="19" max="19" width="13.42578125" customWidth="1"/>
  </cols>
  <sheetData>
    <row r="1" spans="1:34" ht="17.25" customHeight="1">
      <c r="A1" s="1" t="s">
        <v>0</v>
      </c>
      <c r="B1" s="2" t="s">
        <v>1</v>
      </c>
      <c r="C1" s="3"/>
      <c r="D1" s="4"/>
      <c r="E1" s="4"/>
      <c r="F1" s="3" t="s">
        <v>2</v>
      </c>
      <c r="G1" s="3"/>
      <c r="H1" s="3"/>
      <c r="I1" s="5"/>
      <c r="J1" s="5"/>
      <c r="K1" s="6"/>
      <c r="L1" s="7" t="s">
        <v>3</v>
      </c>
      <c r="M1" s="8"/>
      <c r="N1" s="8"/>
      <c r="O1" s="9"/>
      <c r="P1" s="414" t="s">
        <v>4</v>
      </c>
      <c r="Q1" s="416" t="s">
        <v>5</v>
      </c>
      <c r="R1" s="418" t="s">
        <v>6</v>
      </c>
      <c r="S1" s="418" t="s">
        <v>7</v>
      </c>
    </row>
    <row r="2" spans="1:34" ht="24" customHeight="1">
      <c r="A2" s="3" t="s">
        <v>8</v>
      </c>
      <c r="B2" s="10" t="s">
        <v>9</v>
      </c>
      <c r="C2" s="3" t="s">
        <v>10</v>
      </c>
      <c r="D2" s="11" t="s">
        <v>11</v>
      </c>
      <c r="E2" s="12" t="s">
        <v>12</v>
      </c>
      <c r="F2" s="3" t="s">
        <v>13</v>
      </c>
      <c r="G2" s="3" t="s">
        <v>14</v>
      </c>
      <c r="H2" s="3" t="s">
        <v>15</v>
      </c>
      <c r="I2" s="13" t="s">
        <v>16</v>
      </c>
      <c r="J2" s="13" t="s">
        <v>17</v>
      </c>
      <c r="K2" s="14" t="s">
        <v>18</v>
      </c>
      <c r="L2" s="15">
        <v>45237</v>
      </c>
      <c r="M2" s="9" t="s">
        <v>19</v>
      </c>
      <c r="N2" s="9" t="s">
        <v>20</v>
      </c>
      <c r="O2" s="9" t="s">
        <v>21</v>
      </c>
      <c r="P2" s="415"/>
      <c r="Q2" s="417"/>
      <c r="R2" s="415"/>
      <c r="S2" s="415"/>
      <c r="T2" s="16"/>
      <c r="U2" s="16"/>
      <c r="V2" s="16"/>
      <c r="W2" s="16"/>
      <c r="X2" s="16"/>
      <c r="Y2" s="16"/>
      <c r="Z2" s="16"/>
      <c r="AA2" s="16"/>
      <c r="AB2" s="16"/>
      <c r="AC2" s="16"/>
      <c r="AD2" s="16"/>
      <c r="AE2" s="16"/>
      <c r="AF2" s="16"/>
      <c r="AG2" s="16"/>
      <c r="AH2" s="16"/>
    </row>
    <row r="3" spans="1:34" ht="15.75" customHeight="1">
      <c r="A3" s="17" t="s">
        <v>22</v>
      </c>
      <c r="B3" s="18" t="s">
        <v>23</v>
      </c>
      <c r="C3" s="19" t="s">
        <v>24</v>
      </c>
      <c r="D3" s="20" t="s">
        <v>25</v>
      </c>
      <c r="E3" s="20" t="s">
        <v>26</v>
      </c>
      <c r="F3" s="19" t="s">
        <v>27</v>
      </c>
      <c r="G3" s="19" t="s">
        <v>28</v>
      </c>
      <c r="H3" s="19"/>
      <c r="I3" s="21" t="s">
        <v>29</v>
      </c>
      <c r="J3" s="21" t="s">
        <v>29</v>
      </c>
      <c r="K3" s="22" t="s">
        <v>30</v>
      </c>
      <c r="L3" s="23">
        <v>45237</v>
      </c>
      <c r="M3" s="8">
        <v>18699</v>
      </c>
      <c r="N3" s="8">
        <v>60</v>
      </c>
      <c r="O3" s="24">
        <v>100</v>
      </c>
      <c r="P3" s="24">
        <v>951</v>
      </c>
      <c r="Q3" s="25">
        <v>2008</v>
      </c>
      <c r="R3" s="26" t="s">
        <v>31</v>
      </c>
      <c r="S3" s="27">
        <v>45542</v>
      </c>
    </row>
    <row r="4" spans="1:34" ht="15.75" customHeight="1">
      <c r="A4" s="28" t="s">
        <v>32</v>
      </c>
      <c r="B4" s="29" t="s">
        <v>33</v>
      </c>
      <c r="C4" s="19" t="s">
        <v>24</v>
      </c>
      <c r="D4" s="20" t="s">
        <v>34</v>
      </c>
      <c r="E4" s="20" t="s">
        <v>35</v>
      </c>
      <c r="F4" s="19" t="s">
        <v>27</v>
      </c>
      <c r="G4" s="19" t="s">
        <v>28</v>
      </c>
      <c r="H4" s="19" t="s">
        <v>36</v>
      </c>
      <c r="I4" s="21" t="s">
        <v>29</v>
      </c>
      <c r="J4" s="21" t="s">
        <v>29</v>
      </c>
      <c r="K4" s="22" t="s">
        <v>37</v>
      </c>
      <c r="L4" s="23">
        <v>45237</v>
      </c>
      <c r="M4" s="24">
        <v>8697</v>
      </c>
      <c r="N4" s="30">
        <v>55</v>
      </c>
      <c r="O4" s="30">
        <v>137</v>
      </c>
      <c r="P4" s="30">
        <v>306</v>
      </c>
      <c r="Q4" s="25">
        <v>2009</v>
      </c>
      <c r="R4" s="26" t="s">
        <v>38</v>
      </c>
      <c r="S4" s="27">
        <v>45542</v>
      </c>
    </row>
    <row r="5" spans="1:34" ht="15.75" customHeight="1">
      <c r="A5" s="31" t="s">
        <v>39</v>
      </c>
      <c r="B5" s="29" t="s">
        <v>40</v>
      </c>
      <c r="C5" s="19" t="s">
        <v>24</v>
      </c>
      <c r="D5" s="20" t="s">
        <v>41</v>
      </c>
      <c r="E5" s="20" t="s">
        <v>42</v>
      </c>
      <c r="F5" s="19" t="s">
        <v>27</v>
      </c>
      <c r="G5" s="19" t="s">
        <v>28</v>
      </c>
      <c r="H5" s="19" t="s">
        <v>36</v>
      </c>
      <c r="I5" s="21" t="s">
        <v>29</v>
      </c>
      <c r="J5" s="21" t="s">
        <v>29</v>
      </c>
      <c r="K5" s="22" t="s">
        <v>43</v>
      </c>
      <c r="L5" s="23">
        <v>45237</v>
      </c>
      <c r="P5" s="27"/>
      <c r="Q5" s="25"/>
      <c r="R5" s="25"/>
      <c r="S5" s="27"/>
    </row>
    <row r="6" spans="1:34" ht="15.75" customHeight="1">
      <c r="A6" s="32" t="s">
        <v>44</v>
      </c>
      <c r="B6" s="18" t="s">
        <v>45</v>
      </c>
      <c r="C6" s="19" t="s">
        <v>46</v>
      </c>
      <c r="D6" s="20" t="s">
        <v>47</v>
      </c>
      <c r="E6" s="20" t="s">
        <v>48</v>
      </c>
      <c r="F6" s="19" t="s">
        <v>49</v>
      </c>
      <c r="G6" s="19" t="s">
        <v>50</v>
      </c>
      <c r="H6" s="19"/>
      <c r="I6" s="21" t="s">
        <v>29</v>
      </c>
      <c r="J6" s="21" t="s">
        <v>29</v>
      </c>
      <c r="K6" s="22" t="s">
        <v>51</v>
      </c>
      <c r="L6" s="23">
        <v>45237</v>
      </c>
      <c r="P6" s="27"/>
      <c r="Q6" s="25"/>
      <c r="R6" s="25"/>
      <c r="S6" s="27"/>
    </row>
    <row r="7" spans="1:34" ht="15.75" customHeight="1">
      <c r="A7" s="17" t="s">
        <v>52</v>
      </c>
      <c r="B7" s="18" t="s">
        <v>53</v>
      </c>
      <c r="C7" s="19" t="s">
        <v>24</v>
      </c>
      <c r="D7" s="20" t="s">
        <v>54</v>
      </c>
      <c r="E7" s="20" t="s">
        <v>55</v>
      </c>
      <c r="F7" s="19" t="s">
        <v>27</v>
      </c>
      <c r="G7" s="19" t="s">
        <v>28</v>
      </c>
      <c r="H7" s="19"/>
      <c r="I7" s="21" t="s">
        <v>29</v>
      </c>
      <c r="J7" s="21" t="s">
        <v>29</v>
      </c>
      <c r="K7" s="22" t="s">
        <v>55</v>
      </c>
      <c r="L7" s="23">
        <v>45237</v>
      </c>
      <c r="P7" s="27"/>
      <c r="Q7" s="25"/>
      <c r="R7" s="25"/>
      <c r="S7" s="27"/>
    </row>
    <row r="8" spans="1:34" ht="15.75" customHeight="1">
      <c r="A8" s="31" t="s">
        <v>56</v>
      </c>
      <c r="B8" s="18" t="s">
        <v>57</v>
      </c>
      <c r="C8" s="19" t="s">
        <v>24</v>
      </c>
      <c r="D8" s="20" t="s">
        <v>58</v>
      </c>
      <c r="E8" s="20" t="s">
        <v>59</v>
      </c>
      <c r="F8" s="19" t="s">
        <v>27</v>
      </c>
      <c r="G8" s="19" t="s">
        <v>28</v>
      </c>
      <c r="H8" s="19" t="s">
        <v>36</v>
      </c>
      <c r="I8" s="21" t="s">
        <v>29</v>
      </c>
      <c r="J8" s="21" t="s">
        <v>29</v>
      </c>
      <c r="K8" s="22" t="s">
        <v>59</v>
      </c>
      <c r="L8" s="23">
        <v>45237</v>
      </c>
      <c r="P8" s="27"/>
      <c r="Q8" s="25"/>
      <c r="R8" s="25"/>
      <c r="S8" s="27"/>
    </row>
    <row r="9" spans="1:34" ht="15.75" customHeight="1">
      <c r="A9" s="17">
        <v>100</v>
      </c>
      <c r="B9" s="18" t="s">
        <v>60</v>
      </c>
      <c r="C9" s="19" t="s">
        <v>24</v>
      </c>
      <c r="D9" s="20" t="s">
        <v>61</v>
      </c>
      <c r="E9" s="20" t="s">
        <v>62</v>
      </c>
      <c r="F9" s="19" t="s">
        <v>27</v>
      </c>
      <c r="G9" s="19" t="s">
        <v>28</v>
      </c>
      <c r="H9" s="19" t="s">
        <v>36</v>
      </c>
      <c r="I9" s="21" t="s">
        <v>29</v>
      </c>
      <c r="J9" s="21" t="s">
        <v>29</v>
      </c>
      <c r="K9" s="22" t="s">
        <v>63</v>
      </c>
      <c r="L9" s="23">
        <v>45237</v>
      </c>
      <c r="P9" s="27"/>
      <c r="Q9" s="25"/>
      <c r="R9" s="25"/>
      <c r="S9" s="27"/>
    </row>
    <row r="10" spans="1:34" ht="15.75" customHeight="1">
      <c r="A10" s="31" t="s">
        <v>64</v>
      </c>
      <c r="B10" s="18" t="s">
        <v>65</v>
      </c>
      <c r="C10" s="19" t="s">
        <v>46</v>
      </c>
      <c r="D10" s="20" t="s">
        <v>66</v>
      </c>
      <c r="E10" s="20" t="s">
        <v>67</v>
      </c>
      <c r="F10" s="19" t="s">
        <v>49</v>
      </c>
      <c r="G10" s="19" t="s">
        <v>50</v>
      </c>
      <c r="H10" s="19" t="s">
        <v>36</v>
      </c>
      <c r="I10" s="21" t="s">
        <v>29</v>
      </c>
      <c r="J10" s="21" t="s">
        <v>29</v>
      </c>
      <c r="K10" s="22" t="s">
        <v>68</v>
      </c>
      <c r="L10" s="23">
        <v>45237</v>
      </c>
      <c r="P10" s="27"/>
      <c r="Q10" s="25"/>
      <c r="R10" s="25"/>
      <c r="S10" s="27"/>
    </row>
    <row r="11" spans="1:34" ht="15.75" customHeight="1">
      <c r="A11" s="17">
        <v>4.9000000000000004</v>
      </c>
      <c r="B11" s="18" t="s">
        <v>69</v>
      </c>
      <c r="C11" s="19" t="s">
        <v>24</v>
      </c>
      <c r="D11" s="20" t="s">
        <v>70</v>
      </c>
      <c r="E11" s="20" t="s">
        <v>71</v>
      </c>
      <c r="F11" s="19" t="s">
        <v>27</v>
      </c>
      <c r="G11" s="19" t="s">
        <v>28</v>
      </c>
      <c r="H11" s="19"/>
      <c r="I11" s="21" t="s">
        <v>29</v>
      </c>
      <c r="J11" s="21" t="s">
        <v>29</v>
      </c>
      <c r="K11" s="22" t="s">
        <v>72</v>
      </c>
      <c r="L11" s="23">
        <v>45237</v>
      </c>
      <c r="P11" s="27"/>
      <c r="Q11" s="25"/>
      <c r="R11" s="25"/>
      <c r="S11" s="27"/>
    </row>
    <row r="12" spans="1:34" ht="15.75" customHeight="1">
      <c r="A12" s="31" t="s">
        <v>73</v>
      </c>
      <c r="B12" s="18" t="s">
        <v>74</v>
      </c>
      <c r="C12" s="19" t="s">
        <v>24</v>
      </c>
      <c r="D12" s="20" t="s">
        <v>75</v>
      </c>
      <c r="E12" s="20" t="s">
        <v>76</v>
      </c>
      <c r="F12" s="19" t="s">
        <v>27</v>
      </c>
      <c r="G12" s="19" t="s">
        <v>28</v>
      </c>
      <c r="H12" s="19"/>
      <c r="I12" s="21" t="s">
        <v>29</v>
      </c>
      <c r="J12" s="21" t="s">
        <v>29</v>
      </c>
      <c r="K12" s="22" t="s">
        <v>77</v>
      </c>
      <c r="L12" s="23">
        <v>45237</v>
      </c>
      <c r="P12" s="27"/>
      <c r="Q12" s="25"/>
      <c r="R12" s="25"/>
      <c r="S12" s="27"/>
    </row>
    <row r="13" spans="1:34" ht="15.75" customHeight="1">
      <c r="A13" s="17">
        <v>4.8</v>
      </c>
      <c r="B13" s="18" t="s">
        <v>78</v>
      </c>
      <c r="C13" s="19" t="s">
        <v>24</v>
      </c>
      <c r="D13" s="20" t="s">
        <v>79</v>
      </c>
      <c r="E13" s="20" t="s">
        <v>80</v>
      </c>
      <c r="F13" s="19" t="s">
        <v>27</v>
      </c>
      <c r="G13" s="19" t="s">
        <v>28</v>
      </c>
      <c r="H13" s="19"/>
      <c r="I13" s="21" t="s">
        <v>29</v>
      </c>
      <c r="J13" s="21" t="s">
        <v>29</v>
      </c>
      <c r="K13" s="22" t="s">
        <v>81</v>
      </c>
      <c r="L13" s="23">
        <v>45237</v>
      </c>
      <c r="P13" s="27"/>
      <c r="Q13" s="25"/>
      <c r="R13" s="25"/>
      <c r="S13" s="27"/>
    </row>
    <row r="14" spans="1:34" ht="15.75" customHeight="1">
      <c r="A14" s="31" t="s">
        <v>82</v>
      </c>
      <c r="B14" s="18" t="s">
        <v>83</v>
      </c>
      <c r="C14" s="19" t="s">
        <v>46</v>
      </c>
      <c r="D14" s="20" t="s">
        <v>84</v>
      </c>
      <c r="E14" s="20" t="s">
        <v>55</v>
      </c>
      <c r="F14" s="19" t="s">
        <v>49</v>
      </c>
      <c r="G14" s="19" t="s">
        <v>50</v>
      </c>
      <c r="H14" s="19"/>
      <c r="I14" s="21" t="s">
        <v>29</v>
      </c>
      <c r="J14" s="21" t="s">
        <v>29</v>
      </c>
      <c r="K14" s="22" t="s">
        <v>55</v>
      </c>
      <c r="L14" s="23">
        <v>45237</v>
      </c>
      <c r="P14" s="27"/>
      <c r="Q14" s="25"/>
      <c r="R14" s="25"/>
      <c r="S14" s="27"/>
    </row>
    <row r="15" spans="1:34" ht="15.75" customHeight="1">
      <c r="A15" s="17" t="s">
        <v>85</v>
      </c>
      <c r="B15" s="18" t="s">
        <v>86</v>
      </c>
      <c r="C15" s="19" t="s">
        <v>87</v>
      </c>
      <c r="D15" s="20" t="s">
        <v>88</v>
      </c>
      <c r="E15" s="20" t="s">
        <v>89</v>
      </c>
      <c r="F15" s="19" t="s">
        <v>90</v>
      </c>
      <c r="G15" s="19" t="s">
        <v>91</v>
      </c>
      <c r="H15" s="19"/>
      <c r="I15" s="21" t="s">
        <v>29</v>
      </c>
      <c r="J15" s="21" t="s">
        <v>29</v>
      </c>
      <c r="K15" s="22" t="s">
        <v>89</v>
      </c>
      <c r="L15" s="23">
        <v>45237</v>
      </c>
      <c r="P15" s="27"/>
      <c r="Q15" s="25"/>
      <c r="R15" s="25"/>
      <c r="S15" s="27"/>
    </row>
    <row r="16" spans="1:34" ht="15.75" customHeight="1">
      <c r="A16" s="31" t="s">
        <v>92</v>
      </c>
      <c r="B16" s="18" t="s">
        <v>93</v>
      </c>
      <c r="C16" s="19" t="s">
        <v>87</v>
      </c>
      <c r="D16" s="20" t="s">
        <v>94</v>
      </c>
      <c r="E16" s="20" t="s">
        <v>95</v>
      </c>
      <c r="F16" s="19" t="s">
        <v>90</v>
      </c>
      <c r="G16" s="19" t="s">
        <v>91</v>
      </c>
      <c r="H16" s="19"/>
      <c r="I16" s="21" t="s">
        <v>29</v>
      </c>
      <c r="J16" s="21" t="s">
        <v>29</v>
      </c>
      <c r="K16" s="22" t="s">
        <v>96</v>
      </c>
      <c r="L16" s="23">
        <v>45237</v>
      </c>
      <c r="P16" s="27"/>
      <c r="Q16" s="25"/>
      <c r="R16" s="25"/>
      <c r="S16" s="27"/>
    </row>
    <row r="17" spans="1:19" ht="15.75" customHeight="1">
      <c r="A17" s="33">
        <v>3222</v>
      </c>
      <c r="B17" s="18" t="s">
        <v>97</v>
      </c>
      <c r="C17" s="19" t="s">
        <v>24</v>
      </c>
      <c r="D17" s="20" t="s">
        <v>98</v>
      </c>
      <c r="E17" s="20" t="s">
        <v>99</v>
      </c>
      <c r="F17" s="19" t="s">
        <v>27</v>
      </c>
      <c r="G17" s="19" t="s">
        <v>28</v>
      </c>
      <c r="H17" s="19"/>
      <c r="I17" s="21" t="s">
        <v>29</v>
      </c>
      <c r="J17" s="21" t="s">
        <v>29</v>
      </c>
      <c r="K17" s="22" t="s">
        <v>99</v>
      </c>
      <c r="L17" s="23">
        <v>45237</v>
      </c>
      <c r="P17" s="27"/>
      <c r="Q17" s="25"/>
      <c r="R17" s="25"/>
      <c r="S17" s="27"/>
    </row>
    <row r="18" spans="1:19" ht="15.75" customHeight="1">
      <c r="A18" s="31" t="s">
        <v>100</v>
      </c>
      <c r="B18" s="18" t="s">
        <v>101</v>
      </c>
      <c r="C18" s="19" t="s">
        <v>24</v>
      </c>
      <c r="D18" s="20" t="s">
        <v>102</v>
      </c>
      <c r="E18" s="20" t="s">
        <v>103</v>
      </c>
      <c r="F18" s="19" t="s">
        <v>27</v>
      </c>
      <c r="G18" s="19" t="s">
        <v>28</v>
      </c>
      <c r="H18" s="19" t="s">
        <v>36</v>
      </c>
      <c r="I18" s="21" t="s">
        <v>29</v>
      </c>
      <c r="J18" s="21" t="s">
        <v>29</v>
      </c>
      <c r="K18" s="22" t="s">
        <v>104</v>
      </c>
      <c r="L18" s="23">
        <v>45237</v>
      </c>
      <c r="P18" s="27"/>
      <c r="Q18" s="25"/>
      <c r="R18" s="25"/>
      <c r="S18" s="27"/>
    </row>
    <row r="19" spans="1:19" ht="15.75" customHeight="1">
      <c r="A19" s="17">
        <v>166</v>
      </c>
      <c r="B19" s="34" t="s">
        <v>105</v>
      </c>
      <c r="C19" s="19" t="s">
        <v>24</v>
      </c>
      <c r="D19" s="20" t="s">
        <v>106</v>
      </c>
      <c r="E19" s="20" t="s">
        <v>107</v>
      </c>
      <c r="F19" s="19" t="s">
        <v>90</v>
      </c>
      <c r="G19" s="19" t="s">
        <v>91</v>
      </c>
      <c r="H19" s="19"/>
      <c r="I19" s="21" t="s">
        <v>29</v>
      </c>
      <c r="J19" s="21" t="s">
        <v>29</v>
      </c>
      <c r="K19" s="22" t="s">
        <v>108</v>
      </c>
      <c r="L19" s="23">
        <v>45237</v>
      </c>
      <c r="P19" s="27"/>
      <c r="Q19" s="25"/>
      <c r="R19" s="25"/>
      <c r="S19" s="27"/>
    </row>
    <row r="20" spans="1:19" ht="15.75" customHeight="1">
      <c r="A20" s="35"/>
      <c r="B20" s="18" t="s">
        <v>109</v>
      </c>
      <c r="C20" s="19" t="s">
        <v>24</v>
      </c>
      <c r="D20" s="20" t="s">
        <v>110</v>
      </c>
      <c r="E20" s="20" t="s">
        <v>111</v>
      </c>
      <c r="F20" s="19" t="s">
        <v>27</v>
      </c>
      <c r="G20" s="19" t="s">
        <v>28</v>
      </c>
      <c r="H20" s="19"/>
      <c r="I20" s="21" t="s">
        <v>29</v>
      </c>
      <c r="J20" s="21" t="s">
        <v>29</v>
      </c>
      <c r="K20" s="22" t="s">
        <v>111</v>
      </c>
      <c r="L20" s="23">
        <v>45237</v>
      </c>
      <c r="P20" s="27"/>
      <c r="Q20" s="25"/>
      <c r="R20" s="25"/>
      <c r="S20" s="27"/>
    </row>
    <row r="21" spans="1:19" ht="15.75" customHeight="1">
      <c r="A21" s="35"/>
      <c r="B21" s="18" t="s">
        <v>112</v>
      </c>
      <c r="C21" s="19" t="s">
        <v>24</v>
      </c>
      <c r="D21" s="20" t="s">
        <v>113</v>
      </c>
      <c r="E21" s="20" t="s">
        <v>55</v>
      </c>
      <c r="F21" s="19" t="s">
        <v>27</v>
      </c>
      <c r="G21" s="19" t="s">
        <v>28</v>
      </c>
      <c r="H21" s="19" t="s">
        <v>36</v>
      </c>
      <c r="I21" s="21" t="s">
        <v>29</v>
      </c>
      <c r="J21" s="21" t="s">
        <v>29</v>
      </c>
      <c r="K21" s="22" t="s">
        <v>55</v>
      </c>
      <c r="L21" s="23">
        <v>45237</v>
      </c>
      <c r="P21" s="27"/>
      <c r="Q21" s="25"/>
      <c r="R21" s="25"/>
      <c r="S21" s="27"/>
    </row>
    <row r="22" spans="1:19" ht="15.75" customHeight="1">
      <c r="A22" s="17"/>
      <c r="B22" s="18" t="s">
        <v>114</v>
      </c>
      <c r="C22" s="19" t="s">
        <v>24</v>
      </c>
      <c r="D22" s="20" t="s">
        <v>115</v>
      </c>
      <c r="E22" s="20" t="s">
        <v>116</v>
      </c>
      <c r="F22" s="19" t="s">
        <v>27</v>
      </c>
      <c r="G22" s="19" t="s">
        <v>28</v>
      </c>
      <c r="H22" s="19"/>
      <c r="I22" s="21" t="s">
        <v>29</v>
      </c>
      <c r="J22" s="21" t="s">
        <v>29</v>
      </c>
      <c r="K22" s="22" t="s">
        <v>116</v>
      </c>
      <c r="L22" s="23">
        <v>45237</v>
      </c>
      <c r="P22" s="27"/>
      <c r="Q22" s="25"/>
      <c r="R22" s="25"/>
      <c r="S22" s="27"/>
    </row>
    <row r="23" spans="1:19" ht="15.75" customHeight="1">
      <c r="A23" s="17"/>
      <c r="B23" s="18" t="s">
        <v>117</v>
      </c>
      <c r="C23" s="19" t="s">
        <v>24</v>
      </c>
      <c r="D23" s="20" t="s">
        <v>118</v>
      </c>
      <c r="E23" s="20" t="s">
        <v>119</v>
      </c>
      <c r="F23" s="19" t="s">
        <v>27</v>
      </c>
      <c r="G23" s="19" t="s">
        <v>28</v>
      </c>
      <c r="H23" s="19"/>
      <c r="I23" s="21" t="s">
        <v>29</v>
      </c>
      <c r="J23" s="21" t="s">
        <v>29</v>
      </c>
      <c r="K23" s="22" t="s">
        <v>119</v>
      </c>
      <c r="L23" s="23">
        <v>45237</v>
      </c>
      <c r="P23" s="27"/>
      <c r="Q23" s="25"/>
      <c r="R23" s="25"/>
      <c r="S23" s="27"/>
    </row>
    <row r="24" spans="1:19" ht="15.75" customHeight="1">
      <c r="A24" s="17"/>
      <c r="B24" s="36" t="s">
        <v>120</v>
      </c>
      <c r="C24" s="19" t="s">
        <v>121</v>
      </c>
      <c r="D24" s="20" t="s">
        <v>122</v>
      </c>
      <c r="E24" s="20" t="s">
        <v>123</v>
      </c>
      <c r="F24" s="19" t="s">
        <v>27</v>
      </c>
      <c r="G24" s="19" t="s">
        <v>28</v>
      </c>
      <c r="H24" s="19"/>
      <c r="I24" s="21" t="s">
        <v>29</v>
      </c>
      <c r="J24" s="21" t="s">
        <v>29</v>
      </c>
      <c r="K24" s="22" t="s">
        <v>123</v>
      </c>
      <c r="L24" s="23">
        <v>45237</v>
      </c>
      <c r="P24" s="27"/>
      <c r="Q24" s="25"/>
      <c r="R24" s="25"/>
      <c r="S24" s="27"/>
    </row>
    <row r="25" spans="1:19" ht="15.75" customHeight="1">
      <c r="A25" s="17"/>
      <c r="B25" s="18" t="s">
        <v>124</v>
      </c>
      <c r="C25" s="19" t="s">
        <v>24</v>
      </c>
      <c r="D25" s="20" t="s">
        <v>125</v>
      </c>
      <c r="E25" s="20" t="s">
        <v>126</v>
      </c>
      <c r="F25" s="19" t="s">
        <v>27</v>
      </c>
      <c r="G25" s="19" t="s">
        <v>28</v>
      </c>
      <c r="H25" s="19"/>
      <c r="I25" s="21" t="s">
        <v>29</v>
      </c>
      <c r="J25" s="21" t="s">
        <v>29</v>
      </c>
      <c r="K25" s="22" t="s">
        <v>127</v>
      </c>
      <c r="L25" s="23">
        <v>45237</v>
      </c>
      <c r="P25" s="27"/>
      <c r="Q25" s="25"/>
      <c r="R25" s="25"/>
      <c r="S25" s="27"/>
    </row>
    <row r="26" spans="1:19" ht="15.75" customHeight="1">
      <c r="A26" s="17"/>
      <c r="B26" s="18" t="s">
        <v>128</v>
      </c>
      <c r="C26" s="19" t="s">
        <v>87</v>
      </c>
      <c r="D26" s="20" t="s">
        <v>129</v>
      </c>
      <c r="E26" s="20" t="s">
        <v>130</v>
      </c>
      <c r="F26" s="19" t="s">
        <v>90</v>
      </c>
      <c r="G26" s="19" t="s">
        <v>91</v>
      </c>
      <c r="H26" s="19"/>
      <c r="I26" s="21" t="s">
        <v>29</v>
      </c>
      <c r="J26" s="21" t="s">
        <v>29</v>
      </c>
      <c r="K26" s="22" t="s">
        <v>130</v>
      </c>
      <c r="L26" s="23">
        <v>45237</v>
      </c>
      <c r="P26" s="27"/>
      <c r="Q26" s="25"/>
      <c r="R26" s="25"/>
      <c r="S26" s="27"/>
    </row>
    <row r="27" spans="1:19" ht="15.75" customHeight="1">
      <c r="A27" s="17"/>
      <c r="B27" s="18" t="s">
        <v>131</v>
      </c>
      <c r="C27" s="19" t="s">
        <v>24</v>
      </c>
      <c r="D27" s="20" t="s">
        <v>132</v>
      </c>
      <c r="E27" s="20" t="s">
        <v>133</v>
      </c>
      <c r="F27" s="19" t="s">
        <v>27</v>
      </c>
      <c r="G27" s="19" t="s">
        <v>28</v>
      </c>
      <c r="H27" s="19"/>
      <c r="I27" s="21" t="s">
        <v>29</v>
      </c>
      <c r="J27" s="21" t="s">
        <v>29</v>
      </c>
      <c r="K27" s="22" t="s">
        <v>134</v>
      </c>
      <c r="L27" s="23">
        <v>45237</v>
      </c>
      <c r="P27" s="27"/>
      <c r="Q27" s="25"/>
      <c r="R27" s="25"/>
      <c r="S27" s="27"/>
    </row>
    <row r="28" spans="1:19" ht="15.75" customHeight="1">
      <c r="A28" s="17"/>
      <c r="B28" s="18" t="s">
        <v>135</v>
      </c>
      <c r="C28" s="19" t="s">
        <v>24</v>
      </c>
      <c r="D28" s="20" t="s">
        <v>136</v>
      </c>
      <c r="E28" s="20" t="s">
        <v>137</v>
      </c>
      <c r="F28" s="19" t="s">
        <v>27</v>
      </c>
      <c r="G28" s="19" t="s">
        <v>28</v>
      </c>
      <c r="H28" s="19"/>
      <c r="I28" s="21" t="s">
        <v>29</v>
      </c>
      <c r="J28" s="21" t="s">
        <v>29</v>
      </c>
      <c r="K28" s="22" t="s">
        <v>138</v>
      </c>
      <c r="L28" s="23">
        <v>45237</v>
      </c>
      <c r="P28" s="27"/>
      <c r="Q28" s="25"/>
      <c r="R28" s="25"/>
      <c r="S28" s="27"/>
    </row>
    <row r="29" spans="1:19" ht="15.75" customHeight="1">
      <c r="A29" s="17"/>
      <c r="B29" s="34" t="s">
        <v>139</v>
      </c>
      <c r="C29" s="19" t="s">
        <v>87</v>
      </c>
      <c r="D29" s="20" t="s">
        <v>140</v>
      </c>
      <c r="E29" s="20" t="s">
        <v>141</v>
      </c>
      <c r="F29" s="19" t="s">
        <v>49</v>
      </c>
      <c r="G29" s="19" t="s">
        <v>50</v>
      </c>
      <c r="H29" s="19"/>
      <c r="I29" s="21" t="s">
        <v>29</v>
      </c>
      <c r="J29" s="21" t="s">
        <v>29</v>
      </c>
      <c r="K29" s="22" t="s">
        <v>142</v>
      </c>
      <c r="L29" s="23">
        <v>45237</v>
      </c>
      <c r="P29" s="27"/>
      <c r="Q29" s="25"/>
      <c r="R29" s="25"/>
      <c r="S29" s="27"/>
    </row>
    <row r="30" spans="1:19" ht="15.75" customHeight="1">
      <c r="A30" s="17"/>
      <c r="B30" s="18" t="s">
        <v>143</v>
      </c>
      <c r="C30" s="19" t="s">
        <v>24</v>
      </c>
      <c r="D30" s="20" t="s">
        <v>144</v>
      </c>
      <c r="E30" s="20" t="s">
        <v>145</v>
      </c>
      <c r="F30" s="19" t="s">
        <v>27</v>
      </c>
      <c r="G30" s="19" t="s">
        <v>28</v>
      </c>
      <c r="H30" s="19"/>
      <c r="I30" s="21" t="s">
        <v>29</v>
      </c>
      <c r="J30" s="21" t="s">
        <v>29</v>
      </c>
      <c r="K30" s="22" t="s">
        <v>55</v>
      </c>
      <c r="L30" s="23">
        <v>45237</v>
      </c>
      <c r="P30" s="27"/>
      <c r="Q30" s="25"/>
      <c r="R30" s="25"/>
      <c r="S30" s="27"/>
    </row>
    <row r="31" spans="1:19" ht="15.75" customHeight="1">
      <c r="A31" s="17"/>
      <c r="B31" s="18" t="s">
        <v>146</v>
      </c>
      <c r="C31" s="19" t="s">
        <v>24</v>
      </c>
      <c r="D31" s="20" t="s">
        <v>147</v>
      </c>
      <c r="E31" s="20" t="s">
        <v>148</v>
      </c>
      <c r="F31" s="19" t="s">
        <v>27</v>
      </c>
      <c r="G31" s="19" t="s">
        <v>28</v>
      </c>
      <c r="H31" s="19"/>
      <c r="I31" s="21" t="s">
        <v>29</v>
      </c>
      <c r="J31" s="21" t="s">
        <v>29</v>
      </c>
      <c r="K31" s="22" t="s">
        <v>149</v>
      </c>
      <c r="L31" s="23">
        <v>45237</v>
      </c>
      <c r="P31" s="27"/>
      <c r="Q31" s="25"/>
      <c r="R31" s="25"/>
      <c r="S31" s="27"/>
    </row>
    <row r="32" spans="1:19" ht="15.75" customHeight="1">
      <c r="A32" s="17"/>
      <c r="B32" s="18" t="s">
        <v>150</v>
      </c>
      <c r="C32" s="19" t="s">
        <v>87</v>
      </c>
      <c r="D32" s="20" t="s">
        <v>151</v>
      </c>
      <c r="E32" s="20" t="s">
        <v>152</v>
      </c>
      <c r="F32" s="19" t="s">
        <v>90</v>
      </c>
      <c r="G32" s="19" t="s">
        <v>91</v>
      </c>
      <c r="H32" s="19"/>
      <c r="I32" s="21" t="s">
        <v>29</v>
      </c>
      <c r="J32" s="21" t="s">
        <v>29</v>
      </c>
      <c r="K32" s="22" t="s">
        <v>153</v>
      </c>
      <c r="L32" s="23">
        <v>45237</v>
      </c>
      <c r="P32" s="27"/>
      <c r="Q32" s="25"/>
      <c r="R32" s="25"/>
      <c r="S32" s="27"/>
    </row>
    <row r="33" spans="1:19" ht="15.75" customHeight="1">
      <c r="A33" s="17"/>
      <c r="B33" s="18" t="s">
        <v>154</v>
      </c>
      <c r="C33" s="19" t="s">
        <v>24</v>
      </c>
      <c r="D33" s="20" t="s">
        <v>155</v>
      </c>
      <c r="E33" s="20" t="s">
        <v>156</v>
      </c>
      <c r="F33" s="19" t="s">
        <v>27</v>
      </c>
      <c r="G33" s="19" t="s">
        <v>28</v>
      </c>
      <c r="H33" s="19" t="s">
        <v>36</v>
      </c>
      <c r="I33" s="21" t="s">
        <v>29</v>
      </c>
      <c r="J33" s="21" t="s">
        <v>29</v>
      </c>
      <c r="K33" s="22" t="s">
        <v>157</v>
      </c>
      <c r="L33" s="23">
        <v>45237</v>
      </c>
      <c r="P33" s="27"/>
      <c r="Q33" s="25"/>
      <c r="R33" s="25"/>
      <c r="S33" s="27"/>
    </row>
    <row r="34" spans="1:19" ht="15.75" customHeight="1">
      <c r="A34" s="17"/>
      <c r="B34" s="36" t="s">
        <v>158</v>
      </c>
      <c r="C34" s="19" t="s">
        <v>121</v>
      </c>
      <c r="D34" s="20" t="s">
        <v>159</v>
      </c>
      <c r="E34" s="20" t="s">
        <v>160</v>
      </c>
      <c r="F34" s="19" t="s">
        <v>49</v>
      </c>
      <c r="G34" s="19" t="s">
        <v>50</v>
      </c>
      <c r="H34" s="19"/>
      <c r="I34" s="21" t="s">
        <v>29</v>
      </c>
      <c r="J34" s="21" t="s">
        <v>29</v>
      </c>
      <c r="K34" s="22" t="s">
        <v>161</v>
      </c>
      <c r="L34" s="23">
        <v>45237</v>
      </c>
      <c r="P34" s="27"/>
      <c r="Q34" s="25"/>
      <c r="R34" s="25"/>
      <c r="S34" s="27"/>
    </row>
    <row r="35" spans="1:19" ht="15.75" customHeight="1">
      <c r="A35" s="17"/>
      <c r="B35" s="18" t="s">
        <v>162</v>
      </c>
      <c r="C35" s="19" t="s">
        <v>87</v>
      </c>
      <c r="D35" s="20" t="s">
        <v>163</v>
      </c>
      <c r="E35" s="20" t="s">
        <v>164</v>
      </c>
      <c r="F35" s="19" t="s">
        <v>90</v>
      </c>
      <c r="G35" s="19" t="s">
        <v>91</v>
      </c>
      <c r="H35" s="19"/>
      <c r="I35" s="21" t="s">
        <v>29</v>
      </c>
      <c r="J35" s="21" t="s">
        <v>29</v>
      </c>
      <c r="K35" s="22" t="s">
        <v>165</v>
      </c>
      <c r="L35" s="23">
        <v>45237</v>
      </c>
      <c r="P35" s="27"/>
      <c r="Q35" s="25"/>
      <c r="R35" s="25"/>
      <c r="S35" s="27"/>
    </row>
    <row r="36" spans="1:19" ht="15.75" customHeight="1">
      <c r="A36" s="17"/>
      <c r="B36" s="18" t="s">
        <v>166</v>
      </c>
      <c r="C36" s="19" t="s">
        <v>24</v>
      </c>
      <c r="D36" s="20" t="s">
        <v>167</v>
      </c>
      <c r="E36" s="20" t="s">
        <v>168</v>
      </c>
      <c r="F36" s="19" t="s">
        <v>27</v>
      </c>
      <c r="G36" s="19" t="s">
        <v>28</v>
      </c>
      <c r="H36" s="19"/>
      <c r="I36" s="21" t="s">
        <v>29</v>
      </c>
      <c r="J36" s="21" t="s">
        <v>29</v>
      </c>
      <c r="K36" s="22" t="s">
        <v>169</v>
      </c>
      <c r="L36" s="23">
        <v>45237</v>
      </c>
      <c r="P36" s="27"/>
      <c r="Q36" s="25"/>
      <c r="R36" s="25"/>
      <c r="S36" s="27"/>
    </row>
    <row r="37" spans="1:19" ht="15.75" customHeight="1">
      <c r="A37" s="17"/>
      <c r="B37" s="18" t="s">
        <v>170</v>
      </c>
      <c r="C37" s="19" t="s">
        <v>24</v>
      </c>
      <c r="D37" s="20" t="s">
        <v>171</v>
      </c>
      <c r="E37" s="20" t="s">
        <v>172</v>
      </c>
      <c r="F37" s="19" t="s">
        <v>27</v>
      </c>
      <c r="G37" s="19" t="s">
        <v>28</v>
      </c>
      <c r="H37" s="19"/>
      <c r="I37" s="21" t="s">
        <v>29</v>
      </c>
      <c r="J37" s="21" t="s">
        <v>29</v>
      </c>
      <c r="K37" s="22" t="s">
        <v>173</v>
      </c>
      <c r="L37" s="23">
        <v>45237</v>
      </c>
      <c r="P37" s="27"/>
      <c r="Q37" s="25"/>
      <c r="R37" s="25"/>
      <c r="S37" s="27"/>
    </row>
    <row r="38" spans="1:19" ht="15.75" customHeight="1">
      <c r="A38" s="17"/>
      <c r="B38" s="18" t="s">
        <v>174</v>
      </c>
      <c r="C38" s="19" t="s">
        <v>24</v>
      </c>
      <c r="D38" s="20" t="s">
        <v>175</v>
      </c>
      <c r="E38" s="20" t="s">
        <v>176</v>
      </c>
      <c r="F38" s="19" t="s">
        <v>27</v>
      </c>
      <c r="G38" s="19" t="s">
        <v>28</v>
      </c>
      <c r="H38" s="19"/>
      <c r="I38" s="21" t="s">
        <v>29</v>
      </c>
      <c r="J38" s="21" t="s">
        <v>29</v>
      </c>
      <c r="K38" s="22" t="s">
        <v>176</v>
      </c>
      <c r="L38" s="23">
        <v>45237</v>
      </c>
      <c r="P38" s="27"/>
      <c r="Q38" s="25"/>
      <c r="R38" s="25"/>
      <c r="S38" s="27"/>
    </row>
    <row r="39" spans="1:19" ht="15.75" customHeight="1">
      <c r="A39" s="17"/>
      <c r="B39" s="29" t="s">
        <v>177</v>
      </c>
      <c r="C39" s="19" t="s">
        <v>24</v>
      </c>
      <c r="D39" s="20" t="s">
        <v>178</v>
      </c>
      <c r="E39" s="20" t="s">
        <v>179</v>
      </c>
      <c r="F39" s="19" t="s">
        <v>27</v>
      </c>
      <c r="G39" s="19" t="s">
        <v>28</v>
      </c>
      <c r="H39" s="19"/>
      <c r="I39" s="21" t="s">
        <v>29</v>
      </c>
      <c r="J39" s="21" t="s">
        <v>29</v>
      </c>
      <c r="K39" s="22" t="s">
        <v>180</v>
      </c>
      <c r="L39" s="23">
        <v>45237</v>
      </c>
      <c r="P39" s="27"/>
      <c r="Q39" s="25"/>
      <c r="R39" s="25"/>
      <c r="S39" s="27"/>
    </row>
    <row r="40" spans="1:19" ht="15.75" customHeight="1">
      <c r="A40" s="17"/>
      <c r="B40" s="18" t="s">
        <v>181</v>
      </c>
      <c r="C40" s="19" t="s">
        <v>24</v>
      </c>
      <c r="D40" s="20" t="s">
        <v>182</v>
      </c>
      <c r="E40" s="20" t="s">
        <v>183</v>
      </c>
      <c r="F40" s="19" t="s">
        <v>27</v>
      </c>
      <c r="G40" s="19" t="s">
        <v>28</v>
      </c>
      <c r="H40" s="19"/>
      <c r="I40" s="21" t="s">
        <v>29</v>
      </c>
      <c r="J40" s="21" t="s">
        <v>29</v>
      </c>
      <c r="K40" s="22" t="s">
        <v>183</v>
      </c>
      <c r="L40" s="23">
        <v>45237</v>
      </c>
      <c r="P40" s="27"/>
      <c r="Q40" s="25"/>
      <c r="R40" s="25"/>
      <c r="S40" s="27"/>
    </row>
    <row r="41" spans="1:19" ht="15.75" customHeight="1">
      <c r="A41" s="17"/>
      <c r="B41" s="18" t="s">
        <v>184</v>
      </c>
      <c r="C41" s="19" t="s">
        <v>24</v>
      </c>
      <c r="D41" s="20" t="s">
        <v>185</v>
      </c>
      <c r="E41" s="20" t="s">
        <v>186</v>
      </c>
      <c r="F41" s="19" t="s">
        <v>90</v>
      </c>
      <c r="G41" s="19" t="s">
        <v>28</v>
      </c>
      <c r="H41" s="19"/>
      <c r="I41" s="21" t="s">
        <v>29</v>
      </c>
      <c r="J41" s="21" t="s">
        <v>29</v>
      </c>
      <c r="K41" s="22" t="s">
        <v>187</v>
      </c>
      <c r="L41" s="23">
        <v>45237</v>
      </c>
      <c r="P41" s="27"/>
      <c r="Q41" s="25"/>
      <c r="R41" s="25"/>
      <c r="S41" s="27"/>
    </row>
    <row r="42" spans="1:19" ht="15.75" customHeight="1">
      <c r="A42" s="17"/>
      <c r="B42" s="18" t="s">
        <v>188</v>
      </c>
      <c r="C42" s="19" t="s">
        <v>24</v>
      </c>
      <c r="D42" s="20" t="s">
        <v>189</v>
      </c>
      <c r="E42" s="20" t="s">
        <v>190</v>
      </c>
      <c r="F42" s="19" t="s">
        <v>27</v>
      </c>
      <c r="G42" s="19" t="s">
        <v>28</v>
      </c>
      <c r="H42" s="19" t="s">
        <v>36</v>
      </c>
      <c r="I42" s="21" t="s">
        <v>29</v>
      </c>
      <c r="J42" s="21" t="s">
        <v>29</v>
      </c>
      <c r="K42" s="22" t="s">
        <v>191</v>
      </c>
      <c r="L42" s="23">
        <v>45237</v>
      </c>
      <c r="P42" s="27"/>
      <c r="Q42" s="25"/>
      <c r="R42" s="25"/>
      <c r="S42" s="27"/>
    </row>
    <row r="43" spans="1:19" ht="15.75" customHeight="1">
      <c r="A43" s="17"/>
      <c r="B43" s="18" t="s">
        <v>192</v>
      </c>
      <c r="C43" s="19" t="s">
        <v>24</v>
      </c>
      <c r="D43" s="20" t="s">
        <v>193</v>
      </c>
      <c r="E43" s="20" t="s">
        <v>194</v>
      </c>
      <c r="F43" s="19" t="s">
        <v>27</v>
      </c>
      <c r="G43" s="19" t="s">
        <v>28</v>
      </c>
      <c r="H43" s="19" t="s">
        <v>36</v>
      </c>
      <c r="I43" s="21" t="s">
        <v>29</v>
      </c>
      <c r="J43" s="21" t="s">
        <v>29</v>
      </c>
      <c r="K43" s="22" t="s">
        <v>195</v>
      </c>
      <c r="L43" s="23">
        <v>45237</v>
      </c>
      <c r="P43" s="27"/>
      <c r="Q43" s="25"/>
      <c r="R43" s="25"/>
      <c r="S43" s="27"/>
    </row>
    <row r="44" spans="1:19" ht="15.75" customHeight="1">
      <c r="A44" s="17"/>
      <c r="B44" s="18" t="s">
        <v>196</v>
      </c>
      <c r="C44" s="19" t="s">
        <v>24</v>
      </c>
      <c r="D44" s="20" t="s">
        <v>197</v>
      </c>
      <c r="E44" s="20" t="s">
        <v>198</v>
      </c>
      <c r="F44" s="19" t="s">
        <v>27</v>
      </c>
      <c r="G44" s="19" t="s">
        <v>28</v>
      </c>
      <c r="H44" s="19" t="s">
        <v>36</v>
      </c>
      <c r="I44" s="21" t="s">
        <v>29</v>
      </c>
      <c r="J44" s="21" t="s">
        <v>29</v>
      </c>
      <c r="K44" s="22" t="s">
        <v>199</v>
      </c>
      <c r="L44" s="23">
        <v>45237</v>
      </c>
      <c r="P44" s="27"/>
      <c r="Q44" s="25"/>
      <c r="R44" s="25"/>
      <c r="S44" s="27"/>
    </row>
    <row r="45" spans="1:19" ht="15.75" customHeight="1">
      <c r="A45" s="17"/>
      <c r="B45" s="18" t="s">
        <v>200</v>
      </c>
      <c r="C45" s="19" t="s">
        <v>87</v>
      </c>
      <c r="D45" s="20" t="s">
        <v>201</v>
      </c>
      <c r="E45" s="20" t="s">
        <v>55</v>
      </c>
      <c r="F45" s="19" t="s">
        <v>90</v>
      </c>
      <c r="G45" s="19" t="s">
        <v>91</v>
      </c>
      <c r="H45" s="19"/>
      <c r="I45" s="21" t="s">
        <v>29</v>
      </c>
      <c r="J45" s="21" t="s">
        <v>29</v>
      </c>
      <c r="K45" s="22" t="s">
        <v>55</v>
      </c>
      <c r="L45" s="23">
        <v>45237</v>
      </c>
      <c r="P45" s="27"/>
      <c r="Q45" s="25"/>
      <c r="R45" s="25"/>
      <c r="S45" s="27"/>
    </row>
    <row r="46" spans="1:19" ht="15.75" customHeight="1">
      <c r="A46" s="17"/>
      <c r="B46" s="18" t="s">
        <v>202</v>
      </c>
      <c r="C46" s="19" t="s">
        <v>24</v>
      </c>
      <c r="D46" s="20" t="s">
        <v>203</v>
      </c>
      <c r="E46" s="20" t="s">
        <v>204</v>
      </c>
      <c r="F46" s="19" t="s">
        <v>27</v>
      </c>
      <c r="G46" s="19" t="s">
        <v>28</v>
      </c>
      <c r="H46" s="19"/>
      <c r="I46" s="21" t="s">
        <v>29</v>
      </c>
      <c r="J46" s="21" t="s">
        <v>29</v>
      </c>
      <c r="K46" s="22" t="s">
        <v>205</v>
      </c>
      <c r="L46" s="23">
        <v>45237</v>
      </c>
      <c r="P46" s="27"/>
      <c r="Q46" s="25"/>
      <c r="R46" s="25"/>
      <c r="S46" s="27"/>
    </row>
    <row r="47" spans="1:19" ht="15.75" customHeight="1">
      <c r="A47" s="17"/>
      <c r="B47" s="36" t="s">
        <v>206</v>
      </c>
      <c r="C47" s="19" t="s">
        <v>121</v>
      </c>
      <c r="D47" s="20" t="s">
        <v>207</v>
      </c>
      <c r="E47" s="20" t="s">
        <v>208</v>
      </c>
      <c r="F47" s="19" t="s">
        <v>27</v>
      </c>
      <c r="G47" s="19" t="s">
        <v>28</v>
      </c>
      <c r="H47" s="19"/>
      <c r="I47" s="21" t="s">
        <v>29</v>
      </c>
      <c r="J47" s="21" t="s">
        <v>29</v>
      </c>
      <c r="K47" s="22" t="s">
        <v>209</v>
      </c>
      <c r="L47" s="23">
        <v>45237</v>
      </c>
      <c r="P47" s="27"/>
      <c r="Q47" s="25"/>
      <c r="R47" s="25"/>
      <c r="S47" s="27"/>
    </row>
    <row r="48" spans="1:19" ht="15.75" customHeight="1">
      <c r="A48" s="17"/>
      <c r="B48" s="18" t="s">
        <v>210</v>
      </c>
      <c r="C48" s="19" t="s">
        <v>87</v>
      </c>
      <c r="D48" s="20" t="s">
        <v>211</v>
      </c>
      <c r="E48" s="20" t="s">
        <v>212</v>
      </c>
      <c r="F48" s="19" t="s">
        <v>90</v>
      </c>
      <c r="G48" s="19" t="s">
        <v>91</v>
      </c>
      <c r="H48" s="19"/>
      <c r="I48" s="21" t="s">
        <v>29</v>
      </c>
      <c r="J48" s="21" t="s">
        <v>29</v>
      </c>
      <c r="K48" s="22" t="s">
        <v>212</v>
      </c>
      <c r="L48" s="23">
        <v>45237</v>
      </c>
      <c r="P48" s="27"/>
      <c r="Q48" s="25"/>
      <c r="R48" s="25"/>
      <c r="S48" s="27"/>
    </row>
    <row r="49" spans="1:19" ht="15.75" customHeight="1">
      <c r="A49" s="17"/>
      <c r="B49" s="18" t="s">
        <v>213</v>
      </c>
      <c r="C49" s="19" t="s">
        <v>24</v>
      </c>
      <c r="D49" s="20" t="s">
        <v>214</v>
      </c>
      <c r="E49" s="20" t="s">
        <v>215</v>
      </c>
      <c r="F49" s="19" t="s">
        <v>27</v>
      </c>
      <c r="G49" s="19" t="s">
        <v>28</v>
      </c>
      <c r="H49" s="19"/>
      <c r="I49" s="21" t="s">
        <v>29</v>
      </c>
      <c r="J49" s="21" t="s">
        <v>29</v>
      </c>
      <c r="K49" s="22" t="s">
        <v>215</v>
      </c>
      <c r="L49" s="23">
        <v>45237</v>
      </c>
      <c r="P49" s="27"/>
      <c r="Q49" s="25"/>
      <c r="R49" s="25"/>
      <c r="S49" s="27"/>
    </row>
    <row r="50" spans="1:19" ht="15.75" customHeight="1">
      <c r="A50" s="17"/>
      <c r="B50" s="18" t="s">
        <v>216</v>
      </c>
      <c r="C50" s="19" t="s">
        <v>24</v>
      </c>
      <c r="D50" s="20" t="s">
        <v>217</v>
      </c>
      <c r="E50" s="20" t="s">
        <v>218</v>
      </c>
      <c r="F50" s="19" t="s">
        <v>27</v>
      </c>
      <c r="G50" s="19" t="s">
        <v>28</v>
      </c>
      <c r="H50" s="19"/>
      <c r="I50" s="21" t="s">
        <v>29</v>
      </c>
      <c r="J50" s="21" t="s">
        <v>29</v>
      </c>
      <c r="K50" s="22" t="s">
        <v>218</v>
      </c>
      <c r="L50" s="23">
        <v>45237</v>
      </c>
      <c r="P50" s="27"/>
      <c r="Q50" s="25"/>
      <c r="R50" s="25"/>
      <c r="S50" s="27"/>
    </row>
    <row r="51" spans="1:19" ht="15.75" customHeight="1">
      <c r="A51" s="17"/>
      <c r="B51" s="18" t="s">
        <v>219</v>
      </c>
      <c r="C51" s="19" t="s">
        <v>87</v>
      </c>
      <c r="D51" s="20" t="s">
        <v>220</v>
      </c>
      <c r="E51" s="20" t="s">
        <v>221</v>
      </c>
      <c r="F51" s="19" t="s">
        <v>90</v>
      </c>
      <c r="G51" s="19" t="s">
        <v>91</v>
      </c>
      <c r="H51" s="19"/>
      <c r="I51" s="21" t="s">
        <v>29</v>
      </c>
      <c r="J51" s="21" t="s">
        <v>29</v>
      </c>
      <c r="K51" s="22" t="s">
        <v>222</v>
      </c>
      <c r="L51" s="23">
        <v>45237</v>
      </c>
      <c r="P51" s="27"/>
      <c r="Q51" s="25"/>
      <c r="R51" s="25"/>
      <c r="S51" s="27"/>
    </row>
    <row r="52" spans="1:19" ht="15.75" customHeight="1">
      <c r="A52" s="17"/>
      <c r="B52" s="18" t="s">
        <v>223</v>
      </c>
      <c r="C52" s="19" t="s">
        <v>24</v>
      </c>
      <c r="D52" s="20" t="s">
        <v>224</v>
      </c>
      <c r="E52" s="20" t="s">
        <v>225</v>
      </c>
      <c r="F52" s="19" t="s">
        <v>27</v>
      </c>
      <c r="G52" s="19" t="s">
        <v>28</v>
      </c>
      <c r="H52" s="19" t="s">
        <v>36</v>
      </c>
      <c r="I52" s="21" t="s">
        <v>29</v>
      </c>
      <c r="J52" s="21" t="s">
        <v>29</v>
      </c>
      <c r="K52" s="22" t="s">
        <v>226</v>
      </c>
      <c r="L52" s="23">
        <v>45237</v>
      </c>
      <c r="P52" s="27"/>
      <c r="Q52" s="25"/>
      <c r="R52" s="25"/>
      <c r="S52" s="27"/>
    </row>
    <row r="53" spans="1:19" ht="15.75" customHeight="1">
      <c r="A53" s="17"/>
      <c r="B53" s="18" t="s">
        <v>227</v>
      </c>
      <c r="C53" s="19" t="s">
        <v>228</v>
      </c>
      <c r="D53" s="20" t="s">
        <v>229</v>
      </c>
      <c r="E53" s="20" t="s">
        <v>230</v>
      </c>
      <c r="F53" s="19" t="s">
        <v>231</v>
      </c>
      <c r="G53" s="19" t="s">
        <v>232</v>
      </c>
      <c r="H53" s="19"/>
      <c r="I53" s="21" t="s">
        <v>233</v>
      </c>
      <c r="J53" s="21" t="s">
        <v>233</v>
      </c>
      <c r="K53" s="22" t="s">
        <v>234</v>
      </c>
      <c r="L53" s="23">
        <v>45237</v>
      </c>
      <c r="P53" s="27"/>
      <c r="Q53" s="25"/>
      <c r="R53" s="25"/>
      <c r="S53" s="27"/>
    </row>
    <row r="54" spans="1:19" ht="15.75" customHeight="1">
      <c r="A54" s="17"/>
      <c r="B54" s="18" t="s">
        <v>235</v>
      </c>
      <c r="C54" s="19" t="s">
        <v>24</v>
      </c>
      <c r="D54" s="20" t="s">
        <v>236</v>
      </c>
      <c r="E54" s="20" t="s">
        <v>237</v>
      </c>
      <c r="F54" s="19" t="s">
        <v>27</v>
      </c>
      <c r="G54" s="19" t="s">
        <v>28</v>
      </c>
      <c r="H54" s="19"/>
      <c r="I54" s="21" t="s">
        <v>29</v>
      </c>
      <c r="J54" s="21" t="s">
        <v>29</v>
      </c>
      <c r="K54" s="22" t="s">
        <v>238</v>
      </c>
      <c r="L54" s="23">
        <v>45237</v>
      </c>
      <c r="P54" s="27"/>
      <c r="Q54" s="25"/>
      <c r="R54" s="25"/>
      <c r="S54" s="27"/>
    </row>
    <row r="55" spans="1:19" ht="15.75" customHeight="1">
      <c r="A55" s="17"/>
      <c r="B55" s="18" t="s">
        <v>239</v>
      </c>
      <c r="C55" s="19" t="s">
        <v>24</v>
      </c>
      <c r="D55" s="20" t="s">
        <v>240</v>
      </c>
      <c r="E55" s="20" t="s">
        <v>241</v>
      </c>
      <c r="F55" s="19" t="s">
        <v>27</v>
      </c>
      <c r="G55" s="19" t="s">
        <v>28</v>
      </c>
      <c r="H55" s="19"/>
      <c r="I55" s="21" t="s">
        <v>29</v>
      </c>
      <c r="J55" s="21" t="s">
        <v>29</v>
      </c>
      <c r="K55" s="22" t="s">
        <v>242</v>
      </c>
      <c r="L55" s="23">
        <v>45237</v>
      </c>
      <c r="P55" s="27"/>
      <c r="Q55" s="25"/>
      <c r="R55" s="25"/>
      <c r="S55" s="27"/>
    </row>
    <row r="56" spans="1:19" ht="15.75" customHeight="1">
      <c r="A56" s="17"/>
      <c r="B56" s="18" t="s">
        <v>243</v>
      </c>
      <c r="C56" s="19" t="s">
        <v>24</v>
      </c>
      <c r="D56" s="20" t="s">
        <v>244</v>
      </c>
      <c r="E56" s="20" t="s">
        <v>245</v>
      </c>
      <c r="F56" s="19" t="s">
        <v>27</v>
      </c>
      <c r="G56" s="19" t="s">
        <v>28</v>
      </c>
      <c r="H56" s="19"/>
      <c r="I56" s="21" t="s">
        <v>29</v>
      </c>
      <c r="J56" s="21" t="s">
        <v>29</v>
      </c>
      <c r="K56" s="22" t="s">
        <v>246</v>
      </c>
      <c r="L56" s="23">
        <v>45237</v>
      </c>
      <c r="P56" s="27"/>
      <c r="Q56" s="25"/>
      <c r="R56" s="25"/>
      <c r="S56" s="27"/>
    </row>
    <row r="57" spans="1:19" ht="15.75" customHeight="1">
      <c r="A57" s="17"/>
      <c r="B57" s="18" t="s">
        <v>247</v>
      </c>
      <c r="C57" s="19" t="s">
        <v>24</v>
      </c>
      <c r="D57" s="20" t="s">
        <v>248</v>
      </c>
      <c r="E57" s="20" t="s">
        <v>249</v>
      </c>
      <c r="F57" s="19" t="s">
        <v>27</v>
      </c>
      <c r="G57" s="19" t="s">
        <v>28</v>
      </c>
      <c r="H57" s="19"/>
      <c r="I57" s="21" t="s">
        <v>29</v>
      </c>
      <c r="J57" s="21" t="s">
        <v>29</v>
      </c>
      <c r="K57" s="22" t="s">
        <v>249</v>
      </c>
      <c r="L57" s="23">
        <v>45237</v>
      </c>
      <c r="P57" s="27"/>
      <c r="Q57" s="25"/>
      <c r="R57" s="25"/>
      <c r="S57" s="27"/>
    </row>
    <row r="58" spans="1:19" ht="15.75" customHeight="1">
      <c r="A58" s="17"/>
      <c r="B58" s="18" t="s">
        <v>250</v>
      </c>
      <c r="C58" s="19" t="s">
        <v>87</v>
      </c>
      <c r="D58" s="20" t="s">
        <v>251</v>
      </c>
      <c r="E58" s="20" t="s">
        <v>252</v>
      </c>
      <c r="F58" s="19" t="s">
        <v>90</v>
      </c>
      <c r="G58" s="19" t="s">
        <v>91</v>
      </c>
      <c r="H58" s="19" t="s">
        <v>36</v>
      </c>
      <c r="I58" s="21" t="s">
        <v>29</v>
      </c>
      <c r="J58" s="21" t="s">
        <v>29</v>
      </c>
      <c r="K58" s="22" t="s">
        <v>253</v>
      </c>
      <c r="L58" s="23">
        <v>45237</v>
      </c>
      <c r="P58" s="27"/>
      <c r="Q58" s="25"/>
      <c r="R58" s="25"/>
      <c r="S58" s="27"/>
    </row>
    <row r="59" spans="1:19" ht="15.75" customHeight="1">
      <c r="A59" s="17"/>
      <c r="B59" s="18" t="s">
        <v>254</v>
      </c>
      <c r="C59" s="19" t="s">
        <v>24</v>
      </c>
      <c r="D59" s="20" t="s">
        <v>255</v>
      </c>
      <c r="E59" s="20" t="s">
        <v>256</v>
      </c>
      <c r="F59" s="19" t="s">
        <v>27</v>
      </c>
      <c r="G59" s="19" t="s">
        <v>28</v>
      </c>
      <c r="H59" s="19"/>
      <c r="I59" s="21" t="s">
        <v>29</v>
      </c>
      <c r="J59" s="21" t="s">
        <v>29</v>
      </c>
      <c r="K59" s="22" t="s">
        <v>257</v>
      </c>
      <c r="L59" s="23">
        <v>45237</v>
      </c>
      <c r="P59" s="27"/>
      <c r="Q59" s="25"/>
      <c r="R59" s="25"/>
      <c r="S59" s="27"/>
    </row>
    <row r="60" spans="1:19" ht="15.75" customHeight="1">
      <c r="A60" s="17"/>
      <c r="B60" s="18" t="s">
        <v>258</v>
      </c>
      <c r="C60" s="19" t="s">
        <v>24</v>
      </c>
      <c r="D60" s="20" t="s">
        <v>259</v>
      </c>
      <c r="E60" s="20" t="s">
        <v>55</v>
      </c>
      <c r="F60" s="19" t="s">
        <v>27</v>
      </c>
      <c r="G60" s="19" t="s">
        <v>28</v>
      </c>
      <c r="H60" s="19"/>
      <c r="I60" s="21" t="s">
        <v>29</v>
      </c>
      <c r="J60" s="21" t="s">
        <v>29</v>
      </c>
      <c r="K60" s="22" t="s">
        <v>55</v>
      </c>
      <c r="L60" s="23">
        <v>45237</v>
      </c>
      <c r="P60" s="27"/>
      <c r="Q60" s="25"/>
      <c r="R60" s="25"/>
      <c r="S60" s="27"/>
    </row>
    <row r="61" spans="1:19" ht="15.75" customHeight="1">
      <c r="A61" s="17"/>
      <c r="B61" s="18" t="s">
        <v>260</v>
      </c>
      <c r="C61" s="19" t="s">
        <v>24</v>
      </c>
      <c r="D61" s="20" t="s">
        <v>261</v>
      </c>
      <c r="E61" s="20" t="s">
        <v>55</v>
      </c>
      <c r="F61" s="19" t="s">
        <v>27</v>
      </c>
      <c r="G61" s="19" t="s">
        <v>28</v>
      </c>
      <c r="H61" s="19"/>
      <c r="I61" s="21" t="s">
        <v>29</v>
      </c>
      <c r="J61" s="21" t="s">
        <v>29</v>
      </c>
      <c r="K61" s="22" t="s">
        <v>55</v>
      </c>
      <c r="L61" s="23">
        <v>45237</v>
      </c>
      <c r="P61" s="27"/>
      <c r="Q61" s="25"/>
      <c r="R61" s="25"/>
      <c r="S61" s="27"/>
    </row>
    <row r="62" spans="1:19" ht="15.75" customHeight="1">
      <c r="A62" s="17"/>
      <c r="B62" s="18" t="s">
        <v>262</v>
      </c>
      <c r="C62" s="19" t="s">
        <v>24</v>
      </c>
      <c r="D62" s="20" t="s">
        <v>263</v>
      </c>
      <c r="E62" s="20" t="s">
        <v>264</v>
      </c>
      <c r="F62" s="19" t="s">
        <v>27</v>
      </c>
      <c r="G62" s="19" t="s">
        <v>28</v>
      </c>
      <c r="H62" s="19"/>
      <c r="I62" s="21" t="s">
        <v>29</v>
      </c>
      <c r="J62" s="21" t="s">
        <v>29</v>
      </c>
      <c r="K62" s="22" t="s">
        <v>264</v>
      </c>
      <c r="L62" s="23">
        <v>45237</v>
      </c>
      <c r="P62" s="27"/>
      <c r="Q62" s="25"/>
      <c r="R62" s="25"/>
      <c r="S62" s="27"/>
    </row>
    <row r="63" spans="1:19" ht="15.75" customHeight="1">
      <c r="A63" s="17"/>
      <c r="B63" s="18" t="s">
        <v>265</v>
      </c>
      <c r="C63" s="19" t="s">
        <v>46</v>
      </c>
      <c r="D63" s="20" t="s">
        <v>266</v>
      </c>
      <c r="E63" s="20" t="s">
        <v>267</v>
      </c>
      <c r="F63" s="19" t="s">
        <v>49</v>
      </c>
      <c r="G63" s="19" t="s">
        <v>50</v>
      </c>
      <c r="H63" s="19" t="s">
        <v>36</v>
      </c>
      <c r="I63" s="21" t="s">
        <v>29</v>
      </c>
      <c r="J63" s="21" t="s">
        <v>29</v>
      </c>
      <c r="K63" s="22" t="s">
        <v>268</v>
      </c>
      <c r="L63" s="23">
        <v>45237</v>
      </c>
      <c r="P63" s="27"/>
      <c r="Q63" s="25"/>
      <c r="R63" s="25"/>
      <c r="S63" s="27"/>
    </row>
    <row r="64" spans="1:19" ht="15.75" customHeight="1">
      <c r="A64" s="17"/>
      <c r="B64" s="18" t="s">
        <v>269</v>
      </c>
      <c r="C64" s="19" t="s">
        <v>46</v>
      </c>
      <c r="D64" s="20" t="s">
        <v>270</v>
      </c>
      <c r="E64" s="20" t="s">
        <v>271</v>
      </c>
      <c r="F64" s="19" t="s">
        <v>49</v>
      </c>
      <c r="G64" s="19" t="s">
        <v>50</v>
      </c>
      <c r="H64" s="19" t="s">
        <v>36</v>
      </c>
      <c r="I64" s="21" t="s">
        <v>29</v>
      </c>
      <c r="J64" s="21" t="s">
        <v>29</v>
      </c>
      <c r="K64" s="22" t="s">
        <v>271</v>
      </c>
      <c r="L64" s="23">
        <v>45237</v>
      </c>
      <c r="P64" s="27"/>
      <c r="Q64" s="25"/>
      <c r="R64" s="25"/>
      <c r="S64" s="27"/>
    </row>
    <row r="65" spans="1:19" ht="15.75" customHeight="1">
      <c r="A65" s="17"/>
      <c r="B65" s="18" t="s">
        <v>272</v>
      </c>
      <c r="C65" s="19" t="s">
        <v>87</v>
      </c>
      <c r="D65" s="20" t="s">
        <v>273</v>
      </c>
      <c r="E65" s="20" t="s">
        <v>274</v>
      </c>
      <c r="F65" s="19" t="s">
        <v>90</v>
      </c>
      <c r="G65" s="19" t="s">
        <v>91</v>
      </c>
      <c r="H65" s="19" t="s">
        <v>36</v>
      </c>
      <c r="I65" s="21" t="s">
        <v>29</v>
      </c>
      <c r="J65" s="21" t="s">
        <v>29</v>
      </c>
      <c r="K65" s="22" t="s">
        <v>274</v>
      </c>
      <c r="L65" s="23">
        <v>45237</v>
      </c>
      <c r="P65" s="27"/>
      <c r="Q65" s="25"/>
      <c r="R65" s="25"/>
      <c r="S65" s="27"/>
    </row>
    <row r="66" spans="1:19" ht="15.75" customHeight="1">
      <c r="A66" s="17"/>
      <c r="B66" s="18" t="s">
        <v>275</v>
      </c>
      <c r="C66" s="19" t="s">
        <v>87</v>
      </c>
      <c r="D66" s="20" t="s">
        <v>276</v>
      </c>
      <c r="E66" s="20" t="s">
        <v>277</v>
      </c>
      <c r="F66" s="19" t="s">
        <v>90</v>
      </c>
      <c r="G66" s="19" t="s">
        <v>91</v>
      </c>
      <c r="H66" s="19"/>
      <c r="I66" s="21" t="s">
        <v>29</v>
      </c>
      <c r="J66" s="21" t="s">
        <v>29</v>
      </c>
      <c r="K66" s="22" t="s">
        <v>278</v>
      </c>
      <c r="L66" s="23">
        <v>45237</v>
      </c>
      <c r="P66" s="27"/>
      <c r="Q66" s="25"/>
      <c r="R66" s="25"/>
      <c r="S66" s="27"/>
    </row>
    <row r="67" spans="1:19" ht="15.75" customHeight="1">
      <c r="A67" s="17"/>
      <c r="B67" s="18" t="s">
        <v>279</v>
      </c>
      <c r="C67" s="19" t="s">
        <v>24</v>
      </c>
      <c r="D67" s="20" t="s">
        <v>280</v>
      </c>
      <c r="E67" s="20" t="s">
        <v>281</v>
      </c>
      <c r="F67" s="19" t="s">
        <v>27</v>
      </c>
      <c r="G67" s="19" t="s">
        <v>28</v>
      </c>
      <c r="H67" s="19"/>
      <c r="I67" s="21" t="s">
        <v>29</v>
      </c>
      <c r="J67" s="21" t="s">
        <v>29</v>
      </c>
      <c r="K67" s="22" t="s">
        <v>282</v>
      </c>
      <c r="L67" s="23">
        <v>45237</v>
      </c>
      <c r="P67" s="27"/>
      <c r="Q67" s="25"/>
      <c r="R67" s="25"/>
      <c r="S67" s="27"/>
    </row>
    <row r="68" spans="1:19" ht="15.75" customHeight="1">
      <c r="A68" s="17"/>
      <c r="B68" s="18" t="s">
        <v>283</v>
      </c>
      <c r="C68" s="19" t="s">
        <v>24</v>
      </c>
      <c r="D68" s="20" t="s">
        <v>284</v>
      </c>
      <c r="E68" s="20" t="s">
        <v>285</v>
      </c>
      <c r="F68" s="19" t="s">
        <v>286</v>
      </c>
      <c r="G68" s="19" t="s">
        <v>28</v>
      </c>
      <c r="H68" s="19"/>
      <c r="I68" s="21" t="s">
        <v>286</v>
      </c>
      <c r="J68" s="21" t="s">
        <v>29</v>
      </c>
      <c r="K68" s="22" t="s">
        <v>287</v>
      </c>
      <c r="L68" s="23">
        <v>45237</v>
      </c>
      <c r="P68" s="27"/>
      <c r="Q68" s="25"/>
      <c r="R68" s="25"/>
      <c r="S68" s="27"/>
    </row>
    <row r="69" spans="1:19" ht="15.75" customHeight="1">
      <c r="A69" s="17"/>
      <c r="B69" s="18" t="s">
        <v>288</v>
      </c>
      <c r="C69" s="19" t="s">
        <v>24</v>
      </c>
      <c r="D69" s="20" t="s">
        <v>289</v>
      </c>
      <c r="E69" s="20" t="s">
        <v>290</v>
      </c>
      <c r="F69" s="19" t="s">
        <v>27</v>
      </c>
      <c r="G69" s="19" t="s">
        <v>28</v>
      </c>
      <c r="H69" s="19"/>
      <c r="I69" s="21" t="s">
        <v>29</v>
      </c>
      <c r="J69" s="21" t="s">
        <v>29</v>
      </c>
      <c r="K69" s="22" t="s">
        <v>291</v>
      </c>
      <c r="L69" s="23">
        <v>45237</v>
      </c>
      <c r="P69" s="27"/>
      <c r="Q69" s="25"/>
      <c r="R69" s="25"/>
      <c r="S69" s="27"/>
    </row>
    <row r="70" spans="1:19" ht="15.75" customHeight="1">
      <c r="A70" s="17"/>
      <c r="B70" s="18" t="s">
        <v>292</v>
      </c>
      <c r="C70" s="19" t="s">
        <v>24</v>
      </c>
      <c r="D70" s="20" t="s">
        <v>293</v>
      </c>
      <c r="E70" s="20" t="s">
        <v>294</v>
      </c>
      <c r="F70" s="19" t="s">
        <v>27</v>
      </c>
      <c r="G70" s="19" t="s">
        <v>28</v>
      </c>
      <c r="H70" s="19"/>
      <c r="I70" s="21" t="s">
        <v>29</v>
      </c>
      <c r="J70" s="21" t="s">
        <v>29</v>
      </c>
      <c r="K70" s="22" t="s">
        <v>295</v>
      </c>
      <c r="L70" s="23">
        <v>45237</v>
      </c>
      <c r="P70" s="27"/>
      <c r="Q70" s="25"/>
      <c r="R70" s="25"/>
      <c r="S70" s="27"/>
    </row>
    <row r="71" spans="1:19" ht="15.75" customHeight="1">
      <c r="A71" s="17"/>
      <c r="B71" s="18" t="s">
        <v>296</v>
      </c>
      <c r="C71" s="19" t="s">
        <v>24</v>
      </c>
      <c r="D71" s="20" t="s">
        <v>297</v>
      </c>
      <c r="E71" s="20" t="s">
        <v>298</v>
      </c>
      <c r="F71" s="19" t="s">
        <v>27</v>
      </c>
      <c r="G71" s="19" t="s">
        <v>28</v>
      </c>
      <c r="H71" s="19"/>
      <c r="I71" s="21" t="s">
        <v>29</v>
      </c>
      <c r="J71" s="21" t="s">
        <v>29</v>
      </c>
      <c r="K71" s="22" t="s">
        <v>298</v>
      </c>
      <c r="L71" s="23">
        <v>45237</v>
      </c>
      <c r="P71" s="27"/>
      <c r="Q71" s="25"/>
      <c r="R71" s="25"/>
      <c r="S71" s="27"/>
    </row>
    <row r="72" spans="1:19" ht="15.75" customHeight="1">
      <c r="A72" s="17"/>
      <c r="B72" s="18" t="s">
        <v>299</v>
      </c>
      <c r="C72" s="19" t="s">
        <v>24</v>
      </c>
      <c r="D72" s="20" t="s">
        <v>300</v>
      </c>
      <c r="E72" s="20" t="s">
        <v>301</v>
      </c>
      <c r="F72" s="19" t="s">
        <v>27</v>
      </c>
      <c r="G72" s="19" t="s">
        <v>28</v>
      </c>
      <c r="H72" s="19" t="s">
        <v>36</v>
      </c>
      <c r="I72" s="21" t="s">
        <v>29</v>
      </c>
      <c r="J72" s="21" t="s">
        <v>29</v>
      </c>
      <c r="K72" s="22" t="s">
        <v>302</v>
      </c>
      <c r="L72" s="23">
        <v>45237</v>
      </c>
      <c r="P72" s="27"/>
      <c r="Q72" s="25"/>
      <c r="R72" s="25"/>
      <c r="S72" s="27"/>
    </row>
    <row r="73" spans="1:19" ht="15.75" customHeight="1">
      <c r="A73" s="17"/>
      <c r="B73" s="18" t="s">
        <v>303</v>
      </c>
      <c r="C73" s="19" t="s">
        <v>24</v>
      </c>
      <c r="D73" s="20" t="s">
        <v>304</v>
      </c>
      <c r="E73" s="20" t="s">
        <v>305</v>
      </c>
      <c r="F73" s="19" t="s">
        <v>27</v>
      </c>
      <c r="G73" s="19" t="s">
        <v>28</v>
      </c>
      <c r="H73" s="19"/>
      <c r="I73" s="21" t="s">
        <v>29</v>
      </c>
      <c r="J73" s="21" t="s">
        <v>29</v>
      </c>
      <c r="K73" s="22" t="s">
        <v>305</v>
      </c>
      <c r="L73" s="23">
        <v>45237</v>
      </c>
      <c r="P73" s="27"/>
      <c r="Q73" s="25"/>
      <c r="R73" s="25"/>
      <c r="S73" s="27"/>
    </row>
    <row r="74" spans="1:19" ht="15.75" customHeight="1">
      <c r="A74" s="17"/>
      <c r="B74" s="18" t="s">
        <v>306</v>
      </c>
      <c r="C74" s="19" t="s">
        <v>24</v>
      </c>
      <c r="D74" s="20" t="s">
        <v>307</v>
      </c>
      <c r="E74" s="20" t="s">
        <v>145</v>
      </c>
      <c r="F74" s="19" t="s">
        <v>27</v>
      </c>
      <c r="G74" s="19" t="s">
        <v>28</v>
      </c>
      <c r="H74" s="19"/>
      <c r="I74" s="21" t="s">
        <v>29</v>
      </c>
      <c r="J74" s="21" t="s">
        <v>29</v>
      </c>
      <c r="K74" s="22" t="s">
        <v>55</v>
      </c>
      <c r="L74" s="23">
        <v>45237</v>
      </c>
      <c r="P74" s="27"/>
      <c r="Q74" s="25"/>
      <c r="R74" s="25"/>
      <c r="S74" s="27"/>
    </row>
    <row r="75" spans="1:19" ht="15.75" customHeight="1">
      <c r="A75" s="17"/>
      <c r="B75" s="18" t="s">
        <v>308</v>
      </c>
      <c r="C75" s="19" t="s">
        <v>24</v>
      </c>
      <c r="D75" s="20" t="s">
        <v>309</v>
      </c>
      <c r="E75" s="20" t="s">
        <v>310</v>
      </c>
      <c r="F75" s="19" t="s">
        <v>27</v>
      </c>
      <c r="G75" s="19" t="s">
        <v>28</v>
      </c>
      <c r="H75" s="19"/>
      <c r="I75" s="21" t="s">
        <v>29</v>
      </c>
      <c r="J75" s="21" t="s">
        <v>29</v>
      </c>
      <c r="K75" s="22" t="s">
        <v>311</v>
      </c>
      <c r="L75" s="23">
        <v>45237</v>
      </c>
      <c r="P75" s="27"/>
      <c r="Q75" s="25"/>
      <c r="R75" s="25"/>
      <c r="S75" s="27"/>
    </row>
    <row r="76" spans="1:19" ht="15.75" customHeight="1">
      <c r="A76" s="17"/>
      <c r="B76" s="18" t="s">
        <v>312</v>
      </c>
      <c r="C76" s="19" t="s">
        <v>46</v>
      </c>
      <c r="D76" s="20" t="s">
        <v>313</v>
      </c>
      <c r="E76" s="20" t="s">
        <v>314</v>
      </c>
      <c r="F76" s="19" t="s">
        <v>49</v>
      </c>
      <c r="G76" s="19" t="s">
        <v>50</v>
      </c>
      <c r="H76" s="19"/>
      <c r="I76" s="21" t="s">
        <v>29</v>
      </c>
      <c r="J76" s="21" t="s">
        <v>29</v>
      </c>
      <c r="K76" s="22" t="s">
        <v>315</v>
      </c>
      <c r="L76" s="23">
        <v>45237</v>
      </c>
      <c r="P76" s="27"/>
      <c r="Q76" s="25"/>
      <c r="R76" s="25"/>
      <c r="S76" s="27"/>
    </row>
    <row r="77" spans="1:19" ht="15.75" customHeight="1">
      <c r="A77" s="17"/>
      <c r="B77" s="18" t="s">
        <v>316</v>
      </c>
      <c r="C77" s="19" t="s">
        <v>46</v>
      </c>
      <c r="D77" s="20" t="s">
        <v>317</v>
      </c>
      <c r="E77" s="20" t="s">
        <v>318</v>
      </c>
      <c r="F77" s="19" t="s">
        <v>49</v>
      </c>
      <c r="G77" s="19" t="s">
        <v>50</v>
      </c>
      <c r="H77" s="19" t="s">
        <v>36</v>
      </c>
      <c r="I77" s="21" t="s">
        <v>29</v>
      </c>
      <c r="J77" s="21" t="s">
        <v>29</v>
      </c>
      <c r="K77" s="22" t="s">
        <v>319</v>
      </c>
      <c r="L77" s="23">
        <v>45237</v>
      </c>
      <c r="P77" s="27"/>
      <c r="Q77" s="25"/>
      <c r="R77" s="25"/>
      <c r="S77" s="27"/>
    </row>
    <row r="78" spans="1:19" ht="15.75" customHeight="1">
      <c r="A78" s="17"/>
      <c r="B78" s="18" t="s">
        <v>320</v>
      </c>
      <c r="C78" s="19" t="s">
        <v>24</v>
      </c>
      <c r="D78" s="20" t="s">
        <v>261</v>
      </c>
      <c r="E78" s="20" t="s">
        <v>321</v>
      </c>
      <c r="F78" s="19" t="s">
        <v>27</v>
      </c>
      <c r="G78" s="19" t="s">
        <v>28</v>
      </c>
      <c r="H78" s="19"/>
      <c r="I78" s="21" t="s">
        <v>29</v>
      </c>
      <c r="J78" s="21" t="s">
        <v>29</v>
      </c>
      <c r="K78" s="22" t="s">
        <v>321</v>
      </c>
      <c r="L78" s="23">
        <v>45237</v>
      </c>
      <c r="P78" s="27"/>
      <c r="Q78" s="25"/>
      <c r="R78" s="25"/>
      <c r="S78" s="27"/>
    </row>
    <row r="79" spans="1:19" ht="15.75" customHeight="1">
      <c r="A79" s="17"/>
      <c r="B79" s="18" t="s">
        <v>322</v>
      </c>
      <c r="C79" s="19" t="s">
        <v>24</v>
      </c>
      <c r="D79" s="20" t="s">
        <v>323</v>
      </c>
      <c r="E79" s="20" t="s">
        <v>324</v>
      </c>
      <c r="F79" s="19" t="s">
        <v>27</v>
      </c>
      <c r="G79" s="19" t="s">
        <v>28</v>
      </c>
      <c r="H79" s="19"/>
      <c r="I79" s="21" t="s">
        <v>29</v>
      </c>
      <c r="J79" s="21" t="s">
        <v>29</v>
      </c>
      <c r="K79" s="22" t="s">
        <v>324</v>
      </c>
      <c r="L79" s="23">
        <v>45237</v>
      </c>
      <c r="P79" s="27"/>
      <c r="Q79" s="25"/>
      <c r="R79" s="25"/>
      <c r="S79" s="27"/>
    </row>
    <row r="80" spans="1:19" ht="15.75" customHeight="1">
      <c r="A80" s="17"/>
      <c r="B80" s="18" t="s">
        <v>325</v>
      </c>
      <c r="C80" s="19" t="s">
        <v>87</v>
      </c>
      <c r="D80" s="20" t="s">
        <v>326</v>
      </c>
      <c r="E80" s="20" t="s">
        <v>327</v>
      </c>
      <c r="F80" s="19" t="s">
        <v>49</v>
      </c>
      <c r="G80" s="19" t="s">
        <v>91</v>
      </c>
      <c r="H80" s="19" t="s">
        <v>36</v>
      </c>
      <c r="I80" s="21" t="s">
        <v>29</v>
      </c>
      <c r="J80" s="21" t="s">
        <v>29</v>
      </c>
      <c r="K80" s="22" t="s">
        <v>328</v>
      </c>
      <c r="L80" s="23">
        <v>45237</v>
      </c>
      <c r="P80" s="27"/>
      <c r="Q80" s="25"/>
      <c r="R80" s="25"/>
      <c r="S80" s="27"/>
    </row>
    <row r="81" spans="1:19" ht="15.75" customHeight="1">
      <c r="A81" s="17"/>
      <c r="B81" s="18" t="s">
        <v>329</v>
      </c>
      <c r="C81" s="19" t="s">
        <v>24</v>
      </c>
      <c r="D81" s="20" t="s">
        <v>330</v>
      </c>
      <c r="E81" s="20" t="s">
        <v>331</v>
      </c>
      <c r="F81" s="19" t="s">
        <v>27</v>
      </c>
      <c r="G81" s="19" t="s">
        <v>28</v>
      </c>
      <c r="H81" s="19" t="s">
        <v>36</v>
      </c>
      <c r="I81" s="21" t="s">
        <v>29</v>
      </c>
      <c r="J81" s="21" t="s">
        <v>29</v>
      </c>
      <c r="K81" s="22" t="s">
        <v>332</v>
      </c>
      <c r="L81" s="23">
        <v>45237</v>
      </c>
      <c r="P81" s="27"/>
      <c r="Q81" s="25"/>
      <c r="R81" s="25"/>
      <c r="S81" s="27"/>
    </row>
    <row r="82" spans="1:19" ht="15.75" customHeight="1">
      <c r="A82" s="17"/>
      <c r="B82" s="18" t="s">
        <v>333</v>
      </c>
      <c r="C82" s="19" t="s">
        <v>24</v>
      </c>
      <c r="D82" s="20" t="s">
        <v>334</v>
      </c>
      <c r="E82" s="20" t="s">
        <v>335</v>
      </c>
      <c r="F82" s="19" t="s">
        <v>27</v>
      </c>
      <c r="G82" s="19" t="s">
        <v>28</v>
      </c>
      <c r="H82" s="19"/>
      <c r="I82" s="21" t="s">
        <v>29</v>
      </c>
      <c r="J82" s="21" t="s">
        <v>29</v>
      </c>
      <c r="K82" s="22" t="s">
        <v>335</v>
      </c>
      <c r="L82" s="23">
        <v>45237</v>
      </c>
      <c r="P82" s="27"/>
      <c r="Q82" s="25"/>
      <c r="R82" s="25"/>
      <c r="S82" s="27"/>
    </row>
    <row r="83" spans="1:19" ht="15.75" customHeight="1">
      <c r="A83" s="17"/>
      <c r="B83" s="34" t="s">
        <v>336</v>
      </c>
      <c r="C83" s="19" t="s">
        <v>87</v>
      </c>
      <c r="D83" s="20" t="s">
        <v>337</v>
      </c>
      <c r="E83" s="20" t="s">
        <v>338</v>
      </c>
      <c r="F83" s="19" t="s">
        <v>49</v>
      </c>
      <c r="G83" s="19" t="s">
        <v>50</v>
      </c>
      <c r="H83" s="19"/>
      <c r="I83" s="21" t="s">
        <v>29</v>
      </c>
      <c r="J83" s="21" t="s">
        <v>29</v>
      </c>
      <c r="K83" s="22" t="s">
        <v>339</v>
      </c>
      <c r="L83" s="23">
        <v>45237</v>
      </c>
      <c r="P83" s="27"/>
      <c r="Q83" s="25"/>
      <c r="R83" s="25"/>
      <c r="S83" s="27"/>
    </row>
    <row r="84" spans="1:19" ht="15.75" customHeight="1">
      <c r="A84" s="17"/>
      <c r="B84" s="18" t="s">
        <v>340</v>
      </c>
      <c r="C84" s="19" t="s">
        <v>24</v>
      </c>
      <c r="D84" s="20" t="s">
        <v>341</v>
      </c>
      <c r="E84" s="20" t="s">
        <v>342</v>
      </c>
      <c r="F84" s="19" t="s">
        <v>27</v>
      </c>
      <c r="G84" s="19" t="s">
        <v>28</v>
      </c>
      <c r="H84" s="19"/>
      <c r="I84" s="21" t="s">
        <v>29</v>
      </c>
      <c r="J84" s="21" t="s">
        <v>29</v>
      </c>
      <c r="K84" s="22" t="s">
        <v>342</v>
      </c>
      <c r="L84" s="23">
        <v>45237</v>
      </c>
      <c r="P84" s="27"/>
      <c r="Q84" s="25"/>
      <c r="R84" s="25"/>
      <c r="S84" s="27"/>
    </row>
    <row r="85" spans="1:19" ht="15.75" customHeight="1">
      <c r="A85" s="17"/>
      <c r="B85" s="18" t="s">
        <v>343</v>
      </c>
      <c r="C85" s="19" t="s">
        <v>24</v>
      </c>
      <c r="D85" s="20" t="s">
        <v>344</v>
      </c>
      <c r="E85" s="20" t="s">
        <v>345</v>
      </c>
      <c r="F85" s="19" t="s">
        <v>27</v>
      </c>
      <c r="G85" s="19" t="s">
        <v>28</v>
      </c>
      <c r="H85" s="19"/>
      <c r="I85" s="21" t="s">
        <v>29</v>
      </c>
      <c r="J85" s="21" t="s">
        <v>29</v>
      </c>
      <c r="K85" s="22" t="s">
        <v>345</v>
      </c>
      <c r="L85" s="23">
        <v>45237</v>
      </c>
      <c r="P85" s="27"/>
      <c r="Q85" s="25"/>
      <c r="R85" s="25"/>
      <c r="S85" s="27"/>
    </row>
    <row r="86" spans="1:19" ht="15.75" customHeight="1">
      <c r="A86" s="17"/>
      <c r="B86" s="18" t="s">
        <v>346</v>
      </c>
      <c r="C86" s="19" t="s">
        <v>24</v>
      </c>
      <c r="D86" s="20" t="s">
        <v>347</v>
      </c>
      <c r="E86" s="20" t="s">
        <v>348</v>
      </c>
      <c r="F86" s="19" t="s">
        <v>27</v>
      </c>
      <c r="G86" s="19" t="s">
        <v>28</v>
      </c>
      <c r="H86" s="19"/>
      <c r="I86" s="21" t="s">
        <v>29</v>
      </c>
      <c r="J86" s="21" t="s">
        <v>29</v>
      </c>
      <c r="K86" s="22" t="s">
        <v>348</v>
      </c>
      <c r="L86" s="23">
        <v>45237</v>
      </c>
      <c r="P86" s="27"/>
      <c r="Q86" s="25"/>
      <c r="R86" s="25"/>
      <c r="S86" s="27"/>
    </row>
    <row r="87" spans="1:19" ht="15.75" customHeight="1">
      <c r="A87" s="17"/>
      <c r="B87" s="18" t="s">
        <v>349</v>
      </c>
      <c r="C87" s="19" t="s">
        <v>24</v>
      </c>
      <c r="D87" s="20" t="s">
        <v>350</v>
      </c>
      <c r="E87" s="20" t="s">
        <v>351</v>
      </c>
      <c r="F87" s="19" t="s">
        <v>27</v>
      </c>
      <c r="G87" s="19" t="s">
        <v>28</v>
      </c>
      <c r="H87" s="19" t="s">
        <v>36</v>
      </c>
      <c r="I87" s="21" t="s">
        <v>29</v>
      </c>
      <c r="J87" s="21" t="s">
        <v>29</v>
      </c>
      <c r="K87" s="22" t="s">
        <v>352</v>
      </c>
      <c r="L87" s="23">
        <v>45237</v>
      </c>
      <c r="P87" s="27"/>
      <c r="Q87" s="25"/>
      <c r="R87" s="25"/>
      <c r="S87" s="27"/>
    </row>
    <row r="88" spans="1:19" ht="15.75" customHeight="1">
      <c r="A88" s="17"/>
      <c r="B88" s="18" t="s">
        <v>353</v>
      </c>
      <c r="C88" s="19" t="s">
        <v>46</v>
      </c>
      <c r="D88" s="20" t="s">
        <v>354</v>
      </c>
      <c r="E88" s="20" t="s">
        <v>55</v>
      </c>
      <c r="F88" s="19" t="s">
        <v>49</v>
      </c>
      <c r="G88" s="19" t="s">
        <v>50</v>
      </c>
      <c r="H88" s="19"/>
      <c r="I88" s="21" t="s">
        <v>29</v>
      </c>
      <c r="J88" s="21" t="s">
        <v>29</v>
      </c>
      <c r="K88" s="22" t="s">
        <v>55</v>
      </c>
      <c r="L88" s="23">
        <v>45237</v>
      </c>
      <c r="P88" s="27"/>
      <c r="Q88" s="25"/>
      <c r="R88" s="25"/>
      <c r="S88" s="27"/>
    </row>
    <row r="89" spans="1:19" ht="15.75" customHeight="1">
      <c r="A89" s="17"/>
      <c r="B89" s="18" t="s">
        <v>355</v>
      </c>
      <c r="C89" s="19" t="s">
        <v>24</v>
      </c>
      <c r="D89" s="20" t="s">
        <v>356</v>
      </c>
      <c r="E89" s="20" t="s">
        <v>55</v>
      </c>
      <c r="F89" s="19" t="s">
        <v>27</v>
      </c>
      <c r="G89" s="19" t="s">
        <v>28</v>
      </c>
      <c r="H89" s="19"/>
      <c r="I89" s="21" t="s">
        <v>29</v>
      </c>
      <c r="J89" s="21" t="s">
        <v>29</v>
      </c>
      <c r="K89" s="22" t="s">
        <v>55</v>
      </c>
      <c r="L89" s="23">
        <v>45237</v>
      </c>
      <c r="P89" s="27"/>
      <c r="Q89" s="25"/>
      <c r="R89" s="25"/>
      <c r="S89" s="27"/>
    </row>
    <row r="90" spans="1:19" ht="15.75" customHeight="1">
      <c r="A90" s="17"/>
      <c r="B90" s="36" t="s">
        <v>357</v>
      </c>
      <c r="C90" s="19" t="s">
        <v>121</v>
      </c>
      <c r="D90" s="20" t="s">
        <v>358</v>
      </c>
      <c r="E90" s="20" t="s">
        <v>55</v>
      </c>
      <c r="F90" s="19" t="s">
        <v>27</v>
      </c>
      <c r="G90" s="19" t="s">
        <v>359</v>
      </c>
      <c r="H90" s="19"/>
      <c r="I90" s="21" t="s">
        <v>29</v>
      </c>
      <c r="J90" s="19" t="s">
        <v>359</v>
      </c>
      <c r="K90" s="22" t="s">
        <v>55</v>
      </c>
      <c r="L90" s="23">
        <v>45237</v>
      </c>
      <c r="P90" s="27"/>
      <c r="Q90" s="25"/>
      <c r="R90" s="25"/>
      <c r="S90" s="27"/>
    </row>
    <row r="91" spans="1:19" ht="15.75" customHeight="1">
      <c r="A91" s="17"/>
      <c r="B91" s="18" t="s">
        <v>360</v>
      </c>
      <c r="C91" s="19" t="s">
        <v>24</v>
      </c>
      <c r="D91" s="20" t="s">
        <v>361</v>
      </c>
      <c r="E91" s="20" t="s">
        <v>362</v>
      </c>
      <c r="F91" s="19" t="s">
        <v>27</v>
      </c>
      <c r="G91" s="19" t="s">
        <v>28</v>
      </c>
      <c r="H91" s="19"/>
      <c r="I91" s="21" t="s">
        <v>29</v>
      </c>
      <c r="J91" s="21" t="s">
        <v>29</v>
      </c>
      <c r="K91" s="22" t="s">
        <v>363</v>
      </c>
      <c r="L91" s="23">
        <v>45237</v>
      </c>
      <c r="P91" s="27"/>
      <c r="Q91" s="25"/>
      <c r="R91" s="25"/>
      <c r="S91" s="27"/>
    </row>
    <row r="92" spans="1:19" ht="15.75" customHeight="1">
      <c r="A92" s="17"/>
      <c r="B92" s="34" t="s">
        <v>364</v>
      </c>
      <c r="C92" s="19" t="s">
        <v>24</v>
      </c>
      <c r="D92" s="20" t="s">
        <v>365</v>
      </c>
      <c r="E92" s="20" t="s">
        <v>366</v>
      </c>
      <c r="F92" s="19" t="s">
        <v>90</v>
      </c>
      <c r="G92" s="19" t="s">
        <v>91</v>
      </c>
      <c r="H92" s="19"/>
      <c r="I92" s="21" t="s">
        <v>29</v>
      </c>
      <c r="J92" s="21" t="s">
        <v>29</v>
      </c>
      <c r="K92" s="22" t="s">
        <v>367</v>
      </c>
      <c r="L92" s="23">
        <v>45237</v>
      </c>
      <c r="P92" s="27"/>
      <c r="Q92" s="25"/>
      <c r="R92" s="25"/>
      <c r="S92" s="27"/>
    </row>
    <row r="93" spans="1:19" ht="15.75" customHeight="1">
      <c r="A93" s="17"/>
      <c r="B93" s="18" t="s">
        <v>368</v>
      </c>
      <c r="C93" s="19" t="s">
        <v>24</v>
      </c>
      <c r="D93" s="20" t="s">
        <v>369</v>
      </c>
      <c r="E93" s="20" t="s">
        <v>370</v>
      </c>
      <c r="F93" s="19" t="s">
        <v>27</v>
      </c>
      <c r="G93" s="19" t="s">
        <v>28</v>
      </c>
      <c r="H93" s="19"/>
      <c r="I93" s="21" t="s">
        <v>29</v>
      </c>
      <c r="J93" s="21" t="s">
        <v>29</v>
      </c>
      <c r="K93" s="22" t="s">
        <v>371</v>
      </c>
      <c r="L93" s="23">
        <v>45237</v>
      </c>
      <c r="P93" s="27"/>
      <c r="Q93" s="25"/>
      <c r="R93" s="25"/>
      <c r="S93" s="27"/>
    </row>
    <row r="94" spans="1:19" ht="15.75" customHeight="1">
      <c r="A94" s="17"/>
      <c r="B94" s="18" t="s">
        <v>372</v>
      </c>
      <c r="C94" s="19" t="s">
        <v>24</v>
      </c>
      <c r="D94" s="20" t="s">
        <v>373</v>
      </c>
      <c r="E94" s="20" t="s">
        <v>374</v>
      </c>
      <c r="F94" s="19" t="s">
        <v>27</v>
      </c>
      <c r="G94" s="19" t="s">
        <v>28</v>
      </c>
      <c r="H94" s="19"/>
      <c r="I94" s="21" t="s">
        <v>29</v>
      </c>
      <c r="J94" s="21" t="s">
        <v>29</v>
      </c>
      <c r="K94" s="22" t="s">
        <v>375</v>
      </c>
      <c r="L94" s="23">
        <v>45237</v>
      </c>
      <c r="P94" s="27"/>
      <c r="Q94" s="25"/>
      <c r="R94" s="25"/>
      <c r="S94" s="27"/>
    </row>
    <row r="95" spans="1:19" ht="15.75" customHeight="1">
      <c r="A95" s="17"/>
      <c r="B95" s="18" t="s">
        <v>376</v>
      </c>
      <c r="C95" s="19" t="s">
        <v>24</v>
      </c>
      <c r="D95" s="20" t="s">
        <v>377</v>
      </c>
      <c r="E95" s="20" t="s">
        <v>378</v>
      </c>
      <c r="F95" s="19" t="s">
        <v>27</v>
      </c>
      <c r="G95" s="19" t="s">
        <v>28</v>
      </c>
      <c r="H95" s="19" t="s">
        <v>36</v>
      </c>
      <c r="I95" s="21" t="s">
        <v>29</v>
      </c>
      <c r="J95" s="21" t="s">
        <v>29</v>
      </c>
      <c r="K95" s="22" t="s">
        <v>379</v>
      </c>
      <c r="L95" s="23">
        <v>45237</v>
      </c>
      <c r="P95" s="27"/>
      <c r="Q95" s="25"/>
      <c r="R95" s="25"/>
      <c r="S95" s="27"/>
    </row>
    <row r="96" spans="1:19" ht="15.75" customHeight="1">
      <c r="A96" s="17"/>
      <c r="B96" s="18" t="s">
        <v>380</v>
      </c>
      <c r="C96" s="19" t="s">
        <v>24</v>
      </c>
      <c r="D96" s="20" t="s">
        <v>381</v>
      </c>
      <c r="E96" s="20" t="s">
        <v>382</v>
      </c>
      <c r="F96" s="19" t="s">
        <v>27</v>
      </c>
      <c r="G96" s="19" t="s">
        <v>28</v>
      </c>
      <c r="H96" s="19"/>
      <c r="I96" s="21" t="s">
        <v>29</v>
      </c>
      <c r="J96" s="21" t="s">
        <v>29</v>
      </c>
      <c r="K96" s="22" t="s">
        <v>383</v>
      </c>
      <c r="L96" s="23">
        <v>45237</v>
      </c>
      <c r="P96" s="27"/>
      <c r="Q96" s="25"/>
      <c r="R96" s="25"/>
      <c r="S96" s="27"/>
    </row>
    <row r="97" spans="1:19" ht="15.75" customHeight="1">
      <c r="A97" s="17"/>
      <c r="B97" s="18" t="s">
        <v>384</v>
      </c>
      <c r="C97" s="19" t="s">
        <v>24</v>
      </c>
      <c r="D97" s="20" t="s">
        <v>385</v>
      </c>
      <c r="E97" s="20" t="s">
        <v>55</v>
      </c>
      <c r="F97" s="19" t="s">
        <v>27</v>
      </c>
      <c r="G97" s="19" t="s">
        <v>28</v>
      </c>
      <c r="H97" s="19"/>
      <c r="I97" s="21" t="s">
        <v>29</v>
      </c>
      <c r="J97" s="21" t="s">
        <v>29</v>
      </c>
      <c r="K97" s="22" t="s">
        <v>55</v>
      </c>
      <c r="L97" s="23">
        <v>45237</v>
      </c>
      <c r="P97" s="27"/>
      <c r="Q97" s="25"/>
      <c r="R97" s="25"/>
      <c r="S97" s="27"/>
    </row>
    <row r="98" spans="1:19" ht="15.75" customHeight="1">
      <c r="A98" s="17"/>
      <c r="B98" s="18" t="s">
        <v>386</v>
      </c>
      <c r="C98" s="19" t="s">
        <v>24</v>
      </c>
      <c r="D98" s="20" t="s">
        <v>387</v>
      </c>
      <c r="E98" s="20" t="s">
        <v>388</v>
      </c>
      <c r="F98" s="19" t="s">
        <v>27</v>
      </c>
      <c r="G98" s="19" t="s">
        <v>28</v>
      </c>
      <c r="H98" s="19"/>
      <c r="I98" s="21" t="s">
        <v>29</v>
      </c>
      <c r="J98" s="21" t="s">
        <v>29</v>
      </c>
      <c r="K98" s="22" t="s">
        <v>388</v>
      </c>
      <c r="L98" s="23">
        <v>45237</v>
      </c>
      <c r="P98" s="27"/>
      <c r="Q98" s="25"/>
      <c r="R98" s="25"/>
      <c r="S98" s="27"/>
    </row>
    <row r="99" spans="1:19" ht="15.75" customHeight="1">
      <c r="A99" s="17"/>
      <c r="B99" s="18" t="s">
        <v>389</v>
      </c>
      <c r="C99" s="19" t="s">
        <v>24</v>
      </c>
      <c r="D99" s="20" t="s">
        <v>390</v>
      </c>
      <c r="E99" s="20" t="s">
        <v>391</v>
      </c>
      <c r="F99" s="19" t="s">
        <v>27</v>
      </c>
      <c r="G99" s="19" t="s">
        <v>28</v>
      </c>
      <c r="H99" s="19"/>
      <c r="I99" s="21" t="s">
        <v>29</v>
      </c>
      <c r="J99" s="21" t="s">
        <v>29</v>
      </c>
      <c r="K99" s="22" t="s">
        <v>392</v>
      </c>
      <c r="L99" s="23">
        <v>45237</v>
      </c>
      <c r="P99" s="27"/>
      <c r="Q99" s="25"/>
      <c r="R99" s="25"/>
      <c r="S99" s="27"/>
    </row>
    <row r="100" spans="1:19" ht="15.75" customHeight="1">
      <c r="A100" s="17"/>
      <c r="B100" s="18" t="s">
        <v>393</v>
      </c>
      <c r="C100" s="19" t="s">
        <v>24</v>
      </c>
      <c r="D100" s="20" t="s">
        <v>394</v>
      </c>
      <c r="E100" s="20" t="s">
        <v>55</v>
      </c>
      <c r="F100" s="19" t="s">
        <v>27</v>
      </c>
      <c r="G100" s="19" t="s">
        <v>28</v>
      </c>
      <c r="H100" s="19"/>
      <c r="I100" s="21" t="s">
        <v>29</v>
      </c>
      <c r="J100" s="21" t="s">
        <v>29</v>
      </c>
      <c r="K100" s="22" t="s">
        <v>55</v>
      </c>
      <c r="L100" s="23">
        <v>45237</v>
      </c>
      <c r="P100" s="27"/>
      <c r="Q100" s="25"/>
      <c r="R100" s="25"/>
      <c r="S100" s="27"/>
    </row>
    <row r="101" spans="1:19" ht="15.75" customHeight="1">
      <c r="A101" s="17"/>
      <c r="B101" s="18" t="s">
        <v>395</v>
      </c>
      <c r="C101" s="19" t="s">
        <v>24</v>
      </c>
      <c r="D101" s="20" t="s">
        <v>396</v>
      </c>
      <c r="E101" s="20" t="s">
        <v>55</v>
      </c>
      <c r="F101" s="19" t="s">
        <v>27</v>
      </c>
      <c r="G101" s="19" t="s">
        <v>28</v>
      </c>
      <c r="H101" s="19"/>
      <c r="I101" s="21" t="s">
        <v>29</v>
      </c>
      <c r="J101" s="21" t="s">
        <v>29</v>
      </c>
      <c r="K101" s="22" t="s">
        <v>55</v>
      </c>
      <c r="L101" s="23">
        <v>45237</v>
      </c>
      <c r="P101" s="27"/>
      <c r="Q101" s="25"/>
      <c r="R101" s="25"/>
      <c r="S101" s="27"/>
    </row>
    <row r="102" spans="1:19" ht="15.75" customHeight="1">
      <c r="A102" s="17"/>
      <c r="B102" s="36" t="s">
        <v>397</v>
      </c>
      <c r="C102" s="19" t="s">
        <v>121</v>
      </c>
      <c r="D102" s="20" t="s">
        <v>398</v>
      </c>
      <c r="E102" s="20" t="s">
        <v>399</v>
      </c>
      <c r="F102" s="19" t="s">
        <v>27</v>
      </c>
      <c r="G102" s="19" t="s">
        <v>359</v>
      </c>
      <c r="H102" s="19"/>
      <c r="I102" s="21" t="s">
        <v>29</v>
      </c>
      <c r="J102" s="19" t="s">
        <v>359</v>
      </c>
      <c r="K102" s="22" t="s">
        <v>400</v>
      </c>
      <c r="L102" s="23">
        <v>45237</v>
      </c>
      <c r="P102" s="27"/>
      <c r="Q102" s="25"/>
      <c r="R102" s="25"/>
      <c r="S102" s="27"/>
    </row>
    <row r="103" spans="1:19" ht="15.75" customHeight="1">
      <c r="A103" s="17"/>
      <c r="B103" s="18" t="s">
        <v>401</v>
      </c>
      <c r="C103" s="19" t="s">
        <v>24</v>
      </c>
      <c r="D103" s="20" t="s">
        <v>402</v>
      </c>
      <c r="E103" s="20" t="s">
        <v>403</v>
      </c>
      <c r="F103" s="19" t="s">
        <v>27</v>
      </c>
      <c r="G103" s="19" t="s">
        <v>28</v>
      </c>
      <c r="H103" s="19"/>
      <c r="I103" s="21" t="s">
        <v>29</v>
      </c>
      <c r="J103" s="21" t="s">
        <v>29</v>
      </c>
      <c r="K103" s="22" t="s">
        <v>404</v>
      </c>
      <c r="L103" s="23">
        <v>45237</v>
      </c>
      <c r="P103" s="27"/>
      <c r="Q103" s="25"/>
      <c r="R103" s="25"/>
      <c r="S103" s="27"/>
    </row>
    <row r="104" spans="1:19" ht="15.75" customHeight="1">
      <c r="A104" s="17"/>
      <c r="B104" s="29" t="s">
        <v>405</v>
      </c>
      <c r="C104" s="19" t="s">
        <v>24</v>
      </c>
      <c r="D104" s="20" t="s">
        <v>406</v>
      </c>
      <c r="E104" s="20" t="s">
        <v>407</v>
      </c>
      <c r="F104" s="19" t="s">
        <v>27</v>
      </c>
      <c r="G104" s="19" t="s">
        <v>28</v>
      </c>
      <c r="H104" s="19" t="s">
        <v>36</v>
      </c>
      <c r="I104" s="21" t="s">
        <v>29</v>
      </c>
      <c r="J104" s="21" t="s">
        <v>29</v>
      </c>
      <c r="K104" s="22" t="s">
        <v>408</v>
      </c>
      <c r="L104" s="23">
        <v>45237</v>
      </c>
      <c r="P104" s="27"/>
      <c r="Q104" s="25"/>
      <c r="R104" s="25"/>
      <c r="S104" s="27"/>
    </row>
    <row r="105" spans="1:19" ht="15.75" customHeight="1">
      <c r="A105" s="17"/>
      <c r="B105" s="18" t="s">
        <v>409</v>
      </c>
      <c r="C105" s="19" t="s">
        <v>24</v>
      </c>
      <c r="D105" s="20" t="s">
        <v>410</v>
      </c>
      <c r="E105" s="20" t="s">
        <v>55</v>
      </c>
      <c r="F105" s="19" t="s">
        <v>27</v>
      </c>
      <c r="G105" s="19" t="s">
        <v>28</v>
      </c>
      <c r="H105" s="19"/>
      <c r="I105" s="21" t="s">
        <v>29</v>
      </c>
      <c r="J105" s="21" t="s">
        <v>29</v>
      </c>
      <c r="K105" s="22" t="s">
        <v>55</v>
      </c>
      <c r="L105" s="23">
        <v>45237</v>
      </c>
      <c r="P105" s="27"/>
      <c r="Q105" s="25"/>
      <c r="R105" s="25"/>
      <c r="S105" s="27"/>
    </row>
    <row r="106" spans="1:19" ht="15.75" customHeight="1">
      <c r="A106" s="17"/>
      <c r="B106" s="18" t="s">
        <v>411</v>
      </c>
      <c r="C106" s="19" t="s">
        <v>412</v>
      </c>
      <c r="D106" s="20" t="s">
        <v>413</v>
      </c>
      <c r="E106" s="20" t="s">
        <v>55</v>
      </c>
      <c r="F106" s="19" t="s">
        <v>414</v>
      </c>
      <c r="G106" s="19" t="s">
        <v>415</v>
      </c>
      <c r="H106" s="19"/>
      <c r="I106" s="21" t="s">
        <v>233</v>
      </c>
      <c r="J106" s="21" t="s">
        <v>233</v>
      </c>
      <c r="K106" s="22" t="s">
        <v>55</v>
      </c>
      <c r="L106" s="23">
        <v>45237</v>
      </c>
      <c r="P106" s="27"/>
      <c r="Q106" s="25"/>
      <c r="R106" s="25"/>
      <c r="S106" s="27"/>
    </row>
    <row r="107" spans="1:19" ht="15.75" customHeight="1">
      <c r="A107" s="17"/>
      <c r="B107" s="18" t="s">
        <v>416</v>
      </c>
      <c r="C107" s="37" t="s">
        <v>412</v>
      </c>
      <c r="D107" s="20" t="s">
        <v>417</v>
      </c>
      <c r="E107" s="20" t="s">
        <v>55</v>
      </c>
      <c r="F107" s="19" t="s">
        <v>414</v>
      </c>
      <c r="G107" s="37" t="s">
        <v>415</v>
      </c>
      <c r="H107" s="37"/>
      <c r="I107" s="21" t="s">
        <v>233</v>
      </c>
      <c r="J107" s="21" t="s">
        <v>233</v>
      </c>
      <c r="K107" s="22" t="s">
        <v>55</v>
      </c>
      <c r="L107" s="23">
        <v>45237</v>
      </c>
      <c r="P107" s="27"/>
      <c r="Q107" s="25"/>
      <c r="R107" s="25"/>
      <c r="S107" s="27"/>
    </row>
    <row r="108" spans="1:19" ht="15.75" customHeight="1">
      <c r="A108" s="17"/>
      <c r="B108" s="18" t="s">
        <v>418</v>
      </c>
      <c r="C108" s="37" t="s">
        <v>412</v>
      </c>
      <c r="D108" s="20" t="s">
        <v>419</v>
      </c>
      <c r="E108" s="20" t="s">
        <v>55</v>
      </c>
      <c r="F108" s="19" t="s">
        <v>414</v>
      </c>
      <c r="G108" s="19" t="s">
        <v>415</v>
      </c>
      <c r="H108" s="37"/>
      <c r="I108" s="21" t="s">
        <v>233</v>
      </c>
      <c r="J108" s="21" t="s">
        <v>233</v>
      </c>
      <c r="K108" s="22" t="s">
        <v>55</v>
      </c>
      <c r="L108" s="23">
        <v>45237</v>
      </c>
      <c r="P108" s="27"/>
      <c r="Q108" s="25"/>
      <c r="R108" s="25"/>
      <c r="S108" s="27"/>
    </row>
    <row r="109" spans="1:19" ht="15.75" customHeight="1">
      <c r="A109" s="17"/>
      <c r="B109" s="18" t="s">
        <v>420</v>
      </c>
      <c r="C109" s="37" t="s">
        <v>412</v>
      </c>
      <c r="D109" s="20" t="s">
        <v>421</v>
      </c>
      <c r="E109" s="20" t="s">
        <v>55</v>
      </c>
      <c r="F109" s="19" t="s">
        <v>414</v>
      </c>
      <c r="G109" s="37" t="s">
        <v>415</v>
      </c>
      <c r="H109" s="37"/>
      <c r="I109" s="21" t="s">
        <v>233</v>
      </c>
      <c r="J109" s="21" t="s">
        <v>233</v>
      </c>
      <c r="K109" s="22" t="s">
        <v>55</v>
      </c>
      <c r="L109" s="23">
        <v>45237</v>
      </c>
      <c r="P109" s="27"/>
      <c r="Q109" s="25"/>
      <c r="R109" s="25"/>
      <c r="S109" s="27"/>
    </row>
    <row r="110" spans="1:19" ht="15.75" customHeight="1">
      <c r="A110" s="17"/>
      <c r="B110" s="18" t="s">
        <v>422</v>
      </c>
      <c r="C110" s="37" t="s">
        <v>412</v>
      </c>
      <c r="D110" s="20" t="s">
        <v>423</v>
      </c>
      <c r="E110" s="20" t="s">
        <v>55</v>
      </c>
      <c r="F110" s="19" t="s">
        <v>414</v>
      </c>
      <c r="G110" s="19" t="s">
        <v>415</v>
      </c>
      <c r="H110" s="37"/>
      <c r="I110" s="21" t="s">
        <v>233</v>
      </c>
      <c r="J110" s="21" t="s">
        <v>233</v>
      </c>
      <c r="K110" s="22" t="s">
        <v>55</v>
      </c>
      <c r="L110" s="23">
        <v>45237</v>
      </c>
      <c r="P110" s="27"/>
      <c r="Q110" s="25"/>
      <c r="R110" s="25"/>
      <c r="S110" s="27"/>
    </row>
    <row r="111" spans="1:19" ht="15.75" customHeight="1">
      <c r="A111" s="17"/>
      <c r="B111" s="18" t="s">
        <v>424</v>
      </c>
      <c r="C111" s="37" t="s">
        <v>412</v>
      </c>
      <c r="D111" s="20" t="s">
        <v>425</v>
      </c>
      <c r="E111" s="20" t="s">
        <v>55</v>
      </c>
      <c r="F111" s="19" t="s">
        <v>414</v>
      </c>
      <c r="G111" s="37" t="s">
        <v>415</v>
      </c>
      <c r="H111" s="37"/>
      <c r="I111" s="21" t="s">
        <v>233</v>
      </c>
      <c r="J111" s="21" t="s">
        <v>233</v>
      </c>
      <c r="K111" s="22" t="s">
        <v>55</v>
      </c>
      <c r="L111" s="23">
        <v>45237</v>
      </c>
      <c r="P111" s="27"/>
      <c r="Q111" s="25"/>
      <c r="R111" s="25"/>
      <c r="S111" s="27"/>
    </row>
    <row r="112" spans="1:19" ht="15.75" customHeight="1">
      <c r="A112" s="17"/>
      <c r="B112" s="18" t="s">
        <v>426</v>
      </c>
      <c r="C112" s="37" t="s">
        <v>412</v>
      </c>
      <c r="D112" s="20" t="s">
        <v>427</v>
      </c>
      <c r="E112" s="20" t="s">
        <v>55</v>
      </c>
      <c r="F112" s="19" t="s">
        <v>414</v>
      </c>
      <c r="G112" s="19" t="s">
        <v>415</v>
      </c>
      <c r="H112" s="37"/>
      <c r="I112" s="21" t="s">
        <v>233</v>
      </c>
      <c r="J112" s="21" t="s">
        <v>233</v>
      </c>
      <c r="K112" s="22" t="s">
        <v>55</v>
      </c>
      <c r="L112" s="23">
        <v>45237</v>
      </c>
      <c r="P112" s="27"/>
      <c r="Q112" s="25"/>
      <c r="R112" s="25"/>
      <c r="S112" s="27"/>
    </row>
    <row r="113" spans="1:19" ht="15.75" customHeight="1">
      <c r="A113" s="17"/>
      <c r="B113" s="18" t="s">
        <v>428</v>
      </c>
      <c r="C113" s="19" t="s">
        <v>412</v>
      </c>
      <c r="D113" s="20" t="s">
        <v>429</v>
      </c>
      <c r="E113" s="20" t="s">
        <v>55</v>
      </c>
      <c r="F113" s="19" t="s">
        <v>414</v>
      </c>
      <c r="G113" s="37" t="s">
        <v>415</v>
      </c>
      <c r="H113" s="19"/>
      <c r="I113" s="21" t="s">
        <v>233</v>
      </c>
      <c r="J113" s="21" t="s">
        <v>233</v>
      </c>
      <c r="K113" s="22" t="s">
        <v>55</v>
      </c>
      <c r="L113" s="23">
        <v>45237</v>
      </c>
      <c r="P113" s="27"/>
      <c r="Q113" s="25"/>
      <c r="R113" s="25"/>
      <c r="S113" s="27"/>
    </row>
    <row r="114" spans="1:19" ht="15.75" customHeight="1">
      <c r="A114" s="17"/>
      <c r="B114" s="18" t="s">
        <v>430</v>
      </c>
      <c r="C114" s="19" t="s">
        <v>412</v>
      </c>
      <c r="D114" s="20" t="s">
        <v>431</v>
      </c>
      <c r="E114" s="20" t="s">
        <v>55</v>
      </c>
      <c r="F114" s="19" t="s">
        <v>414</v>
      </c>
      <c r="G114" s="19" t="s">
        <v>415</v>
      </c>
      <c r="H114" s="19"/>
      <c r="I114" s="21" t="s">
        <v>233</v>
      </c>
      <c r="J114" s="21" t="s">
        <v>233</v>
      </c>
      <c r="K114" s="22" t="s">
        <v>55</v>
      </c>
      <c r="L114" s="23">
        <v>45237</v>
      </c>
      <c r="P114" s="27"/>
      <c r="Q114" s="25"/>
      <c r="R114" s="25"/>
      <c r="S114" s="27"/>
    </row>
    <row r="115" spans="1:19" ht="15.75" customHeight="1">
      <c r="A115" s="17"/>
      <c r="B115" s="18" t="s">
        <v>432</v>
      </c>
      <c r="C115" s="19" t="s">
        <v>412</v>
      </c>
      <c r="D115" s="20" t="s">
        <v>433</v>
      </c>
      <c r="E115" s="20" t="s">
        <v>55</v>
      </c>
      <c r="F115" s="19" t="s">
        <v>414</v>
      </c>
      <c r="G115" s="37" t="s">
        <v>415</v>
      </c>
      <c r="H115" s="19"/>
      <c r="I115" s="21" t="s">
        <v>233</v>
      </c>
      <c r="J115" s="21" t="s">
        <v>233</v>
      </c>
      <c r="K115" s="22" t="s">
        <v>55</v>
      </c>
      <c r="L115" s="23">
        <v>45237</v>
      </c>
      <c r="P115" s="27"/>
      <c r="Q115" s="25"/>
      <c r="R115" s="25"/>
      <c r="S115" s="27"/>
    </row>
    <row r="116" spans="1:19" ht="15.75" customHeight="1">
      <c r="A116" s="17"/>
      <c r="B116" s="18" t="s">
        <v>434</v>
      </c>
      <c r="C116" s="37" t="s">
        <v>412</v>
      </c>
      <c r="D116" s="20" t="s">
        <v>435</v>
      </c>
      <c r="E116" s="20" t="s">
        <v>55</v>
      </c>
      <c r="F116" s="19" t="s">
        <v>414</v>
      </c>
      <c r="G116" s="19" t="s">
        <v>415</v>
      </c>
      <c r="H116" s="37"/>
      <c r="I116" s="21" t="s">
        <v>233</v>
      </c>
      <c r="J116" s="21" t="s">
        <v>233</v>
      </c>
      <c r="K116" s="22" t="s">
        <v>55</v>
      </c>
      <c r="L116" s="23">
        <v>45237</v>
      </c>
      <c r="P116" s="27"/>
      <c r="Q116" s="25"/>
      <c r="R116" s="25"/>
      <c r="S116" s="27"/>
    </row>
    <row r="117" spans="1:19" ht="15.75" customHeight="1">
      <c r="A117" s="17"/>
      <c r="B117" s="18" t="s">
        <v>436</v>
      </c>
      <c r="C117" s="37" t="s">
        <v>412</v>
      </c>
      <c r="D117" s="20" t="s">
        <v>437</v>
      </c>
      <c r="E117" s="20" t="s">
        <v>55</v>
      </c>
      <c r="F117" s="19" t="s">
        <v>414</v>
      </c>
      <c r="G117" s="37" t="s">
        <v>415</v>
      </c>
      <c r="H117" s="37"/>
      <c r="I117" s="21" t="s">
        <v>233</v>
      </c>
      <c r="J117" s="21" t="s">
        <v>233</v>
      </c>
      <c r="K117" s="22" t="s">
        <v>55</v>
      </c>
      <c r="L117" s="23">
        <v>45237</v>
      </c>
      <c r="P117" s="27"/>
      <c r="Q117" s="25"/>
      <c r="R117" s="25"/>
      <c r="S117" s="27"/>
    </row>
    <row r="118" spans="1:19" ht="15.75" customHeight="1">
      <c r="A118" s="17"/>
      <c r="B118" s="18" t="s">
        <v>438</v>
      </c>
      <c r="C118" s="37" t="s">
        <v>412</v>
      </c>
      <c r="D118" s="20" t="s">
        <v>439</v>
      </c>
      <c r="E118" s="20" t="s">
        <v>55</v>
      </c>
      <c r="F118" s="19" t="s">
        <v>414</v>
      </c>
      <c r="G118" s="19" t="s">
        <v>415</v>
      </c>
      <c r="H118" s="37"/>
      <c r="I118" s="21" t="s">
        <v>233</v>
      </c>
      <c r="J118" s="21" t="s">
        <v>233</v>
      </c>
      <c r="K118" s="22" t="s">
        <v>55</v>
      </c>
      <c r="L118" s="23">
        <v>45237</v>
      </c>
      <c r="P118" s="27"/>
      <c r="Q118" s="25"/>
      <c r="R118" s="25"/>
      <c r="S118" s="27"/>
    </row>
    <row r="119" spans="1:19" ht="15.75" customHeight="1">
      <c r="A119" s="17"/>
      <c r="B119" s="18" t="s">
        <v>440</v>
      </c>
      <c r="C119" s="19" t="s">
        <v>412</v>
      </c>
      <c r="D119" s="20" t="s">
        <v>441</v>
      </c>
      <c r="E119" s="20" t="s">
        <v>55</v>
      </c>
      <c r="F119" s="19" t="s">
        <v>414</v>
      </c>
      <c r="G119" s="37" t="s">
        <v>415</v>
      </c>
      <c r="H119" s="19"/>
      <c r="I119" s="21" t="s">
        <v>233</v>
      </c>
      <c r="J119" s="21" t="s">
        <v>233</v>
      </c>
      <c r="K119" s="22" t="s">
        <v>55</v>
      </c>
      <c r="L119" s="23">
        <v>45237</v>
      </c>
      <c r="P119" s="27"/>
      <c r="Q119" s="25"/>
      <c r="R119" s="25"/>
      <c r="S119" s="27"/>
    </row>
    <row r="120" spans="1:19" ht="15.75" customHeight="1">
      <c r="A120" s="17"/>
      <c r="B120" s="18" t="s">
        <v>442</v>
      </c>
      <c r="C120" s="37" t="s">
        <v>412</v>
      </c>
      <c r="D120" s="20" t="s">
        <v>443</v>
      </c>
      <c r="E120" s="20" t="s">
        <v>55</v>
      </c>
      <c r="F120" s="19" t="s">
        <v>414</v>
      </c>
      <c r="G120" s="19" t="s">
        <v>415</v>
      </c>
      <c r="H120" s="37"/>
      <c r="I120" s="21" t="s">
        <v>233</v>
      </c>
      <c r="J120" s="21" t="s">
        <v>233</v>
      </c>
      <c r="K120" s="22" t="s">
        <v>55</v>
      </c>
      <c r="L120" s="23">
        <v>45237</v>
      </c>
      <c r="P120" s="27"/>
      <c r="Q120" s="25"/>
      <c r="R120" s="25"/>
      <c r="S120" s="27"/>
    </row>
    <row r="121" spans="1:19" ht="15.75" customHeight="1">
      <c r="A121" s="17"/>
      <c r="B121" s="18" t="s">
        <v>444</v>
      </c>
      <c r="C121" s="37" t="s">
        <v>412</v>
      </c>
      <c r="D121" s="20" t="s">
        <v>445</v>
      </c>
      <c r="E121" s="20" t="s">
        <v>55</v>
      </c>
      <c r="F121" s="19" t="s">
        <v>414</v>
      </c>
      <c r="G121" s="37" t="s">
        <v>415</v>
      </c>
      <c r="H121" s="37"/>
      <c r="I121" s="21" t="s">
        <v>233</v>
      </c>
      <c r="J121" s="21" t="s">
        <v>233</v>
      </c>
      <c r="K121" s="22" t="s">
        <v>55</v>
      </c>
      <c r="L121" s="23">
        <v>45237</v>
      </c>
      <c r="P121" s="27"/>
      <c r="Q121" s="25"/>
      <c r="R121" s="25"/>
      <c r="S121" s="27"/>
    </row>
    <row r="122" spans="1:19" ht="15.75" customHeight="1">
      <c r="A122" s="17"/>
      <c r="B122" s="18" t="s">
        <v>446</v>
      </c>
      <c r="C122" s="19" t="s">
        <v>412</v>
      </c>
      <c r="D122" s="20" t="s">
        <v>447</v>
      </c>
      <c r="E122" s="20" t="s">
        <v>55</v>
      </c>
      <c r="F122" s="19" t="s">
        <v>414</v>
      </c>
      <c r="G122" s="19" t="s">
        <v>415</v>
      </c>
      <c r="H122" s="19"/>
      <c r="I122" s="21" t="s">
        <v>233</v>
      </c>
      <c r="J122" s="21" t="s">
        <v>233</v>
      </c>
      <c r="K122" s="22" t="s">
        <v>55</v>
      </c>
      <c r="L122" s="23">
        <v>45237</v>
      </c>
      <c r="P122" s="27"/>
      <c r="Q122" s="25"/>
      <c r="R122" s="25"/>
      <c r="S122" s="27"/>
    </row>
    <row r="123" spans="1:19" ht="15.75" customHeight="1">
      <c r="A123" s="17"/>
      <c r="B123" s="18" t="s">
        <v>448</v>
      </c>
      <c r="C123" s="37" t="s">
        <v>412</v>
      </c>
      <c r="D123" s="20" t="s">
        <v>449</v>
      </c>
      <c r="E123" s="20" t="s">
        <v>55</v>
      </c>
      <c r="F123" s="19" t="s">
        <v>414</v>
      </c>
      <c r="G123" s="37" t="s">
        <v>415</v>
      </c>
      <c r="H123" s="37"/>
      <c r="I123" s="21" t="s">
        <v>233</v>
      </c>
      <c r="J123" s="21" t="s">
        <v>233</v>
      </c>
      <c r="K123" s="22" t="s">
        <v>55</v>
      </c>
      <c r="L123" s="23">
        <v>45237</v>
      </c>
      <c r="P123" s="27"/>
      <c r="Q123" s="25"/>
      <c r="R123" s="25"/>
      <c r="S123" s="27"/>
    </row>
    <row r="124" spans="1:19" ht="15.75" customHeight="1">
      <c r="A124" s="17"/>
      <c r="B124" s="36" t="s">
        <v>450</v>
      </c>
      <c r="C124" s="37" t="s">
        <v>121</v>
      </c>
      <c r="D124" s="20" t="s">
        <v>451</v>
      </c>
      <c r="E124" s="20" t="s">
        <v>55</v>
      </c>
      <c r="F124" s="19" t="s">
        <v>414</v>
      </c>
      <c r="G124" s="37" t="s">
        <v>452</v>
      </c>
      <c r="H124" s="37"/>
      <c r="I124" s="21" t="s">
        <v>233</v>
      </c>
      <c r="J124" s="21" t="s">
        <v>452</v>
      </c>
      <c r="K124" s="22" t="s">
        <v>55</v>
      </c>
      <c r="L124" s="23">
        <v>45237</v>
      </c>
      <c r="P124" s="27"/>
      <c r="Q124" s="25"/>
      <c r="R124" s="25"/>
      <c r="S124" s="27"/>
    </row>
    <row r="125" spans="1:19" ht="15.75" customHeight="1">
      <c r="A125" s="17"/>
      <c r="B125" s="36" t="s">
        <v>453</v>
      </c>
      <c r="C125" s="37" t="s">
        <v>121</v>
      </c>
      <c r="D125" s="20" t="s">
        <v>454</v>
      </c>
      <c r="E125" s="20" t="s">
        <v>55</v>
      </c>
      <c r="F125" s="19" t="s">
        <v>414</v>
      </c>
      <c r="G125" s="37" t="s">
        <v>452</v>
      </c>
      <c r="H125" s="37"/>
      <c r="I125" s="21" t="s">
        <v>233</v>
      </c>
      <c r="J125" s="21" t="s">
        <v>452</v>
      </c>
      <c r="K125" s="22" t="s">
        <v>55</v>
      </c>
      <c r="L125" s="23">
        <v>45237</v>
      </c>
      <c r="P125" s="27"/>
      <c r="Q125" s="25"/>
      <c r="R125" s="25"/>
      <c r="S125" s="27"/>
    </row>
    <row r="126" spans="1:19" ht="15.75" customHeight="1">
      <c r="A126" s="17"/>
      <c r="B126" s="18" t="s">
        <v>455</v>
      </c>
      <c r="C126" s="37" t="s">
        <v>412</v>
      </c>
      <c r="D126" s="20" t="s">
        <v>456</v>
      </c>
      <c r="E126" s="20" t="s">
        <v>55</v>
      </c>
      <c r="F126" s="19" t="s">
        <v>414</v>
      </c>
      <c r="G126" s="19" t="s">
        <v>415</v>
      </c>
      <c r="H126" s="37"/>
      <c r="I126" s="21" t="s">
        <v>233</v>
      </c>
      <c r="J126" s="21" t="s">
        <v>233</v>
      </c>
      <c r="K126" s="22" t="s">
        <v>55</v>
      </c>
      <c r="L126" s="23">
        <v>45237</v>
      </c>
      <c r="P126" s="27"/>
      <c r="Q126" s="25"/>
      <c r="R126" s="25"/>
      <c r="S126" s="27"/>
    </row>
    <row r="127" spans="1:19" ht="15.75" customHeight="1">
      <c r="A127" s="17"/>
      <c r="B127" s="18" t="s">
        <v>457</v>
      </c>
      <c r="C127" s="37" t="s">
        <v>412</v>
      </c>
      <c r="D127" s="20" t="s">
        <v>458</v>
      </c>
      <c r="E127" s="20" t="s">
        <v>55</v>
      </c>
      <c r="F127" s="19" t="s">
        <v>414</v>
      </c>
      <c r="G127" s="37" t="s">
        <v>415</v>
      </c>
      <c r="H127" s="37"/>
      <c r="I127" s="21" t="s">
        <v>233</v>
      </c>
      <c r="J127" s="21" t="s">
        <v>233</v>
      </c>
      <c r="K127" s="22" t="s">
        <v>55</v>
      </c>
      <c r="L127" s="23">
        <v>45237</v>
      </c>
      <c r="P127" s="27"/>
      <c r="Q127" s="25"/>
      <c r="R127" s="25"/>
      <c r="S127" s="27"/>
    </row>
    <row r="128" spans="1:19" ht="15.75" customHeight="1">
      <c r="A128" s="17"/>
      <c r="B128" s="18" t="s">
        <v>459</v>
      </c>
      <c r="C128" s="37" t="s">
        <v>412</v>
      </c>
      <c r="D128" s="20" t="s">
        <v>460</v>
      </c>
      <c r="E128" s="20" t="s">
        <v>55</v>
      </c>
      <c r="F128" s="19" t="s">
        <v>414</v>
      </c>
      <c r="G128" s="19" t="s">
        <v>415</v>
      </c>
      <c r="H128" s="37"/>
      <c r="I128" s="21" t="s">
        <v>233</v>
      </c>
      <c r="J128" s="21" t="s">
        <v>233</v>
      </c>
      <c r="K128" s="22" t="s">
        <v>55</v>
      </c>
      <c r="L128" s="23">
        <v>45237</v>
      </c>
      <c r="P128" s="27"/>
      <c r="Q128" s="25"/>
      <c r="R128" s="25"/>
      <c r="S128" s="27"/>
    </row>
    <row r="129" spans="1:34" ht="15.75" customHeight="1">
      <c r="A129" s="17"/>
      <c r="B129" s="18" t="s">
        <v>461</v>
      </c>
      <c r="C129" s="19" t="s">
        <v>412</v>
      </c>
      <c r="D129" s="20" t="s">
        <v>462</v>
      </c>
      <c r="E129" s="20" t="s">
        <v>55</v>
      </c>
      <c r="F129" s="19" t="s">
        <v>414</v>
      </c>
      <c r="G129" s="37" t="s">
        <v>415</v>
      </c>
      <c r="H129" s="19"/>
      <c r="I129" s="21" t="s">
        <v>233</v>
      </c>
      <c r="J129" s="21" t="s">
        <v>233</v>
      </c>
      <c r="K129" s="22" t="s">
        <v>55</v>
      </c>
      <c r="L129" s="23">
        <v>45237</v>
      </c>
      <c r="P129" s="27"/>
      <c r="Q129" s="25"/>
      <c r="R129" s="25"/>
      <c r="S129" s="27"/>
    </row>
    <row r="130" spans="1:34" ht="15.75" customHeight="1">
      <c r="A130" s="17"/>
      <c r="B130" s="18" t="s">
        <v>463</v>
      </c>
      <c r="C130" s="37" t="s">
        <v>412</v>
      </c>
      <c r="D130" s="20" t="s">
        <v>464</v>
      </c>
      <c r="E130" s="20" t="s">
        <v>55</v>
      </c>
      <c r="F130" s="19" t="s">
        <v>414</v>
      </c>
      <c r="G130" s="19" t="s">
        <v>415</v>
      </c>
      <c r="H130" s="37"/>
      <c r="I130" s="21" t="s">
        <v>233</v>
      </c>
      <c r="J130" s="21" t="s">
        <v>233</v>
      </c>
      <c r="K130" s="22" t="s">
        <v>55</v>
      </c>
      <c r="L130" s="23">
        <v>45237</v>
      </c>
      <c r="P130" s="27"/>
      <c r="Q130" s="25"/>
      <c r="R130" s="25"/>
      <c r="S130" s="27"/>
    </row>
    <row r="131" spans="1:34" ht="15.75" customHeight="1">
      <c r="A131" s="17"/>
      <c r="B131" s="18" t="s">
        <v>465</v>
      </c>
      <c r="C131" s="37" t="s">
        <v>412</v>
      </c>
      <c r="D131" s="20" t="s">
        <v>466</v>
      </c>
      <c r="E131" s="20" t="s">
        <v>55</v>
      </c>
      <c r="F131" s="19" t="s">
        <v>414</v>
      </c>
      <c r="G131" s="37" t="s">
        <v>415</v>
      </c>
      <c r="H131" s="37"/>
      <c r="I131" s="21" t="s">
        <v>233</v>
      </c>
      <c r="J131" s="21" t="s">
        <v>233</v>
      </c>
      <c r="K131" s="22" t="s">
        <v>55</v>
      </c>
      <c r="L131" s="23">
        <v>45237</v>
      </c>
      <c r="P131" s="27"/>
      <c r="Q131" s="25"/>
      <c r="R131" s="25"/>
      <c r="S131" s="27"/>
    </row>
    <row r="132" spans="1:34" ht="15.75" customHeight="1">
      <c r="A132" s="17"/>
      <c r="B132" s="18" t="s">
        <v>467</v>
      </c>
      <c r="C132" s="37" t="s">
        <v>412</v>
      </c>
      <c r="D132" s="20" t="s">
        <v>468</v>
      </c>
      <c r="E132" s="20" t="s">
        <v>55</v>
      </c>
      <c r="F132" s="19" t="s">
        <v>414</v>
      </c>
      <c r="G132" s="19" t="s">
        <v>415</v>
      </c>
      <c r="H132" s="37"/>
      <c r="I132" s="21" t="s">
        <v>233</v>
      </c>
      <c r="J132" s="21" t="s">
        <v>233</v>
      </c>
      <c r="K132" s="22" t="s">
        <v>55</v>
      </c>
      <c r="L132" s="23">
        <v>45237</v>
      </c>
      <c r="P132" s="27"/>
      <c r="Q132" s="25"/>
      <c r="R132" s="25"/>
      <c r="S132" s="27"/>
    </row>
    <row r="133" spans="1:34" ht="15.75" customHeight="1">
      <c r="A133" s="17"/>
      <c r="B133" s="18" t="s">
        <v>469</v>
      </c>
      <c r="C133" s="37" t="s">
        <v>412</v>
      </c>
      <c r="D133" s="20" t="s">
        <v>470</v>
      </c>
      <c r="E133" s="20" t="s">
        <v>55</v>
      </c>
      <c r="F133" s="19" t="s">
        <v>414</v>
      </c>
      <c r="G133" s="37" t="s">
        <v>415</v>
      </c>
      <c r="H133" s="37"/>
      <c r="I133" s="21" t="s">
        <v>233</v>
      </c>
      <c r="J133" s="21" t="s">
        <v>233</v>
      </c>
      <c r="K133" s="22" t="s">
        <v>55</v>
      </c>
      <c r="L133" s="23">
        <v>45237</v>
      </c>
      <c r="P133" s="27"/>
      <c r="Q133" s="25"/>
      <c r="R133" s="25"/>
      <c r="S133" s="27"/>
    </row>
    <row r="134" spans="1:34" ht="15.75" customHeight="1">
      <c r="A134" s="17"/>
      <c r="B134" s="18" t="s">
        <v>471</v>
      </c>
      <c r="C134" s="19" t="s">
        <v>412</v>
      </c>
      <c r="D134" s="20" t="s">
        <v>472</v>
      </c>
      <c r="E134" s="20" t="s">
        <v>55</v>
      </c>
      <c r="F134" s="19" t="s">
        <v>414</v>
      </c>
      <c r="G134" s="19" t="s">
        <v>415</v>
      </c>
      <c r="H134" s="19"/>
      <c r="I134" s="21" t="s">
        <v>233</v>
      </c>
      <c r="J134" s="21" t="s">
        <v>233</v>
      </c>
      <c r="K134" s="22" t="s">
        <v>55</v>
      </c>
      <c r="L134" s="23">
        <v>45237</v>
      </c>
      <c r="P134" s="27"/>
      <c r="Q134" s="25"/>
      <c r="R134" s="25"/>
      <c r="S134" s="27"/>
    </row>
    <row r="135" spans="1:34" ht="15.75" customHeight="1">
      <c r="A135" s="17"/>
      <c r="B135" s="18" t="s">
        <v>473</v>
      </c>
      <c r="C135" s="37" t="s">
        <v>412</v>
      </c>
      <c r="D135" s="20" t="s">
        <v>474</v>
      </c>
      <c r="E135" s="20" t="s">
        <v>55</v>
      </c>
      <c r="F135" s="19" t="s">
        <v>414</v>
      </c>
      <c r="G135" s="37" t="s">
        <v>415</v>
      </c>
      <c r="H135" s="37"/>
      <c r="I135" s="21" t="s">
        <v>233</v>
      </c>
      <c r="J135" s="21" t="s">
        <v>233</v>
      </c>
      <c r="K135" s="22" t="s">
        <v>55</v>
      </c>
      <c r="L135" s="23">
        <v>45237</v>
      </c>
      <c r="P135" s="27"/>
      <c r="Q135" s="25"/>
      <c r="R135" s="25"/>
      <c r="S135" s="27"/>
    </row>
    <row r="136" spans="1:34" ht="15.75" customHeight="1">
      <c r="A136" s="17"/>
      <c r="B136" s="18" t="s">
        <v>475</v>
      </c>
      <c r="C136" s="19" t="s">
        <v>412</v>
      </c>
      <c r="D136" s="20" t="s">
        <v>476</v>
      </c>
      <c r="E136" s="20" t="s">
        <v>55</v>
      </c>
      <c r="F136" s="19" t="s">
        <v>414</v>
      </c>
      <c r="G136" s="19" t="s">
        <v>415</v>
      </c>
      <c r="H136" s="19"/>
      <c r="I136" s="21" t="s">
        <v>233</v>
      </c>
      <c r="J136" s="21" t="s">
        <v>233</v>
      </c>
      <c r="K136" s="22" t="s">
        <v>55</v>
      </c>
      <c r="L136" s="23">
        <v>45237</v>
      </c>
      <c r="P136" s="27"/>
      <c r="Q136" s="25"/>
      <c r="R136" s="25"/>
      <c r="S136" s="27"/>
    </row>
    <row r="137" spans="1:34" ht="15.75" customHeight="1">
      <c r="A137" s="17"/>
      <c r="B137" s="18" t="s">
        <v>477</v>
      </c>
      <c r="C137" s="37" t="s">
        <v>412</v>
      </c>
      <c r="D137" s="20" t="s">
        <v>478</v>
      </c>
      <c r="E137" s="20" t="s">
        <v>55</v>
      </c>
      <c r="F137" s="19" t="s">
        <v>414</v>
      </c>
      <c r="G137" s="37" t="s">
        <v>415</v>
      </c>
      <c r="H137" s="37"/>
      <c r="I137" s="21" t="s">
        <v>233</v>
      </c>
      <c r="J137" s="21" t="s">
        <v>233</v>
      </c>
      <c r="K137" s="22" t="s">
        <v>55</v>
      </c>
      <c r="L137" s="23">
        <v>45237</v>
      </c>
      <c r="P137" s="27"/>
      <c r="Q137" s="25"/>
      <c r="R137" s="25"/>
      <c r="S137" s="27"/>
    </row>
    <row r="138" spans="1:34" ht="15.75" customHeight="1">
      <c r="A138" s="17"/>
      <c r="B138" s="18" t="s">
        <v>479</v>
      </c>
      <c r="C138" s="37" t="s">
        <v>412</v>
      </c>
      <c r="D138" s="20" t="s">
        <v>480</v>
      </c>
      <c r="E138" s="20" t="s">
        <v>55</v>
      </c>
      <c r="F138" s="19" t="s">
        <v>414</v>
      </c>
      <c r="G138" s="19" t="s">
        <v>415</v>
      </c>
      <c r="H138" s="37"/>
      <c r="I138" s="21" t="s">
        <v>233</v>
      </c>
      <c r="J138" s="21" t="s">
        <v>233</v>
      </c>
      <c r="K138" s="22" t="s">
        <v>55</v>
      </c>
      <c r="L138" s="23">
        <v>45237</v>
      </c>
      <c r="P138" s="27"/>
      <c r="Q138" s="25"/>
      <c r="R138" s="25"/>
      <c r="S138" s="27"/>
    </row>
    <row r="139" spans="1:34" ht="15.75" customHeight="1">
      <c r="A139" s="17"/>
      <c r="B139" s="38"/>
      <c r="C139" s="37"/>
      <c r="D139" s="20"/>
      <c r="E139" s="20" t="s">
        <v>145</v>
      </c>
      <c r="F139" s="37"/>
      <c r="G139" s="37"/>
      <c r="H139" s="37"/>
      <c r="I139" s="21"/>
      <c r="J139" s="21"/>
      <c r="K139" s="22" t="s">
        <v>145</v>
      </c>
      <c r="L139" s="39"/>
      <c r="Q139" s="25"/>
      <c r="R139" s="25"/>
    </row>
    <row r="140" spans="1:34" ht="15.75" customHeight="1">
      <c r="A140" s="17" t="s">
        <v>481</v>
      </c>
      <c r="B140" s="18" t="s">
        <v>482</v>
      </c>
      <c r="C140" s="19" t="s">
        <v>24</v>
      </c>
      <c r="D140" s="20" t="s">
        <v>483</v>
      </c>
      <c r="E140" s="20" t="s">
        <v>484</v>
      </c>
      <c r="F140" s="19" t="s">
        <v>27</v>
      </c>
      <c r="G140" s="19" t="s">
        <v>28</v>
      </c>
      <c r="H140" s="19"/>
      <c r="I140" s="21" t="s">
        <v>29</v>
      </c>
      <c r="J140" s="21" t="s">
        <v>29</v>
      </c>
      <c r="K140" s="22" t="s">
        <v>485</v>
      </c>
      <c r="L140" s="23">
        <v>45242</v>
      </c>
      <c r="N140" s="40"/>
      <c r="Q140" s="25"/>
      <c r="R140" s="25"/>
    </row>
    <row r="141" spans="1:34" ht="15.75" customHeight="1">
      <c r="A141" s="17"/>
      <c r="B141" s="41" t="s">
        <v>486</v>
      </c>
      <c r="C141" s="19" t="s">
        <v>87</v>
      </c>
      <c r="D141" s="20" t="s">
        <v>487</v>
      </c>
      <c r="E141" s="20" t="s">
        <v>488</v>
      </c>
      <c r="F141" s="19"/>
      <c r="G141" s="19"/>
      <c r="H141" s="19"/>
      <c r="I141" s="21"/>
      <c r="J141" s="21"/>
      <c r="K141" s="22"/>
      <c r="L141" s="23"/>
      <c r="Q141" s="25"/>
      <c r="R141" s="25"/>
    </row>
    <row r="142" spans="1:34" ht="15.75" customHeight="1">
      <c r="A142" s="28" t="s">
        <v>489</v>
      </c>
      <c r="B142" s="18" t="s">
        <v>490</v>
      </c>
      <c r="C142" s="19" t="s">
        <v>24</v>
      </c>
      <c r="D142" s="20" t="s">
        <v>491</v>
      </c>
      <c r="E142" s="20" t="s">
        <v>492</v>
      </c>
      <c r="F142" s="19" t="s">
        <v>27</v>
      </c>
      <c r="G142" s="19" t="s">
        <v>28</v>
      </c>
      <c r="H142" s="19"/>
      <c r="I142" s="21" t="s">
        <v>29</v>
      </c>
      <c r="J142" s="21" t="s">
        <v>29</v>
      </c>
      <c r="K142" s="22" t="s">
        <v>493</v>
      </c>
      <c r="L142" s="23">
        <v>45242</v>
      </c>
      <c r="Q142" s="25"/>
      <c r="R142" s="25"/>
    </row>
    <row r="143" spans="1:34" ht="15.75" customHeight="1">
      <c r="A143" s="31" t="s">
        <v>39</v>
      </c>
      <c r="B143" s="18" t="s">
        <v>494</v>
      </c>
      <c r="C143" s="19" t="s">
        <v>87</v>
      </c>
      <c r="D143" s="20" t="s">
        <v>495</v>
      </c>
      <c r="E143" s="20" t="s">
        <v>496</v>
      </c>
      <c r="F143" s="19" t="s">
        <v>90</v>
      </c>
      <c r="G143" s="19" t="s">
        <v>91</v>
      </c>
      <c r="H143" s="19"/>
      <c r="I143" s="21" t="s">
        <v>29</v>
      </c>
      <c r="J143" s="21" t="s">
        <v>29</v>
      </c>
      <c r="K143" s="22" t="s">
        <v>496</v>
      </c>
      <c r="L143" s="23">
        <v>45242</v>
      </c>
      <c r="Q143" s="25"/>
      <c r="R143" s="25"/>
    </row>
    <row r="144" spans="1:34" ht="15.75" customHeight="1">
      <c r="A144" s="32" t="s">
        <v>497</v>
      </c>
      <c r="B144" s="18" t="s">
        <v>498</v>
      </c>
      <c r="C144" s="19" t="s">
        <v>87</v>
      </c>
      <c r="D144" s="20" t="s">
        <v>499</v>
      </c>
      <c r="E144" s="20" t="s">
        <v>500</v>
      </c>
      <c r="F144" s="19" t="s">
        <v>90</v>
      </c>
      <c r="G144" s="19" t="s">
        <v>91</v>
      </c>
      <c r="H144" s="19"/>
      <c r="I144" s="21" t="s">
        <v>29</v>
      </c>
      <c r="J144" s="21" t="s">
        <v>29</v>
      </c>
      <c r="K144" s="22" t="s">
        <v>501</v>
      </c>
      <c r="L144" s="23">
        <v>45242</v>
      </c>
      <c r="Q144" s="25"/>
      <c r="R144" s="25"/>
      <c r="AB144" s="42"/>
      <c r="AC144" s="40"/>
      <c r="AD144" s="38"/>
      <c r="AE144" s="38"/>
      <c r="AF144" s="38"/>
      <c r="AG144" s="38"/>
      <c r="AH144" s="43"/>
    </row>
    <row r="145" spans="1:18" ht="15.75" customHeight="1">
      <c r="A145" s="17" t="s">
        <v>502</v>
      </c>
      <c r="B145" s="18" t="s">
        <v>503</v>
      </c>
      <c r="C145" s="19" t="s">
        <v>24</v>
      </c>
      <c r="D145" s="20" t="s">
        <v>504</v>
      </c>
      <c r="E145" s="20" t="s">
        <v>505</v>
      </c>
      <c r="F145" s="19" t="s">
        <v>27</v>
      </c>
      <c r="G145" s="19" t="s">
        <v>28</v>
      </c>
      <c r="H145" s="19" t="s">
        <v>36</v>
      </c>
      <c r="I145" s="21" t="s">
        <v>29</v>
      </c>
      <c r="J145" s="21" t="s">
        <v>29</v>
      </c>
      <c r="K145" s="22" t="s">
        <v>506</v>
      </c>
      <c r="L145" s="23">
        <v>45242</v>
      </c>
      <c r="Q145" s="25"/>
      <c r="R145" s="25"/>
    </row>
    <row r="146" spans="1:18" ht="15.75" customHeight="1">
      <c r="A146" s="44" t="s">
        <v>56</v>
      </c>
      <c r="B146" s="18" t="s">
        <v>507</v>
      </c>
      <c r="C146" s="19" t="s">
        <v>24</v>
      </c>
      <c r="D146" s="20" t="s">
        <v>508</v>
      </c>
      <c r="E146" s="20" t="s">
        <v>509</v>
      </c>
      <c r="F146" s="19" t="s">
        <v>27</v>
      </c>
      <c r="G146" s="19" t="s">
        <v>28</v>
      </c>
      <c r="H146" s="19"/>
      <c r="I146" s="21" t="s">
        <v>29</v>
      </c>
      <c r="J146" s="21" t="s">
        <v>29</v>
      </c>
      <c r="K146" s="22" t="s">
        <v>510</v>
      </c>
      <c r="L146" s="23">
        <v>45242</v>
      </c>
      <c r="Q146" s="25"/>
      <c r="R146" s="25"/>
    </row>
    <row r="147" spans="1:18" ht="15.75" customHeight="1">
      <c r="A147" s="44">
        <v>94</v>
      </c>
      <c r="B147" s="29" t="s">
        <v>511</v>
      </c>
      <c r="C147" s="19" t="s">
        <v>24</v>
      </c>
      <c r="D147" s="20" t="s">
        <v>512</v>
      </c>
      <c r="E147" s="20" t="s">
        <v>513</v>
      </c>
      <c r="F147" s="19" t="s">
        <v>27</v>
      </c>
      <c r="G147" s="19" t="s">
        <v>28</v>
      </c>
      <c r="H147" s="19" t="s">
        <v>36</v>
      </c>
      <c r="I147" s="21" t="s">
        <v>29</v>
      </c>
      <c r="J147" s="21" t="s">
        <v>29</v>
      </c>
      <c r="K147" s="22" t="s">
        <v>514</v>
      </c>
      <c r="L147" s="23">
        <v>45242</v>
      </c>
      <c r="Q147" s="25"/>
      <c r="R147" s="25"/>
    </row>
    <row r="148" spans="1:18" ht="15.75" customHeight="1">
      <c r="A148" s="31" t="s">
        <v>64</v>
      </c>
      <c r="B148" s="18" t="s">
        <v>515</v>
      </c>
      <c r="C148" s="19" t="s">
        <v>46</v>
      </c>
      <c r="D148" s="20" t="s">
        <v>516</v>
      </c>
      <c r="E148" s="20" t="s">
        <v>517</v>
      </c>
      <c r="F148" s="19" t="s">
        <v>49</v>
      </c>
      <c r="G148" s="19" t="s">
        <v>50</v>
      </c>
      <c r="H148" s="19"/>
      <c r="I148" s="21" t="s">
        <v>29</v>
      </c>
      <c r="J148" s="21" t="s">
        <v>29</v>
      </c>
      <c r="K148" s="22" t="s">
        <v>518</v>
      </c>
      <c r="L148" s="23">
        <v>45242</v>
      </c>
      <c r="Q148" s="25"/>
      <c r="R148" s="25"/>
    </row>
    <row r="149" spans="1:18" ht="15.75" customHeight="1">
      <c r="A149" s="17">
        <v>4.8</v>
      </c>
      <c r="B149" s="36" t="s">
        <v>519</v>
      </c>
      <c r="C149" s="19" t="s">
        <v>121</v>
      </c>
      <c r="D149" s="20" t="s">
        <v>520</v>
      </c>
      <c r="E149" s="20" t="s">
        <v>55</v>
      </c>
      <c r="F149" s="19" t="s">
        <v>27</v>
      </c>
      <c r="G149" s="37" t="s">
        <v>452</v>
      </c>
      <c r="H149" s="37"/>
      <c r="I149" s="21" t="s">
        <v>29</v>
      </c>
      <c r="J149" s="21" t="s">
        <v>452</v>
      </c>
      <c r="K149" s="22" t="s">
        <v>55</v>
      </c>
      <c r="L149" s="23">
        <v>45242</v>
      </c>
      <c r="Q149" s="25"/>
      <c r="R149" s="25"/>
    </row>
    <row r="150" spans="1:18" ht="15.75" customHeight="1">
      <c r="A150" s="31"/>
      <c r="B150" s="41" t="s">
        <v>521</v>
      </c>
      <c r="C150" s="19" t="s">
        <v>522</v>
      </c>
      <c r="D150" s="20" t="s">
        <v>523</v>
      </c>
      <c r="E150" s="20" t="s">
        <v>524</v>
      </c>
      <c r="F150" s="19"/>
      <c r="G150" s="19"/>
      <c r="H150" s="19"/>
      <c r="I150" s="21"/>
      <c r="J150" s="21"/>
      <c r="K150" s="22"/>
      <c r="L150" s="23"/>
      <c r="Q150" s="25"/>
      <c r="R150" s="25"/>
    </row>
    <row r="151" spans="1:18" ht="15.75" customHeight="1">
      <c r="A151" s="31" t="s">
        <v>73</v>
      </c>
      <c r="B151" s="18" t="s">
        <v>525</v>
      </c>
      <c r="C151" s="19" t="s">
        <v>87</v>
      </c>
      <c r="D151" s="20" t="s">
        <v>526</v>
      </c>
      <c r="E151" s="20" t="s">
        <v>527</v>
      </c>
      <c r="F151" s="19" t="s">
        <v>49</v>
      </c>
      <c r="G151" s="19" t="s">
        <v>91</v>
      </c>
      <c r="H151" s="19"/>
      <c r="I151" s="21" t="s">
        <v>29</v>
      </c>
      <c r="J151" s="21" t="s">
        <v>29</v>
      </c>
      <c r="K151" s="22" t="s">
        <v>528</v>
      </c>
      <c r="L151" s="23">
        <v>45242</v>
      </c>
      <c r="Q151" s="25"/>
      <c r="R151" s="25"/>
    </row>
    <row r="152" spans="1:18" ht="15.75" customHeight="1">
      <c r="A152" s="17">
        <v>4.7</v>
      </c>
      <c r="B152" s="18" t="s">
        <v>529</v>
      </c>
      <c r="C152" s="19" t="s">
        <v>24</v>
      </c>
      <c r="D152" s="20" t="s">
        <v>530</v>
      </c>
      <c r="E152" s="20" t="s">
        <v>531</v>
      </c>
      <c r="F152" s="19" t="s">
        <v>27</v>
      </c>
      <c r="G152" s="19" t="s">
        <v>28</v>
      </c>
      <c r="H152" s="19" t="s">
        <v>36</v>
      </c>
      <c r="I152" s="21" t="s">
        <v>29</v>
      </c>
      <c r="J152" s="21" t="s">
        <v>29</v>
      </c>
      <c r="K152" s="22" t="s">
        <v>532</v>
      </c>
      <c r="L152" s="23">
        <v>45242</v>
      </c>
      <c r="Q152" s="25"/>
      <c r="R152" s="25"/>
    </row>
    <row r="153" spans="1:18" ht="15.75" customHeight="1">
      <c r="A153" s="31" t="s">
        <v>82</v>
      </c>
      <c r="B153" s="18" t="s">
        <v>533</v>
      </c>
      <c r="C153" s="19" t="s">
        <v>46</v>
      </c>
      <c r="D153" s="20" t="s">
        <v>534</v>
      </c>
      <c r="E153" s="20" t="s">
        <v>535</v>
      </c>
      <c r="F153" s="19" t="s">
        <v>49</v>
      </c>
      <c r="G153" s="19" t="s">
        <v>50</v>
      </c>
      <c r="H153" s="19"/>
      <c r="I153" s="21" t="s">
        <v>29</v>
      </c>
      <c r="J153" s="21" t="s">
        <v>29</v>
      </c>
      <c r="K153" s="22" t="s">
        <v>536</v>
      </c>
      <c r="L153" s="23">
        <v>45242</v>
      </c>
      <c r="Q153" s="25"/>
      <c r="R153" s="25"/>
    </row>
    <row r="154" spans="1:18" ht="15.75" customHeight="1">
      <c r="A154" s="17" t="s">
        <v>537</v>
      </c>
      <c r="B154" s="18" t="s">
        <v>538</v>
      </c>
      <c r="C154" s="19" t="s">
        <v>24</v>
      </c>
      <c r="D154" s="20" t="s">
        <v>539</v>
      </c>
      <c r="E154" s="45" t="s">
        <v>540</v>
      </c>
      <c r="F154" s="19" t="s">
        <v>27</v>
      </c>
      <c r="G154" s="19" t="s">
        <v>28</v>
      </c>
      <c r="H154" s="19" t="s">
        <v>36</v>
      </c>
      <c r="I154" s="21" t="s">
        <v>29</v>
      </c>
      <c r="J154" s="21" t="s">
        <v>29</v>
      </c>
      <c r="K154" s="46" t="s">
        <v>541</v>
      </c>
      <c r="L154" s="23">
        <v>45242</v>
      </c>
      <c r="Q154" s="25"/>
      <c r="R154" s="25"/>
    </row>
    <row r="155" spans="1:18" ht="15.75" customHeight="1">
      <c r="A155" s="31" t="s">
        <v>92</v>
      </c>
      <c r="B155" s="18" t="s">
        <v>542</v>
      </c>
      <c r="C155" s="19" t="s">
        <v>24</v>
      </c>
      <c r="D155" s="20" t="s">
        <v>543</v>
      </c>
      <c r="E155" s="20" t="s">
        <v>544</v>
      </c>
      <c r="F155" s="19" t="s">
        <v>27</v>
      </c>
      <c r="G155" s="19" t="s">
        <v>28</v>
      </c>
      <c r="H155" s="19"/>
      <c r="I155" s="21" t="s">
        <v>29</v>
      </c>
      <c r="J155" s="21" t="s">
        <v>29</v>
      </c>
      <c r="K155" s="22" t="s">
        <v>545</v>
      </c>
      <c r="L155" s="23">
        <v>45242</v>
      </c>
      <c r="Q155" s="25"/>
      <c r="R155" s="25"/>
    </row>
    <row r="156" spans="1:18" ht="15.75" customHeight="1">
      <c r="A156" s="33">
        <v>3469</v>
      </c>
      <c r="B156" s="18" t="s">
        <v>546</v>
      </c>
      <c r="C156" s="19" t="s">
        <v>24</v>
      </c>
      <c r="D156" s="20" t="s">
        <v>547</v>
      </c>
      <c r="E156" s="20" t="s">
        <v>548</v>
      </c>
      <c r="F156" s="19" t="s">
        <v>27</v>
      </c>
      <c r="G156" s="19" t="s">
        <v>28</v>
      </c>
      <c r="H156" s="19"/>
      <c r="I156" s="21" t="s">
        <v>29</v>
      </c>
      <c r="J156" s="21" t="s">
        <v>29</v>
      </c>
      <c r="K156" s="22" t="s">
        <v>549</v>
      </c>
      <c r="L156" s="23">
        <v>45242</v>
      </c>
      <c r="Q156" s="25"/>
      <c r="R156" s="25"/>
    </row>
    <row r="157" spans="1:18" ht="15.75" customHeight="1">
      <c r="A157" s="31" t="s">
        <v>100</v>
      </c>
      <c r="B157" s="18" t="s">
        <v>550</v>
      </c>
      <c r="C157" s="19" t="s">
        <v>24</v>
      </c>
      <c r="D157" s="20" t="s">
        <v>551</v>
      </c>
      <c r="E157" s="20" t="s">
        <v>552</v>
      </c>
      <c r="F157" s="19" t="s">
        <v>27</v>
      </c>
      <c r="G157" s="19" t="s">
        <v>28</v>
      </c>
      <c r="H157" s="19" t="s">
        <v>36</v>
      </c>
      <c r="I157" s="21" t="s">
        <v>29</v>
      </c>
      <c r="J157" s="21" t="s">
        <v>29</v>
      </c>
      <c r="K157" s="22" t="s">
        <v>552</v>
      </c>
      <c r="L157" s="23">
        <v>45242</v>
      </c>
      <c r="Q157" s="25"/>
      <c r="R157" s="25"/>
    </row>
    <row r="158" spans="1:18" ht="15.75" customHeight="1">
      <c r="A158" s="17">
        <v>168</v>
      </c>
      <c r="B158" s="18" t="s">
        <v>553</v>
      </c>
      <c r="C158" s="19" t="s">
        <v>46</v>
      </c>
      <c r="D158" s="20" t="s">
        <v>554</v>
      </c>
      <c r="E158" s="20" t="s">
        <v>555</v>
      </c>
      <c r="F158" s="19" t="s">
        <v>49</v>
      </c>
      <c r="G158" s="19" t="s">
        <v>50</v>
      </c>
      <c r="H158" s="19"/>
      <c r="I158" s="21" t="s">
        <v>29</v>
      </c>
      <c r="J158" s="21" t="s">
        <v>29</v>
      </c>
      <c r="K158" s="22" t="s">
        <v>556</v>
      </c>
      <c r="L158" s="23">
        <v>45242</v>
      </c>
      <c r="Q158" s="25"/>
      <c r="R158" s="25"/>
    </row>
    <row r="159" spans="1:18" ht="15.75" customHeight="1">
      <c r="A159" s="35"/>
      <c r="B159" s="18" t="s">
        <v>557</v>
      </c>
      <c r="C159" s="19" t="s">
        <v>24</v>
      </c>
      <c r="D159" s="20" t="s">
        <v>558</v>
      </c>
      <c r="E159" s="20" t="s">
        <v>559</v>
      </c>
      <c r="F159" s="19" t="s">
        <v>27</v>
      </c>
      <c r="G159" s="19" t="s">
        <v>28</v>
      </c>
      <c r="H159" s="19" t="s">
        <v>36</v>
      </c>
      <c r="I159" s="21" t="s">
        <v>29</v>
      </c>
      <c r="J159" s="21" t="s">
        <v>29</v>
      </c>
      <c r="K159" s="22" t="s">
        <v>560</v>
      </c>
      <c r="L159" s="23">
        <v>45242</v>
      </c>
      <c r="Q159" s="25"/>
      <c r="R159" s="25"/>
    </row>
    <row r="160" spans="1:18" ht="15.75" customHeight="1">
      <c r="A160" s="35"/>
      <c r="B160" s="18" t="s">
        <v>561</v>
      </c>
      <c r="C160" s="19" t="s">
        <v>24</v>
      </c>
      <c r="D160" s="20" t="s">
        <v>562</v>
      </c>
      <c r="E160" s="20" t="s">
        <v>563</v>
      </c>
      <c r="F160" s="19" t="s">
        <v>27</v>
      </c>
      <c r="G160" s="19" t="s">
        <v>28</v>
      </c>
      <c r="H160" s="19" t="s">
        <v>36</v>
      </c>
      <c r="I160" s="21" t="s">
        <v>29</v>
      </c>
      <c r="J160" s="21" t="s">
        <v>29</v>
      </c>
      <c r="K160" s="22" t="s">
        <v>564</v>
      </c>
      <c r="L160" s="23">
        <v>45242</v>
      </c>
      <c r="Q160" s="25"/>
      <c r="R160" s="25"/>
    </row>
    <row r="161" spans="1:18" ht="15.75" customHeight="1">
      <c r="A161" s="17"/>
      <c r="B161" s="41" t="s">
        <v>565</v>
      </c>
      <c r="C161" s="19" t="s">
        <v>46</v>
      </c>
      <c r="D161" s="20" t="s">
        <v>566</v>
      </c>
      <c r="E161" s="20" t="s">
        <v>567</v>
      </c>
      <c r="F161" s="19"/>
      <c r="G161" s="19"/>
      <c r="H161" s="19"/>
      <c r="I161" s="21"/>
      <c r="J161" s="21"/>
      <c r="K161" s="22"/>
      <c r="L161" s="23"/>
      <c r="Q161" s="25"/>
      <c r="R161" s="25"/>
    </row>
    <row r="162" spans="1:18" ht="15.75" customHeight="1">
      <c r="A162" s="17"/>
      <c r="B162" s="18" t="s">
        <v>568</v>
      </c>
      <c r="C162" s="19" t="s">
        <v>24</v>
      </c>
      <c r="D162" s="20" t="s">
        <v>569</v>
      </c>
      <c r="E162" s="20" t="s">
        <v>570</v>
      </c>
      <c r="F162" s="19" t="s">
        <v>27</v>
      </c>
      <c r="G162" s="19" t="s">
        <v>28</v>
      </c>
      <c r="H162" s="19" t="s">
        <v>36</v>
      </c>
      <c r="I162" s="21" t="s">
        <v>29</v>
      </c>
      <c r="J162" s="21" t="s">
        <v>29</v>
      </c>
      <c r="K162" s="22" t="s">
        <v>571</v>
      </c>
      <c r="L162" s="23">
        <v>45242</v>
      </c>
      <c r="Q162" s="25"/>
      <c r="R162" s="25"/>
    </row>
    <row r="163" spans="1:18" ht="15.75" customHeight="1">
      <c r="A163" s="17"/>
      <c r="B163" s="18" t="s">
        <v>572</v>
      </c>
      <c r="C163" s="19" t="s">
        <v>87</v>
      </c>
      <c r="D163" s="20" t="s">
        <v>573</v>
      </c>
      <c r="E163" s="20" t="s">
        <v>574</v>
      </c>
      <c r="F163" s="19" t="s">
        <v>90</v>
      </c>
      <c r="G163" s="19" t="s">
        <v>91</v>
      </c>
      <c r="H163" s="19"/>
      <c r="I163" s="21" t="s">
        <v>29</v>
      </c>
      <c r="J163" s="21" t="s">
        <v>29</v>
      </c>
      <c r="K163" s="22" t="s">
        <v>575</v>
      </c>
      <c r="L163" s="23">
        <v>45242</v>
      </c>
      <c r="Q163" s="25"/>
      <c r="R163" s="25"/>
    </row>
    <row r="164" spans="1:18" ht="15.75" customHeight="1">
      <c r="A164" s="17"/>
      <c r="B164" s="18" t="s">
        <v>576</v>
      </c>
      <c r="C164" s="19" t="s">
        <v>24</v>
      </c>
      <c r="D164" s="20" t="s">
        <v>577</v>
      </c>
      <c r="E164" s="20" t="s">
        <v>578</v>
      </c>
      <c r="F164" s="19" t="s">
        <v>27</v>
      </c>
      <c r="G164" s="19" t="s">
        <v>28</v>
      </c>
      <c r="H164" s="19"/>
      <c r="I164" s="21" t="s">
        <v>29</v>
      </c>
      <c r="J164" s="21" t="s">
        <v>29</v>
      </c>
      <c r="K164" s="22" t="s">
        <v>579</v>
      </c>
      <c r="L164" s="23">
        <v>45242</v>
      </c>
      <c r="Q164" s="25"/>
      <c r="R164" s="25"/>
    </row>
    <row r="165" spans="1:18" ht="15.75" customHeight="1">
      <c r="A165" s="17"/>
      <c r="B165" s="18" t="s">
        <v>580</v>
      </c>
      <c r="C165" s="19" t="s">
        <v>24</v>
      </c>
      <c r="D165" s="20" t="s">
        <v>581</v>
      </c>
      <c r="E165" s="20" t="s">
        <v>582</v>
      </c>
      <c r="F165" s="19" t="s">
        <v>27</v>
      </c>
      <c r="G165" s="19" t="s">
        <v>28</v>
      </c>
      <c r="H165" s="19" t="s">
        <v>36</v>
      </c>
      <c r="I165" s="21" t="s">
        <v>29</v>
      </c>
      <c r="J165" s="21" t="s">
        <v>29</v>
      </c>
      <c r="K165" s="22" t="s">
        <v>583</v>
      </c>
      <c r="L165" s="23">
        <v>45242</v>
      </c>
      <c r="Q165" s="25"/>
      <c r="R165" s="25"/>
    </row>
    <row r="166" spans="1:18" ht="15.75" customHeight="1">
      <c r="A166" s="17"/>
      <c r="B166" s="18" t="s">
        <v>584</v>
      </c>
      <c r="C166" s="19" t="s">
        <v>87</v>
      </c>
      <c r="D166" s="20" t="s">
        <v>585</v>
      </c>
      <c r="E166" s="20" t="s">
        <v>586</v>
      </c>
      <c r="F166" s="19" t="s">
        <v>90</v>
      </c>
      <c r="G166" s="19" t="s">
        <v>91</v>
      </c>
      <c r="H166" s="19"/>
      <c r="I166" s="21" t="s">
        <v>29</v>
      </c>
      <c r="J166" s="21" t="s">
        <v>29</v>
      </c>
      <c r="K166" s="22" t="s">
        <v>587</v>
      </c>
      <c r="L166" s="23">
        <v>45242</v>
      </c>
      <c r="Q166" s="25"/>
      <c r="R166" s="25"/>
    </row>
    <row r="167" spans="1:18" ht="15.75" customHeight="1">
      <c r="A167" s="17"/>
      <c r="B167" s="18" t="s">
        <v>588</v>
      </c>
      <c r="C167" s="19" t="s">
        <v>46</v>
      </c>
      <c r="D167" s="20" t="s">
        <v>589</v>
      </c>
      <c r="E167" s="20" t="s">
        <v>590</v>
      </c>
      <c r="F167" s="19" t="s">
        <v>49</v>
      </c>
      <c r="G167" s="19" t="s">
        <v>50</v>
      </c>
      <c r="H167" s="19"/>
      <c r="I167" s="21" t="s">
        <v>29</v>
      </c>
      <c r="J167" s="21" t="s">
        <v>29</v>
      </c>
      <c r="K167" s="22" t="s">
        <v>591</v>
      </c>
      <c r="L167" s="23">
        <v>45242</v>
      </c>
      <c r="Q167" s="25"/>
      <c r="R167" s="25"/>
    </row>
    <row r="168" spans="1:18" ht="15.75" customHeight="1">
      <c r="A168" s="17"/>
      <c r="B168" s="18" t="s">
        <v>592</v>
      </c>
      <c r="C168" s="19" t="s">
        <v>24</v>
      </c>
      <c r="D168" s="20" t="s">
        <v>593</v>
      </c>
      <c r="E168" s="20" t="s">
        <v>594</v>
      </c>
      <c r="F168" s="19" t="s">
        <v>27</v>
      </c>
      <c r="G168" s="19" t="s">
        <v>28</v>
      </c>
      <c r="H168" s="19"/>
      <c r="I168" s="21" t="s">
        <v>29</v>
      </c>
      <c r="J168" s="21" t="s">
        <v>29</v>
      </c>
      <c r="K168" s="22" t="s">
        <v>595</v>
      </c>
      <c r="L168" s="23">
        <v>45242</v>
      </c>
      <c r="Q168" s="25"/>
      <c r="R168" s="25"/>
    </row>
    <row r="169" spans="1:18" ht="15.75" customHeight="1">
      <c r="A169" s="17"/>
      <c r="B169" s="18" t="s">
        <v>596</v>
      </c>
      <c r="C169" s="19" t="s">
        <v>24</v>
      </c>
      <c r="D169" s="20" t="s">
        <v>597</v>
      </c>
      <c r="E169" s="20" t="s">
        <v>55</v>
      </c>
      <c r="F169" s="19" t="s">
        <v>27</v>
      </c>
      <c r="G169" s="19" t="s">
        <v>28</v>
      </c>
      <c r="H169" s="19" t="s">
        <v>36</v>
      </c>
      <c r="I169" s="21" t="s">
        <v>29</v>
      </c>
      <c r="J169" s="21" t="s">
        <v>29</v>
      </c>
      <c r="K169" s="22" t="s">
        <v>55</v>
      </c>
      <c r="L169" s="23">
        <v>45242</v>
      </c>
      <c r="Q169" s="25"/>
      <c r="R169" s="25"/>
    </row>
    <row r="170" spans="1:18" ht="15.75" customHeight="1">
      <c r="A170" s="17"/>
      <c r="B170" s="36" t="s">
        <v>598</v>
      </c>
      <c r="C170" s="19" t="s">
        <v>121</v>
      </c>
      <c r="D170" s="20" t="s">
        <v>599</v>
      </c>
      <c r="E170" s="20" t="s">
        <v>600</v>
      </c>
      <c r="F170" s="19" t="s">
        <v>27</v>
      </c>
      <c r="G170" s="19" t="s">
        <v>28</v>
      </c>
      <c r="H170" s="19"/>
      <c r="I170" s="21" t="s">
        <v>29</v>
      </c>
      <c r="J170" s="21" t="s">
        <v>29</v>
      </c>
      <c r="K170" s="22" t="s">
        <v>601</v>
      </c>
      <c r="L170" s="23">
        <v>45242</v>
      </c>
      <c r="Q170" s="25"/>
      <c r="R170" s="25"/>
    </row>
    <row r="171" spans="1:18" ht="15.75" customHeight="1">
      <c r="A171" s="17"/>
      <c r="B171" s="18" t="s">
        <v>602</v>
      </c>
      <c r="C171" s="19" t="s">
        <v>24</v>
      </c>
      <c r="D171" s="20" t="s">
        <v>603</v>
      </c>
      <c r="E171" s="20" t="s">
        <v>604</v>
      </c>
      <c r="F171" s="19" t="s">
        <v>27</v>
      </c>
      <c r="G171" s="19" t="s">
        <v>28</v>
      </c>
      <c r="H171" s="19" t="s">
        <v>36</v>
      </c>
      <c r="I171" s="21" t="s">
        <v>29</v>
      </c>
      <c r="J171" s="21" t="s">
        <v>29</v>
      </c>
      <c r="K171" s="22" t="s">
        <v>605</v>
      </c>
      <c r="L171" s="23">
        <v>45242</v>
      </c>
      <c r="Q171" s="25"/>
      <c r="R171" s="25"/>
    </row>
    <row r="172" spans="1:18" ht="15.75" customHeight="1">
      <c r="A172" s="17"/>
      <c r="B172" s="18" t="s">
        <v>606</v>
      </c>
      <c r="C172" s="19" t="s">
        <v>24</v>
      </c>
      <c r="D172" s="20" t="s">
        <v>607</v>
      </c>
      <c r="E172" s="20" t="s">
        <v>608</v>
      </c>
      <c r="F172" s="19" t="s">
        <v>27</v>
      </c>
      <c r="G172" s="19" t="s">
        <v>28</v>
      </c>
      <c r="H172" s="19" t="s">
        <v>36</v>
      </c>
      <c r="I172" s="21" t="s">
        <v>29</v>
      </c>
      <c r="J172" s="21" t="s">
        <v>29</v>
      </c>
      <c r="K172" s="22" t="s">
        <v>609</v>
      </c>
      <c r="L172" s="23">
        <v>45242</v>
      </c>
      <c r="Q172" s="25"/>
      <c r="R172" s="25"/>
    </row>
    <row r="173" spans="1:18" ht="15.75" customHeight="1">
      <c r="A173" s="17"/>
      <c r="B173" s="36" t="s">
        <v>610</v>
      </c>
      <c r="C173" s="19" t="s">
        <v>121</v>
      </c>
      <c r="D173" s="20" t="s">
        <v>611</v>
      </c>
      <c r="E173" s="20" t="s">
        <v>612</v>
      </c>
      <c r="F173" s="19" t="s">
        <v>27</v>
      </c>
      <c r="G173" s="19" t="s">
        <v>28</v>
      </c>
      <c r="H173" s="19" t="s">
        <v>36</v>
      </c>
      <c r="I173" s="21" t="s">
        <v>29</v>
      </c>
      <c r="J173" s="21" t="s">
        <v>29</v>
      </c>
      <c r="K173" s="22" t="s">
        <v>613</v>
      </c>
      <c r="L173" s="23">
        <v>45242</v>
      </c>
      <c r="Q173" s="25"/>
      <c r="R173" s="25"/>
    </row>
    <row r="174" spans="1:18" ht="15.75" customHeight="1">
      <c r="A174" s="17"/>
      <c r="B174" s="18" t="s">
        <v>614</v>
      </c>
      <c r="C174" s="19" t="s">
        <v>24</v>
      </c>
      <c r="D174" s="20" t="s">
        <v>615</v>
      </c>
      <c r="E174" s="20" t="s">
        <v>616</v>
      </c>
      <c r="F174" s="19" t="s">
        <v>27</v>
      </c>
      <c r="G174" s="19" t="s">
        <v>28</v>
      </c>
      <c r="H174" s="19" t="s">
        <v>36</v>
      </c>
      <c r="I174" s="21" t="s">
        <v>29</v>
      </c>
      <c r="J174" s="21" t="s">
        <v>29</v>
      </c>
      <c r="K174" s="22" t="s">
        <v>617</v>
      </c>
      <c r="L174" s="23">
        <v>45242</v>
      </c>
      <c r="Q174" s="25"/>
      <c r="R174" s="25"/>
    </row>
    <row r="175" spans="1:18" ht="15.75" customHeight="1">
      <c r="A175" s="17"/>
      <c r="B175" s="18" t="s">
        <v>618</v>
      </c>
      <c r="C175" s="19" t="s">
        <v>24</v>
      </c>
      <c r="D175" s="20" t="s">
        <v>619</v>
      </c>
      <c r="E175" s="20" t="s">
        <v>620</v>
      </c>
      <c r="F175" s="19" t="s">
        <v>27</v>
      </c>
      <c r="G175" s="19" t="s">
        <v>28</v>
      </c>
      <c r="H175" s="19" t="s">
        <v>36</v>
      </c>
      <c r="I175" s="21" t="s">
        <v>29</v>
      </c>
      <c r="J175" s="21" t="s">
        <v>29</v>
      </c>
      <c r="K175" s="22" t="s">
        <v>621</v>
      </c>
      <c r="L175" s="23">
        <v>45242</v>
      </c>
      <c r="Q175" s="25"/>
      <c r="R175" s="25"/>
    </row>
    <row r="176" spans="1:18" ht="15.75" customHeight="1">
      <c r="A176" s="17"/>
      <c r="B176" s="18" t="s">
        <v>622</v>
      </c>
      <c r="C176" s="19" t="s">
        <v>87</v>
      </c>
      <c r="D176" s="20" t="s">
        <v>623</v>
      </c>
      <c r="E176" s="20" t="s">
        <v>624</v>
      </c>
      <c r="F176" s="19" t="s">
        <v>90</v>
      </c>
      <c r="G176" s="19" t="s">
        <v>91</v>
      </c>
      <c r="H176" s="19"/>
      <c r="I176" s="21" t="s">
        <v>29</v>
      </c>
      <c r="J176" s="21" t="s">
        <v>29</v>
      </c>
      <c r="K176" s="22" t="s">
        <v>625</v>
      </c>
      <c r="L176" s="23">
        <v>45242</v>
      </c>
      <c r="Q176" s="25"/>
      <c r="R176" s="25"/>
    </row>
    <row r="177" spans="1:18" ht="15.75" customHeight="1">
      <c r="A177" s="17"/>
      <c r="B177" s="18" t="s">
        <v>626</v>
      </c>
      <c r="C177" s="19" t="s">
        <v>24</v>
      </c>
      <c r="D177" s="20" t="s">
        <v>627</v>
      </c>
      <c r="E177" s="20" t="s">
        <v>628</v>
      </c>
      <c r="F177" s="19" t="s">
        <v>27</v>
      </c>
      <c r="G177" s="19" t="s">
        <v>28</v>
      </c>
      <c r="H177" s="19"/>
      <c r="I177" s="21" t="s">
        <v>29</v>
      </c>
      <c r="J177" s="21" t="s">
        <v>29</v>
      </c>
      <c r="K177" s="22" t="s">
        <v>629</v>
      </c>
      <c r="L177" s="23">
        <v>45242</v>
      </c>
      <c r="Q177" s="25"/>
      <c r="R177" s="25"/>
    </row>
    <row r="178" spans="1:18" ht="15.75" customHeight="1">
      <c r="A178" s="17"/>
      <c r="B178" s="18" t="s">
        <v>630</v>
      </c>
      <c r="C178" s="19" t="s">
        <v>46</v>
      </c>
      <c r="D178" s="20" t="s">
        <v>631</v>
      </c>
      <c r="E178" s="20" t="s">
        <v>632</v>
      </c>
      <c r="F178" s="19" t="s">
        <v>49</v>
      </c>
      <c r="G178" s="19" t="s">
        <v>50</v>
      </c>
      <c r="H178" s="19"/>
      <c r="I178" s="21" t="s">
        <v>29</v>
      </c>
      <c r="J178" s="21" t="s">
        <v>29</v>
      </c>
      <c r="K178" s="22" t="s">
        <v>633</v>
      </c>
      <c r="L178" s="23">
        <v>45242</v>
      </c>
      <c r="Q178" s="25"/>
      <c r="R178" s="25"/>
    </row>
    <row r="179" spans="1:18" ht="15.75" customHeight="1">
      <c r="A179" s="17"/>
      <c r="B179" s="18" t="s">
        <v>634</v>
      </c>
      <c r="C179" s="19" t="s">
        <v>24</v>
      </c>
      <c r="D179" s="20" t="s">
        <v>635</v>
      </c>
      <c r="E179" s="20" t="s">
        <v>636</v>
      </c>
      <c r="F179" s="19" t="s">
        <v>27</v>
      </c>
      <c r="G179" s="19" t="s">
        <v>28</v>
      </c>
      <c r="H179" s="19"/>
      <c r="I179" s="21" t="s">
        <v>29</v>
      </c>
      <c r="J179" s="21" t="s">
        <v>29</v>
      </c>
      <c r="K179" s="22" t="s">
        <v>637</v>
      </c>
      <c r="L179" s="23">
        <v>45242</v>
      </c>
      <c r="Q179" s="25"/>
      <c r="R179" s="25"/>
    </row>
    <row r="180" spans="1:18" ht="15.75" customHeight="1">
      <c r="A180" s="17"/>
      <c r="B180" s="18" t="s">
        <v>638</v>
      </c>
      <c r="C180" s="37" t="s">
        <v>412</v>
      </c>
      <c r="D180" s="20" t="s">
        <v>639</v>
      </c>
      <c r="E180" s="20" t="s">
        <v>55</v>
      </c>
      <c r="F180" s="19" t="s">
        <v>414</v>
      </c>
      <c r="G180" s="37" t="s">
        <v>415</v>
      </c>
      <c r="H180" s="37"/>
      <c r="I180" s="21" t="s">
        <v>233</v>
      </c>
      <c r="J180" s="21" t="s">
        <v>233</v>
      </c>
      <c r="K180" s="22" t="s">
        <v>55</v>
      </c>
      <c r="L180" s="23">
        <v>45242</v>
      </c>
      <c r="Q180" s="25"/>
      <c r="R180" s="25"/>
    </row>
    <row r="181" spans="1:18" ht="15.75" customHeight="1">
      <c r="A181" s="17"/>
      <c r="B181" s="18" t="s">
        <v>640</v>
      </c>
      <c r="C181" s="37" t="s">
        <v>412</v>
      </c>
      <c r="D181" s="20" t="s">
        <v>641</v>
      </c>
      <c r="E181" s="20" t="s">
        <v>55</v>
      </c>
      <c r="F181" s="19" t="s">
        <v>414</v>
      </c>
      <c r="G181" s="19" t="s">
        <v>415</v>
      </c>
      <c r="H181" s="37"/>
      <c r="I181" s="21" t="s">
        <v>233</v>
      </c>
      <c r="J181" s="21" t="s">
        <v>233</v>
      </c>
      <c r="K181" s="22" t="s">
        <v>55</v>
      </c>
      <c r="L181" s="23">
        <v>45242</v>
      </c>
      <c r="Q181" s="25"/>
      <c r="R181" s="25"/>
    </row>
    <row r="182" spans="1:18" ht="15.75" customHeight="1">
      <c r="A182" s="17"/>
      <c r="B182" s="18" t="s">
        <v>642</v>
      </c>
      <c r="C182" s="37" t="s">
        <v>412</v>
      </c>
      <c r="D182" s="20" t="s">
        <v>643</v>
      </c>
      <c r="E182" s="20" t="s">
        <v>55</v>
      </c>
      <c r="F182" s="19" t="s">
        <v>414</v>
      </c>
      <c r="G182" s="37" t="s">
        <v>415</v>
      </c>
      <c r="H182" s="37"/>
      <c r="I182" s="21" t="s">
        <v>233</v>
      </c>
      <c r="J182" s="21" t="s">
        <v>233</v>
      </c>
      <c r="K182" s="22" t="s">
        <v>55</v>
      </c>
      <c r="L182" s="23">
        <v>45242</v>
      </c>
      <c r="Q182" s="25"/>
      <c r="R182" s="25"/>
    </row>
    <row r="183" spans="1:18" ht="15.75" customHeight="1">
      <c r="A183" s="17"/>
      <c r="B183" s="18" t="s">
        <v>644</v>
      </c>
      <c r="C183" s="37" t="s">
        <v>412</v>
      </c>
      <c r="D183" s="20" t="s">
        <v>645</v>
      </c>
      <c r="E183" s="20" t="s">
        <v>55</v>
      </c>
      <c r="F183" s="19" t="s">
        <v>414</v>
      </c>
      <c r="G183" s="19" t="s">
        <v>415</v>
      </c>
      <c r="H183" s="37"/>
      <c r="I183" s="21" t="s">
        <v>233</v>
      </c>
      <c r="J183" s="21" t="s">
        <v>233</v>
      </c>
      <c r="K183" s="22" t="s">
        <v>55</v>
      </c>
      <c r="L183" s="23">
        <v>45242</v>
      </c>
      <c r="Q183" s="25"/>
      <c r="R183" s="25"/>
    </row>
    <row r="184" spans="1:18" ht="15.75" customHeight="1">
      <c r="A184" s="17"/>
      <c r="B184" s="18" t="s">
        <v>646</v>
      </c>
      <c r="C184" s="37" t="s">
        <v>412</v>
      </c>
      <c r="D184" s="20" t="s">
        <v>647</v>
      </c>
      <c r="E184" s="20" t="s">
        <v>55</v>
      </c>
      <c r="F184" s="19" t="s">
        <v>414</v>
      </c>
      <c r="G184" s="37" t="s">
        <v>415</v>
      </c>
      <c r="H184" s="37"/>
      <c r="I184" s="21" t="s">
        <v>233</v>
      </c>
      <c r="J184" s="21" t="s">
        <v>233</v>
      </c>
      <c r="K184" s="22" t="s">
        <v>55</v>
      </c>
      <c r="L184" s="23">
        <v>45242</v>
      </c>
      <c r="Q184" s="25"/>
      <c r="R184" s="25"/>
    </row>
    <row r="185" spans="1:18" ht="15.75" customHeight="1">
      <c r="A185" s="17"/>
      <c r="B185" s="18" t="s">
        <v>648</v>
      </c>
      <c r="C185" s="37" t="s">
        <v>412</v>
      </c>
      <c r="D185" s="20" t="s">
        <v>649</v>
      </c>
      <c r="E185" s="20" t="s">
        <v>55</v>
      </c>
      <c r="F185" s="19" t="s">
        <v>414</v>
      </c>
      <c r="G185" s="19" t="s">
        <v>415</v>
      </c>
      <c r="H185" s="37"/>
      <c r="I185" s="21" t="s">
        <v>233</v>
      </c>
      <c r="J185" s="21" t="s">
        <v>233</v>
      </c>
      <c r="K185" s="22" t="s">
        <v>55</v>
      </c>
      <c r="L185" s="23">
        <v>45242</v>
      </c>
      <c r="Q185" s="25"/>
      <c r="R185" s="25"/>
    </row>
    <row r="186" spans="1:18" ht="15.75" customHeight="1">
      <c r="A186" s="17"/>
      <c r="B186" s="18" t="s">
        <v>650</v>
      </c>
      <c r="C186" s="37" t="s">
        <v>412</v>
      </c>
      <c r="D186" s="20" t="s">
        <v>651</v>
      </c>
      <c r="E186" s="20" t="s">
        <v>55</v>
      </c>
      <c r="F186" s="19" t="s">
        <v>414</v>
      </c>
      <c r="G186" s="37" t="s">
        <v>415</v>
      </c>
      <c r="H186" s="37"/>
      <c r="I186" s="21" t="s">
        <v>233</v>
      </c>
      <c r="J186" s="21" t="s">
        <v>233</v>
      </c>
      <c r="K186" s="22" t="s">
        <v>55</v>
      </c>
      <c r="L186" s="23">
        <v>45242</v>
      </c>
      <c r="Q186" s="25"/>
      <c r="R186" s="25"/>
    </row>
    <row r="187" spans="1:18" ht="15.75" customHeight="1">
      <c r="A187" s="17"/>
      <c r="B187" s="18" t="s">
        <v>652</v>
      </c>
      <c r="C187" s="37" t="s">
        <v>412</v>
      </c>
      <c r="D187" s="20" t="s">
        <v>653</v>
      </c>
      <c r="E187" s="20" t="s">
        <v>55</v>
      </c>
      <c r="F187" s="19" t="s">
        <v>414</v>
      </c>
      <c r="G187" s="19" t="s">
        <v>415</v>
      </c>
      <c r="H187" s="37"/>
      <c r="I187" s="21" t="s">
        <v>233</v>
      </c>
      <c r="J187" s="21" t="s">
        <v>233</v>
      </c>
      <c r="K187" s="22" t="s">
        <v>55</v>
      </c>
      <c r="L187" s="23">
        <v>45242</v>
      </c>
      <c r="Q187" s="25"/>
      <c r="R187" s="25"/>
    </row>
    <row r="188" spans="1:18" ht="15.75" customHeight="1">
      <c r="A188" s="17"/>
      <c r="B188" s="36" t="s">
        <v>654</v>
      </c>
      <c r="C188" s="37" t="s">
        <v>121</v>
      </c>
      <c r="D188" s="20" t="s">
        <v>55</v>
      </c>
      <c r="E188" s="20" t="s">
        <v>55</v>
      </c>
      <c r="F188" s="19" t="s">
        <v>414</v>
      </c>
      <c r="G188" s="37" t="s">
        <v>452</v>
      </c>
      <c r="H188" s="37"/>
      <c r="I188" s="21" t="s">
        <v>233</v>
      </c>
      <c r="J188" s="21" t="s">
        <v>121</v>
      </c>
      <c r="K188" s="22" t="s">
        <v>55</v>
      </c>
      <c r="L188" s="23">
        <v>45242</v>
      </c>
      <c r="Q188" s="25"/>
      <c r="R188" s="25"/>
    </row>
    <row r="189" spans="1:18" ht="15.75" customHeight="1">
      <c r="A189" s="17"/>
      <c r="B189" s="18" t="s">
        <v>655</v>
      </c>
      <c r="C189" s="37" t="s">
        <v>412</v>
      </c>
      <c r="D189" s="20" t="s">
        <v>656</v>
      </c>
      <c r="E189" s="20" t="s">
        <v>55</v>
      </c>
      <c r="F189" s="19" t="s">
        <v>414</v>
      </c>
      <c r="G189" s="37" t="s">
        <v>415</v>
      </c>
      <c r="H189" s="37"/>
      <c r="I189" s="21" t="s">
        <v>233</v>
      </c>
      <c r="J189" s="21" t="s">
        <v>233</v>
      </c>
      <c r="K189" s="22" t="s">
        <v>55</v>
      </c>
      <c r="L189" s="23">
        <v>45242</v>
      </c>
      <c r="Q189" s="25"/>
      <c r="R189" s="25"/>
    </row>
    <row r="190" spans="1:18" ht="15.75" customHeight="1">
      <c r="A190" s="17"/>
      <c r="B190" s="18" t="s">
        <v>657</v>
      </c>
      <c r="C190" s="37" t="s">
        <v>412</v>
      </c>
      <c r="D190" s="20" t="s">
        <v>658</v>
      </c>
      <c r="E190" s="20" t="s">
        <v>55</v>
      </c>
      <c r="F190" s="19" t="s">
        <v>414</v>
      </c>
      <c r="G190" s="19" t="s">
        <v>415</v>
      </c>
      <c r="H190" s="37"/>
      <c r="I190" s="21" t="s">
        <v>233</v>
      </c>
      <c r="J190" s="21" t="s">
        <v>233</v>
      </c>
      <c r="K190" s="22" t="s">
        <v>55</v>
      </c>
      <c r="L190" s="23">
        <v>45242</v>
      </c>
      <c r="Q190" s="25"/>
      <c r="R190" s="25"/>
    </row>
    <row r="191" spans="1:18" ht="15.75" customHeight="1">
      <c r="A191" s="17"/>
      <c r="B191" s="18" t="s">
        <v>659</v>
      </c>
      <c r="C191" s="37" t="s">
        <v>412</v>
      </c>
      <c r="D191" s="20" t="s">
        <v>660</v>
      </c>
      <c r="E191" s="20" t="s">
        <v>55</v>
      </c>
      <c r="F191" s="19" t="s">
        <v>414</v>
      </c>
      <c r="G191" s="37" t="s">
        <v>415</v>
      </c>
      <c r="H191" s="37"/>
      <c r="I191" s="21" t="s">
        <v>233</v>
      </c>
      <c r="J191" s="21" t="s">
        <v>233</v>
      </c>
      <c r="K191" s="22" t="s">
        <v>55</v>
      </c>
      <c r="L191" s="23">
        <v>45242</v>
      </c>
      <c r="Q191" s="25"/>
      <c r="R191" s="25"/>
    </row>
    <row r="192" spans="1:18" ht="15.75" customHeight="1">
      <c r="A192" s="17"/>
      <c r="B192" s="18" t="s">
        <v>661</v>
      </c>
      <c r="C192" s="37" t="s">
        <v>412</v>
      </c>
      <c r="D192" s="20" t="s">
        <v>662</v>
      </c>
      <c r="E192" s="20" t="s">
        <v>55</v>
      </c>
      <c r="F192" s="19" t="s">
        <v>414</v>
      </c>
      <c r="G192" s="19" t="s">
        <v>415</v>
      </c>
      <c r="H192" s="37"/>
      <c r="I192" s="21" t="s">
        <v>233</v>
      </c>
      <c r="J192" s="21" t="s">
        <v>233</v>
      </c>
      <c r="K192" s="22" t="s">
        <v>55</v>
      </c>
      <c r="L192" s="23">
        <v>45242</v>
      </c>
      <c r="Q192" s="25"/>
      <c r="R192" s="25"/>
    </row>
    <row r="193" spans="1:18" ht="15.75" customHeight="1">
      <c r="A193" s="35"/>
      <c r="B193" s="38"/>
      <c r="C193" s="37"/>
      <c r="D193" s="20"/>
      <c r="E193" s="20" t="s">
        <v>145</v>
      </c>
      <c r="F193" s="37"/>
      <c r="G193" s="37"/>
      <c r="H193" s="37"/>
      <c r="I193" s="21"/>
      <c r="J193" s="21"/>
      <c r="K193" s="22" t="s">
        <v>145</v>
      </c>
      <c r="L193" s="39"/>
      <c r="Q193" s="25"/>
      <c r="R193" s="25"/>
    </row>
    <row r="194" spans="1:18" ht="15.75" customHeight="1">
      <c r="A194" s="17" t="s">
        <v>663</v>
      </c>
      <c r="B194" s="18" t="s">
        <v>664</v>
      </c>
      <c r="C194" s="19" t="s">
        <v>24</v>
      </c>
      <c r="D194" s="20" t="s">
        <v>665</v>
      </c>
      <c r="E194" s="20" t="s">
        <v>666</v>
      </c>
      <c r="F194" s="19" t="s">
        <v>27</v>
      </c>
      <c r="G194" s="19" t="s">
        <v>28</v>
      </c>
      <c r="H194" s="19" t="s">
        <v>36</v>
      </c>
      <c r="I194" s="21" t="s">
        <v>29</v>
      </c>
      <c r="J194" s="21" t="s">
        <v>29</v>
      </c>
      <c r="K194" s="22" t="s">
        <v>667</v>
      </c>
      <c r="L194" s="23">
        <v>45242</v>
      </c>
      <c r="N194" s="40"/>
      <c r="Q194" s="25"/>
      <c r="R194" s="25"/>
    </row>
    <row r="195" spans="1:18" ht="15.75" customHeight="1">
      <c r="A195" s="28" t="s">
        <v>668</v>
      </c>
      <c r="B195" s="18" t="s">
        <v>669</v>
      </c>
      <c r="C195" s="19" t="s">
        <v>24</v>
      </c>
      <c r="D195" s="20" t="s">
        <v>670</v>
      </c>
      <c r="E195" s="20" t="s">
        <v>671</v>
      </c>
      <c r="F195" s="19" t="s">
        <v>27</v>
      </c>
      <c r="G195" s="19" t="s">
        <v>28</v>
      </c>
      <c r="H195" s="19" t="s">
        <v>36</v>
      </c>
      <c r="I195" s="21" t="s">
        <v>29</v>
      </c>
      <c r="J195" s="21" t="s">
        <v>29</v>
      </c>
      <c r="K195" s="22" t="s">
        <v>672</v>
      </c>
      <c r="L195" s="23">
        <v>45242</v>
      </c>
      <c r="Q195" s="25"/>
      <c r="R195" s="25"/>
    </row>
    <row r="196" spans="1:18" ht="15.75" customHeight="1">
      <c r="A196" s="47" t="s">
        <v>39</v>
      </c>
      <c r="B196" s="18" t="s">
        <v>673</v>
      </c>
      <c r="C196" s="19" t="s">
        <v>24</v>
      </c>
      <c r="D196" s="20" t="s">
        <v>674</v>
      </c>
      <c r="E196" s="20" t="s">
        <v>675</v>
      </c>
      <c r="F196" s="19" t="s">
        <v>27</v>
      </c>
      <c r="G196" s="19" t="s">
        <v>28</v>
      </c>
      <c r="H196" s="19"/>
      <c r="I196" s="21" t="s">
        <v>29</v>
      </c>
      <c r="J196" s="21" t="s">
        <v>29</v>
      </c>
      <c r="K196" s="22" t="s">
        <v>676</v>
      </c>
      <c r="L196" s="23">
        <v>45242</v>
      </c>
      <c r="Q196" s="25"/>
      <c r="R196" s="25"/>
    </row>
    <row r="197" spans="1:18" ht="15.75" customHeight="1">
      <c r="A197" s="48" t="s">
        <v>677</v>
      </c>
      <c r="B197" s="18" t="s">
        <v>678</v>
      </c>
      <c r="C197" s="19" t="s">
        <v>24</v>
      </c>
      <c r="D197" s="20" t="s">
        <v>55</v>
      </c>
      <c r="E197" s="20" t="s">
        <v>679</v>
      </c>
      <c r="F197" s="19" t="s">
        <v>27</v>
      </c>
      <c r="G197" s="19" t="s">
        <v>28</v>
      </c>
      <c r="H197" s="19" t="s">
        <v>36</v>
      </c>
      <c r="I197" s="21" t="s">
        <v>29</v>
      </c>
      <c r="J197" s="21" t="s">
        <v>29</v>
      </c>
      <c r="K197" s="22" t="s">
        <v>680</v>
      </c>
      <c r="L197" s="23">
        <v>45242</v>
      </c>
      <c r="Q197" s="25"/>
      <c r="R197" s="25"/>
    </row>
    <row r="198" spans="1:18" ht="15.75" customHeight="1">
      <c r="A198" s="49" t="s">
        <v>681</v>
      </c>
      <c r="B198" s="18" t="s">
        <v>682</v>
      </c>
      <c r="C198" s="19" t="s">
        <v>24</v>
      </c>
      <c r="D198" s="20" t="s">
        <v>670</v>
      </c>
      <c r="E198" s="20" t="s">
        <v>683</v>
      </c>
      <c r="F198" s="19" t="s">
        <v>27</v>
      </c>
      <c r="G198" s="19" t="s">
        <v>28</v>
      </c>
      <c r="H198" s="19" t="s">
        <v>36</v>
      </c>
      <c r="I198" s="21" t="s">
        <v>29</v>
      </c>
      <c r="J198" s="21" t="s">
        <v>29</v>
      </c>
      <c r="K198" s="22" t="s">
        <v>684</v>
      </c>
      <c r="L198" s="23">
        <v>45242</v>
      </c>
      <c r="Q198" s="25"/>
      <c r="R198" s="25"/>
    </row>
    <row r="199" spans="1:18" ht="15.75" customHeight="1">
      <c r="A199" s="31" t="s">
        <v>56</v>
      </c>
      <c r="B199" s="18" t="s">
        <v>685</v>
      </c>
      <c r="C199" s="19" t="s">
        <v>24</v>
      </c>
      <c r="D199" s="20" t="s">
        <v>686</v>
      </c>
      <c r="E199" s="20" t="s">
        <v>687</v>
      </c>
      <c r="F199" s="19" t="s">
        <v>27</v>
      </c>
      <c r="G199" s="19" t="s">
        <v>28</v>
      </c>
      <c r="H199" s="19"/>
      <c r="I199" s="21" t="s">
        <v>29</v>
      </c>
      <c r="J199" s="21" t="s">
        <v>29</v>
      </c>
      <c r="K199" s="22" t="s">
        <v>688</v>
      </c>
      <c r="L199" s="23">
        <v>45242</v>
      </c>
      <c r="Q199" s="25"/>
      <c r="R199" s="25"/>
    </row>
    <row r="200" spans="1:18" ht="15.75" customHeight="1">
      <c r="A200" s="17">
        <v>86</v>
      </c>
      <c r="B200" s="18" t="s">
        <v>689</v>
      </c>
      <c r="C200" s="19" t="s">
        <v>24</v>
      </c>
      <c r="D200" s="20" t="s">
        <v>55</v>
      </c>
      <c r="E200" s="20" t="s">
        <v>690</v>
      </c>
      <c r="F200" s="19" t="s">
        <v>27</v>
      </c>
      <c r="G200" s="19" t="s">
        <v>28</v>
      </c>
      <c r="H200" s="19" t="s">
        <v>36</v>
      </c>
      <c r="I200" s="21" t="s">
        <v>29</v>
      </c>
      <c r="J200" s="21" t="s">
        <v>29</v>
      </c>
      <c r="K200" s="22" t="s">
        <v>691</v>
      </c>
      <c r="L200" s="23">
        <v>45242</v>
      </c>
      <c r="Q200" s="25"/>
      <c r="R200" s="25"/>
    </row>
    <row r="201" spans="1:18" ht="15.75" customHeight="1">
      <c r="A201" s="31" t="s">
        <v>64</v>
      </c>
      <c r="B201" s="18" t="s">
        <v>692</v>
      </c>
      <c r="C201" s="19" t="s">
        <v>24</v>
      </c>
      <c r="D201" s="20" t="s">
        <v>686</v>
      </c>
      <c r="E201" s="20" t="s">
        <v>693</v>
      </c>
      <c r="F201" s="19" t="s">
        <v>27</v>
      </c>
      <c r="G201" s="19" t="s">
        <v>28</v>
      </c>
      <c r="H201" s="19" t="s">
        <v>36</v>
      </c>
      <c r="I201" s="21" t="s">
        <v>29</v>
      </c>
      <c r="J201" s="21" t="s">
        <v>29</v>
      </c>
      <c r="K201" s="22" t="s">
        <v>694</v>
      </c>
      <c r="L201" s="23">
        <v>45242</v>
      </c>
      <c r="Q201" s="25"/>
      <c r="R201" s="25"/>
    </row>
    <row r="202" spans="1:18" ht="15.75" customHeight="1">
      <c r="A202" s="17">
        <v>4.7</v>
      </c>
      <c r="B202" s="18" t="s">
        <v>695</v>
      </c>
      <c r="C202" s="19" t="s">
        <v>24</v>
      </c>
      <c r="D202" s="20" t="s">
        <v>665</v>
      </c>
      <c r="E202" s="20" t="s">
        <v>696</v>
      </c>
      <c r="F202" s="19" t="s">
        <v>27</v>
      </c>
      <c r="G202" s="19" t="s">
        <v>28</v>
      </c>
      <c r="H202" s="19" t="s">
        <v>36</v>
      </c>
      <c r="I202" s="21" t="s">
        <v>29</v>
      </c>
      <c r="J202" s="21" t="s">
        <v>29</v>
      </c>
      <c r="K202" s="22" t="s">
        <v>697</v>
      </c>
      <c r="L202" s="23">
        <v>45242</v>
      </c>
      <c r="Q202" s="25"/>
      <c r="R202" s="25"/>
    </row>
    <row r="203" spans="1:18" ht="15.75" customHeight="1">
      <c r="A203" s="31" t="s">
        <v>73</v>
      </c>
      <c r="B203" s="18" t="s">
        <v>698</v>
      </c>
      <c r="C203" s="19" t="s">
        <v>24</v>
      </c>
      <c r="D203" s="20" t="s">
        <v>699</v>
      </c>
      <c r="E203" s="20" t="s">
        <v>700</v>
      </c>
      <c r="F203" s="19" t="s">
        <v>27</v>
      </c>
      <c r="G203" s="19" t="s">
        <v>28</v>
      </c>
      <c r="H203" s="19" t="s">
        <v>36</v>
      </c>
      <c r="I203" s="21" t="s">
        <v>29</v>
      </c>
      <c r="J203" s="21" t="s">
        <v>29</v>
      </c>
      <c r="K203" s="22" t="s">
        <v>701</v>
      </c>
      <c r="L203" s="23">
        <v>45242</v>
      </c>
      <c r="Q203" s="25"/>
      <c r="R203" s="25"/>
    </row>
    <row r="204" spans="1:18" ht="15.75" customHeight="1">
      <c r="A204" s="17">
        <v>4.5999999999999996</v>
      </c>
      <c r="B204" s="18" t="s">
        <v>702</v>
      </c>
      <c r="C204" s="19" t="s">
        <v>24</v>
      </c>
      <c r="D204" s="20" t="s">
        <v>674</v>
      </c>
      <c r="E204" s="20" t="s">
        <v>703</v>
      </c>
      <c r="F204" s="19" t="s">
        <v>27</v>
      </c>
      <c r="G204" s="19" t="s">
        <v>28</v>
      </c>
      <c r="H204" s="19" t="s">
        <v>36</v>
      </c>
      <c r="I204" s="21" t="s">
        <v>29</v>
      </c>
      <c r="J204" s="21" t="s">
        <v>29</v>
      </c>
      <c r="K204" s="22" t="s">
        <v>704</v>
      </c>
      <c r="L204" s="23">
        <v>45242</v>
      </c>
      <c r="Q204" s="25"/>
      <c r="R204" s="25"/>
    </row>
    <row r="205" spans="1:18" ht="15.75" customHeight="1">
      <c r="A205" s="31" t="s">
        <v>82</v>
      </c>
      <c r="B205" s="18" t="s">
        <v>705</v>
      </c>
      <c r="C205" s="19" t="s">
        <v>46</v>
      </c>
      <c r="D205" s="20" t="s">
        <v>670</v>
      </c>
      <c r="E205" s="20" t="s">
        <v>706</v>
      </c>
      <c r="F205" s="19" t="s">
        <v>49</v>
      </c>
      <c r="G205" s="19" t="s">
        <v>50</v>
      </c>
      <c r="H205" s="19" t="s">
        <v>36</v>
      </c>
      <c r="I205" s="21" t="s">
        <v>29</v>
      </c>
      <c r="J205" s="21" t="s">
        <v>29</v>
      </c>
      <c r="K205" s="22" t="s">
        <v>707</v>
      </c>
      <c r="L205" s="23">
        <v>45242</v>
      </c>
      <c r="Q205" s="25"/>
      <c r="R205" s="25"/>
    </row>
    <row r="206" spans="1:18" ht="15.75" customHeight="1">
      <c r="A206" s="17" t="s">
        <v>55</v>
      </c>
      <c r="B206" s="18" t="s">
        <v>708</v>
      </c>
      <c r="C206" s="19" t="s">
        <v>24</v>
      </c>
      <c r="D206" s="20" t="s">
        <v>674</v>
      </c>
      <c r="E206" s="20" t="s">
        <v>709</v>
      </c>
      <c r="F206" s="19" t="s">
        <v>27</v>
      </c>
      <c r="G206" s="19" t="s">
        <v>28</v>
      </c>
      <c r="H206" s="19" t="s">
        <v>36</v>
      </c>
      <c r="I206" s="21" t="s">
        <v>29</v>
      </c>
      <c r="J206" s="21" t="s">
        <v>29</v>
      </c>
      <c r="K206" s="22" t="s">
        <v>710</v>
      </c>
      <c r="L206" s="23">
        <v>45242</v>
      </c>
      <c r="Q206" s="25"/>
      <c r="R206" s="25"/>
    </row>
    <row r="207" spans="1:18" ht="15.75" customHeight="1">
      <c r="A207" s="31" t="s">
        <v>92</v>
      </c>
      <c r="B207" s="18" t="s">
        <v>711</v>
      </c>
      <c r="C207" s="19" t="s">
        <v>24</v>
      </c>
      <c r="D207" s="20" t="s">
        <v>665</v>
      </c>
      <c r="E207" s="20" t="s">
        <v>712</v>
      </c>
      <c r="F207" s="19" t="s">
        <v>27</v>
      </c>
      <c r="G207" s="19" t="s">
        <v>28</v>
      </c>
      <c r="H207" s="19" t="s">
        <v>36</v>
      </c>
      <c r="I207" s="21" t="s">
        <v>29</v>
      </c>
      <c r="J207" s="21" t="s">
        <v>29</v>
      </c>
      <c r="K207" s="22" t="s">
        <v>713</v>
      </c>
      <c r="L207" s="23">
        <v>45242</v>
      </c>
      <c r="Q207" s="25"/>
      <c r="R207" s="25"/>
    </row>
    <row r="208" spans="1:18" ht="15.75" customHeight="1">
      <c r="A208" s="17">
        <v>548</v>
      </c>
      <c r="B208" s="18" t="s">
        <v>714</v>
      </c>
      <c r="C208" s="19" t="s">
        <v>24</v>
      </c>
      <c r="D208" s="20" t="s">
        <v>674</v>
      </c>
      <c r="E208" s="20" t="s">
        <v>715</v>
      </c>
      <c r="F208" s="19" t="s">
        <v>27</v>
      </c>
      <c r="G208" s="19" t="s">
        <v>28</v>
      </c>
      <c r="H208" s="19" t="s">
        <v>36</v>
      </c>
      <c r="I208" s="21" t="s">
        <v>29</v>
      </c>
      <c r="J208" s="21" t="s">
        <v>29</v>
      </c>
      <c r="K208" s="22" t="s">
        <v>716</v>
      </c>
      <c r="L208" s="23">
        <v>45242</v>
      </c>
      <c r="Q208" s="25"/>
      <c r="R208" s="25"/>
    </row>
    <row r="209" spans="1:18" ht="15.75" customHeight="1">
      <c r="A209" s="50" t="s">
        <v>100</v>
      </c>
      <c r="B209" s="18" t="s">
        <v>717</v>
      </c>
      <c r="C209" s="19" t="s">
        <v>228</v>
      </c>
      <c r="D209" s="20" t="s">
        <v>670</v>
      </c>
      <c r="E209" s="20" t="s">
        <v>718</v>
      </c>
      <c r="F209" s="19" t="s">
        <v>231</v>
      </c>
      <c r="G209" s="19" t="s">
        <v>232</v>
      </c>
      <c r="H209" s="19"/>
      <c r="I209" s="21" t="s">
        <v>233</v>
      </c>
      <c r="J209" s="21" t="s">
        <v>233</v>
      </c>
      <c r="K209" s="22" t="s">
        <v>719</v>
      </c>
      <c r="L209" s="23">
        <v>45242</v>
      </c>
      <c r="Q209" s="25"/>
      <c r="R209" s="25"/>
    </row>
    <row r="210" spans="1:18" ht="15.75" customHeight="1">
      <c r="A210" s="35" t="s">
        <v>55</v>
      </c>
      <c r="B210" s="18" t="s">
        <v>720</v>
      </c>
      <c r="C210" s="19" t="s">
        <v>24</v>
      </c>
      <c r="D210" s="20" t="s">
        <v>686</v>
      </c>
      <c r="E210" s="20" t="s">
        <v>721</v>
      </c>
      <c r="F210" s="19" t="s">
        <v>27</v>
      </c>
      <c r="G210" s="19" t="s">
        <v>28</v>
      </c>
      <c r="H210" s="19"/>
      <c r="I210" s="21" t="s">
        <v>29</v>
      </c>
      <c r="J210" s="21" t="s">
        <v>29</v>
      </c>
      <c r="K210" s="22" t="s">
        <v>722</v>
      </c>
      <c r="L210" s="23">
        <v>45242</v>
      </c>
      <c r="Q210" s="25"/>
      <c r="R210" s="25"/>
    </row>
    <row r="211" spans="1:18" ht="15.75" customHeight="1">
      <c r="A211" s="35"/>
      <c r="B211" s="18" t="s">
        <v>723</v>
      </c>
      <c r="C211" s="19" t="s">
        <v>24</v>
      </c>
      <c r="D211" s="20" t="s">
        <v>724</v>
      </c>
      <c r="E211" s="20" t="s">
        <v>725</v>
      </c>
      <c r="F211" s="19" t="s">
        <v>27</v>
      </c>
      <c r="G211" s="19" t="s">
        <v>28</v>
      </c>
      <c r="H211" s="19" t="s">
        <v>36</v>
      </c>
      <c r="I211" s="21" t="s">
        <v>29</v>
      </c>
      <c r="J211" s="21" t="s">
        <v>29</v>
      </c>
      <c r="K211" s="22" t="s">
        <v>726</v>
      </c>
      <c r="L211" s="23">
        <v>45242</v>
      </c>
      <c r="Q211" s="25"/>
      <c r="R211" s="25"/>
    </row>
    <row r="212" spans="1:18" ht="15.75" customHeight="1">
      <c r="A212" s="35"/>
      <c r="B212" s="18" t="s">
        <v>727</v>
      </c>
      <c r="C212" s="19" t="s">
        <v>24</v>
      </c>
      <c r="D212" s="20" t="s">
        <v>728</v>
      </c>
      <c r="E212" s="20" t="s">
        <v>729</v>
      </c>
      <c r="F212" s="19" t="s">
        <v>27</v>
      </c>
      <c r="G212" s="19" t="s">
        <v>28</v>
      </c>
      <c r="H212" s="19" t="s">
        <v>36</v>
      </c>
      <c r="I212" s="21" t="s">
        <v>29</v>
      </c>
      <c r="J212" s="21" t="s">
        <v>29</v>
      </c>
      <c r="K212" s="22" t="s">
        <v>730</v>
      </c>
      <c r="L212" s="23">
        <v>45242</v>
      </c>
      <c r="Q212" s="25"/>
      <c r="R212" s="25"/>
    </row>
    <row r="213" spans="1:18" ht="15.75" customHeight="1">
      <c r="A213" s="35"/>
      <c r="B213" s="18" t="s">
        <v>731</v>
      </c>
      <c r="C213" s="19" t="s">
        <v>24</v>
      </c>
      <c r="D213" s="20" t="s">
        <v>732</v>
      </c>
      <c r="E213" s="20" t="s">
        <v>733</v>
      </c>
      <c r="F213" s="19" t="s">
        <v>27</v>
      </c>
      <c r="G213" s="19" t="s">
        <v>28</v>
      </c>
      <c r="H213" s="19" t="s">
        <v>36</v>
      </c>
      <c r="I213" s="21" t="s">
        <v>29</v>
      </c>
      <c r="J213" s="21" t="s">
        <v>29</v>
      </c>
      <c r="K213" s="22" t="s">
        <v>734</v>
      </c>
      <c r="L213" s="23">
        <v>45242</v>
      </c>
      <c r="Q213" s="25"/>
      <c r="R213" s="25"/>
    </row>
    <row r="214" spans="1:18" ht="15.75" customHeight="1">
      <c r="A214" s="35"/>
      <c r="B214" s="18" t="s">
        <v>735</v>
      </c>
      <c r="C214" s="19" t="s">
        <v>24</v>
      </c>
      <c r="D214" s="20" t="s">
        <v>732</v>
      </c>
      <c r="E214" s="20" t="s">
        <v>736</v>
      </c>
      <c r="F214" s="19" t="s">
        <v>27</v>
      </c>
      <c r="G214" s="19" t="s">
        <v>28</v>
      </c>
      <c r="H214" s="19" t="s">
        <v>36</v>
      </c>
      <c r="I214" s="21" t="s">
        <v>29</v>
      </c>
      <c r="J214" s="21" t="s">
        <v>29</v>
      </c>
      <c r="K214" s="22" t="s">
        <v>737</v>
      </c>
      <c r="L214" s="23">
        <v>45242</v>
      </c>
      <c r="Q214" s="25"/>
      <c r="R214" s="25"/>
    </row>
    <row r="215" spans="1:18" ht="15.75" customHeight="1">
      <c r="A215" s="35"/>
      <c r="B215" s="18" t="s">
        <v>738</v>
      </c>
      <c r="C215" s="19" t="s">
        <v>24</v>
      </c>
      <c r="D215" s="20" t="s">
        <v>739</v>
      </c>
      <c r="E215" s="20" t="s">
        <v>740</v>
      </c>
      <c r="F215" s="19" t="s">
        <v>27</v>
      </c>
      <c r="G215" s="19" t="s">
        <v>28</v>
      </c>
      <c r="H215" s="19" t="s">
        <v>36</v>
      </c>
      <c r="I215" s="21" t="s">
        <v>29</v>
      </c>
      <c r="J215" s="21" t="s">
        <v>29</v>
      </c>
      <c r="K215" s="22" t="s">
        <v>741</v>
      </c>
      <c r="L215" s="23">
        <v>45242</v>
      </c>
      <c r="Q215" s="25"/>
      <c r="R215" s="25"/>
    </row>
    <row r="216" spans="1:18" ht="15.75" customHeight="1">
      <c r="A216" s="35"/>
      <c r="B216" s="18" t="s">
        <v>742</v>
      </c>
      <c r="C216" s="19" t="s">
        <v>24</v>
      </c>
      <c r="D216" s="20" t="s">
        <v>743</v>
      </c>
      <c r="E216" s="20" t="s">
        <v>744</v>
      </c>
      <c r="F216" s="19" t="s">
        <v>27</v>
      </c>
      <c r="G216" s="19" t="s">
        <v>28</v>
      </c>
      <c r="H216" s="19"/>
      <c r="I216" s="21" t="s">
        <v>29</v>
      </c>
      <c r="J216" s="21" t="s">
        <v>29</v>
      </c>
      <c r="K216" s="22" t="s">
        <v>745</v>
      </c>
      <c r="L216" s="23">
        <v>45242</v>
      </c>
      <c r="Q216" s="25"/>
      <c r="R216" s="25"/>
    </row>
    <row r="217" spans="1:18" ht="15.75" customHeight="1">
      <c r="A217" s="35"/>
      <c r="B217" s="18" t="s">
        <v>746</v>
      </c>
      <c r="C217" s="19" t="s">
        <v>412</v>
      </c>
      <c r="D217" s="20"/>
      <c r="E217" s="20" t="s">
        <v>55</v>
      </c>
      <c r="F217" s="19" t="s">
        <v>286</v>
      </c>
      <c r="G217" s="37" t="s">
        <v>415</v>
      </c>
      <c r="H217" s="19"/>
      <c r="I217" s="21" t="s">
        <v>286</v>
      </c>
      <c r="J217" s="21" t="s">
        <v>233</v>
      </c>
      <c r="K217" s="22" t="s">
        <v>55</v>
      </c>
      <c r="L217" s="23">
        <v>45242</v>
      </c>
      <c r="Q217" s="25"/>
      <c r="R217" s="25"/>
    </row>
    <row r="218" spans="1:18" ht="15.75" customHeight="1">
      <c r="A218" s="35"/>
      <c r="B218" s="18" t="s">
        <v>747</v>
      </c>
      <c r="C218" s="19" t="s">
        <v>412</v>
      </c>
      <c r="D218" s="20"/>
      <c r="E218" s="20" t="s">
        <v>748</v>
      </c>
      <c r="F218" s="19" t="s">
        <v>286</v>
      </c>
      <c r="G218" s="19" t="s">
        <v>415</v>
      </c>
      <c r="H218" s="19"/>
      <c r="I218" s="19" t="s">
        <v>286</v>
      </c>
      <c r="J218" s="21" t="s">
        <v>233</v>
      </c>
      <c r="K218" s="22" t="s">
        <v>748</v>
      </c>
      <c r="L218" s="23">
        <v>45242</v>
      </c>
      <c r="Q218" s="25"/>
      <c r="R218" s="25"/>
    </row>
    <row r="219" spans="1:18" ht="15.75" customHeight="1">
      <c r="A219" s="35"/>
      <c r="B219" s="38"/>
      <c r="C219" s="37"/>
      <c r="D219" s="20"/>
      <c r="E219" s="20" t="s">
        <v>145</v>
      </c>
      <c r="F219" s="37"/>
      <c r="G219" s="37"/>
      <c r="H219" s="37"/>
      <c r="I219" s="21"/>
      <c r="J219" s="21"/>
      <c r="K219" s="22" t="s">
        <v>145</v>
      </c>
      <c r="L219" s="39"/>
      <c r="Q219" s="25"/>
      <c r="R219" s="25"/>
    </row>
    <row r="220" spans="1:18" ht="15.75" customHeight="1">
      <c r="A220" s="35" t="s">
        <v>749</v>
      </c>
      <c r="B220" s="18" t="s">
        <v>750</v>
      </c>
      <c r="C220" s="37" t="s">
        <v>24</v>
      </c>
      <c r="D220" s="20" t="s">
        <v>751</v>
      </c>
      <c r="E220" s="20" t="s">
        <v>752</v>
      </c>
      <c r="F220" s="19" t="s">
        <v>27</v>
      </c>
      <c r="G220" s="19" t="s">
        <v>28</v>
      </c>
      <c r="H220" s="37"/>
      <c r="I220" s="21" t="s">
        <v>29</v>
      </c>
      <c r="J220" s="21" t="s">
        <v>29</v>
      </c>
      <c r="K220" s="22" t="s">
        <v>753</v>
      </c>
      <c r="L220" s="23">
        <v>45242</v>
      </c>
      <c r="N220" s="40"/>
      <c r="Q220" s="25"/>
      <c r="R220" s="25"/>
    </row>
    <row r="221" spans="1:18" ht="15.75" customHeight="1">
      <c r="A221" s="51" t="s">
        <v>754</v>
      </c>
      <c r="B221" s="18" t="s">
        <v>755</v>
      </c>
      <c r="C221" s="37" t="s">
        <v>24</v>
      </c>
      <c r="D221" s="20" t="s">
        <v>756</v>
      </c>
      <c r="E221" s="20" t="s">
        <v>757</v>
      </c>
      <c r="F221" s="19" t="s">
        <v>27</v>
      </c>
      <c r="G221" s="19" t="s">
        <v>28</v>
      </c>
      <c r="H221" s="37"/>
      <c r="I221" s="21" t="s">
        <v>29</v>
      </c>
      <c r="J221" s="21" t="s">
        <v>29</v>
      </c>
      <c r="K221" s="22" t="s">
        <v>758</v>
      </c>
      <c r="L221" s="23">
        <v>45242</v>
      </c>
      <c r="Q221" s="25"/>
      <c r="R221" s="25"/>
    </row>
    <row r="222" spans="1:18" ht="15.75" customHeight="1">
      <c r="A222" s="47" t="s">
        <v>39</v>
      </c>
      <c r="B222" s="18" t="s">
        <v>759</v>
      </c>
      <c r="C222" s="37" t="s">
        <v>24</v>
      </c>
      <c r="D222" s="20" t="s">
        <v>760</v>
      </c>
      <c r="E222" s="20" t="s">
        <v>761</v>
      </c>
      <c r="F222" s="19" t="s">
        <v>27</v>
      </c>
      <c r="G222" s="19" t="s">
        <v>28</v>
      </c>
      <c r="H222" s="37" t="s">
        <v>762</v>
      </c>
      <c r="I222" s="21" t="s">
        <v>29</v>
      </c>
      <c r="J222" s="21" t="s">
        <v>29</v>
      </c>
      <c r="K222" s="22" t="s">
        <v>763</v>
      </c>
      <c r="L222" s="23">
        <v>45242</v>
      </c>
      <c r="Q222" s="25"/>
      <c r="R222" s="25"/>
    </row>
    <row r="223" spans="1:18" ht="15.75" customHeight="1">
      <c r="A223" s="48" t="s">
        <v>677</v>
      </c>
      <c r="B223" s="18" t="s">
        <v>764</v>
      </c>
      <c r="C223" s="37" t="s">
        <v>24</v>
      </c>
      <c r="D223" s="20" t="s">
        <v>765</v>
      </c>
      <c r="E223" s="20" t="s">
        <v>766</v>
      </c>
      <c r="F223" s="19" t="s">
        <v>27</v>
      </c>
      <c r="G223" s="19" t="s">
        <v>28</v>
      </c>
      <c r="H223" s="37"/>
      <c r="I223" s="21" t="s">
        <v>29</v>
      </c>
      <c r="J223" s="21" t="s">
        <v>29</v>
      </c>
      <c r="K223" s="22" t="s">
        <v>767</v>
      </c>
      <c r="L223" s="23">
        <v>45242</v>
      </c>
      <c r="Q223" s="25"/>
      <c r="R223" s="25"/>
    </row>
    <row r="224" spans="1:18" ht="15.75" customHeight="1">
      <c r="A224" s="49" t="s">
        <v>768</v>
      </c>
      <c r="B224" s="18" t="s">
        <v>769</v>
      </c>
      <c r="C224" s="37" t="s">
        <v>24</v>
      </c>
      <c r="D224" s="20" t="s">
        <v>770</v>
      </c>
      <c r="E224" s="20" t="s">
        <v>771</v>
      </c>
      <c r="F224" s="19" t="s">
        <v>27</v>
      </c>
      <c r="G224" s="19" t="s">
        <v>28</v>
      </c>
      <c r="H224" s="19" t="s">
        <v>36</v>
      </c>
      <c r="I224" s="21" t="s">
        <v>29</v>
      </c>
      <c r="J224" s="21" t="s">
        <v>29</v>
      </c>
      <c r="K224" s="22" t="s">
        <v>772</v>
      </c>
      <c r="L224" s="23">
        <v>45242</v>
      </c>
      <c r="Q224" s="25"/>
      <c r="R224" s="25"/>
    </row>
    <row r="225" spans="1:18" ht="15.75" customHeight="1">
      <c r="A225" s="31" t="s">
        <v>56</v>
      </c>
      <c r="B225" s="18" t="s">
        <v>773</v>
      </c>
      <c r="C225" s="37" t="s">
        <v>24</v>
      </c>
      <c r="D225" s="20" t="s">
        <v>774</v>
      </c>
      <c r="E225" s="20" t="s">
        <v>775</v>
      </c>
      <c r="F225" s="19" t="s">
        <v>27</v>
      </c>
      <c r="G225" s="19" t="s">
        <v>28</v>
      </c>
      <c r="H225" s="37" t="s">
        <v>762</v>
      </c>
      <c r="I225" s="21" t="s">
        <v>29</v>
      </c>
      <c r="J225" s="21" t="s">
        <v>29</v>
      </c>
      <c r="K225" s="22" t="s">
        <v>776</v>
      </c>
      <c r="L225" s="23">
        <v>45242</v>
      </c>
      <c r="Q225" s="25"/>
      <c r="R225" s="25"/>
    </row>
    <row r="226" spans="1:18" ht="15.75" customHeight="1">
      <c r="A226" s="17">
        <v>91</v>
      </c>
      <c r="B226" s="18" t="s">
        <v>777</v>
      </c>
      <c r="C226" s="37" t="s">
        <v>87</v>
      </c>
      <c r="D226" s="20" t="s">
        <v>778</v>
      </c>
      <c r="E226" s="20" t="s">
        <v>779</v>
      </c>
      <c r="F226" s="19" t="s">
        <v>90</v>
      </c>
      <c r="G226" s="19" t="s">
        <v>91</v>
      </c>
      <c r="H226" s="37"/>
      <c r="I226" s="21" t="s">
        <v>29</v>
      </c>
      <c r="J226" s="21" t="s">
        <v>29</v>
      </c>
      <c r="K226" s="22" t="s">
        <v>780</v>
      </c>
      <c r="L226" s="23">
        <v>45242</v>
      </c>
      <c r="Q226" s="25"/>
      <c r="R226" s="25"/>
    </row>
    <row r="227" spans="1:18" ht="15.75" customHeight="1">
      <c r="A227" s="31" t="s">
        <v>64</v>
      </c>
      <c r="B227" s="18" t="s">
        <v>781</v>
      </c>
      <c r="C227" s="37" t="s">
        <v>46</v>
      </c>
      <c r="D227" s="20" t="s">
        <v>782</v>
      </c>
      <c r="E227" s="20" t="s">
        <v>783</v>
      </c>
      <c r="F227" s="19" t="s">
        <v>49</v>
      </c>
      <c r="G227" s="19" t="s">
        <v>50</v>
      </c>
      <c r="H227" s="37"/>
      <c r="I227" s="21" t="s">
        <v>29</v>
      </c>
      <c r="J227" s="21" t="s">
        <v>29</v>
      </c>
      <c r="K227" s="22" t="s">
        <v>784</v>
      </c>
      <c r="L227" s="23">
        <v>45242</v>
      </c>
      <c r="Q227" s="25"/>
      <c r="R227" s="25"/>
    </row>
    <row r="228" spans="1:18" ht="15.75" customHeight="1">
      <c r="A228" s="17">
        <v>4.7</v>
      </c>
      <c r="B228" s="18" t="s">
        <v>785</v>
      </c>
      <c r="C228" s="37" t="s">
        <v>24</v>
      </c>
      <c r="D228" s="20" t="s">
        <v>786</v>
      </c>
      <c r="E228" s="20" t="s">
        <v>787</v>
      </c>
      <c r="F228" s="19" t="s">
        <v>27</v>
      </c>
      <c r="G228" s="19" t="s">
        <v>28</v>
      </c>
      <c r="H228" s="37" t="s">
        <v>762</v>
      </c>
      <c r="I228" s="21" t="s">
        <v>29</v>
      </c>
      <c r="J228" s="21" t="s">
        <v>29</v>
      </c>
      <c r="K228" s="22" t="s">
        <v>788</v>
      </c>
      <c r="L228" s="23">
        <v>45242</v>
      </c>
      <c r="Q228" s="25"/>
      <c r="R228" s="25"/>
    </row>
    <row r="229" spans="1:18" ht="15.75" customHeight="1">
      <c r="A229" s="31" t="s">
        <v>73</v>
      </c>
      <c r="B229" s="18" t="s">
        <v>789</v>
      </c>
      <c r="C229" s="37" t="s">
        <v>46</v>
      </c>
      <c r="D229" s="20" t="s">
        <v>790</v>
      </c>
      <c r="E229" s="20" t="s">
        <v>791</v>
      </c>
      <c r="F229" s="19" t="s">
        <v>49</v>
      </c>
      <c r="G229" s="19" t="s">
        <v>50</v>
      </c>
      <c r="H229" s="37"/>
      <c r="I229" s="21" t="s">
        <v>29</v>
      </c>
      <c r="J229" s="21" t="s">
        <v>29</v>
      </c>
      <c r="K229" s="22" t="s">
        <v>792</v>
      </c>
      <c r="L229" s="23">
        <v>45242</v>
      </c>
      <c r="Q229" s="25"/>
      <c r="R229" s="25"/>
    </row>
    <row r="230" spans="1:18" ht="15.75" customHeight="1">
      <c r="A230" s="17">
        <v>4.5</v>
      </c>
      <c r="B230" s="29" t="s">
        <v>793</v>
      </c>
      <c r="C230" s="37" t="s">
        <v>24</v>
      </c>
      <c r="D230" s="20" t="s">
        <v>794</v>
      </c>
      <c r="E230" s="20" t="s">
        <v>795</v>
      </c>
      <c r="F230" s="19" t="s">
        <v>27</v>
      </c>
      <c r="G230" s="19" t="s">
        <v>28</v>
      </c>
      <c r="H230" s="37" t="s">
        <v>762</v>
      </c>
      <c r="I230" s="21" t="s">
        <v>29</v>
      </c>
      <c r="J230" s="21" t="s">
        <v>29</v>
      </c>
      <c r="K230" s="22" t="s">
        <v>796</v>
      </c>
      <c r="L230" s="23">
        <v>45242</v>
      </c>
      <c r="Q230" s="25"/>
      <c r="R230" s="25"/>
    </row>
    <row r="231" spans="1:18" ht="15.75" customHeight="1">
      <c r="A231" s="47" t="s">
        <v>82</v>
      </c>
      <c r="B231" s="18" t="s">
        <v>797</v>
      </c>
      <c r="C231" s="37" t="s">
        <v>46</v>
      </c>
      <c r="D231" s="20" t="s">
        <v>798</v>
      </c>
      <c r="E231" s="20" t="s">
        <v>799</v>
      </c>
      <c r="F231" s="19" t="s">
        <v>49</v>
      </c>
      <c r="G231" s="19" t="s">
        <v>50</v>
      </c>
      <c r="H231" s="37"/>
      <c r="I231" s="21" t="s">
        <v>29</v>
      </c>
      <c r="J231" s="21" t="s">
        <v>29</v>
      </c>
      <c r="K231" s="22" t="s">
        <v>800</v>
      </c>
      <c r="L231" s="23">
        <v>45242</v>
      </c>
      <c r="Q231" s="25"/>
      <c r="R231" s="25"/>
    </row>
    <row r="232" spans="1:18" ht="15.75" customHeight="1">
      <c r="A232" s="49" t="s">
        <v>801</v>
      </c>
      <c r="B232" s="18" t="s">
        <v>802</v>
      </c>
      <c r="C232" s="37" t="s">
        <v>24</v>
      </c>
      <c r="D232" s="20" t="s">
        <v>803</v>
      </c>
      <c r="E232" s="20" t="s">
        <v>804</v>
      </c>
      <c r="F232" s="19" t="s">
        <v>27</v>
      </c>
      <c r="G232" s="19" t="s">
        <v>28</v>
      </c>
      <c r="H232" s="37"/>
      <c r="I232" s="21" t="s">
        <v>29</v>
      </c>
      <c r="J232" s="21" t="s">
        <v>29</v>
      </c>
      <c r="K232" s="22" t="s">
        <v>805</v>
      </c>
      <c r="L232" s="23">
        <v>45242</v>
      </c>
      <c r="Q232" s="25"/>
      <c r="R232" s="25"/>
    </row>
    <row r="233" spans="1:18" ht="15.75" customHeight="1">
      <c r="A233" s="47" t="s">
        <v>92</v>
      </c>
      <c r="B233" s="18" t="s">
        <v>806</v>
      </c>
      <c r="C233" s="37" t="s">
        <v>24</v>
      </c>
      <c r="D233" s="20" t="s">
        <v>807</v>
      </c>
      <c r="E233" s="20" t="s">
        <v>808</v>
      </c>
      <c r="F233" s="19" t="s">
        <v>27</v>
      </c>
      <c r="G233" s="19" t="s">
        <v>28</v>
      </c>
      <c r="H233" s="37"/>
      <c r="I233" s="21" t="s">
        <v>29</v>
      </c>
      <c r="J233" s="21" t="s">
        <v>29</v>
      </c>
      <c r="K233" s="22" t="s">
        <v>809</v>
      </c>
      <c r="L233" s="23">
        <v>45242</v>
      </c>
      <c r="Q233" s="25"/>
      <c r="R233" s="25"/>
    </row>
    <row r="234" spans="1:18" ht="15.75" customHeight="1">
      <c r="A234" s="52">
        <v>2673</v>
      </c>
      <c r="B234" s="18" t="s">
        <v>810</v>
      </c>
      <c r="C234" s="37" t="s">
        <v>24</v>
      </c>
      <c r="D234" s="20" t="s">
        <v>811</v>
      </c>
      <c r="E234" s="20" t="s">
        <v>812</v>
      </c>
      <c r="F234" s="19" t="s">
        <v>27</v>
      </c>
      <c r="G234" s="19" t="s">
        <v>28</v>
      </c>
      <c r="H234" s="37" t="s">
        <v>813</v>
      </c>
      <c r="I234" s="21" t="s">
        <v>29</v>
      </c>
      <c r="J234" s="21" t="s">
        <v>29</v>
      </c>
      <c r="K234" s="22" t="s">
        <v>814</v>
      </c>
      <c r="L234" s="23">
        <v>45242</v>
      </c>
      <c r="Q234" s="25"/>
      <c r="R234" s="25"/>
    </row>
    <row r="235" spans="1:18" ht="15.75" customHeight="1">
      <c r="A235" s="50" t="s">
        <v>100</v>
      </c>
      <c r="B235" s="18" t="s">
        <v>815</v>
      </c>
      <c r="C235" s="37" t="s">
        <v>24</v>
      </c>
      <c r="D235" s="20" t="s">
        <v>816</v>
      </c>
      <c r="E235" s="20" t="s">
        <v>817</v>
      </c>
      <c r="F235" s="19" t="s">
        <v>27</v>
      </c>
      <c r="G235" s="19" t="s">
        <v>28</v>
      </c>
      <c r="H235" s="37"/>
      <c r="I235" s="21" t="s">
        <v>29</v>
      </c>
      <c r="J235" s="21" t="s">
        <v>29</v>
      </c>
      <c r="K235" s="22" t="s">
        <v>818</v>
      </c>
      <c r="L235" s="23">
        <v>45242</v>
      </c>
      <c r="Q235" s="25"/>
      <c r="R235" s="25"/>
    </row>
    <row r="236" spans="1:18" ht="15.75" customHeight="1">
      <c r="A236" s="17">
        <v>168</v>
      </c>
      <c r="B236" s="18" t="s">
        <v>819</v>
      </c>
      <c r="C236" s="37" t="s">
        <v>24</v>
      </c>
      <c r="D236" s="20" t="s">
        <v>820</v>
      </c>
      <c r="E236" s="20" t="s">
        <v>821</v>
      </c>
      <c r="F236" s="19" t="s">
        <v>27</v>
      </c>
      <c r="G236" s="19" t="s">
        <v>28</v>
      </c>
      <c r="H236" s="37"/>
      <c r="I236" s="21" t="s">
        <v>29</v>
      </c>
      <c r="J236" s="21" t="s">
        <v>29</v>
      </c>
      <c r="K236" s="22" t="s">
        <v>822</v>
      </c>
      <c r="L236" s="23">
        <v>45242</v>
      </c>
      <c r="Q236" s="25"/>
      <c r="R236" s="25"/>
    </row>
    <row r="237" spans="1:18" ht="15.75" customHeight="1">
      <c r="A237" s="35"/>
      <c r="B237" s="34" t="s">
        <v>823</v>
      </c>
      <c r="C237" s="37" t="s">
        <v>87</v>
      </c>
      <c r="D237" s="20" t="s">
        <v>824</v>
      </c>
      <c r="E237" s="20" t="s">
        <v>825</v>
      </c>
      <c r="F237" s="19" t="s">
        <v>49</v>
      </c>
      <c r="G237" s="19" t="s">
        <v>50</v>
      </c>
      <c r="H237" s="37"/>
      <c r="I237" s="21" t="s">
        <v>29</v>
      </c>
      <c r="J237" s="21" t="s">
        <v>29</v>
      </c>
      <c r="K237" s="22" t="s">
        <v>826</v>
      </c>
      <c r="L237" s="23">
        <v>45242</v>
      </c>
      <c r="Q237" s="25"/>
      <c r="R237" s="25"/>
    </row>
    <row r="238" spans="1:18" ht="15.75" customHeight="1">
      <c r="A238" s="35"/>
      <c r="B238" s="18" t="s">
        <v>827</v>
      </c>
      <c r="C238" s="37" t="s">
        <v>24</v>
      </c>
      <c r="D238" s="20" t="s">
        <v>828</v>
      </c>
      <c r="E238" s="20" t="s">
        <v>829</v>
      </c>
      <c r="F238" s="19" t="s">
        <v>27</v>
      </c>
      <c r="G238" s="19" t="s">
        <v>28</v>
      </c>
      <c r="H238" s="19" t="s">
        <v>36</v>
      </c>
      <c r="I238" s="21" t="s">
        <v>29</v>
      </c>
      <c r="J238" s="21" t="s">
        <v>29</v>
      </c>
      <c r="K238" s="22" t="s">
        <v>830</v>
      </c>
      <c r="L238" s="23">
        <v>45242</v>
      </c>
      <c r="Q238" s="25"/>
      <c r="R238" s="25"/>
    </row>
    <row r="239" spans="1:18" ht="15.75" customHeight="1">
      <c r="A239" s="35"/>
      <c r="B239" s="18" t="s">
        <v>831</v>
      </c>
      <c r="C239" s="37" t="s">
        <v>24</v>
      </c>
      <c r="D239" s="20" t="s">
        <v>832</v>
      </c>
      <c r="E239" s="20" t="s">
        <v>833</v>
      </c>
      <c r="F239" s="19" t="s">
        <v>27</v>
      </c>
      <c r="G239" s="19" t="s">
        <v>28</v>
      </c>
      <c r="H239" s="37"/>
      <c r="I239" s="21" t="s">
        <v>29</v>
      </c>
      <c r="J239" s="21" t="s">
        <v>29</v>
      </c>
      <c r="K239" s="22" t="s">
        <v>834</v>
      </c>
      <c r="L239" s="23">
        <v>45242</v>
      </c>
      <c r="Q239" s="25"/>
      <c r="R239" s="25"/>
    </row>
    <row r="240" spans="1:18" ht="15.75" customHeight="1">
      <c r="A240" s="35"/>
      <c r="B240" s="18" t="s">
        <v>835</v>
      </c>
      <c r="C240" s="37" t="s">
        <v>46</v>
      </c>
      <c r="D240" s="20" t="s">
        <v>836</v>
      </c>
      <c r="E240" s="20" t="s">
        <v>837</v>
      </c>
      <c r="F240" s="37" t="s">
        <v>286</v>
      </c>
      <c r="G240" s="19" t="s">
        <v>50</v>
      </c>
      <c r="H240" s="37"/>
      <c r="I240" s="37" t="s">
        <v>286</v>
      </c>
      <c r="J240" s="21" t="s">
        <v>29</v>
      </c>
      <c r="K240" s="22" t="s">
        <v>838</v>
      </c>
      <c r="L240" s="23">
        <v>45242</v>
      </c>
      <c r="Q240" s="25"/>
      <c r="R240" s="25"/>
    </row>
    <row r="241" spans="1:28" ht="15.75" customHeight="1">
      <c r="A241" s="35"/>
      <c r="B241" s="18" t="s">
        <v>839</v>
      </c>
      <c r="C241" s="37" t="s">
        <v>24</v>
      </c>
      <c r="D241" s="20" t="s">
        <v>840</v>
      </c>
      <c r="E241" s="20" t="s">
        <v>841</v>
      </c>
      <c r="F241" s="19" t="s">
        <v>27</v>
      </c>
      <c r="G241" s="19" t="s">
        <v>28</v>
      </c>
      <c r="H241" s="37"/>
      <c r="I241" s="21" t="s">
        <v>29</v>
      </c>
      <c r="J241" s="21" t="s">
        <v>29</v>
      </c>
      <c r="K241" s="22" t="s">
        <v>842</v>
      </c>
      <c r="L241" s="23">
        <v>45242</v>
      </c>
      <c r="Q241" s="25"/>
      <c r="R241" s="25"/>
    </row>
    <row r="242" spans="1:28" ht="15.75" customHeight="1">
      <c r="A242" s="35"/>
      <c r="B242" s="18" t="s">
        <v>843</v>
      </c>
      <c r="C242" s="37" t="s">
        <v>87</v>
      </c>
      <c r="D242" s="20" t="s">
        <v>844</v>
      </c>
      <c r="E242" s="20" t="s">
        <v>845</v>
      </c>
      <c r="F242" s="19" t="s">
        <v>49</v>
      </c>
      <c r="G242" s="19" t="s">
        <v>91</v>
      </c>
      <c r="H242" s="37"/>
      <c r="I242" s="21" t="s">
        <v>29</v>
      </c>
      <c r="J242" s="21" t="s">
        <v>29</v>
      </c>
      <c r="K242" s="22" t="s">
        <v>846</v>
      </c>
      <c r="L242" s="23">
        <v>45242</v>
      </c>
      <c r="Q242" s="25"/>
      <c r="R242" s="25"/>
    </row>
    <row r="243" spans="1:28" ht="15.75" customHeight="1">
      <c r="A243" s="35"/>
      <c r="B243" s="18" t="s">
        <v>847</v>
      </c>
      <c r="C243" s="37" t="s">
        <v>24</v>
      </c>
      <c r="D243" s="20" t="s">
        <v>848</v>
      </c>
      <c r="E243" s="20" t="s">
        <v>849</v>
      </c>
      <c r="F243" s="19" t="s">
        <v>90</v>
      </c>
      <c r="G243" s="19" t="s">
        <v>28</v>
      </c>
      <c r="H243" s="37"/>
      <c r="I243" s="21" t="s">
        <v>29</v>
      </c>
      <c r="J243" s="21" t="s">
        <v>29</v>
      </c>
      <c r="K243" s="22" t="s">
        <v>850</v>
      </c>
      <c r="L243" s="23">
        <v>45242</v>
      </c>
      <c r="Q243" s="25"/>
      <c r="R243" s="25"/>
    </row>
    <row r="244" spans="1:28" ht="15.75" customHeight="1">
      <c r="A244" s="35"/>
      <c r="B244" s="18" t="s">
        <v>851</v>
      </c>
      <c r="C244" s="37" t="s">
        <v>24</v>
      </c>
      <c r="D244" s="20" t="s">
        <v>852</v>
      </c>
      <c r="E244" s="20" t="s">
        <v>853</v>
      </c>
      <c r="F244" s="19" t="s">
        <v>27</v>
      </c>
      <c r="G244" s="19" t="s">
        <v>28</v>
      </c>
      <c r="H244" s="37" t="s">
        <v>813</v>
      </c>
      <c r="I244" s="21" t="s">
        <v>29</v>
      </c>
      <c r="J244" s="21" t="s">
        <v>29</v>
      </c>
      <c r="K244" s="22" t="s">
        <v>853</v>
      </c>
      <c r="L244" s="23">
        <v>45242</v>
      </c>
      <c r="Q244" s="25"/>
      <c r="R244" s="25"/>
    </row>
    <row r="245" spans="1:28" ht="15.75" customHeight="1">
      <c r="A245" s="35"/>
      <c r="B245" s="18" t="s">
        <v>854</v>
      </c>
      <c r="C245" s="37" t="s">
        <v>24</v>
      </c>
      <c r="D245" s="20" t="s">
        <v>855</v>
      </c>
      <c r="E245" s="20" t="s">
        <v>856</v>
      </c>
      <c r="F245" s="19" t="s">
        <v>27</v>
      </c>
      <c r="G245" s="19" t="s">
        <v>28</v>
      </c>
      <c r="H245" s="19" t="s">
        <v>36</v>
      </c>
      <c r="I245" s="21" t="s">
        <v>29</v>
      </c>
      <c r="J245" s="21" t="s">
        <v>29</v>
      </c>
      <c r="K245" s="22" t="s">
        <v>856</v>
      </c>
      <c r="L245" s="23">
        <v>45242</v>
      </c>
      <c r="Q245" s="25"/>
      <c r="R245" s="25"/>
    </row>
    <row r="246" spans="1:28" ht="15.75" customHeight="1">
      <c r="A246" s="35"/>
      <c r="B246" s="18" t="s">
        <v>857</v>
      </c>
      <c r="C246" s="37" t="s">
        <v>24</v>
      </c>
      <c r="D246" s="20" t="s">
        <v>858</v>
      </c>
      <c r="E246" s="20" t="s">
        <v>859</v>
      </c>
      <c r="F246" s="19" t="s">
        <v>27</v>
      </c>
      <c r="G246" s="19" t="s">
        <v>28</v>
      </c>
      <c r="H246" s="37" t="s">
        <v>813</v>
      </c>
      <c r="I246" s="21" t="s">
        <v>29</v>
      </c>
      <c r="J246" s="21" t="s">
        <v>29</v>
      </c>
      <c r="K246" s="22" t="s">
        <v>860</v>
      </c>
      <c r="L246" s="23">
        <v>45242</v>
      </c>
      <c r="Q246" s="25"/>
      <c r="R246" s="25"/>
    </row>
    <row r="247" spans="1:28" ht="15.75" customHeight="1">
      <c r="A247" s="35"/>
      <c r="B247" s="18" t="s">
        <v>861</v>
      </c>
      <c r="C247" s="37" t="s">
        <v>24</v>
      </c>
      <c r="D247" s="20" t="s">
        <v>862</v>
      </c>
      <c r="E247" s="20" t="s">
        <v>863</v>
      </c>
      <c r="F247" s="19" t="s">
        <v>27</v>
      </c>
      <c r="G247" s="19" t="s">
        <v>28</v>
      </c>
      <c r="H247" s="19" t="s">
        <v>36</v>
      </c>
      <c r="I247" s="21" t="s">
        <v>29</v>
      </c>
      <c r="J247" s="21" t="s">
        <v>29</v>
      </c>
      <c r="K247" s="22" t="s">
        <v>864</v>
      </c>
      <c r="L247" s="23">
        <v>45242</v>
      </c>
      <c r="Q247" s="25"/>
      <c r="R247" s="25"/>
    </row>
    <row r="248" spans="1:28" ht="15.75" customHeight="1">
      <c r="A248" s="35"/>
      <c r="B248" s="18" t="s">
        <v>865</v>
      </c>
      <c r="C248" s="37" t="s">
        <v>24</v>
      </c>
      <c r="D248" s="20" t="s">
        <v>866</v>
      </c>
      <c r="E248" s="20" t="s">
        <v>867</v>
      </c>
      <c r="F248" s="19" t="s">
        <v>27</v>
      </c>
      <c r="G248" s="19" t="s">
        <v>28</v>
      </c>
      <c r="H248" s="37"/>
      <c r="I248" s="21" t="s">
        <v>29</v>
      </c>
      <c r="J248" s="21" t="s">
        <v>29</v>
      </c>
      <c r="K248" s="22" t="s">
        <v>867</v>
      </c>
      <c r="L248" s="23">
        <v>45242</v>
      </c>
      <c r="Q248" s="25"/>
      <c r="R248" s="25"/>
      <c r="AB248" s="42"/>
    </row>
    <row r="249" spans="1:28" ht="15.75" customHeight="1">
      <c r="A249" s="35"/>
      <c r="B249" s="18" t="s">
        <v>868</v>
      </c>
      <c r="C249" s="37" t="s">
        <v>46</v>
      </c>
      <c r="D249" s="20" t="s">
        <v>869</v>
      </c>
      <c r="E249" s="20" t="s">
        <v>870</v>
      </c>
      <c r="F249" s="19" t="s">
        <v>49</v>
      </c>
      <c r="G249" s="19" t="s">
        <v>50</v>
      </c>
      <c r="H249" s="37"/>
      <c r="I249" s="21" t="s">
        <v>29</v>
      </c>
      <c r="J249" s="21" t="s">
        <v>29</v>
      </c>
      <c r="K249" s="22" t="s">
        <v>871</v>
      </c>
      <c r="L249" s="23">
        <v>45242</v>
      </c>
      <c r="Q249" s="25"/>
      <c r="R249" s="25"/>
    </row>
    <row r="250" spans="1:28" ht="15.75" customHeight="1">
      <c r="A250" s="35"/>
      <c r="B250" s="18" t="s">
        <v>872</v>
      </c>
      <c r="C250" s="37" t="s">
        <v>24</v>
      </c>
      <c r="D250" s="20" t="s">
        <v>873</v>
      </c>
      <c r="E250" s="20" t="s">
        <v>874</v>
      </c>
      <c r="F250" s="19" t="s">
        <v>27</v>
      </c>
      <c r="G250" s="19" t="s">
        <v>28</v>
      </c>
      <c r="H250" s="37"/>
      <c r="I250" s="21" t="s">
        <v>29</v>
      </c>
      <c r="J250" s="21" t="s">
        <v>29</v>
      </c>
      <c r="K250" s="22" t="s">
        <v>874</v>
      </c>
      <c r="L250" s="23">
        <v>45242</v>
      </c>
      <c r="Q250" s="25"/>
      <c r="R250" s="25"/>
    </row>
    <row r="251" spans="1:28" ht="15.75" customHeight="1">
      <c r="A251" s="35"/>
      <c r="B251" s="18" t="s">
        <v>875</v>
      </c>
      <c r="C251" s="37" t="s">
        <v>24</v>
      </c>
      <c r="D251" s="20" t="s">
        <v>876</v>
      </c>
      <c r="E251" s="20" t="s">
        <v>877</v>
      </c>
      <c r="F251" s="19" t="s">
        <v>27</v>
      </c>
      <c r="G251" s="19" t="s">
        <v>28</v>
      </c>
      <c r="H251" s="19" t="s">
        <v>36</v>
      </c>
      <c r="I251" s="21" t="s">
        <v>29</v>
      </c>
      <c r="J251" s="21" t="s">
        <v>29</v>
      </c>
      <c r="K251" s="22" t="s">
        <v>877</v>
      </c>
      <c r="L251" s="23">
        <v>45242</v>
      </c>
      <c r="Q251" s="25"/>
      <c r="R251" s="25"/>
    </row>
    <row r="252" spans="1:28" ht="15.75" customHeight="1">
      <c r="A252" s="35"/>
      <c r="B252" s="18" t="s">
        <v>878</v>
      </c>
      <c r="C252" s="37" t="s">
        <v>87</v>
      </c>
      <c r="D252" s="20" t="s">
        <v>879</v>
      </c>
      <c r="E252" s="20" t="s">
        <v>880</v>
      </c>
      <c r="F252" s="19" t="s">
        <v>90</v>
      </c>
      <c r="G252" s="19" t="s">
        <v>91</v>
      </c>
      <c r="H252" s="37"/>
      <c r="I252" s="21" t="s">
        <v>29</v>
      </c>
      <c r="J252" s="21" t="s">
        <v>29</v>
      </c>
      <c r="K252" s="22" t="s">
        <v>880</v>
      </c>
      <c r="L252" s="23">
        <v>45242</v>
      </c>
      <c r="Q252" s="25"/>
      <c r="R252" s="25"/>
    </row>
    <row r="253" spans="1:28" ht="15.75" customHeight="1">
      <c r="A253" s="35"/>
      <c r="B253" s="18" t="s">
        <v>881</v>
      </c>
      <c r="C253" s="37" t="s">
        <v>24</v>
      </c>
      <c r="D253" s="20" t="s">
        <v>882</v>
      </c>
      <c r="E253" s="20" t="s">
        <v>883</v>
      </c>
      <c r="F253" s="19" t="s">
        <v>27</v>
      </c>
      <c r="G253" s="19" t="s">
        <v>28</v>
      </c>
      <c r="H253" s="37"/>
      <c r="I253" s="21" t="s">
        <v>29</v>
      </c>
      <c r="J253" s="21" t="s">
        <v>29</v>
      </c>
      <c r="K253" s="22" t="s">
        <v>884</v>
      </c>
      <c r="L253" s="23">
        <v>45242</v>
      </c>
      <c r="Q253" s="25"/>
      <c r="R253" s="25"/>
    </row>
    <row r="254" spans="1:28" ht="15.75" customHeight="1">
      <c r="A254" s="35"/>
      <c r="B254" s="34" t="s">
        <v>885</v>
      </c>
      <c r="C254" s="37" t="s">
        <v>87</v>
      </c>
      <c r="D254" s="20" t="s">
        <v>886</v>
      </c>
      <c r="E254" s="20" t="s">
        <v>887</v>
      </c>
      <c r="F254" s="19" t="s">
        <v>49</v>
      </c>
      <c r="G254" s="19" t="s">
        <v>50</v>
      </c>
      <c r="H254" s="19" t="s">
        <v>36</v>
      </c>
      <c r="I254" s="21" t="s">
        <v>29</v>
      </c>
      <c r="J254" s="21" t="s">
        <v>29</v>
      </c>
      <c r="K254" s="22" t="s">
        <v>888</v>
      </c>
      <c r="L254" s="23">
        <v>45242</v>
      </c>
      <c r="Q254" s="25"/>
      <c r="R254" s="25"/>
    </row>
    <row r="255" spans="1:28" ht="15.75" customHeight="1">
      <c r="A255" s="35"/>
      <c r="B255" s="18" t="s">
        <v>889</v>
      </c>
      <c r="C255" s="37" t="s">
        <v>87</v>
      </c>
      <c r="D255" s="20" t="s">
        <v>890</v>
      </c>
      <c r="E255" s="20" t="s">
        <v>891</v>
      </c>
      <c r="F255" s="19" t="s">
        <v>90</v>
      </c>
      <c r="G255" s="19" t="s">
        <v>91</v>
      </c>
      <c r="H255" s="37"/>
      <c r="I255" s="21" t="s">
        <v>29</v>
      </c>
      <c r="J255" s="21" t="s">
        <v>29</v>
      </c>
      <c r="K255" s="22" t="s">
        <v>892</v>
      </c>
      <c r="L255" s="23">
        <v>45242</v>
      </c>
      <c r="Q255" s="25"/>
      <c r="R255" s="25"/>
    </row>
    <row r="256" spans="1:28" ht="15.75" customHeight="1">
      <c r="A256" s="35"/>
      <c r="B256" s="18" t="s">
        <v>893</v>
      </c>
      <c r="C256" s="37" t="s">
        <v>24</v>
      </c>
      <c r="D256" s="20" t="s">
        <v>894</v>
      </c>
      <c r="E256" s="20" t="s">
        <v>895</v>
      </c>
      <c r="F256" s="19" t="s">
        <v>27</v>
      </c>
      <c r="G256" s="19" t="s">
        <v>28</v>
      </c>
      <c r="H256" s="37" t="s">
        <v>762</v>
      </c>
      <c r="I256" s="21" t="s">
        <v>29</v>
      </c>
      <c r="J256" s="21" t="s">
        <v>29</v>
      </c>
      <c r="K256" s="22" t="s">
        <v>896</v>
      </c>
      <c r="L256" s="23">
        <v>45242</v>
      </c>
      <c r="Q256" s="25"/>
      <c r="R256" s="25"/>
    </row>
    <row r="257" spans="1:18" ht="15.75" customHeight="1">
      <c r="A257" s="35"/>
      <c r="B257" s="18" t="s">
        <v>897</v>
      </c>
      <c r="C257" s="37" t="s">
        <v>46</v>
      </c>
      <c r="D257" s="20" t="s">
        <v>898</v>
      </c>
      <c r="E257" s="20" t="s">
        <v>899</v>
      </c>
      <c r="F257" s="37" t="s">
        <v>286</v>
      </c>
      <c r="G257" s="19" t="s">
        <v>50</v>
      </c>
      <c r="H257" s="37"/>
      <c r="I257" s="37" t="s">
        <v>286</v>
      </c>
      <c r="J257" s="21" t="s">
        <v>29</v>
      </c>
      <c r="K257" s="22" t="s">
        <v>900</v>
      </c>
      <c r="L257" s="23">
        <v>45242</v>
      </c>
      <c r="Q257" s="25"/>
      <c r="R257" s="25"/>
    </row>
    <row r="258" spans="1:18" ht="15.75" customHeight="1">
      <c r="A258" s="35"/>
      <c r="B258" s="18" t="s">
        <v>901</v>
      </c>
      <c r="C258" s="37" t="s">
        <v>24</v>
      </c>
      <c r="D258" s="20" t="s">
        <v>902</v>
      </c>
      <c r="E258" s="20" t="s">
        <v>903</v>
      </c>
      <c r="F258" s="19" t="s">
        <v>27</v>
      </c>
      <c r="G258" s="19" t="s">
        <v>28</v>
      </c>
      <c r="H258" s="19" t="s">
        <v>36</v>
      </c>
      <c r="I258" s="21" t="s">
        <v>29</v>
      </c>
      <c r="J258" s="21" t="s">
        <v>29</v>
      </c>
      <c r="K258" s="22" t="s">
        <v>904</v>
      </c>
      <c r="L258" s="23">
        <v>45242</v>
      </c>
      <c r="Q258" s="25"/>
      <c r="R258" s="25"/>
    </row>
    <row r="259" spans="1:18" ht="15.75" customHeight="1">
      <c r="A259" s="35"/>
      <c r="B259" s="18" t="s">
        <v>905</v>
      </c>
      <c r="C259" s="37" t="s">
        <v>412</v>
      </c>
      <c r="D259" s="20" t="s">
        <v>906</v>
      </c>
      <c r="E259" s="20" t="s">
        <v>907</v>
      </c>
      <c r="F259" s="19" t="s">
        <v>414</v>
      </c>
      <c r="G259" s="37" t="s">
        <v>415</v>
      </c>
      <c r="H259" s="37"/>
      <c r="I259" s="21" t="s">
        <v>233</v>
      </c>
      <c r="J259" s="21" t="s">
        <v>233</v>
      </c>
      <c r="K259" s="22" t="s">
        <v>908</v>
      </c>
      <c r="L259" s="23">
        <v>45242</v>
      </c>
      <c r="Q259" s="25"/>
      <c r="R259" s="25"/>
    </row>
    <row r="260" spans="1:18" ht="15.75" customHeight="1">
      <c r="A260" s="35"/>
      <c r="B260" s="18" t="s">
        <v>909</v>
      </c>
      <c r="C260" s="37" t="s">
        <v>412</v>
      </c>
      <c r="D260" s="20" t="s">
        <v>910</v>
      </c>
      <c r="E260" s="20" t="s">
        <v>55</v>
      </c>
      <c r="F260" s="19" t="s">
        <v>414</v>
      </c>
      <c r="G260" s="19" t="s">
        <v>415</v>
      </c>
      <c r="H260" s="37"/>
      <c r="I260" s="21" t="s">
        <v>233</v>
      </c>
      <c r="J260" s="21" t="s">
        <v>233</v>
      </c>
      <c r="K260" s="22" t="s">
        <v>55</v>
      </c>
      <c r="L260" s="23">
        <v>45242</v>
      </c>
      <c r="Q260" s="25"/>
      <c r="R260" s="25"/>
    </row>
    <row r="261" spans="1:18" ht="15.75" customHeight="1">
      <c r="A261" s="35"/>
      <c r="B261" s="36" t="s">
        <v>911</v>
      </c>
      <c r="C261" s="37" t="s">
        <v>121</v>
      </c>
      <c r="D261" s="20" t="s">
        <v>912</v>
      </c>
      <c r="E261" s="20" t="s">
        <v>55</v>
      </c>
      <c r="F261" s="19" t="s">
        <v>414</v>
      </c>
      <c r="G261" s="37" t="s">
        <v>452</v>
      </c>
      <c r="H261" s="37"/>
      <c r="I261" s="21" t="s">
        <v>233</v>
      </c>
      <c r="J261" s="21" t="s">
        <v>452</v>
      </c>
      <c r="K261" s="22" t="s">
        <v>55</v>
      </c>
      <c r="L261" s="23">
        <v>45242</v>
      </c>
      <c r="Q261" s="25"/>
      <c r="R261" s="25"/>
    </row>
    <row r="262" spans="1:18" ht="15.75" customHeight="1">
      <c r="A262" s="35"/>
      <c r="B262" s="18" t="s">
        <v>913</v>
      </c>
      <c r="C262" s="37" t="s">
        <v>412</v>
      </c>
      <c r="D262" s="20" t="s">
        <v>914</v>
      </c>
      <c r="E262" s="20" t="s">
        <v>915</v>
      </c>
      <c r="F262" s="19" t="s">
        <v>414</v>
      </c>
      <c r="G262" s="37" t="s">
        <v>415</v>
      </c>
      <c r="H262" s="37"/>
      <c r="I262" s="21" t="s">
        <v>233</v>
      </c>
      <c r="J262" s="21" t="s">
        <v>233</v>
      </c>
      <c r="K262" s="22" t="s">
        <v>916</v>
      </c>
      <c r="L262" s="23">
        <v>45242</v>
      </c>
      <c r="Q262" s="25"/>
      <c r="R262" s="25"/>
    </row>
    <row r="263" spans="1:18" ht="15.75" customHeight="1">
      <c r="A263" s="35"/>
      <c r="B263" s="18" t="s">
        <v>917</v>
      </c>
      <c r="C263" s="37" t="s">
        <v>412</v>
      </c>
      <c r="D263" s="20" t="s">
        <v>918</v>
      </c>
      <c r="E263" s="20" t="s">
        <v>55</v>
      </c>
      <c r="F263" s="19" t="s">
        <v>414</v>
      </c>
      <c r="G263" s="19" t="s">
        <v>415</v>
      </c>
      <c r="H263" s="37"/>
      <c r="I263" s="21" t="s">
        <v>233</v>
      </c>
      <c r="J263" s="21" t="s">
        <v>233</v>
      </c>
      <c r="K263" s="22" t="s">
        <v>55</v>
      </c>
      <c r="L263" s="23">
        <v>45242</v>
      </c>
      <c r="Q263" s="25"/>
      <c r="R263" s="25"/>
    </row>
    <row r="264" spans="1:18" ht="15.75" customHeight="1">
      <c r="A264" s="35"/>
      <c r="B264" s="38"/>
      <c r="C264" s="37"/>
      <c r="D264" s="20"/>
      <c r="E264" s="20" t="s">
        <v>145</v>
      </c>
      <c r="F264" s="37"/>
      <c r="G264" s="37"/>
      <c r="H264" s="37"/>
      <c r="I264" s="21"/>
      <c r="J264" s="21"/>
      <c r="K264" s="22" t="s">
        <v>145</v>
      </c>
      <c r="L264" s="39"/>
      <c r="Q264" s="25"/>
      <c r="R264" s="25"/>
    </row>
    <row r="265" spans="1:18" ht="15.75" customHeight="1">
      <c r="A265" s="17" t="s">
        <v>919</v>
      </c>
      <c r="B265" s="18" t="s">
        <v>920</v>
      </c>
      <c r="C265" s="19" t="s">
        <v>24</v>
      </c>
      <c r="D265" s="20" t="s">
        <v>921</v>
      </c>
      <c r="E265" s="20" t="s">
        <v>922</v>
      </c>
      <c r="F265" s="19" t="s">
        <v>27</v>
      </c>
      <c r="G265" s="19" t="s">
        <v>28</v>
      </c>
      <c r="H265" s="19"/>
      <c r="I265" s="21" t="s">
        <v>29</v>
      </c>
      <c r="J265" s="21" t="s">
        <v>29</v>
      </c>
      <c r="K265" s="22" t="s">
        <v>923</v>
      </c>
      <c r="L265" s="23">
        <v>45242</v>
      </c>
      <c r="N265" s="40"/>
      <c r="Q265" s="25"/>
      <c r="R265" s="25"/>
    </row>
    <row r="266" spans="1:18" ht="15.75" customHeight="1">
      <c r="A266" s="17"/>
      <c r="B266" s="41" t="s">
        <v>924</v>
      </c>
      <c r="C266" s="19" t="s">
        <v>46</v>
      </c>
      <c r="D266" s="20" t="s">
        <v>925</v>
      </c>
      <c r="E266" s="20" t="s">
        <v>926</v>
      </c>
      <c r="F266" s="19"/>
      <c r="G266" s="19"/>
      <c r="H266" s="19"/>
      <c r="I266" s="21"/>
      <c r="J266" s="21"/>
      <c r="K266" s="22"/>
      <c r="L266" s="23"/>
      <c r="Q266" s="25"/>
      <c r="R266" s="25"/>
    </row>
    <row r="267" spans="1:18" ht="15.75" customHeight="1">
      <c r="A267" s="28" t="s">
        <v>927</v>
      </c>
      <c r="B267" s="18" t="s">
        <v>928</v>
      </c>
      <c r="C267" s="19" t="s">
        <v>24</v>
      </c>
      <c r="D267" s="20" t="s">
        <v>929</v>
      </c>
      <c r="E267" s="20" t="s">
        <v>930</v>
      </c>
      <c r="F267" s="19" t="s">
        <v>27</v>
      </c>
      <c r="G267" s="19" t="s">
        <v>28</v>
      </c>
      <c r="H267" s="19"/>
      <c r="I267" s="21" t="s">
        <v>29</v>
      </c>
      <c r="J267" s="21" t="s">
        <v>29</v>
      </c>
      <c r="K267" s="22" t="s">
        <v>931</v>
      </c>
      <c r="L267" s="23">
        <v>45242</v>
      </c>
      <c r="Q267" s="25"/>
      <c r="R267" s="25"/>
    </row>
    <row r="268" spans="1:18" ht="15.75" customHeight="1">
      <c r="A268" s="47" t="s">
        <v>39</v>
      </c>
      <c r="B268" s="18" t="s">
        <v>932</v>
      </c>
      <c r="C268" s="19" t="s">
        <v>24</v>
      </c>
      <c r="D268" s="20" t="s">
        <v>933</v>
      </c>
      <c r="E268" s="20" t="s">
        <v>934</v>
      </c>
      <c r="F268" s="19" t="s">
        <v>27</v>
      </c>
      <c r="G268" s="19" t="s">
        <v>28</v>
      </c>
      <c r="H268" s="19"/>
      <c r="I268" s="21" t="s">
        <v>29</v>
      </c>
      <c r="J268" s="21" t="s">
        <v>29</v>
      </c>
      <c r="K268" s="22" t="s">
        <v>935</v>
      </c>
      <c r="L268" s="23">
        <v>45242</v>
      </c>
      <c r="Q268" s="25"/>
      <c r="R268" s="25"/>
    </row>
    <row r="269" spans="1:18" ht="15.75" customHeight="1">
      <c r="A269" s="48" t="s">
        <v>936</v>
      </c>
      <c r="B269" s="18" t="s">
        <v>937</v>
      </c>
      <c r="C269" s="19" t="s">
        <v>87</v>
      </c>
      <c r="D269" s="20" t="s">
        <v>938</v>
      </c>
      <c r="E269" s="20" t="s">
        <v>939</v>
      </c>
      <c r="F269" s="19" t="s">
        <v>90</v>
      </c>
      <c r="G269" s="19" t="s">
        <v>91</v>
      </c>
      <c r="H269" s="19"/>
      <c r="I269" s="21" t="s">
        <v>29</v>
      </c>
      <c r="J269" s="21" t="s">
        <v>29</v>
      </c>
      <c r="K269" s="22" t="s">
        <v>940</v>
      </c>
      <c r="L269" s="23">
        <v>45242</v>
      </c>
      <c r="Q269" s="25"/>
      <c r="R269" s="25"/>
    </row>
    <row r="270" spans="1:18" ht="15.75" customHeight="1">
      <c r="A270" s="49" t="s">
        <v>941</v>
      </c>
      <c r="B270" s="18" t="s">
        <v>942</v>
      </c>
      <c r="C270" s="19" t="s">
        <v>24</v>
      </c>
      <c r="D270" s="20" t="s">
        <v>943</v>
      </c>
      <c r="E270" s="20" t="s">
        <v>944</v>
      </c>
      <c r="F270" s="19" t="s">
        <v>27</v>
      </c>
      <c r="G270" s="19" t="s">
        <v>28</v>
      </c>
      <c r="H270" s="19"/>
      <c r="I270" s="21" t="s">
        <v>29</v>
      </c>
      <c r="J270" s="21" t="s">
        <v>29</v>
      </c>
      <c r="K270" s="22" t="s">
        <v>945</v>
      </c>
      <c r="L270" s="23">
        <v>45242</v>
      </c>
      <c r="Q270" s="25"/>
      <c r="R270" s="25"/>
    </row>
    <row r="271" spans="1:18" ht="15.75" customHeight="1">
      <c r="A271" s="44" t="s">
        <v>56</v>
      </c>
      <c r="B271" s="18" t="s">
        <v>946</v>
      </c>
      <c r="C271" s="19" t="s">
        <v>87</v>
      </c>
      <c r="D271" s="20" t="s">
        <v>947</v>
      </c>
      <c r="E271" s="20" t="s">
        <v>948</v>
      </c>
      <c r="F271" s="19" t="s">
        <v>90</v>
      </c>
      <c r="G271" s="19" t="s">
        <v>91</v>
      </c>
      <c r="H271" s="19"/>
      <c r="I271" s="21" t="s">
        <v>29</v>
      </c>
      <c r="J271" s="21" t="s">
        <v>29</v>
      </c>
      <c r="K271" s="22" t="s">
        <v>949</v>
      </c>
      <c r="L271" s="23">
        <v>45242</v>
      </c>
      <c r="Q271" s="25"/>
      <c r="R271" s="25"/>
    </row>
    <row r="272" spans="1:18" ht="15.75" customHeight="1">
      <c r="A272" s="53"/>
      <c r="B272" s="41" t="s">
        <v>950</v>
      </c>
      <c r="C272" s="19" t="s">
        <v>46</v>
      </c>
      <c r="D272" s="20" t="s">
        <v>951</v>
      </c>
      <c r="E272" s="20" t="s">
        <v>952</v>
      </c>
      <c r="F272" s="19"/>
      <c r="G272" s="19"/>
      <c r="H272" s="19"/>
      <c r="I272" s="21"/>
      <c r="J272" s="21"/>
      <c r="K272" s="22"/>
      <c r="L272" s="23"/>
      <c r="Q272" s="25"/>
      <c r="R272" s="25"/>
    </row>
    <row r="273" spans="1:18" ht="15.75" customHeight="1">
      <c r="A273" s="53">
        <v>88</v>
      </c>
      <c r="B273" s="18" t="s">
        <v>953</v>
      </c>
      <c r="C273" s="19" t="s">
        <v>87</v>
      </c>
      <c r="D273" s="20" t="s">
        <v>954</v>
      </c>
      <c r="E273" s="20" t="s">
        <v>955</v>
      </c>
      <c r="F273" s="19" t="s">
        <v>90</v>
      </c>
      <c r="G273" s="19" t="s">
        <v>91</v>
      </c>
      <c r="H273" s="19"/>
      <c r="I273" s="21" t="s">
        <v>29</v>
      </c>
      <c r="J273" s="21" t="s">
        <v>29</v>
      </c>
      <c r="K273" s="22" t="s">
        <v>956</v>
      </c>
      <c r="L273" s="23">
        <v>45242</v>
      </c>
      <c r="Q273" s="25"/>
      <c r="R273" s="25"/>
    </row>
    <row r="274" spans="1:18" ht="15.75" customHeight="1">
      <c r="A274" s="31" t="s">
        <v>64</v>
      </c>
      <c r="B274" s="36" t="s">
        <v>957</v>
      </c>
      <c r="C274" s="19" t="s">
        <v>121</v>
      </c>
      <c r="D274" s="20" t="s">
        <v>958</v>
      </c>
      <c r="E274" s="20" t="s">
        <v>959</v>
      </c>
      <c r="F274" s="19" t="s">
        <v>27</v>
      </c>
      <c r="G274" s="19" t="s">
        <v>28</v>
      </c>
      <c r="H274" s="19"/>
      <c r="I274" s="21" t="s">
        <v>29</v>
      </c>
      <c r="J274" s="21" t="s">
        <v>29</v>
      </c>
      <c r="K274" s="22" t="s">
        <v>960</v>
      </c>
      <c r="L274" s="23">
        <v>45242</v>
      </c>
      <c r="Q274" s="25"/>
      <c r="R274" s="25"/>
    </row>
    <row r="275" spans="1:18" ht="15.75" customHeight="1">
      <c r="A275" s="17">
        <v>4.5999999999999996</v>
      </c>
      <c r="B275" s="18" t="s">
        <v>961</v>
      </c>
      <c r="C275" s="19" t="s">
        <v>24</v>
      </c>
      <c r="D275" s="20" t="s">
        <v>962</v>
      </c>
      <c r="E275" s="20" t="s">
        <v>963</v>
      </c>
      <c r="F275" s="19" t="s">
        <v>27</v>
      </c>
      <c r="G275" s="19" t="s">
        <v>28</v>
      </c>
      <c r="H275" s="19"/>
      <c r="I275" s="21" t="s">
        <v>29</v>
      </c>
      <c r="J275" s="21" t="s">
        <v>29</v>
      </c>
      <c r="K275" s="22" t="s">
        <v>964</v>
      </c>
      <c r="L275" s="23">
        <v>45242</v>
      </c>
      <c r="Q275" s="25"/>
      <c r="R275" s="25"/>
    </row>
    <row r="276" spans="1:18" ht="15.75" customHeight="1">
      <c r="A276" s="31" t="s">
        <v>73</v>
      </c>
      <c r="B276" s="18" t="s">
        <v>965</v>
      </c>
      <c r="C276" s="19" t="s">
        <v>24</v>
      </c>
      <c r="D276" s="20" t="s">
        <v>966</v>
      </c>
      <c r="E276" s="20" t="s">
        <v>967</v>
      </c>
      <c r="F276" s="19" t="s">
        <v>27</v>
      </c>
      <c r="G276" s="19" t="s">
        <v>28</v>
      </c>
      <c r="H276" s="19"/>
      <c r="I276" s="21" t="s">
        <v>29</v>
      </c>
      <c r="J276" s="21" t="s">
        <v>29</v>
      </c>
      <c r="K276" s="22" t="s">
        <v>968</v>
      </c>
      <c r="L276" s="23">
        <v>45242</v>
      </c>
      <c r="Q276" s="25"/>
      <c r="R276" s="25"/>
    </row>
    <row r="277" spans="1:18" ht="15.75" customHeight="1">
      <c r="A277" s="17">
        <v>4.5</v>
      </c>
      <c r="B277" s="18" t="s">
        <v>969</v>
      </c>
      <c r="C277" s="19" t="s">
        <v>24</v>
      </c>
      <c r="D277" s="20" t="s">
        <v>970</v>
      </c>
      <c r="E277" s="20" t="s">
        <v>971</v>
      </c>
      <c r="F277" s="19" t="s">
        <v>27</v>
      </c>
      <c r="G277" s="19" t="s">
        <v>28</v>
      </c>
      <c r="H277" s="19"/>
      <c r="I277" s="21" t="s">
        <v>29</v>
      </c>
      <c r="J277" s="21" t="s">
        <v>29</v>
      </c>
      <c r="K277" s="22" t="s">
        <v>972</v>
      </c>
      <c r="L277" s="23">
        <v>45242</v>
      </c>
      <c r="Q277" s="25"/>
      <c r="R277" s="25"/>
    </row>
    <row r="278" spans="1:18" ht="15.75" customHeight="1">
      <c r="A278" s="47" t="s">
        <v>82</v>
      </c>
      <c r="B278" s="18" t="s">
        <v>973</v>
      </c>
      <c r="C278" s="19" t="s">
        <v>24</v>
      </c>
      <c r="D278" s="20" t="s">
        <v>974</v>
      </c>
      <c r="E278" s="20" t="s">
        <v>975</v>
      </c>
      <c r="F278" s="19" t="s">
        <v>27</v>
      </c>
      <c r="G278" s="19" t="s">
        <v>28</v>
      </c>
      <c r="H278" s="19"/>
      <c r="I278" s="21" t="s">
        <v>29</v>
      </c>
      <c r="J278" s="21" t="s">
        <v>29</v>
      </c>
      <c r="K278" s="22" t="s">
        <v>976</v>
      </c>
      <c r="L278" s="23">
        <v>45242</v>
      </c>
      <c r="Q278" s="25"/>
      <c r="R278" s="25"/>
    </row>
    <row r="279" spans="1:18" ht="15.75" customHeight="1">
      <c r="A279" s="49" t="s">
        <v>977</v>
      </c>
      <c r="B279" s="18" t="s">
        <v>978</v>
      </c>
      <c r="C279" s="19" t="s">
        <v>24</v>
      </c>
      <c r="D279" s="20" t="s">
        <v>979</v>
      </c>
      <c r="E279" s="20" t="s">
        <v>980</v>
      </c>
      <c r="F279" s="19" t="s">
        <v>27</v>
      </c>
      <c r="G279" s="19" t="s">
        <v>28</v>
      </c>
      <c r="H279" s="19"/>
      <c r="I279" s="21" t="s">
        <v>29</v>
      </c>
      <c r="J279" s="21" t="s">
        <v>29</v>
      </c>
      <c r="K279" s="22" t="s">
        <v>981</v>
      </c>
      <c r="L279" s="23">
        <v>45242</v>
      </c>
      <c r="Q279" s="25"/>
      <c r="R279" s="25"/>
    </row>
    <row r="280" spans="1:18" ht="15.75" customHeight="1">
      <c r="A280" s="47" t="s">
        <v>92</v>
      </c>
      <c r="B280" s="18" t="s">
        <v>982</v>
      </c>
      <c r="C280" s="19" t="s">
        <v>24</v>
      </c>
      <c r="D280" s="20" t="s">
        <v>983</v>
      </c>
      <c r="E280" s="20" t="s">
        <v>984</v>
      </c>
      <c r="F280" s="19" t="s">
        <v>27</v>
      </c>
      <c r="G280" s="19" t="s">
        <v>28</v>
      </c>
      <c r="H280" s="19"/>
      <c r="I280" s="21" t="s">
        <v>29</v>
      </c>
      <c r="J280" s="21" t="s">
        <v>29</v>
      </c>
      <c r="K280" s="22" t="s">
        <v>985</v>
      </c>
      <c r="L280" s="23">
        <v>45242</v>
      </c>
      <c r="Q280" s="25"/>
      <c r="R280" s="25"/>
    </row>
    <row r="281" spans="1:18" ht="15.75" customHeight="1">
      <c r="A281" s="33">
        <v>4784</v>
      </c>
      <c r="B281" s="18" t="s">
        <v>986</v>
      </c>
      <c r="C281" s="19" t="s">
        <v>46</v>
      </c>
      <c r="D281" s="20" t="s">
        <v>987</v>
      </c>
      <c r="E281" s="20" t="s">
        <v>988</v>
      </c>
      <c r="F281" s="19" t="s">
        <v>49</v>
      </c>
      <c r="G281" s="19" t="s">
        <v>50</v>
      </c>
      <c r="H281" s="19"/>
      <c r="I281" s="21" t="s">
        <v>29</v>
      </c>
      <c r="J281" s="21" t="s">
        <v>29</v>
      </c>
      <c r="K281" s="22" t="s">
        <v>989</v>
      </c>
      <c r="L281" s="23">
        <v>45242</v>
      </c>
      <c r="Q281" s="25"/>
      <c r="R281" s="25"/>
    </row>
    <row r="282" spans="1:18" ht="15.75" customHeight="1">
      <c r="A282" s="31"/>
      <c r="B282" s="41" t="s">
        <v>990</v>
      </c>
      <c r="C282" s="19" t="s">
        <v>46</v>
      </c>
      <c r="D282" s="20" t="s">
        <v>991</v>
      </c>
      <c r="E282" s="20" t="s">
        <v>55</v>
      </c>
      <c r="F282" s="19"/>
      <c r="G282" s="19"/>
      <c r="H282" s="19"/>
      <c r="I282" s="21"/>
      <c r="J282" s="21"/>
      <c r="K282" s="22"/>
      <c r="L282" s="23"/>
      <c r="Q282" s="25"/>
      <c r="R282" s="25"/>
    </row>
    <row r="283" spans="1:18" ht="15.75" customHeight="1">
      <c r="A283" s="31" t="s">
        <v>100</v>
      </c>
      <c r="B283" s="18" t="s">
        <v>992</v>
      </c>
      <c r="C283" s="19" t="s">
        <v>24</v>
      </c>
      <c r="D283" s="20" t="s">
        <v>993</v>
      </c>
      <c r="E283" s="20" t="s">
        <v>994</v>
      </c>
      <c r="F283" s="19" t="s">
        <v>27</v>
      </c>
      <c r="G283" s="19" t="s">
        <v>28</v>
      </c>
      <c r="H283" s="19"/>
      <c r="I283" s="21" t="s">
        <v>29</v>
      </c>
      <c r="J283" s="21" t="s">
        <v>29</v>
      </c>
      <c r="K283" s="22" t="s">
        <v>995</v>
      </c>
      <c r="L283" s="23">
        <v>45242</v>
      </c>
      <c r="Q283" s="25"/>
      <c r="R283" s="25"/>
    </row>
    <row r="284" spans="1:18" ht="15.75" customHeight="1">
      <c r="A284" s="17">
        <v>165</v>
      </c>
      <c r="B284" s="18" t="s">
        <v>996</v>
      </c>
      <c r="C284" s="19" t="s">
        <v>24</v>
      </c>
      <c r="D284" s="20" t="s">
        <v>997</v>
      </c>
      <c r="E284" s="20" t="s">
        <v>998</v>
      </c>
      <c r="F284" s="19" t="s">
        <v>27</v>
      </c>
      <c r="G284" s="19" t="s">
        <v>28</v>
      </c>
      <c r="H284" s="19"/>
      <c r="I284" s="21" t="s">
        <v>29</v>
      </c>
      <c r="J284" s="21" t="s">
        <v>29</v>
      </c>
      <c r="K284" s="22" t="s">
        <v>999</v>
      </c>
      <c r="L284" s="23">
        <v>45242</v>
      </c>
      <c r="Q284" s="25"/>
      <c r="R284" s="25"/>
    </row>
    <row r="285" spans="1:18" ht="15.75" customHeight="1">
      <c r="A285" s="35"/>
      <c r="B285" s="18" t="s">
        <v>1000</v>
      </c>
      <c r="C285" s="19" t="s">
        <v>24</v>
      </c>
      <c r="D285" s="20" t="s">
        <v>1001</v>
      </c>
      <c r="E285" s="20" t="s">
        <v>1002</v>
      </c>
      <c r="F285" s="19" t="s">
        <v>27</v>
      </c>
      <c r="G285" s="19" t="s">
        <v>28</v>
      </c>
      <c r="H285" s="19"/>
      <c r="I285" s="21" t="s">
        <v>29</v>
      </c>
      <c r="J285" s="21" t="s">
        <v>29</v>
      </c>
      <c r="K285" s="22" t="s">
        <v>1003</v>
      </c>
      <c r="L285" s="23">
        <v>45242</v>
      </c>
      <c r="Q285" s="25"/>
      <c r="R285" s="25"/>
    </row>
    <row r="286" spans="1:18" ht="15.75" customHeight="1">
      <c r="A286" s="35"/>
      <c r="B286" s="18" t="s">
        <v>1004</v>
      </c>
      <c r="C286" s="19" t="s">
        <v>24</v>
      </c>
      <c r="D286" s="20" t="s">
        <v>1005</v>
      </c>
      <c r="E286" s="20" t="s">
        <v>1006</v>
      </c>
      <c r="F286" s="19" t="s">
        <v>27</v>
      </c>
      <c r="G286" s="19" t="s">
        <v>28</v>
      </c>
      <c r="H286" s="19"/>
      <c r="I286" s="21" t="s">
        <v>29</v>
      </c>
      <c r="J286" s="21" t="s">
        <v>29</v>
      </c>
      <c r="K286" s="22" t="s">
        <v>1007</v>
      </c>
      <c r="L286" s="23">
        <v>45242</v>
      </c>
      <c r="Q286" s="25"/>
      <c r="R286" s="25"/>
    </row>
    <row r="287" spans="1:18" ht="15.75" customHeight="1">
      <c r="A287" s="17"/>
      <c r="B287" s="18" t="s">
        <v>1008</v>
      </c>
      <c r="C287" s="19" t="s">
        <v>87</v>
      </c>
      <c r="D287" s="20" t="s">
        <v>1009</v>
      </c>
      <c r="E287" s="20" t="s">
        <v>1010</v>
      </c>
      <c r="F287" s="19" t="s">
        <v>90</v>
      </c>
      <c r="G287" s="19" t="s">
        <v>91</v>
      </c>
      <c r="H287" s="19"/>
      <c r="I287" s="21" t="s">
        <v>29</v>
      </c>
      <c r="J287" s="21" t="s">
        <v>29</v>
      </c>
      <c r="K287" s="22" t="s">
        <v>1011</v>
      </c>
      <c r="L287" s="23">
        <v>45242</v>
      </c>
      <c r="Q287" s="25"/>
      <c r="R287" s="25"/>
    </row>
    <row r="288" spans="1:18" ht="15.75" customHeight="1">
      <c r="A288" s="17"/>
      <c r="B288" s="18" t="s">
        <v>1012</v>
      </c>
      <c r="C288" s="19" t="s">
        <v>24</v>
      </c>
      <c r="D288" s="20" t="s">
        <v>1013</v>
      </c>
      <c r="E288" s="20" t="s">
        <v>1014</v>
      </c>
      <c r="F288" s="19" t="s">
        <v>27</v>
      </c>
      <c r="G288" s="19" t="s">
        <v>28</v>
      </c>
      <c r="H288" s="19"/>
      <c r="I288" s="21" t="s">
        <v>29</v>
      </c>
      <c r="J288" s="21" t="s">
        <v>29</v>
      </c>
      <c r="K288" s="22" t="s">
        <v>1015</v>
      </c>
      <c r="L288" s="23">
        <v>45242</v>
      </c>
      <c r="Q288" s="25"/>
      <c r="R288" s="25"/>
    </row>
    <row r="289" spans="1:18" ht="15.75" customHeight="1">
      <c r="A289" s="17"/>
      <c r="B289" s="18" t="s">
        <v>1016</v>
      </c>
      <c r="C289" s="19" t="s">
        <v>87</v>
      </c>
      <c r="D289" s="20" t="s">
        <v>1017</v>
      </c>
      <c r="E289" s="20" t="s">
        <v>1018</v>
      </c>
      <c r="F289" s="19" t="s">
        <v>90</v>
      </c>
      <c r="G289" s="19" t="s">
        <v>91</v>
      </c>
      <c r="H289" s="19"/>
      <c r="I289" s="21" t="s">
        <v>29</v>
      </c>
      <c r="J289" s="21" t="s">
        <v>29</v>
      </c>
      <c r="K289" s="22" t="s">
        <v>1019</v>
      </c>
      <c r="L289" s="23">
        <v>45242</v>
      </c>
      <c r="Q289" s="25"/>
      <c r="R289" s="25"/>
    </row>
    <row r="290" spans="1:18" ht="15.75" customHeight="1">
      <c r="A290" s="17"/>
      <c r="B290" s="18" t="s">
        <v>1020</v>
      </c>
      <c r="C290" s="19" t="s">
        <v>24</v>
      </c>
      <c r="D290" s="20" t="s">
        <v>1021</v>
      </c>
      <c r="E290" s="20" t="s">
        <v>1022</v>
      </c>
      <c r="F290" s="19" t="s">
        <v>27</v>
      </c>
      <c r="G290" s="19" t="s">
        <v>28</v>
      </c>
      <c r="H290" s="19"/>
      <c r="I290" s="21" t="s">
        <v>29</v>
      </c>
      <c r="J290" s="21" t="s">
        <v>29</v>
      </c>
      <c r="K290" s="22" t="s">
        <v>1023</v>
      </c>
      <c r="L290" s="23">
        <v>45242</v>
      </c>
      <c r="Q290" s="25"/>
      <c r="R290" s="25"/>
    </row>
    <row r="291" spans="1:18" ht="15.75" customHeight="1">
      <c r="A291" s="17"/>
      <c r="B291" s="18" t="s">
        <v>1024</v>
      </c>
      <c r="C291" s="19" t="s">
        <v>24</v>
      </c>
      <c r="D291" s="20" t="s">
        <v>1025</v>
      </c>
      <c r="E291" s="20" t="s">
        <v>1026</v>
      </c>
      <c r="F291" s="19" t="s">
        <v>27</v>
      </c>
      <c r="G291" s="19" t="s">
        <v>28</v>
      </c>
      <c r="H291" s="19"/>
      <c r="I291" s="21" t="s">
        <v>29</v>
      </c>
      <c r="J291" s="21" t="s">
        <v>29</v>
      </c>
      <c r="K291" s="22" t="s">
        <v>1027</v>
      </c>
      <c r="L291" s="23">
        <v>45242</v>
      </c>
      <c r="Q291" s="25"/>
      <c r="R291" s="25"/>
    </row>
    <row r="292" spans="1:18" ht="15.75" customHeight="1">
      <c r="A292" s="17"/>
      <c r="B292" s="18" t="s">
        <v>1028</v>
      </c>
      <c r="C292" s="19" t="s">
        <v>46</v>
      </c>
      <c r="D292" s="20" t="s">
        <v>1029</v>
      </c>
      <c r="E292" s="20" t="s">
        <v>1030</v>
      </c>
      <c r="F292" s="19" t="s">
        <v>49</v>
      </c>
      <c r="G292" s="19" t="s">
        <v>50</v>
      </c>
      <c r="H292" s="19"/>
      <c r="I292" s="21" t="s">
        <v>29</v>
      </c>
      <c r="J292" s="21" t="s">
        <v>29</v>
      </c>
      <c r="K292" s="22" t="s">
        <v>1031</v>
      </c>
      <c r="L292" s="23">
        <v>45242</v>
      </c>
      <c r="Q292" s="25"/>
      <c r="R292" s="25"/>
    </row>
    <row r="293" spans="1:18" ht="15.75" customHeight="1">
      <c r="A293" s="17"/>
      <c r="B293" s="34" t="s">
        <v>1032</v>
      </c>
      <c r="C293" s="19" t="s">
        <v>24</v>
      </c>
      <c r="D293" s="20" t="s">
        <v>1033</v>
      </c>
      <c r="E293" s="20" t="s">
        <v>1034</v>
      </c>
      <c r="F293" s="19" t="s">
        <v>90</v>
      </c>
      <c r="G293" s="19" t="s">
        <v>91</v>
      </c>
      <c r="H293" s="19"/>
      <c r="I293" s="21" t="s">
        <v>29</v>
      </c>
      <c r="J293" s="21" t="s">
        <v>29</v>
      </c>
      <c r="K293" s="22" t="s">
        <v>1035</v>
      </c>
      <c r="L293" s="23">
        <v>45242</v>
      </c>
      <c r="Q293" s="25"/>
      <c r="R293" s="25"/>
    </row>
    <row r="294" spans="1:18" ht="15.75" customHeight="1">
      <c r="A294" s="17"/>
      <c r="B294" s="18" t="s">
        <v>1036</v>
      </c>
      <c r="C294" s="19" t="s">
        <v>87</v>
      </c>
      <c r="D294" s="20" t="s">
        <v>1037</v>
      </c>
      <c r="E294" s="20" t="s">
        <v>1038</v>
      </c>
      <c r="F294" s="19" t="s">
        <v>286</v>
      </c>
      <c r="G294" s="19" t="s">
        <v>91</v>
      </c>
      <c r="H294" s="19"/>
      <c r="I294" s="21" t="s">
        <v>286</v>
      </c>
      <c r="J294" s="21" t="s">
        <v>29</v>
      </c>
      <c r="K294" s="22" t="s">
        <v>1039</v>
      </c>
      <c r="L294" s="23">
        <v>45242</v>
      </c>
      <c r="Q294" s="25"/>
      <c r="R294" s="25"/>
    </row>
    <row r="295" spans="1:18" ht="15.75" customHeight="1">
      <c r="A295" s="17"/>
      <c r="B295" s="36" t="s">
        <v>1040</v>
      </c>
      <c r="C295" s="19" t="s">
        <v>121</v>
      </c>
      <c r="D295" s="20" t="s">
        <v>1041</v>
      </c>
      <c r="E295" s="20" t="s">
        <v>1042</v>
      </c>
      <c r="F295" s="19" t="s">
        <v>27</v>
      </c>
      <c r="G295" s="19" t="s">
        <v>359</v>
      </c>
      <c r="H295" s="19"/>
      <c r="I295" s="21" t="s">
        <v>29</v>
      </c>
      <c r="J295" s="19" t="s">
        <v>359</v>
      </c>
      <c r="K295" s="22" t="s">
        <v>1043</v>
      </c>
      <c r="L295" s="23">
        <v>45242</v>
      </c>
      <c r="Q295" s="25"/>
      <c r="R295" s="25"/>
    </row>
    <row r="296" spans="1:18" ht="15.75" customHeight="1">
      <c r="A296" s="17"/>
      <c r="B296" s="18" t="s">
        <v>1044</v>
      </c>
      <c r="C296" s="19" t="s">
        <v>24</v>
      </c>
      <c r="D296" s="20" t="s">
        <v>1045</v>
      </c>
      <c r="E296" s="20" t="s">
        <v>1046</v>
      </c>
      <c r="F296" s="19" t="s">
        <v>27</v>
      </c>
      <c r="G296" s="19" t="s">
        <v>28</v>
      </c>
      <c r="H296" s="19"/>
      <c r="I296" s="21" t="s">
        <v>29</v>
      </c>
      <c r="J296" s="21" t="s">
        <v>29</v>
      </c>
      <c r="K296" s="22" t="s">
        <v>1047</v>
      </c>
      <c r="L296" s="23">
        <v>45242</v>
      </c>
      <c r="Q296" s="25"/>
      <c r="R296" s="25"/>
    </row>
    <row r="297" spans="1:18" ht="15.75" customHeight="1">
      <c r="A297" s="17"/>
      <c r="B297" s="18" t="s">
        <v>1048</v>
      </c>
      <c r="C297" s="19" t="s">
        <v>24</v>
      </c>
      <c r="D297" s="20" t="s">
        <v>1049</v>
      </c>
      <c r="E297" s="20" t="s">
        <v>1050</v>
      </c>
      <c r="F297" s="19" t="s">
        <v>27</v>
      </c>
      <c r="G297" s="19" t="s">
        <v>28</v>
      </c>
      <c r="H297" s="19"/>
      <c r="I297" s="21" t="s">
        <v>29</v>
      </c>
      <c r="J297" s="21" t="s">
        <v>29</v>
      </c>
      <c r="K297" s="22" t="s">
        <v>1051</v>
      </c>
      <c r="L297" s="23">
        <v>45242</v>
      </c>
      <c r="Q297" s="25"/>
      <c r="R297" s="25"/>
    </row>
    <row r="298" spans="1:18" ht="15.75" customHeight="1">
      <c r="A298" s="17"/>
      <c r="B298" s="18" t="s">
        <v>1052</v>
      </c>
      <c r="C298" s="19" t="s">
        <v>87</v>
      </c>
      <c r="D298" s="20" t="s">
        <v>1053</v>
      </c>
      <c r="E298" s="20" t="s">
        <v>1054</v>
      </c>
      <c r="F298" s="19" t="s">
        <v>90</v>
      </c>
      <c r="G298" s="19" t="s">
        <v>91</v>
      </c>
      <c r="H298" s="19"/>
      <c r="I298" s="21" t="s">
        <v>29</v>
      </c>
      <c r="J298" s="21" t="s">
        <v>29</v>
      </c>
      <c r="K298" s="22" t="s">
        <v>1055</v>
      </c>
      <c r="L298" s="23">
        <v>45242</v>
      </c>
      <c r="Q298" s="25"/>
      <c r="R298" s="25"/>
    </row>
    <row r="299" spans="1:18" ht="15.75" customHeight="1">
      <c r="A299" s="17"/>
      <c r="B299" s="18" t="s">
        <v>1056</v>
      </c>
      <c r="C299" s="19" t="s">
        <v>24</v>
      </c>
      <c r="D299" s="20" t="s">
        <v>1057</v>
      </c>
      <c r="E299" s="20" t="s">
        <v>1058</v>
      </c>
      <c r="F299" s="19" t="s">
        <v>27</v>
      </c>
      <c r="G299" s="19" t="s">
        <v>28</v>
      </c>
      <c r="H299" s="19"/>
      <c r="I299" s="21" t="s">
        <v>29</v>
      </c>
      <c r="J299" s="21" t="s">
        <v>29</v>
      </c>
      <c r="K299" s="22" t="s">
        <v>1059</v>
      </c>
      <c r="L299" s="23">
        <v>45242</v>
      </c>
      <c r="Q299" s="25"/>
      <c r="R299" s="25"/>
    </row>
    <row r="300" spans="1:18" ht="15.75" customHeight="1">
      <c r="A300" s="17"/>
      <c r="B300" s="18" t="s">
        <v>1060</v>
      </c>
      <c r="C300" s="19" t="s">
        <v>24</v>
      </c>
      <c r="D300" s="20" t="s">
        <v>1061</v>
      </c>
      <c r="E300" s="20" t="s">
        <v>1062</v>
      </c>
      <c r="F300" s="19" t="s">
        <v>27</v>
      </c>
      <c r="G300" s="19" t="s">
        <v>28</v>
      </c>
      <c r="H300" s="19"/>
      <c r="I300" s="21" t="s">
        <v>29</v>
      </c>
      <c r="J300" s="21" t="s">
        <v>29</v>
      </c>
      <c r="K300" s="22" t="s">
        <v>1063</v>
      </c>
      <c r="L300" s="23">
        <v>45242</v>
      </c>
      <c r="Q300" s="25"/>
      <c r="R300" s="25"/>
    </row>
    <row r="301" spans="1:18" ht="15.75" customHeight="1">
      <c r="A301" s="17"/>
      <c r="B301" s="18" t="s">
        <v>1064</v>
      </c>
      <c r="C301" s="19" t="s">
        <v>46</v>
      </c>
      <c r="D301" s="20" t="s">
        <v>46</v>
      </c>
      <c r="E301" s="20" t="s">
        <v>1065</v>
      </c>
      <c r="F301" s="19" t="s">
        <v>286</v>
      </c>
      <c r="G301" s="19" t="s">
        <v>50</v>
      </c>
      <c r="H301" s="19"/>
      <c r="I301" s="21" t="s">
        <v>286</v>
      </c>
      <c r="J301" s="21" t="s">
        <v>29</v>
      </c>
      <c r="K301" s="22" t="s">
        <v>1066</v>
      </c>
      <c r="L301" s="23">
        <v>45242</v>
      </c>
      <c r="Q301" s="25"/>
      <c r="R301" s="25"/>
    </row>
    <row r="302" spans="1:18" ht="15.75" customHeight="1">
      <c r="A302" s="17"/>
      <c r="B302" s="18" t="s">
        <v>1067</v>
      </c>
      <c r="C302" s="19" t="s">
        <v>87</v>
      </c>
      <c r="D302" s="20" t="s">
        <v>1068</v>
      </c>
      <c r="E302" s="20" t="s">
        <v>1069</v>
      </c>
      <c r="F302" s="19" t="s">
        <v>90</v>
      </c>
      <c r="G302" s="19" t="s">
        <v>91</v>
      </c>
      <c r="H302" s="19"/>
      <c r="I302" s="21" t="s">
        <v>29</v>
      </c>
      <c r="J302" s="21" t="s">
        <v>29</v>
      </c>
      <c r="K302" s="22" t="s">
        <v>1070</v>
      </c>
      <c r="L302" s="23">
        <v>45242</v>
      </c>
      <c r="Q302" s="25"/>
      <c r="R302" s="25"/>
    </row>
    <row r="303" spans="1:18" ht="15.75" customHeight="1">
      <c r="A303" s="17"/>
      <c r="B303" s="18" t="s">
        <v>1071</v>
      </c>
      <c r="C303" s="19" t="s">
        <v>24</v>
      </c>
      <c r="D303" s="20" t="s">
        <v>1072</v>
      </c>
      <c r="E303" s="20" t="s">
        <v>1073</v>
      </c>
      <c r="F303" s="19" t="s">
        <v>286</v>
      </c>
      <c r="G303" s="19" t="s">
        <v>28</v>
      </c>
      <c r="H303" s="19" t="s">
        <v>36</v>
      </c>
      <c r="I303" s="21" t="s">
        <v>286</v>
      </c>
      <c r="J303" s="21" t="s">
        <v>29</v>
      </c>
      <c r="K303" s="22" t="s">
        <v>1074</v>
      </c>
      <c r="L303" s="23">
        <v>45242</v>
      </c>
      <c r="Q303" s="25"/>
      <c r="R303" s="25"/>
    </row>
    <row r="304" spans="1:18" ht="15.75" customHeight="1">
      <c r="A304" s="17"/>
      <c r="B304" s="18" t="s">
        <v>1075</v>
      </c>
      <c r="C304" s="19" t="s">
        <v>87</v>
      </c>
      <c r="D304" s="20" t="s">
        <v>1076</v>
      </c>
      <c r="E304" s="20" t="s">
        <v>1077</v>
      </c>
      <c r="F304" s="19" t="s">
        <v>90</v>
      </c>
      <c r="G304" s="19" t="s">
        <v>91</v>
      </c>
      <c r="H304" s="19"/>
      <c r="I304" s="21" t="s">
        <v>29</v>
      </c>
      <c r="J304" s="21" t="s">
        <v>29</v>
      </c>
      <c r="K304" s="22" t="s">
        <v>1078</v>
      </c>
      <c r="L304" s="23">
        <v>45242</v>
      </c>
      <c r="Q304" s="25"/>
      <c r="R304" s="25"/>
    </row>
    <row r="305" spans="1:28" ht="15.75" customHeight="1">
      <c r="A305" s="17"/>
      <c r="B305" s="18" t="s">
        <v>1079</v>
      </c>
      <c r="C305" s="19" t="s">
        <v>87</v>
      </c>
      <c r="D305" s="20" t="s">
        <v>1080</v>
      </c>
      <c r="E305" s="20" t="s">
        <v>1081</v>
      </c>
      <c r="F305" s="19" t="s">
        <v>49</v>
      </c>
      <c r="G305" s="19" t="s">
        <v>91</v>
      </c>
      <c r="H305" s="19"/>
      <c r="I305" s="21" t="s">
        <v>29</v>
      </c>
      <c r="J305" s="21" t="s">
        <v>29</v>
      </c>
      <c r="K305" s="22" t="s">
        <v>1082</v>
      </c>
      <c r="L305" s="23">
        <v>45242</v>
      </c>
      <c r="Q305" s="25"/>
      <c r="R305" s="25"/>
    </row>
    <row r="306" spans="1:28" ht="15.75" customHeight="1">
      <c r="A306" s="17"/>
      <c r="B306" s="18" t="s">
        <v>1083</v>
      </c>
      <c r="C306" s="19" t="s">
        <v>46</v>
      </c>
      <c r="D306" s="20" t="s">
        <v>1084</v>
      </c>
      <c r="E306" s="20" t="s">
        <v>1085</v>
      </c>
      <c r="F306" s="19" t="s">
        <v>49</v>
      </c>
      <c r="G306" s="19" t="s">
        <v>50</v>
      </c>
      <c r="H306" s="19"/>
      <c r="I306" s="21" t="s">
        <v>29</v>
      </c>
      <c r="J306" s="21" t="s">
        <v>29</v>
      </c>
      <c r="K306" s="22" t="s">
        <v>1086</v>
      </c>
      <c r="L306" s="23">
        <v>45242</v>
      </c>
      <c r="Q306" s="25"/>
      <c r="R306" s="25"/>
    </row>
    <row r="307" spans="1:28" ht="15.75" customHeight="1">
      <c r="A307" s="17"/>
      <c r="B307" s="18" t="s">
        <v>1087</v>
      </c>
      <c r="C307" s="19" t="s">
        <v>24</v>
      </c>
      <c r="D307" s="20" t="s">
        <v>1088</v>
      </c>
      <c r="E307" s="20" t="s">
        <v>1089</v>
      </c>
      <c r="F307" s="19" t="s">
        <v>27</v>
      </c>
      <c r="G307" s="19" t="s">
        <v>28</v>
      </c>
      <c r="H307" s="19" t="s">
        <v>36</v>
      </c>
      <c r="I307" s="21" t="s">
        <v>29</v>
      </c>
      <c r="J307" s="21" t="s">
        <v>29</v>
      </c>
      <c r="K307" s="22" t="s">
        <v>1090</v>
      </c>
      <c r="L307" s="23">
        <v>45242</v>
      </c>
      <c r="Q307" s="25"/>
      <c r="R307" s="25"/>
      <c r="AB307" s="42"/>
    </row>
    <row r="308" spans="1:28" ht="15.75" customHeight="1">
      <c r="A308" s="17"/>
      <c r="B308" s="18" t="s">
        <v>1091</v>
      </c>
      <c r="C308" s="19" t="s">
        <v>24</v>
      </c>
      <c r="D308" s="20" t="s">
        <v>1092</v>
      </c>
      <c r="E308" s="20" t="s">
        <v>1093</v>
      </c>
      <c r="F308" s="19" t="s">
        <v>27</v>
      </c>
      <c r="G308" s="19" t="s">
        <v>28</v>
      </c>
      <c r="H308" s="19"/>
      <c r="I308" s="21" t="s">
        <v>29</v>
      </c>
      <c r="J308" s="21" t="s">
        <v>29</v>
      </c>
      <c r="K308" s="22" t="s">
        <v>1094</v>
      </c>
      <c r="L308" s="23">
        <v>45242</v>
      </c>
      <c r="Q308" s="25"/>
      <c r="R308" s="25"/>
    </row>
    <row r="309" spans="1:28" ht="15.75" customHeight="1">
      <c r="A309" s="17"/>
      <c r="B309" s="18" t="s">
        <v>1095</v>
      </c>
      <c r="C309" s="19" t="s">
        <v>24</v>
      </c>
      <c r="D309" s="20" t="s">
        <v>1096</v>
      </c>
      <c r="E309" s="20" t="s">
        <v>1097</v>
      </c>
      <c r="F309" s="19" t="s">
        <v>27</v>
      </c>
      <c r="G309" s="19" t="s">
        <v>28</v>
      </c>
      <c r="H309" s="19"/>
      <c r="I309" s="21" t="s">
        <v>29</v>
      </c>
      <c r="J309" s="21" t="s">
        <v>29</v>
      </c>
      <c r="K309" s="22" t="s">
        <v>1098</v>
      </c>
      <c r="L309" s="23">
        <v>45242</v>
      </c>
      <c r="N309" s="40"/>
      <c r="Q309" s="25"/>
      <c r="R309" s="25"/>
    </row>
    <row r="310" spans="1:28" ht="15.75" customHeight="1">
      <c r="A310" s="17"/>
      <c r="B310" s="18" t="s">
        <v>1099</v>
      </c>
      <c r="C310" s="19" t="s">
        <v>24</v>
      </c>
      <c r="D310" s="20" t="s">
        <v>1100</v>
      </c>
      <c r="E310" s="20" t="s">
        <v>1101</v>
      </c>
      <c r="F310" s="19" t="s">
        <v>27</v>
      </c>
      <c r="G310" s="19" t="s">
        <v>28</v>
      </c>
      <c r="H310" s="19"/>
      <c r="I310" s="21" t="s">
        <v>29</v>
      </c>
      <c r="J310" s="21" t="s">
        <v>29</v>
      </c>
      <c r="K310" s="22" t="s">
        <v>1102</v>
      </c>
      <c r="L310" s="23">
        <v>45242</v>
      </c>
      <c r="N310" s="40"/>
      <c r="Q310" s="25"/>
      <c r="R310" s="25"/>
    </row>
    <row r="311" spans="1:28" ht="15.75" customHeight="1">
      <c r="A311" s="17"/>
      <c r="B311" s="34" t="s">
        <v>1103</v>
      </c>
      <c r="C311" s="19" t="s">
        <v>24</v>
      </c>
      <c r="D311" s="20" t="s">
        <v>1104</v>
      </c>
      <c r="E311" s="20" t="s">
        <v>1105</v>
      </c>
      <c r="F311" s="19" t="s">
        <v>90</v>
      </c>
      <c r="G311" s="19" t="s">
        <v>91</v>
      </c>
      <c r="H311" s="19"/>
      <c r="I311" s="21" t="s">
        <v>29</v>
      </c>
      <c r="J311" s="21" t="s">
        <v>29</v>
      </c>
      <c r="K311" s="22" t="s">
        <v>1106</v>
      </c>
      <c r="L311" s="23">
        <v>45242</v>
      </c>
      <c r="N311" s="40"/>
      <c r="Q311" s="25"/>
      <c r="R311" s="25"/>
    </row>
    <row r="312" spans="1:28" ht="15.75" customHeight="1">
      <c r="A312" s="17"/>
      <c r="B312" s="18" t="s">
        <v>1107</v>
      </c>
      <c r="C312" s="19" t="s">
        <v>24</v>
      </c>
      <c r="D312" s="20" t="s">
        <v>1108</v>
      </c>
      <c r="E312" s="20" t="s">
        <v>1109</v>
      </c>
      <c r="F312" s="19" t="s">
        <v>27</v>
      </c>
      <c r="G312" s="19" t="s">
        <v>28</v>
      </c>
      <c r="H312" s="19" t="s">
        <v>36</v>
      </c>
      <c r="I312" s="21" t="s">
        <v>29</v>
      </c>
      <c r="J312" s="21" t="s">
        <v>29</v>
      </c>
      <c r="K312" s="22" t="s">
        <v>1110</v>
      </c>
      <c r="L312" s="23">
        <v>45242</v>
      </c>
      <c r="N312" s="40"/>
      <c r="Q312" s="25"/>
      <c r="R312" s="25"/>
    </row>
    <row r="313" spans="1:28" ht="15.75" customHeight="1">
      <c r="A313" s="17"/>
      <c r="B313" s="18" t="s">
        <v>1111</v>
      </c>
      <c r="C313" s="19" t="s">
        <v>24</v>
      </c>
      <c r="D313" s="20" t="s">
        <v>1112</v>
      </c>
      <c r="E313" s="20" t="s">
        <v>1113</v>
      </c>
      <c r="F313" s="19" t="s">
        <v>27</v>
      </c>
      <c r="G313" s="19" t="s">
        <v>28</v>
      </c>
      <c r="H313" s="19"/>
      <c r="I313" s="21" t="s">
        <v>29</v>
      </c>
      <c r="J313" s="21" t="s">
        <v>29</v>
      </c>
      <c r="K313" s="22" t="s">
        <v>1114</v>
      </c>
      <c r="L313" s="23">
        <v>45242</v>
      </c>
      <c r="N313" s="40"/>
      <c r="Q313" s="25"/>
      <c r="R313" s="25"/>
    </row>
    <row r="314" spans="1:28" ht="15.75" customHeight="1">
      <c r="A314" s="17"/>
      <c r="B314" s="18" t="s">
        <v>1115</v>
      </c>
      <c r="C314" s="19" t="s">
        <v>24</v>
      </c>
      <c r="D314" s="20" t="s">
        <v>1116</v>
      </c>
      <c r="E314" s="20" t="s">
        <v>1117</v>
      </c>
      <c r="F314" s="19" t="s">
        <v>27</v>
      </c>
      <c r="G314" s="19" t="s">
        <v>28</v>
      </c>
      <c r="H314" s="19"/>
      <c r="I314" s="21" t="s">
        <v>29</v>
      </c>
      <c r="J314" s="21" t="s">
        <v>29</v>
      </c>
      <c r="K314" s="22" t="s">
        <v>1118</v>
      </c>
      <c r="L314" s="23">
        <v>45242</v>
      </c>
      <c r="N314" s="40"/>
      <c r="Q314" s="25"/>
      <c r="R314" s="25"/>
    </row>
    <row r="315" spans="1:28" ht="15.75" customHeight="1">
      <c r="A315" s="17"/>
      <c r="B315" s="34" t="s">
        <v>1119</v>
      </c>
      <c r="C315" s="19" t="s">
        <v>24</v>
      </c>
      <c r="D315" s="20" t="s">
        <v>1120</v>
      </c>
      <c r="E315" s="20" t="s">
        <v>1121</v>
      </c>
      <c r="F315" s="19" t="s">
        <v>90</v>
      </c>
      <c r="G315" s="19" t="s">
        <v>91</v>
      </c>
      <c r="H315" s="19"/>
      <c r="I315" s="21" t="s">
        <v>29</v>
      </c>
      <c r="J315" s="21" t="s">
        <v>29</v>
      </c>
      <c r="K315" s="22" t="s">
        <v>1122</v>
      </c>
      <c r="L315" s="23">
        <v>45242</v>
      </c>
      <c r="N315" s="40"/>
      <c r="Q315" s="25"/>
      <c r="R315" s="25"/>
    </row>
    <row r="316" spans="1:28" ht="15.75" customHeight="1">
      <c r="A316" s="17"/>
      <c r="B316" s="29" t="s">
        <v>1123</v>
      </c>
      <c r="C316" s="19" t="s">
        <v>87</v>
      </c>
      <c r="D316" s="20" t="s">
        <v>1124</v>
      </c>
      <c r="E316" s="20" t="s">
        <v>1125</v>
      </c>
      <c r="F316" s="19" t="s">
        <v>90</v>
      </c>
      <c r="G316" s="19" t="s">
        <v>91</v>
      </c>
      <c r="H316" s="19"/>
      <c r="I316" s="21" t="s">
        <v>29</v>
      </c>
      <c r="J316" s="21" t="s">
        <v>29</v>
      </c>
      <c r="K316" s="22" t="s">
        <v>1126</v>
      </c>
      <c r="L316" s="23">
        <v>45242</v>
      </c>
      <c r="N316" s="40"/>
      <c r="Q316" s="25"/>
      <c r="R316" s="25"/>
    </row>
    <row r="317" spans="1:28" ht="15.75" customHeight="1">
      <c r="A317" s="17"/>
      <c r="B317" s="18" t="s">
        <v>1127</v>
      </c>
      <c r="C317" s="19" t="s">
        <v>46</v>
      </c>
      <c r="D317" s="20" t="s">
        <v>1128</v>
      </c>
      <c r="E317" s="20" t="s">
        <v>1129</v>
      </c>
      <c r="F317" s="19" t="s">
        <v>49</v>
      </c>
      <c r="G317" s="19" t="s">
        <v>50</v>
      </c>
      <c r="H317" s="19"/>
      <c r="I317" s="21" t="s">
        <v>29</v>
      </c>
      <c r="J317" s="21" t="s">
        <v>29</v>
      </c>
      <c r="K317" s="22" t="s">
        <v>1130</v>
      </c>
      <c r="L317" s="23">
        <v>45242</v>
      </c>
      <c r="N317" s="40"/>
      <c r="Q317" s="25"/>
      <c r="R317" s="25"/>
    </row>
    <row r="318" spans="1:28" ht="15.75" customHeight="1">
      <c r="A318" s="17"/>
      <c r="B318" s="18" t="s">
        <v>1131</v>
      </c>
      <c r="C318" s="19" t="s">
        <v>46</v>
      </c>
      <c r="D318" s="20" t="s">
        <v>1132</v>
      </c>
      <c r="E318" s="20" t="s">
        <v>1133</v>
      </c>
      <c r="F318" s="19" t="s">
        <v>49</v>
      </c>
      <c r="G318" s="19" t="s">
        <v>50</v>
      </c>
      <c r="H318" s="19"/>
      <c r="I318" s="21" t="s">
        <v>29</v>
      </c>
      <c r="J318" s="21" t="s">
        <v>29</v>
      </c>
      <c r="K318" s="22" t="s">
        <v>1134</v>
      </c>
      <c r="L318" s="23">
        <v>45242</v>
      </c>
      <c r="N318" s="40"/>
      <c r="Q318" s="25"/>
      <c r="R318" s="25"/>
    </row>
    <row r="319" spans="1:28" ht="15.75" customHeight="1">
      <c r="A319" s="17"/>
      <c r="B319" s="18" t="s">
        <v>1135</v>
      </c>
      <c r="C319" s="19" t="s">
        <v>87</v>
      </c>
      <c r="D319" s="20" t="s">
        <v>1136</v>
      </c>
      <c r="E319" s="20" t="s">
        <v>1137</v>
      </c>
      <c r="F319" s="19" t="s">
        <v>90</v>
      </c>
      <c r="G319" s="19" t="s">
        <v>91</v>
      </c>
      <c r="H319" s="19"/>
      <c r="I319" s="21" t="s">
        <v>29</v>
      </c>
      <c r="J319" s="21" t="s">
        <v>29</v>
      </c>
      <c r="K319" s="22" t="s">
        <v>1138</v>
      </c>
      <c r="L319" s="23">
        <v>45242</v>
      </c>
      <c r="N319" s="40"/>
      <c r="Q319" s="25"/>
      <c r="R319" s="25"/>
    </row>
    <row r="320" spans="1:28" ht="15.75" customHeight="1">
      <c r="A320" s="17"/>
      <c r="B320" s="36" t="s">
        <v>1139</v>
      </c>
      <c r="C320" s="19" t="s">
        <v>121</v>
      </c>
      <c r="D320" s="20" t="s">
        <v>1140</v>
      </c>
      <c r="E320" s="20" t="s">
        <v>1141</v>
      </c>
      <c r="F320" s="19" t="s">
        <v>27</v>
      </c>
      <c r="G320" s="19" t="s">
        <v>359</v>
      </c>
      <c r="H320" s="19"/>
      <c r="I320" s="21" t="s">
        <v>29</v>
      </c>
      <c r="J320" s="19" t="s">
        <v>359</v>
      </c>
      <c r="K320" s="22" t="s">
        <v>1142</v>
      </c>
      <c r="L320" s="23">
        <v>45242</v>
      </c>
      <c r="N320" s="40"/>
      <c r="Q320" s="25"/>
      <c r="R320" s="25"/>
    </row>
    <row r="321" spans="1:18" ht="15.75" customHeight="1">
      <c r="A321" s="17"/>
      <c r="B321" s="18" t="s">
        <v>1143</v>
      </c>
      <c r="C321" s="19" t="s">
        <v>87</v>
      </c>
      <c r="D321" s="20" t="s">
        <v>1144</v>
      </c>
      <c r="E321" s="20" t="s">
        <v>1145</v>
      </c>
      <c r="F321" s="19" t="s">
        <v>90</v>
      </c>
      <c r="G321" s="19" t="s">
        <v>91</v>
      </c>
      <c r="H321" s="19"/>
      <c r="I321" s="21" t="s">
        <v>29</v>
      </c>
      <c r="J321" s="21" t="s">
        <v>29</v>
      </c>
      <c r="K321" s="22" t="s">
        <v>1146</v>
      </c>
      <c r="L321" s="23">
        <v>45242</v>
      </c>
      <c r="N321" s="40"/>
      <c r="Q321" s="25"/>
      <c r="R321" s="25"/>
    </row>
    <row r="322" spans="1:18" ht="15.75" customHeight="1">
      <c r="A322" s="17"/>
      <c r="B322" s="18" t="s">
        <v>1147</v>
      </c>
      <c r="C322" s="19" t="s">
        <v>24</v>
      </c>
      <c r="D322" s="20" t="s">
        <v>1148</v>
      </c>
      <c r="E322" s="20" t="s">
        <v>1149</v>
      </c>
      <c r="F322" s="19" t="s">
        <v>27</v>
      </c>
      <c r="G322" s="19" t="s">
        <v>28</v>
      </c>
      <c r="H322" s="19" t="s">
        <v>36</v>
      </c>
      <c r="I322" s="21" t="s">
        <v>29</v>
      </c>
      <c r="J322" s="21" t="s">
        <v>29</v>
      </c>
      <c r="K322" s="22" t="s">
        <v>1150</v>
      </c>
      <c r="L322" s="23">
        <v>45242</v>
      </c>
      <c r="N322" s="40"/>
      <c r="Q322" s="25"/>
      <c r="R322" s="25"/>
    </row>
    <row r="323" spans="1:18" ht="15.75" customHeight="1">
      <c r="A323" s="17"/>
      <c r="B323" s="18" t="s">
        <v>1151</v>
      </c>
      <c r="C323" s="19" t="s">
        <v>46</v>
      </c>
      <c r="D323" s="20" t="s">
        <v>1152</v>
      </c>
      <c r="E323" s="20" t="s">
        <v>1153</v>
      </c>
      <c r="F323" s="19" t="s">
        <v>49</v>
      </c>
      <c r="G323" s="19" t="s">
        <v>50</v>
      </c>
      <c r="H323" s="19"/>
      <c r="I323" s="21" t="s">
        <v>29</v>
      </c>
      <c r="J323" s="21" t="s">
        <v>29</v>
      </c>
      <c r="K323" s="22" t="s">
        <v>1154</v>
      </c>
      <c r="L323" s="23">
        <v>45242</v>
      </c>
      <c r="N323" s="40"/>
      <c r="Q323" s="25"/>
      <c r="R323" s="25"/>
    </row>
    <row r="324" spans="1:18" ht="15.75" customHeight="1">
      <c r="A324" s="17"/>
      <c r="B324" s="41" t="s">
        <v>1155</v>
      </c>
      <c r="C324" s="19" t="s">
        <v>46</v>
      </c>
      <c r="D324" s="20" t="s">
        <v>1156</v>
      </c>
      <c r="E324" s="20" t="s">
        <v>1157</v>
      </c>
      <c r="F324" s="19"/>
      <c r="G324" s="19"/>
      <c r="H324" s="19"/>
      <c r="I324" s="21"/>
      <c r="J324" s="21"/>
      <c r="K324" s="22"/>
      <c r="L324" s="23"/>
      <c r="N324" s="40"/>
      <c r="Q324" s="25"/>
      <c r="R324" s="25"/>
    </row>
    <row r="325" spans="1:18" ht="15.75" customHeight="1">
      <c r="A325" s="17"/>
      <c r="B325" s="18" t="s">
        <v>1158</v>
      </c>
      <c r="C325" s="19" t="s">
        <v>24</v>
      </c>
      <c r="D325" s="20" t="s">
        <v>1159</v>
      </c>
      <c r="E325" s="20" t="s">
        <v>1160</v>
      </c>
      <c r="F325" s="19" t="s">
        <v>27</v>
      </c>
      <c r="G325" s="19" t="s">
        <v>28</v>
      </c>
      <c r="H325" s="19"/>
      <c r="I325" s="21" t="s">
        <v>29</v>
      </c>
      <c r="J325" s="21" t="s">
        <v>29</v>
      </c>
      <c r="K325" s="22" t="s">
        <v>1161</v>
      </c>
      <c r="L325" s="23">
        <v>45242</v>
      </c>
      <c r="N325" s="40"/>
      <c r="Q325" s="25"/>
      <c r="R325" s="25"/>
    </row>
    <row r="326" spans="1:18" ht="15.75" customHeight="1">
      <c r="A326" s="17"/>
      <c r="B326" s="18" t="s">
        <v>1162</v>
      </c>
      <c r="C326" s="19" t="s">
        <v>24</v>
      </c>
      <c r="D326" s="20" t="s">
        <v>1163</v>
      </c>
      <c r="E326" s="20" t="s">
        <v>1164</v>
      </c>
      <c r="F326" s="19" t="s">
        <v>27</v>
      </c>
      <c r="G326" s="19" t="s">
        <v>28</v>
      </c>
      <c r="H326" s="19"/>
      <c r="I326" s="21" t="s">
        <v>29</v>
      </c>
      <c r="J326" s="21" t="s">
        <v>29</v>
      </c>
      <c r="K326" s="22" t="s">
        <v>1165</v>
      </c>
      <c r="L326" s="23">
        <v>45242</v>
      </c>
      <c r="N326" s="40"/>
      <c r="Q326" s="25"/>
      <c r="R326" s="25"/>
    </row>
    <row r="327" spans="1:18" ht="15.75" customHeight="1">
      <c r="A327" s="17"/>
      <c r="B327" s="18" t="s">
        <v>1166</v>
      </c>
      <c r="C327" s="37" t="s">
        <v>412</v>
      </c>
      <c r="D327" s="20" t="s">
        <v>1167</v>
      </c>
      <c r="E327" s="20" t="s">
        <v>1168</v>
      </c>
      <c r="F327" s="19" t="s">
        <v>414</v>
      </c>
      <c r="G327" s="37" t="s">
        <v>415</v>
      </c>
      <c r="H327" s="37"/>
      <c r="I327" s="21" t="s">
        <v>233</v>
      </c>
      <c r="J327" s="21" t="s">
        <v>233</v>
      </c>
      <c r="K327" s="22" t="s">
        <v>1169</v>
      </c>
      <c r="L327" s="23">
        <v>45242</v>
      </c>
      <c r="N327" s="40"/>
      <c r="Q327" s="25"/>
      <c r="R327" s="25"/>
    </row>
    <row r="328" spans="1:18" ht="15.75" customHeight="1">
      <c r="A328" s="17"/>
      <c r="B328" s="18" t="s">
        <v>1170</v>
      </c>
      <c r="C328" s="19" t="s">
        <v>24</v>
      </c>
      <c r="D328" s="20" t="s">
        <v>1171</v>
      </c>
      <c r="E328" s="20" t="s">
        <v>1172</v>
      </c>
      <c r="F328" s="19" t="s">
        <v>27</v>
      </c>
      <c r="G328" s="19" t="s">
        <v>28</v>
      </c>
      <c r="H328" s="19"/>
      <c r="I328" s="21" t="s">
        <v>29</v>
      </c>
      <c r="J328" s="21" t="s">
        <v>29</v>
      </c>
      <c r="K328" s="22" t="s">
        <v>1173</v>
      </c>
      <c r="L328" s="23">
        <v>45242</v>
      </c>
      <c r="N328" s="40"/>
      <c r="Q328" s="25"/>
      <c r="R328" s="25"/>
    </row>
    <row r="329" spans="1:18" ht="15.75" customHeight="1">
      <c r="A329" s="17"/>
      <c r="B329" s="18" t="s">
        <v>1174</v>
      </c>
      <c r="C329" s="19" t="s">
        <v>24</v>
      </c>
      <c r="D329" s="20" t="s">
        <v>1175</v>
      </c>
      <c r="E329" s="20" t="s">
        <v>1176</v>
      </c>
      <c r="F329" s="19" t="s">
        <v>27</v>
      </c>
      <c r="G329" s="19" t="s">
        <v>28</v>
      </c>
      <c r="H329" s="37" t="s">
        <v>813</v>
      </c>
      <c r="I329" s="21" t="s">
        <v>29</v>
      </c>
      <c r="J329" s="21" t="s">
        <v>29</v>
      </c>
      <c r="K329" s="22" t="s">
        <v>1177</v>
      </c>
      <c r="L329" s="23">
        <v>45242</v>
      </c>
      <c r="N329" s="40"/>
      <c r="Q329" s="25"/>
      <c r="R329" s="25"/>
    </row>
    <row r="330" spans="1:18" ht="15.75" customHeight="1">
      <c r="A330" s="17"/>
      <c r="B330" s="18" t="s">
        <v>1178</v>
      </c>
      <c r="C330" s="19" t="s">
        <v>24</v>
      </c>
      <c r="D330" s="20" t="s">
        <v>1179</v>
      </c>
      <c r="E330" s="20" t="s">
        <v>1180</v>
      </c>
      <c r="F330" s="19" t="s">
        <v>27</v>
      </c>
      <c r="G330" s="19" t="s">
        <v>28</v>
      </c>
      <c r="H330" s="19"/>
      <c r="I330" s="21" t="s">
        <v>29</v>
      </c>
      <c r="J330" s="21" t="s">
        <v>29</v>
      </c>
      <c r="K330" s="22" t="s">
        <v>1181</v>
      </c>
      <c r="L330" s="23">
        <v>45242</v>
      </c>
      <c r="N330" s="40"/>
      <c r="Q330" s="25"/>
      <c r="R330" s="25"/>
    </row>
    <row r="331" spans="1:18" ht="15.75" customHeight="1">
      <c r="A331" s="17"/>
      <c r="B331" s="18" t="s">
        <v>1182</v>
      </c>
      <c r="C331" s="19" t="s">
        <v>87</v>
      </c>
      <c r="D331" s="20" t="s">
        <v>1183</v>
      </c>
      <c r="E331" s="20" t="s">
        <v>1184</v>
      </c>
      <c r="F331" s="19" t="s">
        <v>90</v>
      </c>
      <c r="G331" s="19" t="s">
        <v>91</v>
      </c>
      <c r="H331" s="19"/>
      <c r="I331" s="21" t="s">
        <v>29</v>
      </c>
      <c r="J331" s="21" t="s">
        <v>29</v>
      </c>
      <c r="K331" s="22" t="s">
        <v>1185</v>
      </c>
      <c r="L331" s="23">
        <v>45242</v>
      </c>
      <c r="N331" s="40"/>
      <c r="Q331" s="25"/>
      <c r="R331" s="25"/>
    </row>
    <row r="332" spans="1:18" ht="15.75" customHeight="1">
      <c r="A332" s="17"/>
      <c r="B332" s="18" t="s">
        <v>1186</v>
      </c>
      <c r="C332" s="19" t="s">
        <v>46</v>
      </c>
      <c r="D332" s="20" t="s">
        <v>1187</v>
      </c>
      <c r="E332" s="20" t="s">
        <v>1188</v>
      </c>
      <c r="F332" s="19" t="s">
        <v>49</v>
      </c>
      <c r="G332" s="19" t="s">
        <v>50</v>
      </c>
      <c r="H332" s="19"/>
      <c r="I332" s="21" t="s">
        <v>29</v>
      </c>
      <c r="J332" s="21" t="s">
        <v>29</v>
      </c>
      <c r="K332" s="22" t="s">
        <v>1189</v>
      </c>
      <c r="L332" s="23">
        <v>45242</v>
      </c>
      <c r="N332" s="40"/>
      <c r="Q332" s="25"/>
      <c r="R332" s="25"/>
    </row>
    <row r="333" spans="1:18" ht="15.75" customHeight="1">
      <c r="A333" s="17"/>
      <c r="B333" s="18" t="s">
        <v>1190</v>
      </c>
      <c r="C333" s="19" t="s">
        <v>24</v>
      </c>
      <c r="D333" s="20" t="s">
        <v>1191</v>
      </c>
      <c r="E333" s="20" t="s">
        <v>1192</v>
      </c>
      <c r="F333" s="19" t="s">
        <v>90</v>
      </c>
      <c r="G333" s="19" t="s">
        <v>28</v>
      </c>
      <c r="H333" s="19" t="s">
        <v>36</v>
      </c>
      <c r="I333" s="21" t="s">
        <v>29</v>
      </c>
      <c r="J333" s="21" t="s">
        <v>29</v>
      </c>
      <c r="K333" s="22" t="s">
        <v>1193</v>
      </c>
      <c r="L333" s="23">
        <v>45242</v>
      </c>
      <c r="N333" s="40"/>
      <c r="Q333" s="25"/>
      <c r="R333" s="25"/>
    </row>
    <row r="334" spans="1:18" ht="15.75" customHeight="1">
      <c r="A334" s="17"/>
      <c r="B334" s="18" t="s">
        <v>1194</v>
      </c>
      <c r="C334" s="19" t="s">
        <v>46</v>
      </c>
      <c r="D334" s="20" t="s">
        <v>1195</v>
      </c>
      <c r="E334" s="20" t="s">
        <v>1196</v>
      </c>
      <c r="F334" s="19" t="s">
        <v>49</v>
      </c>
      <c r="G334" s="19" t="s">
        <v>50</v>
      </c>
      <c r="H334" s="19"/>
      <c r="I334" s="21" t="s">
        <v>29</v>
      </c>
      <c r="J334" s="21" t="s">
        <v>29</v>
      </c>
      <c r="K334" s="22" t="s">
        <v>1196</v>
      </c>
      <c r="L334" s="23">
        <v>45242</v>
      </c>
      <c r="N334" s="40"/>
      <c r="Q334" s="25"/>
      <c r="R334" s="25"/>
    </row>
    <row r="335" spans="1:18" ht="15.75" customHeight="1">
      <c r="A335" s="17"/>
      <c r="B335" s="34" t="s">
        <v>1197</v>
      </c>
      <c r="C335" s="19" t="s">
        <v>24</v>
      </c>
      <c r="D335" s="20" t="s">
        <v>1198</v>
      </c>
      <c r="E335" s="20" t="s">
        <v>1199</v>
      </c>
      <c r="F335" s="19" t="s">
        <v>90</v>
      </c>
      <c r="G335" s="19" t="s">
        <v>91</v>
      </c>
      <c r="H335" s="19"/>
      <c r="I335" s="21" t="s">
        <v>29</v>
      </c>
      <c r="J335" s="21" t="s">
        <v>29</v>
      </c>
      <c r="K335" s="22" t="s">
        <v>1200</v>
      </c>
      <c r="L335" s="23">
        <v>45242</v>
      </c>
      <c r="N335" s="40"/>
      <c r="Q335" s="25"/>
      <c r="R335" s="25"/>
    </row>
    <row r="336" spans="1:18" ht="15.75" customHeight="1">
      <c r="A336" s="17"/>
      <c r="B336" s="18" t="s">
        <v>1201</v>
      </c>
      <c r="C336" s="19" t="s">
        <v>24</v>
      </c>
      <c r="D336" s="20" t="s">
        <v>1202</v>
      </c>
      <c r="E336" s="20" t="s">
        <v>1203</v>
      </c>
      <c r="F336" s="19" t="s">
        <v>286</v>
      </c>
      <c r="G336" s="19" t="s">
        <v>28</v>
      </c>
      <c r="H336" s="19"/>
      <c r="I336" s="21" t="s">
        <v>286</v>
      </c>
      <c r="J336" s="21" t="s">
        <v>29</v>
      </c>
      <c r="K336" s="22" t="s">
        <v>1204</v>
      </c>
      <c r="L336" s="23">
        <v>45242</v>
      </c>
      <c r="N336" s="40"/>
      <c r="Q336" s="25"/>
      <c r="R336" s="25"/>
    </row>
    <row r="337" spans="1:18" ht="15.75" customHeight="1">
      <c r="A337" s="17"/>
      <c r="B337" s="18" t="s">
        <v>1205</v>
      </c>
      <c r="C337" s="19" t="s">
        <v>24</v>
      </c>
      <c r="D337" s="20" t="s">
        <v>1206</v>
      </c>
      <c r="E337" s="20" t="s">
        <v>1207</v>
      </c>
      <c r="F337" s="19" t="s">
        <v>27</v>
      </c>
      <c r="G337" s="19" t="s">
        <v>28</v>
      </c>
      <c r="H337" s="19" t="s">
        <v>36</v>
      </c>
      <c r="I337" s="21" t="s">
        <v>29</v>
      </c>
      <c r="J337" s="21" t="s">
        <v>29</v>
      </c>
      <c r="K337" s="22" t="s">
        <v>1208</v>
      </c>
      <c r="L337" s="23">
        <v>45242</v>
      </c>
      <c r="N337" s="40"/>
      <c r="Q337" s="25"/>
      <c r="R337" s="25"/>
    </row>
    <row r="338" spans="1:18" ht="15.75" customHeight="1">
      <c r="A338" s="17"/>
      <c r="B338" s="36" t="s">
        <v>1209</v>
      </c>
      <c r="C338" s="19" t="s">
        <v>121</v>
      </c>
      <c r="D338" s="20" t="s">
        <v>1210</v>
      </c>
      <c r="E338" s="20" t="s">
        <v>1211</v>
      </c>
      <c r="F338" s="19" t="s">
        <v>49</v>
      </c>
      <c r="G338" s="19" t="s">
        <v>50</v>
      </c>
      <c r="H338" s="19"/>
      <c r="I338" s="21" t="s">
        <v>29</v>
      </c>
      <c r="J338" s="21" t="s">
        <v>29</v>
      </c>
      <c r="K338" s="22" t="s">
        <v>1212</v>
      </c>
      <c r="L338" s="23">
        <v>45242</v>
      </c>
      <c r="N338" s="40"/>
      <c r="Q338" s="25"/>
      <c r="R338" s="25"/>
    </row>
    <row r="339" spans="1:18" ht="15.75" customHeight="1">
      <c r="A339" s="17"/>
      <c r="B339" s="18" t="s">
        <v>1213</v>
      </c>
      <c r="C339" s="19" t="s">
        <v>24</v>
      </c>
      <c r="D339" s="20" t="s">
        <v>1214</v>
      </c>
      <c r="E339" s="20" t="s">
        <v>1215</v>
      </c>
      <c r="F339" s="19" t="s">
        <v>90</v>
      </c>
      <c r="G339" s="19" t="s">
        <v>28</v>
      </c>
      <c r="H339" s="19"/>
      <c r="I339" s="21" t="s">
        <v>29</v>
      </c>
      <c r="J339" s="21" t="s">
        <v>29</v>
      </c>
      <c r="K339" s="22" t="s">
        <v>1216</v>
      </c>
      <c r="L339" s="23">
        <v>45242</v>
      </c>
      <c r="N339" s="40"/>
      <c r="Q339" s="25"/>
      <c r="R339" s="25"/>
    </row>
    <row r="340" spans="1:18" ht="15.75" customHeight="1">
      <c r="A340" s="17"/>
      <c r="B340" s="18" t="s">
        <v>1217</v>
      </c>
      <c r="C340" s="19" t="s">
        <v>24</v>
      </c>
      <c r="D340" s="20" t="s">
        <v>1218</v>
      </c>
      <c r="E340" s="20" t="s">
        <v>1219</v>
      </c>
      <c r="F340" s="19" t="s">
        <v>27</v>
      </c>
      <c r="G340" s="19" t="s">
        <v>28</v>
      </c>
      <c r="H340" s="19"/>
      <c r="I340" s="21" t="s">
        <v>29</v>
      </c>
      <c r="J340" s="21" t="s">
        <v>29</v>
      </c>
      <c r="K340" s="22" t="s">
        <v>1220</v>
      </c>
      <c r="L340" s="23">
        <v>45242</v>
      </c>
      <c r="N340" s="40"/>
      <c r="Q340" s="25"/>
      <c r="R340" s="25"/>
    </row>
    <row r="341" spans="1:18" ht="15.75" customHeight="1">
      <c r="A341" s="17"/>
      <c r="B341" s="18" t="s">
        <v>1221</v>
      </c>
      <c r="C341" s="19" t="s">
        <v>24</v>
      </c>
      <c r="D341" s="20" t="s">
        <v>1222</v>
      </c>
      <c r="E341" s="20" t="s">
        <v>1223</v>
      </c>
      <c r="F341" s="19" t="s">
        <v>27</v>
      </c>
      <c r="G341" s="19" t="s">
        <v>28</v>
      </c>
      <c r="H341" s="19" t="s">
        <v>36</v>
      </c>
      <c r="I341" s="21" t="s">
        <v>29</v>
      </c>
      <c r="J341" s="21" t="s">
        <v>29</v>
      </c>
      <c r="K341" s="22" t="s">
        <v>1224</v>
      </c>
      <c r="L341" s="23">
        <v>45242</v>
      </c>
      <c r="N341" s="40"/>
      <c r="Q341" s="25"/>
      <c r="R341" s="25"/>
    </row>
    <row r="342" spans="1:18" ht="15.75" customHeight="1">
      <c r="A342" s="17"/>
      <c r="B342" s="18" t="s">
        <v>1225</v>
      </c>
      <c r="C342" s="19" t="s">
        <v>46</v>
      </c>
      <c r="D342" s="20" t="s">
        <v>1226</v>
      </c>
      <c r="E342" s="20" t="s">
        <v>1227</v>
      </c>
      <c r="F342" s="19" t="s">
        <v>49</v>
      </c>
      <c r="G342" s="19" t="s">
        <v>50</v>
      </c>
      <c r="H342" s="19"/>
      <c r="I342" s="21" t="s">
        <v>29</v>
      </c>
      <c r="J342" s="21" t="s">
        <v>29</v>
      </c>
      <c r="K342" s="22" t="s">
        <v>1228</v>
      </c>
      <c r="L342" s="23">
        <v>45242</v>
      </c>
      <c r="N342" s="40"/>
      <c r="Q342" s="25"/>
      <c r="R342" s="25"/>
    </row>
    <row r="343" spans="1:18" ht="15.75" customHeight="1">
      <c r="A343" s="17"/>
      <c r="B343" s="18" t="s">
        <v>1229</v>
      </c>
      <c r="C343" s="19" t="s">
        <v>24</v>
      </c>
      <c r="D343" s="20" t="s">
        <v>1230</v>
      </c>
      <c r="E343" s="20" t="s">
        <v>1231</v>
      </c>
      <c r="F343" s="19" t="s">
        <v>27</v>
      </c>
      <c r="G343" s="19" t="s">
        <v>28</v>
      </c>
      <c r="H343" s="19"/>
      <c r="I343" s="21" t="s">
        <v>29</v>
      </c>
      <c r="J343" s="21" t="s">
        <v>29</v>
      </c>
      <c r="K343" s="22" t="s">
        <v>1232</v>
      </c>
      <c r="L343" s="23">
        <v>45242</v>
      </c>
      <c r="N343" s="40"/>
      <c r="Q343" s="25"/>
      <c r="R343" s="25"/>
    </row>
    <row r="344" spans="1:18" ht="15.75" customHeight="1">
      <c r="A344" s="17"/>
      <c r="B344" s="18" t="s">
        <v>1233</v>
      </c>
      <c r="C344" s="37" t="s">
        <v>412</v>
      </c>
      <c r="D344" s="20" t="s">
        <v>1234</v>
      </c>
      <c r="E344" s="20" t="s">
        <v>55</v>
      </c>
      <c r="F344" s="19" t="s">
        <v>414</v>
      </c>
      <c r="G344" s="19" t="s">
        <v>415</v>
      </c>
      <c r="H344" s="37"/>
      <c r="I344" s="21" t="s">
        <v>233</v>
      </c>
      <c r="J344" s="21" t="s">
        <v>233</v>
      </c>
      <c r="K344" s="22" t="s">
        <v>55</v>
      </c>
      <c r="L344" s="23">
        <v>45242</v>
      </c>
      <c r="N344" s="40"/>
      <c r="Q344" s="25"/>
      <c r="R344" s="25"/>
    </row>
    <row r="345" spans="1:18" ht="15.75" customHeight="1">
      <c r="A345" s="17"/>
      <c r="B345" s="18" t="s">
        <v>1235</v>
      </c>
      <c r="C345" s="19" t="s">
        <v>24</v>
      </c>
      <c r="D345" s="20" t="s">
        <v>1236</v>
      </c>
      <c r="E345" s="20" t="s">
        <v>55</v>
      </c>
      <c r="F345" s="19" t="s">
        <v>27</v>
      </c>
      <c r="G345" s="19" t="s">
        <v>28</v>
      </c>
      <c r="H345" s="19"/>
      <c r="I345" s="21" t="s">
        <v>29</v>
      </c>
      <c r="J345" s="21" t="s">
        <v>29</v>
      </c>
      <c r="K345" s="22" t="s">
        <v>55</v>
      </c>
      <c r="L345" s="23">
        <v>45242</v>
      </c>
      <c r="N345" s="40"/>
      <c r="Q345" s="25"/>
      <c r="R345" s="25"/>
    </row>
    <row r="346" spans="1:18" ht="15.75" customHeight="1">
      <c r="A346" s="17"/>
      <c r="B346" s="34" t="s">
        <v>1237</v>
      </c>
      <c r="C346" s="19" t="s">
        <v>24</v>
      </c>
      <c r="D346" s="20" t="s">
        <v>1238</v>
      </c>
      <c r="E346" s="20" t="s">
        <v>1239</v>
      </c>
      <c r="F346" s="19" t="s">
        <v>90</v>
      </c>
      <c r="G346" s="19" t="s">
        <v>91</v>
      </c>
      <c r="H346" s="19"/>
      <c r="I346" s="21" t="s">
        <v>29</v>
      </c>
      <c r="J346" s="21" t="s">
        <v>29</v>
      </c>
      <c r="K346" s="22" t="s">
        <v>1240</v>
      </c>
      <c r="L346" s="23">
        <v>45242</v>
      </c>
      <c r="N346" s="40"/>
      <c r="Q346" s="25"/>
      <c r="R346" s="25"/>
    </row>
    <row r="347" spans="1:18" ht="15.75" customHeight="1">
      <c r="A347" s="17"/>
      <c r="B347" s="18" t="s">
        <v>1241</v>
      </c>
      <c r="C347" s="19" t="s">
        <v>24</v>
      </c>
      <c r="D347" s="20" t="s">
        <v>1242</v>
      </c>
      <c r="E347" s="20" t="s">
        <v>1243</v>
      </c>
      <c r="F347" s="19" t="s">
        <v>27</v>
      </c>
      <c r="G347" s="19" t="s">
        <v>28</v>
      </c>
      <c r="H347" s="19"/>
      <c r="I347" s="21" t="s">
        <v>29</v>
      </c>
      <c r="J347" s="21" t="s">
        <v>29</v>
      </c>
      <c r="K347" s="22" t="s">
        <v>1244</v>
      </c>
      <c r="L347" s="23">
        <v>45242</v>
      </c>
      <c r="N347" s="40"/>
      <c r="Q347" s="25"/>
      <c r="R347" s="25"/>
    </row>
    <row r="348" spans="1:18" ht="15.75" customHeight="1">
      <c r="A348" s="17"/>
      <c r="B348" s="18" t="s">
        <v>1245</v>
      </c>
      <c r="C348" s="19" t="s">
        <v>46</v>
      </c>
      <c r="D348" s="20" t="s">
        <v>1246</v>
      </c>
      <c r="E348" s="20" t="s">
        <v>1247</v>
      </c>
      <c r="F348" s="19" t="s">
        <v>49</v>
      </c>
      <c r="G348" s="19" t="s">
        <v>50</v>
      </c>
      <c r="H348" s="19"/>
      <c r="I348" s="21" t="s">
        <v>29</v>
      </c>
      <c r="J348" s="21" t="s">
        <v>29</v>
      </c>
      <c r="K348" s="22" t="s">
        <v>1248</v>
      </c>
      <c r="L348" s="23">
        <v>45242</v>
      </c>
      <c r="N348" s="40"/>
      <c r="Q348" s="25"/>
      <c r="R348" s="25"/>
    </row>
    <row r="349" spans="1:18" ht="15.75" customHeight="1">
      <c r="A349" s="17"/>
      <c r="B349" s="18" t="s">
        <v>1249</v>
      </c>
      <c r="C349" s="19" t="s">
        <v>24</v>
      </c>
      <c r="D349" s="20" t="s">
        <v>1250</v>
      </c>
      <c r="E349" s="20" t="s">
        <v>1251</v>
      </c>
      <c r="F349" s="19" t="s">
        <v>27</v>
      </c>
      <c r="G349" s="19" t="s">
        <v>28</v>
      </c>
      <c r="H349" s="19"/>
      <c r="I349" s="21" t="s">
        <v>29</v>
      </c>
      <c r="J349" s="21" t="s">
        <v>29</v>
      </c>
      <c r="K349" s="22" t="s">
        <v>1252</v>
      </c>
      <c r="L349" s="23">
        <v>45242</v>
      </c>
      <c r="N349" s="40"/>
      <c r="Q349" s="25"/>
      <c r="R349" s="25"/>
    </row>
    <row r="350" spans="1:18" ht="15.75" customHeight="1">
      <c r="A350" s="17"/>
      <c r="B350" s="18" t="s">
        <v>1253</v>
      </c>
      <c r="C350" s="19" t="s">
        <v>24</v>
      </c>
      <c r="D350" s="20" t="s">
        <v>1254</v>
      </c>
      <c r="E350" s="20" t="s">
        <v>1255</v>
      </c>
      <c r="F350" s="19" t="s">
        <v>90</v>
      </c>
      <c r="G350" s="19" t="s">
        <v>28</v>
      </c>
      <c r="H350" s="19" t="s">
        <v>36</v>
      </c>
      <c r="I350" s="21" t="s">
        <v>29</v>
      </c>
      <c r="J350" s="21" t="s">
        <v>29</v>
      </c>
      <c r="K350" s="22" t="s">
        <v>1255</v>
      </c>
      <c r="L350" s="23">
        <v>45242</v>
      </c>
      <c r="N350" s="40"/>
      <c r="Q350" s="25"/>
      <c r="R350" s="25"/>
    </row>
    <row r="351" spans="1:18" ht="15.75" customHeight="1">
      <c r="A351" s="17"/>
      <c r="B351" s="18" t="s">
        <v>1256</v>
      </c>
      <c r="C351" s="19" t="s">
        <v>24</v>
      </c>
      <c r="D351" s="20" t="s">
        <v>1257</v>
      </c>
      <c r="E351" s="20" t="s">
        <v>1258</v>
      </c>
      <c r="F351" s="19" t="s">
        <v>27</v>
      </c>
      <c r="G351" s="19" t="s">
        <v>28</v>
      </c>
      <c r="H351" s="19"/>
      <c r="I351" s="21" t="s">
        <v>29</v>
      </c>
      <c r="J351" s="21" t="s">
        <v>29</v>
      </c>
      <c r="K351" s="22" t="s">
        <v>1259</v>
      </c>
      <c r="L351" s="23">
        <v>45242</v>
      </c>
      <c r="N351" s="40"/>
      <c r="Q351" s="25"/>
      <c r="R351" s="25"/>
    </row>
    <row r="352" spans="1:18" ht="15.75" customHeight="1">
      <c r="A352" s="17"/>
      <c r="B352" s="41" t="s">
        <v>1260</v>
      </c>
      <c r="C352" s="19" t="s">
        <v>46</v>
      </c>
      <c r="D352" s="20" t="s">
        <v>1261</v>
      </c>
      <c r="E352" s="20" t="s">
        <v>1262</v>
      </c>
      <c r="F352" s="19"/>
      <c r="G352" s="19"/>
      <c r="H352" s="19"/>
      <c r="I352" s="21"/>
      <c r="J352" s="21"/>
      <c r="K352" s="22"/>
      <c r="L352" s="23"/>
      <c r="N352" s="40"/>
      <c r="Q352" s="25"/>
      <c r="R352" s="25"/>
    </row>
    <row r="353" spans="1:18" ht="15.75" customHeight="1">
      <c r="A353" s="17"/>
      <c r="B353" s="18" t="s">
        <v>1263</v>
      </c>
      <c r="C353" s="19" t="s">
        <v>24</v>
      </c>
      <c r="D353" s="20" t="s">
        <v>1264</v>
      </c>
      <c r="E353" s="20" t="s">
        <v>1265</v>
      </c>
      <c r="F353" s="19" t="s">
        <v>27</v>
      </c>
      <c r="G353" s="19" t="s">
        <v>28</v>
      </c>
      <c r="H353" s="19"/>
      <c r="I353" s="21" t="s">
        <v>29</v>
      </c>
      <c r="J353" s="21" t="s">
        <v>29</v>
      </c>
      <c r="K353" s="22" t="s">
        <v>1266</v>
      </c>
      <c r="L353" s="23">
        <v>45242</v>
      </c>
      <c r="N353" s="40"/>
      <c r="Q353" s="25"/>
      <c r="R353" s="25"/>
    </row>
    <row r="354" spans="1:18" ht="15.75" customHeight="1">
      <c r="A354" s="17"/>
      <c r="B354" s="18" t="s">
        <v>1267</v>
      </c>
      <c r="C354" s="19" t="s">
        <v>24</v>
      </c>
      <c r="D354" s="20" t="s">
        <v>1268</v>
      </c>
      <c r="E354" s="20" t="s">
        <v>1269</v>
      </c>
      <c r="F354" s="19" t="s">
        <v>27</v>
      </c>
      <c r="G354" s="19" t="s">
        <v>28</v>
      </c>
      <c r="H354" s="19"/>
      <c r="I354" s="21" t="s">
        <v>29</v>
      </c>
      <c r="J354" s="21" t="s">
        <v>29</v>
      </c>
      <c r="K354" s="22" t="s">
        <v>1270</v>
      </c>
      <c r="L354" s="23">
        <v>45242</v>
      </c>
      <c r="N354" s="40"/>
      <c r="Q354" s="25"/>
      <c r="R354" s="25"/>
    </row>
    <row r="355" spans="1:18" ht="15.75" customHeight="1">
      <c r="A355" s="17"/>
      <c r="B355" s="18" t="s">
        <v>1271</v>
      </c>
      <c r="C355" s="19" t="s">
        <v>24</v>
      </c>
      <c r="D355" s="20" t="s">
        <v>1272</v>
      </c>
      <c r="E355" s="20" t="s">
        <v>1273</v>
      </c>
      <c r="F355" s="19" t="s">
        <v>27</v>
      </c>
      <c r="G355" s="19" t="s">
        <v>28</v>
      </c>
      <c r="H355" s="19"/>
      <c r="I355" s="21" t="s">
        <v>29</v>
      </c>
      <c r="J355" s="21" t="s">
        <v>29</v>
      </c>
      <c r="K355" s="22" t="s">
        <v>1274</v>
      </c>
      <c r="L355" s="23">
        <v>45242</v>
      </c>
      <c r="N355" s="40"/>
      <c r="Q355" s="25"/>
      <c r="R355" s="25"/>
    </row>
    <row r="356" spans="1:18" ht="15.75" customHeight="1">
      <c r="A356" s="17"/>
      <c r="B356" s="18" t="s">
        <v>1275</v>
      </c>
      <c r="C356" s="19" t="s">
        <v>87</v>
      </c>
      <c r="D356" s="20" t="s">
        <v>1276</v>
      </c>
      <c r="E356" s="20" t="s">
        <v>1277</v>
      </c>
      <c r="F356" s="19" t="s">
        <v>49</v>
      </c>
      <c r="G356" s="19" t="s">
        <v>91</v>
      </c>
      <c r="H356" s="19"/>
      <c r="I356" s="21" t="s">
        <v>29</v>
      </c>
      <c r="J356" s="21" t="s">
        <v>29</v>
      </c>
      <c r="K356" s="22" t="s">
        <v>1277</v>
      </c>
      <c r="L356" s="23">
        <v>45242</v>
      </c>
      <c r="N356" s="40"/>
      <c r="Q356" s="25"/>
      <c r="R356" s="25"/>
    </row>
    <row r="357" spans="1:18" ht="15.75" customHeight="1">
      <c r="A357" s="17"/>
      <c r="B357" s="18" t="s">
        <v>1278</v>
      </c>
      <c r="C357" s="19" t="s">
        <v>87</v>
      </c>
      <c r="D357" s="20" t="s">
        <v>1279</v>
      </c>
      <c r="E357" s="20" t="s">
        <v>1280</v>
      </c>
      <c r="F357" s="19" t="s">
        <v>90</v>
      </c>
      <c r="G357" s="19" t="s">
        <v>91</v>
      </c>
      <c r="H357" s="19"/>
      <c r="I357" s="21" t="s">
        <v>29</v>
      </c>
      <c r="J357" s="21" t="s">
        <v>29</v>
      </c>
      <c r="K357" s="22" t="s">
        <v>1281</v>
      </c>
      <c r="L357" s="23">
        <v>45242</v>
      </c>
      <c r="N357" s="40"/>
      <c r="Q357" s="25"/>
      <c r="R357" s="25"/>
    </row>
    <row r="358" spans="1:18" ht="15.75" customHeight="1">
      <c r="A358" s="17"/>
      <c r="B358" s="18" t="s">
        <v>1282</v>
      </c>
      <c r="C358" s="19" t="s">
        <v>24</v>
      </c>
      <c r="D358" s="20" t="s">
        <v>1283</v>
      </c>
      <c r="E358" s="20" t="s">
        <v>1284</v>
      </c>
      <c r="F358" s="19" t="s">
        <v>27</v>
      </c>
      <c r="G358" s="19" t="s">
        <v>28</v>
      </c>
      <c r="H358" s="19"/>
      <c r="I358" s="21" t="s">
        <v>29</v>
      </c>
      <c r="J358" s="21" t="s">
        <v>29</v>
      </c>
      <c r="K358" s="22" t="s">
        <v>1285</v>
      </c>
      <c r="L358" s="23">
        <v>45242</v>
      </c>
      <c r="N358" s="40"/>
      <c r="Q358" s="25"/>
      <c r="R358" s="25"/>
    </row>
    <row r="359" spans="1:18" ht="15.75" customHeight="1">
      <c r="A359" s="17"/>
      <c r="B359" s="34" t="s">
        <v>1286</v>
      </c>
      <c r="C359" s="19" t="s">
        <v>24</v>
      </c>
      <c r="D359" s="20" t="s">
        <v>1287</v>
      </c>
      <c r="E359" s="20" t="s">
        <v>1288</v>
      </c>
      <c r="F359" s="19" t="s">
        <v>90</v>
      </c>
      <c r="G359" s="19" t="s">
        <v>91</v>
      </c>
      <c r="H359" s="19"/>
      <c r="I359" s="21" t="s">
        <v>29</v>
      </c>
      <c r="J359" s="21" t="s">
        <v>29</v>
      </c>
      <c r="K359" s="22" t="s">
        <v>1289</v>
      </c>
      <c r="L359" s="23">
        <v>45242</v>
      </c>
      <c r="N359" s="40"/>
      <c r="Q359" s="25"/>
      <c r="R359" s="25"/>
    </row>
    <row r="360" spans="1:18" ht="15.75" customHeight="1">
      <c r="A360" s="17"/>
      <c r="B360" s="18" t="s">
        <v>1290</v>
      </c>
      <c r="C360" s="19" t="s">
        <v>87</v>
      </c>
      <c r="D360" s="20" t="s">
        <v>1291</v>
      </c>
      <c r="E360" s="20" t="s">
        <v>1292</v>
      </c>
      <c r="F360" s="19" t="s">
        <v>90</v>
      </c>
      <c r="G360" s="19" t="s">
        <v>91</v>
      </c>
      <c r="H360" s="19"/>
      <c r="I360" s="21" t="s">
        <v>29</v>
      </c>
      <c r="J360" s="21" t="s">
        <v>29</v>
      </c>
      <c r="K360" s="22" t="s">
        <v>1293</v>
      </c>
      <c r="L360" s="23">
        <v>45242</v>
      </c>
      <c r="N360" s="40"/>
      <c r="Q360" s="25"/>
      <c r="R360" s="25"/>
    </row>
    <row r="361" spans="1:18" ht="15.75" customHeight="1">
      <c r="A361" s="17"/>
      <c r="B361" s="18" t="s">
        <v>1294</v>
      </c>
      <c r="C361" s="19" t="s">
        <v>24</v>
      </c>
      <c r="D361" s="20" t="s">
        <v>1295</v>
      </c>
      <c r="E361" s="20" t="s">
        <v>1296</v>
      </c>
      <c r="F361" s="19" t="s">
        <v>27</v>
      </c>
      <c r="G361" s="19" t="s">
        <v>28</v>
      </c>
      <c r="H361" s="19"/>
      <c r="I361" s="21" t="s">
        <v>29</v>
      </c>
      <c r="J361" s="21" t="s">
        <v>29</v>
      </c>
      <c r="K361" s="22" t="s">
        <v>1297</v>
      </c>
      <c r="L361" s="23">
        <v>45242</v>
      </c>
      <c r="N361" s="40"/>
      <c r="Q361" s="25"/>
      <c r="R361" s="25"/>
    </row>
    <row r="362" spans="1:18" ht="15.75" customHeight="1">
      <c r="A362" s="17"/>
      <c r="B362" s="36" t="s">
        <v>1298</v>
      </c>
      <c r="C362" s="19" t="s">
        <v>121</v>
      </c>
      <c r="D362" s="20" t="s">
        <v>1299</v>
      </c>
      <c r="E362" s="20" t="s">
        <v>1300</v>
      </c>
      <c r="F362" s="19" t="s">
        <v>27</v>
      </c>
      <c r="G362" s="19" t="s">
        <v>28</v>
      </c>
      <c r="H362" s="19" t="s">
        <v>36</v>
      </c>
      <c r="I362" s="21" t="s">
        <v>29</v>
      </c>
      <c r="J362" s="21" t="s">
        <v>29</v>
      </c>
      <c r="K362" s="22" t="s">
        <v>1301</v>
      </c>
      <c r="L362" s="23">
        <v>45242</v>
      </c>
      <c r="N362" s="40"/>
      <c r="Q362" s="25"/>
      <c r="R362" s="25"/>
    </row>
    <row r="363" spans="1:18" ht="15.75" customHeight="1">
      <c r="A363" s="17"/>
      <c r="B363" s="18" t="s">
        <v>1302</v>
      </c>
      <c r="C363" s="19" t="s">
        <v>87</v>
      </c>
      <c r="D363" s="20" t="s">
        <v>1303</v>
      </c>
      <c r="E363" s="20" t="s">
        <v>1304</v>
      </c>
      <c r="F363" s="19" t="s">
        <v>90</v>
      </c>
      <c r="G363" s="19" t="s">
        <v>91</v>
      </c>
      <c r="H363" s="19"/>
      <c r="I363" s="21" t="s">
        <v>29</v>
      </c>
      <c r="J363" s="21" t="s">
        <v>29</v>
      </c>
      <c r="K363" s="22" t="s">
        <v>1305</v>
      </c>
      <c r="L363" s="23">
        <v>45242</v>
      </c>
      <c r="N363" s="40"/>
      <c r="Q363" s="25"/>
      <c r="R363" s="25"/>
    </row>
    <row r="364" spans="1:18" ht="15.75" customHeight="1">
      <c r="A364" s="17"/>
      <c r="B364" s="41" t="s">
        <v>1306</v>
      </c>
      <c r="C364" s="19" t="s">
        <v>24</v>
      </c>
      <c r="D364" s="30" t="s">
        <v>1307</v>
      </c>
      <c r="E364" s="20" t="s">
        <v>1308</v>
      </c>
      <c r="F364" s="19"/>
      <c r="G364" s="19"/>
      <c r="H364" s="19"/>
      <c r="I364" s="21"/>
      <c r="J364" s="21"/>
      <c r="K364" s="22"/>
      <c r="L364" s="23"/>
      <c r="N364" s="40"/>
      <c r="Q364" s="25"/>
      <c r="R364" s="25"/>
    </row>
    <row r="365" spans="1:18" ht="15.75" customHeight="1">
      <c r="A365" s="17"/>
      <c r="B365" s="18" t="s">
        <v>1309</v>
      </c>
      <c r="C365" s="19" t="s">
        <v>24</v>
      </c>
      <c r="D365" s="20" t="s">
        <v>1310</v>
      </c>
      <c r="E365" s="20" t="s">
        <v>1311</v>
      </c>
      <c r="F365" s="19" t="s">
        <v>27</v>
      </c>
      <c r="G365" s="19" t="s">
        <v>28</v>
      </c>
      <c r="H365" s="19" t="s">
        <v>36</v>
      </c>
      <c r="I365" s="21" t="s">
        <v>29</v>
      </c>
      <c r="J365" s="21" t="s">
        <v>29</v>
      </c>
      <c r="K365" s="22" t="s">
        <v>1312</v>
      </c>
      <c r="L365" s="23">
        <v>45242</v>
      </c>
      <c r="N365" s="40"/>
      <c r="Q365" s="25"/>
      <c r="R365" s="25"/>
    </row>
    <row r="366" spans="1:18" ht="15.75" customHeight="1">
      <c r="A366" s="17"/>
      <c r="B366" s="18" t="s">
        <v>1313</v>
      </c>
      <c r="C366" s="19" t="s">
        <v>46</v>
      </c>
      <c r="D366" s="20" t="s">
        <v>1314</v>
      </c>
      <c r="E366" s="20" t="s">
        <v>1315</v>
      </c>
      <c r="F366" s="19" t="s">
        <v>49</v>
      </c>
      <c r="G366" s="19" t="s">
        <v>50</v>
      </c>
      <c r="H366" s="19"/>
      <c r="I366" s="21" t="s">
        <v>29</v>
      </c>
      <c r="J366" s="21" t="s">
        <v>29</v>
      </c>
      <c r="K366" s="22" t="s">
        <v>1316</v>
      </c>
      <c r="L366" s="23">
        <v>45242</v>
      </c>
      <c r="N366" s="40"/>
      <c r="Q366" s="25"/>
      <c r="R366" s="25"/>
    </row>
    <row r="367" spans="1:18" ht="15.75" customHeight="1">
      <c r="A367" s="17"/>
      <c r="B367" s="18" t="s">
        <v>1317</v>
      </c>
      <c r="C367" s="19" t="s">
        <v>46</v>
      </c>
      <c r="D367" s="20" t="s">
        <v>1318</v>
      </c>
      <c r="E367" s="20" t="s">
        <v>1319</v>
      </c>
      <c r="F367" s="19" t="s">
        <v>49</v>
      </c>
      <c r="G367" s="19" t="s">
        <v>50</v>
      </c>
      <c r="H367" s="19"/>
      <c r="I367" s="21" t="s">
        <v>29</v>
      </c>
      <c r="J367" s="21" t="s">
        <v>29</v>
      </c>
      <c r="K367" s="22" t="s">
        <v>1320</v>
      </c>
      <c r="L367" s="23">
        <v>45242</v>
      </c>
      <c r="N367" s="40"/>
      <c r="Q367" s="25"/>
      <c r="R367" s="25"/>
    </row>
    <row r="368" spans="1:18" ht="15.75" customHeight="1">
      <c r="A368" s="17"/>
      <c r="B368" s="18" t="s">
        <v>1321</v>
      </c>
      <c r="C368" s="19" t="s">
        <v>24</v>
      </c>
      <c r="D368" s="20" t="s">
        <v>1322</v>
      </c>
      <c r="E368" s="20" t="s">
        <v>1323</v>
      </c>
      <c r="F368" s="19" t="s">
        <v>27</v>
      </c>
      <c r="G368" s="19" t="s">
        <v>28</v>
      </c>
      <c r="H368" s="19"/>
      <c r="I368" s="21" t="s">
        <v>29</v>
      </c>
      <c r="J368" s="21" t="s">
        <v>29</v>
      </c>
      <c r="K368" s="22" t="s">
        <v>1324</v>
      </c>
      <c r="L368" s="23">
        <v>45242</v>
      </c>
      <c r="N368" s="40"/>
      <c r="Q368" s="25"/>
      <c r="R368" s="25"/>
    </row>
    <row r="369" spans="1:18" ht="15.75" customHeight="1">
      <c r="A369" s="17"/>
      <c r="B369" s="18" t="s">
        <v>1325</v>
      </c>
      <c r="C369" s="19" t="s">
        <v>24</v>
      </c>
      <c r="D369" s="20" t="s">
        <v>1326</v>
      </c>
      <c r="E369" s="20" t="s">
        <v>1327</v>
      </c>
      <c r="F369" s="19" t="s">
        <v>27</v>
      </c>
      <c r="G369" s="19" t="s">
        <v>28</v>
      </c>
      <c r="H369" s="19"/>
      <c r="I369" s="21" t="s">
        <v>29</v>
      </c>
      <c r="J369" s="21" t="s">
        <v>29</v>
      </c>
      <c r="K369" s="22" t="s">
        <v>1328</v>
      </c>
      <c r="L369" s="23">
        <v>45242</v>
      </c>
      <c r="N369" s="40"/>
      <c r="Q369" s="25"/>
      <c r="R369" s="25"/>
    </row>
    <row r="370" spans="1:18" ht="15.75" customHeight="1">
      <c r="A370" s="17"/>
      <c r="B370" s="18" t="s">
        <v>1329</v>
      </c>
      <c r="C370" s="19" t="s">
        <v>24</v>
      </c>
      <c r="D370" s="20" t="s">
        <v>1330</v>
      </c>
      <c r="E370" s="20" t="s">
        <v>1331</v>
      </c>
      <c r="F370" s="19" t="s">
        <v>27</v>
      </c>
      <c r="G370" s="19" t="s">
        <v>28</v>
      </c>
      <c r="H370" s="19"/>
      <c r="I370" s="21" t="s">
        <v>29</v>
      </c>
      <c r="J370" s="21" t="s">
        <v>29</v>
      </c>
      <c r="K370" s="22" t="s">
        <v>1332</v>
      </c>
      <c r="L370" s="23">
        <v>45242</v>
      </c>
      <c r="N370" s="40"/>
      <c r="Q370" s="25"/>
      <c r="R370" s="25"/>
    </row>
    <row r="371" spans="1:18" ht="15.75" customHeight="1">
      <c r="A371" s="17"/>
      <c r="B371" s="18" t="s">
        <v>1333</v>
      </c>
      <c r="C371" s="37" t="s">
        <v>24</v>
      </c>
      <c r="D371" s="20" t="s">
        <v>1334</v>
      </c>
      <c r="E371" s="20" t="s">
        <v>1335</v>
      </c>
      <c r="F371" s="19" t="s">
        <v>27</v>
      </c>
      <c r="G371" s="19" t="s">
        <v>28</v>
      </c>
      <c r="H371" s="37"/>
      <c r="I371" s="21" t="s">
        <v>29</v>
      </c>
      <c r="J371" s="21" t="s">
        <v>29</v>
      </c>
      <c r="K371" s="22" t="s">
        <v>1336</v>
      </c>
      <c r="L371" s="23">
        <v>45242</v>
      </c>
      <c r="N371" s="40"/>
      <c r="Q371" s="25"/>
      <c r="R371" s="25"/>
    </row>
    <row r="372" spans="1:18" ht="15.75" customHeight="1">
      <c r="A372" s="35"/>
      <c r="B372" s="18" t="s">
        <v>1337</v>
      </c>
      <c r="C372" s="37" t="s">
        <v>412</v>
      </c>
      <c r="D372" s="20" t="s">
        <v>1338</v>
      </c>
      <c r="E372" s="20" t="s">
        <v>1339</v>
      </c>
      <c r="F372" s="19" t="s">
        <v>414</v>
      </c>
      <c r="G372" s="37" t="s">
        <v>415</v>
      </c>
      <c r="H372" s="37"/>
      <c r="I372" s="37" t="s">
        <v>233</v>
      </c>
      <c r="J372" s="21" t="s">
        <v>233</v>
      </c>
      <c r="K372" s="22" t="s">
        <v>1340</v>
      </c>
      <c r="L372" s="23">
        <v>45242</v>
      </c>
      <c r="N372" s="40"/>
      <c r="Q372" s="25"/>
      <c r="R372" s="25"/>
    </row>
    <row r="373" spans="1:18" ht="15.75" customHeight="1">
      <c r="A373" s="35"/>
      <c r="B373" s="18" t="s">
        <v>1341</v>
      </c>
      <c r="C373" s="37" t="s">
        <v>412</v>
      </c>
      <c r="D373" s="20" t="s">
        <v>1342</v>
      </c>
      <c r="E373" s="20" t="s">
        <v>55</v>
      </c>
      <c r="F373" s="19" t="s">
        <v>414</v>
      </c>
      <c r="G373" s="19" t="s">
        <v>415</v>
      </c>
      <c r="H373" s="37"/>
      <c r="I373" s="21" t="s">
        <v>233</v>
      </c>
      <c r="J373" s="21" t="s">
        <v>233</v>
      </c>
      <c r="K373" s="22" t="s">
        <v>55</v>
      </c>
      <c r="L373" s="23">
        <v>45242</v>
      </c>
      <c r="N373" s="40"/>
      <c r="Q373" s="25"/>
      <c r="R373" s="25"/>
    </row>
    <row r="374" spans="1:18" ht="15.75" customHeight="1">
      <c r="A374" s="35"/>
      <c r="B374" s="38"/>
      <c r="C374" s="37"/>
      <c r="D374" s="20"/>
      <c r="E374" s="20" t="s">
        <v>145</v>
      </c>
      <c r="F374" s="37"/>
      <c r="G374" s="37"/>
      <c r="H374" s="37"/>
      <c r="I374" s="21"/>
      <c r="J374" s="21"/>
      <c r="K374" s="22" t="s">
        <v>145</v>
      </c>
      <c r="L374" s="39"/>
      <c r="N374" s="40"/>
      <c r="Q374" s="25"/>
      <c r="R374" s="25"/>
    </row>
    <row r="375" spans="1:18" ht="15.75" customHeight="1">
      <c r="A375" s="17" t="s">
        <v>1343</v>
      </c>
      <c r="B375" s="18" t="s">
        <v>1344</v>
      </c>
      <c r="C375" s="37" t="s">
        <v>46</v>
      </c>
      <c r="D375" s="20" t="s">
        <v>1345</v>
      </c>
      <c r="E375" s="20" t="s">
        <v>1346</v>
      </c>
      <c r="F375" s="19" t="s">
        <v>49</v>
      </c>
      <c r="G375" s="19" t="s">
        <v>50</v>
      </c>
      <c r="H375" s="37"/>
      <c r="I375" s="21" t="s">
        <v>29</v>
      </c>
      <c r="J375" s="21" t="s">
        <v>29</v>
      </c>
      <c r="K375" s="22" t="s">
        <v>1347</v>
      </c>
      <c r="L375" s="23">
        <v>45242</v>
      </c>
      <c r="N375" s="40"/>
      <c r="Q375" s="25"/>
      <c r="R375" s="25"/>
    </row>
    <row r="376" spans="1:18" ht="15.75" customHeight="1">
      <c r="A376" s="54" t="s">
        <v>1348</v>
      </c>
      <c r="B376" s="18" t="s">
        <v>1349</v>
      </c>
      <c r="C376" s="37" t="s">
        <v>24</v>
      </c>
      <c r="D376" s="20" t="s">
        <v>1350</v>
      </c>
      <c r="E376" s="20" t="s">
        <v>1351</v>
      </c>
      <c r="F376" s="19" t="s">
        <v>27</v>
      </c>
      <c r="G376" s="19" t="s">
        <v>28</v>
      </c>
      <c r="H376" s="19" t="s">
        <v>36</v>
      </c>
      <c r="I376" s="21" t="s">
        <v>29</v>
      </c>
      <c r="J376" s="21" t="s">
        <v>29</v>
      </c>
      <c r="K376" s="22" t="s">
        <v>1352</v>
      </c>
      <c r="L376" s="23">
        <v>45242</v>
      </c>
      <c r="N376" s="40"/>
      <c r="Q376" s="25"/>
      <c r="R376" s="25"/>
    </row>
    <row r="377" spans="1:18" ht="15.75" customHeight="1">
      <c r="A377" s="47" t="s">
        <v>39</v>
      </c>
      <c r="B377" s="18" t="s">
        <v>1353</v>
      </c>
      <c r="C377" s="37" t="s">
        <v>24</v>
      </c>
      <c r="D377" s="20" t="s">
        <v>1354</v>
      </c>
      <c r="E377" s="20" t="s">
        <v>1355</v>
      </c>
      <c r="F377" s="19" t="s">
        <v>27</v>
      </c>
      <c r="G377" s="19" t="s">
        <v>28</v>
      </c>
      <c r="H377" s="37"/>
      <c r="I377" s="21" t="s">
        <v>29</v>
      </c>
      <c r="J377" s="21" t="s">
        <v>29</v>
      </c>
      <c r="K377" s="22" t="s">
        <v>1356</v>
      </c>
      <c r="L377" s="23">
        <v>45242</v>
      </c>
      <c r="N377" s="40"/>
      <c r="Q377" s="25"/>
      <c r="R377" s="25"/>
    </row>
    <row r="378" spans="1:18" ht="15.75" customHeight="1">
      <c r="A378" s="48"/>
      <c r="B378" s="41" t="s">
        <v>1357</v>
      </c>
      <c r="C378" s="37" t="s">
        <v>87</v>
      </c>
      <c r="D378" s="20" t="s">
        <v>1358</v>
      </c>
      <c r="E378" s="20" t="s">
        <v>1359</v>
      </c>
      <c r="F378" s="37"/>
      <c r="G378" s="37"/>
      <c r="H378" s="37"/>
      <c r="I378" s="21"/>
      <c r="J378" s="21"/>
      <c r="K378" s="22"/>
      <c r="L378" s="23"/>
      <c r="N378" s="40"/>
      <c r="Q378" s="25"/>
      <c r="R378" s="25"/>
    </row>
    <row r="379" spans="1:18" ht="15.75" customHeight="1">
      <c r="A379" s="48" t="s">
        <v>936</v>
      </c>
      <c r="B379" s="18" t="s">
        <v>1360</v>
      </c>
      <c r="C379" s="37" t="s">
        <v>24</v>
      </c>
      <c r="D379" s="20" t="s">
        <v>1361</v>
      </c>
      <c r="E379" s="20" t="s">
        <v>1362</v>
      </c>
      <c r="F379" s="19" t="s">
        <v>27</v>
      </c>
      <c r="G379" s="19" t="s">
        <v>28</v>
      </c>
      <c r="H379" s="19" t="s">
        <v>36</v>
      </c>
      <c r="I379" s="21" t="s">
        <v>29</v>
      </c>
      <c r="J379" s="21" t="s">
        <v>29</v>
      </c>
      <c r="K379" s="22" t="s">
        <v>1363</v>
      </c>
      <c r="L379" s="23">
        <v>45242</v>
      </c>
      <c r="N379" s="40"/>
      <c r="Q379" s="25"/>
      <c r="R379" s="25"/>
    </row>
    <row r="380" spans="1:18" ht="15.75" customHeight="1">
      <c r="A380" s="49" t="s">
        <v>1364</v>
      </c>
      <c r="B380" s="18" t="s">
        <v>1365</v>
      </c>
      <c r="C380" s="55" t="s">
        <v>1366</v>
      </c>
      <c r="D380" s="20" t="s">
        <v>1367</v>
      </c>
      <c r="E380" s="20" t="s">
        <v>1368</v>
      </c>
      <c r="F380" s="55" t="s">
        <v>1369</v>
      </c>
      <c r="G380" s="55" t="s">
        <v>1370</v>
      </c>
      <c r="H380" s="55"/>
      <c r="I380" s="21" t="s">
        <v>1371</v>
      </c>
      <c r="J380" s="21" t="s">
        <v>1371</v>
      </c>
      <c r="K380" s="22" t="s">
        <v>1372</v>
      </c>
      <c r="L380" s="23">
        <v>45242</v>
      </c>
      <c r="N380" s="40"/>
      <c r="Q380" s="25"/>
      <c r="R380" s="25"/>
    </row>
    <row r="381" spans="1:18" ht="15.75" customHeight="1">
      <c r="A381" s="31" t="s">
        <v>56</v>
      </c>
      <c r="B381" s="18" t="s">
        <v>1373</v>
      </c>
      <c r="C381" s="37" t="s">
        <v>46</v>
      </c>
      <c r="D381" s="20" t="s">
        <v>1374</v>
      </c>
      <c r="E381" s="20" t="s">
        <v>1375</v>
      </c>
      <c r="F381" s="19" t="s">
        <v>49</v>
      </c>
      <c r="G381" s="19" t="s">
        <v>50</v>
      </c>
      <c r="H381" s="37"/>
      <c r="I381" s="21" t="s">
        <v>29</v>
      </c>
      <c r="J381" s="21" t="s">
        <v>29</v>
      </c>
      <c r="K381" s="22" t="s">
        <v>1375</v>
      </c>
      <c r="L381" s="23">
        <v>45242</v>
      </c>
      <c r="N381" s="40"/>
      <c r="Q381" s="25"/>
      <c r="R381" s="25"/>
    </row>
    <row r="382" spans="1:18" ht="15.75" customHeight="1">
      <c r="A382" s="17">
        <v>84</v>
      </c>
      <c r="B382" s="34" t="s">
        <v>1376</v>
      </c>
      <c r="C382" s="37" t="s">
        <v>1377</v>
      </c>
      <c r="D382" s="20" t="s">
        <v>1378</v>
      </c>
      <c r="E382" s="20" t="s">
        <v>1379</v>
      </c>
      <c r="F382" s="19" t="s">
        <v>90</v>
      </c>
      <c r="G382" s="19" t="s">
        <v>91</v>
      </c>
      <c r="H382" s="37"/>
      <c r="I382" s="21" t="s">
        <v>29</v>
      </c>
      <c r="J382" s="21" t="s">
        <v>29</v>
      </c>
      <c r="K382" s="22" t="s">
        <v>1380</v>
      </c>
      <c r="L382" s="23">
        <v>45242</v>
      </c>
      <c r="N382" s="40"/>
      <c r="Q382" s="25"/>
      <c r="R382" s="25"/>
    </row>
    <row r="383" spans="1:18" ht="15.75" customHeight="1">
      <c r="A383" s="31" t="s">
        <v>64</v>
      </c>
      <c r="B383" s="18" t="s">
        <v>1381</v>
      </c>
      <c r="C383" s="37" t="s">
        <v>412</v>
      </c>
      <c r="D383" s="20" t="s">
        <v>1382</v>
      </c>
      <c r="E383" s="20" t="s">
        <v>1383</v>
      </c>
      <c r="F383" s="19" t="s">
        <v>414</v>
      </c>
      <c r="G383" s="37" t="s">
        <v>415</v>
      </c>
      <c r="H383" s="37"/>
      <c r="I383" s="21" t="s">
        <v>233</v>
      </c>
      <c r="J383" s="21" t="s">
        <v>233</v>
      </c>
      <c r="K383" s="22" t="s">
        <v>1383</v>
      </c>
      <c r="L383" s="23">
        <v>45242</v>
      </c>
      <c r="N383" s="40"/>
      <c r="Q383" s="25"/>
      <c r="R383" s="25"/>
    </row>
    <row r="384" spans="1:18" ht="15.75" customHeight="1">
      <c r="A384" s="17">
        <v>4.5</v>
      </c>
      <c r="B384" s="36" t="s">
        <v>1384</v>
      </c>
      <c r="C384" s="37" t="s">
        <v>121</v>
      </c>
      <c r="D384" s="20" t="s">
        <v>1385</v>
      </c>
      <c r="E384" s="20" t="s">
        <v>1386</v>
      </c>
      <c r="F384" s="19" t="s">
        <v>27</v>
      </c>
      <c r="G384" s="19" t="s">
        <v>28</v>
      </c>
      <c r="H384" s="37"/>
      <c r="I384" s="21" t="s">
        <v>29</v>
      </c>
      <c r="J384" s="21" t="s">
        <v>29</v>
      </c>
      <c r="K384" s="22" t="s">
        <v>1387</v>
      </c>
      <c r="L384" s="23">
        <v>45242</v>
      </c>
      <c r="N384" s="40"/>
      <c r="Q384" s="25"/>
      <c r="R384" s="25"/>
    </row>
    <row r="385" spans="1:18" ht="15.75" customHeight="1">
      <c r="A385" s="31" t="s">
        <v>73</v>
      </c>
      <c r="B385" s="18" t="s">
        <v>1388</v>
      </c>
      <c r="C385" s="37" t="s">
        <v>24</v>
      </c>
      <c r="D385" s="20" t="s">
        <v>1389</v>
      </c>
      <c r="E385" s="20" t="s">
        <v>1390</v>
      </c>
      <c r="F385" s="19" t="s">
        <v>27</v>
      </c>
      <c r="G385" s="19" t="s">
        <v>28</v>
      </c>
      <c r="H385" s="19" t="s">
        <v>36</v>
      </c>
      <c r="I385" s="21" t="s">
        <v>29</v>
      </c>
      <c r="J385" s="21" t="s">
        <v>29</v>
      </c>
      <c r="K385" s="22" t="s">
        <v>1391</v>
      </c>
      <c r="L385" s="23">
        <v>45242</v>
      </c>
      <c r="N385" s="40"/>
      <c r="Q385" s="25"/>
      <c r="R385" s="25"/>
    </row>
    <row r="386" spans="1:18" ht="15.75" customHeight="1">
      <c r="A386" s="17">
        <v>4.3</v>
      </c>
      <c r="B386" s="18" t="s">
        <v>1392</v>
      </c>
      <c r="C386" s="37" t="s">
        <v>87</v>
      </c>
      <c r="D386" s="20" t="s">
        <v>1393</v>
      </c>
      <c r="E386" s="20" t="s">
        <v>1394</v>
      </c>
      <c r="F386" s="19" t="s">
        <v>90</v>
      </c>
      <c r="G386" s="19" t="s">
        <v>91</v>
      </c>
      <c r="H386" s="37"/>
      <c r="I386" s="21" t="s">
        <v>29</v>
      </c>
      <c r="J386" s="21" t="s">
        <v>29</v>
      </c>
      <c r="K386" s="22" t="s">
        <v>1395</v>
      </c>
      <c r="L386" s="23">
        <v>45242</v>
      </c>
      <c r="N386" s="40"/>
      <c r="Q386" s="25"/>
      <c r="R386" s="25"/>
    </row>
    <row r="387" spans="1:18" ht="15.75" customHeight="1">
      <c r="A387" s="31" t="s">
        <v>82</v>
      </c>
      <c r="B387" s="36" t="s">
        <v>1396</v>
      </c>
      <c r="C387" s="37" t="s">
        <v>121</v>
      </c>
      <c r="D387" s="20" t="s">
        <v>1397</v>
      </c>
      <c r="E387" s="20" t="s">
        <v>1398</v>
      </c>
      <c r="F387" s="37" t="s">
        <v>1399</v>
      </c>
      <c r="G387" s="37" t="s">
        <v>452</v>
      </c>
      <c r="H387" s="37"/>
      <c r="I387" s="21" t="s">
        <v>1371</v>
      </c>
      <c r="J387" s="21" t="s">
        <v>1371</v>
      </c>
      <c r="K387" s="22" t="s">
        <v>1400</v>
      </c>
      <c r="L387" s="23">
        <v>45242</v>
      </c>
      <c r="N387" s="40"/>
      <c r="Q387" s="25"/>
      <c r="R387" s="25"/>
    </row>
    <row r="388" spans="1:18" ht="15.75" customHeight="1">
      <c r="A388" s="17" t="s">
        <v>1401</v>
      </c>
      <c r="B388" s="18" t="s">
        <v>1402</v>
      </c>
      <c r="C388" s="37" t="s">
        <v>87</v>
      </c>
      <c r="D388" s="20" t="s">
        <v>1403</v>
      </c>
      <c r="E388" s="20" t="s">
        <v>1404</v>
      </c>
      <c r="F388" s="19" t="s">
        <v>90</v>
      </c>
      <c r="G388" s="19" t="s">
        <v>91</v>
      </c>
      <c r="H388" s="37"/>
      <c r="I388" s="21" t="s">
        <v>29</v>
      </c>
      <c r="J388" s="21" t="s">
        <v>29</v>
      </c>
      <c r="K388" s="22" t="s">
        <v>1405</v>
      </c>
      <c r="L388" s="23">
        <v>45242</v>
      </c>
      <c r="N388" s="40"/>
      <c r="Q388" s="25"/>
      <c r="R388" s="25"/>
    </row>
    <row r="389" spans="1:18" ht="15.75" customHeight="1">
      <c r="A389" s="31" t="s">
        <v>92</v>
      </c>
      <c r="B389" s="18" t="s">
        <v>1406</v>
      </c>
      <c r="C389" s="37" t="s">
        <v>24</v>
      </c>
      <c r="D389" s="20" t="s">
        <v>1407</v>
      </c>
      <c r="E389" s="20" t="s">
        <v>1408</v>
      </c>
      <c r="F389" s="19" t="s">
        <v>27</v>
      </c>
      <c r="G389" s="19" t="s">
        <v>28</v>
      </c>
      <c r="H389" s="19" t="s">
        <v>36</v>
      </c>
      <c r="I389" s="21" t="s">
        <v>29</v>
      </c>
      <c r="J389" s="21" t="s">
        <v>29</v>
      </c>
      <c r="K389" s="22" t="s">
        <v>1409</v>
      </c>
      <c r="L389" s="23">
        <v>45242</v>
      </c>
      <c r="N389" s="40"/>
      <c r="Q389" s="25"/>
      <c r="R389" s="25"/>
    </row>
    <row r="390" spans="1:18" ht="15.75" customHeight="1">
      <c r="A390" s="33">
        <v>3812</v>
      </c>
      <c r="B390" s="18" t="s">
        <v>1410</v>
      </c>
      <c r="C390" s="37" t="s">
        <v>46</v>
      </c>
      <c r="D390" s="20" t="s">
        <v>1411</v>
      </c>
      <c r="E390" s="20" t="s">
        <v>1412</v>
      </c>
      <c r="F390" s="19" t="s">
        <v>49</v>
      </c>
      <c r="G390" s="19" t="s">
        <v>50</v>
      </c>
      <c r="H390" s="37"/>
      <c r="I390" s="21" t="s">
        <v>29</v>
      </c>
      <c r="J390" s="21" t="s">
        <v>29</v>
      </c>
      <c r="K390" s="22" t="s">
        <v>1412</v>
      </c>
      <c r="L390" s="23">
        <v>45242</v>
      </c>
      <c r="N390" s="40"/>
      <c r="Q390" s="25"/>
      <c r="R390" s="25"/>
    </row>
    <row r="391" spans="1:18" ht="15.75" customHeight="1">
      <c r="A391" s="17" t="s">
        <v>100</v>
      </c>
      <c r="B391" s="18" t="s">
        <v>1413</v>
      </c>
      <c r="C391" s="37" t="s">
        <v>24</v>
      </c>
      <c r="D391" s="20" t="s">
        <v>1414</v>
      </c>
      <c r="E391" s="20" t="s">
        <v>1415</v>
      </c>
      <c r="F391" s="19" t="s">
        <v>27</v>
      </c>
      <c r="G391" s="19" t="s">
        <v>28</v>
      </c>
      <c r="H391" s="19" t="s">
        <v>36</v>
      </c>
      <c r="I391" s="21" t="s">
        <v>29</v>
      </c>
      <c r="J391" s="21" t="s">
        <v>29</v>
      </c>
      <c r="K391" s="22" t="s">
        <v>1416</v>
      </c>
      <c r="L391" s="23">
        <v>45242</v>
      </c>
      <c r="N391" s="40"/>
      <c r="Q391" s="25"/>
      <c r="R391" s="25"/>
    </row>
    <row r="392" spans="1:18" ht="15.75" customHeight="1">
      <c r="A392" s="17">
        <v>166</v>
      </c>
      <c r="B392" s="18" t="s">
        <v>1417</v>
      </c>
      <c r="C392" s="37" t="s">
        <v>24</v>
      </c>
      <c r="D392" s="20" t="s">
        <v>1418</v>
      </c>
      <c r="E392" s="20" t="s">
        <v>1408</v>
      </c>
      <c r="F392" s="19" t="s">
        <v>27</v>
      </c>
      <c r="G392" s="19" t="s">
        <v>28</v>
      </c>
      <c r="H392" s="37"/>
      <c r="I392" s="21" t="s">
        <v>29</v>
      </c>
      <c r="J392" s="21" t="s">
        <v>29</v>
      </c>
      <c r="K392" s="22" t="s">
        <v>1409</v>
      </c>
      <c r="L392" s="23">
        <v>45242</v>
      </c>
      <c r="N392" s="40"/>
      <c r="Q392" s="25"/>
      <c r="R392" s="25"/>
    </row>
    <row r="393" spans="1:18" ht="15.75" customHeight="1">
      <c r="A393" s="35"/>
      <c r="B393" s="18" t="s">
        <v>1419</v>
      </c>
      <c r="C393" s="37" t="s">
        <v>412</v>
      </c>
      <c r="D393" s="20" t="s">
        <v>1420</v>
      </c>
      <c r="E393" s="20" t="s">
        <v>55</v>
      </c>
      <c r="F393" s="19" t="s">
        <v>414</v>
      </c>
      <c r="G393" s="19" t="s">
        <v>415</v>
      </c>
      <c r="H393" s="37"/>
      <c r="I393" s="21" t="s">
        <v>233</v>
      </c>
      <c r="J393" s="21" t="s">
        <v>233</v>
      </c>
      <c r="K393" s="22" t="s">
        <v>55</v>
      </c>
      <c r="L393" s="23">
        <v>45242</v>
      </c>
      <c r="N393" s="40"/>
      <c r="Q393" s="25"/>
      <c r="R393" s="25"/>
    </row>
    <row r="394" spans="1:18" ht="15.75" customHeight="1">
      <c r="A394" s="35"/>
      <c r="B394" s="18" t="s">
        <v>1421</v>
      </c>
      <c r="C394" s="37" t="s">
        <v>87</v>
      </c>
      <c r="D394" s="20" t="s">
        <v>1422</v>
      </c>
      <c r="E394" s="20" t="s">
        <v>1423</v>
      </c>
      <c r="F394" s="19" t="s">
        <v>49</v>
      </c>
      <c r="G394" s="19" t="s">
        <v>91</v>
      </c>
      <c r="H394" s="37"/>
      <c r="I394" s="21" t="s">
        <v>29</v>
      </c>
      <c r="J394" s="21" t="s">
        <v>29</v>
      </c>
      <c r="K394" s="22" t="s">
        <v>1424</v>
      </c>
      <c r="L394" s="23">
        <v>45242</v>
      </c>
      <c r="N394" s="40"/>
      <c r="Q394" s="25"/>
      <c r="R394" s="25"/>
    </row>
    <row r="395" spans="1:18" ht="15.75" customHeight="1">
      <c r="A395" s="17"/>
      <c r="B395" s="18" t="s">
        <v>1425</v>
      </c>
      <c r="C395" s="37" t="s">
        <v>24</v>
      </c>
      <c r="D395" s="20" t="s">
        <v>1426</v>
      </c>
      <c r="E395" s="20" t="s">
        <v>1427</v>
      </c>
      <c r="F395" s="19" t="s">
        <v>27</v>
      </c>
      <c r="G395" s="19" t="s">
        <v>28</v>
      </c>
      <c r="H395" s="19" t="s">
        <v>36</v>
      </c>
      <c r="I395" s="21" t="s">
        <v>29</v>
      </c>
      <c r="J395" s="21" t="s">
        <v>29</v>
      </c>
      <c r="K395" s="22" t="s">
        <v>1428</v>
      </c>
      <c r="L395" s="23">
        <v>45242</v>
      </c>
      <c r="N395" s="40"/>
      <c r="Q395" s="25"/>
      <c r="R395" s="25"/>
    </row>
    <row r="396" spans="1:18" ht="15.75" customHeight="1">
      <c r="A396" s="17"/>
      <c r="B396" s="18" t="s">
        <v>1429</v>
      </c>
      <c r="C396" s="55" t="s">
        <v>1430</v>
      </c>
      <c r="D396" s="20" t="s">
        <v>1431</v>
      </c>
      <c r="E396" s="20" t="s">
        <v>55</v>
      </c>
      <c r="F396" s="55" t="s">
        <v>286</v>
      </c>
      <c r="G396" s="55" t="s">
        <v>1432</v>
      </c>
      <c r="H396" s="55"/>
      <c r="I396" s="21" t="s">
        <v>286</v>
      </c>
      <c r="J396" s="21" t="s">
        <v>233</v>
      </c>
      <c r="K396" s="22" t="s">
        <v>55</v>
      </c>
      <c r="L396" s="23">
        <v>45242</v>
      </c>
      <c r="N396" s="40"/>
      <c r="Q396" s="25"/>
      <c r="R396" s="25"/>
    </row>
    <row r="397" spans="1:18" ht="15.75" customHeight="1">
      <c r="A397" s="17"/>
      <c r="B397" s="36" t="s">
        <v>1433</v>
      </c>
      <c r="C397" s="55" t="s">
        <v>121</v>
      </c>
      <c r="D397" s="20" t="s">
        <v>1434</v>
      </c>
      <c r="E397" s="20" t="s">
        <v>1435</v>
      </c>
      <c r="F397" s="55" t="s">
        <v>1369</v>
      </c>
      <c r="G397" s="55" t="s">
        <v>1370</v>
      </c>
      <c r="H397" s="55"/>
      <c r="I397" s="21" t="s">
        <v>1371</v>
      </c>
      <c r="J397" s="21" t="s">
        <v>1371</v>
      </c>
      <c r="K397" s="22" t="s">
        <v>1436</v>
      </c>
      <c r="L397" s="23">
        <v>45242</v>
      </c>
      <c r="N397" s="40"/>
      <c r="Q397" s="25"/>
      <c r="R397" s="25"/>
    </row>
    <row r="398" spans="1:18" ht="15.75" customHeight="1">
      <c r="A398" s="17"/>
      <c r="B398" s="18" t="s">
        <v>1437</v>
      </c>
      <c r="C398" s="37" t="s">
        <v>46</v>
      </c>
      <c r="D398" s="20" t="s">
        <v>1438</v>
      </c>
      <c r="E398" s="20" t="s">
        <v>55</v>
      </c>
      <c r="F398" s="37" t="s">
        <v>286</v>
      </c>
      <c r="G398" s="19" t="s">
        <v>50</v>
      </c>
      <c r="H398" s="37"/>
      <c r="I398" s="21" t="s">
        <v>286</v>
      </c>
      <c r="J398" s="21" t="s">
        <v>29</v>
      </c>
      <c r="K398" s="22" t="s">
        <v>55</v>
      </c>
      <c r="L398" s="23">
        <v>45242</v>
      </c>
      <c r="N398" s="40"/>
      <c r="Q398" s="25"/>
      <c r="R398" s="25"/>
    </row>
    <row r="399" spans="1:18" ht="15.75" customHeight="1">
      <c r="A399" s="17"/>
      <c r="B399" s="41" t="s">
        <v>1439</v>
      </c>
      <c r="C399" s="55" t="s">
        <v>24</v>
      </c>
      <c r="D399" s="20" t="s">
        <v>1440</v>
      </c>
      <c r="E399" s="20" t="s">
        <v>1441</v>
      </c>
      <c r="F399" s="55"/>
      <c r="G399" s="55"/>
      <c r="H399" s="37"/>
      <c r="I399" s="21"/>
      <c r="J399" s="21"/>
      <c r="K399" s="22"/>
      <c r="L399" s="23"/>
      <c r="N399" s="40"/>
      <c r="Q399" s="25"/>
      <c r="R399" s="25"/>
    </row>
    <row r="400" spans="1:18" ht="15.75" customHeight="1">
      <c r="A400" s="17"/>
      <c r="B400" s="18" t="s">
        <v>1442</v>
      </c>
      <c r="C400" s="55" t="s">
        <v>1430</v>
      </c>
      <c r="D400" s="20" t="s">
        <v>1443</v>
      </c>
      <c r="E400" s="20" t="s">
        <v>1444</v>
      </c>
      <c r="F400" s="55" t="s">
        <v>1445</v>
      </c>
      <c r="G400" s="55" t="s">
        <v>1432</v>
      </c>
      <c r="H400" s="37"/>
      <c r="I400" s="21" t="s">
        <v>233</v>
      </c>
      <c r="J400" s="21" t="s">
        <v>233</v>
      </c>
      <c r="K400" s="22" t="s">
        <v>1444</v>
      </c>
      <c r="L400" s="23">
        <v>45242</v>
      </c>
      <c r="N400" s="40"/>
      <c r="Q400" s="25"/>
      <c r="R400" s="25"/>
    </row>
    <row r="401" spans="1:18" ht="15.75" customHeight="1">
      <c r="A401" s="17"/>
      <c r="B401" s="18" t="s">
        <v>1446</v>
      </c>
      <c r="C401" s="37" t="s">
        <v>24</v>
      </c>
      <c r="D401" s="20" t="s">
        <v>1447</v>
      </c>
      <c r="E401" s="20" t="s">
        <v>1448</v>
      </c>
      <c r="F401" s="19" t="s">
        <v>27</v>
      </c>
      <c r="G401" s="19" t="s">
        <v>28</v>
      </c>
      <c r="H401" s="37"/>
      <c r="I401" s="21" t="s">
        <v>29</v>
      </c>
      <c r="J401" s="21" t="s">
        <v>29</v>
      </c>
      <c r="K401" s="22" t="s">
        <v>1449</v>
      </c>
      <c r="L401" s="23">
        <v>45242</v>
      </c>
      <c r="N401" s="40"/>
      <c r="Q401" s="25"/>
      <c r="R401" s="25"/>
    </row>
    <row r="402" spans="1:18" ht="15.75" customHeight="1">
      <c r="A402" s="17"/>
      <c r="B402" s="18" t="s">
        <v>1450</v>
      </c>
      <c r="C402" s="37" t="s">
        <v>24</v>
      </c>
      <c r="D402" s="20" t="s">
        <v>1451</v>
      </c>
      <c r="E402" s="20" t="s">
        <v>1452</v>
      </c>
      <c r="F402" s="19" t="s">
        <v>27</v>
      </c>
      <c r="G402" s="19" t="s">
        <v>28</v>
      </c>
      <c r="H402" s="19" t="s">
        <v>36</v>
      </c>
      <c r="I402" s="21" t="s">
        <v>29</v>
      </c>
      <c r="J402" s="21" t="s">
        <v>29</v>
      </c>
      <c r="K402" s="22" t="s">
        <v>1453</v>
      </c>
      <c r="L402" s="23">
        <v>45242</v>
      </c>
      <c r="N402" s="40"/>
      <c r="Q402" s="25"/>
      <c r="R402" s="25"/>
    </row>
    <row r="403" spans="1:18" ht="15.75" customHeight="1">
      <c r="A403" s="17"/>
      <c r="B403" s="18" t="s">
        <v>1454</v>
      </c>
      <c r="C403" s="37" t="s">
        <v>24</v>
      </c>
      <c r="D403" s="20" t="s">
        <v>1455</v>
      </c>
      <c r="E403" s="20" t="s">
        <v>1456</v>
      </c>
      <c r="F403" s="19" t="s">
        <v>27</v>
      </c>
      <c r="G403" s="19" t="s">
        <v>28</v>
      </c>
      <c r="H403" s="19" t="s">
        <v>36</v>
      </c>
      <c r="I403" s="21" t="s">
        <v>29</v>
      </c>
      <c r="J403" s="21" t="s">
        <v>29</v>
      </c>
      <c r="K403" s="22" t="s">
        <v>1457</v>
      </c>
      <c r="L403" s="23">
        <v>45242</v>
      </c>
      <c r="N403" s="40"/>
      <c r="Q403" s="25"/>
      <c r="R403" s="25"/>
    </row>
    <row r="404" spans="1:18" ht="15.75" customHeight="1">
      <c r="A404" s="17"/>
      <c r="B404" s="18" t="s">
        <v>1458</v>
      </c>
      <c r="C404" s="37" t="s">
        <v>87</v>
      </c>
      <c r="D404" s="20" t="s">
        <v>1459</v>
      </c>
      <c r="E404" s="20" t="s">
        <v>1460</v>
      </c>
      <c r="F404" s="55" t="s">
        <v>1445</v>
      </c>
      <c r="G404" s="37" t="s">
        <v>1461</v>
      </c>
      <c r="H404" s="37"/>
      <c r="I404" s="21" t="s">
        <v>29</v>
      </c>
      <c r="J404" s="21" t="s">
        <v>29</v>
      </c>
      <c r="K404" s="22" t="s">
        <v>1460</v>
      </c>
      <c r="L404" s="23">
        <v>45242</v>
      </c>
      <c r="N404" s="40"/>
      <c r="Q404" s="25"/>
      <c r="R404" s="25"/>
    </row>
    <row r="405" spans="1:18" ht="15.75" customHeight="1">
      <c r="A405" s="17"/>
      <c r="B405" s="29" t="s">
        <v>1462</v>
      </c>
      <c r="C405" s="37" t="s">
        <v>24</v>
      </c>
      <c r="D405" s="20" t="s">
        <v>1463</v>
      </c>
      <c r="E405" s="20" t="s">
        <v>1464</v>
      </c>
      <c r="F405" s="19" t="s">
        <v>27</v>
      </c>
      <c r="G405" s="19" t="s">
        <v>28</v>
      </c>
      <c r="H405" s="37" t="s">
        <v>762</v>
      </c>
      <c r="I405" s="21" t="s">
        <v>29</v>
      </c>
      <c r="J405" s="21" t="s">
        <v>29</v>
      </c>
      <c r="K405" s="22" t="s">
        <v>1465</v>
      </c>
      <c r="L405" s="23">
        <v>45242</v>
      </c>
      <c r="N405" s="40"/>
      <c r="Q405" s="25"/>
      <c r="R405" s="25"/>
    </row>
    <row r="406" spans="1:18" ht="15.75" customHeight="1">
      <c r="A406" s="17"/>
      <c r="B406" s="18" t="s">
        <v>1466</v>
      </c>
      <c r="C406" s="37" t="s">
        <v>24</v>
      </c>
      <c r="D406" s="20" t="s">
        <v>1467</v>
      </c>
      <c r="E406" s="20" t="s">
        <v>1468</v>
      </c>
      <c r="F406" s="19" t="s">
        <v>27</v>
      </c>
      <c r="G406" s="19" t="s">
        <v>28</v>
      </c>
      <c r="H406" s="37"/>
      <c r="I406" s="21" t="s">
        <v>29</v>
      </c>
      <c r="J406" s="21" t="s">
        <v>29</v>
      </c>
      <c r="K406" s="22" t="s">
        <v>1468</v>
      </c>
      <c r="L406" s="23">
        <v>45242</v>
      </c>
      <c r="N406" s="40"/>
      <c r="Q406" s="25"/>
      <c r="R406" s="25"/>
    </row>
    <row r="407" spans="1:18" ht="15.75" customHeight="1">
      <c r="A407" s="17"/>
      <c r="B407" s="29" t="s">
        <v>1469</v>
      </c>
      <c r="C407" s="37" t="s">
        <v>1470</v>
      </c>
      <c r="D407" s="20" t="s">
        <v>1471</v>
      </c>
      <c r="E407" s="20" t="s">
        <v>1472</v>
      </c>
      <c r="F407" s="37" t="s">
        <v>49</v>
      </c>
      <c r="G407" s="19" t="s">
        <v>50</v>
      </c>
      <c r="H407" s="37"/>
      <c r="I407" s="21" t="s">
        <v>233</v>
      </c>
      <c r="J407" s="21" t="s">
        <v>233</v>
      </c>
      <c r="K407" s="22" t="s">
        <v>1472</v>
      </c>
      <c r="L407" s="23">
        <v>45242</v>
      </c>
      <c r="N407" s="40"/>
      <c r="Q407" s="25"/>
      <c r="R407" s="25"/>
    </row>
    <row r="408" spans="1:18" ht="15.75" customHeight="1">
      <c r="A408" s="17"/>
      <c r="B408" s="18" t="s">
        <v>1473</v>
      </c>
      <c r="C408" s="37" t="s">
        <v>24</v>
      </c>
      <c r="D408" s="20" t="s">
        <v>1474</v>
      </c>
      <c r="E408" s="20" t="s">
        <v>1475</v>
      </c>
      <c r="F408" s="19" t="s">
        <v>27</v>
      </c>
      <c r="G408" s="19" t="s">
        <v>28</v>
      </c>
      <c r="H408" s="37"/>
      <c r="I408" s="21" t="s">
        <v>29</v>
      </c>
      <c r="J408" s="21" t="s">
        <v>29</v>
      </c>
      <c r="K408" s="22" t="s">
        <v>1476</v>
      </c>
      <c r="L408" s="23">
        <v>45242</v>
      </c>
      <c r="N408" s="40"/>
      <c r="Q408" s="25"/>
      <c r="R408" s="25"/>
    </row>
    <row r="409" spans="1:18" ht="15.75" customHeight="1">
      <c r="A409" s="17"/>
      <c r="B409" s="18" t="s">
        <v>1477</v>
      </c>
      <c r="C409" s="37" t="s">
        <v>46</v>
      </c>
      <c r="D409" s="20" t="s">
        <v>1478</v>
      </c>
      <c r="E409" s="20" t="s">
        <v>1479</v>
      </c>
      <c r="F409" s="37" t="s">
        <v>49</v>
      </c>
      <c r="G409" s="19" t="s">
        <v>50</v>
      </c>
      <c r="H409" s="37"/>
      <c r="I409" s="21" t="s">
        <v>29</v>
      </c>
      <c r="J409" s="21" t="s">
        <v>29</v>
      </c>
      <c r="K409" s="22" t="s">
        <v>1480</v>
      </c>
      <c r="L409" s="23">
        <v>45242</v>
      </c>
      <c r="N409" s="40"/>
      <c r="Q409" s="25"/>
      <c r="R409" s="25"/>
    </row>
    <row r="410" spans="1:18" ht="15.75" customHeight="1">
      <c r="A410" s="17"/>
      <c r="B410" s="18" t="s">
        <v>1481</v>
      </c>
      <c r="C410" s="37" t="s">
        <v>87</v>
      </c>
      <c r="D410" s="20" t="s">
        <v>1482</v>
      </c>
      <c r="E410" s="20" t="s">
        <v>1483</v>
      </c>
      <c r="F410" s="19" t="s">
        <v>90</v>
      </c>
      <c r="G410" s="19" t="s">
        <v>91</v>
      </c>
      <c r="H410" s="37"/>
      <c r="I410" s="21" t="s">
        <v>29</v>
      </c>
      <c r="J410" s="21" t="s">
        <v>29</v>
      </c>
      <c r="K410" s="22" t="s">
        <v>1484</v>
      </c>
      <c r="L410" s="23">
        <v>45242</v>
      </c>
      <c r="N410" s="40"/>
      <c r="Q410" s="25"/>
      <c r="R410" s="25"/>
    </row>
    <row r="411" spans="1:18" ht="15.75" customHeight="1">
      <c r="A411" s="17"/>
      <c r="B411" s="18" t="s">
        <v>1485</v>
      </c>
      <c r="C411" s="37" t="s">
        <v>1486</v>
      </c>
      <c r="D411" s="20" t="s">
        <v>1487</v>
      </c>
      <c r="E411" s="20" t="s">
        <v>1488</v>
      </c>
      <c r="F411" s="37" t="s">
        <v>1489</v>
      </c>
      <c r="G411" s="37" t="s">
        <v>1490</v>
      </c>
      <c r="H411" s="37"/>
      <c r="I411" s="21" t="s">
        <v>1371</v>
      </c>
      <c r="J411" s="21" t="s">
        <v>1371</v>
      </c>
      <c r="K411" s="22" t="s">
        <v>1491</v>
      </c>
      <c r="L411" s="23">
        <v>45242</v>
      </c>
      <c r="N411" s="40"/>
      <c r="Q411" s="25"/>
      <c r="R411" s="25"/>
    </row>
    <row r="412" spans="1:18" ht="15.75" customHeight="1">
      <c r="A412" s="17"/>
      <c r="B412" s="18" t="s">
        <v>1492</v>
      </c>
      <c r="C412" s="55" t="s">
        <v>1366</v>
      </c>
      <c r="D412" s="20" t="s">
        <v>1493</v>
      </c>
      <c r="E412" s="20" t="s">
        <v>1494</v>
      </c>
      <c r="F412" s="55" t="s">
        <v>1369</v>
      </c>
      <c r="G412" s="55" t="s">
        <v>1370</v>
      </c>
      <c r="H412" s="55"/>
      <c r="I412" s="21" t="s">
        <v>1371</v>
      </c>
      <c r="J412" s="21" t="s">
        <v>1371</v>
      </c>
      <c r="K412" s="22" t="s">
        <v>1495</v>
      </c>
      <c r="L412" s="23">
        <v>45242</v>
      </c>
      <c r="N412" s="40"/>
      <c r="Q412" s="25"/>
      <c r="R412" s="25"/>
    </row>
    <row r="413" spans="1:18" ht="15.75" customHeight="1">
      <c r="A413" s="17"/>
      <c r="B413" s="18" t="s">
        <v>1496</v>
      </c>
      <c r="C413" s="55" t="s">
        <v>1366</v>
      </c>
      <c r="D413" s="20" t="s">
        <v>1497</v>
      </c>
      <c r="E413" s="20" t="s">
        <v>55</v>
      </c>
      <c r="F413" s="55" t="s">
        <v>1369</v>
      </c>
      <c r="G413" s="55" t="s">
        <v>1370</v>
      </c>
      <c r="H413" s="55"/>
      <c r="I413" s="21" t="s">
        <v>1371</v>
      </c>
      <c r="J413" s="21" t="s">
        <v>1371</v>
      </c>
      <c r="K413" s="22" t="s">
        <v>55</v>
      </c>
      <c r="L413" s="23">
        <v>45242</v>
      </c>
      <c r="N413" s="40"/>
      <c r="Q413" s="25"/>
      <c r="R413" s="25"/>
    </row>
    <row r="414" spans="1:18" ht="15.75" customHeight="1">
      <c r="A414" s="17"/>
      <c r="B414" s="18" t="s">
        <v>1498</v>
      </c>
      <c r="C414" s="37" t="s">
        <v>24</v>
      </c>
      <c r="D414" s="20" t="s">
        <v>1499</v>
      </c>
      <c r="E414" s="20" t="s">
        <v>1500</v>
      </c>
      <c r="F414" s="19" t="s">
        <v>27</v>
      </c>
      <c r="G414" s="19" t="s">
        <v>28</v>
      </c>
      <c r="H414" s="19" t="s">
        <v>36</v>
      </c>
      <c r="I414" s="21" t="s">
        <v>29</v>
      </c>
      <c r="J414" s="21" t="s">
        <v>29</v>
      </c>
      <c r="K414" s="22" t="s">
        <v>1501</v>
      </c>
      <c r="L414" s="23">
        <v>45242</v>
      </c>
      <c r="N414" s="40"/>
      <c r="Q414" s="25"/>
      <c r="R414" s="25"/>
    </row>
    <row r="415" spans="1:18" ht="15.75" customHeight="1">
      <c r="A415" s="17"/>
      <c r="B415" s="18" t="s">
        <v>1502</v>
      </c>
      <c r="C415" s="37" t="s">
        <v>46</v>
      </c>
      <c r="D415" s="20" t="s">
        <v>1503</v>
      </c>
      <c r="E415" s="20" t="s">
        <v>1483</v>
      </c>
      <c r="F415" s="37" t="s">
        <v>49</v>
      </c>
      <c r="G415" s="19" t="s">
        <v>50</v>
      </c>
      <c r="H415" s="37"/>
      <c r="I415" s="21" t="s">
        <v>29</v>
      </c>
      <c r="J415" s="21" t="s">
        <v>29</v>
      </c>
      <c r="K415" s="22" t="s">
        <v>1484</v>
      </c>
      <c r="L415" s="23">
        <v>45242</v>
      </c>
      <c r="N415" s="40"/>
      <c r="Q415" s="25"/>
      <c r="R415" s="25"/>
    </row>
    <row r="416" spans="1:18" ht="15.75" customHeight="1">
      <c r="A416" s="17"/>
      <c r="B416" s="18" t="s">
        <v>1504</v>
      </c>
      <c r="C416" s="37" t="s">
        <v>24</v>
      </c>
      <c r="D416" s="20" t="s">
        <v>1505</v>
      </c>
      <c r="E416" s="20" t="s">
        <v>1506</v>
      </c>
      <c r="F416" s="19" t="s">
        <v>27</v>
      </c>
      <c r="G416" s="19" t="s">
        <v>28</v>
      </c>
      <c r="H416" s="37" t="s">
        <v>762</v>
      </c>
      <c r="I416" s="21" t="s">
        <v>29</v>
      </c>
      <c r="J416" s="21" t="s">
        <v>29</v>
      </c>
      <c r="K416" s="22" t="s">
        <v>1507</v>
      </c>
      <c r="L416" s="23">
        <v>45242</v>
      </c>
      <c r="N416" s="40"/>
      <c r="Q416" s="25"/>
      <c r="R416" s="25"/>
    </row>
    <row r="417" spans="1:34" ht="15.75" customHeight="1">
      <c r="A417" s="17"/>
      <c r="B417" s="18" t="s">
        <v>1508</v>
      </c>
      <c r="C417" s="37" t="s">
        <v>87</v>
      </c>
      <c r="D417" s="20" t="s">
        <v>1509</v>
      </c>
      <c r="E417" s="20" t="s">
        <v>1510</v>
      </c>
      <c r="F417" s="37" t="s">
        <v>49</v>
      </c>
      <c r="G417" s="19" t="s">
        <v>91</v>
      </c>
      <c r="H417" s="37"/>
      <c r="I417" s="21" t="s">
        <v>29</v>
      </c>
      <c r="J417" s="21" t="s">
        <v>29</v>
      </c>
      <c r="K417" s="22" t="s">
        <v>1511</v>
      </c>
      <c r="L417" s="23">
        <v>45242</v>
      </c>
      <c r="N417" s="40"/>
      <c r="Q417" s="25"/>
      <c r="R417" s="25"/>
    </row>
    <row r="418" spans="1:34" ht="15.75" customHeight="1">
      <c r="A418" s="17"/>
      <c r="B418" s="18" t="s">
        <v>1512</v>
      </c>
      <c r="C418" s="37" t="s">
        <v>24</v>
      </c>
      <c r="D418" s="20" t="s">
        <v>1513</v>
      </c>
      <c r="E418" s="20" t="s">
        <v>1514</v>
      </c>
      <c r="F418" s="19" t="s">
        <v>27</v>
      </c>
      <c r="G418" s="19" t="s">
        <v>28</v>
      </c>
      <c r="H418" s="37"/>
      <c r="I418" s="21" t="s">
        <v>29</v>
      </c>
      <c r="J418" s="21" t="s">
        <v>29</v>
      </c>
      <c r="K418" s="22" t="s">
        <v>1515</v>
      </c>
      <c r="L418" s="23">
        <v>45242</v>
      </c>
      <c r="N418" s="40"/>
      <c r="Q418" s="25"/>
      <c r="R418" s="25"/>
    </row>
    <row r="419" spans="1:34" ht="15.75" customHeight="1">
      <c r="A419" s="17"/>
      <c r="B419" s="18" t="s">
        <v>1516</v>
      </c>
      <c r="C419" s="37" t="s">
        <v>412</v>
      </c>
      <c r="D419" s="20" t="s">
        <v>1517</v>
      </c>
      <c r="E419" s="20" t="s">
        <v>1518</v>
      </c>
      <c r="F419" s="19" t="s">
        <v>414</v>
      </c>
      <c r="G419" s="37" t="s">
        <v>415</v>
      </c>
      <c r="H419" s="37"/>
      <c r="I419" s="21" t="s">
        <v>233</v>
      </c>
      <c r="J419" s="21" t="s">
        <v>233</v>
      </c>
      <c r="K419" s="22" t="s">
        <v>1518</v>
      </c>
      <c r="L419" s="23">
        <v>45242</v>
      </c>
      <c r="Q419" s="25"/>
      <c r="R419" s="25"/>
      <c r="AB419" s="42"/>
      <c r="AD419" s="38"/>
      <c r="AE419" s="38"/>
      <c r="AF419" s="38"/>
      <c r="AG419" s="38"/>
      <c r="AH419" s="43"/>
    </row>
    <row r="420" spans="1:34" ht="15.75" customHeight="1">
      <c r="A420" s="17"/>
      <c r="B420" s="18" t="s">
        <v>1519</v>
      </c>
      <c r="C420" s="37" t="s">
        <v>24</v>
      </c>
      <c r="D420" s="20" t="s">
        <v>1520</v>
      </c>
      <c r="E420" s="20" t="s">
        <v>1521</v>
      </c>
      <c r="F420" s="19" t="s">
        <v>27</v>
      </c>
      <c r="G420" s="19" t="s">
        <v>28</v>
      </c>
      <c r="H420" s="37"/>
      <c r="I420" s="21" t="s">
        <v>29</v>
      </c>
      <c r="J420" s="21" t="s">
        <v>29</v>
      </c>
      <c r="K420" s="22" t="s">
        <v>1522</v>
      </c>
      <c r="L420" s="23">
        <v>45242</v>
      </c>
      <c r="Q420" s="25"/>
      <c r="R420" s="25"/>
    </row>
    <row r="421" spans="1:34" ht="15.75" customHeight="1">
      <c r="A421" s="17"/>
      <c r="B421" s="18" t="s">
        <v>1523</v>
      </c>
      <c r="C421" s="37" t="s">
        <v>24</v>
      </c>
      <c r="D421" s="20" t="s">
        <v>1524</v>
      </c>
      <c r="E421" s="20" t="s">
        <v>1525</v>
      </c>
      <c r="F421" s="19" t="s">
        <v>27</v>
      </c>
      <c r="G421" s="19" t="s">
        <v>28</v>
      </c>
      <c r="H421" s="37"/>
      <c r="I421" s="21" t="s">
        <v>29</v>
      </c>
      <c r="J421" s="21" t="s">
        <v>29</v>
      </c>
      <c r="K421" s="22" t="s">
        <v>1526</v>
      </c>
      <c r="L421" s="23">
        <v>45242</v>
      </c>
      <c r="Q421" s="25"/>
      <c r="R421" s="25"/>
    </row>
    <row r="422" spans="1:34" ht="15.75" customHeight="1">
      <c r="A422" s="17"/>
      <c r="B422" s="18" t="s">
        <v>1527</v>
      </c>
      <c r="C422" s="37" t="s">
        <v>24</v>
      </c>
      <c r="D422" s="20" t="s">
        <v>1528</v>
      </c>
      <c r="E422" s="20" t="s">
        <v>1529</v>
      </c>
      <c r="F422" s="19" t="s">
        <v>27</v>
      </c>
      <c r="G422" s="19" t="s">
        <v>28</v>
      </c>
      <c r="H422" s="37"/>
      <c r="I422" s="21" t="s">
        <v>29</v>
      </c>
      <c r="J422" s="21" t="s">
        <v>29</v>
      </c>
      <c r="K422" s="22" t="s">
        <v>1530</v>
      </c>
      <c r="L422" s="23">
        <v>45242</v>
      </c>
      <c r="Q422" s="25"/>
      <c r="R422" s="25"/>
    </row>
    <row r="423" spans="1:34" ht="15.75" customHeight="1">
      <c r="A423" s="17"/>
      <c r="B423" s="18" t="s">
        <v>1531</v>
      </c>
      <c r="C423" s="37" t="s">
        <v>412</v>
      </c>
      <c r="D423" s="20" t="s">
        <v>1532</v>
      </c>
      <c r="E423" s="20" t="s">
        <v>1533</v>
      </c>
      <c r="F423" s="19" t="s">
        <v>414</v>
      </c>
      <c r="G423" s="19" t="s">
        <v>415</v>
      </c>
      <c r="H423" s="37"/>
      <c r="I423" s="21" t="s">
        <v>233</v>
      </c>
      <c r="J423" s="21" t="s">
        <v>233</v>
      </c>
      <c r="K423" s="22" t="s">
        <v>1534</v>
      </c>
      <c r="L423" s="23">
        <v>45242</v>
      </c>
      <c r="Q423" s="25"/>
      <c r="R423" s="25"/>
    </row>
    <row r="424" spans="1:34" ht="15.75" customHeight="1">
      <c r="A424" s="17"/>
      <c r="B424" s="18" t="s">
        <v>1535</v>
      </c>
      <c r="C424" s="37" t="s">
        <v>46</v>
      </c>
      <c r="D424" s="20" t="s">
        <v>1536</v>
      </c>
      <c r="E424" s="20" t="s">
        <v>1537</v>
      </c>
      <c r="F424" s="37" t="s">
        <v>49</v>
      </c>
      <c r="G424" s="19" t="s">
        <v>50</v>
      </c>
      <c r="H424" s="37"/>
      <c r="I424" s="21" t="s">
        <v>29</v>
      </c>
      <c r="J424" s="21" t="s">
        <v>29</v>
      </c>
      <c r="K424" s="22" t="s">
        <v>1538</v>
      </c>
      <c r="L424" s="23">
        <v>45242</v>
      </c>
      <c r="Q424" s="25"/>
      <c r="R424" s="25"/>
    </row>
    <row r="425" spans="1:34" ht="15.75" customHeight="1">
      <c r="A425" s="17"/>
      <c r="B425" s="18" t="s">
        <v>1539</v>
      </c>
      <c r="C425" s="37" t="s">
        <v>24</v>
      </c>
      <c r="D425" s="20" t="s">
        <v>1540</v>
      </c>
      <c r="E425" s="20" t="s">
        <v>1541</v>
      </c>
      <c r="F425" s="19" t="s">
        <v>27</v>
      </c>
      <c r="G425" s="19" t="s">
        <v>28</v>
      </c>
      <c r="H425" s="19" t="s">
        <v>36</v>
      </c>
      <c r="I425" s="21" t="s">
        <v>29</v>
      </c>
      <c r="J425" s="21" t="s">
        <v>29</v>
      </c>
      <c r="K425" s="22" t="s">
        <v>1542</v>
      </c>
      <c r="L425" s="23">
        <v>45242</v>
      </c>
      <c r="Q425" s="25"/>
      <c r="R425" s="25"/>
    </row>
    <row r="426" spans="1:34" ht="15.75" customHeight="1">
      <c r="A426" s="17"/>
      <c r="B426" s="18" t="s">
        <v>1543</v>
      </c>
      <c r="C426" s="37" t="s">
        <v>24</v>
      </c>
      <c r="D426" s="20" t="s">
        <v>1544</v>
      </c>
      <c r="E426" s="20" t="s">
        <v>1545</v>
      </c>
      <c r="F426" s="19" t="s">
        <v>27</v>
      </c>
      <c r="G426" s="19" t="s">
        <v>28</v>
      </c>
      <c r="H426" s="37"/>
      <c r="I426" s="21" t="s">
        <v>29</v>
      </c>
      <c r="J426" s="21" t="s">
        <v>29</v>
      </c>
      <c r="K426" s="22" t="s">
        <v>1546</v>
      </c>
      <c r="L426" s="23">
        <v>45242</v>
      </c>
      <c r="Q426" s="25"/>
      <c r="R426" s="25"/>
    </row>
    <row r="427" spans="1:34" ht="15.75" customHeight="1">
      <c r="A427" s="17"/>
      <c r="B427" s="18" t="s">
        <v>1547</v>
      </c>
      <c r="C427" s="37" t="s">
        <v>24</v>
      </c>
      <c r="D427" s="20" t="s">
        <v>1548</v>
      </c>
      <c r="E427" s="20" t="s">
        <v>1549</v>
      </c>
      <c r="F427" s="19" t="s">
        <v>27</v>
      </c>
      <c r="G427" s="19" t="s">
        <v>28</v>
      </c>
      <c r="H427" s="37"/>
      <c r="I427" s="21" t="s">
        <v>29</v>
      </c>
      <c r="J427" s="21" t="s">
        <v>29</v>
      </c>
      <c r="K427" s="22" t="s">
        <v>1550</v>
      </c>
      <c r="L427" s="23">
        <v>45242</v>
      </c>
      <c r="Q427" s="25"/>
      <c r="R427" s="25"/>
    </row>
    <row r="428" spans="1:34" ht="15.75" customHeight="1">
      <c r="A428" s="17"/>
      <c r="B428" s="18" t="s">
        <v>1551</v>
      </c>
      <c r="C428" s="37" t="s">
        <v>87</v>
      </c>
      <c r="D428" s="20" t="s">
        <v>1552</v>
      </c>
      <c r="E428" s="20" t="s">
        <v>1553</v>
      </c>
      <c r="F428" s="19" t="s">
        <v>90</v>
      </c>
      <c r="G428" s="19" t="s">
        <v>91</v>
      </c>
      <c r="H428" s="37"/>
      <c r="I428" s="21" t="s">
        <v>29</v>
      </c>
      <c r="J428" s="21" t="s">
        <v>29</v>
      </c>
      <c r="K428" s="22" t="s">
        <v>1554</v>
      </c>
      <c r="L428" s="23">
        <v>45242</v>
      </c>
      <c r="Q428" s="25"/>
      <c r="R428" s="25"/>
    </row>
    <row r="429" spans="1:34" ht="15.75" customHeight="1">
      <c r="A429" s="17"/>
      <c r="B429" s="18" t="s">
        <v>1555</v>
      </c>
      <c r="C429" s="37" t="s">
        <v>24</v>
      </c>
      <c r="D429" s="20" t="s">
        <v>1556</v>
      </c>
      <c r="E429" s="20" t="s">
        <v>1557</v>
      </c>
      <c r="F429" s="19" t="s">
        <v>27</v>
      </c>
      <c r="G429" s="19" t="s">
        <v>28</v>
      </c>
      <c r="H429" s="37"/>
      <c r="I429" s="21" t="s">
        <v>29</v>
      </c>
      <c r="J429" s="21" t="s">
        <v>29</v>
      </c>
      <c r="K429" s="22" t="s">
        <v>1558</v>
      </c>
      <c r="L429" s="23">
        <v>45242</v>
      </c>
      <c r="Q429" s="25"/>
      <c r="R429" s="25"/>
    </row>
    <row r="430" spans="1:34" ht="15.75" customHeight="1">
      <c r="A430" s="17"/>
      <c r="B430" s="18" t="s">
        <v>1559</v>
      </c>
      <c r="C430" s="37" t="s">
        <v>87</v>
      </c>
      <c r="D430" s="20" t="s">
        <v>1560</v>
      </c>
      <c r="E430" s="20" t="s">
        <v>1561</v>
      </c>
      <c r="F430" s="19" t="s">
        <v>90</v>
      </c>
      <c r="G430" s="19" t="s">
        <v>91</v>
      </c>
      <c r="H430" s="37"/>
      <c r="I430" s="21" t="s">
        <v>29</v>
      </c>
      <c r="J430" s="21" t="s">
        <v>29</v>
      </c>
      <c r="K430" s="22" t="s">
        <v>1562</v>
      </c>
      <c r="L430" s="23">
        <v>45242</v>
      </c>
      <c r="Q430" s="25"/>
      <c r="R430" s="25"/>
    </row>
    <row r="431" spans="1:34" ht="15.75" customHeight="1">
      <c r="A431" s="17"/>
      <c r="B431" s="36" t="s">
        <v>1563</v>
      </c>
      <c r="C431" s="37" t="s">
        <v>121</v>
      </c>
      <c r="D431" s="20" t="s">
        <v>1564</v>
      </c>
      <c r="E431" s="20" t="s">
        <v>1565</v>
      </c>
      <c r="F431" s="19" t="s">
        <v>414</v>
      </c>
      <c r="G431" s="37" t="s">
        <v>415</v>
      </c>
      <c r="H431" s="37"/>
      <c r="I431" s="21" t="s">
        <v>233</v>
      </c>
      <c r="J431" s="21" t="s">
        <v>233</v>
      </c>
      <c r="K431" s="22" t="s">
        <v>1565</v>
      </c>
      <c r="L431" s="23">
        <v>45242</v>
      </c>
      <c r="Q431" s="25"/>
      <c r="R431" s="25"/>
    </row>
    <row r="432" spans="1:34" ht="15.75" customHeight="1">
      <c r="A432" s="17"/>
      <c r="B432" s="18" t="s">
        <v>1566</v>
      </c>
      <c r="C432" s="37" t="s">
        <v>24</v>
      </c>
      <c r="D432" s="20" t="s">
        <v>1567</v>
      </c>
      <c r="E432" s="20" t="s">
        <v>1568</v>
      </c>
      <c r="F432" s="19" t="s">
        <v>27</v>
      </c>
      <c r="G432" s="19" t="s">
        <v>28</v>
      </c>
      <c r="H432" s="19" t="s">
        <v>36</v>
      </c>
      <c r="I432" s="21" t="s">
        <v>29</v>
      </c>
      <c r="J432" s="21" t="s">
        <v>29</v>
      </c>
      <c r="K432" s="22" t="s">
        <v>1569</v>
      </c>
      <c r="L432" s="23">
        <v>45242</v>
      </c>
      <c r="Q432" s="25"/>
      <c r="R432" s="25"/>
    </row>
    <row r="433" spans="1:18" ht="15.75" customHeight="1">
      <c r="A433" s="17"/>
      <c r="B433" s="18" t="s">
        <v>1570</v>
      </c>
      <c r="C433" s="37" t="s">
        <v>87</v>
      </c>
      <c r="D433" s="20" t="s">
        <v>1571</v>
      </c>
      <c r="E433" s="20" t="s">
        <v>1561</v>
      </c>
      <c r="F433" s="19" t="s">
        <v>90</v>
      </c>
      <c r="G433" s="19" t="s">
        <v>91</v>
      </c>
      <c r="H433" s="37"/>
      <c r="I433" s="21" t="s">
        <v>29</v>
      </c>
      <c r="J433" s="21" t="s">
        <v>29</v>
      </c>
      <c r="K433" s="22" t="s">
        <v>1562</v>
      </c>
      <c r="L433" s="23">
        <v>45242</v>
      </c>
      <c r="Q433" s="25"/>
      <c r="R433" s="25"/>
    </row>
    <row r="434" spans="1:18" ht="15.75" customHeight="1">
      <c r="A434" s="17"/>
      <c r="B434" s="29" t="s">
        <v>1572</v>
      </c>
      <c r="C434" s="55" t="s">
        <v>1366</v>
      </c>
      <c r="D434" s="20" t="s">
        <v>1573</v>
      </c>
      <c r="E434" s="20" t="s">
        <v>1574</v>
      </c>
      <c r="F434" s="55" t="s">
        <v>1369</v>
      </c>
      <c r="G434" s="55" t="s">
        <v>1370</v>
      </c>
      <c r="H434" s="55"/>
      <c r="I434" s="21" t="s">
        <v>1371</v>
      </c>
      <c r="J434" s="21" t="s">
        <v>1371</v>
      </c>
      <c r="K434" s="22" t="s">
        <v>1574</v>
      </c>
      <c r="L434" s="23">
        <v>45242</v>
      </c>
      <c r="Q434" s="25"/>
      <c r="R434" s="25"/>
    </row>
    <row r="435" spans="1:18" ht="15.75" customHeight="1">
      <c r="A435" s="17"/>
      <c r="B435" s="18" t="s">
        <v>1575</v>
      </c>
      <c r="C435" s="37" t="s">
        <v>1430</v>
      </c>
      <c r="D435" s="20" t="s">
        <v>1576</v>
      </c>
      <c r="E435" s="20" t="s">
        <v>1577</v>
      </c>
      <c r="F435" s="19" t="s">
        <v>414</v>
      </c>
      <c r="G435" s="55" t="s">
        <v>1432</v>
      </c>
      <c r="H435" s="37"/>
      <c r="I435" s="21" t="s">
        <v>233</v>
      </c>
      <c r="J435" s="21" t="s">
        <v>233</v>
      </c>
      <c r="K435" s="22" t="s">
        <v>1577</v>
      </c>
      <c r="L435" s="23">
        <v>45242</v>
      </c>
      <c r="Q435" s="25"/>
      <c r="R435" s="25"/>
    </row>
    <row r="436" spans="1:18" ht="15.75" customHeight="1">
      <c r="A436" s="17"/>
      <c r="B436" s="34" t="s">
        <v>1578</v>
      </c>
      <c r="C436" s="37" t="s">
        <v>24</v>
      </c>
      <c r="D436" s="20" t="s">
        <v>1579</v>
      </c>
      <c r="E436" s="20" t="s">
        <v>1580</v>
      </c>
      <c r="F436" s="19" t="s">
        <v>90</v>
      </c>
      <c r="G436" s="19" t="s">
        <v>91</v>
      </c>
      <c r="H436" s="37"/>
      <c r="I436" s="21" t="s">
        <v>29</v>
      </c>
      <c r="J436" s="21" t="s">
        <v>29</v>
      </c>
      <c r="K436" s="22" t="s">
        <v>1581</v>
      </c>
      <c r="L436" s="23">
        <v>45242</v>
      </c>
      <c r="Q436" s="25"/>
      <c r="R436" s="25"/>
    </row>
    <row r="437" spans="1:18" ht="15.75" customHeight="1">
      <c r="A437" s="17"/>
      <c r="B437" s="18" t="s">
        <v>1582</v>
      </c>
      <c r="C437" s="55" t="s">
        <v>1366</v>
      </c>
      <c r="D437" s="20" t="s">
        <v>1583</v>
      </c>
      <c r="E437" s="20" t="s">
        <v>1584</v>
      </c>
      <c r="F437" s="55" t="s">
        <v>1369</v>
      </c>
      <c r="G437" s="55" t="s">
        <v>1370</v>
      </c>
      <c r="H437" s="55"/>
      <c r="I437" s="21" t="s">
        <v>1371</v>
      </c>
      <c r="J437" s="21" t="s">
        <v>1371</v>
      </c>
      <c r="K437" s="22" t="s">
        <v>1585</v>
      </c>
      <c r="L437" s="23">
        <v>45242</v>
      </c>
      <c r="Q437" s="25"/>
      <c r="R437" s="25"/>
    </row>
    <row r="438" spans="1:18" ht="15.75" customHeight="1">
      <c r="A438" s="17"/>
      <c r="B438" s="18" t="s">
        <v>1586</v>
      </c>
      <c r="C438" s="55" t="s">
        <v>1366</v>
      </c>
      <c r="D438" s="20" t="s">
        <v>1587</v>
      </c>
      <c r="E438" s="20" t="s">
        <v>1588</v>
      </c>
      <c r="F438" s="55" t="s">
        <v>1369</v>
      </c>
      <c r="G438" s="55" t="s">
        <v>1370</v>
      </c>
      <c r="H438" s="55"/>
      <c r="I438" s="21" t="s">
        <v>1371</v>
      </c>
      <c r="J438" s="21" t="s">
        <v>1371</v>
      </c>
      <c r="K438" s="22" t="s">
        <v>1589</v>
      </c>
      <c r="L438" s="23">
        <v>45242</v>
      </c>
      <c r="Q438" s="25"/>
      <c r="R438" s="25"/>
    </row>
    <row r="439" spans="1:18" ht="15.75" customHeight="1">
      <c r="A439" s="17"/>
      <c r="B439" s="18" t="s">
        <v>1590</v>
      </c>
      <c r="C439" s="37" t="s">
        <v>24</v>
      </c>
      <c r="D439" s="20" t="s">
        <v>1591</v>
      </c>
      <c r="E439" s="20" t="s">
        <v>1592</v>
      </c>
      <c r="F439" s="19" t="s">
        <v>27</v>
      </c>
      <c r="G439" s="19" t="s">
        <v>28</v>
      </c>
      <c r="H439" s="19" t="s">
        <v>36</v>
      </c>
      <c r="I439" s="21" t="s">
        <v>29</v>
      </c>
      <c r="J439" s="21" t="s">
        <v>29</v>
      </c>
      <c r="K439" s="22" t="s">
        <v>1593</v>
      </c>
      <c r="L439" s="23">
        <v>45242</v>
      </c>
      <c r="Q439" s="25"/>
      <c r="R439" s="25"/>
    </row>
    <row r="440" spans="1:18" ht="15.75" customHeight="1">
      <c r="A440" s="17"/>
      <c r="B440" s="18" t="s">
        <v>1594</v>
      </c>
      <c r="C440" s="37" t="s">
        <v>87</v>
      </c>
      <c r="D440" s="20" t="s">
        <v>1595</v>
      </c>
      <c r="E440" s="20" t="s">
        <v>1596</v>
      </c>
      <c r="F440" s="19" t="s">
        <v>90</v>
      </c>
      <c r="G440" s="19" t="s">
        <v>91</v>
      </c>
      <c r="H440" s="37"/>
      <c r="I440" s="21" t="s">
        <v>29</v>
      </c>
      <c r="J440" s="21" t="s">
        <v>29</v>
      </c>
      <c r="K440" s="22" t="s">
        <v>1597</v>
      </c>
      <c r="L440" s="23">
        <v>45242</v>
      </c>
      <c r="Q440" s="25"/>
      <c r="R440" s="25"/>
    </row>
    <row r="441" spans="1:18" ht="15.75" customHeight="1">
      <c r="A441" s="17"/>
      <c r="B441" s="18" t="s">
        <v>1598</v>
      </c>
      <c r="C441" s="37" t="s">
        <v>24</v>
      </c>
      <c r="D441" s="20" t="s">
        <v>1599</v>
      </c>
      <c r="E441" s="20" t="s">
        <v>1600</v>
      </c>
      <c r="F441" s="19" t="s">
        <v>27</v>
      </c>
      <c r="G441" s="19" t="s">
        <v>28</v>
      </c>
      <c r="H441" s="37"/>
      <c r="I441" s="21" t="s">
        <v>29</v>
      </c>
      <c r="J441" s="21" t="s">
        <v>29</v>
      </c>
      <c r="K441" s="22" t="s">
        <v>1601</v>
      </c>
      <c r="L441" s="23">
        <v>45242</v>
      </c>
      <c r="Q441" s="25"/>
      <c r="R441" s="25"/>
    </row>
    <row r="442" spans="1:18" ht="15.75" customHeight="1">
      <c r="A442" s="17"/>
      <c r="B442" s="18" t="s">
        <v>1602</v>
      </c>
      <c r="C442" s="37" t="s">
        <v>1603</v>
      </c>
      <c r="D442" s="20" t="s">
        <v>1604</v>
      </c>
      <c r="E442" s="20" t="s">
        <v>1605</v>
      </c>
      <c r="F442" s="19" t="s">
        <v>27</v>
      </c>
      <c r="G442" s="37" t="s">
        <v>1606</v>
      </c>
      <c r="H442" s="37"/>
      <c r="I442" s="21" t="s">
        <v>29</v>
      </c>
      <c r="J442" s="21" t="s">
        <v>233</v>
      </c>
      <c r="K442" s="22" t="s">
        <v>1607</v>
      </c>
      <c r="L442" s="23">
        <v>45242</v>
      </c>
      <c r="Q442" s="25"/>
      <c r="R442" s="25"/>
    </row>
    <row r="443" spans="1:18" ht="15.75" customHeight="1">
      <c r="A443" s="17"/>
      <c r="B443" s="18" t="s">
        <v>1608</v>
      </c>
      <c r="C443" s="37" t="s">
        <v>1486</v>
      </c>
      <c r="D443" s="20" t="s">
        <v>1609</v>
      </c>
      <c r="E443" s="20" t="s">
        <v>1610</v>
      </c>
      <c r="F443" s="37" t="s">
        <v>1489</v>
      </c>
      <c r="G443" s="37" t="s">
        <v>1490</v>
      </c>
      <c r="H443" s="37"/>
      <c r="I443" s="21" t="s">
        <v>1371</v>
      </c>
      <c r="J443" s="21" t="s">
        <v>1371</v>
      </c>
      <c r="K443" s="22" t="s">
        <v>1610</v>
      </c>
      <c r="L443" s="23">
        <v>45242</v>
      </c>
      <c r="Q443" s="25"/>
      <c r="R443" s="25"/>
    </row>
    <row r="444" spans="1:18" ht="15.75" customHeight="1">
      <c r="A444" s="17"/>
      <c r="B444" s="18" t="s">
        <v>1611</v>
      </c>
      <c r="C444" s="37" t="s">
        <v>24</v>
      </c>
      <c r="D444" s="20" t="s">
        <v>1612</v>
      </c>
      <c r="E444" s="20" t="s">
        <v>1613</v>
      </c>
      <c r="F444" s="19" t="s">
        <v>27</v>
      </c>
      <c r="G444" s="19" t="s">
        <v>28</v>
      </c>
      <c r="H444" s="37"/>
      <c r="I444" s="21" t="s">
        <v>29</v>
      </c>
      <c r="J444" s="21" t="s">
        <v>29</v>
      </c>
      <c r="K444" s="22" t="s">
        <v>1614</v>
      </c>
      <c r="L444" s="23">
        <v>45242</v>
      </c>
      <c r="Q444" s="25"/>
      <c r="R444" s="25"/>
    </row>
    <row r="445" spans="1:18" ht="15.75" customHeight="1">
      <c r="A445" s="17"/>
      <c r="B445" s="41" t="s">
        <v>1615</v>
      </c>
      <c r="C445" s="37" t="s">
        <v>24</v>
      </c>
      <c r="D445" s="20" t="s">
        <v>1616</v>
      </c>
      <c r="E445" s="20" t="s">
        <v>1617</v>
      </c>
      <c r="F445" s="37"/>
      <c r="G445" s="37"/>
      <c r="H445" s="37"/>
      <c r="I445" s="21"/>
      <c r="J445" s="21"/>
      <c r="K445" s="22"/>
      <c r="L445" s="23"/>
      <c r="Q445" s="25"/>
      <c r="R445" s="25"/>
    </row>
    <row r="446" spans="1:18" ht="15.75" customHeight="1">
      <c r="A446" s="17"/>
      <c r="B446" s="41" t="s">
        <v>1618</v>
      </c>
      <c r="C446" s="37" t="s">
        <v>46</v>
      </c>
      <c r="D446" s="20" t="s">
        <v>1619</v>
      </c>
      <c r="E446" s="20" t="s">
        <v>1620</v>
      </c>
      <c r="F446" s="37"/>
      <c r="G446" s="37"/>
      <c r="H446" s="37"/>
      <c r="I446" s="21"/>
      <c r="J446" s="21"/>
      <c r="K446" s="22"/>
      <c r="L446" s="23"/>
      <c r="Q446" s="25"/>
      <c r="R446" s="25"/>
    </row>
    <row r="447" spans="1:18" ht="15.75" customHeight="1">
      <c r="A447" s="17"/>
      <c r="B447" s="18" t="s">
        <v>1621</v>
      </c>
      <c r="C447" s="37" t="s">
        <v>46</v>
      </c>
      <c r="D447" s="20" t="s">
        <v>1622</v>
      </c>
      <c r="E447" s="20" t="s">
        <v>1390</v>
      </c>
      <c r="F447" s="37" t="s">
        <v>49</v>
      </c>
      <c r="G447" s="19" t="s">
        <v>50</v>
      </c>
      <c r="H447" s="37"/>
      <c r="I447" s="21" t="s">
        <v>29</v>
      </c>
      <c r="J447" s="21" t="s">
        <v>29</v>
      </c>
      <c r="K447" s="22" t="s">
        <v>1391</v>
      </c>
      <c r="L447" s="23">
        <v>45242</v>
      </c>
      <c r="Q447" s="25"/>
      <c r="R447" s="25"/>
    </row>
    <row r="448" spans="1:18" ht="15.75" customHeight="1">
      <c r="A448" s="35"/>
      <c r="B448" s="38"/>
      <c r="C448" s="37"/>
      <c r="D448" s="20"/>
      <c r="E448" s="20" t="s">
        <v>145</v>
      </c>
      <c r="F448" s="37"/>
      <c r="G448" s="37"/>
      <c r="H448" s="37"/>
      <c r="I448" s="21"/>
      <c r="J448" s="21"/>
      <c r="K448" s="22" t="s">
        <v>145</v>
      </c>
      <c r="L448" s="39"/>
      <c r="Q448" s="25"/>
      <c r="R448" s="25"/>
    </row>
    <row r="449" spans="1:34" ht="15.75" customHeight="1">
      <c r="A449" s="17" t="s">
        <v>1623</v>
      </c>
      <c r="B449" s="18" t="s">
        <v>1624</v>
      </c>
      <c r="C449" s="37" t="s">
        <v>24</v>
      </c>
      <c r="D449" s="20" t="s">
        <v>1625</v>
      </c>
      <c r="E449" s="20" t="s">
        <v>1626</v>
      </c>
      <c r="F449" s="19" t="s">
        <v>27</v>
      </c>
      <c r="G449" s="19" t="s">
        <v>28</v>
      </c>
      <c r="H449" s="19" t="s">
        <v>36</v>
      </c>
      <c r="I449" s="21" t="s">
        <v>29</v>
      </c>
      <c r="J449" s="21" t="s">
        <v>29</v>
      </c>
      <c r="K449" s="22" t="s">
        <v>1627</v>
      </c>
      <c r="L449" s="56">
        <v>45243</v>
      </c>
      <c r="N449" s="40"/>
      <c r="Q449" s="25"/>
      <c r="R449" s="25"/>
    </row>
    <row r="450" spans="1:34" ht="15.75" customHeight="1">
      <c r="A450" s="28" t="s">
        <v>1628</v>
      </c>
      <c r="B450" s="18" t="s">
        <v>1629</v>
      </c>
      <c r="C450" s="37" t="s">
        <v>46</v>
      </c>
      <c r="D450" s="20" t="s">
        <v>1630</v>
      </c>
      <c r="E450" s="20" t="s">
        <v>1631</v>
      </c>
      <c r="F450" s="37" t="s">
        <v>49</v>
      </c>
      <c r="G450" s="19" t="s">
        <v>50</v>
      </c>
      <c r="H450" s="37"/>
      <c r="I450" s="21" t="s">
        <v>29</v>
      </c>
      <c r="J450" s="21" t="s">
        <v>29</v>
      </c>
      <c r="K450" s="22" t="s">
        <v>1632</v>
      </c>
      <c r="L450" s="56">
        <v>45243</v>
      </c>
      <c r="Q450" s="25"/>
      <c r="R450" s="25"/>
    </row>
    <row r="451" spans="1:34" ht="15.75" customHeight="1">
      <c r="A451" s="31" t="s">
        <v>39</v>
      </c>
      <c r="B451" s="18" t="s">
        <v>1633</v>
      </c>
      <c r="C451" s="37" t="s">
        <v>87</v>
      </c>
      <c r="D451" s="20" t="s">
        <v>1634</v>
      </c>
      <c r="E451" s="20" t="s">
        <v>1635</v>
      </c>
      <c r="F451" s="19" t="s">
        <v>90</v>
      </c>
      <c r="G451" s="19" t="s">
        <v>91</v>
      </c>
      <c r="H451" s="37"/>
      <c r="I451" s="21" t="s">
        <v>29</v>
      </c>
      <c r="J451" s="21" t="s">
        <v>29</v>
      </c>
      <c r="K451" s="22" t="s">
        <v>1636</v>
      </c>
      <c r="L451" s="56">
        <v>45243</v>
      </c>
      <c r="Q451" s="25"/>
      <c r="R451" s="25"/>
    </row>
    <row r="452" spans="1:34" ht="15.75" customHeight="1">
      <c r="A452" s="17" t="s">
        <v>936</v>
      </c>
      <c r="B452" s="18" t="s">
        <v>1637</v>
      </c>
      <c r="C452" s="37" t="s">
        <v>1638</v>
      </c>
      <c r="D452" s="20" t="s">
        <v>1639</v>
      </c>
      <c r="E452" s="20" t="s">
        <v>1640</v>
      </c>
      <c r="F452" s="37" t="s">
        <v>1399</v>
      </c>
      <c r="G452" s="19" t="s">
        <v>1641</v>
      </c>
      <c r="H452" s="37"/>
      <c r="I452" s="21" t="s">
        <v>1371</v>
      </c>
      <c r="J452" s="21" t="s">
        <v>1371</v>
      </c>
      <c r="K452" s="22" t="s">
        <v>1642</v>
      </c>
      <c r="L452" s="56">
        <v>45243</v>
      </c>
      <c r="Q452" s="25"/>
      <c r="R452" s="25"/>
    </row>
    <row r="453" spans="1:34" ht="15.75" customHeight="1">
      <c r="A453" s="17" t="s">
        <v>681</v>
      </c>
      <c r="B453" s="18" t="s">
        <v>1643</v>
      </c>
      <c r="C453" s="37" t="s">
        <v>24</v>
      </c>
      <c r="D453" s="20" t="s">
        <v>1644</v>
      </c>
      <c r="E453" s="20" t="s">
        <v>1645</v>
      </c>
      <c r="F453" s="19" t="s">
        <v>27</v>
      </c>
      <c r="G453" s="19" t="s">
        <v>28</v>
      </c>
      <c r="H453" s="37"/>
      <c r="I453" s="21" t="s">
        <v>29</v>
      </c>
      <c r="J453" s="21" t="s">
        <v>29</v>
      </c>
      <c r="K453" s="22" t="s">
        <v>1646</v>
      </c>
      <c r="L453" s="56">
        <v>45243</v>
      </c>
      <c r="Q453" s="25"/>
      <c r="R453" s="25"/>
    </row>
    <row r="454" spans="1:34" ht="15.75" customHeight="1">
      <c r="A454" s="31" t="s">
        <v>56</v>
      </c>
      <c r="B454" s="18" t="s">
        <v>1647</v>
      </c>
      <c r="C454" s="37" t="s">
        <v>1366</v>
      </c>
      <c r="D454" s="20" t="s">
        <v>1648</v>
      </c>
      <c r="E454" s="20" t="s">
        <v>1649</v>
      </c>
      <c r="F454" s="55" t="s">
        <v>1369</v>
      </c>
      <c r="G454" s="55" t="s">
        <v>1370</v>
      </c>
      <c r="H454" s="37"/>
      <c r="I454" s="21" t="s">
        <v>1371</v>
      </c>
      <c r="J454" s="21" t="s">
        <v>1371</v>
      </c>
      <c r="K454" s="22" t="s">
        <v>1650</v>
      </c>
      <c r="L454" s="56">
        <v>45243</v>
      </c>
      <c r="Q454" s="25"/>
      <c r="R454" s="25"/>
    </row>
    <row r="455" spans="1:34" ht="15.75" customHeight="1">
      <c r="A455" s="17">
        <v>86</v>
      </c>
      <c r="B455" s="36" t="s">
        <v>1651</v>
      </c>
      <c r="C455" s="37" t="s">
        <v>121</v>
      </c>
      <c r="D455" s="20" t="s">
        <v>1652</v>
      </c>
      <c r="E455" s="20" t="s">
        <v>1653</v>
      </c>
      <c r="F455" s="37" t="s">
        <v>49</v>
      </c>
      <c r="G455" s="19" t="s">
        <v>50</v>
      </c>
      <c r="H455" s="37"/>
      <c r="I455" s="21" t="s">
        <v>29</v>
      </c>
      <c r="J455" s="21" t="s">
        <v>29</v>
      </c>
      <c r="K455" s="22" t="s">
        <v>1654</v>
      </c>
      <c r="L455" s="56">
        <v>45243</v>
      </c>
      <c r="Q455" s="25"/>
      <c r="R455" s="25"/>
    </row>
    <row r="456" spans="1:34" ht="15.75" customHeight="1">
      <c r="A456" s="31" t="s">
        <v>64</v>
      </c>
      <c r="B456" s="18" t="s">
        <v>1655</v>
      </c>
      <c r="C456" s="37" t="s">
        <v>24</v>
      </c>
      <c r="D456" s="20" t="s">
        <v>1656</v>
      </c>
      <c r="E456" s="20" t="s">
        <v>1657</v>
      </c>
      <c r="F456" s="19" t="s">
        <v>27</v>
      </c>
      <c r="G456" s="19" t="s">
        <v>28</v>
      </c>
      <c r="H456" s="37"/>
      <c r="I456" s="21" t="s">
        <v>29</v>
      </c>
      <c r="J456" s="21" t="s">
        <v>29</v>
      </c>
      <c r="K456" s="22" t="s">
        <v>1658</v>
      </c>
      <c r="L456" s="56">
        <v>45243</v>
      </c>
      <c r="Q456" s="25"/>
      <c r="R456" s="25"/>
    </row>
    <row r="457" spans="1:34" ht="15.75" customHeight="1">
      <c r="A457" s="17">
        <v>4.5</v>
      </c>
      <c r="B457" s="18" t="s">
        <v>1659</v>
      </c>
      <c r="C457" s="37" t="s">
        <v>46</v>
      </c>
      <c r="D457" s="20" t="s">
        <v>1660</v>
      </c>
      <c r="E457" s="20" t="s">
        <v>1661</v>
      </c>
      <c r="F457" s="37" t="s">
        <v>49</v>
      </c>
      <c r="G457" s="19" t="s">
        <v>50</v>
      </c>
      <c r="H457" s="37"/>
      <c r="I457" s="21" t="s">
        <v>29</v>
      </c>
      <c r="J457" s="21" t="s">
        <v>29</v>
      </c>
      <c r="K457" s="22" t="s">
        <v>1662</v>
      </c>
      <c r="L457" s="56">
        <v>45243</v>
      </c>
      <c r="Q457" s="25"/>
      <c r="R457" s="25"/>
    </row>
    <row r="458" spans="1:34" ht="15.75" customHeight="1">
      <c r="A458" s="31" t="s">
        <v>73</v>
      </c>
      <c r="B458" s="18" t="s">
        <v>1663</v>
      </c>
      <c r="C458" s="37" t="s">
        <v>1366</v>
      </c>
      <c r="D458" s="20" t="s">
        <v>1664</v>
      </c>
      <c r="E458" s="20" t="s">
        <v>1665</v>
      </c>
      <c r="F458" s="55" t="s">
        <v>1369</v>
      </c>
      <c r="G458" s="55" t="s">
        <v>1370</v>
      </c>
      <c r="H458" s="37"/>
      <c r="I458" s="21" t="s">
        <v>1371</v>
      </c>
      <c r="J458" s="21" t="s">
        <v>1371</v>
      </c>
      <c r="K458" s="22" t="s">
        <v>1666</v>
      </c>
      <c r="L458" s="56">
        <v>45243</v>
      </c>
      <c r="Q458" s="25"/>
      <c r="R458" s="25"/>
    </row>
    <row r="459" spans="1:34" ht="15.75" customHeight="1">
      <c r="A459" s="17">
        <v>4.3</v>
      </c>
      <c r="B459" s="18" t="s">
        <v>1667</v>
      </c>
      <c r="C459" s="37" t="s">
        <v>24</v>
      </c>
      <c r="D459" s="20" t="s">
        <v>1668</v>
      </c>
      <c r="E459" s="20" t="s">
        <v>1669</v>
      </c>
      <c r="F459" s="19" t="s">
        <v>27</v>
      </c>
      <c r="G459" s="19" t="s">
        <v>28</v>
      </c>
      <c r="H459" s="19" t="s">
        <v>36</v>
      </c>
      <c r="I459" s="21" t="s">
        <v>29</v>
      </c>
      <c r="J459" s="21" t="s">
        <v>29</v>
      </c>
      <c r="K459" s="22" t="s">
        <v>1670</v>
      </c>
      <c r="L459" s="56">
        <v>45243</v>
      </c>
      <c r="Q459" s="25"/>
      <c r="R459" s="25"/>
    </row>
    <row r="460" spans="1:34" ht="15.75" customHeight="1">
      <c r="A460" s="31" t="s">
        <v>82</v>
      </c>
      <c r="B460" s="18" t="s">
        <v>1671</v>
      </c>
      <c r="C460" s="37" t="s">
        <v>24</v>
      </c>
      <c r="D460" s="20" t="s">
        <v>1672</v>
      </c>
      <c r="E460" s="20" t="s">
        <v>1673</v>
      </c>
      <c r="F460" s="19" t="s">
        <v>90</v>
      </c>
      <c r="G460" s="19" t="s">
        <v>28</v>
      </c>
      <c r="H460" s="37"/>
      <c r="I460" s="21" t="s">
        <v>29</v>
      </c>
      <c r="J460" s="21" t="s">
        <v>29</v>
      </c>
      <c r="K460" s="22" t="s">
        <v>1674</v>
      </c>
      <c r="L460" s="56">
        <v>45243</v>
      </c>
      <c r="Q460" s="25"/>
      <c r="R460" s="25"/>
    </row>
    <row r="461" spans="1:34" ht="15.75" customHeight="1">
      <c r="A461" s="17" t="s">
        <v>1675</v>
      </c>
      <c r="B461" s="18" t="s">
        <v>1676</v>
      </c>
      <c r="C461" s="37" t="s">
        <v>24</v>
      </c>
      <c r="D461" s="20" t="s">
        <v>1677</v>
      </c>
      <c r="E461" s="20" t="s">
        <v>1678</v>
      </c>
      <c r="F461" s="19" t="s">
        <v>27</v>
      </c>
      <c r="G461" s="19" t="s">
        <v>28</v>
      </c>
      <c r="H461" s="19" t="s">
        <v>36</v>
      </c>
      <c r="I461" s="21" t="s">
        <v>29</v>
      </c>
      <c r="J461" s="21" t="s">
        <v>29</v>
      </c>
      <c r="K461" s="22" t="s">
        <v>1679</v>
      </c>
      <c r="L461" s="56">
        <v>45243</v>
      </c>
      <c r="Q461" s="25"/>
      <c r="R461" s="25"/>
    </row>
    <row r="462" spans="1:34" ht="15.75" customHeight="1">
      <c r="A462" s="31" t="s">
        <v>92</v>
      </c>
      <c r="B462" s="18" t="s">
        <v>1680</v>
      </c>
      <c r="C462" s="37" t="s">
        <v>24</v>
      </c>
      <c r="D462" s="20" t="s">
        <v>1681</v>
      </c>
      <c r="E462" s="20" t="s">
        <v>1682</v>
      </c>
      <c r="F462" s="19" t="s">
        <v>27</v>
      </c>
      <c r="G462" s="19" t="s">
        <v>28</v>
      </c>
      <c r="H462" s="37"/>
      <c r="I462" s="21" t="s">
        <v>29</v>
      </c>
      <c r="J462" s="21" t="s">
        <v>29</v>
      </c>
      <c r="K462" s="22" t="s">
        <v>1683</v>
      </c>
      <c r="L462" s="56">
        <v>45243</v>
      </c>
      <c r="Q462" s="25"/>
      <c r="R462" s="25"/>
    </row>
    <row r="463" spans="1:34" ht="15.75" customHeight="1">
      <c r="A463" s="33">
        <v>3800</v>
      </c>
      <c r="B463" s="18" t="s">
        <v>1684</v>
      </c>
      <c r="C463" s="37" t="s">
        <v>24</v>
      </c>
      <c r="D463" s="20" t="s">
        <v>1685</v>
      </c>
      <c r="E463" s="20" t="s">
        <v>1686</v>
      </c>
      <c r="F463" s="19" t="s">
        <v>27</v>
      </c>
      <c r="G463" s="19" t="s">
        <v>28</v>
      </c>
      <c r="H463" s="37"/>
      <c r="I463" s="21" t="s">
        <v>29</v>
      </c>
      <c r="J463" s="21" t="s">
        <v>29</v>
      </c>
      <c r="K463" s="22" t="s">
        <v>1687</v>
      </c>
      <c r="L463" s="56">
        <v>45243</v>
      </c>
      <c r="Q463" s="25"/>
      <c r="R463" s="25"/>
    </row>
    <row r="464" spans="1:34" ht="15.75" customHeight="1">
      <c r="A464" s="31" t="s">
        <v>100</v>
      </c>
      <c r="B464" s="38" t="s">
        <v>1688</v>
      </c>
      <c r="C464" s="37" t="s">
        <v>46</v>
      </c>
      <c r="D464" s="20" t="s">
        <v>1689</v>
      </c>
      <c r="E464" s="20" t="s">
        <v>1690</v>
      </c>
      <c r="F464" s="37" t="s">
        <v>49</v>
      </c>
      <c r="G464" s="19" t="s">
        <v>50</v>
      </c>
      <c r="H464" s="37"/>
      <c r="I464" s="21" t="s">
        <v>29</v>
      </c>
      <c r="J464" s="21" t="s">
        <v>29</v>
      </c>
      <c r="K464" s="22" t="s">
        <v>1691</v>
      </c>
      <c r="L464" s="56">
        <v>45243</v>
      </c>
      <c r="Q464" s="25"/>
      <c r="R464" s="25"/>
      <c r="AB464" s="42"/>
      <c r="AC464" s="40"/>
      <c r="AD464" s="38"/>
      <c r="AE464" s="38"/>
      <c r="AF464" s="38"/>
      <c r="AG464" s="38"/>
      <c r="AH464" s="43"/>
    </row>
    <row r="465" spans="1:18" ht="15.75" customHeight="1">
      <c r="A465" s="17">
        <v>167</v>
      </c>
      <c r="B465" s="38" t="s">
        <v>1692</v>
      </c>
      <c r="C465" s="37" t="s">
        <v>46</v>
      </c>
      <c r="D465" s="20" t="s">
        <v>1693</v>
      </c>
      <c r="E465" s="20" t="s">
        <v>1694</v>
      </c>
      <c r="F465" s="37" t="s">
        <v>49</v>
      </c>
      <c r="G465" s="19" t="s">
        <v>50</v>
      </c>
      <c r="H465" s="37"/>
      <c r="I465" s="21" t="s">
        <v>29</v>
      </c>
      <c r="J465" s="21" t="s">
        <v>29</v>
      </c>
      <c r="K465" s="22" t="s">
        <v>1695</v>
      </c>
      <c r="L465" s="56">
        <v>45243</v>
      </c>
      <c r="Q465" s="25"/>
      <c r="R465" s="25"/>
    </row>
    <row r="466" spans="1:18" ht="15.75" customHeight="1">
      <c r="A466" s="35"/>
      <c r="B466" s="18" t="s">
        <v>1696</v>
      </c>
      <c r="C466" s="37" t="s">
        <v>87</v>
      </c>
      <c r="D466" s="20" t="s">
        <v>1697</v>
      </c>
      <c r="E466" s="20" t="s">
        <v>1698</v>
      </c>
      <c r="F466" s="19" t="s">
        <v>90</v>
      </c>
      <c r="G466" s="19" t="s">
        <v>91</v>
      </c>
      <c r="H466" s="37"/>
      <c r="I466" s="21" t="s">
        <v>29</v>
      </c>
      <c r="J466" s="21" t="s">
        <v>29</v>
      </c>
      <c r="K466" s="22" t="s">
        <v>1699</v>
      </c>
      <c r="L466" s="56">
        <v>45243</v>
      </c>
      <c r="Q466" s="25"/>
      <c r="R466" s="25"/>
    </row>
    <row r="467" spans="1:18" ht="15.75" customHeight="1">
      <c r="A467" s="35"/>
      <c r="B467" s="18" t="s">
        <v>1700</v>
      </c>
      <c r="C467" s="37" t="s">
        <v>24</v>
      </c>
      <c r="D467" s="20" t="s">
        <v>1701</v>
      </c>
      <c r="E467" s="20" t="s">
        <v>1702</v>
      </c>
      <c r="F467" s="19" t="s">
        <v>27</v>
      </c>
      <c r="G467" s="19" t="s">
        <v>28</v>
      </c>
      <c r="H467" s="19" t="s">
        <v>36</v>
      </c>
      <c r="I467" s="21" t="s">
        <v>29</v>
      </c>
      <c r="J467" s="21" t="s">
        <v>29</v>
      </c>
      <c r="K467" s="22" t="s">
        <v>1703</v>
      </c>
      <c r="L467" s="56">
        <v>45243</v>
      </c>
      <c r="Q467" s="25"/>
      <c r="R467" s="25"/>
    </row>
    <row r="468" spans="1:18" ht="15.75" customHeight="1">
      <c r="A468" s="17"/>
      <c r="B468" s="18" t="s">
        <v>1704</v>
      </c>
      <c r="C468" s="37" t="s">
        <v>87</v>
      </c>
      <c r="D468" s="20" t="s">
        <v>1705</v>
      </c>
      <c r="E468" s="20" t="s">
        <v>1706</v>
      </c>
      <c r="F468" s="19" t="s">
        <v>90</v>
      </c>
      <c r="G468" s="19" t="s">
        <v>91</v>
      </c>
      <c r="H468" s="37"/>
      <c r="I468" s="21" t="s">
        <v>29</v>
      </c>
      <c r="J468" s="21" t="s">
        <v>29</v>
      </c>
      <c r="K468" s="22" t="s">
        <v>1707</v>
      </c>
      <c r="L468" s="56">
        <v>45243</v>
      </c>
      <c r="Q468" s="25"/>
      <c r="R468" s="25"/>
    </row>
    <row r="469" spans="1:18" ht="15.75" customHeight="1">
      <c r="A469" s="17"/>
      <c r="B469" s="36" t="s">
        <v>1708</v>
      </c>
      <c r="C469" s="37" t="s">
        <v>121</v>
      </c>
      <c r="D469" s="20" t="s">
        <v>1709</v>
      </c>
      <c r="E469" s="20" t="s">
        <v>1710</v>
      </c>
      <c r="F469" s="19" t="s">
        <v>90</v>
      </c>
      <c r="G469" s="19" t="s">
        <v>91</v>
      </c>
      <c r="H469" s="37"/>
      <c r="I469" s="21" t="s">
        <v>29</v>
      </c>
      <c r="J469" s="21" t="s">
        <v>29</v>
      </c>
      <c r="K469" s="22" t="s">
        <v>1711</v>
      </c>
      <c r="L469" s="56">
        <v>45243</v>
      </c>
      <c r="Q469" s="25"/>
      <c r="R469" s="25"/>
    </row>
    <row r="470" spans="1:18" ht="15.75" customHeight="1">
      <c r="A470" s="17"/>
      <c r="B470" s="34" t="s">
        <v>1712</v>
      </c>
      <c r="C470" s="37" t="s">
        <v>87</v>
      </c>
      <c r="D470" s="20" t="s">
        <v>1713</v>
      </c>
      <c r="E470" s="20" t="s">
        <v>1714</v>
      </c>
      <c r="F470" s="37" t="s">
        <v>49</v>
      </c>
      <c r="G470" s="19" t="s">
        <v>50</v>
      </c>
      <c r="H470" s="37"/>
      <c r="I470" s="21" t="s">
        <v>29</v>
      </c>
      <c r="J470" s="21" t="s">
        <v>29</v>
      </c>
      <c r="K470" s="22" t="s">
        <v>1715</v>
      </c>
      <c r="L470" s="56">
        <v>45243</v>
      </c>
      <c r="Q470" s="25"/>
      <c r="R470" s="25"/>
    </row>
    <row r="471" spans="1:18" ht="15.75" customHeight="1">
      <c r="A471" s="17"/>
      <c r="B471" s="18" t="s">
        <v>1716</v>
      </c>
      <c r="C471" s="37" t="s">
        <v>87</v>
      </c>
      <c r="D471" s="20" t="s">
        <v>1717</v>
      </c>
      <c r="E471" s="20" t="s">
        <v>1718</v>
      </c>
      <c r="F471" s="19" t="s">
        <v>90</v>
      </c>
      <c r="G471" s="19" t="s">
        <v>91</v>
      </c>
      <c r="H471" s="19" t="s">
        <v>36</v>
      </c>
      <c r="I471" s="21" t="s">
        <v>29</v>
      </c>
      <c r="J471" s="21" t="s">
        <v>29</v>
      </c>
      <c r="K471" s="22" t="s">
        <v>1719</v>
      </c>
      <c r="L471" s="56">
        <v>45243</v>
      </c>
      <c r="Q471" s="25"/>
      <c r="R471" s="25"/>
    </row>
    <row r="472" spans="1:18" ht="15.75" customHeight="1">
      <c r="A472" s="17"/>
      <c r="B472" s="18" t="s">
        <v>1720</v>
      </c>
      <c r="C472" s="37" t="s">
        <v>87</v>
      </c>
      <c r="D472" s="20" t="s">
        <v>1721</v>
      </c>
      <c r="E472" s="20" t="s">
        <v>1722</v>
      </c>
      <c r="F472" s="19" t="s">
        <v>90</v>
      </c>
      <c r="G472" s="19" t="s">
        <v>91</v>
      </c>
      <c r="H472" s="37"/>
      <c r="I472" s="21" t="s">
        <v>29</v>
      </c>
      <c r="J472" s="21" t="s">
        <v>29</v>
      </c>
      <c r="K472" s="22" t="s">
        <v>1723</v>
      </c>
      <c r="L472" s="56">
        <v>45243</v>
      </c>
      <c r="Q472" s="25"/>
      <c r="R472" s="25"/>
    </row>
    <row r="473" spans="1:18" ht="15.75" customHeight="1">
      <c r="A473" s="17"/>
      <c r="B473" s="18" t="s">
        <v>1724</v>
      </c>
      <c r="C473" s="37" t="s">
        <v>24</v>
      </c>
      <c r="D473" s="20" t="s">
        <v>1725</v>
      </c>
      <c r="E473" s="20" t="s">
        <v>1726</v>
      </c>
      <c r="F473" s="19" t="s">
        <v>27</v>
      </c>
      <c r="G473" s="19" t="s">
        <v>28</v>
      </c>
      <c r="H473" s="37"/>
      <c r="I473" s="21" t="s">
        <v>29</v>
      </c>
      <c r="J473" s="21" t="s">
        <v>29</v>
      </c>
      <c r="K473" s="22" t="s">
        <v>1727</v>
      </c>
      <c r="L473" s="56">
        <v>45243</v>
      </c>
      <c r="Q473" s="25"/>
      <c r="R473" s="25"/>
    </row>
    <row r="474" spans="1:18" ht="15.75" customHeight="1">
      <c r="A474" s="17"/>
      <c r="B474" s="18" t="s">
        <v>1728</v>
      </c>
      <c r="C474" s="37" t="s">
        <v>24</v>
      </c>
      <c r="D474" s="20" t="s">
        <v>1729</v>
      </c>
      <c r="E474" s="20" t="s">
        <v>1730</v>
      </c>
      <c r="F474" s="19" t="s">
        <v>27</v>
      </c>
      <c r="G474" s="19" t="s">
        <v>28</v>
      </c>
      <c r="H474" s="37"/>
      <c r="I474" s="21" t="s">
        <v>29</v>
      </c>
      <c r="J474" s="21" t="s">
        <v>29</v>
      </c>
      <c r="K474" s="22" t="s">
        <v>1731</v>
      </c>
      <c r="L474" s="56">
        <v>45243</v>
      </c>
      <c r="Q474" s="25"/>
      <c r="R474" s="25"/>
    </row>
    <row r="475" spans="1:18" ht="15.75" customHeight="1">
      <c r="A475" s="17"/>
      <c r="B475" s="18" t="s">
        <v>1732</v>
      </c>
      <c r="C475" s="37" t="s">
        <v>24</v>
      </c>
      <c r="D475" s="20" t="s">
        <v>1733</v>
      </c>
      <c r="E475" s="20" t="s">
        <v>1734</v>
      </c>
      <c r="F475" s="19" t="s">
        <v>27</v>
      </c>
      <c r="G475" s="19" t="s">
        <v>28</v>
      </c>
      <c r="H475" s="37"/>
      <c r="I475" s="21" t="s">
        <v>29</v>
      </c>
      <c r="J475" s="21" t="s">
        <v>29</v>
      </c>
      <c r="K475" s="22" t="s">
        <v>1734</v>
      </c>
      <c r="L475" s="56">
        <v>45243</v>
      </c>
      <c r="Q475" s="25"/>
      <c r="R475" s="25"/>
    </row>
    <row r="476" spans="1:18" ht="15.75" customHeight="1">
      <c r="A476" s="17"/>
      <c r="B476" s="18" t="s">
        <v>1735</v>
      </c>
      <c r="C476" s="37" t="s">
        <v>24</v>
      </c>
      <c r="D476" s="20" t="s">
        <v>1736</v>
      </c>
      <c r="E476" s="20" t="s">
        <v>1737</v>
      </c>
      <c r="F476" s="19" t="s">
        <v>27</v>
      </c>
      <c r="G476" s="19" t="s">
        <v>28</v>
      </c>
      <c r="H476" s="37"/>
      <c r="I476" s="21" t="s">
        <v>29</v>
      </c>
      <c r="J476" s="21" t="s">
        <v>29</v>
      </c>
      <c r="K476" s="22" t="s">
        <v>1738</v>
      </c>
      <c r="L476" s="56">
        <v>45243</v>
      </c>
      <c r="Q476" s="25"/>
      <c r="R476" s="25"/>
    </row>
    <row r="477" spans="1:18" ht="15.75" customHeight="1">
      <c r="A477" s="17"/>
      <c r="B477" s="18" t="s">
        <v>1739</v>
      </c>
      <c r="C477" s="37" t="s">
        <v>24</v>
      </c>
      <c r="D477" s="20" t="s">
        <v>1740</v>
      </c>
      <c r="E477" s="20" t="s">
        <v>1741</v>
      </c>
      <c r="F477" s="19" t="s">
        <v>27</v>
      </c>
      <c r="G477" s="19" t="s">
        <v>28</v>
      </c>
      <c r="H477" s="19" t="s">
        <v>36</v>
      </c>
      <c r="I477" s="21" t="s">
        <v>29</v>
      </c>
      <c r="J477" s="21" t="s">
        <v>29</v>
      </c>
      <c r="K477" s="22" t="s">
        <v>1742</v>
      </c>
      <c r="L477" s="56">
        <v>45243</v>
      </c>
      <c r="Q477" s="25"/>
      <c r="R477" s="25"/>
    </row>
    <row r="478" spans="1:18" ht="15.75" customHeight="1">
      <c r="A478" s="17"/>
      <c r="B478" s="18" t="s">
        <v>1743</v>
      </c>
      <c r="C478" s="37" t="s">
        <v>46</v>
      </c>
      <c r="D478" s="20" t="s">
        <v>1744</v>
      </c>
      <c r="E478" s="20" t="s">
        <v>1745</v>
      </c>
      <c r="F478" s="37" t="s">
        <v>49</v>
      </c>
      <c r="G478" s="19" t="s">
        <v>50</v>
      </c>
      <c r="H478" s="37"/>
      <c r="I478" s="21" t="s">
        <v>29</v>
      </c>
      <c r="J478" s="21" t="s">
        <v>29</v>
      </c>
      <c r="K478" s="22" t="s">
        <v>1746</v>
      </c>
      <c r="L478" s="56">
        <v>45243</v>
      </c>
      <c r="Q478" s="25"/>
      <c r="R478" s="25"/>
    </row>
    <row r="479" spans="1:18" ht="15.75" customHeight="1">
      <c r="A479" s="17"/>
      <c r="B479" s="18" t="s">
        <v>1747</v>
      </c>
      <c r="C479" s="37" t="s">
        <v>87</v>
      </c>
      <c r="D479" s="20" t="s">
        <v>1748</v>
      </c>
      <c r="E479" s="20" t="s">
        <v>1749</v>
      </c>
      <c r="F479" s="37" t="s">
        <v>286</v>
      </c>
      <c r="G479" s="19" t="s">
        <v>91</v>
      </c>
      <c r="H479" s="37"/>
      <c r="I479" s="21" t="s">
        <v>286</v>
      </c>
      <c r="J479" s="21" t="s">
        <v>29</v>
      </c>
      <c r="K479" s="22" t="s">
        <v>1750</v>
      </c>
      <c r="L479" s="56">
        <v>45243</v>
      </c>
      <c r="Q479" s="25"/>
      <c r="R479" s="25"/>
    </row>
    <row r="480" spans="1:18" ht="15.75" customHeight="1">
      <c r="A480" s="17"/>
      <c r="B480" s="18" t="s">
        <v>1751</v>
      </c>
      <c r="C480" s="37" t="s">
        <v>87</v>
      </c>
      <c r="D480" s="20" t="s">
        <v>1752</v>
      </c>
      <c r="E480" s="20" t="s">
        <v>1753</v>
      </c>
      <c r="F480" s="37" t="s">
        <v>49</v>
      </c>
      <c r="G480" s="19" t="s">
        <v>91</v>
      </c>
      <c r="H480" s="37"/>
      <c r="I480" s="21" t="s">
        <v>29</v>
      </c>
      <c r="J480" s="21" t="s">
        <v>29</v>
      </c>
      <c r="K480" s="22" t="s">
        <v>1754</v>
      </c>
      <c r="L480" s="56">
        <v>45243</v>
      </c>
      <c r="Q480" s="25"/>
      <c r="R480" s="25"/>
    </row>
    <row r="481" spans="1:18" ht="15.75" customHeight="1">
      <c r="A481" s="17"/>
      <c r="B481" s="34" t="s">
        <v>1755</v>
      </c>
      <c r="C481" s="37" t="s">
        <v>24</v>
      </c>
      <c r="D481" s="20" t="s">
        <v>1756</v>
      </c>
      <c r="E481" s="20" t="s">
        <v>1757</v>
      </c>
      <c r="F481" s="37" t="s">
        <v>49</v>
      </c>
      <c r="G481" s="19" t="s">
        <v>50</v>
      </c>
      <c r="H481" s="37"/>
      <c r="I481" s="21" t="s">
        <v>29</v>
      </c>
      <c r="J481" s="21" t="s">
        <v>29</v>
      </c>
      <c r="K481" s="22" t="s">
        <v>1758</v>
      </c>
      <c r="L481" s="56">
        <v>45243</v>
      </c>
      <c r="Q481" s="25"/>
      <c r="R481" s="25"/>
    </row>
    <row r="482" spans="1:18" ht="15.75" customHeight="1">
      <c r="A482" s="17"/>
      <c r="B482" s="18" t="s">
        <v>1759</v>
      </c>
      <c r="C482" s="37" t="s">
        <v>87</v>
      </c>
      <c r="D482" s="20" t="s">
        <v>1760</v>
      </c>
      <c r="E482" s="20" t="s">
        <v>1761</v>
      </c>
      <c r="F482" s="37" t="s">
        <v>49</v>
      </c>
      <c r="G482" s="19" t="s">
        <v>91</v>
      </c>
      <c r="H482" s="37"/>
      <c r="I482" s="21" t="s">
        <v>29</v>
      </c>
      <c r="J482" s="21" t="s">
        <v>29</v>
      </c>
      <c r="K482" s="22" t="s">
        <v>1762</v>
      </c>
      <c r="L482" s="56">
        <v>45243</v>
      </c>
      <c r="Q482" s="25"/>
      <c r="R482" s="25"/>
    </row>
    <row r="483" spans="1:18" ht="15.75" customHeight="1">
      <c r="A483" s="17"/>
      <c r="B483" s="18" t="s">
        <v>1763</v>
      </c>
      <c r="C483" s="37" t="s">
        <v>1486</v>
      </c>
      <c r="D483" s="20" t="s">
        <v>1764</v>
      </c>
      <c r="E483" s="20" t="s">
        <v>1765</v>
      </c>
      <c r="F483" s="37" t="s">
        <v>1489</v>
      </c>
      <c r="G483" s="37" t="s">
        <v>1490</v>
      </c>
      <c r="H483" s="37"/>
      <c r="I483" s="21" t="s">
        <v>1371</v>
      </c>
      <c r="J483" s="21" t="s">
        <v>1371</v>
      </c>
      <c r="K483" s="22" t="s">
        <v>1766</v>
      </c>
      <c r="L483" s="56">
        <v>45243</v>
      </c>
      <c r="Q483" s="25"/>
      <c r="R483" s="25"/>
    </row>
    <row r="484" spans="1:18" ht="15.75" customHeight="1">
      <c r="A484" s="17"/>
      <c r="B484" s="18" t="s">
        <v>1767</v>
      </c>
      <c r="C484" s="37" t="s">
        <v>24</v>
      </c>
      <c r="D484" s="20" t="s">
        <v>1768</v>
      </c>
      <c r="E484" s="20" t="s">
        <v>1769</v>
      </c>
      <c r="F484" s="19" t="s">
        <v>27</v>
      </c>
      <c r="G484" s="19" t="s">
        <v>28</v>
      </c>
      <c r="H484" s="37"/>
      <c r="I484" s="21" t="s">
        <v>29</v>
      </c>
      <c r="J484" s="21" t="s">
        <v>29</v>
      </c>
      <c r="K484" s="22" t="s">
        <v>1770</v>
      </c>
      <c r="L484" s="56">
        <v>45243</v>
      </c>
      <c r="Q484" s="25"/>
      <c r="R484" s="25"/>
    </row>
    <row r="485" spans="1:18" ht="15.75" customHeight="1">
      <c r="A485" s="17"/>
      <c r="B485" s="36" t="s">
        <v>1771</v>
      </c>
      <c r="C485" s="37" t="s">
        <v>121</v>
      </c>
      <c r="D485" s="20" t="s">
        <v>1772</v>
      </c>
      <c r="E485" s="20" t="s">
        <v>1773</v>
      </c>
      <c r="F485" s="19" t="s">
        <v>27</v>
      </c>
      <c r="G485" s="19" t="s">
        <v>28</v>
      </c>
      <c r="H485" s="37"/>
      <c r="I485" s="21" t="s">
        <v>29</v>
      </c>
      <c r="J485" s="21" t="s">
        <v>29</v>
      </c>
      <c r="K485" s="22" t="s">
        <v>1774</v>
      </c>
      <c r="L485" s="56">
        <v>45243</v>
      </c>
      <c r="Q485" s="25"/>
      <c r="R485" s="25"/>
    </row>
    <row r="486" spans="1:18" ht="15.75" customHeight="1">
      <c r="A486" s="17"/>
      <c r="B486" s="18" t="s">
        <v>1775</v>
      </c>
      <c r="C486" s="37" t="s">
        <v>24</v>
      </c>
      <c r="D486" s="20" t="s">
        <v>1776</v>
      </c>
      <c r="E486" s="20" t="s">
        <v>1777</v>
      </c>
      <c r="F486" s="19" t="s">
        <v>27</v>
      </c>
      <c r="G486" s="19" t="s">
        <v>28</v>
      </c>
      <c r="H486" s="37"/>
      <c r="I486" s="21" t="s">
        <v>29</v>
      </c>
      <c r="J486" s="21" t="s">
        <v>29</v>
      </c>
      <c r="K486" s="22" t="s">
        <v>1778</v>
      </c>
      <c r="L486" s="56">
        <v>45243</v>
      </c>
      <c r="Q486" s="25"/>
      <c r="R486" s="25"/>
    </row>
    <row r="487" spans="1:18" ht="15.75" customHeight="1">
      <c r="A487" s="17"/>
      <c r="B487" s="18" t="s">
        <v>1779</v>
      </c>
      <c r="C487" s="37" t="s">
        <v>24</v>
      </c>
      <c r="D487" s="20" t="s">
        <v>1780</v>
      </c>
      <c r="E487" s="20" t="s">
        <v>1781</v>
      </c>
      <c r="F487" s="19" t="s">
        <v>27</v>
      </c>
      <c r="G487" s="19" t="s">
        <v>28</v>
      </c>
      <c r="H487" s="37"/>
      <c r="I487" s="21" t="s">
        <v>29</v>
      </c>
      <c r="J487" s="21" t="s">
        <v>29</v>
      </c>
      <c r="K487" s="22" t="s">
        <v>1781</v>
      </c>
      <c r="L487" s="56">
        <v>45243</v>
      </c>
      <c r="Q487" s="25"/>
      <c r="R487" s="25"/>
    </row>
    <row r="488" spans="1:18" ht="15.75" customHeight="1">
      <c r="A488" s="17"/>
      <c r="B488" s="18" t="s">
        <v>1782</v>
      </c>
      <c r="C488" s="37" t="s">
        <v>24</v>
      </c>
      <c r="D488" s="20" t="s">
        <v>1783</v>
      </c>
      <c r="E488" s="20" t="s">
        <v>1784</v>
      </c>
      <c r="F488" s="19" t="s">
        <v>27</v>
      </c>
      <c r="G488" s="19" t="s">
        <v>28</v>
      </c>
      <c r="H488" s="37"/>
      <c r="I488" s="21" t="s">
        <v>29</v>
      </c>
      <c r="J488" s="21" t="s">
        <v>29</v>
      </c>
      <c r="K488" s="22" t="s">
        <v>1785</v>
      </c>
      <c r="L488" s="56">
        <v>45243</v>
      </c>
      <c r="Q488" s="25"/>
      <c r="R488" s="25"/>
    </row>
    <row r="489" spans="1:18" ht="15.75" customHeight="1">
      <c r="A489" s="17"/>
      <c r="B489" s="18" t="s">
        <v>1786</v>
      </c>
      <c r="C489" s="37" t="s">
        <v>46</v>
      </c>
      <c r="D489" s="20" t="s">
        <v>1787</v>
      </c>
      <c r="E489" s="20" t="s">
        <v>1788</v>
      </c>
      <c r="F489" s="37" t="s">
        <v>49</v>
      </c>
      <c r="G489" s="19" t="s">
        <v>50</v>
      </c>
      <c r="H489" s="37"/>
      <c r="I489" s="21" t="s">
        <v>29</v>
      </c>
      <c r="J489" s="21" t="s">
        <v>29</v>
      </c>
      <c r="K489" s="22" t="s">
        <v>1789</v>
      </c>
      <c r="L489" s="56">
        <v>45243</v>
      </c>
      <c r="Q489" s="25"/>
      <c r="R489" s="25"/>
    </row>
    <row r="490" spans="1:18" ht="15.75" customHeight="1">
      <c r="A490" s="17"/>
      <c r="B490" s="18" t="s">
        <v>1790</v>
      </c>
      <c r="C490" s="37" t="s">
        <v>87</v>
      </c>
      <c r="D490" s="20" t="s">
        <v>1791</v>
      </c>
      <c r="E490" s="20" t="s">
        <v>55</v>
      </c>
      <c r="F490" s="19" t="s">
        <v>90</v>
      </c>
      <c r="G490" s="19" t="s">
        <v>91</v>
      </c>
      <c r="H490" s="37"/>
      <c r="I490" s="21" t="s">
        <v>29</v>
      </c>
      <c r="J490" s="21" t="s">
        <v>29</v>
      </c>
      <c r="K490" s="22" t="s">
        <v>55</v>
      </c>
      <c r="L490" s="56">
        <v>45243</v>
      </c>
      <c r="Q490" s="25"/>
      <c r="R490" s="25"/>
    </row>
    <row r="491" spans="1:18" ht="15.75" customHeight="1">
      <c r="A491" s="17"/>
      <c r="B491" s="18" t="s">
        <v>1792</v>
      </c>
      <c r="C491" s="37" t="s">
        <v>87</v>
      </c>
      <c r="D491" s="20" t="s">
        <v>1793</v>
      </c>
      <c r="E491" s="20" t="s">
        <v>1794</v>
      </c>
      <c r="F491" s="19" t="s">
        <v>90</v>
      </c>
      <c r="G491" s="19" t="s">
        <v>91</v>
      </c>
      <c r="H491" s="37"/>
      <c r="I491" s="21" t="s">
        <v>29</v>
      </c>
      <c r="J491" s="21" t="s">
        <v>29</v>
      </c>
      <c r="K491" s="22" t="s">
        <v>1794</v>
      </c>
      <c r="L491" s="56">
        <v>45243</v>
      </c>
      <c r="Q491" s="25"/>
      <c r="R491" s="25"/>
    </row>
    <row r="492" spans="1:18" ht="15.75" customHeight="1">
      <c r="A492" s="17"/>
      <c r="B492" s="18" t="s">
        <v>1795</v>
      </c>
      <c r="C492" s="37" t="s">
        <v>24</v>
      </c>
      <c r="D492" s="20" t="s">
        <v>1796</v>
      </c>
      <c r="E492" s="20" t="s">
        <v>1797</v>
      </c>
      <c r="F492" s="19" t="s">
        <v>27</v>
      </c>
      <c r="G492" s="19" t="s">
        <v>28</v>
      </c>
      <c r="H492" s="37"/>
      <c r="I492" s="21" t="s">
        <v>29</v>
      </c>
      <c r="J492" s="21" t="s">
        <v>29</v>
      </c>
      <c r="K492" s="22" t="s">
        <v>1798</v>
      </c>
      <c r="L492" s="56">
        <v>45243</v>
      </c>
      <c r="Q492" s="25"/>
      <c r="R492" s="25"/>
    </row>
    <row r="493" spans="1:18" ht="15.75" customHeight="1">
      <c r="A493" s="17"/>
      <c r="B493" s="18" t="s">
        <v>1799</v>
      </c>
      <c r="C493" s="37" t="s">
        <v>24</v>
      </c>
      <c r="D493" s="20" t="s">
        <v>1800</v>
      </c>
      <c r="E493" s="20" t="s">
        <v>1801</v>
      </c>
      <c r="F493" s="19" t="s">
        <v>27</v>
      </c>
      <c r="G493" s="19" t="s">
        <v>28</v>
      </c>
      <c r="H493" s="37"/>
      <c r="I493" s="21" t="s">
        <v>29</v>
      </c>
      <c r="J493" s="21" t="s">
        <v>29</v>
      </c>
      <c r="K493" s="22" t="s">
        <v>1802</v>
      </c>
      <c r="L493" s="56">
        <v>45243</v>
      </c>
      <c r="Q493" s="25"/>
      <c r="R493" s="25"/>
    </row>
    <row r="494" spans="1:18" ht="15.75" customHeight="1">
      <c r="A494" s="17"/>
      <c r="B494" s="38" t="s">
        <v>1803</v>
      </c>
      <c r="C494" s="37" t="s">
        <v>46</v>
      </c>
      <c r="D494" s="20" t="s">
        <v>1804</v>
      </c>
      <c r="E494" s="20" t="s">
        <v>1805</v>
      </c>
      <c r="F494" s="37" t="s">
        <v>286</v>
      </c>
      <c r="G494" s="19" t="s">
        <v>50</v>
      </c>
      <c r="H494" s="37"/>
      <c r="I494" s="21" t="s">
        <v>286</v>
      </c>
      <c r="J494" s="21" t="s">
        <v>29</v>
      </c>
      <c r="K494" s="22" t="s">
        <v>1806</v>
      </c>
      <c r="L494" s="56">
        <v>45243</v>
      </c>
      <c r="Q494" s="25"/>
      <c r="R494" s="25"/>
    </row>
    <row r="495" spans="1:18" ht="15.75" customHeight="1">
      <c r="A495" s="17"/>
      <c r="B495" s="18" t="s">
        <v>1807</v>
      </c>
      <c r="C495" s="37" t="s">
        <v>1366</v>
      </c>
      <c r="D495" s="20" t="s">
        <v>1808</v>
      </c>
      <c r="E495" s="20" t="s">
        <v>1809</v>
      </c>
      <c r="F495" s="37" t="s">
        <v>1489</v>
      </c>
      <c r="G495" s="55" t="s">
        <v>1370</v>
      </c>
      <c r="H495" s="37"/>
      <c r="I495" s="21" t="s">
        <v>1371</v>
      </c>
      <c r="J495" s="21" t="s">
        <v>1371</v>
      </c>
      <c r="K495" s="22" t="s">
        <v>1810</v>
      </c>
      <c r="L495" s="56">
        <v>45243</v>
      </c>
      <c r="Q495" s="25"/>
      <c r="R495" s="25"/>
    </row>
    <row r="496" spans="1:18" ht="15.75" customHeight="1">
      <c r="A496" s="17"/>
      <c r="B496" s="34" t="s">
        <v>1811</v>
      </c>
      <c r="C496" s="37" t="s">
        <v>87</v>
      </c>
      <c r="D496" s="20" t="s">
        <v>1812</v>
      </c>
      <c r="E496" s="20" t="s">
        <v>1813</v>
      </c>
      <c r="F496" s="37" t="s">
        <v>49</v>
      </c>
      <c r="G496" s="19" t="s">
        <v>50</v>
      </c>
      <c r="H496" s="37"/>
      <c r="I496" s="21" t="s">
        <v>29</v>
      </c>
      <c r="J496" s="21" t="s">
        <v>29</v>
      </c>
      <c r="K496" s="22" t="s">
        <v>1813</v>
      </c>
      <c r="L496" s="56">
        <v>45243</v>
      </c>
      <c r="Q496" s="25"/>
      <c r="R496" s="25"/>
    </row>
    <row r="497" spans="1:18" ht="15.75" customHeight="1">
      <c r="A497" s="17"/>
      <c r="B497" s="36" t="s">
        <v>1814</v>
      </c>
      <c r="C497" s="37" t="s">
        <v>359</v>
      </c>
      <c r="D497" s="20" t="s">
        <v>1815</v>
      </c>
      <c r="E497" s="20" t="s">
        <v>1816</v>
      </c>
      <c r="F497" s="19" t="s">
        <v>27</v>
      </c>
      <c r="G497" s="37" t="s">
        <v>359</v>
      </c>
      <c r="H497" s="37"/>
      <c r="I497" s="21" t="s">
        <v>29</v>
      </c>
      <c r="J497" s="21" t="s">
        <v>359</v>
      </c>
      <c r="K497" s="22" t="s">
        <v>1817</v>
      </c>
      <c r="L497" s="56">
        <v>45243</v>
      </c>
      <c r="Q497" s="25"/>
      <c r="R497" s="25"/>
    </row>
    <row r="498" spans="1:18" ht="15.75" customHeight="1">
      <c r="A498" s="17"/>
      <c r="B498" s="18" t="s">
        <v>1818</v>
      </c>
      <c r="C498" s="37" t="s">
        <v>46</v>
      </c>
      <c r="D498" s="20" t="s">
        <v>1819</v>
      </c>
      <c r="E498" s="20" t="s">
        <v>1820</v>
      </c>
      <c r="F498" s="37" t="s">
        <v>286</v>
      </c>
      <c r="G498" s="19" t="s">
        <v>50</v>
      </c>
      <c r="H498" s="37"/>
      <c r="I498" s="21" t="s">
        <v>286</v>
      </c>
      <c r="J498" s="21" t="s">
        <v>29</v>
      </c>
      <c r="K498" s="22" t="s">
        <v>1820</v>
      </c>
      <c r="L498" s="56">
        <v>45243</v>
      </c>
      <c r="Q498" s="25"/>
      <c r="R498" s="25"/>
    </row>
    <row r="499" spans="1:18" ht="15.75" customHeight="1">
      <c r="A499" s="17"/>
      <c r="B499" s="18" t="s">
        <v>1821</v>
      </c>
      <c r="C499" s="37" t="s">
        <v>24</v>
      </c>
      <c r="D499" s="20" t="s">
        <v>1822</v>
      </c>
      <c r="E499" s="20" t="s">
        <v>1823</v>
      </c>
      <c r="F499" s="19" t="s">
        <v>90</v>
      </c>
      <c r="G499" s="19" t="s">
        <v>28</v>
      </c>
      <c r="H499" s="37"/>
      <c r="I499" s="21" t="s">
        <v>29</v>
      </c>
      <c r="J499" s="21" t="s">
        <v>29</v>
      </c>
      <c r="K499" s="22" t="s">
        <v>1824</v>
      </c>
      <c r="L499" s="56">
        <v>45243</v>
      </c>
      <c r="Q499" s="25"/>
      <c r="R499" s="25"/>
    </row>
    <row r="500" spans="1:18" ht="15.75" customHeight="1">
      <c r="A500" s="17"/>
      <c r="B500" s="18" t="s">
        <v>1825</v>
      </c>
      <c r="C500" s="37" t="s">
        <v>24</v>
      </c>
      <c r="D500" s="20" t="s">
        <v>1826</v>
      </c>
      <c r="E500" s="20" t="s">
        <v>1827</v>
      </c>
      <c r="F500" s="19" t="s">
        <v>27</v>
      </c>
      <c r="G500" s="19" t="s">
        <v>28</v>
      </c>
      <c r="H500" s="37"/>
      <c r="I500" s="21" t="s">
        <v>29</v>
      </c>
      <c r="J500" s="21" t="s">
        <v>29</v>
      </c>
      <c r="K500" s="22" t="s">
        <v>1828</v>
      </c>
      <c r="L500" s="56">
        <v>45243</v>
      </c>
      <c r="Q500" s="25"/>
      <c r="R500" s="25"/>
    </row>
    <row r="501" spans="1:18" ht="15.75" customHeight="1">
      <c r="A501" s="17"/>
      <c r="B501" s="18" t="s">
        <v>1829</v>
      </c>
      <c r="C501" s="37" t="s">
        <v>412</v>
      </c>
      <c r="D501" s="20" t="s">
        <v>1830</v>
      </c>
      <c r="E501" s="20" t="s">
        <v>1831</v>
      </c>
      <c r="F501" s="19" t="s">
        <v>414</v>
      </c>
      <c r="G501" s="19" t="s">
        <v>415</v>
      </c>
      <c r="H501" s="37"/>
      <c r="I501" s="21" t="s">
        <v>233</v>
      </c>
      <c r="J501" s="21" t="s">
        <v>233</v>
      </c>
      <c r="K501" s="22" t="s">
        <v>1832</v>
      </c>
      <c r="L501" s="56">
        <v>45243</v>
      </c>
      <c r="Q501" s="25"/>
      <c r="R501" s="25"/>
    </row>
    <row r="502" spans="1:18" ht="15.75" customHeight="1">
      <c r="A502" s="17"/>
      <c r="B502" s="18" t="s">
        <v>1833</v>
      </c>
      <c r="C502" s="37" t="s">
        <v>412</v>
      </c>
      <c r="D502" s="20" t="s">
        <v>1834</v>
      </c>
      <c r="E502" s="20" t="s">
        <v>1835</v>
      </c>
      <c r="F502" s="19" t="s">
        <v>414</v>
      </c>
      <c r="G502" s="37" t="s">
        <v>415</v>
      </c>
      <c r="H502" s="37"/>
      <c r="I502" s="21" t="s">
        <v>233</v>
      </c>
      <c r="J502" s="21" t="s">
        <v>233</v>
      </c>
      <c r="K502" s="22" t="s">
        <v>1836</v>
      </c>
      <c r="L502" s="56">
        <v>45243</v>
      </c>
      <c r="Q502" s="25"/>
      <c r="R502" s="25"/>
    </row>
    <row r="503" spans="1:18" ht="15.75" customHeight="1">
      <c r="A503" s="17"/>
      <c r="B503" s="18" t="s">
        <v>1837</v>
      </c>
      <c r="C503" s="37" t="s">
        <v>46</v>
      </c>
      <c r="D503" s="20" t="s">
        <v>1838</v>
      </c>
      <c r="E503" s="20" t="s">
        <v>1839</v>
      </c>
      <c r="F503" s="37" t="s">
        <v>49</v>
      </c>
      <c r="G503" s="19" t="s">
        <v>50</v>
      </c>
      <c r="H503" s="37"/>
      <c r="I503" s="21" t="s">
        <v>29</v>
      </c>
      <c r="J503" s="21" t="s">
        <v>29</v>
      </c>
      <c r="K503" s="22" t="s">
        <v>1840</v>
      </c>
      <c r="L503" s="56">
        <v>45243</v>
      </c>
      <c r="Q503" s="25"/>
      <c r="R503" s="25"/>
    </row>
    <row r="504" spans="1:18" ht="15.75" customHeight="1">
      <c r="A504" s="17"/>
      <c r="B504" s="36" t="s">
        <v>1841</v>
      </c>
      <c r="C504" s="37" t="s">
        <v>121</v>
      </c>
      <c r="D504" s="20" t="s">
        <v>1842</v>
      </c>
      <c r="E504" s="20" t="s">
        <v>1843</v>
      </c>
      <c r="F504" s="19" t="s">
        <v>27</v>
      </c>
      <c r="G504" s="19" t="s">
        <v>28</v>
      </c>
      <c r="H504" s="37"/>
      <c r="I504" s="21" t="s">
        <v>29</v>
      </c>
      <c r="J504" s="21" t="s">
        <v>29</v>
      </c>
      <c r="K504" s="22" t="s">
        <v>1843</v>
      </c>
      <c r="L504" s="56">
        <v>45243</v>
      </c>
      <c r="Q504" s="25"/>
      <c r="R504" s="25"/>
    </row>
    <row r="505" spans="1:18" ht="15.75" customHeight="1">
      <c r="A505" s="17"/>
      <c r="B505" s="18" t="s">
        <v>1844</v>
      </c>
      <c r="C505" s="37" t="s">
        <v>46</v>
      </c>
      <c r="D505" s="20" t="s">
        <v>1845</v>
      </c>
      <c r="E505" s="20" t="s">
        <v>1846</v>
      </c>
      <c r="F505" s="37" t="s">
        <v>49</v>
      </c>
      <c r="G505" s="19" t="s">
        <v>50</v>
      </c>
      <c r="H505" s="37"/>
      <c r="I505" s="21" t="s">
        <v>29</v>
      </c>
      <c r="J505" s="21" t="s">
        <v>29</v>
      </c>
      <c r="K505" s="22" t="s">
        <v>1846</v>
      </c>
      <c r="L505" s="56">
        <v>45243</v>
      </c>
      <c r="Q505" s="25"/>
      <c r="R505" s="25"/>
    </row>
    <row r="506" spans="1:18" ht="15.75" customHeight="1">
      <c r="A506" s="17"/>
      <c r="B506" s="18" t="s">
        <v>1847</v>
      </c>
      <c r="C506" s="37" t="s">
        <v>24</v>
      </c>
      <c r="D506" s="20" t="s">
        <v>1848</v>
      </c>
      <c r="E506" s="20" t="s">
        <v>1849</v>
      </c>
      <c r="F506" s="19" t="s">
        <v>27</v>
      </c>
      <c r="G506" s="19" t="s">
        <v>28</v>
      </c>
      <c r="H506" s="37"/>
      <c r="I506" s="21" t="s">
        <v>29</v>
      </c>
      <c r="J506" s="21" t="s">
        <v>29</v>
      </c>
      <c r="K506" s="22" t="s">
        <v>1850</v>
      </c>
      <c r="L506" s="56">
        <v>45243</v>
      </c>
      <c r="Q506" s="25"/>
      <c r="R506" s="25"/>
    </row>
    <row r="507" spans="1:18" ht="15.75" customHeight="1">
      <c r="A507" s="17"/>
      <c r="B507" s="34" t="s">
        <v>1851</v>
      </c>
      <c r="C507" s="37" t="s">
        <v>24</v>
      </c>
      <c r="D507" s="20" t="s">
        <v>1852</v>
      </c>
      <c r="E507" s="20" t="s">
        <v>1853</v>
      </c>
      <c r="F507" s="19" t="s">
        <v>90</v>
      </c>
      <c r="G507" s="19" t="s">
        <v>91</v>
      </c>
      <c r="H507" s="37"/>
      <c r="I507" s="21" t="s">
        <v>29</v>
      </c>
      <c r="J507" s="21" t="s">
        <v>29</v>
      </c>
      <c r="K507" s="22" t="s">
        <v>1854</v>
      </c>
      <c r="L507" s="56">
        <v>45243</v>
      </c>
      <c r="Q507" s="25"/>
      <c r="R507" s="25"/>
    </row>
    <row r="508" spans="1:18" ht="15.75" customHeight="1">
      <c r="A508" s="17"/>
      <c r="B508" s="18" t="s">
        <v>1855</v>
      </c>
      <c r="C508" s="37" t="s">
        <v>24</v>
      </c>
      <c r="D508" s="20" t="s">
        <v>1856</v>
      </c>
      <c r="E508" s="20" t="s">
        <v>1857</v>
      </c>
      <c r="F508" s="19" t="s">
        <v>27</v>
      </c>
      <c r="G508" s="19" t="s">
        <v>28</v>
      </c>
      <c r="H508" s="37"/>
      <c r="I508" s="21" t="s">
        <v>29</v>
      </c>
      <c r="J508" s="21" t="s">
        <v>29</v>
      </c>
      <c r="K508" s="22" t="s">
        <v>1858</v>
      </c>
      <c r="L508" s="56">
        <v>45243</v>
      </c>
      <c r="Q508" s="25"/>
      <c r="R508" s="25"/>
    </row>
    <row r="509" spans="1:18" ht="15.75" customHeight="1">
      <c r="A509" s="17"/>
      <c r="B509" s="18" t="s">
        <v>1859</v>
      </c>
      <c r="C509" s="37" t="s">
        <v>87</v>
      </c>
      <c r="D509" s="20" t="s">
        <v>1860</v>
      </c>
      <c r="E509" s="20" t="s">
        <v>1861</v>
      </c>
      <c r="F509" s="19" t="s">
        <v>90</v>
      </c>
      <c r="G509" s="19" t="s">
        <v>91</v>
      </c>
      <c r="H509" s="37"/>
      <c r="I509" s="21" t="s">
        <v>29</v>
      </c>
      <c r="J509" s="21" t="s">
        <v>29</v>
      </c>
      <c r="K509" s="22" t="s">
        <v>1862</v>
      </c>
      <c r="L509" s="56">
        <v>45243</v>
      </c>
      <c r="Q509" s="25"/>
      <c r="R509" s="25"/>
    </row>
    <row r="510" spans="1:18" ht="15.75" customHeight="1">
      <c r="A510" s="17"/>
      <c r="B510" s="18" t="s">
        <v>1863</v>
      </c>
      <c r="C510" s="37" t="s">
        <v>24</v>
      </c>
      <c r="D510" s="20" t="s">
        <v>1864</v>
      </c>
      <c r="E510" s="20" t="s">
        <v>1865</v>
      </c>
      <c r="F510" s="19" t="s">
        <v>27</v>
      </c>
      <c r="G510" s="19" t="s">
        <v>28</v>
      </c>
      <c r="H510" s="37"/>
      <c r="I510" s="21" t="s">
        <v>29</v>
      </c>
      <c r="J510" s="21" t="s">
        <v>29</v>
      </c>
      <c r="K510" s="22" t="s">
        <v>1866</v>
      </c>
      <c r="L510" s="56">
        <v>45243</v>
      </c>
      <c r="Q510" s="25"/>
      <c r="R510" s="25"/>
    </row>
    <row r="511" spans="1:18" ht="15.75" customHeight="1">
      <c r="A511" s="17"/>
      <c r="B511" s="18" t="s">
        <v>1867</v>
      </c>
      <c r="C511" s="37" t="s">
        <v>412</v>
      </c>
      <c r="D511" s="20" t="s">
        <v>1868</v>
      </c>
      <c r="E511" s="20" t="s">
        <v>1869</v>
      </c>
      <c r="F511" s="37" t="s">
        <v>286</v>
      </c>
      <c r="G511" s="19" t="s">
        <v>415</v>
      </c>
      <c r="H511" s="37"/>
      <c r="I511" s="21" t="s">
        <v>286</v>
      </c>
      <c r="J511" s="21" t="s">
        <v>233</v>
      </c>
      <c r="K511" s="22" t="s">
        <v>1870</v>
      </c>
      <c r="L511" s="56">
        <v>45243</v>
      </c>
      <c r="Q511" s="25"/>
      <c r="R511" s="25"/>
    </row>
    <row r="512" spans="1:18" ht="15.75" customHeight="1">
      <c r="A512" s="17"/>
      <c r="B512" s="18" t="s">
        <v>1871</v>
      </c>
      <c r="C512" s="37" t="s">
        <v>24</v>
      </c>
      <c r="D512" s="20" t="s">
        <v>1872</v>
      </c>
      <c r="E512" s="20" t="s">
        <v>1873</v>
      </c>
      <c r="F512" s="19" t="s">
        <v>27</v>
      </c>
      <c r="G512" s="19" t="s">
        <v>28</v>
      </c>
      <c r="H512" s="19" t="s">
        <v>36</v>
      </c>
      <c r="I512" s="21" t="s">
        <v>29</v>
      </c>
      <c r="J512" s="21" t="s">
        <v>29</v>
      </c>
      <c r="K512" s="22" t="s">
        <v>1874</v>
      </c>
      <c r="L512" s="56">
        <v>45243</v>
      </c>
      <c r="Q512" s="25"/>
      <c r="R512" s="25"/>
    </row>
    <row r="513" spans="1:18" ht="15.75" customHeight="1">
      <c r="A513" s="17"/>
      <c r="B513" s="18" t="s">
        <v>1875</v>
      </c>
      <c r="C513" s="37" t="s">
        <v>24</v>
      </c>
      <c r="D513" s="20" t="s">
        <v>1876</v>
      </c>
      <c r="E513" s="20" t="s">
        <v>1877</v>
      </c>
      <c r="F513" s="19" t="s">
        <v>27</v>
      </c>
      <c r="G513" s="19" t="s">
        <v>28</v>
      </c>
      <c r="H513" s="37"/>
      <c r="I513" s="21" t="s">
        <v>29</v>
      </c>
      <c r="J513" s="21" t="s">
        <v>29</v>
      </c>
      <c r="K513" s="22" t="s">
        <v>1878</v>
      </c>
      <c r="L513" s="56">
        <v>45243</v>
      </c>
      <c r="Q513" s="25"/>
      <c r="R513" s="25"/>
    </row>
    <row r="514" spans="1:18" ht="15.75" customHeight="1">
      <c r="A514" s="17"/>
      <c r="B514" s="18" t="s">
        <v>1879</v>
      </c>
      <c r="C514" s="37" t="s">
        <v>24</v>
      </c>
      <c r="D514" s="20" t="s">
        <v>1880</v>
      </c>
      <c r="E514" s="20" t="s">
        <v>1881</v>
      </c>
      <c r="F514" s="19" t="s">
        <v>27</v>
      </c>
      <c r="G514" s="19" t="s">
        <v>28</v>
      </c>
      <c r="H514" s="37"/>
      <c r="I514" s="21" t="s">
        <v>29</v>
      </c>
      <c r="J514" s="21" t="s">
        <v>29</v>
      </c>
      <c r="K514" s="22" t="s">
        <v>1881</v>
      </c>
      <c r="L514" s="56">
        <v>45243</v>
      </c>
      <c r="Q514" s="25"/>
      <c r="R514" s="25"/>
    </row>
    <row r="515" spans="1:18" ht="15.75" customHeight="1">
      <c r="A515" s="17"/>
      <c r="B515" s="18" t="s">
        <v>1882</v>
      </c>
      <c r="C515" s="37" t="s">
        <v>46</v>
      </c>
      <c r="D515" s="20" t="s">
        <v>1883</v>
      </c>
      <c r="E515" s="20" t="s">
        <v>1884</v>
      </c>
      <c r="F515" s="37" t="s">
        <v>49</v>
      </c>
      <c r="G515" s="19" t="s">
        <v>50</v>
      </c>
      <c r="H515" s="37"/>
      <c r="I515" s="21" t="s">
        <v>29</v>
      </c>
      <c r="J515" s="21" t="s">
        <v>29</v>
      </c>
      <c r="K515" s="22" t="s">
        <v>1885</v>
      </c>
      <c r="L515" s="56">
        <v>45243</v>
      </c>
      <c r="Q515" s="25"/>
      <c r="R515" s="25"/>
    </row>
    <row r="516" spans="1:18" ht="15.75" customHeight="1">
      <c r="A516" s="17"/>
      <c r="B516" s="38" t="s">
        <v>1886</v>
      </c>
      <c r="C516" s="37" t="s">
        <v>46</v>
      </c>
      <c r="D516" s="20" t="s">
        <v>1887</v>
      </c>
      <c r="E516" s="20" t="s">
        <v>1888</v>
      </c>
      <c r="F516" s="37" t="s">
        <v>286</v>
      </c>
      <c r="G516" s="19" t="s">
        <v>50</v>
      </c>
      <c r="H516" s="37"/>
      <c r="I516" s="21" t="s">
        <v>286</v>
      </c>
      <c r="J516" s="21" t="s">
        <v>29</v>
      </c>
      <c r="K516" s="22" t="s">
        <v>1888</v>
      </c>
      <c r="L516" s="56">
        <v>45243</v>
      </c>
      <c r="Q516" s="25"/>
      <c r="R516" s="25"/>
    </row>
    <row r="517" spans="1:18" ht="15.75" customHeight="1">
      <c r="A517" s="17"/>
      <c r="B517" s="34" t="s">
        <v>1889</v>
      </c>
      <c r="C517" s="37" t="s">
        <v>24</v>
      </c>
      <c r="D517" s="20" t="s">
        <v>1890</v>
      </c>
      <c r="E517" s="20" t="s">
        <v>1891</v>
      </c>
      <c r="F517" s="19" t="s">
        <v>90</v>
      </c>
      <c r="G517" s="19" t="s">
        <v>91</v>
      </c>
      <c r="H517" s="37"/>
      <c r="I517" s="21" t="s">
        <v>29</v>
      </c>
      <c r="J517" s="21" t="s">
        <v>29</v>
      </c>
      <c r="K517" s="22" t="s">
        <v>1892</v>
      </c>
      <c r="L517" s="56">
        <v>45243</v>
      </c>
      <c r="Q517" s="25"/>
      <c r="R517" s="25"/>
    </row>
    <row r="518" spans="1:18" ht="15.75" customHeight="1">
      <c r="A518" s="17"/>
      <c r="B518" s="38" t="s">
        <v>1893</v>
      </c>
      <c r="C518" s="37" t="s">
        <v>24</v>
      </c>
      <c r="D518" s="20" t="s">
        <v>1894</v>
      </c>
      <c r="E518" s="20" t="s">
        <v>1895</v>
      </c>
      <c r="F518" s="19" t="s">
        <v>27</v>
      </c>
      <c r="G518" s="19" t="s">
        <v>28</v>
      </c>
      <c r="H518" s="37"/>
      <c r="I518" s="21" t="s">
        <v>29</v>
      </c>
      <c r="J518" s="21" t="s">
        <v>29</v>
      </c>
      <c r="K518" s="22" t="s">
        <v>1896</v>
      </c>
      <c r="L518" s="56">
        <v>45243</v>
      </c>
      <c r="Q518" s="25"/>
      <c r="R518" s="25"/>
    </row>
    <row r="519" spans="1:18" ht="15.75" customHeight="1">
      <c r="A519" s="17"/>
      <c r="B519" s="57" t="s">
        <v>1897</v>
      </c>
      <c r="C519" s="37" t="s">
        <v>24</v>
      </c>
      <c r="D519" s="20" t="s">
        <v>1898</v>
      </c>
      <c r="E519" s="20" t="s">
        <v>1899</v>
      </c>
      <c r="F519" s="19" t="s">
        <v>90</v>
      </c>
      <c r="G519" s="19" t="s">
        <v>91</v>
      </c>
      <c r="H519" s="37"/>
      <c r="I519" s="21" t="s">
        <v>29</v>
      </c>
      <c r="J519" s="21" t="s">
        <v>29</v>
      </c>
      <c r="K519" s="22" t="s">
        <v>1900</v>
      </c>
      <c r="L519" s="56">
        <v>45243</v>
      </c>
      <c r="Q519" s="25"/>
      <c r="R519" s="25"/>
    </row>
    <row r="520" spans="1:18" ht="15.75" customHeight="1">
      <c r="A520" s="17"/>
      <c r="B520" s="36" t="s">
        <v>1901</v>
      </c>
      <c r="C520" s="37" t="s">
        <v>121</v>
      </c>
      <c r="D520" s="20" t="s">
        <v>1902</v>
      </c>
      <c r="E520" s="20" t="s">
        <v>1903</v>
      </c>
      <c r="F520" s="19" t="s">
        <v>27</v>
      </c>
      <c r="G520" s="19" t="s">
        <v>28</v>
      </c>
      <c r="H520" s="37"/>
      <c r="I520" s="21" t="s">
        <v>29</v>
      </c>
      <c r="J520" s="21" t="s">
        <v>29</v>
      </c>
      <c r="K520" s="22" t="s">
        <v>1904</v>
      </c>
      <c r="L520" s="56">
        <v>45243</v>
      </c>
      <c r="Q520" s="25"/>
      <c r="R520" s="25"/>
    </row>
    <row r="521" spans="1:18" ht="15.75" customHeight="1">
      <c r="A521" s="17"/>
      <c r="B521" s="18" t="s">
        <v>1905</v>
      </c>
      <c r="C521" s="37" t="s">
        <v>24</v>
      </c>
      <c r="D521" s="20" t="s">
        <v>1906</v>
      </c>
      <c r="E521" s="20" t="s">
        <v>1907</v>
      </c>
      <c r="F521" s="19" t="s">
        <v>27</v>
      </c>
      <c r="G521" s="19" t="s">
        <v>28</v>
      </c>
      <c r="H521" s="37"/>
      <c r="I521" s="21" t="s">
        <v>29</v>
      </c>
      <c r="J521" s="21" t="s">
        <v>29</v>
      </c>
      <c r="K521" s="22" t="s">
        <v>1908</v>
      </c>
      <c r="L521" s="56">
        <v>45243</v>
      </c>
      <c r="Q521" s="25"/>
      <c r="R521" s="25"/>
    </row>
    <row r="522" spans="1:18" ht="15.75" customHeight="1">
      <c r="A522" s="17"/>
      <c r="B522" s="18" t="s">
        <v>1909</v>
      </c>
      <c r="C522" s="37" t="s">
        <v>87</v>
      </c>
      <c r="D522" s="20" t="s">
        <v>1910</v>
      </c>
      <c r="E522" s="20" t="s">
        <v>1911</v>
      </c>
      <c r="F522" s="37" t="s">
        <v>49</v>
      </c>
      <c r="G522" s="19" t="s">
        <v>91</v>
      </c>
      <c r="H522" s="37"/>
      <c r="I522" s="21" t="s">
        <v>29</v>
      </c>
      <c r="J522" s="21" t="s">
        <v>29</v>
      </c>
      <c r="K522" s="22" t="s">
        <v>1912</v>
      </c>
      <c r="L522" s="56">
        <v>45243</v>
      </c>
      <c r="Q522" s="25"/>
      <c r="R522" s="25"/>
    </row>
    <row r="523" spans="1:18" ht="15.75" customHeight="1">
      <c r="A523" s="17"/>
      <c r="B523" s="18" t="s">
        <v>1913</v>
      </c>
      <c r="C523" s="37" t="s">
        <v>24</v>
      </c>
      <c r="D523" s="20" t="s">
        <v>1914</v>
      </c>
      <c r="E523" s="20" t="s">
        <v>1915</v>
      </c>
      <c r="F523" s="19" t="s">
        <v>27</v>
      </c>
      <c r="G523" s="19" t="s">
        <v>28</v>
      </c>
      <c r="H523" s="37"/>
      <c r="I523" s="21" t="s">
        <v>29</v>
      </c>
      <c r="J523" s="21" t="s">
        <v>29</v>
      </c>
      <c r="K523" s="22" t="s">
        <v>1916</v>
      </c>
      <c r="L523" s="56">
        <v>45243</v>
      </c>
      <c r="Q523" s="25"/>
      <c r="R523" s="25"/>
    </row>
    <row r="524" spans="1:18" ht="15.75" customHeight="1">
      <c r="A524" s="17"/>
      <c r="B524" s="18" t="s">
        <v>1917</v>
      </c>
      <c r="C524" s="37" t="s">
        <v>24</v>
      </c>
      <c r="D524" s="20" t="s">
        <v>1918</v>
      </c>
      <c r="E524" s="20" t="s">
        <v>1919</v>
      </c>
      <c r="F524" s="19" t="s">
        <v>27</v>
      </c>
      <c r="G524" s="19" t="s">
        <v>28</v>
      </c>
      <c r="H524" s="37"/>
      <c r="I524" s="21" t="s">
        <v>29</v>
      </c>
      <c r="J524" s="21" t="s">
        <v>29</v>
      </c>
      <c r="K524" s="22" t="s">
        <v>1920</v>
      </c>
      <c r="L524" s="56">
        <v>45243</v>
      </c>
      <c r="Q524" s="25"/>
      <c r="R524" s="25"/>
    </row>
    <row r="525" spans="1:18" ht="15.75" customHeight="1">
      <c r="A525" s="17"/>
      <c r="B525" s="29" t="s">
        <v>1921</v>
      </c>
      <c r="C525" s="37" t="s">
        <v>87</v>
      </c>
      <c r="D525" s="20" t="s">
        <v>1922</v>
      </c>
      <c r="E525" s="20" t="s">
        <v>1923</v>
      </c>
      <c r="F525" s="19" t="s">
        <v>90</v>
      </c>
      <c r="G525" s="19" t="s">
        <v>91</v>
      </c>
      <c r="H525" s="37"/>
      <c r="I525" s="21" t="s">
        <v>29</v>
      </c>
      <c r="J525" s="21" t="s">
        <v>29</v>
      </c>
      <c r="K525" s="22" t="s">
        <v>1924</v>
      </c>
      <c r="L525" s="56">
        <v>45243</v>
      </c>
      <c r="Q525" s="25"/>
      <c r="R525" s="25"/>
    </row>
    <row r="526" spans="1:18" ht="15.75" customHeight="1">
      <c r="A526" s="17"/>
      <c r="B526" s="18" t="s">
        <v>1925</v>
      </c>
      <c r="C526" s="37" t="s">
        <v>24</v>
      </c>
      <c r="D526" s="20" t="s">
        <v>1926</v>
      </c>
      <c r="E526" s="20" t="s">
        <v>1927</v>
      </c>
      <c r="F526" s="19" t="s">
        <v>27</v>
      </c>
      <c r="G526" s="19" t="s">
        <v>28</v>
      </c>
      <c r="H526" s="37"/>
      <c r="I526" s="21" t="s">
        <v>29</v>
      </c>
      <c r="J526" s="21" t="s">
        <v>29</v>
      </c>
      <c r="K526" s="22" t="s">
        <v>1928</v>
      </c>
      <c r="L526" s="56">
        <v>45243</v>
      </c>
      <c r="Q526" s="25"/>
      <c r="R526" s="25"/>
    </row>
    <row r="527" spans="1:18" ht="15.75" customHeight="1">
      <c r="A527" s="17"/>
      <c r="B527" s="36" t="s">
        <v>1929</v>
      </c>
      <c r="C527" s="37" t="s">
        <v>121</v>
      </c>
      <c r="D527" s="20" t="s">
        <v>1930</v>
      </c>
      <c r="E527" s="20" t="s">
        <v>1931</v>
      </c>
      <c r="F527" s="19" t="s">
        <v>27</v>
      </c>
      <c r="G527" s="19" t="s">
        <v>28</v>
      </c>
      <c r="H527" s="37"/>
      <c r="I527" s="21" t="s">
        <v>29</v>
      </c>
      <c r="J527" s="21" t="s">
        <v>29</v>
      </c>
      <c r="K527" s="22" t="s">
        <v>1932</v>
      </c>
      <c r="L527" s="56">
        <v>45243</v>
      </c>
      <c r="Q527" s="25"/>
      <c r="R527" s="25"/>
    </row>
    <row r="528" spans="1:18" ht="15.75" customHeight="1">
      <c r="A528" s="17"/>
      <c r="B528" s="18" t="s">
        <v>1933</v>
      </c>
      <c r="C528" s="37" t="s">
        <v>46</v>
      </c>
      <c r="D528" s="20" t="s">
        <v>1934</v>
      </c>
      <c r="E528" s="20" t="s">
        <v>1935</v>
      </c>
      <c r="F528" s="37" t="s">
        <v>286</v>
      </c>
      <c r="G528" s="19" t="s">
        <v>50</v>
      </c>
      <c r="H528" s="37"/>
      <c r="I528" s="21" t="s">
        <v>286</v>
      </c>
      <c r="J528" s="21" t="s">
        <v>29</v>
      </c>
      <c r="K528" s="22" t="s">
        <v>1936</v>
      </c>
      <c r="L528" s="56">
        <v>45243</v>
      </c>
      <c r="Q528" s="25"/>
      <c r="R528" s="25"/>
    </row>
    <row r="529" spans="1:18" ht="15.75" customHeight="1">
      <c r="A529" s="17"/>
      <c r="B529" s="18" t="s">
        <v>1551</v>
      </c>
      <c r="C529" s="37" t="s">
        <v>87</v>
      </c>
      <c r="D529" s="20" t="s">
        <v>1937</v>
      </c>
      <c r="E529" s="20" t="s">
        <v>55</v>
      </c>
      <c r="F529" s="19" t="s">
        <v>90</v>
      </c>
      <c r="G529" s="19" t="s">
        <v>91</v>
      </c>
      <c r="H529" s="37"/>
      <c r="I529" s="21" t="s">
        <v>29</v>
      </c>
      <c r="J529" s="21" t="s">
        <v>29</v>
      </c>
      <c r="K529" s="22" t="s">
        <v>55</v>
      </c>
      <c r="L529" s="56">
        <v>45243</v>
      </c>
      <c r="Q529" s="25"/>
      <c r="R529" s="25"/>
    </row>
    <row r="530" spans="1:18" ht="15.75" customHeight="1">
      <c r="A530" s="17"/>
      <c r="B530" s="38" t="s">
        <v>1209</v>
      </c>
      <c r="C530" s="37" t="s">
        <v>87</v>
      </c>
      <c r="D530" s="20" t="s">
        <v>1938</v>
      </c>
      <c r="E530" s="20" t="s">
        <v>1939</v>
      </c>
      <c r="F530" s="19" t="s">
        <v>90</v>
      </c>
      <c r="G530" s="19" t="s">
        <v>91</v>
      </c>
      <c r="H530" s="37"/>
      <c r="I530" s="21" t="s">
        <v>29</v>
      </c>
      <c r="J530" s="21" t="s">
        <v>29</v>
      </c>
      <c r="K530" s="22" t="s">
        <v>1940</v>
      </c>
      <c r="L530" s="56">
        <v>45243</v>
      </c>
      <c r="Q530" s="25"/>
      <c r="R530" s="25"/>
    </row>
    <row r="531" spans="1:18" ht="15.75" customHeight="1">
      <c r="A531" s="17"/>
      <c r="B531" s="18" t="s">
        <v>1941</v>
      </c>
      <c r="C531" s="37" t="s">
        <v>24</v>
      </c>
      <c r="D531" s="20" t="s">
        <v>1942</v>
      </c>
      <c r="E531" s="20" t="s">
        <v>1943</v>
      </c>
      <c r="F531" s="19" t="s">
        <v>27</v>
      </c>
      <c r="G531" s="19" t="s">
        <v>28</v>
      </c>
      <c r="H531" s="37"/>
      <c r="I531" s="21" t="s">
        <v>29</v>
      </c>
      <c r="J531" s="21" t="s">
        <v>29</v>
      </c>
      <c r="K531" s="22" t="s">
        <v>1943</v>
      </c>
      <c r="L531" s="56">
        <v>45243</v>
      </c>
      <c r="Q531" s="25"/>
      <c r="R531" s="25"/>
    </row>
    <row r="532" spans="1:18" ht="15.75" customHeight="1">
      <c r="A532" s="17"/>
      <c r="B532" s="18" t="s">
        <v>1944</v>
      </c>
      <c r="C532" s="37" t="s">
        <v>87</v>
      </c>
      <c r="D532" s="20" t="s">
        <v>1945</v>
      </c>
      <c r="E532" s="20" t="s">
        <v>1946</v>
      </c>
      <c r="F532" s="37" t="s">
        <v>49</v>
      </c>
      <c r="G532" s="19" t="s">
        <v>91</v>
      </c>
      <c r="H532" s="37"/>
      <c r="I532" s="21" t="s">
        <v>29</v>
      </c>
      <c r="J532" s="21" t="s">
        <v>29</v>
      </c>
      <c r="K532" s="22" t="s">
        <v>1947</v>
      </c>
      <c r="L532" s="56">
        <v>45243</v>
      </c>
      <c r="Q532" s="25"/>
      <c r="R532" s="25"/>
    </row>
    <row r="533" spans="1:18" ht="15.75" customHeight="1">
      <c r="A533" s="17"/>
      <c r="B533" s="18" t="s">
        <v>1948</v>
      </c>
      <c r="C533" s="37" t="s">
        <v>24</v>
      </c>
      <c r="D533" s="20" t="s">
        <v>1949</v>
      </c>
      <c r="E533" s="20" t="s">
        <v>1950</v>
      </c>
      <c r="F533" s="19" t="s">
        <v>27</v>
      </c>
      <c r="G533" s="19" t="s">
        <v>28</v>
      </c>
      <c r="H533" s="19" t="s">
        <v>36</v>
      </c>
      <c r="I533" s="21" t="s">
        <v>29</v>
      </c>
      <c r="J533" s="21" t="s">
        <v>29</v>
      </c>
      <c r="K533" s="22" t="s">
        <v>1951</v>
      </c>
      <c r="L533" s="56">
        <v>45243</v>
      </c>
      <c r="Q533" s="25"/>
      <c r="R533" s="25"/>
    </row>
    <row r="534" spans="1:18" ht="15.75" customHeight="1">
      <c r="A534" s="17"/>
      <c r="B534" s="18" t="s">
        <v>1952</v>
      </c>
      <c r="C534" s="37" t="s">
        <v>24</v>
      </c>
      <c r="D534" s="20" t="s">
        <v>1953</v>
      </c>
      <c r="E534" s="20" t="s">
        <v>1954</v>
      </c>
      <c r="F534" s="19" t="s">
        <v>27</v>
      </c>
      <c r="G534" s="19" t="s">
        <v>28</v>
      </c>
      <c r="H534" s="19" t="s">
        <v>36</v>
      </c>
      <c r="I534" s="21" t="s">
        <v>29</v>
      </c>
      <c r="J534" s="21" t="s">
        <v>29</v>
      </c>
      <c r="K534" s="22" t="s">
        <v>1955</v>
      </c>
      <c r="L534" s="56">
        <v>45243</v>
      </c>
      <c r="Q534" s="25"/>
      <c r="R534" s="25"/>
    </row>
    <row r="535" spans="1:18" ht="15.75" customHeight="1">
      <c r="A535" s="17"/>
      <c r="B535" s="18" t="s">
        <v>1956</v>
      </c>
      <c r="C535" s="37" t="s">
        <v>24</v>
      </c>
      <c r="D535" s="20" t="s">
        <v>1957</v>
      </c>
      <c r="E535" s="20" t="s">
        <v>1958</v>
      </c>
      <c r="F535" s="19" t="s">
        <v>27</v>
      </c>
      <c r="G535" s="19" t="s">
        <v>28</v>
      </c>
      <c r="H535" s="19" t="s">
        <v>36</v>
      </c>
      <c r="I535" s="21" t="s">
        <v>29</v>
      </c>
      <c r="J535" s="21" t="s">
        <v>29</v>
      </c>
      <c r="K535" s="22" t="s">
        <v>1959</v>
      </c>
      <c r="L535" s="56">
        <v>45243</v>
      </c>
      <c r="Q535" s="25"/>
      <c r="R535" s="25"/>
    </row>
    <row r="536" spans="1:18" ht="15.75" customHeight="1">
      <c r="A536" s="17"/>
      <c r="B536" s="18" t="s">
        <v>1960</v>
      </c>
      <c r="C536" s="37" t="s">
        <v>24</v>
      </c>
      <c r="D536" s="20" t="s">
        <v>1961</v>
      </c>
      <c r="E536" s="20" t="s">
        <v>1962</v>
      </c>
      <c r="F536" s="19" t="s">
        <v>27</v>
      </c>
      <c r="G536" s="19" t="s">
        <v>28</v>
      </c>
      <c r="H536" s="19" t="s">
        <v>36</v>
      </c>
      <c r="I536" s="21" t="s">
        <v>29</v>
      </c>
      <c r="J536" s="21" t="s">
        <v>29</v>
      </c>
      <c r="K536" s="22" t="s">
        <v>1963</v>
      </c>
      <c r="L536" s="56">
        <v>45243</v>
      </c>
      <c r="Q536" s="25"/>
      <c r="R536" s="25"/>
    </row>
    <row r="537" spans="1:18" ht="15.75" customHeight="1">
      <c r="A537" s="17"/>
      <c r="B537" s="18" t="s">
        <v>1964</v>
      </c>
      <c r="C537" s="37" t="s">
        <v>24</v>
      </c>
      <c r="D537" s="20" t="s">
        <v>1965</v>
      </c>
      <c r="E537" s="20" t="s">
        <v>1966</v>
      </c>
      <c r="F537" s="19" t="s">
        <v>27</v>
      </c>
      <c r="G537" s="19" t="s">
        <v>28</v>
      </c>
      <c r="H537" s="19" t="s">
        <v>36</v>
      </c>
      <c r="I537" s="21" t="s">
        <v>29</v>
      </c>
      <c r="J537" s="21" t="s">
        <v>29</v>
      </c>
      <c r="K537" s="22" t="s">
        <v>1967</v>
      </c>
      <c r="L537" s="56">
        <v>45243</v>
      </c>
      <c r="Q537" s="25"/>
      <c r="R537" s="25"/>
    </row>
    <row r="538" spans="1:18" ht="15.75" customHeight="1">
      <c r="A538" s="17"/>
      <c r="B538" s="18" t="s">
        <v>1968</v>
      </c>
      <c r="C538" s="37" t="s">
        <v>46</v>
      </c>
      <c r="D538" s="20" t="s">
        <v>1969</v>
      </c>
      <c r="E538" s="20" t="s">
        <v>1970</v>
      </c>
      <c r="F538" s="37" t="s">
        <v>49</v>
      </c>
      <c r="G538" s="19" t="s">
        <v>50</v>
      </c>
      <c r="H538" s="37"/>
      <c r="I538" s="21" t="s">
        <v>29</v>
      </c>
      <c r="J538" s="21" t="s">
        <v>29</v>
      </c>
      <c r="K538" s="22" t="s">
        <v>1971</v>
      </c>
      <c r="L538" s="56">
        <v>45243</v>
      </c>
      <c r="Q538" s="25"/>
      <c r="R538" s="25"/>
    </row>
    <row r="539" spans="1:18" ht="15.75" customHeight="1">
      <c r="A539" s="17"/>
      <c r="B539" s="34" t="s">
        <v>1972</v>
      </c>
      <c r="C539" s="37" t="s">
        <v>87</v>
      </c>
      <c r="D539" s="20" t="s">
        <v>1973</v>
      </c>
      <c r="E539" s="20" t="s">
        <v>1974</v>
      </c>
      <c r="F539" s="37" t="s">
        <v>49</v>
      </c>
      <c r="G539" s="19" t="s">
        <v>50</v>
      </c>
      <c r="H539" s="37"/>
      <c r="I539" s="21" t="s">
        <v>29</v>
      </c>
      <c r="J539" s="21" t="s">
        <v>29</v>
      </c>
      <c r="K539" s="22" t="s">
        <v>1975</v>
      </c>
      <c r="L539" s="56">
        <v>45243</v>
      </c>
      <c r="Q539" s="25"/>
      <c r="R539" s="25"/>
    </row>
    <row r="540" spans="1:18" ht="15.75" customHeight="1">
      <c r="A540" s="17"/>
      <c r="B540" s="38" t="s">
        <v>1976</v>
      </c>
      <c r="C540" s="37" t="s">
        <v>46</v>
      </c>
      <c r="D540" s="20" t="s">
        <v>1977</v>
      </c>
      <c r="E540" s="20" t="s">
        <v>1978</v>
      </c>
      <c r="F540" s="37" t="s">
        <v>286</v>
      </c>
      <c r="G540" s="19" t="s">
        <v>50</v>
      </c>
      <c r="H540" s="37"/>
      <c r="I540" s="21" t="s">
        <v>286</v>
      </c>
      <c r="J540" s="21" t="s">
        <v>29</v>
      </c>
      <c r="K540" s="22" t="s">
        <v>1979</v>
      </c>
      <c r="L540" s="56">
        <v>45243</v>
      </c>
      <c r="Q540" s="25"/>
      <c r="R540" s="25"/>
    </row>
    <row r="541" spans="1:18" ht="15.75" customHeight="1">
      <c r="A541" s="17"/>
      <c r="B541" s="18" t="s">
        <v>1980</v>
      </c>
      <c r="C541" s="37" t="s">
        <v>24</v>
      </c>
      <c r="D541" s="20" t="s">
        <v>1981</v>
      </c>
      <c r="E541" s="20" t="s">
        <v>1982</v>
      </c>
      <c r="F541" s="19" t="s">
        <v>27</v>
      </c>
      <c r="G541" s="19" t="s">
        <v>28</v>
      </c>
      <c r="H541" s="37"/>
      <c r="I541" s="21" t="s">
        <v>29</v>
      </c>
      <c r="J541" s="21" t="s">
        <v>29</v>
      </c>
      <c r="K541" s="22" t="s">
        <v>1983</v>
      </c>
      <c r="L541" s="56">
        <v>45243</v>
      </c>
      <c r="Q541" s="25"/>
      <c r="R541" s="25"/>
    </row>
    <row r="542" spans="1:18" ht="15.75" customHeight="1">
      <c r="A542" s="17"/>
      <c r="B542" s="41" t="s">
        <v>1984</v>
      </c>
      <c r="C542" s="37" t="s">
        <v>24</v>
      </c>
      <c r="D542" s="20" t="s">
        <v>1985</v>
      </c>
      <c r="E542" s="20" t="s">
        <v>1986</v>
      </c>
      <c r="F542" s="37"/>
      <c r="G542" s="37"/>
      <c r="H542" s="37"/>
      <c r="I542" s="21"/>
      <c r="J542" s="21"/>
      <c r="K542" s="22"/>
      <c r="L542" s="56"/>
      <c r="Q542" s="25"/>
      <c r="R542" s="25"/>
    </row>
    <row r="543" spans="1:18" ht="15.75" customHeight="1">
      <c r="A543" s="17"/>
      <c r="B543" s="18" t="s">
        <v>1987</v>
      </c>
      <c r="C543" s="37" t="s">
        <v>24</v>
      </c>
      <c r="D543" s="20" t="s">
        <v>1988</v>
      </c>
      <c r="E543" s="20" t="s">
        <v>1989</v>
      </c>
      <c r="F543" s="19" t="s">
        <v>27</v>
      </c>
      <c r="G543" s="19" t="s">
        <v>28</v>
      </c>
      <c r="H543" s="19" t="s">
        <v>36</v>
      </c>
      <c r="I543" s="21" t="s">
        <v>29</v>
      </c>
      <c r="J543" s="21" t="s">
        <v>29</v>
      </c>
      <c r="K543" s="22" t="s">
        <v>1990</v>
      </c>
      <c r="L543" s="56">
        <v>45243</v>
      </c>
      <c r="Q543" s="25"/>
      <c r="R543" s="25"/>
    </row>
    <row r="544" spans="1:18" ht="15.75" customHeight="1">
      <c r="A544" s="17"/>
      <c r="B544" s="18" t="s">
        <v>1991</v>
      </c>
      <c r="C544" s="37" t="s">
        <v>24</v>
      </c>
      <c r="D544" s="20" t="s">
        <v>1992</v>
      </c>
      <c r="E544" s="20" t="s">
        <v>1993</v>
      </c>
      <c r="F544" s="19" t="s">
        <v>27</v>
      </c>
      <c r="G544" s="19" t="s">
        <v>28</v>
      </c>
      <c r="H544" s="19" t="s">
        <v>36</v>
      </c>
      <c r="I544" s="21" t="s">
        <v>29</v>
      </c>
      <c r="J544" s="21" t="s">
        <v>29</v>
      </c>
      <c r="K544" s="22" t="s">
        <v>1994</v>
      </c>
      <c r="L544" s="56">
        <v>45243</v>
      </c>
      <c r="Q544" s="25"/>
      <c r="R544" s="25"/>
    </row>
    <row r="545" spans="1:18" ht="15.75" customHeight="1">
      <c r="A545" s="17"/>
      <c r="B545" s="34" t="s">
        <v>1995</v>
      </c>
      <c r="C545" s="37" t="s">
        <v>87</v>
      </c>
      <c r="D545" s="20" t="s">
        <v>1996</v>
      </c>
      <c r="E545" s="20" t="s">
        <v>1997</v>
      </c>
      <c r="F545" s="37" t="s">
        <v>49</v>
      </c>
      <c r="G545" s="19" t="s">
        <v>50</v>
      </c>
      <c r="H545" s="37"/>
      <c r="I545" s="21" t="s">
        <v>29</v>
      </c>
      <c r="J545" s="21" t="s">
        <v>29</v>
      </c>
      <c r="K545" s="22" t="s">
        <v>1997</v>
      </c>
      <c r="L545" s="56">
        <v>45243</v>
      </c>
      <c r="Q545" s="25"/>
      <c r="R545" s="25"/>
    </row>
    <row r="546" spans="1:18" ht="15.75" customHeight="1">
      <c r="A546" s="17"/>
      <c r="B546" s="18" t="s">
        <v>1998</v>
      </c>
      <c r="C546" s="37" t="s">
        <v>46</v>
      </c>
      <c r="D546" s="20" t="s">
        <v>1999</v>
      </c>
      <c r="E546" s="20" t="s">
        <v>2000</v>
      </c>
      <c r="F546" s="37" t="s">
        <v>49</v>
      </c>
      <c r="G546" s="19" t="s">
        <v>50</v>
      </c>
      <c r="H546" s="37"/>
      <c r="I546" s="21" t="s">
        <v>29</v>
      </c>
      <c r="J546" s="21" t="s">
        <v>29</v>
      </c>
      <c r="K546" s="22" t="s">
        <v>2000</v>
      </c>
      <c r="L546" s="56">
        <v>45243</v>
      </c>
      <c r="Q546" s="25"/>
      <c r="R546" s="25"/>
    </row>
    <row r="547" spans="1:18" ht="15.75" customHeight="1">
      <c r="A547" s="17"/>
      <c r="B547" s="18" t="s">
        <v>2001</v>
      </c>
      <c r="C547" s="37" t="s">
        <v>412</v>
      </c>
      <c r="D547" s="20" t="s">
        <v>2002</v>
      </c>
      <c r="E547" s="20" t="s">
        <v>2003</v>
      </c>
      <c r="F547" s="19" t="s">
        <v>414</v>
      </c>
      <c r="G547" s="37" t="s">
        <v>415</v>
      </c>
      <c r="H547" s="37"/>
      <c r="I547" s="21" t="s">
        <v>233</v>
      </c>
      <c r="J547" s="21" t="s">
        <v>233</v>
      </c>
      <c r="K547" s="22" t="s">
        <v>2004</v>
      </c>
      <c r="L547" s="56">
        <v>45243</v>
      </c>
      <c r="Q547" s="25"/>
      <c r="R547" s="25"/>
    </row>
    <row r="548" spans="1:18" ht="15.75" customHeight="1">
      <c r="A548" s="17"/>
      <c r="B548" s="41" t="s">
        <v>2005</v>
      </c>
      <c r="C548" s="37" t="s">
        <v>46</v>
      </c>
      <c r="D548" s="20" t="s">
        <v>2006</v>
      </c>
      <c r="E548" s="20" t="s">
        <v>55</v>
      </c>
      <c r="F548" s="37"/>
      <c r="G548" s="37"/>
      <c r="H548" s="37"/>
      <c r="I548" s="21"/>
      <c r="J548" s="21"/>
      <c r="K548" s="22"/>
      <c r="L548" s="56"/>
      <c r="Q548" s="25"/>
      <c r="R548" s="25"/>
    </row>
    <row r="549" spans="1:18" ht="15.75" customHeight="1">
      <c r="A549" s="17"/>
      <c r="B549" s="18" t="s">
        <v>2007</v>
      </c>
      <c r="C549" s="37" t="s">
        <v>87</v>
      </c>
      <c r="D549" s="20" t="s">
        <v>2008</v>
      </c>
      <c r="E549" s="20" t="s">
        <v>2009</v>
      </c>
      <c r="F549" s="19" t="s">
        <v>90</v>
      </c>
      <c r="G549" s="19" t="s">
        <v>91</v>
      </c>
      <c r="H549" s="37"/>
      <c r="I549" s="21" t="s">
        <v>29</v>
      </c>
      <c r="J549" s="21" t="s">
        <v>29</v>
      </c>
      <c r="K549" s="22" t="s">
        <v>2010</v>
      </c>
      <c r="L549" s="56">
        <v>45243</v>
      </c>
      <c r="Q549" s="25"/>
      <c r="R549" s="25"/>
    </row>
    <row r="550" spans="1:18" ht="15.75" customHeight="1">
      <c r="A550" s="17"/>
      <c r="B550" s="18" t="s">
        <v>2011</v>
      </c>
      <c r="C550" s="37" t="s">
        <v>87</v>
      </c>
      <c r="D550" s="20" t="s">
        <v>2012</v>
      </c>
      <c r="E550" s="20" t="s">
        <v>2013</v>
      </c>
      <c r="F550" s="19" t="s">
        <v>90</v>
      </c>
      <c r="G550" s="19" t="s">
        <v>91</v>
      </c>
      <c r="H550" s="37"/>
      <c r="I550" s="21" t="s">
        <v>29</v>
      </c>
      <c r="J550" s="21" t="s">
        <v>29</v>
      </c>
      <c r="K550" s="22" t="s">
        <v>2014</v>
      </c>
      <c r="L550" s="56">
        <v>45243</v>
      </c>
      <c r="Q550" s="25"/>
      <c r="R550" s="25"/>
    </row>
    <row r="551" spans="1:18" ht="15.75" customHeight="1">
      <c r="A551" s="17"/>
      <c r="B551" s="18" t="s">
        <v>2015</v>
      </c>
      <c r="C551" s="37" t="s">
        <v>46</v>
      </c>
      <c r="D551" s="20" t="s">
        <v>2016</v>
      </c>
      <c r="E551" s="20" t="s">
        <v>2017</v>
      </c>
      <c r="F551" s="37" t="s">
        <v>49</v>
      </c>
      <c r="G551" s="19" t="s">
        <v>50</v>
      </c>
      <c r="H551" s="37"/>
      <c r="I551" s="21" t="s">
        <v>29</v>
      </c>
      <c r="J551" s="21" t="s">
        <v>29</v>
      </c>
      <c r="K551" s="22" t="s">
        <v>2018</v>
      </c>
      <c r="L551" s="56">
        <v>45243</v>
      </c>
      <c r="Q551" s="25"/>
      <c r="R551" s="25"/>
    </row>
    <row r="552" spans="1:18" ht="15.75" customHeight="1">
      <c r="A552" s="17"/>
      <c r="B552" s="18" t="s">
        <v>2019</v>
      </c>
      <c r="C552" s="37" t="s">
        <v>24</v>
      </c>
      <c r="D552" s="20" t="s">
        <v>2020</v>
      </c>
      <c r="E552" s="20" t="s">
        <v>2021</v>
      </c>
      <c r="F552" s="19" t="s">
        <v>27</v>
      </c>
      <c r="G552" s="19" t="s">
        <v>28</v>
      </c>
      <c r="H552" s="19" t="s">
        <v>36</v>
      </c>
      <c r="I552" s="21" t="s">
        <v>29</v>
      </c>
      <c r="J552" s="21" t="s">
        <v>29</v>
      </c>
      <c r="K552" s="22" t="s">
        <v>2022</v>
      </c>
      <c r="L552" s="56">
        <v>45243</v>
      </c>
      <c r="Q552" s="25"/>
      <c r="R552" s="25"/>
    </row>
    <row r="553" spans="1:18" ht="15.75" customHeight="1">
      <c r="A553" s="17"/>
      <c r="B553" s="41" t="s">
        <v>2023</v>
      </c>
      <c r="C553" s="37" t="s">
        <v>87</v>
      </c>
      <c r="D553" s="30" t="s">
        <v>2024</v>
      </c>
      <c r="E553" s="20" t="s">
        <v>2025</v>
      </c>
      <c r="F553" s="37"/>
      <c r="G553" s="37"/>
      <c r="H553" s="37"/>
      <c r="I553" s="21"/>
      <c r="J553" s="21"/>
      <c r="K553" s="22"/>
      <c r="L553" s="56"/>
      <c r="Q553" s="25"/>
      <c r="R553" s="25"/>
    </row>
    <row r="554" spans="1:18" ht="15.75" customHeight="1">
      <c r="A554" s="17"/>
      <c r="B554" s="18" t="s">
        <v>2026</v>
      </c>
      <c r="C554" s="37" t="s">
        <v>24</v>
      </c>
      <c r="D554" s="20" t="s">
        <v>2027</v>
      </c>
      <c r="E554" s="20" t="s">
        <v>55</v>
      </c>
      <c r="F554" s="37" t="s">
        <v>286</v>
      </c>
      <c r="G554" s="19" t="s">
        <v>28</v>
      </c>
      <c r="H554" s="37"/>
      <c r="I554" s="21" t="s">
        <v>286</v>
      </c>
      <c r="J554" s="21" t="s">
        <v>29</v>
      </c>
      <c r="K554" s="22" t="s">
        <v>55</v>
      </c>
      <c r="L554" s="56">
        <v>45243</v>
      </c>
      <c r="Q554" s="25"/>
      <c r="R554" s="25"/>
    </row>
    <row r="555" spans="1:18" ht="15.75" customHeight="1">
      <c r="A555" s="17"/>
      <c r="B555" s="18" t="s">
        <v>2028</v>
      </c>
      <c r="C555" s="37" t="s">
        <v>24</v>
      </c>
      <c r="D555" s="20" t="s">
        <v>2029</v>
      </c>
      <c r="E555" s="20" t="s">
        <v>2030</v>
      </c>
      <c r="F555" s="19" t="s">
        <v>27</v>
      </c>
      <c r="G555" s="19" t="s">
        <v>28</v>
      </c>
      <c r="H555" s="37" t="s">
        <v>762</v>
      </c>
      <c r="I555" s="21" t="s">
        <v>29</v>
      </c>
      <c r="J555" s="21" t="s">
        <v>29</v>
      </c>
      <c r="K555" s="22" t="s">
        <v>2031</v>
      </c>
      <c r="L555" s="56">
        <v>45243</v>
      </c>
      <c r="Q555" s="25"/>
      <c r="R555" s="25"/>
    </row>
    <row r="556" spans="1:18" ht="15.75" customHeight="1">
      <c r="A556" s="17"/>
      <c r="B556" s="18" t="s">
        <v>2032</v>
      </c>
      <c r="C556" s="37" t="s">
        <v>24</v>
      </c>
      <c r="D556" s="20" t="s">
        <v>2033</v>
      </c>
      <c r="E556" s="20" t="s">
        <v>2034</v>
      </c>
      <c r="F556" s="19" t="s">
        <v>27</v>
      </c>
      <c r="G556" s="19" t="s">
        <v>28</v>
      </c>
      <c r="H556" s="37"/>
      <c r="I556" s="21" t="s">
        <v>29</v>
      </c>
      <c r="J556" s="21" t="s">
        <v>29</v>
      </c>
      <c r="K556" s="22" t="s">
        <v>2035</v>
      </c>
      <c r="L556" s="56">
        <v>45243</v>
      </c>
      <c r="Q556" s="25"/>
      <c r="R556" s="25"/>
    </row>
    <row r="557" spans="1:18" ht="15.75" customHeight="1">
      <c r="A557" s="17"/>
      <c r="B557" s="18" t="s">
        <v>2036</v>
      </c>
      <c r="C557" s="37" t="s">
        <v>24</v>
      </c>
      <c r="D557" s="20" t="s">
        <v>2037</v>
      </c>
      <c r="E557" s="20" t="s">
        <v>2038</v>
      </c>
      <c r="F557" s="19" t="s">
        <v>27</v>
      </c>
      <c r="G557" s="19" t="s">
        <v>28</v>
      </c>
      <c r="H557" s="19" t="s">
        <v>36</v>
      </c>
      <c r="I557" s="21" t="s">
        <v>29</v>
      </c>
      <c r="J557" s="21" t="s">
        <v>29</v>
      </c>
      <c r="K557" s="22" t="s">
        <v>2039</v>
      </c>
      <c r="L557" s="56">
        <v>45243</v>
      </c>
      <c r="Q557" s="25"/>
      <c r="R557" s="25"/>
    </row>
    <row r="558" spans="1:18" ht="15.75" customHeight="1">
      <c r="A558" s="17"/>
      <c r="B558" s="18" t="s">
        <v>2040</v>
      </c>
      <c r="C558" s="37" t="s">
        <v>46</v>
      </c>
      <c r="D558" s="20" t="s">
        <v>2041</v>
      </c>
      <c r="E558" s="20" t="s">
        <v>2042</v>
      </c>
      <c r="F558" s="37" t="s">
        <v>49</v>
      </c>
      <c r="G558" s="19" t="s">
        <v>50</v>
      </c>
      <c r="H558" s="37"/>
      <c r="I558" s="21" t="s">
        <v>29</v>
      </c>
      <c r="J558" s="21" t="s">
        <v>29</v>
      </c>
      <c r="K558" s="22" t="s">
        <v>2043</v>
      </c>
      <c r="L558" s="56">
        <v>45243</v>
      </c>
      <c r="Q558" s="25"/>
      <c r="R558" s="25"/>
    </row>
    <row r="559" spans="1:18" ht="15.75" customHeight="1">
      <c r="A559" s="17"/>
      <c r="B559" s="18" t="s">
        <v>2044</v>
      </c>
      <c r="C559" s="37" t="s">
        <v>24</v>
      </c>
      <c r="D559" s="20" t="s">
        <v>2045</v>
      </c>
      <c r="E559" s="20" t="s">
        <v>55</v>
      </c>
      <c r="F559" s="19" t="s">
        <v>27</v>
      </c>
      <c r="G559" s="19" t="s">
        <v>28</v>
      </c>
      <c r="H559" s="37"/>
      <c r="I559" s="21" t="s">
        <v>29</v>
      </c>
      <c r="J559" s="21" t="s">
        <v>29</v>
      </c>
      <c r="K559" s="22" t="s">
        <v>55</v>
      </c>
      <c r="L559" s="56">
        <v>45243</v>
      </c>
      <c r="Q559" s="25"/>
      <c r="R559" s="25"/>
    </row>
    <row r="560" spans="1:18" ht="15.75" customHeight="1">
      <c r="A560" s="17"/>
      <c r="B560" s="18" t="s">
        <v>2046</v>
      </c>
      <c r="C560" s="37" t="s">
        <v>24</v>
      </c>
      <c r="D560" s="20" t="s">
        <v>2047</v>
      </c>
      <c r="E560" s="20" t="s">
        <v>2048</v>
      </c>
      <c r="F560" s="19" t="s">
        <v>27</v>
      </c>
      <c r="G560" s="19" t="s">
        <v>28</v>
      </c>
      <c r="H560" s="37"/>
      <c r="I560" s="21" t="s">
        <v>29</v>
      </c>
      <c r="J560" s="21" t="s">
        <v>29</v>
      </c>
      <c r="K560" s="22" t="s">
        <v>2049</v>
      </c>
      <c r="L560" s="56">
        <v>45243</v>
      </c>
      <c r="Q560" s="25"/>
      <c r="R560" s="25"/>
    </row>
    <row r="561" spans="1:18" ht="15.75" customHeight="1">
      <c r="A561" s="35"/>
      <c r="B561" s="38"/>
      <c r="C561" s="37"/>
      <c r="D561" s="25"/>
      <c r="E561" s="20" t="s">
        <v>145</v>
      </c>
      <c r="F561" s="37"/>
      <c r="G561" s="37"/>
      <c r="H561" s="37"/>
      <c r="I561" s="37"/>
      <c r="J561" s="37"/>
      <c r="K561" s="22" t="s">
        <v>145</v>
      </c>
      <c r="L561" s="39"/>
      <c r="Q561" s="25"/>
      <c r="R561" s="25"/>
    </row>
    <row r="562" spans="1:18" ht="15.75" customHeight="1">
      <c r="A562" s="17" t="s">
        <v>2050</v>
      </c>
      <c r="B562" s="58" t="s">
        <v>2051</v>
      </c>
      <c r="C562" s="37" t="s">
        <v>87</v>
      </c>
      <c r="D562" s="20" t="s">
        <v>2052</v>
      </c>
      <c r="E562" s="20" t="s">
        <v>2053</v>
      </c>
      <c r="F562" s="37" t="s">
        <v>286</v>
      </c>
      <c r="G562" s="19" t="s">
        <v>91</v>
      </c>
      <c r="H562" s="19" t="s">
        <v>36</v>
      </c>
      <c r="I562" s="37" t="s">
        <v>286</v>
      </c>
      <c r="J562" s="37" t="s">
        <v>29</v>
      </c>
      <c r="K562" s="22" t="s">
        <v>2054</v>
      </c>
      <c r="L562" s="39"/>
      <c r="Q562" s="25"/>
      <c r="R562" s="25"/>
    </row>
    <row r="563" spans="1:18" ht="15.75" customHeight="1">
      <c r="A563" s="28" t="s">
        <v>2055</v>
      </c>
      <c r="B563" s="18" t="s">
        <v>2056</v>
      </c>
      <c r="C563" s="37" t="s">
        <v>24</v>
      </c>
      <c r="D563" s="20" t="s">
        <v>2057</v>
      </c>
      <c r="E563" s="20" t="s">
        <v>2058</v>
      </c>
      <c r="F563" s="19" t="s">
        <v>27</v>
      </c>
      <c r="G563" s="19" t="s">
        <v>28</v>
      </c>
      <c r="H563" s="37"/>
      <c r="I563" s="21" t="s">
        <v>29</v>
      </c>
      <c r="J563" s="21" t="s">
        <v>29</v>
      </c>
      <c r="K563" s="22" t="s">
        <v>2058</v>
      </c>
      <c r="L563" s="56">
        <v>45061</v>
      </c>
      <c r="N563" s="40"/>
      <c r="Q563" s="25"/>
      <c r="R563" s="25"/>
    </row>
    <row r="564" spans="1:18" ht="15.75" customHeight="1">
      <c r="A564" s="31" t="s">
        <v>39</v>
      </c>
      <c r="B564" s="18" t="s">
        <v>2059</v>
      </c>
      <c r="C564" s="37" t="s">
        <v>87</v>
      </c>
      <c r="D564" s="20" t="s">
        <v>2060</v>
      </c>
      <c r="E564" s="20" t="s">
        <v>2061</v>
      </c>
      <c r="F564" s="19" t="s">
        <v>90</v>
      </c>
      <c r="G564" s="19" t="s">
        <v>91</v>
      </c>
      <c r="H564" s="37"/>
      <c r="I564" s="21" t="s">
        <v>29</v>
      </c>
      <c r="J564" s="21" t="s">
        <v>29</v>
      </c>
      <c r="K564" s="22" t="s">
        <v>2061</v>
      </c>
      <c r="L564" s="56">
        <v>45061</v>
      </c>
      <c r="Q564" s="25"/>
      <c r="R564" s="25"/>
    </row>
    <row r="565" spans="1:18" ht="15.75" customHeight="1">
      <c r="A565" s="17" t="s">
        <v>2062</v>
      </c>
      <c r="B565" s="18" t="s">
        <v>2063</v>
      </c>
      <c r="C565" s="37" t="s">
        <v>24</v>
      </c>
      <c r="D565" s="20" t="s">
        <v>2064</v>
      </c>
      <c r="E565" s="20" t="s">
        <v>2065</v>
      </c>
      <c r="F565" s="19" t="s">
        <v>27</v>
      </c>
      <c r="G565" s="19" t="s">
        <v>28</v>
      </c>
      <c r="H565" s="19" t="s">
        <v>36</v>
      </c>
      <c r="I565" s="21" t="s">
        <v>29</v>
      </c>
      <c r="J565" s="21" t="s">
        <v>29</v>
      </c>
      <c r="K565" s="22" t="s">
        <v>2066</v>
      </c>
      <c r="L565" s="56">
        <v>45061</v>
      </c>
      <c r="Q565" s="25"/>
      <c r="R565" s="25"/>
    </row>
    <row r="566" spans="1:18" ht="15.75" customHeight="1">
      <c r="A566" s="17"/>
      <c r="B566" s="41" t="s">
        <v>2067</v>
      </c>
      <c r="C566" s="37" t="s">
        <v>46</v>
      </c>
      <c r="D566" s="20" t="s">
        <v>2068</v>
      </c>
      <c r="E566" s="20" t="s">
        <v>2069</v>
      </c>
      <c r="F566" s="37"/>
      <c r="G566" s="37"/>
      <c r="H566" s="37"/>
      <c r="I566" s="21"/>
      <c r="J566" s="21"/>
      <c r="K566" s="22"/>
      <c r="L566" s="56"/>
      <c r="Q566" s="25"/>
      <c r="R566" s="25"/>
    </row>
    <row r="567" spans="1:18" ht="15.75" customHeight="1">
      <c r="A567" s="17" t="s">
        <v>2070</v>
      </c>
      <c r="B567" s="18" t="s">
        <v>2071</v>
      </c>
      <c r="C567" s="37" t="s">
        <v>87</v>
      </c>
      <c r="D567" s="20" t="s">
        <v>2072</v>
      </c>
      <c r="E567" s="20" t="s">
        <v>2073</v>
      </c>
      <c r="F567" s="19" t="s">
        <v>90</v>
      </c>
      <c r="G567" s="19" t="s">
        <v>91</v>
      </c>
      <c r="H567" s="37"/>
      <c r="I567" s="21" t="s">
        <v>29</v>
      </c>
      <c r="J567" s="21" t="s">
        <v>29</v>
      </c>
      <c r="K567" s="22" t="s">
        <v>2074</v>
      </c>
      <c r="L567" s="56">
        <v>45061</v>
      </c>
      <c r="Q567" s="25"/>
      <c r="R567" s="25"/>
    </row>
    <row r="568" spans="1:18" ht="15.75" customHeight="1">
      <c r="A568" s="31" t="s">
        <v>56</v>
      </c>
      <c r="B568" s="18" t="s">
        <v>2075</v>
      </c>
      <c r="C568" s="37" t="s">
        <v>46</v>
      </c>
      <c r="D568" s="20" t="s">
        <v>2076</v>
      </c>
      <c r="E568" s="20" t="s">
        <v>2077</v>
      </c>
      <c r="F568" s="37" t="s">
        <v>49</v>
      </c>
      <c r="G568" s="19" t="s">
        <v>50</v>
      </c>
      <c r="H568" s="37"/>
      <c r="I568" s="21" t="s">
        <v>29</v>
      </c>
      <c r="J568" s="21" t="s">
        <v>29</v>
      </c>
      <c r="K568" s="22" t="s">
        <v>2078</v>
      </c>
      <c r="L568" s="56">
        <v>45061</v>
      </c>
      <c r="Q568" s="25"/>
      <c r="R568" s="25"/>
    </row>
    <row r="569" spans="1:18" ht="15.75" customHeight="1">
      <c r="A569" s="17">
        <v>89</v>
      </c>
      <c r="B569" s="18" t="s">
        <v>2079</v>
      </c>
      <c r="C569" s="37" t="s">
        <v>87</v>
      </c>
      <c r="D569" s="20" t="s">
        <v>2080</v>
      </c>
      <c r="E569" s="20" t="s">
        <v>2081</v>
      </c>
      <c r="F569" s="19" t="s">
        <v>90</v>
      </c>
      <c r="G569" s="19" t="s">
        <v>91</v>
      </c>
      <c r="H569" s="37"/>
      <c r="I569" s="21" t="s">
        <v>29</v>
      </c>
      <c r="J569" s="21" t="s">
        <v>29</v>
      </c>
      <c r="K569" s="22" t="s">
        <v>2082</v>
      </c>
      <c r="L569" s="56">
        <v>45061</v>
      </c>
      <c r="Q569" s="25"/>
      <c r="R569" s="25"/>
    </row>
    <row r="570" spans="1:18" ht="15.75" customHeight="1">
      <c r="A570" s="31" t="s">
        <v>64</v>
      </c>
      <c r="B570" s="18" t="s">
        <v>2083</v>
      </c>
      <c r="C570" s="37" t="s">
        <v>87</v>
      </c>
      <c r="D570" s="20" t="s">
        <v>2084</v>
      </c>
      <c r="E570" s="20" t="s">
        <v>2085</v>
      </c>
      <c r="F570" s="19" t="s">
        <v>90</v>
      </c>
      <c r="G570" s="19" t="s">
        <v>91</v>
      </c>
      <c r="H570" s="37"/>
      <c r="I570" s="21" t="s">
        <v>29</v>
      </c>
      <c r="J570" s="21" t="s">
        <v>29</v>
      </c>
      <c r="K570" s="22" t="s">
        <v>2086</v>
      </c>
      <c r="L570" s="56">
        <v>45061</v>
      </c>
      <c r="Q570" s="25"/>
      <c r="R570" s="25"/>
    </row>
    <row r="571" spans="1:18" ht="15.75" customHeight="1">
      <c r="A571" s="17">
        <v>4.4000000000000004</v>
      </c>
      <c r="B571" s="34" t="s">
        <v>2087</v>
      </c>
      <c r="C571" s="37" t="s">
        <v>24</v>
      </c>
      <c r="D571" s="20" t="s">
        <v>2088</v>
      </c>
      <c r="E571" s="20" t="s">
        <v>2089</v>
      </c>
      <c r="F571" s="19" t="s">
        <v>90</v>
      </c>
      <c r="G571" s="19" t="s">
        <v>91</v>
      </c>
      <c r="H571" s="37"/>
      <c r="I571" s="21" t="s">
        <v>29</v>
      </c>
      <c r="J571" s="21" t="s">
        <v>29</v>
      </c>
      <c r="K571" s="22" t="s">
        <v>2089</v>
      </c>
      <c r="L571" s="56">
        <v>45061</v>
      </c>
      <c r="Q571" s="25"/>
      <c r="R571" s="25"/>
    </row>
    <row r="572" spans="1:18" ht="15.75" customHeight="1">
      <c r="A572" s="31" t="s">
        <v>73</v>
      </c>
      <c r="B572" s="18" t="s">
        <v>2090</v>
      </c>
      <c r="C572" s="37" t="s">
        <v>46</v>
      </c>
      <c r="D572" s="20" t="s">
        <v>2091</v>
      </c>
      <c r="E572" s="20" t="s">
        <v>2092</v>
      </c>
      <c r="F572" s="37" t="s">
        <v>49</v>
      </c>
      <c r="G572" s="19" t="s">
        <v>50</v>
      </c>
      <c r="H572" s="37"/>
      <c r="I572" s="21" t="s">
        <v>29</v>
      </c>
      <c r="J572" s="21" t="s">
        <v>29</v>
      </c>
      <c r="K572" s="22" t="s">
        <v>2092</v>
      </c>
      <c r="L572" s="56">
        <v>45061</v>
      </c>
      <c r="Q572" s="25"/>
      <c r="R572" s="25"/>
    </row>
    <row r="573" spans="1:18" ht="15.75" customHeight="1">
      <c r="A573" s="17">
        <v>4.3</v>
      </c>
      <c r="B573" s="18" t="s">
        <v>2093</v>
      </c>
      <c r="C573" s="37" t="s">
        <v>24</v>
      </c>
      <c r="D573" s="20" t="s">
        <v>2094</v>
      </c>
      <c r="E573" s="20" t="s">
        <v>2095</v>
      </c>
      <c r="F573" s="19" t="s">
        <v>27</v>
      </c>
      <c r="G573" s="19" t="s">
        <v>28</v>
      </c>
      <c r="H573" s="37"/>
      <c r="I573" s="21" t="s">
        <v>29</v>
      </c>
      <c r="J573" s="21" t="s">
        <v>29</v>
      </c>
      <c r="K573" s="22" t="s">
        <v>2096</v>
      </c>
      <c r="L573" s="56">
        <v>45061</v>
      </c>
      <c r="Q573" s="25"/>
      <c r="R573" s="25"/>
    </row>
    <row r="574" spans="1:18" ht="15.75" customHeight="1">
      <c r="A574" s="31" t="s">
        <v>82</v>
      </c>
      <c r="B574" s="18" t="s">
        <v>2097</v>
      </c>
      <c r="C574" s="37" t="s">
        <v>24</v>
      </c>
      <c r="D574" s="20" t="s">
        <v>2098</v>
      </c>
      <c r="E574" s="20" t="s">
        <v>2099</v>
      </c>
      <c r="F574" s="19" t="s">
        <v>27</v>
      </c>
      <c r="G574" s="19" t="s">
        <v>28</v>
      </c>
      <c r="H574" s="19" t="s">
        <v>36</v>
      </c>
      <c r="I574" s="21" t="s">
        <v>29</v>
      </c>
      <c r="J574" s="21" t="s">
        <v>29</v>
      </c>
      <c r="K574" s="22" t="s">
        <v>2100</v>
      </c>
      <c r="L574" s="56">
        <v>45061</v>
      </c>
      <c r="Q574" s="25"/>
      <c r="R574" s="25"/>
    </row>
    <row r="575" spans="1:18" ht="15.75" customHeight="1">
      <c r="A575" s="17" t="s">
        <v>2101</v>
      </c>
      <c r="B575" s="18" t="s">
        <v>2102</v>
      </c>
      <c r="C575" s="37" t="s">
        <v>24</v>
      </c>
      <c r="D575" s="20" t="s">
        <v>2103</v>
      </c>
      <c r="E575" s="20" t="s">
        <v>55</v>
      </c>
      <c r="F575" s="19" t="s">
        <v>27</v>
      </c>
      <c r="G575" s="19" t="s">
        <v>28</v>
      </c>
      <c r="H575" s="37"/>
      <c r="I575" s="21" t="s">
        <v>29</v>
      </c>
      <c r="J575" s="21" t="s">
        <v>29</v>
      </c>
      <c r="K575" s="22" t="s">
        <v>55</v>
      </c>
      <c r="L575" s="56">
        <v>45061</v>
      </c>
      <c r="Q575" s="25"/>
      <c r="R575" s="25"/>
    </row>
    <row r="576" spans="1:18" ht="15.75" customHeight="1">
      <c r="A576" s="31" t="s">
        <v>92</v>
      </c>
      <c r="B576" s="18" t="s">
        <v>2104</v>
      </c>
      <c r="C576" s="37" t="s">
        <v>87</v>
      </c>
      <c r="D576" s="20" t="s">
        <v>2105</v>
      </c>
      <c r="E576" s="20" t="s">
        <v>2106</v>
      </c>
      <c r="F576" s="19" t="s">
        <v>90</v>
      </c>
      <c r="G576" s="19" t="s">
        <v>91</v>
      </c>
      <c r="H576" s="37"/>
      <c r="I576" s="21" t="s">
        <v>29</v>
      </c>
      <c r="J576" s="21" t="s">
        <v>29</v>
      </c>
      <c r="K576" s="22" t="s">
        <v>2106</v>
      </c>
      <c r="L576" s="56">
        <v>45061</v>
      </c>
      <c r="Q576" s="25"/>
      <c r="R576" s="25"/>
    </row>
    <row r="577" spans="1:34" ht="15.75" customHeight="1">
      <c r="A577" s="33"/>
      <c r="B577" s="41" t="s">
        <v>2107</v>
      </c>
      <c r="C577" s="37" t="s">
        <v>87</v>
      </c>
      <c r="D577" s="20" t="s">
        <v>2108</v>
      </c>
      <c r="E577" s="20" t="s">
        <v>2109</v>
      </c>
      <c r="F577" s="37"/>
      <c r="G577" s="37"/>
      <c r="H577" s="37"/>
      <c r="I577" s="21"/>
      <c r="J577" s="21"/>
      <c r="K577" s="22"/>
      <c r="L577" s="56"/>
      <c r="Q577" s="25"/>
      <c r="R577" s="25"/>
    </row>
    <row r="578" spans="1:34" ht="15.75" customHeight="1">
      <c r="A578" s="33">
        <v>3495</v>
      </c>
      <c r="B578" s="18" t="s">
        <v>2110</v>
      </c>
      <c r="C578" s="37" t="s">
        <v>24</v>
      </c>
      <c r="D578" s="20" t="s">
        <v>2111</v>
      </c>
      <c r="E578" s="20" t="s">
        <v>2112</v>
      </c>
      <c r="F578" s="19" t="s">
        <v>27</v>
      </c>
      <c r="G578" s="19" t="s">
        <v>28</v>
      </c>
      <c r="H578" s="19" t="s">
        <v>36</v>
      </c>
      <c r="I578" s="21" t="s">
        <v>29</v>
      </c>
      <c r="J578" s="21" t="s">
        <v>29</v>
      </c>
      <c r="K578" s="22" t="s">
        <v>2113</v>
      </c>
      <c r="L578" s="56">
        <v>45061</v>
      </c>
      <c r="Q578" s="25"/>
      <c r="R578" s="25"/>
    </row>
    <row r="579" spans="1:34" ht="15.75" customHeight="1">
      <c r="A579" s="31" t="s">
        <v>100</v>
      </c>
      <c r="B579" s="18" t="s">
        <v>2114</v>
      </c>
      <c r="C579" s="37" t="s">
        <v>24</v>
      </c>
      <c r="D579" s="20" t="s">
        <v>2115</v>
      </c>
      <c r="E579" s="20" t="s">
        <v>2116</v>
      </c>
      <c r="F579" s="19" t="s">
        <v>27</v>
      </c>
      <c r="G579" s="19" t="s">
        <v>28</v>
      </c>
      <c r="H579" s="37"/>
      <c r="I579" s="21" t="s">
        <v>29</v>
      </c>
      <c r="J579" s="21" t="s">
        <v>29</v>
      </c>
      <c r="K579" s="22" t="s">
        <v>2117</v>
      </c>
      <c r="L579" s="56">
        <v>45061</v>
      </c>
      <c r="Q579" s="25"/>
      <c r="R579" s="25"/>
    </row>
    <row r="580" spans="1:34" ht="15.75" customHeight="1">
      <c r="A580" s="17">
        <v>165</v>
      </c>
      <c r="B580" s="18" t="s">
        <v>2118</v>
      </c>
      <c r="C580" s="37" t="s">
        <v>24</v>
      </c>
      <c r="D580" s="20" t="s">
        <v>2119</v>
      </c>
      <c r="E580" s="20" t="s">
        <v>2120</v>
      </c>
      <c r="F580" s="19" t="s">
        <v>27</v>
      </c>
      <c r="G580" s="19" t="s">
        <v>28</v>
      </c>
      <c r="H580" s="19" t="s">
        <v>36</v>
      </c>
      <c r="I580" s="21" t="s">
        <v>29</v>
      </c>
      <c r="J580" s="21" t="s">
        <v>29</v>
      </c>
      <c r="K580" s="22" t="s">
        <v>2121</v>
      </c>
      <c r="L580" s="56">
        <v>45061</v>
      </c>
      <c r="Q580" s="25"/>
      <c r="R580" s="25"/>
      <c r="AB580" s="42"/>
      <c r="AC580" s="40"/>
      <c r="AD580" s="38"/>
      <c r="AE580" s="38"/>
      <c r="AF580" s="38"/>
      <c r="AG580" s="38"/>
      <c r="AH580" s="43"/>
    </row>
    <row r="581" spans="1:34" ht="15.75" customHeight="1">
      <c r="A581" s="35"/>
      <c r="B581" s="18" t="s">
        <v>2122</v>
      </c>
      <c r="C581" s="37" t="s">
        <v>24</v>
      </c>
      <c r="D581" s="20" t="s">
        <v>2123</v>
      </c>
      <c r="E581" s="20" t="s">
        <v>2124</v>
      </c>
      <c r="F581" s="19" t="s">
        <v>27</v>
      </c>
      <c r="G581" s="19" t="s">
        <v>28</v>
      </c>
      <c r="H581" s="37"/>
      <c r="I581" s="21" t="s">
        <v>29</v>
      </c>
      <c r="J581" s="21" t="s">
        <v>29</v>
      </c>
      <c r="K581" s="22" t="s">
        <v>2125</v>
      </c>
      <c r="L581" s="56">
        <v>45061</v>
      </c>
      <c r="Q581" s="25"/>
      <c r="R581" s="25"/>
    </row>
    <row r="582" spans="1:34" ht="15.75" customHeight="1">
      <c r="A582" s="35"/>
      <c r="B582" s="18" t="s">
        <v>2126</v>
      </c>
      <c r="C582" s="37" t="s">
        <v>24</v>
      </c>
      <c r="D582" s="20" t="s">
        <v>2127</v>
      </c>
      <c r="E582" s="20" t="s">
        <v>2128</v>
      </c>
      <c r="F582" s="19" t="s">
        <v>27</v>
      </c>
      <c r="G582" s="19" t="s">
        <v>28</v>
      </c>
      <c r="H582" s="37"/>
      <c r="I582" s="21" t="s">
        <v>29</v>
      </c>
      <c r="J582" s="21" t="s">
        <v>29</v>
      </c>
      <c r="K582" s="22" t="s">
        <v>2129</v>
      </c>
      <c r="L582" s="56">
        <v>45061</v>
      </c>
      <c r="Q582" s="25"/>
      <c r="R582" s="25"/>
    </row>
    <row r="583" spans="1:34" ht="15.75" customHeight="1">
      <c r="A583" s="35"/>
      <c r="B583" s="18" t="s">
        <v>2130</v>
      </c>
      <c r="C583" s="37" t="s">
        <v>24</v>
      </c>
      <c r="D583" s="20" t="s">
        <v>2131</v>
      </c>
      <c r="E583" s="20" t="s">
        <v>2132</v>
      </c>
      <c r="F583" s="19" t="s">
        <v>27</v>
      </c>
      <c r="G583" s="19" t="s">
        <v>28</v>
      </c>
      <c r="H583" s="37"/>
      <c r="I583" s="21" t="s">
        <v>29</v>
      </c>
      <c r="J583" s="21" t="s">
        <v>29</v>
      </c>
      <c r="K583" s="22" t="s">
        <v>2132</v>
      </c>
      <c r="L583" s="56">
        <v>45061</v>
      </c>
      <c r="Q583" s="25"/>
      <c r="R583" s="25"/>
    </row>
    <row r="584" spans="1:34" ht="15.75" customHeight="1">
      <c r="A584" s="17"/>
      <c r="B584" s="18" t="s">
        <v>2133</v>
      </c>
      <c r="C584" s="37" t="s">
        <v>46</v>
      </c>
      <c r="D584" s="20" t="s">
        <v>2134</v>
      </c>
      <c r="E584" s="20" t="s">
        <v>2135</v>
      </c>
      <c r="F584" s="37" t="s">
        <v>49</v>
      </c>
      <c r="G584" s="19" t="s">
        <v>50</v>
      </c>
      <c r="H584" s="37"/>
      <c r="I584" s="21" t="s">
        <v>29</v>
      </c>
      <c r="J584" s="21" t="s">
        <v>29</v>
      </c>
      <c r="K584" s="22" t="s">
        <v>2136</v>
      </c>
      <c r="L584" s="56">
        <v>45061</v>
      </c>
      <c r="Q584" s="25"/>
      <c r="R584" s="25"/>
    </row>
    <row r="585" spans="1:34" ht="15.75" customHeight="1">
      <c r="A585" s="17"/>
      <c r="B585" s="18" t="s">
        <v>2137</v>
      </c>
      <c r="C585" s="37" t="s">
        <v>87</v>
      </c>
      <c r="D585" s="20" t="s">
        <v>2138</v>
      </c>
      <c r="E585" s="20" t="s">
        <v>2139</v>
      </c>
      <c r="F585" s="19" t="s">
        <v>90</v>
      </c>
      <c r="G585" s="19" t="s">
        <v>91</v>
      </c>
      <c r="H585" s="37"/>
      <c r="I585" s="21" t="s">
        <v>29</v>
      </c>
      <c r="J585" s="21" t="s">
        <v>29</v>
      </c>
      <c r="K585" s="22" t="s">
        <v>2139</v>
      </c>
      <c r="L585" s="56">
        <v>45061</v>
      </c>
      <c r="Q585" s="25"/>
      <c r="R585" s="25"/>
    </row>
    <row r="586" spans="1:34" ht="15.75" customHeight="1">
      <c r="A586" s="17"/>
      <c r="B586" s="18" t="s">
        <v>2140</v>
      </c>
      <c r="C586" s="37" t="s">
        <v>46</v>
      </c>
      <c r="D586" s="20" t="s">
        <v>2141</v>
      </c>
      <c r="E586" s="20" t="s">
        <v>2142</v>
      </c>
      <c r="F586" s="37" t="s">
        <v>49</v>
      </c>
      <c r="G586" s="19" t="s">
        <v>50</v>
      </c>
      <c r="H586" s="37"/>
      <c r="I586" s="21" t="s">
        <v>29</v>
      </c>
      <c r="J586" s="21" t="s">
        <v>29</v>
      </c>
      <c r="K586" s="22" t="s">
        <v>2143</v>
      </c>
      <c r="L586" s="56">
        <v>45061</v>
      </c>
      <c r="Q586" s="25"/>
      <c r="R586" s="25"/>
    </row>
    <row r="587" spans="1:34" ht="15.75" customHeight="1">
      <c r="A587" s="17"/>
      <c r="B587" s="18" t="s">
        <v>2144</v>
      </c>
      <c r="C587" s="37" t="s">
        <v>87</v>
      </c>
      <c r="D587" s="20" t="s">
        <v>2145</v>
      </c>
      <c r="E587" s="20" t="s">
        <v>2146</v>
      </c>
      <c r="F587" s="19" t="s">
        <v>90</v>
      </c>
      <c r="G587" s="19" t="s">
        <v>91</v>
      </c>
      <c r="H587" s="37"/>
      <c r="I587" s="21" t="s">
        <v>29</v>
      </c>
      <c r="J587" s="21" t="s">
        <v>29</v>
      </c>
      <c r="K587" s="22" t="s">
        <v>2146</v>
      </c>
      <c r="L587" s="56">
        <v>45061</v>
      </c>
      <c r="Q587" s="25"/>
      <c r="R587" s="25"/>
    </row>
    <row r="588" spans="1:34" ht="15.75" customHeight="1">
      <c r="A588" s="17"/>
      <c r="B588" s="18" t="s">
        <v>2147</v>
      </c>
      <c r="C588" s="37" t="s">
        <v>24</v>
      </c>
      <c r="D588" s="20" t="s">
        <v>2148</v>
      </c>
      <c r="E588" s="20" t="s">
        <v>2149</v>
      </c>
      <c r="F588" s="19" t="s">
        <v>27</v>
      </c>
      <c r="G588" s="19" t="s">
        <v>28</v>
      </c>
      <c r="H588" s="37"/>
      <c r="I588" s="21" t="s">
        <v>29</v>
      </c>
      <c r="J588" s="21" t="s">
        <v>29</v>
      </c>
      <c r="K588" s="22" t="s">
        <v>2150</v>
      </c>
      <c r="L588" s="56">
        <v>45061</v>
      </c>
      <c r="Q588" s="25"/>
      <c r="R588" s="25"/>
    </row>
    <row r="589" spans="1:34" ht="15.75" customHeight="1">
      <c r="A589" s="17"/>
      <c r="B589" s="18" t="s">
        <v>2151</v>
      </c>
      <c r="C589" s="37" t="s">
        <v>87</v>
      </c>
      <c r="D589" s="20" t="s">
        <v>2152</v>
      </c>
      <c r="E589" s="20" t="s">
        <v>2153</v>
      </c>
      <c r="F589" s="19" t="s">
        <v>90</v>
      </c>
      <c r="G589" s="19" t="s">
        <v>91</v>
      </c>
      <c r="H589" s="37"/>
      <c r="I589" s="21" t="s">
        <v>29</v>
      </c>
      <c r="J589" s="21" t="s">
        <v>29</v>
      </c>
      <c r="K589" s="22" t="s">
        <v>2154</v>
      </c>
      <c r="L589" s="56">
        <v>45061</v>
      </c>
      <c r="Q589" s="25"/>
      <c r="R589" s="25"/>
    </row>
    <row r="590" spans="1:34" ht="15.75" customHeight="1">
      <c r="A590" s="17"/>
      <c r="B590" s="41" t="s">
        <v>2155</v>
      </c>
      <c r="C590" s="37" t="s">
        <v>24</v>
      </c>
      <c r="D590" s="20" t="s">
        <v>2156</v>
      </c>
      <c r="E590" s="20" t="s">
        <v>2157</v>
      </c>
      <c r="F590" s="37"/>
      <c r="G590" s="37"/>
      <c r="H590" s="37"/>
      <c r="I590" s="21"/>
      <c r="J590" s="21"/>
      <c r="K590" s="22"/>
      <c r="L590" s="56"/>
      <c r="Q590" s="25"/>
      <c r="R590" s="25"/>
    </row>
    <row r="591" spans="1:34" ht="15.75" customHeight="1">
      <c r="A591" s="17"/>
      <c r="B591" s="18" t="s">
        <v>2158</v>
      </c>
      <c r="C591" s="37" t="s">
        <v>24</v>
      </c>
      <c r="D591" s="20" t="s">
        <v>2159</v>
      </c>
      <c r="E591" s="20" t="s">
        <v>2160</v>
      </c>
      <c r="F591" s="19" t="s">
        <v>27</v>
      </c>
      <c r="G591" s="19" t="s">
        <v>28</v>
      </c>
      <c r="H591" s="37"/>
      <c r="I591" s="21" t="s">
        <v>29</v>
      </c>
      <c r="J591" s="21" t="s">
        <v>29</v>
      </c>
      <c r="K591" s="22" t="s">
        <v>2161</v>
      </c>
      <c r="L591" s="56">
        <v>45061</v>
      </c>
      <c r="Q591" s="25"/>
      <c r="R591" s="25"/>
    </row>
    <row r="592" spans="1:34" ht="15.75" customHeight="1">
      <c r="A592" s="17"/>
      <c r="B592" s="18" t="s">
        <v>2162</v>
      </c>
      <c r="C592" s="37" t="s">
        <v>87</v>
      </c>
      <c r="D592" s="20" t="s">
        <v>2163</v>
      </c>
      <c r="E592" s="20" t="s">
        <v>2164</v>
      </c>
      <c r="F592" s="19" t="s">
        <v>90</v>
      </c>
      <c r="G592" s="19" t="s">
        <v>91</v>
      </c>
      <c r="H592" s="37"/>
      <c r="I592" s="21" t="s">
        <v>29</v>
      </c>
      <c r="J592" s="21" t="s">
        <v>29</v>
      </c>
      <c r="K592" s="22" t="s">
        <v>2165</v>
      </c>
      <c r="L592" s="56">
        <v>45061</v>
      </c>
      <c r="Q592" s="25"/>
      <c r="R592" s="25"/>
    </row>
    <row r="593" spans="1:18" ht="15.75" customHeight="1">
      <c r="A593" s="17"/>
      <c r="B593" s="18" t="s">
        <v>2166</v>
      </c>
      <c r="C593" s="37" t="s">
        <v>87</v>
      </c>
      <c r="D593" s="20" t="s">
        <v>2167</v>
      </c>
      <c r="E593" s="20" t="s">
        <v>2168</v>
      </c>
      <c r="F593" s="19" t="s">
        <v>90</v>
      </c>
      <c r="G593" s="19" t="s">
        <v>91</v>
      </c>
      <c r="H593" s="37"/>
      <c r="I593" s="21" t="s">
        <v>29</v>
      </c>
      <c r="J593" s="21" t="s">
        <v>29</v>
      </c>
      <c r="K593" s="22" t="s">
        <v>2169</v>
      </c>
      <c r="L593" s="56">
        <v>45061</v>
      </c>
      <c r="Q593" s="25"/>
      <c r="R593" s="25"/>
    </row>
    <row r="594" spans="1:18" ht="15.75" customHeight="1">
      <c r="A594" s="17"/>
      <c r="B594" s="18" t="s">
        <v>2170</v>
      </c>
      <c r="C594" s="37" t="s">
        <v>24</v>
      </c>
      <c r="D594" s="20" t="s">
        <v>2171</v>
      </c>
      <c r="E594" s="20" t="s">
        <v>2172</v>
      </c>
      <c r="F594" s="19" t="s">
        <v>27</v>
      </c>
      <c r="G594" s="19" t="s">
        <v>28</v>
      </c>
      <c r="H594" s="37"/>
      <c r="I594" s="21" t="s">
        <v>29</v>
      </c>
      <c r="J594" s="21" t="s">
        <v>29</v>
      </c>
      <c r="K594" s="22" t="s">
        <v>2173</v>
      </c>
      <c r="L594" s="56">
        <v>45061</v>
      </c>
      <c r="Q594" s="25"/>
      <c r="R594" s="25"/>
    </row>
    <row r="595" spans="1:18" ht="15.75" customHeight="1">
      <c r="A595" s="17"/>
      <c r="B595" s="18" t="s">
        <v>2174</v>
      </c>
      <c r="C595" s="37" t="s">
        <v>87</v>
      </c>
      <c r="D595" s="20" t="s">
        <v>2175</v>
      </c>
      <c r="E595" s="20" t="s">
        <v>2176</v>
      </c>
      <c r="F595" s="19" t="s">
        <v>90</v>
      </c>
      <c r="G595" s="19" t="s">
        <v>91</v>
      </c>
      <c r="H595" s="37"/>
      <c r="I595" s="21" t="s">
        <v>29</v>
      </c>
      <c r="J595" s="21" t="s">
        <v>29</v>
      </c>
      <c r="K595" s="22" t="s">
        <v>2177</v>
      </c>
      <c r="L595" s="56">
        <v>45061</v>
      </c>
      <c r="Q595" s="25"/>
      <c r="R595" s="25"/>
    </row>
    <row r="596" spans="1:18" ht="15.75" customHeight="1">
      <c r="A596" s="17"/>
      <c r="B596" s="18" t="s">
        <v>2178</v>
      </c>
      <c r="C596" s="37" t="s">
        <v>24</v>
      </c>
      <c r="D596" s="20" t="s">
        <v>2179</v>
      </c>
      <c r="E596" s="20" t="s">
        <v>2180</v>
      </c>
      <c r="F596" s="19" t="s">
        <v>27</v>
      </c>
      <c r="G596" s="19" t="s">
        <v>28</v>
      </c>
      <c r="H596" s="19" t="s">
        <v>36</v>
      </c>
      <c r="I596" s="21" t="s">
        <v>29</v>
      </c>
      <c r="J596" s="21" t="s">
        <v>29</v>
      </c>
      <c r="K596" s="22" t="s">
        <v>2181</v>
      </c>
      <c r="L596" s="56">
        <v>45061</v>
      </c>
      <c r="Q596" s="25"/>
      <c r="R596" s="25"/>
    </row>
    <row r="597" spans="1:18" ht="15.75" customHeight="1">
      <c r="A597" s="17"/>
      <c r="B597" s="29" t="s">
        <v>2182</v>
      </c>
      <c r="C597" s="37" t="s">
        <v>24</v>
      </c>
      <c r="D597" s="20" t="s">
        <v>2183</v>
      </c>
      <c r="E597" s="20" t="s">
        <v>2184</v>
      </c>
      <c r="F597" s="19" t="s">
        <v>27</v>
      </c>
      <c r="G597" s="19" t="s">
        <v>28</v>
      </c>
      <c r="H597" s="19" t="s">
        <v>36</v>
      </c>
      <c r="I597" s="21" t="s">
        <v>29</v>
      </c>
      <c r="J597" s="21" t="s">
        <v>29</v>
      </c>
      <c r="K597" s="22" t="s">
        <v>2185</v>
      </c>
      <c r="L597" s="56">
        <v>45061</v>
      </c>
      <c r="Q597" s="25"/>
      <c r="R597" s="25"/>
    </row>
    <row r="598" spans="1:18" ht="15.75" customHeight="1">
      <c r="A598" s="17"/>
      <c r="B598" s="18" t="s">
        <v>2186</v>
      </c>
      <c r="C598" s="37" t="s">
        <v>87</v>
      </c>
      <c r="D598" s="20" t="s">
        <v>2187</v>
      </c>
      <c r="E598" s="20" t="s">
        <v>2188</v>
      </c>
      <c r="F598" s="19" t="s">
        <v>90</v>
      </c>
      <c r="G598" s="19" t="s">
        <v>91</v>
      </c>
      <c r="H598" s="37"/>
      <c r="I598" s="21" t="s">
        <v>29</v>
      </c>
      <c r="J598" s="21" t="s">
        <v>29</v>
      </c>
      <c r="K598" s="22" t="s">
        <v>2189</v>
      </c>
      <c r="L598" s="56">
        <v>45061</v>
      </c>
      <c r="Q598" s="25"/>
      <c r="R598" s="25"/>
    </row>
    <row r="599" spans="1:18" ht="15.75" customHeight="1">
      <c r="A599" s="17"/>
      <c r="B599" s="36" t="s">
        <v>1439</v>
      </c>
      <c r="C599" s="37" t="s">
        <v>121</v>
      </c>
      <c r="D599" s="20" t="s">
        <v>2190</v>
      </c>
      <c r="E599" s="20" t="s">
        <v>2191</v>
      </c>
      <c r="F599" s="19" t="s">
        <v>27</v>
      </c>
      <c r="G599" s="19" t="s">
        <v>28</v>
      </c>
      <c r="H599" s="37"/>
      <c r="I599" s="21" t="s">
        <v>29</v>
      </c>
      <c r="J599" s="21" t="s">
        <v>29</v>
      </c>
      <c r="K599" s="22" t="s">
        <v>2191</v>
      </c>
      <c r="L599" s="56">
        <v>45061</v>
      </c>
      <c r="Q599" s="25"/>
      <c r="R599" s="25"/>
    </row>
    <row r="600" spans="1:18" ht="15.75" customHeight="1">
      <c r="A600" s="17"/>
      <c r="B600" s="41" t="s">
        <v>2192</v>
      </c>
      <c r="C600" s="37" t="s">
        <v>87</v>
      </c>
      <c r="D600" s="20" t="s">
        <v>2193</v>
      </c>
      <c r="E600" s="20" t="s">
        <v>2194</v>
      </c>
      <c r="F600" s="37"/>
      <c r="G600" s="37"/>
      <c r="H600" s="37"/>
      <c r="I600" s="21"/>
      <c r="J600" s="21"/>
      <c r="K600" s="22"/>
      <c r="L600" s="56"/>
      <c r="Q600" s="25"/>
      <c r="R600" s="25"/>
    </row>
    <row r="601" spans="1:18" ht="15.75" customHeight="1">
      <c r="A601" s="17"/>
      <c r="B601" s="18" t="s">
        <v>2195</v>
      </c>
      <c r="C601" s="37" t="s">
        <v>24</v>
      </c>
      <c r="D601" s="20" t="s">
        <v>2196</v>
      </c>
      <c r="E601" s="20" t="s">
        <v>2197</v>
      </c>
      <c r="F601" s="37" t="s">
        <v>286</v>
      </c>
      <c r="G601" s="19" t="s">
        <v>28</v>
      </c>
      <c r="H601" s="37"/>
      <c r="I601" s="21" t="s">
        <v>286</v>
      </c>
      <c r="J601" s="21" t="s">
        <v>29</v>
      </c>
      <c r="K601" s="22" t="s">
        <v>2198</v>
      </c>
      <c r="L601" s="56"/>
      <c r="Q601" s="25"/>
      <c r="R601" s="25"/>
    </row>
    <row r="602" spans="1:18" ht="15.75" customHeight="1">
      <c r="A602" s="17"/>
      <c r="B602" s="18" t="s">
        <v>2199</v>
      </c>
      <c r="C602" s="37" t="s">
        <v>87</v>
      </c>
      <c r="D602" s="20" t="s">
        <v>2200</v>
      </c>
      <c r="E602" s="20" t="s">
        <v>2201</v>
      </c>
      <c r="F602" s="19" t="s">
        <v>90</v>
      </c>
      <c r="G602" s="19" t="s">
        <v>91</v>
      </c>
      <c r="H602" s="37"/>
      <c r="I602" s="21" t="s">
        <v>29</v>
      </c>
      <c r="J602" s="21" t="s">
        <v>29</v>
      </c>
      <c r="K602" s="22" t="s">
        <v>2202</v>
      </c>
      <c r="L602" s="56">
        <v>45061</v>
      </c>
      <c r="Q602" s="25"/>
      <c r="R602" s="25"/>
    </row>
    <row r="603" spans="1:18" ht="15.75" customHeight="1">
      <c r="A603" s="17"/>
      <c r="B603" s="18" t="s">
        <v>2203</v>
      </c>
      <c r="C603" s="37" t="s">
        <v>87</v>
      </c>
      <c r="D603" s="20" t="s">
        <v>2204</v>
      </c>
      <c r="E603" s="20" t="s">
        <v>2205</v>
      </c>
      <c r="F603" s="19" t="s">
        <v>90</v>
      </c>
      <c r="G603" s="19" t="s">
        <v>91</v>
      </c>
      <c r="H603" s="37"/>
      <c r="I603" s="21" t="s">
        <v>29</v>
      </c>
      <c r="J603" s="21" t="s">
        <v>29</v>
      </c>
      <c r="K603" s="22" t="s">
        <v>2206</v>
      </c>
      <c r="L603" s="56">
        <v>45061</v>
      </c>
      <c r="Q603" s="25"/>
      <c r="R603" s="25"/>
    </row>
    <row r="604" spans="1:18" ht="15.75" customHeight="1">
      <c r="A604" s="17"/>
      <c r="B604" s="18" t="s">
        <v>2207</v>
      </c>
      <c r="C604" s="37" t="s">
        <v>24</v>
      </c>
      <c r="D604" s="20" t="s">
        <v>2208</v>
      </c>
      <c r="E604" s="20" t="s">
        <v>2209</v>
      </c>
      <c r="F604" s="19" t="s">
        <v>27</v>
      </c>
      <c r="G604" s="19" t="s">
        <v>28</v>
      </c>
      <c r="H604" s="37"/>
      <c r="I604" s="21" t="s">
        <v>29</v>
      </c>
      <c r="J604" s="21" t="s">
        <v>29</v>
      </c>
      <c r="K604" s="22" t="s">
        <v>2210</v>
      </c>
      <c r="L604" s="56">
        <v>45061</v>
      </c>
      <c r="Q604" s="25"/>
      <c r="R604" s="25"/>
    </row>
    <row r="605" spans="1:18" ht="15.75" customHeight="1">
      <c r="A605" s="17"/>
      <c r="B605" s="18" t="s">
        <v>2211</v>
      </c>
      <c r="C605" s="37" t="s">
        <v>24</v>
      </c>
      <c r="D605" s="20" t="s">
        <v>2212</v>
      </c>
      <c r="E605" s="20" t="s">
        <v>2213</v>
      </c>
      <c r="F605" s="19" t="s">
        <v>90</v>
      </c>
      <c r="G605" s="19" t="s">
        <v>28</v>
      </c>
      <c r="H605" s="37"/>
      <c r="I605" s="21" t="s">
        <v>29</v>
      </c>
      <c r="J605" s="21" t="s">
        <v>29</v>
      </c>
      <c r="K605" s="22" t="s">
        <v>2214</v>
      </c>
      <c r="L605" s="56">
        <v>45061</v>
      </c>
      <c r="Q605" s="25"/>
      <c r="R605" s="25"/>
    </row>
    <row r="606" spans="1:18" ht="15.75" customHeight="1">
      <c r="A606" s="17"/>
      <c r="B606" s="18" t="s">
        <v>2215</v>
      </c>
      <c r="C606" s="37" t="s">
        <v>46</v>
      </c>
      <c r="D606" s="20" t="s">
        <v>2216</v>
      </c>
      <c r="E606" s="20" t="s">
        <v>2217</v>
      </c>
      <c r="F606" s="37" t="s">
        <v>49</v>
      </c>
      <c r="G606" s="19" t="s">
        <v>50</v>
      </c>
      <c r="H606" s="37"/>
      <c r="I606" s="21" t="s">
        <v>29</v>
      </c>
      <c r="J606" s="21" t="s">
        <v>29</v>
      </c>
      <c r="K606" s="22" t="s">
        <v>2218</v>
      </c>
      <c r="L606" s="56">
        <v>45061</v>
      </c>
      <c r="Q606" s="25"/>
      <c r="R606" s="25"/>
    </row>
    <row r="607" spans="1:18" ht="15.75" customHeight="1">
      <c r="A607" s="17"/>
      <c r="B607" s="18" t="s">
        <v>2219</v>
      </c>
      <c r="C607" s="37" t="s">
        <v>24</v>
      </c>
      <c r="D607" s="20" t="s">
        <v>2220</v>
      </c>
      <c r="E607" s="20" t="s">
        <v>2221</v>
      </c>
      <c r="F607" s="19" t="s">
        <v>27</v>
      </c>
      <c r="G607" s="19" t="s">
        <v>28</v>
      </c>
      <c r="H607" s="37"/>
      <c r="I607" s="21" t="s">
        <v>29</v>
      </c>
      <c r="J607" s="21" t="s">
        <v>29</v>
      </c>
      <c r="K607" s="22" t="s">
        <v>2222</v>
      </c>
      <c r="L607" s="56">
        <v>45061</v>
      </c>
      <c r="Q607" s="25"/>
      <c r="R607" s="25"/>
    </row>
    <row r="608" spans="1:18" ht="15.75" customHeight="1">
      <c r="A608" s="17"/>
      <c r="B608" s="18" t="s">
        <v>2223</v>
      </c>
      <c r="C608" s="37" t="s">
        <v>24</v>
      </c>
      <c r="D608" s="20" t="s">
        <v>2224</v>
      </c>
      <c r="E608" s="20" t="s">
        <v>2225</v>
      </c>
      <c r="F608" s="19" t="s">
        <v>27</v>
      </c>
      <c r="G608" s="19" t="s">
        <v>28</v>
      </c>
      <c r="H608" s="37"/>
      <c r="I608" s="21" t="s">
        <v>29</v>
      </c>
      <c r="J608" s="21" t="s">
        <v>29</v>
      </c>
      <c r="K608" s="22" t="s">
        <v>2225</v>
      </c>
      <c r="L608" s="56">
        <v>45061</v>
      </c>
      <c r="Q608" s="25"/>
      <c r="R608" s="25"/>
    </row>
    <row r="609" spans="1:18" ht="15.75" customHeight="1">
      <c r="A609" s="17"/>
      <c r="B609" s="18" t="s">
        <v>2226</v>
      </c>
      <c r="C609" s="37" t="s">
        <v>24</v>
      </c>
      <c r="D609" s="20" t="s">
        <v>2227</v>
      </c>
      <c r="E609" s="20" t="s">
        <v>2228</v>
      </c>
      <c r="F609" s="19" t="s">
        <v>27</v>
      </c>
      <c r="G609" s="19" t="s">
        <v>28</v>
      </c>
      <c r="H609" s="19" t="s">
        <v>36</v>
      </c>
      <c r="I609" s="21" t="s">
        <v>29</v>
      </c>
      <c r="J609" s="21" t="s">
        <v>29</v>
      </c>
      <c r="K609" s="22" t="s">
        <v>2228</v>
      </c>
      <c r="L609" s="56">
        <v>45061</v>
      </c>
      <c r="Q609" s="25"/>
      <c r="R609" s="25"/>
    </row>
    <row r="610" spans="1:18" ht="15.75" customHeight="1">
      <c r="A610" s="17"/>
      <c r="B610" s="41" t="s">
        <v>2229</v>
      </c>
      <c r="C610" s="37" t="s">
        <v>87</v>
      </c>
      <c r="D610" s="20" t="s">
        <v>2230</v>
      </c>
      <c r="E610" s="20" t="s">
        <v>2231</v>
      </c>
      <c r="F610" s="37"/>
      <c r="G610" s="37"/>
      <c r="H610" s="37"/>
      <c r="I610" s="21"/>
      <c r="J610" s="21"/>
      <c r="K610" s="22"/>
      <c r="L610" s="56"/>
      <c r="Q610" s="25"/>
      <c r="R610" s="25"/>
    </row>
    <row r="611" spans="1:18" ht="15.75" customHeight="1">
      <c r="A611" s="17"/>
      <c r="B611" s="34" t="s">
        <v>2232</v>
      </c>
      <c r="C611" s="37" t="s">
        <v>24</v>
      </c>
      <c r="D611" s="20" t="s">
        <v>2233</v>
      </c>
      <c r="E611" s="20" t="s">
        <v>2234</v>
      </c>
      <c r="F611" s="19" t="s">
        <v>90</v>
      </c>
      <c r="G611" s="19" t="s">
        <v>91</v>
      </c>
      <c r="H611" s="37"/>
      <c r="I611" s="21" t="s">
        <v>29</v>
      </c>
      <c r="J611" s="21" t="s">
        <v>29</v>
      </c>
      <c r="K611" s="22" t="s">
        <v>2235</v>
      </c>
      <c r="L611" s="56">
        <v>45061</v>
      </c>
      <c r="Q611" s="25"/>
      <c r="R611" s="25"/>
    </row>
    <row r="612" spans="1:18" ht="15.75" customHeight="1">
      <c r="A612" s="17"/>
      <c r="B612" s="18" t="s">
        <v>2236</v>
      </c>
      <c r="C612" s="37" t="s">
        <v>46</v>
      </c>
      <c r="D612" s="20" t="s">
        <v>2237</v>
      </c>
      <c r="E612" s="20" t="s">
        <v>2238</v>
      </c>
      <c r="F612" s="37" t="s">
        <v>286</v>
      </c>
      <c r="G612" s="19" t="s">
        <v>50</v>
      </c>
      <c r="H612" s="37"/>
      <c r="I612" s="21" t="s">
        <v>286</v>
      </c>
      <c r="J612" s="21" t="s">
        <v>29</v>
      </c>
      <c r="K612" s="22" t="s">
        <v>2239</v>
      </c>
      <c r="L612" s="56"/>
      <c r="Q612" s="25"/>
      <c r="R612" s="25"/>
    </row>
    <row r="613" spans="1:18" ht="15.75" customHeight="1">
      <c r="A613" s="17"/>
      <c r="B613" s="18" t="s">
        <v>2240</v>
      </c>
      <c r="C613" s="37" t="s">
        <v>46</v>
      </c>
      <c r="D613" s="20" t="s">
        <v>2241</v>
      </c>
      <c r="E613" s="20" t="s">
        <v>2242</v>
      </c>
      <c r="F613" s="37" t="s">
        <v>49</v>
      </c>
      <c r="G613" s="19" t="s">
        <v>50</v>
      </c>
      <c r="H613" s="37"/>
      <c r="I613" s="21" t="s">
        <v>29</v>
      </c>
      <c r="J613" s="21" t="s">
        <v>29</v>
      </c>
      <c r="K613" s="22" t="s">
        <v>2243</v>
      </c>
      <c r="L613" s="56">
        <v>45061</v>
      </c>
      <c r="Q613" s="25"/>
      <c r="R613" s="25"/>
    </row>
    <row r="614" spans="1:18" ht="15.75" customHeight="1">
      <c r="A614" s="17"/>
      <c r="B614" s="18" t="s">
        <v>2244</v>
      </c>
      <c r="C614" s="37" t="s">
        <v>46</v>
      </c>
      <c r="D614" s="20" t="s">
        <v>2245</v>
      </c>
      <c r="E614" s="20" t="s">
        <v>2246</v>
      </c>
      <c r="F614" s="37" t="s">
        <v>286</v>
      </c>
      <c r="G614" s="19" t="s">
        <v>50</v>
      </c>
      <c r="H614" s="37"/>
      <c r="I614" s="21" t="s">
        <v>286</v>
      </c>
      <c r="J614" s="21" t="s">
        <v>29</v>
      </c>
      <c r="K614" s="22" t="s">
        <v>2247</v>
      </c>
      <c r="L614" s="56"/>
      <c r="Q614" s="25"/>
      <c r="R614" s="25"/>
    </row>
    <row r="615" spans="1:18" ht="15.75" customHeight="1">
      <c r="A615" s="17"/>
      <c r="B615" s="18" t="s">
        <v>2248</v>
      </c>
      <c r="C615" s="37" t="s">
        <v>24</v>
      </c>
      <c r="D615" s="20" t="s">
        <v>2249</v>
      </c>
      <c r="E615" s="20" t="s">
        <v>2250</v>
      </c>
      <c r="F615" s="19" t="s">
        <v>27</v>
      </c>
      <c r="G615" s="19" t="s">
        <v>28</v>
      </c>
      <c r="H615" s="37"/>
      <c r="I615" s="21" t="s">
        <v>29</v>
      </c>
      <c r="J615" s="21" t="s">
        <v>29</v>
      </c>
      <c r="K615" s="22" t="s">
        <v>2251</v>
      </c>
      <c r="L615" s="56">
        <v>45061</v>
      </c>
      <c r="Q615" s="25"/>
      <c r="R615" s="25"/>
    </row>
    <row r="616" spans="1:18" ht="15.75" customHeight="1">
      <c r="A616" s="17"/>
      <c r="B616" s="18" t="s">
        <v>2252</v>
      </c>
      <c r="C616" s="37" t="s">
        <v>46</v>
      </c>
      <c r="D616" s="20" t="s">
        <v>2253</v>
      </c>
      <c r="E616" s="20" t="s">
        <v>2254</v>
      </c>
      <c r="F616" s="37" t="s">
        <v>49</v>
      </c>
      <c r="G616" s="19" t="s">
        <v>50</v>
      </c>
      <c r="H616" s="37"/>
      <c r="I616" s="21" t="s">
        <v>29</v>
      </c>
      <c r="J616" s="21" t="s">
        <v>29</v>
      </c>
      <c r="K616" s="22" t="s">
        <v>2255</v>
      </c>
      <c r="L616" s="56">
        <v>45061</v>
      </c>
      <c r="Q616" s="25"/>
      <c r="R616" s="25"/>
    </row>
    <row r="617" spans="1:18" ht="15.75" customHeight="1">
      <c r="A617" s="17"/>
      <c r="B617" s="18" t="s">
        <v>2256</v>
      </c>
      <c r="C617" s="37" t="s">
        <v>24</v>
      </c>
      <c r="D617" s="20" t="s">
        <v>2257</v>
      </c>
      <c r="E617" s="20" t="s">
        <v>2258</v>
      </c>
      <c r="F617" s="19" t="s">
        <v>27</v>
      </c>
      <c r="G617" s="19" t="s">
        <v>28</v>
      </c>
      <c r="H617" s="37" t="s">
        <v>813</v>
      </c>
      <c r="I617" s="21" t="s">
        <v>29</v>
      </c>
      <c r="J617" s="21" t="s">
        <v>29</v>
      </c>
      <c r="K617" s="22" t="s">
        <v>2259</v>
      </c>
      <c r="L617" s="56">
        <v>45061</v>
      </c>
      <c r="Q617" s="25"/>
      <c r="R617" s="25"/>
    </row>
    <row r="618" spans="1:18" ht="15.75" customHeight="1">
      <c r="A618" s="17"/>
      <c r="B618" s="18" t="s">
        <v>2260</v>
      </c>
      <c r="C618" s="37" t="s">
        <v>87</v>
      </c>
      <c r="D618" s="20" t="s">
        <v>2261</v>
      </c>
      <c r="E618" s="20" t="s">
        <v>2262</v>
      </c>
      <c r="F618" s="19" t="s">
        <v>90</v>
      </c>
      <c r="G618" s="19" t="s">
        <v>91</v>
      </c>
      <c r="H618" s="37"/>
      <c r="I618" s="21" t="s">
        <v>29</v>
      </c>
      <c r="J618" s="21" t="s">
        <v>29</v>
      </c>
      <c r="K618" s="22" t="s">
        <v>2263</v>
      </c>
      <c r="L618" s="56">
        <v>45061</v>
      </c>
      <c r="Q618" s="25"/>
      <c r="R618" s="25"/>
    </row>
    <row r="619" spans="1:18" ht="15.75" customHeight="1">
      <c r="A619" s="17"/>
      <c r="B619" s="18" t="s">
        <v>2264</v>
      </c>
      <c r="C619" s="37" t="s">
        <v>24</v>
      </c>
      <c r="D619" s="20" t="s">
        <v>2265</v>
      </c>
      <c r="E619" s="20" t="s">
        <v>2266</v>
      </c>
      <c r="F619" s="19" t="s">
        <v>27</v>
      </c>
      <c r="G619" s="19" t="s">
        <v>28</v>
      </c>
      <c r="H619" s="37" t="s">
        <v>762</v>
      </c>
      <c r="I619" s="21" t="s">
        <v>29</v>
      </c>
      <c r="J619" s="21" t="s">
        <v>29</v>
      </c>
      <c r="K619" s="22" t="s">
        <v>2267</v>
      </c>
      <c r="L619" s="56">
        <v>45061</v>
      </c>
      <c r="Q619" s="25"/>
      <c r="R619" s="25"/>
    </row>
    <row r="620" spans="1:18" ht="15.75" customHeight="1">
      <c r="A620" s="17"/>
      <c r="B620" s="34" t="s">
        <v>2268</v>
      </c>
      <c r="C620" s="37" t="s">
        <v>24</v>
      </c>
      <c r="D620" s="20" t="s">
        <v>2269</v>
      </c>
      <c r="E620" s="20" t="s">
        <v>2270</v>
      </c>
      <c r="F620" s="19" t="s">
        <v>90</v>
      </c>
      <c r="G620" s="19" t="s">
        <v>91</v>
      </c>
      <c r="H620" s="37"/>
      <c r="I620" s="21" t="s">
        <v>29</v>
      </c>
      <c r="J620" s="21" t="s">
        <v>29</v>
      </c>
      <c r="K620" s="22" t="s">
        <v>2271</v>
      </c>
      <c r="L620" s="56">
        <v>45061</v>
      </c>
      <c r="Q620" s="25"/>
      <c r="R620" s="25"/>
    </row>
    <row r="621" spans="1:18" ht="15.75" customHeight="1">
      <c r="A621" s="17"/>
      <c r="B621" s="18" t="s">
        <v>2272</v>
      </c>
      <c r="C621" s="37" t="s">
        <v>46</v>
      </c>
      <c r="D621" s="20" t="s">
        <v>2273</v>
      </c>
      <c r="E621" s="20" t="s">
        <v>2274</v>
      </c>
      <c r="F621" s="37" t="s">
        <v>49</v>
      </c>
      <c r="G621" s="19" t="s">
        <v>50</v>
      </c>
      <c r="H621" s="37"/>
      <c r="I621" s="21" t="s">
        <v>29</v>
      </c>
      <c r="J621" s="21" t="s">
        <v>29</v>
      </c>
      <c r="K621" s="22" t="s">
        <v>2274</v>
      </c>
      <c r="L621" s="56">
        <v>45061</v>
      </c>
      <c r="Q621" s="25"/>
      <c r="R621" s="25"/>
    </row>
    <row r="622" spans="1:18" ht="15.75" customHeight="1">
      <c r="A622" s="17"/>
      <c r="B622" s="18" t="s">
        <v>2275</v>
      </c>
      <c r="C622" s="37" t="s">
        <v>24</v>
      </c>
      <c r="D622" s="20" t="s">
        <v>2276</v>
      </c>
      <c r="E622" s="20" t="s">
        <v>2277</v>
      </c>
      <c r="F622" s="19" t="s">
        <v>27</v>
      </c>
      <c r="G622" s="19" t="s">
        <v>28</v>
      </c>
      <c r="H622" s="37"/>
      <c r="I622" s="21" t="s">
        <v>29</v>
      </c>
      <c r="J622" s="21" t="s">
        <v>29</v>
      </c>
      <c r="K622" s="22" t="s">
        <v>2278</v>
      </c>
      <c r="L622" s="56">
        <v>45061</v>
      </c>
      <c r="Q622" s="25"/>
      <c r="R622" s="25"/>
    </row>
    <row r="623" spans="1:18" ht="15.75" customHeight="1">
      <c r="A623" s="17"/>
      <c r="B623" s="18" t="s">
        <v>2279</v>
      </c>
      <c r="C623" s="37" t="s">
        <v>24</v>
      </c>
      <c r="D623" s="20" t="s">
        <v>2280</v>
      </c>
      <c r="E623" s="20" t="s">
        <v>2281</v>
      </c>
      <c r="F623" s="19" t="s">
        <v>27</v>
      </c>
      <c r="G623" s="19" t="s">
        <v>28</v>
      </c>
      <c r="H623" s="37"/>
      <c r="I623" s="21" t="s">
        <v>29</v>
      </c>
      <c r="J623" s="21" t="s">
        <v>29</v>
      </c>
      <c r="K623" s="22" t="s">
        <v>2282</v>
      </c>
      <c r="L623" s="56">
        <v>45061</v>
      </c>
      <c r="Q623" s="25"/>
      <c r="R623" s="25"/>
    </row>
    <row r="624" spans="1:18" ht="15.75" customHeight="1">
      <c r="A624" s="17"/>
      <c r="B624" s="34" t="s">
        <v>2283</v>
      </c>
      <c r="C624" s="37" t="s">
        <v>87</v>
      </c>
      <c r="D624" s="20" t="s">
        <v>2284</v>
      </c>
      <c r="E624" s="20" t="s">
        <v>2285</v>
      </c>
      <c r="F624" s="37" t="s">
        <v>49</v>
      </c>
      <c r="G624" s="19" t="s">
        <v>50</v>
      </c>
      <c r="H624" s="37"/>
      <c r="I624" s="21" t="s">
        <v>29</v>
      </c>
      <c r="J624" s="21" t="s">
        <v>29</v>
      </c>
      <c r="K624" s="22" t="s">
        <v>2285</v>
      </c>
      <c r="L624" s="56">
        <v>45061</v>
      </c>
      <c r="Q624" s="25"/>
      <c r="R624" s="25"/>
    </row>
    <row r="625" spans="1:18" ht="15.75" customHeight="1">
      <c r="A625" s="17"/>
      <c r="B625" s="18" t="s">
        <v>2286</v>
      </c>
      <c r="C625" s="37" t="s">
        <v>24</v>
      </c>
      <c r="D625" s="20" t="s">
        <v>2287</v>
      </c>
      <c r="E625" s="20" t="s">
        <v>2288</v>
      </c>
      <c r="F625" s="19" t="s">
        <v>27</v>
      </c>
      <c r="G625" s="19" t="s">
        <v>28</v>
      </c>
      <c r="H625" s="19" t="s">
        <v>36</v>
      </c>
      <c r="I625" s="21" t="s">
        <v>29</v>
      </c>
      <c r="J625" s="21" t="s">
        <v>29</v>
      </c>
      <c r="K625" s="22" t="s">
        <v>2289</v>
      </c>
      <c r="L625" s="56">
        <v>45061</v>
      </c>
      <c r="Q625" s="25"/>
      <c r="R625" s="25"/>
    </row>
    <row r="626" spans="1:18" ht="15.75" customHeight="1">
      <c r="A626" s="17"/>
      <c r="B626" s="18" t="s">
        <v>2290</v>
      </c>
      <c r="C626" s="37" t="s">
        <v>24</v>
      </c>
      <c r="D626" s="20" t="s">
        <v>2291</v>
      </c>
      <c r="E626" s="20" t="s">
        <v>2292</v>
      </c>
      <c r="F626" s="19" t="s">
        <v>27</v>
      </c>
      <c r="G626" s="19" t="s">
        <v>28</v>
      </c>
      <c r="H626" s="37"/>
      <c r="I626" s="21" t="s">
        <v>29</v>
      </c>
      <c r="J626" s="21" t="s">
        <v>29</v>
      </c>
      <c r="K626" s="22" t="s">
        <v>2293</v>
      </c>
      <c r="L626" s="56">
        <v>45061</v>
      </c>
      <c r="Q626" s="25"/>
      <c r="R626" s="25"/>
    </row>
    <row r="627" spans="1:18" ht="15.75" customHeight="1">
      <c r="A627" s="17"/>
      <c r="B627" s="34" t="s">
        <v>2294</v>
      </c>
      <c r="C627" s="37" t="s">
        <v>24</v>
      </c>
      <c r="D627" s="20" t="s">
        <v>2295</v>
      </c>
      <c r="E627" s="20" t="s">
        <v>2296</v>
      </c>
      <c r="F627" s="19" t="s">
        <v>90</v>
      </c>
      <c r="G627" s="19" t="s">
        <v>91</v>
      </c>
      <c r="H627" s="37"/>
      <c r="I627" s="21" t="s">
        <v>29</v>
      </c>
      <c r="J627" s="21" t="s">
        <v>29</v>
      </c>
      <c r="K627" s="22" t="s">
        <v>2297</v>
      </c>
      <c r="L627" s="56">
        <v>45061</v>
      </c>
      <c r="Q627" s="25"/>
      <c r="R627" s="25"/>
    </row>
    <row r="628" spans="1:18" ht="15.75" customHeight="1">
      <c r="A628" s="17"/>
      <c r="B628" s="18" t="s">
        <v>2298</v>
      </c>
      <c r="C628" s="37" t="s">
        <v>24</v>
      </c>
      <c r="D628" s="20" t="s">
        <v>2299</v>
      </c>
      <c r="E628" s="20" t="s">
        <v>2300</v>
      </c>
      <c r="F628" s="19" t="s">
        <v>27</v>
      </c>
      <c r="G628" s="19" t="s">
        <v>28</v>
      </c>
      <c r="H628" s="37"/>
      <c r="I628" s="21" t="s">
        <v>29</v>
      </c>
      <c r="J628" s="21" t="s">
        <v>29</v>
      </c>
      <c r="K628" s="22" t="s">
        <v>2301</v>
      </c>
      <c r="L628" s="56">
        <v>45061</v>
      </c>
      <c r="Q628" s="25"/>
      <c r="R628" s="25"/>
    </row>
    <row r="629" spans="1:18" ht="15.75" customHeight="1">
      <c r="A629" s="17"/>
      <c r="B629" s="18" t="s">
        <v>2302</v>
      </c>
      <c r="C629" s="37" t="s">
        <v>24</v>
      </c>
      <c r="D629" s="20" t="s">
        <v>2303</v>
      </c>
      <c r="E629" s="20" t="s">
        <v>2304</v>
      </c>
      <c r="F629" s="19" t="s">
        <v>27</v>
      </c>
      <c r="G629" s="19" t="s">
        <v>28</v>
      </c>
      <c r="H629" s="37"/>
      <c r="I629" s="21" t="s">
        <v>29</v>
      </c>
      <c r="J629" s="21" t="s">
        <v>29</v>
      </c>
      <c r="K629" s="22" t="s">
        <v>2304</v>
      </c>
      <c r="L629" s="56">
        <v>45061</v>
      </c>
      <c r="Q629" s="25"/>
      <c r="R629" s="25"/>
    </row>
    <row r="630" spans="1:18" ht="15.75" customHeight="1">
      <c r="A630" s="17"/>
      <c r="B630" s="36" t="s">
        <v>2305</v>
      </c>
      <c r="C630" s="37" t="s">
        <v>121</v>
      </c>
      <c r="D630" s="20" t="s">
        <v>2306</v>
      </c>
      <c r="E630" s="20" t="s">
        <v>2307</v>
      </c>
      <c r="F630" s="19" t="s">
        <v>90</v>
      </c>
      <c r="G630" s="19" t="s">
        <v>91</v>
      </c>
      <c r="H630" s="37"/>
      <c r="I630" s="21" t="s">
        <v>29</v>
      </c>
      <c r="J630" s="21" t="s">
        <v>29</v>
      </c>
      <c r="K630" s="22" t="s">
        <v>2308</v>
      </c>
      <c r="L630" s="56">
        <v>45061</v>
      </c>
      <c r="Q630" s="25"/>
      <c r="R630" s="25"/>
    </row>
    <row r="631" spans="1:18" ht="15.75" customHeight="1">
      <c r="A631" s="17"/>
      <c r="B631" s="18" t="s">
        <v>2309</v>
      </c>
      <c r="C631" s="37" t="s">
        <v>46</v>
      </c>
      <c r="D631" s="20" t="s">
        <v>2310</v>
      </c>
      <c r="E631" s="20" t="s">
        <v>2311</v>
      </c>
      <c r="F631" s="37" t="s">
        <v>49</v>
      </c>
      <c r="G631" s="19" t="s">
        <v>50</v>
      </c>
      <c r="H631" s="37"/>
      <c r="I631" s="21" t="s">
        <v>29</v>
      </c>
      <c r="J631" s="21" t="s">
        <v>29</v>
      </c>
      <c r="K631" s="22" t="s">
        <v>2312</v>
      </c>
      <c r="L631" s="56">
        <v>45061</v>
      </c>
      <c r="Q631" s="25"/>
      <c r="R631" s="25"/>
    </row>
    <row r="632" spans="1:18" ht="15.75" customHeight="1">
      <c r="A632" s="17"/>
      <c r="B632" s="18" t="s">
        <v>2313</v>
      </c>
      <c r="C632" s="37" t="s">
        <v>24</v>
      </c>
      <c r="D632" s="20" t="s">
        <v>2314</v>
      </c>
      <c r="E632" s="20" t="s">
        <v>2315</v>
      </c>
      <c r="F632" s="19" t="s">
        <v>27</v>
      </c>
      <c r="G632" s="19" t="s">
        <v>28</v>
      </c>
      <c r="H632" s="19" t="s">
        <v>36</v>
      </c>
      <c r="I632" s="21" t="s">
        <v>29</v>
      </c>
      <c r="J632" s="21" t="s">
        <v>29</v>
      </c>
      <c r="K632" s="22" t="s">
        <v>2316</v>
      </c>
      <c r="L632" s="56">
        <v>45061</v>
      </c>
      <c r="Q632" s="25"/>
      <c r="R632" s="25"/>
    </row>
    <row r="633" spans="1:18" ht="15.75" customHeight="1">
      <c r="A633" s="17"/>
      <c r="B633" s="18" t="s">
        <v>2317</v>
      </c>
      <c r="C633" s="37" t="s">
        <v>24</v>
      </c>
      <c r="D633" s="20" t="s">
        <v>2318</v>
      </c>
      <c r="E633" s="20" t="s">
        <v>2319</v>
      </c>
      <c r="F633" s="19" t="s">
        <v>27</v>
      </c>
      <c r="G633" s="19" t="s">
        <v>28</v>
      </c>
      <c r="H633" s="37" t="s">
        <v>762</v>
      </c>
      <c r="I633" s="21" t="s">
        <v>29</v>
      </c>
      <c r="J633" s="21" t="s">
        <v>29</v>
      </c>
      <c r="K633" s="22" t="s">
        <v>2320</v>
      </c>
      <c r="L633" s="56">
        <v>45061</v>
      </c>
      <c r="Q633" s="25"/>
      <c r="R633" s="25"/>
    </row>
    <row r="634" spans="1:18" ht="15.75" customHeight="1">
      <c r="A634" s="17"/>
      <c r="B634" s="36" t="s">
        <v>2321</v>
      </c>
      <c r="C634" s="37" t="s">
        <v>121</v>
      </c>
      <c r="D634" s="20" t="s">
        <v>2322</v>
      </c>
      <c r="E634" s="20" t="s">
        <v>2323</v>
      </c>
      <c r="F634" s="19" t="s">
        <v>27</v>
      </c>
      <c r="G634" s="37" t="s">
        <v>452</v>
      </c>
      <c r="H634" s="37"/>
      <c r="I634" s="21" t="s">
        <v>29</v>
      </c>
      <c r="J634" s="21" t="s">
        <v>452</v>
      </c>
      <c r="K634" s="22" t="s">
        <v>2324</v>
      </c>
      <c r="L634" s="56">
        <v>45061</v>
      </c>
      <c r="Q634" s="25"/>
      <c r="R634" s="25"/>
    </row>
    <row r="635" spans="1:18" ht="15.75" customHeight="1">
      <c r="A635" s="17"/>
      <c r="B635" s="18" t="s">
        <v>2325</v>
      </c>
      <c r="C635" s="37" t="s">
        <v>24</v>
      </c>
      <c r="D635" s="20" t="s">
        <v>2326</v>
      </c>
      <c r="E635" s="20" t="s">
        <v>2327</v>
      </c>
      <c r="F635" s="19" t="s">
        <v>27</v>
      </c>
      <c r="G635" s="19" t="s">
        <v>28</v>
      </c>
      <c r="H635" s="37"/>
      <c r="I635" s="21" t="s">
        <v>29</v>
      </c>
      <c r="J635" s="21" t="s">
        <v>29</v>
      </c>
      <c r="K635" s="22" t="s">
        <v>2328</v>
      </c>
      <c r="L635" s="56">
        <v>45061</v>
      </c>
      <c r="Q635" s="25"/>
      <c r="R635" s="25"/>
    </row>
    <row r="636" spans="1:18" ht="15.75" customHeight="1">
      <c r="A636" s="17"/>
      <c r="B636" s="18" t="s">
        <v>2329</v>
      </c>
      <c r="C636" s="37" t="s">
        <v>24</v>
      </c>
      <c r="D636" s="20" t="s">
        <v>2330</v>
      </c>
      <c r="E636" s="20" t="s">
        <v>2331</v>
      </c>
      <c r="F636" s="19" t="s">
        <v>27</v>
      </c>
      <c r="G636" s="19" t="s">
        <v>28</v>
      </c>
      <c r="H636" s="37" t="s">
        <v>762</v>
      </c>
      <c r="I636" s="21" t="s">
        <v>29</v>
      </c>
      <c r="J636" s="21" t="s">
        <v>29</v>
      </c>
      <c r="K636" s="22" t="s">
        <v>2332</v>
      </c>
      <c r="L636" s="56">
        <v>45061</v>
      </c>
      <c r="Q636" s="25"/>
      <c r="R636" s="25"/>
    </row>
    <row r="637" spans="1:18" ht="15.75" customHeight="1">
      <c r="A637" s="17"/>
      <c r="B637" s="18" t="s">
        <v>2333</v>
      </c>
      <c r="C637" s="37" t="s">
        <v>24</v>
      </c>
      <c r="D637" s="20" t="s">
        <v>2334</v>
      </c>
      <c r="E637" s="20" t="s">
        <v>2335</v>
      </c>
      <c r="F637" s="19" t="s">
        <v>27</v>
      </c>
      <c r="G637" s="19" t="s">
        <v>28</v>
      </c>
      <c r="H637" s="37"/>
      <c r="I637" s="21" t="s">
        <v>29</v>
      </c>
      <c r="J637" s="21" t="s">
        <v>29</v>
      </c>
      <c r="K637" s="22" t="s">
        <v>2335</v>
      </c>
      <c r="L637" s="56">
        <v>45061</v>
      </c>
      <c r="Q637" s="25"/>
      <c r="R637" s="25"/>
    </row>
    <row r="638" spans="1:18" ht="15.75" customHeight="1">
      <c r="A638" s="17"/>
      <c r="B638" s="18" t="s">
        <v>2336</v>
      </c>
      <c r="C638" s="37" t="s">
        <v>87</v>
      </c>
      <c r="D638" s="20" t="s">
        <v>2337</v>
      </c>
      <c r="E638" s="20" t="s">
        <v>2338</v>
      </c>
      <c r="F638" s="19" t="s">
        <v>90</v>
      </c>
      <c r="G638" s="19" t="s">
        <v>91</v>
      </c>
      <c r="H638" s="37"/>
      <c r="I638" s="21" t="s">
        <v>29</v>
      </c>
      <c r="J638" s="21" t="s">
        <v>29</v>
      </c>
      <c r="K638" s="22" t="s">
        <v>2339</v>
      </c>
      <c r="L638" s="56">
        <v>45061</v>
      </c>
      <c r="Q638" s="25"/>
      <c r="R638" s="25"/>
    </row>
    <row r="639" spans="1:18" ht="15.75" customHeight="1">
      <c r="A639" s="17"/>
      <c r="B639" s="18" t="s">
        <v>2340</v>
      </c>
      <c r="C639" s="37" t="s">
        <v>87</v>
      </c>
      <c r="D639" s="20" t="s">
        <v>2341</v>
      </c>
      <c r="E639" s="20" t="s">
        <v>55</v>
      </c>
      <c r="F639" s="19" t="s">
        <v>90</v>
      </c>
      <c r="G639" s="19" t="s">
        <v>91</v>
      </c>
      <c r="H639" s="37"/>
      <c r="I639" s="21" t="s">
        <v>29</v>
      </c>
      <c r="J639" s="21" t="s">
        <v>29</v>
      </c>
      <c r="K639" s="22" t="s">
        <v>55</v>
      </c>
      <c r="L639" s="56">
        <v>45061</v>
      </c>
      <c r="Q639" s="25"/>
      <c r="R639" s="25"/>
    </row>
    <row r="640" spans="1:18" ht="15.75" customHeight="1">
      <c r="A640" s="17"/>
      <c r="B640" s="18" t="s">
        <v>2342</v>
      </c>
      <c r="C640" s="37" t="s">
        <v>24</v>
      </c>
      <c r="D640" s="20" t="s">
        <v>2343</v>
      </c>
      <c r="E640" s="20" t="s">
        <v>2344</v>
      </c>
      <c r="F640" s="19" t="s">
        <v>27</v>
      </c>
      <c r="G640" s="19" t="s">
        <v>28</v>
      </c>
      <c r="H640" s="37"/>
      <c r="I640" s="21" t="s">
        <v>29</v>
      </c>
      <c r="J640" s="21" t="s">
        <v>29</v>
      </c>
      <c r="K640" s="22" t="s">
        <v>2345</v>
      </c>
      <c r="L640" s="56">
        <v>45061</v>
      </c>
      <c r="Q640" s="25"/>
      <c r="R640" s="25"/>
    </row>
    <row r="641" spans="1:34" ht="15.75" customHeight="1">
      <c r="A641" s="17"/>
      <c r="B641" s="18" t="s">
        <v>2346</v>
      </c>
      <c r="C641" s="37" t="s">
        <v>46</v>
      </c>
      <c r="D641" s="20" t="s">
        <v>2347</v>
      </c>
      <c r="E641" s="20" t="s">
        <v>2348</v>
      </c>
      <c r="F641" s="37" t="s">
        <v>49</v>
      </c>
      <c r="G641" s="19" t="s">
        <v>50</v>
      </c>
      <c r="H641" s="37"/>
      <c r="I641" s="21" t="s">
        <v>29</v>
      </c>
      <c r="J641" s="21" t="s">
        <v>29</v>
      </c>
      <c r="K641" s="22" t="s">
        <v>2349</v>
      </c>
      <c r="L641" s="56">
        <v>45061</v>
      </c>
      <c r="Q641" s="25"/>
      <c r="R641" s="25"/>
    </row>
    <row r="642" spans="1:34" ht="15.75" customHeight="1">
      <c r="A642" s="17"/>
      <c r="B642" s="18" t="s">
        <v>2350</v>
      </c>
      <c r="C642" s="37" t="s">
        <v>24</v>
      </c>
      <c r="D642" s="20" t="s">
        <v>2351</v>
      </c>
      <c r="E642" s="20" t="s">
        <v>2352</v>
      </c>
      <c r="F642" s="19" t="s">
        <v>27</v>
      </c>
      <c r="G642" s="19" t="s">
        <v>28</v>
      </c>
      <c r="H642" s="37"/>
      <c r="I642" s="21" t="s">
        <v>29</v>
      </c>
      <c r="J642" s="21" t="s">
        <v>29</v>
      </c>
      <c r="K642" s="22" t="s">
        <v>2353</v>
      </c>
      <c r="L642" s="56">
        <v>45061</v>
      </c>
      <c r="Q642" s="25"/>
      <c r="R642" s="25"/>
    </row>
    <row r="643" spans="1:34" ht="15.75" customHeight="1">
      <c r="A643" s="17"/>
      <c r="B643" s="18" t="s">
        <v>2354</v>
      </c>
      <c r="C643" s="37" t="s">
        <v>24</v>
      </c>
      <c r="D643" s="20" t="s">
        <v>2355</v>
      </c>
      <c r="E643" s="20" t="s">
        <v>2356</v>
      </c>
      <c r="F643" s="19" t="s">
        <v>27</v>
      </c>
      <c r="G643" s="19" t="s">
        <v>28</v>
      </c>
      <c r="H643" s="37" t="s">
        <v>762</v>
      </c>
      <c r="I643" s="21" t="s">
        <v>29</v>
      </c>
      <c r="J643" s="21" t="s">
        <v>29</v>
      </c>
      <c r="K643" s="22" t="s">
        <v>2356</v>
      </c>
      <c r="L643" s="56">
        <v>45061</v>
      </c>
      <c r="Q643" s="25"/>
      <c r="R643" s="25"/>
    </row>
    <row r="644" spans="1:34" ht="15.75" customHeight="1">
      <c r="A644" s="17"/>
      <c r="B644" s="18" t="s">
        <v>2357</v>
      </c>
      <c r="C644" s="37" t="s">
        <v>24</v>
      </c>
      <c r="D644" s="20" t="s">
        <v>2358</v>
      </c>
      <c r="E644" s="20" t="s">
        <v>2359</v>
      </c>
      <c r="F644" s="19" t="s">
        <v>27</v>
      </c>
      <c r="G644" s="19" t="s">
        <v>28</v>
      </c>
      <c r="H644" s="37"/>
      <c r="I644" s="21" t="s">
        <v>29</v>
      </c>
      <c r="J644" s="21" t="s">
        <v>29</v>
      </c>
      <c r="K644" s="22" t="s">
        <v>2360</v>
      </c>
      <c r="L644" s="56">
        <v>45061</v>
      </c>
      <c r="Q644" s="25"/>
      <c r="R644" s="25"/>
    </row>
    <row r="645" spans="1:34" ht="15.75" customHeight="1">
      <c r="A645" s="17"/>
      <c r="B645" s="18" t="s">
        <v>2361</v>
      </c>
      <c r="C645" s="37" t="s">
        <v>24</v>
      </c>
      <c r="D645" s="20" t="s">
        <v>2362</v>
      </c>
      <c r="E645" s="20" t="s">
        <v>2363</v>
      </c>
      <c r="F645" s="19" t="s">
        <v>27</v>
      </c>
      <c r="G645" s="19" t="s">
        <v>28</v>
      </c>
      <c r="H645" s="19" t="s">
        <v>36</v>
      </c>
      <c r="I645" s="21" t="s">
        <v>29</v>
      </c>
      <c r="J645" s="21" t="s">
        <v>29</v>
      </c>
      <c r="K645" s="22" t="s">
        <v>2364</v>
      </c>
      <c r="L645" s="56">
        <v>45061</v>
      </c>
      <c r="Q645" s="25"/>
      <c r="R645" s="25"/>
    </row>
    <row r="646" spans="1:34" ht="15.75" customHeight="1">
      <c r="A646" s="17"/>
      <c r="B646" s="18" t="s">
        <v>2365</v>
      </c>
      <c r="C646" s="37" t="s">
        <v>46</v>
      </c>
      <c r="D646" s="20" t="s">
        <v>2366</v>
      </c>
      <c r="E646" s="20" t="s">
        <v>2367</v>
      </c>
      <c r="F646" s="37" t="s">
        <v>49</v>
      </c>
      <c r="G646" s="19" t="s">
        <v>50</v>
      </c>
      <c r="H646" s="37"/>
      <c r="I646" s="21" t="s">
        <v>29</v>
      </c>
      <c r="J646" s="21" t="s">
        <v>29</v>
      </c>
      <c r="K646" s="22" t="s">
        <v>2368</v>
      </c>
      <c r="L646" s="56">
        <v>45061</v>
      </c>
      <c r="Q646" s="25"/>
      <c r="R646" s="25"/>
    </row>
    <row r="647" spans="1:34" ht="15.75" customHeight="1">
      <c r="A647" s="17"/>
      <c r="B647" s="18" t="s">
        <v>2369</v>
      </c>
      <c r="C647" s="37" t="s">
        <v>24</v>
      </c>
      <c r="D647" s="20" t="s">
        <v>2370</v>
      </c>
      <c r="E647" s="20" t="s">
        <v>2371</v>
      </c>
      <c r="F647" s="19" t="s">
        <v>27</v>
      </c>
      <c r="G647" s="19" t="s">
        <v>28</v>
      </c>
      <c r="H647" s="37"/>
      <c r="I647" s="21" t="s">
        <v>29</v>
      </c>
      <c r="J647" s="21" t="s">
        <v>29</v>
      </c>
      <c r="K647" s="22" t="s">
        <v>2372</v>
      </c>
      <c r="L647" s="56">
        <v>45061</v>
      </c>
      <c r="Q647" s="25"/>
      <c r="R647" s="25"/>
    </row>
    <row r="648" spans="1:34" ht="15.75" customHeight="1">
      <c r="A648" s="17"/>
      <c r="B648" s="36" t="s">
        <v>2373</v>
      </c>
      <c r="C648" s="37" t="s">
        <v>121</v>
      </c>
      <c r="D648" s="20" t="s">
        <v>2374</v>
      </c>
      <c r="E648" s="20" t="s">
        <v>2375</v>
      </c>
      <c r="F648" s="19" t="s">
        <v>27</v>
      </c>
      <c r="G648" s="19" t="s">
        <v>28</v>
      </c>
      <c r="H648" s="37"/>
      <c r="I648" s="21" t="s">
        <v>29</v>
      </c>
      <c r="J648" s="21" t="s">
        <v>29</v>
      </c>
      <c r="K648" s="22" t="s">
        <v>2376</v>
      </c>
      <c r="L648" s="56">
        <v>45061</v>
      </c>
      <c r="Q648" s="25"/>
      <c r="R648" s="25"/>
    </row>
    <row r="649" spans="1:34" ht="15.75" customHeight="1">
      <c r="A649" s="17"/>
      <c r="B649" s="18" t="s">
        <v>2377</v>
      </c>
      <c r="C649" s="37" t="s">
        <v>24</v>
      </c>
      <c r="D649" s="20" t="s">
        <v>2378</v>
      </c>
      <c r="E649" s="20" t="s">
        <v>2379</v>
      </c>
      <c r="F649" s="19" t="s">
        <v>27</v>
      </c>
      <c r="G649" s="19" t="s">
        <v>28</v>
      </c>
      <c r="H649" s="37"/>
      <c r="I649" s="21" t="s">
        <v>29</v>
      </c>
      <c r="J649" s="21" t="s">
        <v>29</v>
      </c>
      <c r="K649" s="22" t="s">
        <v>2380</v>
      </c>
      <c r="L649" s="56">
        <v>45061</v>
      </c>
      <c r="Q649" s="25"/>
      <c r="R649" s="25"/>
    </row>
    <row r="650" spans="1:34" ht="15.75" customHeight="1">
      <c r="A650" s="17"/>
      <c r="B650" s="18" t="s">
        <v>2381</v>
      </c>
      <c r="C650" s="37" t="s">
        <v>24</v>
      </c>
      <c r="D650" s="20" t="s">
        <v>2382</v>
      </c>
      <c r="E650" s="20" t="s">
        <v>2383</v>
      </c>
      <c r="F650" s="19" t="s">
        <v>27</v>
      </c>
      <c r="G650" s="19" t="s">
        <v>28</v>
      </c>
      <c r="H650" s="19" t="s">
        <v>36</v>
      </c>
      <c r="I650" s="21" t="s">
        <v>29</v>
      </c>
      <c r="J650" s="21" t="s">
        <v>29</v>
      </c>
      <c r="K650" s="22" t="s">
        <v>2384</v>
      </c>
      <c r="L650" s="56">
        <v>45061</v>
      </c>
      <c r="Q650" s="25"/>
      <c r="R650" s="25"/>
    </row>
    <row r="651" spans="1:34" ht="15.75" customHeight="1">
      <c r="A651" s="17"/>
      <c r="B651" s="18" t="s">
        <v>2385</v>
      </c>
      <c r="C651" s="37" t="s">
        <v>46</v>
      </c>
      <c r="D651" s="20" t="s">
        <v>2386</v>
      </c>
      <c r="E651" s="20" t="s">
        <v>2387</v>
      </c>
      <c r="F651" s="37" t="s">
        <v>49</v>
      </c>
      <c r="G651" s="19" t="s">
        <v>50</v>
      </c>
      <c r="H651" s="37"/>
      <c r="I651" s="21" t="s">
        <v>29</v>
      </c>
      <c r="J651" s="21" t="s">
        <v>29</v>
      </c>
      <c r="K651" s="22" t="s">
        <v>2387</v>
      </c>
      <c r="L651" s="56">
        <v>45061</v>
      </c>
      <c r="Q651" s="25"/>
      <c r="R651" s="25"/>
    </row>
    <row r="652" spans="1:34" ht="15.75" customHeight="1">
      <c r="A652" s="17"/>
      <c r="B652" s="18" t="s">
        <v>2388</v>
      </c>
      <c r="C652" s="37" t="s">
        <v>24</v>
      </c>
      <c r="D652" s="20" t="s">
        <v>2389</v>
      </c>
      <c r="E652" s="20" t="s">
        <v>2390</v>
      </c>
      <c r="F652" s="19" t="s">
        <v>27</v>
      </c>
      <c r="G652" s="19" t="s">
        <v>28</v>
      </c>
      <c r="H652" s="37"/>
      <c r="I652" s="21" t="s">
        <v>29</v>
      </c>
      <c r="J652" s="21" t="s">
        <v>29</v>
      </c>
      <c r="K652" s="22" t="s">
        <v>2391</v>
      </c>
      <c r="L652" s="56">
        <v>45061</v>
      </c>
      <c r="Q652" s="25"/>
      <c r="R652" s="25"/>
    </row>
    <row r="653" spans="1:34" ht="15.75" customHeight="1">
      <c r="A653" s="17"/>
      <c r="B653" s="18" t="s">
        <v>2392</v>
      </c>
      <c r="C653" s="37" t="s">
        <v>46</v>
      </c>
      <c r="D653" s="20" t="s">
        <v>2393</v>
      </c>
      <c r="E653" s="20" t="s">
        <v>2394</v>
      </c>
      <c r="F653" s="37" t="s">
        <v>49</v>
      </c>
      <c r="G653" s="19" t="s">
        <v>50</v>
      </c>
      <c r="H653" s="37"/>
      <c r="I653" s="21" t="s">
        <v>29</v>
      </c>
      <c r="J653" s="21" t="s">
        <v>29</v>
      </c>
      <c r="K653" s="22" t="s">
        <v>2394</v>
      </c>
      <c r="L653" s="56">
        <v>45061</v>
      </c>
      <c r="Q653" s="25"/>
      <c r="R653" s="25"/>
    </row>
    <row r="654" spans="1:34" ht="15.75" customHeight="1">
      <c r="A654" s="17"/>
      <c r="B654" s="18" t="s">
        <v>2395</v>
      </c>
      <c r="C654" s="37" t="s">
        <v>24</v>
      </c>
      <c r="D654" s="20" t="s">
        <v>2396</v>
      </c>
      <c r="E654" s="20" t="s">
        <v>2397</v>
      </c>
      <c r="F654" s="19" t="s">
        <v>90</v>
      </c>
      <c r="G654" s="19" t="s">
        <v>28</v>
      </c>
      <c r="H654" s="37"/>
      <c r="I654" s="21" t="s">
        <v>29</v>
      </c>
      <c r="J654" s="21" t="s">
        <v>29</v>
      </c>
      <c r="K654" s="22" t="s">
        <v>2398</v>
      </c>
      <c r="L654" s="56">
        <v>45061</v>
      </c>
      <c r="Q654" s="25"/>
      <c r="R654" s="25"/>
    </row>
    <row r="655" spans="1:34" ht="15.75" customHeight="1">
      <c r="A655" s="17"/>
      <c r="B655" s="18" t="s">
        <v>2399</v>
      </c>
      <c r="C655" s="37" t="s">
        <v>24</v>
      </c>
      <c r="D655" s="20" t="s">
        <v>2400</v>
      </c>
      <c r="E655" s="20" t="s">
        <v>2401</v>
      </c>
      <c r="F655" s="19" t="s">
        <v>27</v>
      </c>
      <c r="G655" s="19" t="s">
        <v>28</v>
      </c>
      <c r="H655" s="37"/>
      <c r="I655" s="21" t="s">
        <v>29</v>
      </c>
      <c r="J655" s="21" t="s">
        <v>29</v>
      </c>
      <c r="K655" s="22" t="s">
        <v>2402</v>
      </c>
      <c r="L655" s="56">
        <v>45061</v>
      </c>
      <c r="Q655" s="25"/>
      <c r="R655" s="25"/>
    </row>
    <row r="656" spans="1:34" ht="15.75" customHeight="1">
      <c r="A656" s="17"/>
      <c r="B656" s="18" t="s">
        <v>2403</v>
      </c>
      <c r="C656" s="37" t="s">
        <v>24</v>
      </c>
      <c r="D656" s="20" t="s">
        <v>2404</v>
      </c>
      <c r="E656" s="20" t="s">
        <v>2405</v>
      </c>
      <c r="F656" s="19" t="s">
        <v>27</v>
      </c>
      <c r="G656" s="19" t="s">
        <v>28</v>
      </c>
      <c r="H656" s="37"/>
      <c r="I656" s="21" t="s">
        <v>29</v>
      </c>
      <c r="J656" s="21" t="s">
        <v>29</v>
      </c>
      <c r="K656" s="22" t="s">
        <v>2406</v>
      </c>
      <c r="L656" s="56">
        <v>45061</v>
      </c>
      <c r="Q656" s="25"/>
      <c r="R656" s="25"/>
      <c r="AB656" s="42"/>
      <c r="AE656" s="38"/>
      <c r="AF656" s="38"/>
      <c r="AG656" s="38"/>
      <c r="AH656" s="43"/>
    </row>
    <row r="657" spans="1:18" ht="15.75" customHeight="1">
      <c r="A657" s="17"/>
      <c r="B657" s="18" t="s">
        <v>2407</v>
      </c>
      <c r="C657" s="37" t="s">
        <v>24</v>
      </c>
      <c r="D657" s="20" t="s">
        <v>2408</v>
      </c>
      <c r="E657" s="20" t="s">
        <v>2409</v>
      </c>
      <c r="F657" s="19" t="s">
        <v>27</v>
      </c>
      <c r="G657" s="19" t="s">
        <v>28</v>
      </c>
      <c r="H657" s="19" t="s">
        <v>36</v>
      </c>
      <c r="I657" s="21" t="s">
        <v>29</v>
      </c>
      <c r="J657" s="21" t="s">
        <v>29</v>
      </c>
      <c r="K657" s="22" t="s">
        <v>2410</v>
      </c>
      <c r="L657" s="56">
        <v>45061</v>
      </c>
      <c r="Q657" s="25"/>
      <c r="R657" s="25"/>
    </row>
    <row r="658" spans="1:18" ht="15.75" customHeight="1">
      <c r="A658" s="17"/>
      <c r="B658" s="18" t="s">
        <v>2411</v>
      </c>
      <c r="C658" s="37" t="s">
        <v>24</v>
      </c>
      <c r="D658" s="20" t="s">
        <v>2412</v>
      </c>
      <c r="E658" s="20" t="s">
        <v>2413</v>
      </c>
      <c r="F658" s="19" t="s">
        <v>27</v>
      </c>
      <c r="G658" s="19" t="s">
        <v>28</v>
      </c>
      <c r="H658" s="37"/>
      <c r="I658" s="21" t="s">
        <v>29</v>
      </c>
      <c r="J658" s="21" t="s">
        <v>29</v>
      </c>
      <c r="K658" s="22" t="s">
        <v>2414</v>
      </c>
      <c r="L658" s="56">
        <v>45061</v>
      </c>
      <c r="Q658" s="25"/>
      <c r="R658" s="25"/>
    </row>
    <row r="659" spans="1:18" ht="15.75" customHeight="1">
      <c r="A659" s="17"/>
      <c r="B659" s="18" t="s">
        <v>2415</v>
      </c>
      <c r="C659" s="37" t="s">
        <v>24</v>
      </c>
      <c r="D659" s="20" t="s">
        <v>2416</v>
      </c>
      <c r="E659" s="20" t="s">
        <v>2417</v>
      </c>
      <c r="F659" s="19" t="s">
        <v>27</v>
      </c>
      <c r="G659" s="19" t="s">
        <v>28</v>
      </c>
      <c r="H659" s="37"/>
      <c r="I659" s="21" t="s">
        <v>29</v>
      </c>
      <c r="J659" s="21" t="s">
        <v>29</v>
      </c>
      <c r="K659" s="22" t="s">
        <v>2417</v>
      </c>
      <c r="L659" s="56">
        <v>45061</v>
      </c>
      <c r="Q659" s="25"/>
      <c r="R659" s="25"/>
    </row>
    <row r="660" spans="1:18" ht="15.75" customHeight="1">
      <c r="A660" s="17"/>
      <c r="B660" s="18" t="s">
        <v>2418</v>
      </c>
      <c r="C660" s="37" t="s">
        <v>24</v>
      </c>
      <c r="D660" s="20" t="s">
        <v>2419</v>
      </c>
      <c r="E660" s="20" t="s">
        <v>2420</v>
      </c>
      <c r="F660" s="19" t="s">
        <v>27</v>
      </c>
      <c r="G660" s="19" t="s">
        <v>28</v>
      </c>
      <c r="H660" s="37"/>
      <c r="I660" s="21" t="s">
        <v>29</v>
      </c>
      <c r="J660" s="21" t="s">
        <v>29</v>
      </c>
      <c r="K660" s="22" t="s">
        <v>2421</v>
      </c>
      <c r="L660" s="56">
        <v>45061</v>
      </c>
      <c r="Q660" s="25"/>
      <c r="R660" s="25"/>
    </row>
    <row r="661" spans="1:18" ht="15.75" customHeight="1">
      <c r="A661" s="17"/>
      <c r="B661" s="18" t="s">
        <v>2422</v>
      </c>
      <c r="C661" s="37" t="s">
        <v>24</v>
      </c>
      <c r="D661" s="20" t="s">
        <v>2423</v>
      </c>
      <c r="E661" s="20" t="s">
        <v>2424</v>
      </c>
      <c r="F661" s="19" t="s">
        <v>90</v>
      </c>
      <c r="G661" s="19" t="s">
        <v>28</v>
      </c>
      <c r="H661" s="37"/>
      <c r="I661" s="21" t="s">
        <v>29</v>
      </c>
      <c r="J661" s="21" t="s">
        <v>29</v>
      </c>
      <c r="K661" s="22" t="s">
        <v>2425</v>
      </c>
      <c r="L661" s="56">
        <v>45061</v>
      </c>
      <c r="Q661" s="25"/>
      <c r="R661" s="25"/>
    </row>
    <row r="662" spans="1:18" ht="15.75" customHeight="1">
      <c r="A662" s="17"/>
      <c r="B662" s="34" t="s">
        <v>2426</v>
      </c>
      <c r="C662" s="37" t="s">
        <v>87</v>
      </c>
      <c r="D662" s="20" t="s">
        <v>2427</v>
      </c>
      <c r="E662" s="20" t="s">
        <v>2428</v>
      </c>
      <c r="F662" s="37" t="s">
        <v>49</v>
      </c>
      <c r="G662" s="19" t="s">
        <v>50</v>
      </c>
      <c r="H662" s="37"/>
      <c r="I662" s="21" t="s">
        <v>29</v>
      </c>
      <c r="J662" s="21" t="s">
        <v>29</v>
      </c>
      <c r="K662" s="22" t="s">
        <v>2429</v>
      </c>
      <c r="L662" s="56">
        <v>45061</v>
      </c>
      <c r="Q662" s="25"/>
      <c r="R662" s="25"/>
    </row>
    <row r="663" spans="1:18" ht="15.75" customHeight="1">
      <c r="A663" s="17"/>
      <c r="B663" s="18" t="s">
        <v>2430</v>
      </c>
      <c r="C663" s="37" t="s">
        <v>412</v>
      </c>
      <c r="D663" s="20" t="s">
        <v>2431</v>
      </c>
      <c r="E663" s="20" t="s">
        <v>2432</v>
      </c>
      <c r="F663" s="19" t="s">
        <v>414</v>
      </c>
      <c r="G663" s="19" t="s">
        <v>415</v>
      </c>
      <c r="H663" s="37"/>
      <c r="I663" s="21" t="s">
        <v>233</v>
      </c>
      <c r="J663" s="21" t="s">
        <v>233</v>
      </c>
      <c r="K663" s="22" t="s">
        <v>2433</v>
      </c>
      <c r="L663" s="56">
        <v>45061</v>
      </c>
      <c r="Q663" s="25"/>
      <c r="R663" s="25"/>
    </row>
    <row r="664" spans="1:18" ht="15.75" customHeight="1">
      <c r="A664" s="17"/>
      <c r="B664" s="18" t="s">
        <v>2434</v>
      </c>
      <c r="C664" s="37" t="s">
        <v>412</v>
      </c>
      <c r="D664" s="20" t="s">
        <v>2435</v>
      </c>
      <c r="E664" s="20" t="s">
        <v>2436</v>
      </c>
      <c r="F664" s="19" t="s">
        <v>414</v>
      </c>
      <c r="G664" s="37" t="s">
        <v>415</v>
      </c>
      <c r="H664" s="37"/>
      <c r="I664" s="21" t="s">
        <v>233</v>
      </c>
      <c r="J664" s="21" t="s">
        <v>233</v>
      </c>
      <c r="K664" s="22" t="s">
        <v>2436</v>
      </c>
      <c r="L664" s="56">
        <v>45061</v>
      </c>
      <c r="Q664" s="25"/>
      <c r="R664" s="25"/>
    </row>
    <row r="665" spans="1:18" ht="15.75" customHeight="1">
      <c r="A665" s="17"/>
      <c r="B665" s="18" t="s">
        <v>2437</v>
      </c>
      <c r="C665" s="37" t="s">
        <v>412</v>
      </c>
      <c r="D665" s="20" t="s">
        <v>2438</v>
      </c>
      <c r="E665" s="20" t="s">
        <v>55</v>
      </c>
      <c r="F665" s="19" t="s">
        <v>414</v>
      </c>
      <c r="G665" s="19" t="s">
        <v>415</v>
      </c>
      <c r="H665" s="37"/>
      <c r="I665" s="21" t="s">
        <v>233</v>
      </c>
      <c r="J665" s="21" t="s">
        <v>233</v>
      </c>
      <c r="K665" s="22" t="s">
        <v>55</v>
      </c>
      <c r="L665" s="56">
        <v>45061</v>
      </c>
      <c r="Q665" s="25"/>
      <c r="R665" s="25"/>
    </row>
    <row r="666" spans="1:18" ht="15.75" customHeight="1">
      <c r="A666" s="17"/>
      <c r="B666" s="18" t="s">
        <v>2439</v>
      </c>
      <c r="C666" s="37" t="s">
        <v>412</v>
      </c>
      <c r="D666" s="20" t="s">
        <v>2440</v>
      </c>
      <c r="E666" s="20" t="s">
        <v>55</v>
      </c>
      <c r="F666" s="19" t="s">
        <v>414</v>
      </c>
      <c r="G666" s="37" t="s">
        <v>415</v>
      </c>
      <c r="H666" s="37"/>
      <c r="I666" s="21" t="s">
        <v>233</v>
      </c>
      <c r="J666" s="21" t="s">
        <v>233</v>
      </c>
      <c r="K666" s="22" t="s">
        <v>55</v>
      </c>
      <c r="L666" s="56">
        <v>45061</v>
      </c>
      <c r="Q666" s="25"/>
      <c r="R666" s="25"/>
    </row>
    <row r="667" spans="1:18" ht="15.75" customHeight="1">
      <c r="A667" s="17"/>
      <c r="B667" s="18" t="s">
        <v>2441</v>
      </c>
      <c r="C667" s="37" t="s">
        <v>412</v>
      </c>
      <c r="D667" s="20" t="s">
        <v>2442</v>
      </c>
      <c r="E667" s="20" t="s">
        <v>2443</v>
      </c>
      <c r="F667" s="19" t="s">
        <v>414</v>
      </c>
      <c r="G667" s="19" t="s">
        <v>415</v>
      </c>
      <c r="H667" s="37"/>
      <c r="I667" s="21" t="s">
        <v>233</v>
      </c>
      <c r="J667" s="21" t="s">
        <v>233</v>
      </c>
      <c r="K667" s="22" t="s">
        <v>2444</v>
      </c>
      <c r="L667" s="56">
        <v>45061</v>
      </c>
      <c r="Q667" s="25"/>
      <c r="R667" s="25"/>
    </row>
    <row r="668" spans="1:18" ht="15.75" customHeight="1">
      <c r="A668" s="17"/>
      <c r="B668" s="18" t="s">
        <v>2445</v>
      </c>
      <c r="C668" s="37" t="s">
        <v>412</v>
      </c>
      <c r="D668" s="20" t="s">
        <v>2446</v>
      </c>
      <c r="E668" s="20" t="s">
        <v>55</v>
      </c>
      <c r="F668" s="19" t="s">
        <v>414</v>
      </c>
      <c r="G668" s="37" t="s">
        <v>415</v>
      </c>
      <c r="H668" s="37"/>
      <c r="I668" s="21" t="s">
        <v>233</v>
      </c>
      <c r="J668" s="21" t="s">
        <v>233</v>
      </c>
      <c r="K668" s="22" t="s">
        <v>55</v>
      </c>
      <c r="L668" s="56">
        <v>45061</v>
      </c>
      <c r="Q668" s="25"/>
      <c r="R668" s="25"/>
    </row>
    <row r="669" spans="1:18" ht="15.75" customHeight="1">
      <c r="A669" s="17"/>
      <c r="B669" s="18" t="s">
        <v>2447</v>
      </c>
      <c r="C669" s="37" t="s">
        <v>412</v>
      </c>
      <c r="D669" s="20" t="s">
        <v>2448</v>
      </c>
      <c r="E669" s="20" t="s">
        <v>55</v>
      </c>
      <c r="F669" s="19" t="s">
        <v>414</v>
      </c>
      <c r="G669" s="19" t="s">
        <v>415</v>
      </c>
      <c r="H669" s="37"/>
      <c r="I669" s="21" t="s">
        <v>233</v>
      </c>
      <c r="J669" s="21" t="s">
        <v>233</v>
      </c>
      <c r="K669" s="22" t="s">
        <v>55</v>
      </c>
      <c r="L669" s="56">
        <v>45061</v>
      </c>
      <c r="Q669" s="25"/>
      <c r="R669" s="25"/>
    </row>
    <row r="670" spans="1:18" ht="15.75" customHeight="1">
      <c r="A670" s="17"/>
      <c r="B670" s="18" t="s">
        <v>2449</v>
      </c>
      <c r="C670" s="37" t="s">
        <v>412</v>
      </c>
      <c r="D670" s="20" t="s">
        <v>2450</v>
      </c>
      <c r="E670" s="20" t="s">
        <v>2451</v>
      </c>
      <c r="F670" s="19" t="s">
        <v>414</v>
      </c>
      <c r="G670" s="37" t="s">
        <v>415</v>
      </c>
      <c r="H670" s="37"/>
      <c r="I670" s="21" t="s">
        <v>233</v>
      </c>
      <c r="J670" s="21" t="s">
        <v>233</v>
      </c>
      <c r="K670" s="22" t="s">
        <v>2451</v>
      </c>
      <c r="L670" s="56">
        <v>45061</v>
      </c>
      <c r="Q670" s="25"/>
      <c r="R670" s="25"/>
    </row>
    <row r="671" spans="1:18" ht="15.75" customHeight="1">
      <c r="A671" s="17"/>
      <c r="B671" s="18" t="s">
        <v>2452</v>
      </c>
      <c r="C671" s="37" t="s">
        <v>412</v>
      </c>
      <c r="D671" s="20" t="s">
        <v>2453</v>
      </c>
      <c r="E671" s="20" t="s">
        <v>145</v>
      </c>
      <c r="F671" s="19" t="s">
        <v>414</v>
      </c>
      <c r="G671" s="19" t="s">
        <v>415</v>
      </c>
      <c r="H671" s="37"/>
      <c r="I671" s="21" t="s">
        <v>233</v>
      </c>
      <c r="J671" s="21" t="s">
        <v>233</v>
      </c>
      <c r="K671" s="22" t="s">
        <v>145</v>
      </c>
      <c r="L671" s="56">
        <v>45061</v>
      </c>
      <c r="Q671" s="25"/>
      <c r="R671" s="25"/>
    </row>
    <row r="672" spans="1:18" ht="15.75" customHeight="1">
      <c r="A672" s="35"/>
      <c r="B672" s="38"/>
      <c r="C672" s="37"/>
      <c r="D672" s="20"/>
      <c r="E672" s="20" t="s">
        <v>145</v>
      </c>
      <c r="F672" s="37"/>
      <c r="G672" s="37"/>
      <c r="H672" s="37"/>
      <c r="I672" s="21"/>
      <c r="J672" s="21"/>
      <c r="K672" s="22" t="s">
        <v>145</v>
      </c>
      <c r="L672" s="39"/>
      <c r="Q672" s="25"/>
      <c r="R672" s="25"/>
    </row>
    <row r="673" spans="1:34" ht="15.75" customHeight="1">
      <c r="A673" s="17" t="s">
        <v>2454</v>
      </c>
      <c r="B673" s="18" t="s">
        <v>2455</v>
      </c>
      <c r="C673" s="37" t="s">
        <v>24</v>
      </c>
      <c r="D673" s="25" t="s">
        <v>2456</v>
      </c>
      <c r="E673" s="20" t="s">
        <v>2457</v>
      </c>
      <c r="F673" s="19" t="s">
        <v>27</v>
      </c>
      <c r="G673" s="19" t="s">
        <v>28</v>
      </c>
      <c r="H673" s="37"/>
      <c r="I673" s="21" t="s">
        <v>29</v>
      </c>
      <c r="J673" s="21" t="s">
        <v>29</v>
      </c>
      <c r="K673" s="22" t="s">
        <v>2458</v>
      </c>
      <c r="L673" s="56">
        <v>45062</v>
      </c>
      <c r="N673" s="40"/>
      <c r="Q673" s="25"/>
      <c r="R673" s="25"/>
    </row>
    <row r="674" spans="1:34" ht="15.75" customHeight="1">
      <c r="A674" s="17"/>
      <c r="B674" s="38" t="s">
        <v>2459</v>
      </c>
      <c r="C674" s="37" t="s">
        <v>24</v>
      </c>
      <c r="D674" s="25" t="s">
        <v>2460</v>
      </c>
      <c r="E674" s="20" t="s">
        <v>2461</v>
      </c>
      <c r="F674" s="37"/>
      <c r="G674" s="37"/>
      <c r="H674" s="37"/>
      <c r="I674" s="21"/>
      <c r="J674" s="21"/>
      <c r="K674" s="22"/>
      <c r="L674" s="56"/>
      <c r="Q674" s="25"/>
      <c r="R674" s="25"/>
    </row>
    <row r="675" spans="1:34" ht="15.75" customHeight="1">
      <c r="A675" s="59" t="s">
        <v>2462</v>
      </c>
      <c r="B675" s="18" t="s">
        <v>2463</v>
      </c>
      <c r="C675" s="37" t="s">
        <v>24</v>
      </c>
      <c r="D675" s="25" t="s">
        <v>2464</v>
      </c>
      <c r="E675" s="20" t="s">
        <v>2465</v>
      </c>
      <c r="F675" s="19" t="s">
        <v>27</v>
      </c>
      <c r="G675" s="19" t="s">
        <v>28</v>
      </c>
      <c r="H675" s="37"/>
      <c r="I675" s="21" t="s">
        <v>29</v>
      </c>
      <c r="J675" s="21" t="s">
        <v>29</v>
      </c>
      <c r="K675" s="22" t="s">
        <v>2466</v>
      </c>
      <c r="L675" s="56">
        <v>45062</v>
      </c>
      <c r="Q675" s="25"/>
      <c r="R675" s="25"/>
    </row>
    <row r="676" spans="1:34" ht="15.75" customHeight="1">
      <c r="A676" s="31"/>
      <c r="B676" s="41" t="s">
        <v>2467</v>
      </c>
      <c r="C676" s="37" t="s">
        <v>46</v>
      </c>
      <c r="D676" s="25" t="s">
        <v>2468</v>
      </c>
      <c r="E676" s="20" t="s">
        <v>2469</v>
      </c>
      <c r="F676" s="37"/>
      <c r="G676" s="37"/>
      <c r="H676" s="37"/>
      <c r="I676" s="21"/>
      <c r="J676" s="21"/>
      <c r="K676" s="22"/>
      <c r="L676" s="56"/>
      <c r="Q676" s="25"/>
      <c r="R676" s="25"/>
    </row>
    <row r="677" spans="1:34" ht="15.75" customHeight="1">
      <c r="A677" s="31" t="s">
        <v>39</v>
      </c>
      <c r="B677" s="18" t="s">
        <v>2470</v>
      </c>
      <c r="C677" s="37" t="s">
        <v>24</v>
      </c>
      <c r="D677" s="25" t="s">
        <v>2471</v>
      </c>
      <c r="E677" s="20" t="s">
        <v>2472</v>
      </c>
      <c r="F677" s="19" t="s">
        <v>27</v>
      </c>
      <c r="G677" s="19" t="s">
        <v>28</v>
      </c>
      <c r="H677" s="19" t="s">
        <v>36</v>
      </c>
      <c r="I677" s="21" t="s">
        <v>29</v>
      </c>
      <c r="J677" s="21" t="s">
        <v>29</v>
      </c>
      <c r="K677" s="22" t="s">
        <v>2473</v>
      </c>
      <c r="L677" s="56">
        <v>45062</v>
      </c>
      <c r="Q677" s="25"/>
      <c r="R677" s="25"/>
    </row>
    <row r="678" spans="1:34" ht="15.75" customHeight="1">
      <c r="A678" s="17" t="s">
        <v>2474</v>
      </c>
      <c r="B678" s="18" t="s">
        <v>2475</v>
      </c>
      <c r="C678" s="37" t="s">
        <v>24</v>
      </c>
      <c r="D678" s="25" t="s">
        <v>2476</v>
      </c>
      <c r="E678" s="20" t="s">
        <v>2477</v>
      </c>
      <c r="F678" s="19" t="s">
        <v>27</v>
      </c>
      <c r="G678" s="19" t="s">
        <v>28</v>
      </c>
      <c r="H678" s="37"/>
      <c r="I678" s="21" t="s">
        <v>29</v>
      </c>
      <c r="J678" s="21" t="s">
        <v>29</v>
      </c>
      <c r="K678" s="22" t="s">
        <v>2478</v>
      </c>
      <c r="L678" s="56">
        <v>45062</v>
      </c>
      <c r="Q678" s="25"/>
      <c r="R678" s="25"/>
    </row>
    <row r="679" spans="1:34" ht="15.75" customHeight="1">
      <c r="A679" s="17" t="s">
        <v>2479</v>
      </c>
      <c r="B679" s="18" t="s">
        <v>2480</v>
      </c>
      <c r="C679" s="37" t="s">
        <v>24</v>
      </c>
      <c r="D679" s="25" t="s">
        <v>2481</v>
      </c>
      <c r="E679" s="20" t="s">
        <v>2482</v>
      </c>
      <c r="F679" s="19" t="s">
        <v>27</v>
      </c>
      <c r="G679" s="19" t="s">
        <v>28</v>
      </c>
      <c r="H679" s="19" t="s">
        <v>36</v>
      </c>
      <c r="I679" s="21" t="s">
        <v>29</v>
      </c>
      <c r="J679" s="21" t="s">
        <v>29</v>
      </c>
      <c r="K679" s="22" t="s">
        <v>2483</v>
      </c>
      <c r="L679" s="56">
        <v>45062</v>
      </c>
      <c r="Q679" s="25"/>
      <c r="R679" s="25"/>
    </row>
    <row r="680" spans="1:34" ht="15.75" customHeight="1">
      <c r="A680" s="31" t="s">
        <v>56</v>
      </c>
      <c r="B680" s="18" t="s">
        <v>2484</v>
      </c>
      <c r="C680" s="37" t="s">
        <v>24</v>
      </c>
      <c r="D680" s="25" t="s">
        <v>2485</v>
      </c>
      <c r="E680" s="20" t="s">
        <v>2486</v>
      </c>
      <c r="F680" s="19" t="s">
        <v>27</v>
      </c>
      <c r="G680" s="19" t="s">
        <v>28</v>
      </c>
      <c r="H680" s="19" t="s">
        <v>36</v>
      </c>
      <c r="I680" s="21" t="s">
        <v>29</v>
      </c>
      <c r="J680" s="21" t="s">
        <v>29</v>
      </c>
      <c r="K680" s="22" t="s">
        <v>2487</v>
      </c>
      <c r="L680" s="56">
        <v>45062</v>
      </c>
      <c r="Q680" s="25"/>
      <c r="R680" s="25"/>
    </row>
    <row r="681" spans="1:34" ht="15.75" customHeight="1">
      <c r="A681" s="17">
        <v>81</v>
      </c>
      <c r="B681" s="36" t="s">
        <v>2488</v>
      </c>
      <c r="C681" s="37" t="s">
        <v>121</v>
      </c>
      <c r="D681" s="25" t="s">
        <v>2489</v>
      </c>
      <c r="E681" s="20" t="s">
        <v>2490</v>
      </c>
      <c r="F681" s="19" t="s">
        <v>27</v>
      </c>
      <c r="G681" s="37" t="s">
        <v>452</v>
      </c>
      <c r="H681" s="37"/>
      <c r="I681" s="21" t="s">
        <v>29</v>
      </c>
      <c r="J681" s="21" t="s">
        <v>452</v>
      </c>
      <c r="K681" s="22" t="s">
        <v>2491</v>
      </c>
      <c r="L681" s="56">
        <v>45062</v>
      </c>
      <c r="Q681" s="25"/>
      <c r="R681" s="25"/>
    </row>
    <row r="682" spans="1:34" ht="15.75" customHeight="1">
      <c r="A682" s="31" t="s">
        <v>64</v>
      </c>
      <c r="B682" s="18" t="s">
        <v>2492</v>
      </c>
      <c r="C682" s="37" t="s">
        <v>24</v>
      </c>
      <c r="D682" s="25" t="s">
        <v>2493</v>
      </c>
      <c r="E682" s="20" t="s">
        <v>2494</v>
      </c>
      <c r="F682" s="19" t="s">
        <v>27</v>
      </c>
      <c r="G682" s="19" t="s">
        <v>28</v>
      </c>
      <c r="H682" s="19" t="s">
        <v>36</v>
      </c>
      <c r="I682" s="21" t="s">
        <v>29</v>
      </c>
      <c r="J682" s="21" t="s">
        <v>29</v>
      </c>
      <c r="K682" s="22" t="s">
        <v>2495</v>
      </c>
      <c r="L682" s="56">
        <v>45062</v>
      </c>
      <c r="Q682" s="25"/>
      <c r="R682" s="25"/>
      <c r="AB682" s="42"/>
      <c r="AC682" s="40"/>
      <c r="AD682" s="38"/>
      <c r="AE682" s="38"/>
      <c r="AF682" s="38"/>
      <c r="AG682" s="38"/>
      <c r="AH682" s="43"/>
    </row>
    <row r="683" spans="1:34" ht="15.75" customHeight="1">
      <c r="A683" s="17">
        <v>4.3</v>
      </c>
      <c r="B683" s="18" t="s">
        <v>2496</v>
      </c>
      <c r="C683" s="37" t="s">
        <v>24</v>
      </c>
      <c r="D683" s="25" t="s">
        <v>2497</v>
      </c>
      <c r="E683" s="20" t="s">
        <v>2486</v>
      </c>
      <c r="F683" s="19" t="s">
        <v>27</v>
      </c>
      <c r="G683" s="19" t="s">
        <v>28</v>
      </c>
      <c r="H683" s="19" t="s">
        <v>36</v>
      </c>
      <c r="I683" s="21" t="s">
        <v>29</v>
      </c>
      <c r="J683" s="21" t="s">
        <v>29</v>
      </c>
      <c r="K683" s="22" t="s">
        <v>2487</v>
      </c>
      <c r="L683" s="56">
        <v>45062</v>
      </c>
      <c r="Q683" s="25"/>
      <c r="R683" s="25"/>
    </row>
    <row r="684" spans="1:34" ht="15.75" customHeight="1">
      <c r="A684" s="31" t="s">
        <v>73</v>
      </c>
      <c r="B684" s="18" t="s">
        <v>2498</v>
      </c>
      <c r="C684" s="37" t="s">
        <v>24</v>
      </c>
      <c r="D684" s="25" t="s">
        <v>2499</v>
      </c>
      <c r="E684" s="20" t="s">
        <v>2500</v>
      </c>
      <c r="F684" s="19" t="s">
        <v>27</v>
      </c>
      <c r="G684" s="19" t="s">
        <v>28</v>
      </c>
      <c r="H684" s="37"/>
      <c r="I684" s="21" t="s">
        <v>29</v>
      </c>
      <c r="J684" s="21" t="s">
        <v>29</v>
      </c>
      <c r="K684" s="22" t="s">
        <v>2501</v>
      </c>
      <c r="L684" s="56">
        <v>45062</v>
      </c>
      <c r="Q684" s="25"/>
      <c r="R684" s="25"/>
    </row>
    <row r="685" spans="1:34" ht="15.75" customHeight="1">
      <c r="A685" s="17">
        <v>4.2</v>
      </c>
      <c r="B685" s="18" t="s">
        <v>2502</v>
      </c>
      <c r="C685" s="37" t="s">
        <v>24</v>
      </c>
      <c r="D685" s="25" t="s">
        <v>2503</v>
      </c>
      <c r="E685" s="20" t="s">
        <v>2504</v>
      </c>
      <c r="F685" s="19" t="s">
        <v>27</v>
      </c>
      <c r="G685" s="19" t="s">
        <v>28</v>
      </c>
      <c r="H685" s="19" t="s">
        <v>36</v>
      </c>
      <c r="I685" s="21" t="s">
        <v>29</v>
      </c>
      <c r="J685" s="21" t="s">
        <v>29</v>
      </c>
      <c r="K685" s="22" t="s">
        <v>2505</v>
      </c>
      <c r="L685" s="56">
        <v>45062</v>
      </c>
      <c r="Q685" s="25"/>
      <c r="R685" s="25"/>
    </row>
    <row r="686" spans="1:34" ht="15.75" customHeight="1">
      <c r="A686" s="31" t="s">
        <v>82</v>
      </c>
      <c r="B686" s="18" t="s">
        <v>2506</v>
      </c>
      <c r="C686" s="37" t="s">
        <v>24</v>
      </c>
      <c r="D686" s="25" t="s">
        <v>2507</v>
      </c>
      <c r="E686" s="20" t="s">
        <v>2508</v>
      </c>
      <c r="F686" s="19" t="s">
        <v>27</v>
      </c>
      <c r="G686" s="19" t="s">
        <v>28</v>
      </c>
      <c r="H686" s="19" t="s">
        <v>36</v>
      </c>
      <c r="I686" s="21" t="s">
        <v>29</v>
      </c>
      <c r="J686" s="21" t="s">
        <v>29</v>
      </c>
      <c r="K686" s="22" t="s">
        <v>2509</v>
      </c>
      <c r="L686" s="56">
        <v>45062</v>
      </c>
      <c r="Q686" s="25"/>
      <c r="R686" s="25"/>
    </row>
    <row r="687" spans="1:34" ht="15.75" customHeight="1">
      <c r="A687" s="17" t="s">
        <v>2510</v>
      </c>
      <c r="B687" s="18" t="s">
        <v>2511</v>
      </c>
      <c r="C687" s="37" t="s">
        <v>24</v>
      </c>
      <c r="D687" s="25" t="s">
        <v>2512</v>
      </c>
      <c r="E687" s="20" t="s">
        <v>2513</v>
      </c>
      <c r="F687" s="19" t="s">
        <v>27</v>
      </c>
      <c r="G687" s="19" t="s">
        <v>28</v>
      </c>
      <c r="H687" s="37"/>
      <c r="I687" s="21" t="s">
        <v>29</v>
      </c>
      <c r="J687" s="21" t="s">
        <v>29</v>
      </c>
      <c r="K687" s="22" t="s">
        <v>2514</v>
      </c>
      <c r="L687" s="56">
        <v>45062</v>
      </c>
      <c r="Q687" s="25"/>
      <c r="R687" s="25"/>
    </row>
    <row r="688" spans="1:34" ht="15.75" customHeight="1">
      <c r="A688" s="31" t="s">
        <v>92</v>
      </c>
      <c r="B688" s="18" t="s">
        <v>2515</v>
      </c>
      <c r="C688" s="37" t="s">
        <v>24</v>
      </c>
      <c r="D688" s="25" t="s">
        <v>2516</v>
      </c>
      <c r="E688" s="20" t="s">
        <v>2517</v>
      </c>
      <c r="F688" s="19" t="s">
        <v>27</v>
      </c>
      <c r="G688" s="19" t="s">
        <v>28</v>
      </c>
      <c r="H688" s="37"/>
      <c r="I688" s="21" t="s">
        <v>29</v>
      </c>
      <c r="J688" s="21" t="s">
        <v>29</v>
      </c>
      <c r="K688" s="22" t="s">
        <v>2518</v>
      </c>
      <c r="L688" s="56">
        <v>45062</v>
      </c>
      <c r="Q688" s="25"/>
      <c r="R688" s="25"/>
    </row>
    <row r="689" spans="1:18" ht="15.75" customHeight="1">
      <c r="A689" s="33">
        <v>2617</v>
      </c>
      <c r="B689" s="18" t="s">
        <v>2519</v>
      </c>
      <c r="C689" s="37" t="s">
        <v>24</v>
      </c>
      <c r="D689" s="25" t="s">
        <v>2520</v>
      </c>
      <c r="E689" s="20" t="s">
        <v>2521</v>
      </c>
      <c r="F689" s="19" t="s">
        <v>27</v>
      </c>
      <c r="G689" s="19" t="s">
        <v>28</v>
      </c>
      <c r="H689" s="19" t="s">
        <v>36</v>
      </c>
      <c r="I689" s="21" t="s">
        <v>29</v>
      </c>
      <c r="J689" s="21" t="s">
        <v>29</v>
      </c>
      <c r="K689" s="22" t="s">
        <v>2522</v>
      </c>
      <c r="L689" s="56">
        <v>45062</v>
      </c>
      <c r="Q689" s="25"/>
      <c r="R689" s="25"/>
    </row>
    <row r="690" spans="1:18" ht="15.75" customHeight="1">
      <c r="A690" s="31" t="s">
        <v>100</v>
      </c>
      <c r="B690" s="18" t="s">
        <v>2523</v>
      </c>
      <c r="C690" s="37" t="s">
        <v>24</v>
      </c>
      <c r="D690" s="25" t="s">
        <v>2524</v>
      </c>
      <c r="E690" s="20" t="s">
        <v>2525</v>
      </c>
      <c r="F690" s="19" t="s">
        <v>27</v>
      </c>
      <c r="G690" s="19" t="s">
        <v>28</v>
      </c>
      <c r="H690" s="37"/>
      <c r="I690" s="21" t="s">
        <v>29</v>
      </c>
      <c r="J690" s="21" t="s">
        <v>29</v>
      </c>
      <c r="K690" s="22" t="s">
        <v>2526</v>
      </c>
      <c r="L690" s="56">
        <v>45062</v>
      </c>
      <c r="Q690" s="25"/>
      <c r="R690" s="25"/>
    </row>
    <row r="691" spans="1:18" ht="15.75" customHeight="1">
      <c r="A691" s="17">
        <v>167</v>
      </c>
      <c r="B691" s="18" t="s">
        <v>2527</v>
      </c>
      <c r="C691" s="37" t="s">
        <v>24</v>
      </c>
      <c r="D691" s="25" t="s">
        <v>2528</v>
      </c>
      <c r="E691" s="20" t="s">
        <v>2529</v>
      </c>
      <c r="F691" s="19" t="s">
        <v>27</v>
      </c>
      <c r="G691" s="19" t="s">
        <v>28</v>
      </c>
      <c r="H691" s="37"/>
      <c r="I691" s="21" t="s">
        <v>29</v>
      </c>
      <c r="J691" s="21" t="s">
        <v>29</v>
      </c>
      <c r="K691" s="22" t="s">
        <v>2530</v>
      </c>
      <c r="L691" s="56">
        <v>45062</v>
      </c>
      <c r="Q691" s="25"/>
      <c r="R691" s="25"/>
    </row>
    <row r="692" spans="1:18" ht="15.75" customHeight="1">
      <c r="A692" s="35"/>
      <c r="B692" s="18" t="s">
        <v>2531</v>
      </c>
      <c r="C692" s="37" t="s">
        <v>24</v>
      </c>
      <c r="D692" s="25" t="s">
        <v>2532</v>
      </c>
      <c r="E692" s="20" t="s">
        <v>2533</v>
      </c>
      <c r="F692" s="19" t="s">
        <v>27</v>
      </c>
      <c r="G692" s="19" t="s">
        <v>28</v>
      </c>
      <c r="H692" s="19" t="s">
        <v>36</v>
      </c>
      <c r="I692" s="21" t="s">
        <v>29</v>
      </c>
      <c r="J692" s="21" t="s">
        <v>29</v>
      </c>
      <c r="K692" s="22" t="s">
        <v>2534</v>
      </c>
      <c r="L692" s="56">
        <v>45062</v>
      </c>
      <c r="Q692" s="25"/>
      <c r="R692" s="25"/>
    </row>
    <row r="693" spans="1:18" ht="15.75" customHeight="1">
      <c r="A693" s="35"/>
      <c r="B693" s="18" t="s">
        <v>2535</v>
      </c>
      <c r="C693" s="37" t="s">
        <v>87</v>
      </c>
      <c r="D693" s="20" t="s">
        <v>2536</v>
      </c>
      <c r="E693" s="20" t="s">
        <v>2537</v>
      </c>
      <c r="F693" s="19" t="s">
        <v>90</v>
      </c>
      <c r="G693" s="19" t="s">
        <v>91</v>
      </c>
      <c r="H693" s="37"/>
      <c r="I693" s="21" t="s">
        <v>29</v>
      </c>
      <c r="J693" s="21" t="s">
        <v>29</v>
      </c>
      <c r="K693" s="22" t="s">
        <v>2538</v>
      </c>
      <c r="L693" s="56">
        <v>45062</v>
      </c>
      <c r="Q693" s="25"/>
      <c r="R693" s="25"/>
    </row>
    <row r="694" spans="1:18" ht="15.75" customHeight="1">
      <c r="A694" s="35"/>
      <c r="B694" s="18" t="s">
        <v>2539</v>
      </c>
      <c r="C694" s="37" t="s">
        <v>87</v>
      </c>
      <c r="D694" s="20" t="s">
        <v>2540</v>
      </c>
      <c r="E694" s="20" t="s">
        <v>2541</v>
      </c>
      <c r="F694" s="37" t="s">
        <v>286</v>
      </c>
      <c r="G694" s="19" t="s">
        <v>91</v>
      </c>
      <c r="H694" s="37"/>
      <c r="I694" s="21" t="s">
        <v>286</v>
      </c>
      <c r="J694" s="21" t="s">
        <v>29</v>
      </c>
      <c r="K694" s="22" t="s">
        <v>2542</v>
      </c>
      <c r="L694" s="56"/>
      <c r="Q694" s="25"/>
      <c r="R694" s="25"/>
    </row>
    <row r="695" spans="1:18" ht="15.75" customHeight="1">
      <c r="A695" s="35"/>
      <c r="B695" s="18" t="s">
        <v>2535</v>
      </c>
      <c r="C695" s="37" t="s">
        <v>87</v>
      </c>
      <c r="D695" s="20" t="s">
        <v>2543</v>
      </c>
      <c r="E695" s="20" t="s">
        <v>2544</v>
      </c>
      <c r="F695" s="37" t="s">
        <v>286</v>
      </c>
      <c r="G695" s="19" t="s">
        <v>91</v>
      </c>
      <c r="H695" s="37"/>
      <c r="I695" s="21" t="s">
        <v>286</v>
      </c>
      <c r="J695" s="21" t="s">
        <v>29</v>
      </c>
      <c r="K695" s="22" t="s">
        <v>2545</v>
      </c>
      <c r="L695" s="56"/>
      <c r="Q695" s="25"/>
      <c r="R695" s="25"/>
    </row>
    <row r="696" spans="1:18" ht="15.75" customHeight="1">
      <c r="A696" s="35"/>
      <c r="B696" s="18" t="s">
        <v>2546</v>
      </c>
      <c r="C696" s="37" t="s">
        <v>87</v>
      </c>
      <c r="D696" s="20" t="s">
        <v>2547</v>
      </c>
      <c r="E696" s="20" t="s">
        <v>2548</v>
      </c>
      <c r="F696" s="37" t="s">
        <v>286</v>
      </c>
      <c r="G696" s="19" t="s">
        <v>91</v>
      </c>
      <c r="H696" s="37"/>
      <c r="I696" s="21" t="s">
        <v>286</v>
      </c>
      <c r="J696" s="21" t="s">
        <v>29</v>
      </c>
      <c r="K696" s="22" t="s">
        <v>2549</v>
      </c>
      <c r="L696" s="56"/>
      <c r="Q696" s="25"/>
      <c r="R696" s="25"/>
    </row>
    <row r="697" spans="1:18" ht="15.75" customHeight="1">
      <c r="A697" s="35"/>
      <c r="B697" s="18" t="s">
        <v>2550</v>
      </c>
      <c r="C697" s="37" t="s">
        <v>87</v>
      </c>
      <c r="D697" s="25" t="s">
        <v>2551</v>
      </c>
      <c r="E697" s="20" t="s">
        <v>2552</v>
      </c>
      <c r="F697" s="19" t="s">
        <v>90</v>
      </c>
      <c r="G697" s="19" t="s">
        <v>91</v>
      </c>
      <c r="H697" s="37"/>
      <c r="I697" s="21" t="s">
        <v>29</v>
      </c>
      <c r="J697" s="21" t="s">
        <v>29</v>
      </c>
      <c r="K697" s="22" t="s">
        <v>2553</v>
      </c>
      <c r="L697" s="56">
        <v>45062</v>
      </c>
      <c r="Q697" s="25"/>
      <c r="R697" s="25"/>
    </row>
    <row r="698" spans="1:18" ht="15.75" customHeight="1">
      <c r="A698" s="35"/>
      <c r="B698" s="18" t="s">
        <v>2554</v>
      </c>
      <c r="C698" s="37" t="s">
        <v>87</v>
      </c>
      <c r="D698" s="25" t="s">
        <v>2555</v>
      </c>
      <c r="E698" s="20" t="s">
        <v>2556</v>
      </c>
      <c r="F698" s="19" t="s">
        <v>90</v>
      </c>
      <c r="G698" s="19" t="s">
        <v>91</v>
      </c>
      <c r="H698" s="37"/>
      <c r="I698" s="21" t="s">
        <v>29</v>
      </c>
      <c r="J698" s="21" t="s">
        <v>29</v>
      </c>
      <c r="K698" s="22" t="s">
        <v>2557</v>
      </c>
      <c r="L698" s="56">
        <v>45062</v>
      </c>
      <c r="Q698" s="25"/>
      <c r="R698" s="25"/>
    </row>
    <row r="699" spans="1:18" ht="15.75" customHeight="1">
      <c r="A699" s="35"/>
      <c r="B699" s="18" t="s">
        <v>2558</v>
      </c>
      <c r="C699" s="37" t="s">
        <v>87</v>
      </c>
      <c r="D699" s="25" t="s">
        <v>2559</v>
      </c>
      <c r="E699" s="20" t="s">
        <v>2560</v>
      </c>
      <c r="F699" s="19" t="s">
        <v>90</v>
      </c>
      <c r="G699" s="19" t="s">
        <v>91</v>
      </c>
      <c r="H699" s="37"/>
      <c r="I699" s="21" t="s">
        <v>29</v>
      </c>
      <c r="J699" s="21" t="s">
        <v>29</v>
      </c>
      <c r="K699" s="22" t="s">
        <v>2561</v>
      </c>
      <c r="L699" s="56">
        <v>45062</v>
      </c>
      <c r="Q699" s="25"/>
      <c r="R699" s="25"/>
    </row>
    <row r="700" spans="1:18" ht="15.75" customHeight="1">
      <c r="A700" s="35"/>
      <c r="B700" s="18" t="s">
        <v>2562</v>
      </c>
      <c r="C700" s="37" t="s">
        <v>87</v>
      </c>
      <c r="D700" s="25" t="s">
        <v>2563</v>
      </c>
      <c r="E700" s="20" t="s">
        <v>2564</v>
      </c>
      <c r="F700" s="19" t="s">
        <v>90</v>
      </c>
      <c r="G700" s="19" t="s">
        <v>91</v>
      </c>
      <c r="H700" s="37"/>
      <c r="I700" s="21" t="s">
        <v>29</v>
      </c>
      <c r="J700" s="21" t="s">
        <v>29</v>
      </c>
      <c r="K700" s="22" t="s">
        <v>2565</v>
      </c>
      <c r="L700" s="56">
        <v>45062</v>
      </c>
      <c r="Q700" s="25"/>
      <c r="R700" s="25"/>
    </row>
    <row r="701" spans="1:18" ht="15.75" customHeight="1">
      <c r="A701" s="35"/>
      <c r="B701" s="18" t="s">
        <v>2566</v>
      </c>
      <c r="C701" s="37" t="s">
        <v>87</v>
      </c>
      <c r="D701" s="25" t="s">
        <v>2567</v>
      </c>
      <c r="E701" s="20" t="s">
        <v>2568</v>
      </c>
      <c r="F701" s="19" t="s">
        <v>90</v>
      </c>
      <c r="G701" s="19" t="s">
        <v>91</v>
      </c>
      <c r="H701" s="37"/>
      <c r="I701" s="21" t="s">
        <v>29</v>
      </c>
      <c r="J701" s="21" t="s">
        <v>29</v>
      </c>
      <c r="K701" s="22" t="s">
        <v>2569</v>
      </c>
      <c r="L701" s="56">
        <v>45062</v>
      </c>
      <c r="Q701" s="25"/>
      <c r="R701" s="25"/>
    </row>
    <row r="702" spans="1:18" ht="15.75" customHeight="1">
      <c r="A702" s="35"/>
      <c r="B702" s="18" t="s">
        <v>2570</v>
      </c>
      <c r="C702" s="37" t="s">
        <v>87</v>
      </c>
      <c r="D702" s="25" t="s">
        <v>2536</v>
      </c>
      <c r="E702" s="20" t="s">
        <v>2571</v>
      </c>
      <c r="F702" s="37" t="s">
        <v>49</v>
      </c>
      <c r="G702" s="19" t="s">
        <v>91</v>
      </c>
      <c r="H702" s="37"/>
      <c r="I702" s="21" t="s">
        <v>29</v>
      </c>
      <c r="J702" s="21" t="s">
        <v>29</v>
      </c>
      <c r="K702" s="22" t="s">
        <v>2572</v>
      </c>
      <c r="L702" s="56">
        <v>45062</v>
      </c>
      <c r="Q702" s="25"/>
      <c r="R702" s="25"/>
    </row>
    <row r="703" spans="1:18" ht="15.75" customHeight="1">
      <c r="A703" s="35"/>
      <c r="B703" s="34" t="s">
        <v>2573</v>
      </c>
      <c r="C703" s="37" t="s">
        <v>87</v>
      </c>
      <c r="D703" s="25" t="s">
        <v>2574</v>
      </c>
      <c r="E703" s="20" t="s">
        <v>2575</v>
      </c>
      <c r="F703" s="37" t="s">
        <v>49</v>
      </c>
      <c r="G703" s="19" t="s">
        <v>50</v>
      </c>
      <c r="H703" s="37"/>
      <c r="I703" s="21" t="s">
        <v>29</v>
      </c>
      <c r="J703" s="21" t="s">
        <v>29</v>
      </c>
      <c r="K703" s="22" t="s">
        <v>2576</v>
      </c>
      <c r="L703" s="56">
        <v>45062</v>
      </c>
      <c r="Q703" s="25"/>
      <c r="R703" s="25"/>
    </row>
    <row r="704" spans="1:18" ht="15.75" customHeight="1">
      <c r="A704" s="35"/>
      <c r="B704" s="18" t="s">
        <v>2577</v>
      </c>
      <c r="C704" s="37" t="s">
        <v>46</v>
      </c>
      <c r="D704" s="25" t="s">
        <v>2578</v>
      </c>
      <c r="E704" s="20" t="s">
        <v>2579</v>
      </c>
      <c r="F704" s="37" t="s">
        <v>49</v>
      </c>
      <c r="G704" s="19" t="s">
        <v>50</v>
      </c>
      <c r="H704" s="37"/>
      <c r="I704" s="21" t="s">
        <v>29</v>
      </c>
      <c r="J704" s="21" t="s">
        <v>29</v>
      </c>
      <c r="K704" s="22" t="s">
        <v>2580</v>
      </c>
      <c r="L704" s="56">
        <v>45062</v>
      </c>
      <c r="Q704" s="25"/>
      <c r="R704" s="25"/>
    </row>
    <row r="705" spans="1:18" ht="15.75" customHeight="1">
      <c r="A705" s="35"/>
      <c r="B705" s="18" t="s">
        <v>2581</v>
      </c>
      <c r="C705" s="37" t="s">
        <v>46</v>
      </c>
      <c r="D705" s="25" t="s">
        <v>2582</v>
      </c>
      <c r="E705" s="20" t="s">
        <v>2583</v>
      </c>
      <c r="F705" s="37" t="s">
        <v>49</v>
      </c>
      <c r="G705" s="19" t="s">
        <v>50</v>
      </c>
      <c r="H705" s="37"/>
      <c r="I705" s="21" t="s">
        <v>29</v>
      </c>
      <c r="J705" s="21" t="s">
        <v>29</v>
      </c>
      <c r="K705" s="22" t="s">
        <v>2584</v>
      </c>
      <c r="L705" s="56">
        <v>45062</v>
      </c>
      <c r="Q705" s="25"/>
      <c r="R705" s="25"/>
    </row>
    <row r="706" spans="1:18" ht="15.75" customHeight="1">
      <c r="A706" s="35"/>
      <c r="B706" s="18" t="s">
        <v>2585</v>
      </c>
      <c r="C706" s="37" t="s">
        <v>46</v>
      </c>
      <c r="D706" s="25" t="s">
        <v>2586</v>
      </c>
      <c r="E706" s="20" t="s">
        <v>2587</v>
      </c>
      <c r="F706" s="37" t="s">
        <v>49</v>
      </c>
      <c r="G706" s="19" t="s">
        <v>50</v>
      </c>
      <c r="H706" s="37"/>
      <c r="I706" s="21" t="s">
        <v>29</v>
      </c>
      <c r="J706" s="21" t="s">
        <v>29</v>
      </c>
      <c r="K706" s="22" t="s">
        <v>2588</v>
      </c>
      <c r="L706" s="56">
        <v>45062</v>
      </c>
      <c r="Q706" s="25"/>
      <c r="R706" s="25"/>
    </row>
    <row r="707" spans="1:18" ht="15.75" customHeight="1">
      <c r="A707" s="35"/>
      <c r="B707" s="18" t="s">
        <v>2589</v>
      </c>
      <c r="C707" s="37" t="s">
        <v>46</v>
      </c>
      <c r="D707" s="25" t="s">
        <v>2590</v>
      </c>
      <c r="E707" s="20" t="s">
        <v>2591</v>
      </c>
      <c r="F707" s="37" t="s">
        <v>49</v>
      </c>
      <c r="G707" s="19" t="s">
        <v>50</v>
      </c>
      <c r="H707" s="37"/>
      <c r="I707" s="21" t="s">
        <v>29</v>
      </c>
      <c r="J707" s="21" t="s">
        <v>29</v>
      </c>
      <c r="K707" s="22" t="s">
        <v>2592</v>
      </c>
      <c r="L707" s="56">
        <v>45062</v>
      </c>
      <c r="Q707" s="25"/>
      <c r="R707" s="25"/>
    </row>
    <row r="708" spans="1:18" ht="15.75" customHeight="1">
      <c r="A708" s="35"/>
      <c r="B708" s="18" t="s">
        <v>2593</v>
      </c>
      <c r="C708" s="37" t="s">
        <v>46</v>
      </c>
      <c r="D708" s="25" t="s">
        <v>2594</v>
      </c>
      <c r="E708" s="20" t="s">
        <v>2595</v>
      </c>
      <c r="F708" s="37" t="s">
        <v>49</v>
      </c>
      <c r="G708" s="19" t="s">
        <v>50</v>
      </c>
      <c r="H708" s="37"/>
      <c r="I708" s="21" t="s">
        <v>29</v>
      </c>
      <c r="J708" s="21" t="s">
        <v>29</v>
      </c>
      <c r="K708" s="22" t="s">
        <v>2596</v>
      </c>
      <c r="L708" s="56">
        <v>45062</v>
      </c>
      <c r="Q708" s="25"/>
      <c r="R708" s="25"/>
    </row>
    <row r="709" spans="1:18" ht="15.75" customHeight="1">
      <c r="A709" s="35"/>
      <c r="B709" s="18" t="s">
        <v>2597</v>
      </c>
      <c r="C709" s="37" t="s">
        <v>46</v>
      </c>
      <c r="D709" s="25" t="s">
        <v>2598</v>
      </c>
      <c r="E709" s="20" t="s">
        <v>55</v>
      </c>
      <c r="F709" s="37" t="s">
        <v>49</v>
      </c>
      <c r="G709" s="19" t="s">
        <v>50</v>
      </c>
      <c r="H709" s="37"/>
      <c r="I709" s="21" t="s">
        <v>29</v>
      </c>
      <c r="J709" s="21" t="s">
        <v>29</v>
      </c>
      <c r="K709" s="22" t="s">
        <v>55</v>
      </c>
      <c r="L709" s="56">
        <v>45062</v>
      </c>
      <c r="Q709" s="25"/>
      <c r="R709" s="25"/>
    </row>
    <row r="710" spans="1:18" ht="15.75" customHeight="1">
      <c r="A710" s="35"/>
      <c r="B710" s="18" t="s">
        <v>2599</v>
      </c>
      <c r="C710" s="37" t="s">
        <v>46</v>
      </c>
      <c r="D710" s="25" t="s">
        <v>2600</v>
      </c>
      <c r="E710" s="20" t="s">
        <v>2601</v>
      </c>
      <c r="F710" s="37" t="s">
        <v>49</v>
      </c>
      <c r="G710" s="19" t="s">
        <v>50</v>
      </c>
      <c r="H710" s="37"/>
      <c r="I710" s="21" t="s">
        <v>29</v>
      </c>
      <c r="J710" s="21" t="s">
        <v>29</v>
      </c>
      <c r="K710" s="22" t="s">
        <v>2602</v>
      </c>
      <c r="L710" s="56">
        <v>45062</v>
      </c>
      <c r="Q710" s="25"/>
      <c r="R710" s="25"/>
    </row>
    <row r="711" spans="1:18" ht="15.75" customHeight="1">
      <c r="A711" s="35"/>
      <c r="B711" s="18" t="s">
        <v>2603</v>
      </c>
      <c r="C711" s="37" t="s">
        <v>46</v>
      </c>
      <c r="D711" s="25" t="s">
        <v>2604</v>
      </c>
      <c r="E711" s="20" t="s">
        <v>2605</v>
      </c>
      <c r="F711" s="37" t="s">
        <v>49</v>
      </c>
      <c r="G711" s="19" t="s">
        <v>50</v>
      </c>
      <c r="H711" s="37"/>
      <c r="I711" s="21" t="s">
        <v>29</v>
      </c>
      <c r="J711" s="21" t="s">
        <v>29</v>
      </c>
      <c r="K711" s="22" t="s">
        <v>2606</v>
      </c>
      <c r="L711" s="56">
        <v>45062</v>
      </c>
      <c r="Q711" s="25"/>
      <c r="R711" s="25"/>
    </row>
    <row r="712" spans="1:18" ht="15.75" customHeight="1">
      <c r="A712" s="35"/>
      <c r="B712" s="18" t="s">
        <v>2607</v>
      </c>
      <c r="C712" s="37" t="s">
        <v>46</v>
      </c>
      <c r="D712" s="25" t="s">
        <v>2608</v>
      </c>
      <c r="E712" s="20" t="s">
        <v>2609</v>
      </c>
      <c r="F712" s="37" t="s">
        <v>49</v>
      </c>
      <c r="G712" s="19" t="s">
        <v>50</v>
      </c>
      <c r="H712" s="37"/>
      <c r="I712" s="21" t="s">
        <v>29</v>
      </c>
      <c r="J712" s="21" t="s">
        <v>29</v>
      </c>
      <c r="K712" s="22" t="s">
        <v>2610</v>
      </c>
      <c r="L712" s="56">
        <v>45062</v>
      </c>
      <c r="Q712" s="25"/>
      <c r="R712" s="25"/>
    </row>
    <row r="713" spans="1:18" ht="15.75" customHeight="1">
      <c r="A713" s="35"/>
      <c r="B713" s="18" t="s">
        <v>2611</v>
      </c>
      <c r="C713" s="37" t="s">
        <v>46</v>
      </c>
      <c r="D713" s="25" t="s">
        <v>2612</v>
      </c>
      <c r="E713" s="20" t="s">
        <v>2613</v>
      </c>
      <c r="F713" s="37" t="s">
        <v>49</v>
      </c>
      <c r="G713" s="19" t="s">
        <v>50</v>
      </c>
      <c r="H713" s="37"/>
      <c r="I713" s="21" t="s">
        <v>29</v>
      </c>
      <c r="J713" s="21" t="s">
        <v>29</v>
      </c>
      <c r="K713" s="22" t="s">
        <v>2614</v>
      </c>
      <c r="L713" s="56">
        <v>45062</v>
      </c>
      <c r="Q713" s="25"/>
      <c r="R713" s="25"/>
    </row>
    <row r="714" spans="1:18" ht="15.75" customHeight="1">
      <c r="A714" s="35"/>
      <c r="B714" s="18" t="s">
        <v>2615</v>
      </c>
      <c r="C714" s="37" t="s">
        <v>412</v>
      </c>
      <c r="D714" s="25" t="s">
        <v>2616</v>
      </c>
      <c r="E714" s="20" t="s">
        <v>55</v>
      </c>
      <c r="F714" s="19" t="s">
        <v>414</v>
      </c>
      <c r="G714" s="37" t="s">
        <v>415</v>
      </c>
      <c r="H714" s="37"/>
      <c r="I714" s="21" t="s">
        <v>233</v>
      </c>
      <c r="J714" s="21" t="s">
        <v>233</v>
      </c>
      <c r="K714" s="22" t="s">
        <v>55</v>
      </c>
      <c r="L714" s="56">
        <v>45062</v>
      </c>
      <c r="Q714" s="25"/>
      <c r="R714" s="25"/>
    </row>
    <row r="715" spans="1:18" ht="15.75" customHeight="1">
      <c r="A715" s="35"/>
      <c r="B715" s="18" t="s">
        <v>2617</v>
      </c>
      <c r="C715" s="37" t="s">
        <v>412</v>
      </c>
      <c r="D715" s="25" t="s">
        <v>2618</v>
      </c>
      <c r="E715" s="20" t="s">
        <v>55</v>
      </c>
      <c r="F715" s="19" t="s">
        <v>414</v>
      </c>
      <c r="G715" s="19" t="s">
        <v>415</v>
      </c>
      <c r="H715" s="37"/>
      <c r="I715" s="21" t="s">
        <v>233</v>
      </c>
      <c r="J715" s="21" t="s">
        <v>233</v>
      </c>
      <c r="K715" s="22" t="s">
        <v>55</v>
      </c>
      <c r="L715" s="56">
        <v>45062</v>
      </c>
      <c r="Q715" s="25"/>
      <c r="R715" s="25"/>
    </row>
    <row r="716" spans="1:18" ht="15.75" customHeight="1">
      <c r="A716" s="35"/>
      <c r="B716" s="18" t="s">
        <v>2619</v>
      </c>
      <c r="C716" s="37" t="s">
        <v>412</v>
      </c>
      <c r="D716" s="25" t="s">
        <v>2620</v>
      </c>
      <c r="E716" s="20" t="s">
        <v>2621</v>
      </c>
      <c r="F716" s="19" t="s">
        <v>414</v>
      </c>
      <c r="G716" s="37" t="s">
        <v>415</v>
      </c>
      <c r="H716" s="37"/>
      <c r="I716" s="21" t="s">
        <v>233</v>
      </c>
      <c r="J716" s="21" t="s">
        <v>233</v>
      </c>
      <c r="K716" s="22" t="s">
        <v>2622</v>
      </c>
      <c r="L716" s="56">
        <v>45062</v>
      </c>
      <c r="Q716" s="25"/>
      <c r="R716" s="25"/>
    </row>
    <row r="717" spans="1:18" ht="15.75" customHeight="1">
      <c r="A717" s="35"/>
      <c r="B717" s="38"/>
      <c r="C717" s="37"/>
      <c r="D717" s="20"/>
      <c r="E717" s="20" t="s">
        <v>145</v>
      </c>
      <c r="F717" s="37"/>
      <c r="G717" s="37"/>
      <c r="H717" s="37"/>
      <c r="I717" s="21"/>
      <c r="J717" s="21"/>
      <c r="K717" s="22" t="s">
        <v>145</v>
      </c>
      <c r="L717" s="39"/>
      <c r="Q717" s="25"/>
      <c r="R717" s="25"/>
    </row>
    <row r="718" spans="1:18" ht="15.75" customHeight="1">
      <c r="A718" s="35" t="s">
        <v>2623</v>
      </c>
      <c r="B718" s="18" t="s">
        <v>2624</v>
      </c>
      <c r="C718" s="37" t="s">
        <v>46</v>
      </c>
      <c r="D718" s="25" t="s">
        <v>2625</v>
      </c>
      <c r="E718" s="20" t="s">
        <v>2626</v>
      </c>
      <c r="F718" s="37" t="s">
        <v>49</v>
      </c>
      <c r="G718" s="19" t="s">
        <v>50</v>
      </c>
      <c r="H718" s="37"/>
      <c r="I718" s="21" t="s">
        <v>29</v>
      </c>
      <c r="J718" s="21"/>
      <c r="K718" s="22" t="s">
        <v>2627</v>
      </c>
      <c r="L718" s="56">
        <v>45062</v>
      </c>
      <c r="N718" s="40"/>
      <c r="Q718" s="25"/>
      <c r="R718" s="25"/>
    </row>
    <row r="719" spans="1:18" ht="15.75" customHeight="1">
      <c r="A719" s="51" t="s">
        <v>2628</v>
      </c>
      <c r="B719" s="18" t="s">
        <v>2629</v>
      </c>
      <c r="C719" s="37" t="s">
        <v>24</v>
      </c>
      <c r="D719" s="25" t="s">
        <v>2630</v>
      </c>
      <c r="E719" s="20" t="s">
        <v>2631</v>
      </c>
      <c r="F719" s="19" t="s">
        <v>27</v>
      </c>
      <c r="G719" s="19" t="s">
        <v>28</v>
      </c>
      <c r="H719" s="19" t="s">
        <v>36</v>
      </c>
      <c r="I719" s="21" t="s">
        <v>29</v>
      </c>
      <c r="J719" s="21"/>
      <c r="K719" s="22" t="s">
        <v>2632</v>
      </c>
      <c r="L719" s="56">
        <v>45062</v>
      </c>
      <c r="Q719" s="25"/>
      <c r="R719" s="25"/>
    </row>
    <row r="720" spans="1:18" ht="15.75" customHeight="1">
      <c r="A720" s="50" t="s">
        <v>39</v>
      </c>
      <c r="B720" s="18" t="s">
        <v>2633</v>
      </c>
      <c r="C720" s="37" t="s">
        <v>46</v>
      </c>
      <c r="D720" s="25" t="s">
        <v>2634</v>
      </c>
      <c r="E720" s="20" t="s">
        <v>2626</v>
      </c>
      <c r="F720" s="37" t="s">
        <v>49</v>
      </c>
      <c r="G720" s="19" t="s">
        <v>50</v>
      </c>
      <c r="H720" s="37"/>
      <c r="I720" s="21" t="s">
        <v>29</v>
      </c>
      <c r="J720" s="21"/>
      <c r="K720" s="22" t="s">
        <v>2627</v>
      </c>
      <c r="L720" s="56">
        <v>45062</v>
      </c>
      <c r="Q720" s="25"/>
      <c r="R720" s="25"/>
    </row>
    <row r="721" spans="1:34" ht="15.75" customHeight="1">
      <c r="A721" s="35" t="s">
        <v>2474</v>
      </c>
      <c r="B721" s="18" t="s">
        <v>2635</v>
      </c>
      <c r="C721" s="37" t="s">
        <v>24</v>
      </c>
      <c r="D721" s="25" t="s">
        <v>2636</v>
      </c>
      <c r="E721" s="20" t="s">
        <v>2637</v>
      </c>
      <c r="F721" s="19" t="s">
        <v>27</v>
      </c>
      <c r="G721" s="19" t="s">
        <v>28</v>
      </c>
      <c r="H721" s="19" t="s">
        <v>36</v>
      </c>
      <c r="I721" s="21" t="s">
        <v>29</v>
      </c>
      <c r="J721" s="21"/>
      <c r="K721" s="22" t="s">
        <v>2637</v>
      </c>
      <c r="L721" s="56">
        <v>45062</v>
      </c>
      <c r="Q721" s="25"/>
      <c r="R721" s="25"/>
      <c r="AB721" s="42"/>
      <c r="AE721" s="38"/>
      <c r="AG721" s="38"/>
      <c r="AH721" s="43"/>
    </row>
    <row r="722" spans="1:34" ht="15.75" customHeight="1">
      <c r="A722" s="35" t="s">
        <v>2638</v>
      </c>
      <c r="B722" s="18" t="s">
        <v>2639</v>
      </c>
      <c r="C722" s="37" t="s">
        <v>24</v>
      </c>
      <c r="D722" s="25" t="s">
        <v>2640</v>
      </c>
      <c r="E722" s="20" t="s">
        <v>2641</v>
      </c>
      <c r="F722" s="19" t="s">
        <v>27</v>
      </c>
      <c r="G722" s="19" t="s">
        <v>28</v>
      </c>
      <c r="H722" s="37"/>
      <c r="I722" s="21" t="s">
        <v>29</v>
      </c>
      <c r="J722" s="21"/>
      <c r="K722" s="22" t="s">
        <v>2642</v>
      </c>
      <c r="L722" s="56">
        <v>45062</v>
      </c>
      <c r="Q722" s="25"/>
      <c r="R722" s="25"/>
    </row>
    <row r="723" spans="1:34" ht="15.75" customHeight="1">
      <c r="A723" s="31" t="s">
        <v>56</v>
      </c>
      <c r="B723" s="34" t="s">
        <v>2643</v>
      </c>
      <c r="C723" s="37" t="s">
        <v>87</v>
      </c>
      <c r="D723" s="25" t="s">
        <v>2644</v>
      </c>
      <c r="E723" s="20" t="s">
        <v>2645</v>
      </c>
      <c r="F723" s="37" t="s">
        <v>49</v>
      </c>
      <c r="G723" s="19" t="s">
        <v>50</v>
      </c>
      <c r="H723" s="37"/>
      <c r="I723" s="21" t="s">
        <v>29</v>
      </c>
      <c r="J723" s="21"/>
      <c r="K723" s="22" t="s">
        <v>2646</v>
      </c>
      <c r="L723" s="56">
        <v>45062</v>
      </c>
      <c r="Q723" s="25"/>
      <c r="R723" s="25"/>
    </row>
    <row r="724" spans="1:34" ht="15.75" customHeight="1">
      <c r="A724" s="17">
        <v>74</v>
      </c>
      <c r="B724" s="18" t="s">
        <v>2647</v>
      </c>
      <c r="C724" s="37" t="s">
        <v>87</v>
      </c>
      <c r="D724" s="25" t="s">
        <v>2648</v>
      </c>
      <c r="E724" s="20" t="s">
        <v>1574</v>
      </c>
      <c r="F724" s="37" t="s">
        <v>49</v>
      </c>
      <c r="G724" s="19" t="s">
        <v>91</v>
      </c>
      <c r="H724" s="37"/>
      <c r="I724" s="21" t="s">
        <v>29</v>
      </c>
      <c r="J724" s="21"/>
      <c r="K724" s="22" t="s">
        <v>1574</v>
      </c>
      <c r="L724" s="56">
        <v>45062</v>
      </c>
      <c r="Q724" s="25"/>
      <c r="R724" s="25"/>
    </row>
    <row r="725" spans="1:34" ht="15.75" customHeight="1">
      <c r="A725" s="31"/>
      <c r="B725" s="41" t="s">
        <v>2649</v>
      </c>
      <c r="C725" s="37" t="s">
        <v>46</v>
      </c>
      <c r="D725" s="25" t="s">
        <v>2650</v>
      </c>
      <c r="E725" s="20" t="s">
        <v>2651</v>
      </c>
      <c r="F725" s="37"/>
      <c r="G725" s="37"/>
      <c r="H725" s="37"/>
      <c r="I725" s="21"/>
      <c r="J725" s="21"/>
      <c r="K725" s="22"/>
      <c r="L725" s="56"/>
      <c r="Q725" s="25"/>
      <c r="R725" s="25"/>
    </row>
    <row r="726" spans="1:34" ht="15.75" customHeight="1">
      <c r="A726" s="31" t="s">
        <v>64</v>
      </c>
      <c r="B726" s="18" t="s">
        <v>2652</v>
      </c>
      <c r="C726" s="37" t="s">
        <v>87</v>
      </c>
      <c r="D726" s="25" t="s">
        <v>2653</v>
      </c>
      <c r="E726" s="20" t="s">
        <v>2654</v>
      </c>
      <c r="F726" s="19" t="s">
        <v>90</v>
      </c>
      <c r="G726" s="19" t="s">
        <v>91</v>
      </c>
      <c r="H726" s="37"/>
      <c r="I726" s="21" t="s">
        <v>29</v>
      </c>
      <c r="J726" s="21"/>
      <c r="K726" s="22" t="s">
        <v>2654</v>
      </c>
      <c r="L726" s="56">
        <v>45062</v>
      </c>
      <c r="Q726" s="25"/>
      <c r="R726" s="25"/>
    </row>
    <row r="727" spans="1:34" ht="15.75" customHeight="1">
      <c r="A727" s="17">
        <v>4.0999999999999996</v>
      </c>
      <c r="B727" s="18" t="s">
        <v>2655</v>
      </c>
      <c r="C727" s="37" t="s">
        <v>24</v>
      </c>
      <c r="D727" s="25" t="s">
        <v>2656</v>
      </c>
      <c r="E727" s="20" t="s">
        <v>2657</v>
      </c>
      <c r="F727" s="19" t="s">
        <v>27</v>
      </c>
      <c r="G727" s="19" t="s">
        <v>28</v>
      </c>
      <c r="H727" s="37"/>
      <c r="I727" s="21" t="s">
        <v>29</v>
      </c>
      <c r="J727" s="21"/>
      <c r="K727" s="22" t="s">
        <v>2658</v>
      </c>
      <c r="L727" s="56">
        <v>45062</v>
      </c>
      <c r="Q727" s="25"/>
      <c r="R727" s="25"/>
    </row>
    <row r="728" spans="1:34" ht="15.75" customHeight="1">
      <c r="A728" s="31" t="s">
        <v>73</v>
      </c>
      <c r="B728" s="34" t="s">
        <v>2659</v>
      </c>
      <c r="C728" s="37" t="s">
        <v>87</v>
      </c>
      <c r="D728" s="25" t="s">
        <v>2660</v>
      </c>
      <c r="E728" s="20" t="s">
        <v>2661</v>
      </c>
      <c r="F728" s="37" t="s">
        <v>49</v>
      </c>
      <c r="G728" s="19" t="s">
        <v>50</v>
      </c>
      <c r="H728" s="37"/>
      <c r="I728" s="21" t="s">
        <v>29</v>
      </c>
      <c r="J728" s="21"/>
      <c r="K728" s="22" t="s">
        <v>2661</v>
      </c>
      <c r="L728" s="56">
        <v>45062</v>
      </c>
      <c r="Q728" s="25"/>
      <c r="R728" s="25"/>
    </row>
    <row r="729" spans="1:34" ht="15.75" customHeight="1">
      <c r="A729" s="17">
        <v>4.2</v>
      </c>
      <c r="B729" s="18" t="s">
        <v>2662</v>
      </c>
      <c r="C729" s="37" t="s">
        <v>24</v>
      </c>
      <c r="D729" s="25" t="s">
        <v>2663</v>
      </c>
      <c r="E729" s="20" t="s">
        <v>2664</v>
      </c>
      <c r="F729" s="19" t="s">
        <v>27</v>
      </c>
      <c r="G729" s="19" t="s">
        <v>28</v>
      </c>
      <c r="H729" s="37"/>
      <c r="I729" s="21" t="s">
        <v>29</v>
      </c>
      <c r="J729" s="21"/>
      <c r="K729" s="22" t="s">
        <v>2665</v>
      </c>
      <c r="L729" s="56">
        <v>45062</v>
      </c>
      <c r="Q729" s="25"/>
      <c r="R729" s="25"/>
    </row>
    <row r="730" spans="1:34" ht="15.75" customHeight="1">
      <c r="A730" s="50" t="s">
        <v>82</v>
      </c>
      <c r="B730" s="18" t="s">
        <v>2666</v>
      </c>
      <c r="C730" s="37" t="s">
        <v>46</v>
      </c>
      <c r="D730" s="25" t="s">
        <v>2667</v>
      </c>
      <c r="E730" s="20" t="s">
        <v>2651</v>
      </c>
      <c r="F730" s="37" t="s">
        <v>49</v>
      </c>
      <c r="G730" s="19" t="s">
        <v>50</v>
      </c>
      <c r="H730" s="37"/>
      <c r="I730" s="21" t="s">
        <v>29</v>
      </c>
      <c r="J730" s="21"/>
      <c r="K730" s="22" t="s">
        <v>2668</v>
      </c>
      <c r="L730" s="56">
        <v>45062</v>
      </c>
      <c r="Q730" s="25"/>
      <c r="R730" s="25"/>
    </row>
    <row r="731" spans="1:34" ht="15.75" customHeight="1">
      <c r="A731" s="35" t="s">
        <v>55</v>
      </c>
      <c r="B731" s="18" t="s">
        <v>2669</v>
      </c>
      <c r="C731" s="37" t="s">
        <v>24</v>
      </c>
      <c r="D731" s="25" t="s">
        <v>2670</v>
      </c>
      <c r="E731" s="20" t="s">
        <v>2651</v>
      </c>
      <c r="F731" s="19" t="s">
        <v>27</v>
      </c>
      <c r="G731" s="19" t="s">
        <v>28</v>
      </c>
      <c r="H731" s="19" t="s">
        <v>36</v>
      </c>
      <c r="I731" s="21" t="s">
        <v>29</v>
      </c>
      <c r="J731" s="21"/>
      <c r="K731" s="22" t="s">
        <v>2668</v>
      </c>
      <c r="L731" s="56">
        <v>45062</v>
      </c>
      <c r="Q731" s="25"/>
      <c r="R731" s="25"/>
    </row>
    <row r="732" spans="1:34" ht="15.75" customHeight="1">
      <c r="A732" s="50" t="s">
        <v>92</v>
      </c>
      <c r="B732" s="18" t="s">
        <v>2671</v>
      </c>
      <c r="C732" s="37" t="s">
        <v>87</v>
      </c>
      <c r="D732" s="25" t="s">
        <v>2672</v>
      </c>
      <c r="E732" s="20" t="s">
        <v>2673</v>
      </c>
      <c r="F732" s="19" t="s">
        <v>90</v>
      </c>
      <c r="G732" s="19" t="s">
        <v>91</v>
      </c>
      <c r="H732" s="37"/>
      <c r="I732" s="21" t="s">
        <v>29</v>
      </c>
      <c r="J732" s="21"/>
      <c r="K732" s="22" t="s">
        <v>2674</v>
      </c>
      <c r="L732" s="56">
        <v>45062</v>
      </c>
      <c r="Q732" s="25"/>
      <c r="R732" s="25"/>
    </row>
    <row r="733" spans="1:34" ht="15.75" customHeight="1">
      <c r="A733" s="17">
        <v>850</v>
      </c>
      <c r="B733" s="18" t="s">
        <v>2675</v>
      </c>
      <c r="C733" s="37" t="s">
        <v>87</v>
      </c>
      <c r="D733" s="25" t="s">
        <v>2676</v>
      </c>
      <c r="E733" s="20" t="s">
        <v>2657</v>
      </c>
      <c r="F733" s="19" t="s">
        <v>90</v>
      </c>
      <c r="G733" s="19" t="s">
        <v>91</v>
      </c>
      <c r="H733" s="37"/>
      <c r="I733" s="21" t="s">
        <v>29</v>
      </c>
      <c r="J733" s="21"/>
      <c r="K733" s="22" t="s">
        <v>2658</v>
      </c>
      <c r="L733" s="56">
        <v>45062</v>
      </c>
      <c r="Q733" s="25"/>
      <c r="R733" s="25"/>
    </row>
    <row r="734" spans="1:34" ht="15.75" customHeight="1">
      <c r="A734" s="31" t="s">
        <v>100</v>
      </c>
      <c r="B734" s="18" t="s">
        <v>2677</v>
      </c>
      <c r="C734" s="37" t="s">
        <v>24</v>
      </c>
      <c r="D734" s="25" t="s">
        <v>2678</v>
      </c>
      <c r="E734" s="20" t="s">
        <v>2679</v>
      </c>
      <c r="F734" s="19" t="s">
        <v>27</v>
      </c>
      <c r="G734" s="19" t="s">
        <v>28</v>
      </c>
      <c r="H734" s="19" t="s">
        <v>36</v>
      </c>
      <c r="I734" s="21" t="s">
        <v>29</v>
      </c>
      <c r="J734" s="21"/>
      <c r="K734" s="22" t="s">
        <v>2680</v>
      </c>
      <c r="L734" s="56">
        <v>45062</v>
      </c>
      <c r="Q734" s="25"/>
      <c r="R734" s="25"/>
    </row>
    <row r="735" spans="1:34" ht="15.75" customHeight="1">
      <c r="A735" s="17">
        <v>168</v>
      </c>
      <c r="B735" s="18" t="s">
        <v>2681</v>
      </c>
      <c r="C735" s="37" t="s">
        <v>24</v>
      </c>
      <c r="D735" s="25" t="s">
        <v>2682</v>
      </c>
      <c r="E735" s="20" t="s">
        <v>2683</v>
      </c>
      <c r="F735" s="19" t="s">
        <v>27</v>
      </c>
      <c r="G735" s="19" t="s">
        <v>28</v>
      </c>
      <c r="H735" s="19" t="s">
        <v>36</v>
      </c>
      <c r="I735" s="21" t="s">
        <v>29</v>
      </c>
      <c r="J735" s="21"/>
      <c r="K735" s="22" t="s">
        <v>2684</v>
      </c>
      <c r="L735" s="56">
        <v>45062</v>
      </c>
      <c r="Q735" s="25"/>
      <c r="R735" s="25"/>
    </row>
    <row r="736" spans="1:34" ht="15.75" customHeight="1">
      <c r="A736" s="35"/>
      <c r="B736" s="18" t="s">
        <v>2685</v>
      </c>
      <c r="C736" s="37" t="s">
        <v>24</v>
      </c>
      <c r="D736" s="25" t="s">
        <v>2686</v>
      </c>
      <c r="E736" s="20" t="s">
        <v>2626</v>
      </c>
      <c r="F736" s="19" t="s">
        <v>27</v>
      </c>
      <c r="G736" s="19" t="s">
        <v>28</v>
      </c>
      <c r="H736" s="37"/>
      <c r="I736" s="21" t="s">
        <v>29</v>
      </c>
      <c r="J736" s="21"/>
      <c r="K736" s="22" t="s">
        <v>2687</v>
      </c>
      <c r="L736" s="56">
        <v>45062</v>
      </c>
      <c r="Q736" s="25"/>
      <c r="R736" s="25"/>
    </row>
    <row r="737" spans="1:23" ht="15.75" customHeight="1">
      <c r="A737" s="35"/>
      <c r="B737" s="34" t="s">
        <v>2688</v>
      </c>
      <c r="C737" s="37" t="s">
        <v>87</v>
      </c>
      <c r="D737" s="25" t="s">
        <v>2689</v>
      </c>
      <c r="E737" s="20" t="s">
        <v>2626</v>
      </c>
      <c r="F737" s="37" t="s">
        <v>49</v>
      </c>
      <c r="G737" s="19" t="s">
        <v>50</v>
      </c>
      <c r="H737" s="37"/>
      <c r="I737" s="21" t="s">
        <v>29</v>
      </c>
      <c r="J737" s="21"/>
      <c r="K737" s="22" t="s">
        <v>2627</v>
      </c>
      <c r="L737" s="56">
        <v>45062</v>
      </c>
      <c r="Q737" s="25"/>
      <c r="R737" s="25"/>
    </row>
    <row r="738" spans="1:23" ht="15.75" customHeight="1">
      <c r="A738" s="35"/>
      <c r="B738" s="18" t="s">
        <v>2690</v>
      </c>
      <c r="C738" s="37" t="s">
        <v>24</v>
      </c>
      <c r="D738" s="25" t="s">
        <v>2691</v>
      </c>
      <c r="E738" s="20" t="s">
        <v>1574</v>
      </c>
      <c r="F738" s="19" t="s">
        <v>27</v>
      </c>
      <c r="G738" s="19" t="s">
        <v>28</v>
      </c>
      <c r="H738" s="37"/>
      <c r="I738" s="21" t="s">
        <v>29</v>
      </c>
      <c r="J738" s="21"/>
      <c r="K738" s="22" t="s">
        <v>1574</v>
      </c>
      <c r="L738" s="56">
        <v>45062</v>
      </c>
      <c r="Q738" s="25"/>
      <c r="R738" s="25"/>
    </row>
    <row r="739" spans="1:23" ht="15.75" customHeight="1">
      <c r="A739" s="35"/>
      <c r="B739" s="18" t="s">
        <v>2692</v>
      </c>
      <c r="C739" s="37" t="s">
        <v>87</v>
      </c>
      <c r="D739" s="25" t="s">
        <v>2693</v>
      </c>
      <c r="E739" s="20" t="s">
        <v>2654</v>
      </c>
      <c r="F739" s="19" t="s">
        <v>90</v>
      </c>
      <c r="G739" s="19" t="s">
        <v>91</v>
      </c>
      <c r="H739" s="37"/>
      <c r="I739" s="21" t="s">
        <v>29</v>
      </c>
      <c r="J739" s="21"/>
      <c r="K739" s="22" t="s">
        <v>2654</v>
      </c>
      <c r="L739" s="56">
        <v>45062</v>
      </c>
      <c r="Q739" s="25"/>
      <c r="R739" s="25"/>
    </row>
    <row r="740" spans="1:23" ht="15.75" customHeight="1">
      <c r="A740" s="35"/>
      <c r="B740" s="18" t="s">
        <v>2694</v>
      </c>
      <c r="C740" s="37" t="s">
        <v>24</v>
      </c>
      <c r="D740" s="25" t="s">
        <v>2695</v>
      </c>
      <c r="E740" s="20" t="s">
        <v>2679</v>
      </c>
      <c r="F740" s="19" t="s">
        <v>27</v>
      </c>
      <c r="G740" s="19" t="s">
        <v>28</v>
      </c>
      <c r="H740" s="37"/>
      <c r="I740" s="21" t="s">
        <v>29</v>
      </c>
      <c r="J740" s="21"/>
      <c r="K740" s="22" t="s">
        <v>2680</v>
      </c>
      <c r="L740" s="56">
        <v>45062</v>
      </c>
      <c r="Q740" s="25"/>
      <c r="R740" s="25"/>
    </row>
    <row r="741" spans="1:23" ht="15.75" customHeight="1">
      <c r="A741" s="35"/>
      <c r="B741" s="18" t="s">
        <v>2696</v>
      </c>
      <c r="C741" s="37" t="s">
        <v>24</v>
      </c>
      <c r="D741" s="25" t="s">
        <v>2697</v>
      </c>
      <c r="E741" s="20" t="s">
        <v>2626</v>
      </c>
      <c r="F741" s="19" t="s">
        <v>27</v>
      </c>
      <c r="G741" s="19" t="s">
        <v>28</v>
      </c>
      <c r="H741" s="19" t="s">
        <v>36</v>
      </c>
      <c r="I741" s="21" t="s">
        <v>29</v>
      </c>
      <c r="J741" s="21"/>
      <c r="K741" s="22" t="s">
        <v>2627</v>
      </c>
      <c r="L741" s="56">
        <v>45062</v>
      </c>
      <c r="Q741" s="25"/>
      <c r="R741" s="25"/>
    </row>
    <row r="742" spans="1:23" ht="15.75" customHeight="1">
      <c r="A742" s="35"/>
      <c r="B742" s="18" t="s">
        <v>2698</v>
      </c>
      <c r="C742" s="37" t="s">
        <v>87</v>
      </c>
      <c r="D742" s="25" t="s">
        <v>2699</v>
      </c>
      <c r="E742" s="20" t="s">
        <v>1574</v>
      </c>
      <c r="F742" s="19" t="s">
        <v>90</v>
      </c>
      <c r="G742" s="19" t="s">
        <v>91</v>
      </c>
      <c r="H742" s="37"/>
      <c r="I742" s="21" t="s">
        <v>29</v>
      </c>
      <c r="J742" s="21"/>
      <c r="K742" s="22" t="s">
        <v>1574</v>
      </c>
      <c r="L742" s="56">
        <v>45062</v>
      </c>
      <c r="Q742" s="25"/>
      <c r="R742" s="25"/>
    </row>
    <row r="743" spans="1:23" ht="15.75" customHeight="1">
      <c r="A743" s="35"/>
      <c r="B743" s="18" t="s">
        <v>2700</v>
      </c>
      <c r="C743" s="37" t="s">
        <v>24</v>
      </c>
      <c r="D743" s="25" t="s">
        <v>2701</v>
      </c>
      <c r="E743" s="20" t="s">
        <v>2702</v>
      </c>
      <c r="F743" s="19" t="s">
        <v>27</v>
      </c>
      <c r="G743" s="19" t="s">
        <v>28</v>
      </c>
      <c r="H743" s="19" t="s">
        <v>36</v>
      </c>
      <c r="I743" s="21" t="s">
        <v>29</v>
      </c>
      <c r="J743" s="21"/>
      <c r="K743" s="22" t="s">
        <v>2703</v>
      </c>
      <c r="L743" s="56">
        <v>45062</v>
      </c>
      <c r="Q743" s="25"/>
      <c r="R743" s="25"/>
    </row>
    <row r="744" spans="1:23" ht="15.75" customHeight="1">
      <c r="A744" s="35"/>
      <c r="B744" s="18" t="s">
        <v>2704</v>
      </c>
      <c r="C744" s="37" t="s">
        <v>46</v>
      </c>
      <c r="D744" s="25" t="s">
        <v>2705</v>
      </c>
      <c r="E744" s="20" t="s">
        <v>2637</v>
      </c>
      <c r="F744" s="37" t="s">
        <v>49</v>
      </c>
      <c r="G744" s="19" t="s">
        <v>50</v>
      </c>
      <c r="H744" s="37"/>
      <c r="I744" s="21" t="s">
        <v>29</v>
      </c>
      <c r="J744" s="21"/>
      <c r="K744" s="22" t="s">
        <v>2637</v>
      </c>
      <c r="L744" s="56">
        <v>45062</v>
      </c>
      <c r="Q744" s="25"/>
      <c r="R744" s="25"/>
    </row>
    <row r="745" spans="1:23" ht="15.75" customHeight="1">
      <c r="A745" s="35"/>
      <c r="B745" s="18" t="s">
        <v>2706</v>
      </c>
      <c r="C745" s="37" t="s">
        <v>46</v>
      </c>
      <c r="D745" s="25" t="s">
        <v>2707</v>
      </c>
      <c r="E745" s="20" t="s">
        <v>2626</v>
      </c>
      <c r="F745" s="37" t="s">
        <v>49</v>
      </c>
      <c r="G745" s="19" t="s">
        <v>50</v>
      </c>
      <c r="H745" s="37"/>
      <c r="I745" s="21" t="s">
        <v>29</v>
      </c>
      <c r="J745" s="21"/>
      <c r="K745" s="22" t="s">
        <v>2627</v>
      </c>
      <c r="L745" s="56">
        <v>45062</v>
      </c>
      <c r="Q745" s="25"/>
      <c r="R745" s="25"/>
    </row>
    <row r="746" spans="1:23" ht="15.75" customHeight="1">
      <c r="A746" s="35"/>
      <c r="B746" s="18" t="s">
        <v>2708</v>
      </c>
      <c r="C746" s="37" t="s">
        <v>24</v>
      </c>
      <c r="D746" s="25" t="s">
        <v>2709</v>
      </c>
      <c r="E746" s="20" t="s">
        <v>2664</v>
      </c>
      <c r="F746" s="19" t="s">
        <v>27</v>
      </c>
      <c r="G746" s="19" t="s">
        <v>28</v>
      </c>
      <c r="H746" s="19" t="s">
        <v>36</v>
      </c>
      <c r="I746" s="21" t="s">
        <v>29</v>
      </c>
      <c r="J746" s="21"/>
      <c r="K746" s="22" t="s">
        <v>2665</v>
      </c>
      <c r="L746" s="56">
        <v>45062</v>
      </c>
      <c r="Q746" s="25"/>
      <c r="R746" s="25"/>
    </row>
    <row r="747" spans="1:23" ht="15.75" customHeight="1">
      <c r="A747" s="35"/>
      <c r="B747" s="38"/>
      <c r="C747" s="37"/>
      <c r="D747" s="20"/>
      <c r="E747" s="20" t="s">
        <v>145</v>
      </c>
      <c r="F747" s="37"/>
      <c r="G747" s="37"/>
      <c r="H747" s="37"/>
      <c r="I747" s="21"/>
      <c r="J747" s="21"/>
      <c r="K747" s="22" t="s">
        <v>145</v>
      </c>
      <c r="L747" s="39"/>
      <c r="Q747" s="25"/>
      <c r="R747" s="25"/>
    </row>
    <row r="748" spans="1:23" ht="15.75" customHeight="1">
      <c r="A748" s="17" t="s">
        <v>2710</v>
      </c>
      <c r="B748" s="34" t="s">
        <v>2711</v>
      </c>
      <c r="C748" s="19" t="s">
        <v>24</v>
      </c>
      <c r="D748" s="20" t="s">
        <v>2712</v>
      </c>
      <c r="E748" s="20" t="s">
        <v>2713</v>
      </c>
      <c r="F748" s="37" t="s">
        <v>49</v>
      </c>
      <c r="G748" s="19" t="s">
        <v>91</v>
      </c>
      <c r="H748" s="19"/>
      <c r="I748" s="21" t="s">
        <v>29</v>
      </c>
      <c r="J748" s="21" t="s">
        <v>29</v>
      </c>
      <c r="K748" s="22" t="s">
        <v>2713</v>
      </c>
      <c r="L748" s="56">
        <v>45061</v>
      </c>
      <c r="N748" s="40"/>
      <c r="Q748" s="25"/>
      <c r="R748" s="25"/>
      <c r="W748" s="60"/>
    </row>
    <row r="749" spans="1:23" ht="15.75" customHeight="1">
      <c r="A749" s="28" t="s">
        <v>2714</v>
      </c>
      <c r="B749" s="18" t="s">
        <v>2715</v>
      </c>
      <c r="C749" s="19" t="s">
        <v>24</v>
      </c>
      <c r="D749" s="20" t="s">
        <v>2716</v>
      </c>
      <c r="E749" s="20" t="s">
        <v>2717</v>
      </c>
      <c r="F749" s="19" t="s">
        <v>27</v>
      </c>
      <c r="G749" s="19" t="s">
        <v>28</v>
      </c>
      <c r="H749" s="19"/>
      <c r="I749" s="21" t="s">
        <v>29</v>
      </c>
      <c r="J749" s="21" t="s">
        <v>29</v>
      </c>
      <c r="K749" s="22" t="s">
        <v>2718</v>
      </c>
      <c r="L749" s="56">
        <v>45061</v>
      </c>
      <c r="Q749" s="25"/>
      <c r="R749" s="25"/>
      <c r="W749" s="60"/>
    </row>
    <row r="750" spans="1:23" ht="15.75" customHeight="1">
      <c r="A750" s="50" t="s">
        <v>39</v>
      </c>
      <c r="B750" s="18" t="s">
        <v>2719</v>
      </c>
      <c r="C750" s="19" t="s">
        <v>24</v>
      </c>
      <c r="D750" s="20" t="s">
        <v>2720</v>
      </c>
      <c r="E750" s="20" t="s">
        <v>2721</v>
      </c>
      <c r="F750" s="19" t="s">
        <v>27</v>
      </c>
      <c r="G750" s="19" t="s">
        <v>28</v>
      </c>
      <c r="H750" s="19"/>
      <c r="I750" s="21" t="s">
        <v>29</v>
      </c>
      <c r="J750" s="21" t="s">
        <v>29</v>
      </c>
      <c r="K750" s="22" t="s">
        <v>2722</v>
      </c>
      <c r="L750" s="56">
        <v>45061</v>
      </c>
      <c r="Q750" s="25"/>
      <c r="R750" s="25"/>
      <c r="W750" s="60"/>
    </row>
    <row r="751" spans="1:23" ht="15.75" customHeight="1">
      <c r="A751" s="35" t="s">
        <v>2723</v>
      </c>
      <c r="B751" s="18" t="s">
        <v>2724</v>
      </c>
      <c r="C751" s="37" t="s">
        <v>46</v>
      </c>
      <c r="D751" s="20" t="s">
        <v>2725</v>
      </c>
      <c r="E751" s="20" t="s">
        <v>2726</v>
      </c>
      <c r="F751" s="37" t="s">
        <v>286</v>
      </c>
      <c r="G751" s="19" t="s">
        <v>50</v>
      </c>
      <c r="H751" s="37"/>
      <c r="I751" s="21" t="s">
        <v>286</v>
      </c>
      <c r="J751" s="21" t="s">
        <v>29</v>
      </c>
      <c r="K751" s="22" t="s">
        <v>2727</v>
      </c>
      <c r="L751" s="56"/>
      <c r="Q751" s="25"/>
      <c r="R751" s="25"/>
      <c r="W751" s="60"/>
    </row>
    <row r="752" spans="1:23" ht="15.75" customHeight="1">
      <c r="A752" s="35" t="s">
        <v>941</v>
      </c>
      <c r="B752" s="29" t="s">
        <v>2728</v>
      </c>
      <c r="C752" s="37" t="s">
        <v>24</v>
      </c>
      <c r="D752" s="20" t="s">
        <v>2729</v>
      </c>
      <c r="E752" s="20" t="s">
        <v>2730</v>
      </c>
      <c r="F752" s="19" t="s">
        <v>27</v>
      </c>
      <c r="G752" s="19" t="s">
        <v>28</v>
      </c>
      <c r="H752" s="19" t="s">
        <v>36</v>
      </c>
      <c r="I752" s="21" t="s">
        <v>29</v>
      </c>
      <c r="J752" s="21" t="s">
        <v>29</v>
      </c>
      <c r="K752" s="22" t="s">
        <v>2731</v>
      </c>
      <c r="L752" s="56">
        <v>45061</v>
      </c>
      <c r="Q752" s="25"/>
      <c r="R752" s="25"/>
      <c r="W752" s="60"/>
    </row>
    <row r="753" spans="1:23" ht="15.75" customHeight="1">
      <c r="A753" s="44" t="s">
        <v>56</v>
      </c>
      <c r="B753" s="18" t="s">
        <v>2732</v>
      </c>
      <c r="C753" s="19" t="s">
        <v>24</v>
      </c>
      <c r="D753" s="20" t="s">
        <v>2733</v>
      </c>
      <c r="E753" s="20" t="s">
        <v>2734</v>
      </c>
      <c r="F753" s="19" t="s">
        <v>27</v>
      </c>
      <c r="G753" s="19" t="s">
        <v>28</v>
      </c>
      <c r="H753" s="19"/>
      <c r="I753" s="21" t="s">
        <v>29</v>
      </c>
      <c r="J753" s="21" t="s">
        <v>29</v>
      </c>
      <c r="K753" s="22" t="s">
        <v>2735</v>
      </c>
      <c r="L753" s="56">
        <v>45061</v>
      </c>
      <c r="Q753" s="25"/>
      <c r="R753" s="25"/>
      <c r="W753" s="60"/>
    </row>
    <row r="754" spans="1:23" ht="15.75" customHeight="1">
      <c r="A754" s="53">
        <v>88</v>
      </c>
      <c r="B754" s="18" t="s">
        <v>2736</v>
      </c>
      <c r="C754" s="19" t="s">
        <v>1430</v>
      </c>
      <c r="D754" s="20" t="s">
        <v>2737</v>
      </c>
      <c r="E754" s="20" t="s">
        <v>55</v>
      </c>
      <c r="F754" s="55" t="s">
        <v>1445</v>
      </c>
      <c r="G754" s="55" t="s">
        <v>1432</v>
      </c>
      <c r="H754" s="19"/>
      <c r="I754" s="21" t="s">
        <v>233</v>
      </c>
      <c r="J754" s="21" t="s">
        <v>233</v>
      </c>
      <c r="K754" s="22" t="s">
        <v>55</v>
      </c>
      <c r="L754" s="56">
        <v>45061</v>
      </c>
      <c r="Q754" s="25"/>
      <c r="R754" s="25"/>
      <c r="W754" s="60"/>
    </row>
    <row r="755" spans="1:23" ht="15.75" customHeight="1">
      <c r="A755" s="44" t="s">
        <v>64</v>
      </c>
      <c r="B755" s="18" t="s">
        <v>2738</v>
      </c>
      <c r="C755" s="19" t="s">
        <v>46</v>
      </c>
      <c r="D755" s="20" t="s">
        <v>2739</v>
      </c>
      <c r="E755" s="20" t="s">
        <v>2740</v>
      </c>
      <c r="F755" s="37" t="s">
        <v>49</v>
      </c>
      <c r="G755" s="19" t="s">
        <v>50</v>
      </c>
      <c r="H755" s="19"/>
      <c r="I755" s="21" t="s">
        <v>29</v>
      </c>
      <c r="J755" s="21" t="s">
        <v>29</v>
      </c>
      <c r="K755" s="22" t="s">
        <v>2740</v>
      </c>
      <c r="L755" s="56">
        <v>45061</v>
      </c>
      <c r="Q755" s="25"/>
      <c r="R755" s="25"/>
      <c r="W755" s="60"/>
    </row>
    <row r="756" spans="1:23" ht="15.75" customHeight="1">
      <c r="A756" s="53">
        <v>4.4000000000000004</v>
      </c>
      <c r="B756" s="34" t="s">
        <v>2741</v>
      </c>
      <c r="C756" s="19" t="s">
        <v>87</v>
      </c>
      <c r="D756" s="20" t="s">
        <v>2742</v>
      </c>
      <c r="E756" s="20" t="s">
        <v>2743</v>
      </c>
      <c r="F756" s="37" t="s">
        <v>49</v>
      </c>
      <c r="G756" s="19" t="s">
        <v>50</v>
      </c>
      <c r="H756" s="19"/>
      <c r="I756" s="21" t="s">
        <v>29</v>
      </c>
      <c r="J756" s="21" t="s">
        <v>29</v>
      </c>
      <c r="K756" s="22" t="s">
        <v>2743</v>
      </c>
      <c r="L756" s="56">
        <v>45061</v>
      </c>
      <c r="Q756" s="25"/>
      <c r="R756" s="25"/>
      <c r="W756" s="60"/>
    </row>
    <row r="757" spans="1:23" ht="15.75" customHeight="1">
      <c r="A757" s="44" t="s">
        <v>73</v>
      </c>
      <c r="B757" s="34" t="s">
        <v>2744</v>
      </c>
      <c r="C757" s="19" t="s">
        <v>24</v>
      </c>
      <c r="D757" s="20" t="s">
        <v>2745</v>
      </c>
      <c r="E757" s="20" t="s">
        <v>2746</v>
      </c>
      <c r="F757" s="19" t="s">
        <v>90</v>
      </c>
      <c r="G757" s="19" t="s">
        <v>91</v>
      </c>
      <c r="H757" s="19"/>
      <c r="I757" s="21" t="s">
        <v>29</v>
      </c>
      <c r="J757" s="21" t="s">
        <v>29</v>
      </c>
      <c r="K757" s="22" t="s">
        <v>2747</v>
      </c>
      <c r="L757" s="56">
        <v>45061</v>
      </c>
      <c r="Q757" s="25"/>
      <c r="R757" s="25"/>
      <c r="W757" s="60"/>
    </row>
    <row r="758" spans="1:23" ht="15.75" customHeight="1">
      <c r="A758" s="53">
        <v>4.4000000000000004</v>
      </c>
      <c r="B758" s="18" t="s">
        <v>2748</v>
      </c>
      <c r="C758" s="19" t="s">
        <v>87</v>
      </c>
      <c r="D758" s="20" t="s">
        <v>2749</v>
      </c>
      <c r="E758" s="20" t="s">
        <v>2750</v>
      </c>
      <c r="F758" s="19" t="s">
        <v>90</v>
      </c>
      <c r="G758" s="19" t="s">
        <v>91</v>
      </c>
      <c r="H758" s="19"/>
      <c r="I758" s="21" t="s">
        <v>29</v>
      </c>
      <c r="J758" s="21" t="s">
        <v>29</v>
      </c>
      <c r="K758" s="22" t="s">
        <v>2751</v>
      </c>
      <c r="L758" s="56">
        <v>45061</v>
      </c>
      <c r="Q758" s="25"/>
      <c r="R758" s="25"/>
      <c r="W758" s="60"/>
    </row>
    <row r="759" spans="1:23" ht="15.75" customHeight="1">
      <c r="A759" s="31" t="s">
        <v>82</v>
      </c>
      <c r="B759" s="18" t="s">
        <v>2752</v>
      </c>
      <c r="C759" s="19" t="s">
        <v>46</v>
      </c>
      <c r="D759" s="20" t="s">
        <v>2753</v>
      </c>
      <c r="E759" s="20" t="s">
        <v>2754</v>
      </c>
      <c r="F759" s="19" t="s">
        <v>286</v>
      </c>
      <c r="G759" s="19" t="s">
        <v>50</v>
      </c>
      <c r="H759" s="19"/>
      <c r="I759" s="21" t="s">
        <v>286</v>
      </c>
      <c r="J759" s="21" t="s">
        <v>29</v>
      </c>
      <c r="K759" s="22" t="s">
        <v>2754</v>
      </c>
      <c r="L759" s="56"/>
      <c r="Q759" s="25"/>
      <c r="R759" s="25"/>
      <c r="W759" s="60"/>
    </row>
    <row r="760" spans="1:23" ht="15.75" customHeight="1">
      <c r="A760" s="17" t="s">
        <v>2755</v>
      </c>
      <c r="B760" s="18" t="s">
        <v>2756</v>
      </c>
      <c r="C760" s="19" t="s">
        <v>46</v>
      </c>
      <c r="D760" s="20" t="s">
        <v>2757</v>
      </c>
      <c r="E760" s="20" t="s">
        <v>55</v>
      </c>
      <c r="F760" s="19" t="s">
        <v>286</v>
      </c>
      <c r="G760" s="19" t="s">
        <v>50</v>
      </c>
      <c r="H760" s="19"/>
      <c r="I760" s="21" t="s">
        <v>286</v>
      </c>
      <c r="J760" s="21" t="s">
        <v>29</v>
      </c>
      <c r="K760" s="22" t="s">
        <v>55</v>
      </c>
      <c r="L760" s="56"/>
      <c r="Q760" s="25"/>
      <c r="R760" s="25"/>
      <c r="W760" s="60"/>
    </row>
    <row r="761" spans="1:23" ht="15.75" customHeight="1">
      <c r="A761" s="31" t="s">
        <v>92</v>
      </c>
      <c r="B761" s="18" t="s">
        <v>2758</v>
      </c>
      <c r="C761" s="19" t="s">
        <v>24</v>
      </c>
      <c r="D761" s="20" t="s">
        <v>2759</v>
      </c>
      <c r="E761" s="20" t="s">
        <v>2760</v>
      </c>
      <c r="F761" s="19" t="s">
        <v>27</v>
      </c>
      <c r="G761" s="19" t="s">
        <v>28</v>
      </c>
      <c r="H761" s="19"/>
      <c r="I761" s="21" t="s">
        <v>29</v>
      </c>
      <c r="J761" s="21" t="s">
        <v>29</v>
      </c>
      <c r="K761" s="22" t="s">
        <v>2761</v>
      </c>
      <c r="L761" s="56">
        <v>45061</v>
      </c>
      <c r="Q761" s="25"/>
      <c r="R761" s="25"/>
      <c r="W761" s="60"/>
    </row>
    <row r="762" spans="1:23" ht="15.75" customHeight="1">
      <c r="A762" s="33">
        <v>4843</v>
      </c>
      <c r="B762" s="18" t="s">
        <v>2762</v>
      </c>
      <c r="C762" s="19" t="s">
        <v>24</v>
      </c>
      <c r="D762" s="20" t="s">
        <v>2763</v>
      </c>
      <c r="E762" s="20" t="s">
        <v>2764</v>
      </c>
      <c r="F762" s="19" t="s">
        <v>27</v>
      </c>
      <c r="G762" s="19" t="s">
        <v>28</v>
      </c>
      <c r="H762" s="19" t="s">
        <v>36</v>
      </c>
      <c r="I762" s="21" t="s">
        <v>29</v>
      </c>
      <c r="J762" s="21" t="s">
        <v>29</v>
      </c>
      <c r="K762" s="22" t="s">
        <v>2764</v>
      </c>
      <c r="L762" s="56">
        <v>45061</v>
      </c>
      <c r="Q762" s="25"/>
      <c r="R762" s="25"/>
      <c r="W762" s="60"/>
    </row>
    <row r="763" spans="1:23" ht="15.75" customHeight="1">
      <c r="A763" s="31" t="s">
        <v>100</v>
      </c>
      <c r="B763" s="18" t="s">
        <v>2765</v>
      </c>
      <c r="C763" s="19" t="s">
        <v>24</v>
      </c>
      <c r="D763" s="20" t="s">
        <v>2766</v>
      </c>
      <c r="E763" s="20" t="s">
        <v>2767</v>
      </c>
      <c r="F763" s="19" t="s">
        <v>27</v>
      </c>
      <c r="G763" s="19" t="s">
        <v>28</v>
      </c>
      <c r="H763" s="19"/>
      <c r="I763" s="21" t="s">
        <v>29</v>
      </c>
      <c r="J763" s="21" t="s">
        <v>29</v>
      </c>
      <c r="K763" s="22" t="s">
        <v>2767</v>
      </c>
      <c r="L763" s="56">
        <v>45061</v>
      </c>
      <c r="Q763" s="25"/>
      <c r="R763" s="25"/>
      <c r="W763" s="60"/>
    </row>
    <row r="764" spans="1:23" ht="15.75" customHeight="1">
      <c r="A764" s="17">
        <v>167</v>
      </c>
      <c r="B764" s="18" t="s">
        <v>2768</v>
      </c>
      <c r="C764" s="19" t="s">
        <v>24</v>
      </c>
      <c r="D764" s="20" t="s">
        <v>2769</v>
      </c>
      <c r="E764" s="20" t="s">
        <v>2770</v>
      </c>
      <c r="F764" s="19" t="s">
        <v>27</v>
      </c>
      <c r="G764" s="19" t="s">
        <v>28</v>
      </c>
      <c r="H764" s="19" t="s">
        <v>36</v>
      </c>
      <c r="I764" s="21" t="s">
        <v>29</v>
      </c>
      <c r="J764" s="21" t="s">
        <v>29</v>
      </c>
      <c r="K764" s="22" t="s">
        <v>2771</v>
      </c>
      <c r="L764" s="56">
        <v>45061</v>
      </c>
      <c r="Q764" s="25"/>
      <c r="R764" s="25"/>
      <c r="W764" s="60"/>
    </row>
    <row r="765" spans="1:23" ht="15.75" customHeight="1">
      <c r="A765" s="35"/>
      <c r="B765" s="18" t="s">
        <v>2772</v>
      </c>
      <c r="C765" s="19" t="s">
        <v>24</v>
      </c>
      <c r="D765" s="20" t="s">
        <v>2773</v>
      </c>
      <c r="E765" s="20" t="s">
        <v>2774</v>
      </c>
      <c r="F765" s="19" t="s">
        <v>27</v>
      </c>
      <c r="G765" s="19" t="s">
        <v>28</v>
      </c>
      <c r="H765" s="19"/>
      <c r="I765" s="21" t="s">
        <v>29</v>
      </c>
      <c r="J765" s="21" t="s">
        <v>29</v>
      </c>
      <c r="K765" s="22" t="s">
        <v>2774</v>
      </c>
      <c r="L765" s="56">
        <v>45061</v>
      </c>
      <c r="Q765" s="25"/>
      <c r="R765" s="25"/>
      <c r="W765" s="60"/>
    </row>
    <row r="766" spans="1:23" ht="15.75" customHeight="1">
      <c r="A766" s="35"/>
      <c r="B766" s="34" t="s">
        <v>2775</v>
      </c>
      <c r="C766" s="19" t="s">
        <v>24</v>
      </c>
      <c r="D766" s="20" t="s">
        <v>2776</v>
      </c>
      <c r="E766" s="20" t="s">
        <v>2777</v>
      </c>
      <c r="F766" s="19" t="s">
        <v>90</v>
      </c>
      <c r="G766" s="19" t="s">
        <v>91</v>
      </c>
      <c r="H766" s="19"/>
      <c r="I766" s="21" t="s">
        <v>29</v>
      </c>
      <c r="J766" s="21" t="s">
        <v>29</v>
      </c>
      <c r="K766" s="22" t="s">
        <v>2778</v>
      </c>
      <c r="L766" s="56">
        <v>45061</v>
      </c>
      <c r="Q766" s="25"/>
      <c r="R766" s="25"/>
      <c r="W766" s="60"/>
    </row>
    <row r="767" spans="1:23" ht="15.75" customHeight="1">
      <c r="A767" s="35"/>
      <c r="B767" s="41" t="s">
        <v>2779</v>
      </c>
      <c r="C767" s="19" t="s">
        <v>24</v>
      </c>
      <c r="D767" s="20" t="s">
        <v>2780</v>
      </c>
      <c r="E767" s="20" t="s">
        <v>2781</v>
      </c>
      <c r="F767" s="19"/>
      <c r="G767" s="19"/>
      <c r="H767" s="19"/>
      <c r="I767" s="21"/>
      <c r="J767" s="21"/>
      <c r="K767" s="22"/>
      <c r="L767" s="56"/>
      <c r="Q767" s="25"/>
      <c r="R767" s="25"/>
      <c r="W767" s="60"/>
    </row>
    <row r="768" spans="1:23" ht="15.75" customHeight="1">
      <c r="A768" s="35"/>
      <c r="B768" s="18" t="s">
        <v>2782</v>
      </c>
      <c r="C768" s="19" t="s">
        <v>24</v>
      </c>
      <c r="D768" s="20" t="s">
        <v>2783</v>
      </c>
      <c r="E768" s="20" t="s">
        <v>2784</v>
      </c>
      <c r="F768" s="19" t="s">
        <v>27</v>
      </c>
      <c r="G768" s="19" t="s">
        <v>28</v>
      </c>
      <c r="H768" s="19"/>
      <c r="I768" s="21" t="s">
        <v>29</v>
      </c>
      <c r="J768" s="21" t="s">
        <v>29</v>
      </c>
      <c r="K768" s="22" t="s">
        <v>2785</v>
      </c>
      <c r="L768" s="56">
        <v>45061</v>
      </c>
      <c r="Q768" s="25"/>
      <c r="R768" s="25"/>
      <c r="W768" s="60"/>
    </row>
    <row r="769" spans="1:23" ht="15.75" customHeight="1">
      <c r="A769" s="35"/>
      <c r="B769" s="18" t="s">
        <v>2786</v>
      </c>
      <c r="C769" s="19" t="s">
        <v>46</v>
      </c>
      <c r="D769" s="20" t="s">
        <v>2787</v>
      </c>
      <c r="E769" s="20" t="s">
        <v>2788</v>
      </c>
      <c r="F769" s="37" t="s">
        <v>49</v>
      </c>
      <c r="G769" s="19" t="s">
        <v>50</v>
      </c>
      <c r="H769" s="19"/>
      <c r="I769" s="21" t="s">
        <v>29</v>
      </c>
      <c r="J769" s="21" t="s">
        <v>29</v>
      </c>
      <c r="K769" s="22" t="s">
        <v>2788</v>
      </c>
      <c r="L769" s="56">
        <v>45061</v>
      </c>
      <c r="Q769" s="25"/>
      <c r="R769" s="25"/>
      <c r="W769" s="60"/>
    </row>
    <row r="770" spans="1:23" ht="15.75" customHeight="1">
      <c r="A770" s="35"/>
      <c r="B770" s="41" t="s">
        <v>2789</v>
      </c>
      <c r="C770" s="19" t="s">
        <v>46</v>
      </c>
      <c r="D770" s="20" t="s">
        <v>2787</v>
      </c>
      <c r="E770" s="20" t="s">
        <v>2790</v>
      </c>
      <c r="F770" s="19"/>
      <c r="G770" s="19"/>
      <c r="H770" s="19"/>
      <c r="I770" s="21"/>
      <c r="J770" s="21"/>
      <c r="K770" s="22"/>
      <c r="L770" s="56"/>
      <c r="Q770" s="25"/>
      <c r="R770" s="25"/>
      <c r="W770" s="60"/>
    </row>
    <row r="771" spans="1:23" ht="15.75" customHeight="1">
      <c r="A771" s="35"/>
      <c r="B771" s="18" t="s">
        <v>2791</v>
      </c>
      <c r="C771" s="19" t="s">
        <v>24</v>
      </c>
      <c r="D771" s="20" t="s">
        <v>2792</v>
      </c>
      <c r="E771" s="20" t="s">
        <v>2793</v>
      </c>
      <c r="F771" s="19" t="s">
        <v>27</v>
      </c>
      <c r="G771" s="19" t="s">
        <v>28</v>
      </c>
      <c r="H771" s="19" t="s">
        <v>36</v>
      </c>
      <c r="I771" s="21" t="s">
        <v>29</v>
      </c>
      <c r="J771" s="21" t="s">
        <v>29</v>
      </c>
      <c r="K771" s="22" t="s">
        <v>2794</v>
      </c>
      <c r="L771" s="56">
        <v>45061</v>
      </c>
      <c r="Q771" s="25"/>
      <c r="R771" s="25"/>
      <c r="W771" s="60"/>
    </row>
    <row r="772" spans="1:23" ht="15.75" customHeight="1">
      <c r="A772" s="35"/>
      <c r="B772" s="38" t="s">
        <v>2795</v>
      </c>
      <c r="C772" s="19" t="s">
        <v>24</v>
      </c>
      <c r="D772" s="20" t="s">
        <v>2796</v>
      </c>
      <c r="E772" s="20" t="s">
        <v>2797</v>
      </c>
      <c r="F772" s="19" t="s">
        <v>27</v>
      </c>
      <c r="G772" s="19" t="s">
        <v>28</v>
      </c>
      <c r="H772" s="19" t="s">
        <v>36</v>
      </c>
      <c r="I772" s="21" t="s">
        <v>29</v>
      </c>
      <c r="J772" s="21" t="s">
        <v>29</v>
      </c>
      <c r="K772" s="22" t="s">
        <v>2798</v>
      </c>
      <c r="L772" s="56"/>
      <c r="Q772" s="25"/>
      <c r="R772" s="25"/>
      <c r="W772" s="60"/>
    </row>
    <row r="773" spans="1:23" ht="15.75" customHeight="1">
      <c r="A773" s="35"/>
      <c r="B773" s="18" t="s">
        <v>2799</v>
      </c>
      <c r="C773" s="19" t="s">
        <v>1366</v>
      </c>
      <c r="D773" s="20" t="s">
        <v>2800</v>
      </c>
      <c r="E773" s="20" t="s">
        <v>2801</v>
      </c>
      <c r="F773" s="55" t="s">
        <v>1369</v>
      </c>
      <c r="G773" s="55" t="s">
        <v>1370</v>
      </c>
      <c r="H773" s="19"/>
      <c r="I773" s="21" t="s">
        <v>1371</v>
      </c>
      <c r="J773" s="21" t="s">
        <v>1371</v>
      </c>
      <c r="K773" s="22" t="s">
        <v>2801</v>
      </c>
      <c r="L773" s="56">
        <v>45061</v>
      </c>
      <c r="Q773" s="25"/>
      <c r="R773" s="25"/>
      <c r="W773" s="60"/>
    </row>
    <row r="774" spans="1:23" ht="15.75" customHeight="1">
      <c r="A774" s="35"/>
      <c r="B774" s="18" t="s">
        <v>2802</v>
      </c>
      <c r="C774" s="19" t="s">
        <v>24</v>
      </c>
      <c r="D774" s="20" t="s">
        <v>2803</v>
      </c>
      <c r="E774" s="20" t="s">
        <v>2804</v>
      </c>
      <c r="F774" s="19" t="s">
        <v>27</v>
      </c>
      <c r="G774" s="19" t="s">
        <v>28</v>
      </c>
      <c r="H774" s="19"/>
      <c r="I774" s="21" t="s">
        <v>29</v>
      </c>
      <c r="J774" s="21" t="s">
        <v>29</v>
      </c>
      <c r="K774" s="22" t="s">
        <v>2804</v>
      </c>
      <c r="L774" s="56">
        <v>45061</v>
      </c>
      <c r="Q774" s="25"/>
      <c r="R774" s="25"/>
      <c r="W774" s="60"/>
    </row>
    <row r="775" spans="1:23" ht="15.75" customHeight="1">
      <c r="A775" s="35"/>
      <c r="B775" s="18" t="s">
        <v>2805</v>
      </c>
      <c r="C775" s="19" t="s">
        <v>24</v>
      </c>
      <c r="D775" s="20" t="s">
        <v>2806</v>
      </c>
      <c r="E775" s="20" t="s">
        <v>2807</v>
      </c>
      <c r="F775" s="19" t="s">
        <v>27</v>
      </c>
      <c r="G775" s="19" t="s">
        <v>28</v>
      </c>
      <c r="H775" s="19"/>
      <c r="I775" s="21" t="s">
        <v>29</v>
      </c>
      <c r="J775" s="21" t="s">
        <v>29</v>
      </c>
      <c r="K775" s="22" t="s">
        <v>2807</v>
      </c>
      <c r="L775" s="56">
        <v>45061</v>
      </c>
      <c r="Q775" s="25"/>
      <c r="R775" s="25"/>
      <c r="W775" s="60"/>
    </row>
    <row r="776" spans="1:23" ht="15.75" customHeight="1">
      <c r="A776" s="35"/>
      <c r="B776" s="18" t="s">
        <v>2808</v>
      </c>
      <c r="C776" s="19" t="s">
        <v>24</v>
      </c>
      <c r="D776" s="20" t="s">
        <v>2809</v>
      </c>
      <c r="E776" s="20" t="s">
        <v>2810</v>
      </c>
      <c r="F776" s="19" t="s">
        <v>27</v>
      </c>
      <c r="G776" s="19" t="s">
        <v>28</v>
      </c>
      <c r="H776" s="19" t="s">
        <v>36</v>
      </c>
      <c r="I776" s="21" t="s">
        <v>29</v>
      </c>
      <c r="J776" s="21" t="s">
        <v>29</v>
      </c>
      <c r="K776" s="22" t="s">
        <v>2811</v>
      </c>
      <c r="L776" s="56">
        <v>45061</v>
      </c>
      <c r="Q776" s="25"/>
      <c r="R776" s="25"/>
      <c r="W776" s="60"/>
    </row>
    <row r="777" spans="1:23" ht="15.75" customHeight="1">
      <c r="A777" s="17"/>
      <c r="B777" s="18" t="s">
        <v>2812</v>
      </c>
      <c r="C777" s="19" t="s">
        <v>228</v>
      </c>
      <c r="D777" s="20" t="s">
        <v>2813</v>
      </c>
      <c r="E777" s="20" t="s">
        <v>2814</v>
      </c>
      <c r="F777" s="19" t="s">
        <v>231</v>
      </c>
      <c r="G777" s="19" t="s">
        <v>232</v>
      </c>
      <c r="H777" s="19"/>
      <c r="I777" s="21" t="s">
        <v>233</v>
      </c>
      <c r="J777" s="21" t="s">
        <v>233</v>
      </c>
      <c r="K777" s="22" t="s">
        <v>2814</v>
      </c>
      <c r="L777" s="56">
        <v>45061</v>
      </c>
      <c r="Q777" s="25"/>
      <c r="R777" s="25"/>
      <c r="W777" s="60"/>
    </row>
    <row r="778" spans="1:23" ht="15.75" customHeight="1">
      <c r="A778" s="17"/>
      <c r="B778" s="36" t="s">
        <v>2815</v>
      </c>
      <c r="C778" s="19" t="s">
        <v>121</v>
      </c>
      <c r="D778" s="20" t="s">
        <v>2816</v>
      </c>
      <c r="E778" s="20" t="s">
        <v>55</v>
      </c>
      <c r="F778" s="19" t="s">
        <v>27</v>
      </c>
      <c r="G778" s="19" t="s">
        <v>28</v>
      </c>
      <c r="H778" s="19"/>
      <c r="I778" s="21" t="s">
        <v>29</v>
      </c>
      <c r="J778" s="21" t="s">
        <v>29</v>
      </c>
      <c r="K778" s="22" t="s">
        <v>55</v>
      </c>
      <c r="L778" s="56">
        <v>45061</v>
      </c>
      <c r="Q778" s="25"/>
      <c r="R778" s="25"/>
      <c r="W778" s="60"/>
    </row>
    <row r="779" spans="1:23" ht="15.75" customHeight="1">
      <c r="A779" s="17"/>
      <c r="B779" s="18" t="s">
        <v>2817</v>
      </c>
      <c r="C779" s="19" t="s">
        <v>24</v>
      </c>
      <c r="D779" s="20" t="s">
        <v>2818</v>
      </c>
      <c r="E779" s="20" t="s">
        <v>2819</v>
      </c>
      <c r="F779" s="19" t="s">
        <v>27</v>
      </c>
      <c r="G779" s="19" t="s">
        <v>28</v>
      </c>
      <c r="H779" s="19"/>
      <c r="I779" s="21" t="s">
        <v>29</v>
      </c>
      <c r="J779" s="21" t="s">
        <v>29</v>
      </c>
      <c r="K779" s="22" t="s">
        <v>2819</v>
      </c>
      <c r="L779" s="56">
        <v>45061</v>
      </c>
      <c r="Q779" s="25"/>
      <c r="R779" s="25"/>
      <c r="W779" s="60"/>
    </row>
    <row r="780" spans="1:23" ht="15.75" customHeight="1">
      <c r="A780" s="17"/>
      <c r="B780" s="18" t="s">
        <v>2820</v>
      </c>
      <c r="C780" s="19" t="s">
        <v>87</v>
      </c>
      <c r="D780" s="20" t="s">
        <v>2821</v>
      </c>
      <c r="E780" s="20" t="s">
        <v>2822</v>
      </c>
      <c r="F780" s="19" t="s">
        <v>90</v>
      </c>
      <c r="G780" s="19" t="s">
        <v>91</v>
      </c>
      <c r="H780" s="19"/>
      <c r="I780" s="21" t="s">
        <v>29</v>
      </c>
      <c r="J780" s="21" t="s">
        <v>29</v>
      </c>
      <c r="K780" s="22" t="s">
        <v>2823</v>
      </c>
      <c r="L780" s="56">
        <v>45061</v>
      </c>
      <c r="Q780" s="25"/>
      <c r="R780" s="25"/>
      <c r="W780" s="60"/>
    </row>
    <row r="781" spans="1:23" ht="15.75" customHeight="1">
      <c r="A781" s="17"/>
      <c r="B781" s="18" t="s">
        <v>2824</v>
      </c>
      <c r="C781" s="19" t="s">
        <v>24</v>
      </c>
      <c r="D781" s="20" t="s">
        <v>2825</v>
      </c>
      <c r="E781" s="20" t="s">
        <v>2826</v>
      </c>
      <c r="F781" s="19" t="s">
        <v>27</v>
      </c>
      <c r="G781" s="19" t="s">
        <v>28</v>
      </c>
      <c r="H781" s="19"/>
      <c r="I781" s="21" t="s">
        <v>29</v>
      </c>
      <c r="J781" s="21" t="s">
        <v>29</v>
      </c>
      <c r="K781" s="22" t="s">
        <v>2827</v>
      </c>
      <c r="L781" s="56">
        <v>45061</v>
      </c>
      <c r="Q781" s="25"/>
      <c r="R781" s="25"/>
      <c r="W781" s="60"/>
    </row>
    <row r="782" spans="1:23" ht="15.75" customHeight="1">
      <c r="A782" s="17"/>
      <c r="B782" s="36" t="s">
        <v>2023</v>
      </c>
      <c r="C782" s="19" t="s">
        <v>121</v>
      </c>
      <c r="D782" s="20" t="s">
        <v>2828</v>
      </c>
      <c r="E782" s="20" t="s">
        <v>2829</v>
      </c>
      <c r="F782" s="19" t="s">
        <v>90</v>
      </c>
      <c r="G782" s="19" t="s">
        <v>452</v>
      </c>
      <c r="H782" s="19"/>
      <c r="I782" s="21" t="s">
        <v>29</v>
      </c>
      <c r="J782" s="21" t="s">
        <v>452</v>
      </c>
      <c r="K782" s="22" t="s">
        <v>2830</v>
      </c>
      <c r="L782" s="56">
        <v>45061</v>
      </c>
      <c r="Q782" s="25"/>
      <c r="R782" s="25"/>
      <c r="W782" s="60"/>
    </row>
    <row r="783" spans="1:23" ht="15.75" customHeight="1">
      <c r="A783" s="17"/>
      <c r="B783" s="41" t="s">
        <v>2831</v>
      </c>
      <c r="C783" s="19" t="s">
        <v>46</v>
      </c>
      <c r="D783" s="20" t="s">
        <v>2832</v>
      </c>
      <c r="E783" s="20" t="s">
        <v>2833</v>
      </c>
      <c r="F783" s="19"/>
      <c r="G783" s="19"/>
      <c r="H783" s="19"/>
      <c r="I783" s="21"/>
      <c r="J783" s="21"/>
      <c r="K783" s="22"/>
      <c r="L783" s="56"/>
      <c r="Q783" s="25"/>
      <c r="R783" s="25"/>
      <c r="W783" s="60"/>
    </row>
    <row r="784" spans="1:23" ht="15.75" customHeight="1">
      <c r="A784" s="17"/>
      <c r="B784" s="18" t="s">
        <v>2834</v>
      </c>
      <c r="C784" s="19" t="s">
        <v>24</v>
      </c>
      <c r="D784" s="20" t="s">
        <v>2835</v>
      </c>
      <c r="E784" s="20" t="s">
        <v>2836</v>
      </c>
      <c r="F784" s="19" t="s">
        <v>27</v>
      </c>
      <c r="G784" s="19" t="s">
        <v>28</v>
      </c>
      <c r="H784" s="19" t="s">
        <v>36</v>
      </c>
      <c r="I784" s="21" t="s">
        <v>29</v>
      </c>
      <c r="J784" s="21" t="s">
        <v>29</v>
      </c>
      <c r="K784" s="22" t="s">
        <v>2836</v>
      </c>
      <c r="L784" s="56">
        <v>45061</v>
      </c>
      <c r="Q784" s="25"/>
      <c r="R784" s="25"/>
      <c r="W784" s="60"/>
    </row>
    <row r="785" spans="1:34" ht="15.75" customHeight="1">
      <c r="A785" s="17"/>
      <c r="B785" s="18" t="s">
        <v>2837</v>
      </c>
      <c r="C785" s="19" t="s">
        <v>87</v>
      </c>
      <c r="D785" s="20" t="s">
        <v>2838</v>
      </c>
      <c r="E785" s="20" t="s">
        <v>2839</v>
      </c>
      <c r="F785" s="37" t="s">
        <v>49</v>
      </c>
      <c r="G785" s="19" t="s">
        <v>91</v>
      </c>
      <c r="H785" s="19"/>
      <c r="I785" s="21" t="s">
        <v>29</v>
      </c>
      <c r="J785" s="21" t="s">
        <v>29</v>
      </c>
      <c r="K785" s="22" t="s">
        <v>2839</v>
      </c>
      <c r="L785" s="56">
        <v>45061</v>
      </c>
      <c r="Q785" s="25"/>
      <c r="R785" s="25"/>
      <c r="W785" s="60"/>
    </row>
    <row r="786" spans="1:34" ht="15.75" customHeight="1">
      <c r="A786" s="17"/>
      <c r="B786" s="18" t="s">
        <v>2840</v>
      </c>
      <c r="C786" s="19" t="s">
        <v>87</v>
      </c>
      <c r="D786" s="20" t="s">
        <v>2841</v>
      </c>
      <c r="E786" s="20" t="s">
        <v>2842</v>
      </c>
      <c r="F786" s="19" t="s">
        <v>90</v>
      </c>
      <c r="G786" s="19" t="s">
        <v>91</v>
      </c>
      <c r="H786" s="19"/>
      <c r="I786" s="21" t="s">
        <v>29</v>
      </c>
      <c r="J786" s="21" t="s">
        <v>29</v>
      </c>
      <c r="K786" s="22" t="s">
        <v>2842</v>
      </c>
      <c r="L786" s="56">
        <v>45061</v>
      </c>
      <c r="Q786" s="25"/>
      <c r="R786" s="25"/>
      <c r="W786" s="60"/>
    </row>
    <row r="787" spans="1:34" ht="15.75" customHeight="1">
      <c r="A787" s="17"/>
      <c r="B787" s="18" t="s">
        <v>2843</v>
      </c>
      <c r="C787" s="19" t="s">
        <v>24</v>
      </c>
      <c r="D787" s="20" t="s">
        <v>2844</v>
      </c>
      <c r="E787" s="20" t="s">
        <v>2845</v>
      </c>
      <c r="F787" s="19" t="s">
        <v>27</v>
      </c>
      <c r="G787" s="19" t="s">
        <v>28</v>
      </c>
      <c r="H787" s="19" t="s">
        <v>36</v>
      </c>
      <c r="I787" s="21" t="s">
        <v>29</v>
      </c>
      <c r="J787" s="21" t="s">
        <v>29</v>
      </c>
      <c r="K787" s="22" t="s">
        <v>2846</v>
      </c>
      <c r="L787" s="56">
        <v>45061</v>
      </c>
      <c r="Q787" s="25"/>
      <c r="R787" s="25"/>
      <c r="W787" s="60"/>
    </row>
    <row r="788" spans="1:34" ht="15.75" customHeight="1">
      <c r="A788" s="17"/>
      <c r="B788" s="34" t="s">
        <v>2847</v>
      </c>
      <c r="C788" s="19" t="s">
        <v>87</v>
      </c>
      <c r="D788" s="20" t="s">
        <v>2848</v>
      </c>
      <c r="E788" s="20" t="s">
        <v>2849</v>
      </c>
      <c r="F788" s="37" t="s">
        <v>49</v>
      </c>
      <c r="G788" s="19" t="s">
        <v>50</v>
      </c>
      <c r="H788" s="19"/>
      <c r="I788" s="21" t="s">
        <v>29</v>
      </c>
      <c r="J788" s="21" t="s">
        <v>29</v>
      </c>
      <c r="K788" s="22" t="s">
        <v>2850</v>
      </c>
      <c r="L788" s="56">
        <v>45061</v>
      </c>
      <c r="Q788" s="25"/>
      <c r="R788" s="25"/>
      <c r="W788" s="60"/>
    </row>
    <row r="789" spans="1:34" ht="15.75" customHeight="1">
      <c r="A789" s="17"/>
      <c r="B789" s="38"/>
      <c r="C789" s="37"/>
      <c r="D789" s="25"/>
      <c r="E789" s="20" t="s">
        <v>145</v>
      </c>
      <c r="F789" s="37"/>
      <c r="G789" s="37"/>
      <c r="H789" s="37"/>
      <c r="I789" s="37"/>
      <c r="J789" s="37"/>
      <c r="K789" s="22" t="s">
        <v>145</v>
      </c>
      <c r="L789" s="39"/>
      <c r="Q789" s="25"/>
      <c r="R789" s="25"/>
      <c r="W789" s="60"/>
    </row>
    <row r="790" spans="1:34" ht="15.75" customHeight="1">
      <c r="A790" s="17"/>
      <c r="B790" s="38"/>
      <c r="C790" s="37"/>
      <c r="D790" s="20"/>
      <c r="E790" s="20" t="s">
        <v>145</v>
      </c>
      <c r="F790" s="37"/>
      <c r="G790" s="37"/>
      <c r="H790" s="37"/>
      <c r="I790" s="21"/>
      <c r="J790" s="21"/>
      <c r="K790" s="22" t="s">
        <v>145</v>
      </c>
      <c r="L790" s="39"/>
      <c r="O790" s="42"/>
      <c r="P790" s="40"/>
      <c r="Q790" s="61"/>
      <c r="R790" s="61"/>
      <c r="S790" s="40"/>
      <c r="T790" s="38"/>
      <c r="U790" s="38"/>
      <c r="V790" s="38"/>
      <c r="W790" s="60"/>
      <c r="AB790" s="42"/>
      <c r="AC790" s="35"/>
      <c r="AD790" s="38"/>
      <c r="AE790" s="38"/>
      <c r="AF790" s="38"/>
      <c r="AG790" s="38"/>
      <c r="AH790" s="60"/>
    </row>
    <row r="791" spans="1:34" ht="15.75" customHeight="1">
      <c r="A791" s="17" t="s">
        <v>2851</v>
      </c>
      <c r="B791" s="18" t="s">
        <v>2852</v>
      </c>
      <c r="C791" s="19" t="s">
        <v>46</v>
      </c>
      <c r="D791" s="25" t="s">
        <v>2853</v>
      </c>
      <c r="E791" s="20" t="s">
        <v>2854</v>
      </c>
      <c r="F791" s="37" t="s">
        <v>49</v>
      </c>
      <c r="G791" s="19" t="s">
        <v>50</v>
      </c>
      <c r="H791" s="19"/>
      <c r="I791" s="21" t="s">
        <v>29</v>
      </c>
      <c r="J791" s="21" t="s">
        <v>29</v>
      </c>
      <c r="K791" s="22" t="s">
        <v>2855</v>
      </c>
      <c r="L791" s="56">
        <v>45061</v>
      </c>
      <c r="N791" s="40"/>
      <c r="O791" s="42"/>
      <c r="P791" s="40"/>
      <c r="Q791" s="61"/>
      <c r="R791" s="61"/>
      <c r="S791" s="40"/>
      <c r="T791" s="38"/>
      <c r="U791" s="38"/>
      <c r="V791" s="38"/>
      <c r="W791" s="60"/>
      <c r="AB791" s="42"/>
      <c r="AC791" s="35"/>
      <c r="AD791" s="38"/>
      <c r="AE791" s="38"/>
      <c r="AF791" s="38"/>
      <c r="AG791" s="38"/>
      <c r="AH791" s="60"/>
    </row>
    <row r="792" spans="1:34" ht="15.75" customHeight="1">
      <c r="A792" s="28" t="s">
        <v>2856</v>
      </c>
      <c r="B792" s="18" t="s">
        <v>2857</v>
      </c>
      <c r="C792" s="19" t="s">
        <v>24</v>
      </c>
      <c r="D792" s="25" t="s">
        <v>2858</v>
      </c>
      <c r="E792" s="20" t="s">
        <v>2859</v>
      </c>
      <c r="F792" s="19" t="s">
        <v>27</v>
      </c>
      <c r="G792" s="19" t="s">
        <v>28</v>
      </c>
      <c r="H792" s="19"/>
      <c r="I792" s="21" t="s">
        <v>29</v>
      </c>
      <c r="J792" s="21" t="s">
        <v>29</v>
      </c>
      <c r="K792" s="22" t="s">
        <v>2860</v>
      </c>
      <c r="L792" s="56">
        <v>45061</v>
      </c>
      <c r="O792" s="42"/>
      <c r="P792" s="40"/>
      <c r="Q792" s="61"/>
      <c r="R792" s="61"/>
      <c r="S792" s="40"/>
      <c r="T792" s="38"/>
      <c r="U792" s="38"/>
      <c r="V792" s="38"/>
      <c r="W792" s="60"/>
      <c r="AB792" s="42"/>
      <c r="AC792" s="35"/>
      <c r="AD792" s="38"/>
      <c r="AE792" s="38"/>
      <c r="AF792" s="38"/>
      <c r="AG792" s="38"/>
      <c r="AH792" s="60"/>
    </row>
    <row r="793" spans="1:34" ht="15.75" customHeight="1">
      <c r="A793" s="50" t="s">
        <v>39</v>
      </c>
      <c r="B793" s="18" t="s">
        <v>2861</v>
      </c>
      <c r="C793" s="19" t="s">
        <v>87</v>
      </c>
      <c r="D793" s="25" t="s">
        <v>2862</v>
      </c>
      <c r="E793" s="20" t="s">
        <v>2863</v>
      </c>
      <c r="F793" s="19" t="s">
        <v>90</v>
      </c>
      <c r="G793" s="19" t="s">
        <v>91</v>
      </c>
      <c r="H793" s="19"/>
      <c r="I793" s="21" t="s">
        <v>29</v>
      </c>
      <c r="J793" s="21" t="s">
        <v>29</v>
      </c>
      <c r="K793" s="22" t="s">
        <v>2864</v>
      </c>
      <c r="L793" s="56">
        <v>45061</v>
      </c>
      <c r="O793" s="42"/>
      <c r="P793" s="40"/>
      <c r="Q793" s="61"/>
      <c r="R793" s="61"/>
      <c r="S793" s="40"/>
      <c r="T793" s="38"/>
      <c r="U793" s="38"/>
      <c r="V793" s="38"/>
      <c r="W793" s="60"/>
      <c r="AB793" s="42"/>
      <c r="AC793" s="35"/>
      <c r="AD793" s="38"/>
      <c r="AE793" s="38"/>
      <c r="AF793" s="38"/>
      <c r="AG793" s="38"/>
      <c r="AH793" s="60"/>
    </row>
    <row r="794" spans="1:34" ht="15.75" customHeight="1">
      <c r="A794" s="35" t="s">
        <v>2723</v>
      </c>
      <c r="B794" s="18" t="s">
        <v>2865</v>
      </c>
      <c r="C794" s="19" t="s">
        <v>24</v>
      </c>
      <c r="D794" s="25" t="s">
        <v>2866</v>
      </c>
      <c r="E794" s="20" t="s">
        <v>2867</v>
      </c>
      <c r="F794" s="19" t="s">
        <v>27</v>
      </c>
      <c r="G794" s="19" t="s">
        <v>28</v>
      </c>
      <c r="H794" s="19"/>
      <c r="I794" s="21" t="s">
        <v>29</v>
      </c>
      <c r="J794" s="21" t="s">
        <v>29</v>
      </c>
      <c r="K794" s="22" t="s">
        <v>2868</v>
      </c>
      <c r="L794" s="56">
        <v>45061</v>
      </c>
      <c r="O794" s="42"/>
      <c r="P794" s="40"/>
      <c r="Q794" s="61"/>
      <c r="R794" s="61"/>
      <c r="S794" s="40"/>
      <c r="T794" s="38"/>
      <c r="U794" s="38"/>
      <c r="V794" s="38"/>
      <c r="W794" s="60"/>
      <c r="AB794" s="42"/>
      <c r="AC794" s="35"/>
      <c r="AD794" s="38"/>
      <c r="AE794" s="38"/>
      <c r="AF794" s="38"/>
      <c r="AG794" s="38"/>
      <c r="AH794" s="60"/>
    </row>
    <row r="795" spans="1:34" ht="15.75" customHeight="1">
      <c r="A795" s="35" t="s">
        <v>681</v>
      </c>
      <c r="B795" s="18" t="s">
        <v>2869</v>
      </c>
      <c r="C795" s="19" t="s">
        <v>24</v>
      </c>
      <c r="D795" s="25" t="s">
        <v>2870</v>
      </c>
      <c r="E795" s="20" t="s">
        <v>2871</v>
      </c>
      <c r="F795" s="19" t="s">
        <v>27</v>
      </c>
      <c r="G795" s="19" t="s">
        <v>28</v>
      </c>
      <c r="H795" s="19"/>
      <c r="I795" s="21" t="s">
        <v>29</v>
      </c>
      <c r="J795" s="21" t="s">
        <v>29</v>
      </c>
      <c r="K795" s="22" t="s">
        <v>2872</v>
      </c>
      <c r="L795" s="56">
        <v>45061</v>
      </c>
      <c r="O795" s="42"/>
      <c r="P795" s="40"/>
      <c r="Q795" s="61"/>
      <c r="R795" s="61"/>
      <c r="S795" s="40"/>
      <c r="T795" s="38"/>
      <c r="U795" s="38"/>
      <c r="V795" s="38"/>
      <c r="W795" s="60"/>
      <c r="AB795" s="42"/>
      <c r="AC795" s="35"/>
      <c r="AD795" s="38"/>
      <c r="AE795" s="38"/>
      <c r="AF795" s="38"/>
      <c r="AG795" s="38"/>
      <c r="AH795" s="60"/>
    </row>
    <row r="796" spans="1:34" ht="15.75" customHeight="1">
      <c r="A796" s="44" t="s">
        <v>56</v>
      </c>
      <c r="B796" s="18" t="s">
        <v>2873</v>
      </c>
      <c r="C796" s="19" t="s">
        <v>24</v>
      </c>
      <c r="D796" s="25" t="s">
        <v>2874</v>
      </c>
      <c r="E796" s="20" t="s">
        <v>2875</v>
      </c>
      <c r="F796" s="19" t="s">
        <v>27</v>
      </c>
      <c r="G796" s="19" t="s">
        <v>28</v>
      </c>
      <c r="H796" s="19"/>
      <c r="I796" s="21" t="s">
        <v>29</v>
      </c>
      <c r="J796" s="21" t="s">
        <v>29</v>
      </c>
      <c r="K796" s="22" t="s">
        <v>2876</v>
      </c>
      <c r="L796" s="56">
        <v>45061</v>
      </c>
      <c r="O796" s="42"/>
      <c r="P796" s="40"/>
      <c r="Q796" s="61"/>
      <c r="R796" s="61"/>
      <c r="S796" s="40"/>
      <c r="T796" s="38"/>
      <c r="U796" s="38"/>
      <c r="V796" s="38"/>
      <c r="W796" s="60"/>
      <c r="AB796" s="42"/>
      <c r="AC796" s="35"/>
      <c r="AD796" s="38"/>
      <c r="AE796" s="38"/>
      <c r="AF796" s="38"/>
      <c r="AG796" s="38"/>
      <c r="AH796" s="60"/>
    </row>
    <row r="797" spans="1:34" ht="15.75" customHeight="1">
      <c r="A797" s="53">
        <v>86</v>
      </c>
      <c r="B797" s="18" t="s">
        <v>2877</v>
      </c>
      <c r="C797" s="19" t="s">
        <v>24</v>
      </c>
      <c r="D797" s="25" t="s">
        <v>2878</v>
      </c>
      <c r="E797" s="20" t="s">
        <v>2867</v>
      </c>
      <c r="F797" s="19" t="s">
        <v>27</v>
      </c>
      <c r="G797" s="19" t="s">
        <v>28</v>
      </c>
      <c r="H797" s="19"/>
      <c r="I797" s="21" t="s">
        <v>29</v>
      </c>
      <c r="J797" s="21" t="s">
        <v>29</v>
      </c>
      <c r="K797" s="22" t="s">
        <v>2868</v>
      </c>
      <c r="L797" s="56">
        <v>45061</v>
      </c>
      <c r="O797" s="42"/>
      <c r="P797" s="40"/>
      <c r="Q797" s="61"/>
      <c r="R797" s="61"/>
      <c r="S797" s="40"/>
      <c r="T797" s="38"/>
      <c r="U797" s="38"/>
      <c r="V797" s="38"/>
      <c r="W797" s="60"/>
      <c r="AB797" s="42"/>
      <c r="AC797" s="35"/>
      <c r="AD797" s="38"/>
      <c r="AE797" s="38"/>
      <c r="AF797" s="38"/>
      <c r="AG797" s="38"/>
      <c r="AH797" s="60"/>
    </row>
    <row r="798" spans="1:34" ht="15.75" customHeight="1">
      <c r="A798" s="44" t="s">
        <v>64</v>
      </c>
      <c r="B798" s="18" t="s">
        <v>2879</v>
      </c>
      <c r="C798" s="19" t="s">
        <v>24</v>
      </c>
      <c r="D798" s="25" t="s">
        <v>2880</v>
      </c>
      <c r="E798" s="20" t="s">
        <v>2881</v>
      </c>
      <c r="F798" s="19" t="s">
        <v>27</v>
      </c>
      <c r="G798" s="19" t="s">
        <v>28</v>
      </c>
      <c r="H798" s="19"/>
      <c r="I798" s="21" t="s">
        <v>29</v>
      </c>
      <c r="J798" s="21" t="s">
        <v>29</v>
      </c>
      <c r="K798" s="22" t="s">
        <v>2881</v>
      </c>
      <c r="L798" s="56">
        <v>45061</v>
      </c>
      <c r="O798" s="42"/>
      <c r="P798" s="40"/>
      <c r="Q798" s="61"/>
      <c r="R798" s="61"/>
      <c r="S798" s="40"/>
      <c r="T798" s="38"/>
      <c r="U798" s="38"/>
      <c r="V798" s="38"/>
      <c r="W798" s="60"/>
      <c r="AB798" s="42"/>
      <c r="AC798" s="35"/>
      <c r="AD798" s="38"/>
      <c r="AE798" s="38"/>
      <c r="AF798" s="38"/>
      <c r="AG798" s="38"/>
      <c r="AH798" s="60"/>
    </row>
    <row r="799" spans="1:34" ht="15.75" customHeight="1">
      <c r="A799" s="53">
        <v>4.3</v>
      </c>
      <c r="B799" s="18" t="s">
        <v>2882</v>
      </c>
      <c r="C799" s="19" t="s">
        <v>24</v>
      </c>
      <c r="D799" s="25" t="s">
        <v>2883</v>
      </c>
      <c r="E799" s="20" t="s">
        <v>2884</v>
      </c>
      <c r="F799" s="19" t="s">
        <v>27</v>
      </c>
      <c r="G799" s="19" t="s">
        <v>28</v>
      </c>
      <c r="H799" s="19"/>
      <c r="I799" s="21" t="s">
        <v>29</v>
      </c>
      <c r="J799" s="21" t="s">
        <v>29</v>
      </c>
      <c r="K799" s="22" t="s">
        <v>2885</v>
      </c>
      <c r="L799" s="56">
        <v>45061</v>
      </c>
      <c r="O799" s="42"/>
      <c r="P799" s="40"/>
      <c r="Q799" s="61"/>
      <c r="R799" s="61"/>
      <c r="S799" s="40"/>
      <c r="T799" s="38"/>
      <c r="U799" s="38"/>
      <c r="V799" s="38"/>
      <c r="W799" s="60"/>
      <c r="AB799" s="42"/>
      <c r="AC799" s="35"/>
      <c r="AD799" s="38"/>
      <c r="AE799" s="38"/>
      <c r="AF799" s="38"/>
      <c r="AG799" s="38"/>
      <c r="AH799" s="60"/>
    </row>
    <row r="800" spans="1:34" ht="15.75" customHeight="1">
      <c r="A800" s="44" t="s">
        <v>73</v>
      </c>
      <c r="B800" s="18" t="s">
        <v>2886</v>
      </c>
      <c r="C800" s="19" t="s">
        <v>46</v>
      </c>
      <c r="D800" s="25" t="s">
        <v>2887</v>
      </c>
      <c r="E800" s="20" t="s">
        <v>2867</v>
      </c>
      <c r="F800" s="37" t="s">
        <v>49</v>
      </c>
      <c r="G800" s="19" t="s">
        <v>50</v>
      </c>
      <c r="H800" s="19"/>
      <c r="I800" s="21" t="s">
        <v>29</v>
      </c>
      <c r="J800" s="21" t="s">
        <v>29</v>
      </c>
      <c r="K800" s="22" t="s">
        <v>2868</v>
      </c>
      <c r="L800" s="56">
        <v>45061</v>
      </c>
      <c r="O800" s="42"/>
      <c r="P800" s="40"/>
      <c r="Q800" s="61"/>
      <c r="R800" s="61"/>
      <c r="S800" s="40"/>
      <c r="T800" s="38"/>
      <c r="U800" s="38"/>
      <c r="V800" s="38"/>
      <c r="W800" s="60"/>
      <c r="AB800" s="42"/>
      <c r="AC800" s="35"/>
      <c r="AD800" s="38"/>
      <c r="AE800" s="38"/>
      <c r="AF800" s="38"/>
      <c r="AG800" s="38"/>
      <c r="AH800" s="60"/>
    </row>
    <row r="801" spans="1:34" ht="15.75" customHeight="1">
      <c r="A801" s="53">
        <v>4.0999999999999996</v>
      </c>
      <c r="B801" s="18" t="s">
        <v>2888</v>
      </c>
      <c r="C801" s="19" t="s">
        <v>24</v>
      </c>
      <c r="D801" s="25" t="s">
        <v>2889</v>
      </c>
      <c r="E801" s="20" t="s">
        <v>2890</v>
      </c>
      <c r="F801" s="19" t="s">
        <v>27</v>
      </c>
      <c r="G801" s="19" t="s">
        <v>28</v>
      </c>
      <c r="H801" s="19"/>
      <c r="I801" s="21" t="s">
        <v>29</v>
      </c>
      <c r="J801" s="21" t="s">
        <v>29</v>
      </c>
      <c r="K801" s="22" t="s">
        <v>2890</v>
      </c>
      <c r="L801" s="56">
        <v>45061</v>
      </c>
      <c r="O801" s="42"/>
      <c r="P801" s="40"/>
      <c r="Q801" s="61"/>
      <c r="R801" s="61"/>
      <c r="S801" s="40"/>
      <c r="T801" s="38"/>
      <c r="U801" s="38"/>
      <c r="V801" s="38"/>
      <c r="W801" s="60"/>
      <c r="AB801" s="42"/>
      <c r="AC801" s="35"/>
      <c r="AD801" s="38"/>
      <c r="AE801" s="38"/>
      <c r="AF801" s="38"/>
      <c r="AG801" s="38"/>
      <c r="AH801" s="60"/>
    </row>
    <row r="802" spans="1:34" ht="15.75" customHeight="1">
      <c r="A802" s="31" t="s">
        <v>82</v>
      </c>
      <c r="B802" s="18" t="s">
        <v>2891</v>
      </c>
      <c r="C802" s="19" t="s">
        <v>87</v>
      </c>
      <c r="D802" s="25" t="s">
        <v>2892</v>
      </c>
      <c r="E802" s="20" t="s">
        <v>2893</v>
      </c>
      <c r="F802" s="19" t="s">
        <v>90</v>
      </c>
      <c r="G802" s="19" t="s">
        <v>91</v>
      </c>
      <c r="H802" s="19"/>
      <c r="I802" s="21" t="s">
        <v>29</v>
      </c>
      <c r="J802" s="21" t="s">
        <v>29</v>
      </c>
      <c r="K802" s="22" t="s">
        <v>2894</v>
      </c>
      <c r="L802" s="56">
        <v>45061</v>
      </c>
      <c r="O802" s="42"/>
      <c r="P802" s="40"/>
      <c r="Q802" s="61"/>
      <c r="R802" s="61"/>
      <c r="S802" s="40"/>
      <c r="T802" s="38"/>
      <c r="U802" s="38"/>
      <c r="V802" s="38"/>
      <c r="W802" s="60"/>
      <c r="AB802" s="42"/>
      <c r="AC802" s="35"/>
      <c r="AD802" s="38"/>
      <c r="AE802" s="38"/>
      <c r="AF802" s="38"/>
      <c r="AG802" s="38"/>
      <c r="AH802" s="60"/>
    </row>
    <row r="803" spans="1:34" ht="15.75" customHeight="1">
      <c r="A803" s="17"/>
      <c r="B803" s="41" t="s">
        <v>2895</v>
      </c>
      <c r="C803" s="19" t="s">
        <v>24</v>
      </c>
      <c r="D803" s="25" t="s">
        <v>2896</v>
      </c>
      <c r="E803" s="20" t="s">
        <v>2897</v>
      </c>
      <c r="F803" s="19"/>
      <c r="G803" s="19"/>
      <c r="H803" s="19"/>
      <c r="I803" s="21"/>
      <c r="J803" s="21"/>
      <c r="K803" s="22"/>
      <c r="L803" s="56"/>
      <c r="O803" s="42"/>
      <c r="P803" s="40"/>
      <c r="Q803" s="61"/>
      <c r="R803" s="61"/>
      <c r="S803" s="40"/>
      <c r="T803" s="38"/>
      <c r="U803" s="38"/>
      <c r="V803" s="38"/>
      <c r="W803" s="60"/>
      <c r="AB803" s="42"/>
      <c r="AC803" s="35"/>
      <c r="AD803" s="38"/>
      <c r="AE803" s="38"/>
      <c r="AF803" s="38"/>
      <c r="AG803" s="38"/>
      <c r="AH803" s="60"/>
    </row>
    <row r="804" spans="1:34" ht="15.75" customHeight="1">
      <c r="A804" s="17" t="s">
        <v>2898</v>
      </c>
      <c r="B804" s="18" t="s">
        <v>2899</v>
      </c>
      <c r="C804" s="19" t="s">
        <v>24</v>
      </c>
      <c r="D804" s="25" t="s">
        <v>2900</v>
      </c>
      <c r="E804" s="20" t="s">
        <v>2901</v>
      </c>
      <c r="F804" s="19" t="s">
        <v>27</v>
      </c>
      <c r="G804" s="19" t="s">
        <v>28</v>
      </c>
      <c r="H804" s="19"/>
      <c r="I804" s="21" t="s">
        <v>29</v>
      </c>
      <c r="J804" s="21" t="s">
        <v>29</v>
      </c>
      <c r="K804" s="22" t="s">
        <v>2902</v>
      </c>
      <c r="L804" s="56">
        <v>45061</v>
      </c>
      <c r="O804" s="42"/>
      <c r="P804" s="40"/>
      <c r="Q804" s="61"/>
      <c r="R804" s="61"/>
      <c r="S804" s="40"/>
      <c r="T804" s="38"/>
      <c r="U804" s="38"/>
      <c r="V804" s="38"/>
      <c r="W804" s="60"/>
      <c r="AB804" s="42"/>
      <c r="AC804" s="35"/>
      <c r="AD804" s="38"/>
      <c r="AE804" s="38"/>
      <c r="AF804" s="38"/>
      <c r="AG804" s="38"/>
      <c r="AH804" s="60"/>
    </row>
    <row r="805" spans="1:34" ht="15.75" customHeight="1">
      <c r="A805" s="31" t="s">
        <v>92</v>
      </c>
      <c r="B805" s="18" t="s">
        <v>2903</v>
      </c>
      <c r="C805" s="19" t="s">
        <v>87</v>
      </c>
      <c r="D805" s="25" t="s">
        <v>2904</v>
      </c>
      <c r="E805" s="20" t="s">
        <v>2905</v>
      </c>
      <c r="F805" s="19" t="s">
        <v>90</v>
      </c>
      <c r="G805" s="19" t="s">
        <v>91</v>
      </c>
      <c r="H805" s="19"/>
      <c r="I805" s="21" t="s">
        <v>29</v>
      </c>
      <c r="J805" s="21" t="s">
        <v>29</v>
      </c>
      <c r="K805" s="22" t="s">
        <v>2906</v>
      </c>
      <c r="L805" s="56">
        <v>45061</v>
      </c>
      <c r="O805" s="42"/>
      <c r="P805" s="40"/>
      <c r="Q805" s="61"/>
      <c r="R805" s="61"/>
      <c r="S805" s="40"/>
      <c r="T805" s="38"/>
      <c r="U805" s="38"/>
      <c r="V805" s="38"/>
      <c r="W805" s="60"/>
      <c r="AB805" s="42"/>
      <c r="AC805" s="35"/>
      <c r="AD805" s="38"/>
      <c r="AE805" s="38"/>
      <c r="AF805" s="38"/>
      <c r="AG805" s="38"/>
      <c r="AH805" s="60"/>
    </row>
    <row r="806" spans="1:34" ht="15.75" customHeight="1">
      <c r="A806" s="33">
        <v>2395</v>
      </c>
      <c r="B806" s="18" t="s">
        <v>2907</v>
      </c>
      <c r="C806" s="19" t="s">
        <v>24</v>
      </c>
      <c r="D806" s="20" t="s">
        <v>2908</v>
      </c>
      <c r="E806" s="20" t="s">
        <v>2909</v>
      </c>
      <c r="F806" s="19" t="s">
        <v>286</v>
      </c>
      <c r="G806" s="19" t="s">
        <v>28</v>
      </c>
      <c r="H806" s="19"/>
      <c r="I806" s="21" t="s">
        <v>286</v>
      </c>
      <c r="J806" s="21" t="s">
        <v>29</v>
      </c>
      <c r="K806" s="22" t="s">
        <v>2910</v>
      </c>
      <c r="L806" s="56"/>
      <c r="O806" s="42"/>
      <c r="P806" s="40"/>
      <c r="Q806" s="61"/>
      <c r="R806" s="61"/>
      <c r="S806" s="40"/>
      <c r="T806" s="38"/>
      <c r="U806" s="38"/>
      <c r="V806" s="38"/>
      <c r="W806" s="60"/>
      <c r="AB806" s="42"/>
      <c r="AC806" s="35"/>
      <c r="AD806" s="38"/>
      <c r="AE806" s="38"/>
      <c r="AF806" s="38"/>
      <c r="AG806" s="38"/>
      <c r="AH806" s="60"/>
    </row>
    <row r="807" spans="1:34" ht="15.75" customHeight="1">
      <c r="A807" s="31" t="s">
        <v>100</v>
      </c>
      <c r="B807" s="18" t="s">
        <v>2911</v>
      </c>
      <c r="C807" s="19" t="s">
        <v>87</v>
      </c>
      <c r="D807" s="25" t="s">
        <v>2912</v>
      </c>
      <c r="E807" s="20" t="s">
        <v>2893</v>
      </c>
      <c r="F807" s="19" t="s">
        <v>90</v>
      </c>
      <c r="G807" s="19" t="s">
        <v>91</v>
      </c>
      <c r="H807" s="19"/>
      <c r="I807" s="21" t="s">
        <v>29</v>
      </c>
      <c r="J807" s="21" t="s">
        <v>29</v>
      </c>
      <c r="K807" s="22" t="s">
        <v>2894</v>
      </c>
      <c r="L807" s="56">
        <v>45061</v>
      </c>
      <c r="O807" s="42"/>
      <c r="P807" s="40"/>
      <c r="Q807" s="61"/>
      <c r="R807" s="61"/>
      <c r="S807" s="40"/>
      <c r="T807" s="38"/>
      <c r="U807" s="38"/>
      <c r="V807" s="38"/>
      <c r="W807" s="60"/>
      <c r="AB807" s="42"/>
      <c r="AC807" s="35"/>
      <c r="AD807" s="38"/>
      <c r="AE807" s="38"/>
      <c r="AF807" s="38"/>
      <c r="AG807" s="38"/>
      <c r="AH807" s="60"/>
    </row>
    <row r="808" spans="1:34" ht="15.75" customHeight="1">
      <c r="A808" s="17">
        <v>166</v>
      </c>
      <c r="B808" s="34" t="s">
        <v>2913</v>
      </c>
      <c r="C808" s="19" t="s">
        <v>24</v>
      </c>
      <c r="D808" s="25" t="s">
        <v>2914</v>
      </c>
      <c r="E808" s="20" t="s">
        <v>2854</v>
      </c>
      <c r="F808" s="19" t="s">
        <v>90</v>
      </c>
      <c r="G808" s="19" t="s">
        <v>91</v>
      </c>
      <c r="H808" s="19"/>
      <c r="I808" s="21" t="s">
        <v>29</v>
      </c>
      <c r="J808" s="21" t="s">
        <v>29</v>
      </c>
      <c r="K808" s="22" t="s">
        <v>2855</v>
      </c>
      <c r="L808" s="56">
        <v>45061</v>
      </c>
      <c r="O808" s="42"/>
      <c r="P808" s="40"/>
      <c r="Q808" s="61"/>
      <c r="R808" s="61"/>
      <c r="S808" s="40"/>
      <c r="T808" s="38"/>
      <c r="U808" s="38"/>
      <c r="V808" s="38"/>
      <c r="W808" s="60"/>
      <c r="AB808" s="42"/>
      <c r="AC808" s="35"/>
      <c r="AD808" s="38"/>
      <c r="AE808" s="38"/>
      <c r="AF808" s="38"/>
      <c r="AG808" s="38"/>
      <c r="AH808" s="60"/>
    </row>
    <row r="809" spans="1:34" ht="15.75" customHeight="1">
      <c r="A809" s="35"/>
      <c r="B809" s="18" t="s">
        <v>2915</v>
      </c>
      <c r="C809" s="19" t="s">
        <v>24</v>
      </c>
      <c r="D809" s="25" t="s">
        <v>2916</v>
      </c>
      <c r="E809" s="20" t="s">
        <v>2867</v>
      </c>
      <c r="F809" s="19" t="s">
        <v>27</v>
      </c>
      <c r="G809" s="19" t="s">
        <v>28</v>
      </c>
      <c r="H809" s="19"/>
      <c r="I809" s="21" t="s">
        <v>29</v>
      </c>
      <c r="J809" s="21" t="s">
        <v>29</v>
      </c>
      <c r="K809" s="22" t="s">
        <v>2868</v>
      </c>
      <c r="L809" s="56">
        <v>45061</v>
      </c>
      <c r="O809" s="42"/>
      <c r="P809" s="40"/>
      <c r="Q809" s="61"/>
      <c r="R809" s="61"/>
      <c r="S809" s="40"/>
      <c r="T809" s="38"/>
      <c r="U809" s="38"/>
      <c r="V809" s="38"/>
      <c r="W809" s="60"/>
      <c r="AB809" s="42"/>
      <c r="AC809" s="35"/>
      <c r="AD809" s="38"/>
      <c r="AE809" s="38"/>
      <c r="AF809" s="38"/>
      <c r="AG809" s="38"/>
      <c r="AH809" s="60"/>
    </row>
    <row r="810" spans="1:34" ht="15.75" customHeight="1">
      <c r="A810" s="35"/>
      <c r="B810" s="18" t="s">
        <v>2917</v>
      </c>
      <c r="C810" s="19" t="s">
        <v>24</v>
      </c>
      <c r="D810" s="25" t="s">
        <v>2918</v>
      </c>
      <c r="E810" s="20" t="s">
        <v>2884</v>
      </c>
      <c r="F810" s="19" t="s">
        <v>27</v>
      </c>
      <c r="G810" s="19" t="s">
        <v>28</v>
      </c>
      <c r="H810" s="19"/>
      <c r="I810" s="21" t="s">
        <v>29</v>
      </c>
      <c r="J810" s="21" t="s">
        <v>29</v>
      </c>
      <c r="K810" s="22" t="s">
        <v>2885</v>
      </c>
      <c r="L810" s="56">
        <v>45061</v>
      </c>
      <c r="O810" s="42"/>
      <c r="P810" s="40"/>
      <c r="Q810" s="61"/>
      <c r="R810" s="61"/>
      <c r="S810" s="40"/>
      <c r="T810" s="38"/>
      <c r="U810" s="38"/>
      <c r="V810" s="38"/>
      <c r="W810" s="60"/>
      <c r="AB810" s="42"/>
      <c r="AC810" s="35"/>
      <c r="AD810" s="38"/>
      <c r="AE810" s="38"/>
      <c r="AF810" s="38"/>
      <c r="AG810" s="38"/>
      <c r="AH810" s="60"/>
    </row>
    <row r="811" spans="1:34" ht="15.75" customHeight="1">
      <c r="A811" s="35"/>
      <c r="B811" s="18" t="s">
        <v>2919</v>
      </c>
      <c r="C811" s="19" t="s">
        <v>24</v>
      </c>
      <c r="D811" s="25" t="s">
        <v>2920</v>
      </c>
      <c r="E811" s="20" t="s">
        <v>2884</v>
      </c>
      <c r="F811" s="19" t="s">
        <v>27</v>
      </c>
      <c r="G811" s="19" t="s">
        <v>28</v>
      </c>
      <c r="H811" s="19"/>
      <c r="I811" s="21" t="s">
        <v>29</v>
      </c>
      <c r="J811" s="21" t="s">
        <v>29</v>
      </c>
      <c r="K811" s="22" t="s">
        <v>2885</v>
      </c>
      <c r="L811" s="56">
        <v>45061</v>
      </c>
      <c r="O811" s="42"/>
      <c r="P811" s="40"/>
      <c r="Q811" s="61"/>
      <c r="R811" s="61"/>
      <c r="S811" s="40"/>
      <c r="T811" s="38"/>
      <c r="U811" s="38"/>
      <c r="V811" s="38"/>
      <c r="W811" s="60"/>
      <c r="AB811" s="42"/>
      <c r="AC811" s="35"/>
      <c r="AD811" s="38"/>
      <c r="AE811" s="38"/>
      <c r="AF811" s="38"/>
      <c r="AG811" s="38"/>
      <c r="AH811" s="60"/>
    </row>
    <row r="812" spans="1:34" ht="15.75" customHeight="1">
      <c r="A812" s="35"/>
      <c r="B812" s="18" t="s">
        <v>2921</v>
      </c>
      <c r="C812" s="19" t="s">
        <v>24</v>
      </c>
      <c r="D812" s="25" t="s">
        <v>2922</v>
      </c>
      <c r="E812" s="20" t="s">
        <v>2881</v>
      </c>
      <c r="F812" s="19" t="s">
        <v>27</v>
      </c>
      <c r="G812" s="19" t="s">
        <v>28</v>
      </c>
      <c r="H812" s="19"/>
      <c r="I812" s="21" t="s">
        <v>29</v>
      </c>
      <c r="J812" s="21" t="s">
        <v>29</v>
      </c>
      <c r="K812" s="22" t="s">
        <v>2881</v>
      </c>
      <c r="L812" s="56">
        <v>45061</v>
      </c>
      <c r="O812" s="42"/>
      <c r="P812" s="40"/>
      <c r="Q812" s="61"/>
      <c r="R812" s="61"/>
      <c r="S812" s="40"/>
      <c r="T812" s="38"/>
      <c r="U812" s="38"/>
      <c r="V812" s="38"/>
      <c r="W812" s="60"/>
      <c r="AB812" s="42"/>
      <c r="AC812" s="35"/>
      <c r="AD812" s="38"/>
      <c r="AE812" s="38"/>
      <c r="AF812" s="38"/>
      <c r="AG812" s="38"/>
      <c r="AH812" s="60"/>
    </row>
    <row r="813" spans="1:34" ht="15.75" customHeight="1">
      <c r="A813" s="35"/>
      <c r="B813" s="34" t="s">
        <v>2923</v>
      </c>
      <c r="C813" s="19" t="s">
        <v>24</v>
      </c>
      <c r="D813" s="25" t="s">
        <v>2924</v>
      </c>
      <c r="E813" s="20" t="s">
        <v>2925</v>
      </c>
      <c r="F813" s="19" t="s">
        <v>90</v>
      </c>
      <c r="G813" s="19" t="s">
        <v>91</v>
      </c>
      <c r="H813" s="19"/>
      <c r="I813" s="21" t="s">
        <v>29</v>
      </c>
      <c r="J813" s="21" t="s">
        <v>29</v>
      </c>
      <c r="K813" s="22" t="s">
        <v>2926</v>
      </c>
      <c r="L813" s="56">
        <v>45061</v>
      </c>
      <c r="O813" s="42"/>
      <c r="P813" s="40"/>
      <c r="Q813" s="61"/>
      <c r="R813" s="61"/>
      <c r="S813" s="40"/>
      <c r="T813" s="38"/>
      <c r="U813" s="38"/>
      <c r="V813" s="38"/>
      <c r="W813" s="60"/>
      <c r="AB813" s="42"/>
      <c r="AC813" s="35"/>
      <c r="AD813" s="38"/>
      <c r="AE813" s="38"/>
      <c r="AF813" s="38"/>
      <c r="AG813" s="38"/>
      <c r="AH813" s="60"/>
    </row>
    <row r="814" spans="1:34" ht="15.75" customHeight="1">
      <c r="A814" s="35"/>
      <c r="B814" s="18" t="s">
        <v>2927</v>
      </c>
      <c r="C814" s="19" t="s">
        <v>87</v>
      </c>
      <c r="D814" s="25" t="s">
        <v>2928</v>
      </c>
      <c r="E814" s="20" t="s">
        <v>2929</v>
      </c>
      <c r="F814" s="19" t="s">
        <v>90</v>
      </c>
      <c r="G814" s="19" t="s">
        <v>91</v>
      </c>
      <c r="H814" s="19"/>
      <c r="I814" s="21" t="s">
        <v>29</v>
      </c>
      <c r="J814" s="21" t="s">
        <v>29</v>
      </c>
      <c r="K814" s="22" t="s">
        <v>2930</v>
      </c>
      <c r="L814" s="56">
        <v>45061</v>
      </c>
      <c r="O814" s="42"/>
      <c r="P814" s="40"/>
      <c r="Q814" s="61"/>
      <c r="R814" s="61"/>
      <c r="S814" s="40"/>
      <c r="T814" s="38"/>
      <c r="U814" s="38"/>
      <c r="V814" s="38"/>
      <c r="W814" s="60"/>
      <c r="AB814" s="42"/>
      <c r="AC814" s="35"/>
      <c r="AD814" s="38"/>
      <c r="AE814" s="38"/>
      <c r="AF814" s="38"/>
      <c r="AG814" s="38"/>
      <c r="AH814" s="60"/>
    </row>
    <row r="815" spans="1:34" ht="15.75" customHeight="1">
      <c r="A815" s="35"/>
      <c r="B815" s="34" t="s">
        <v>2931</v>
      </c>
      <c r="C815" s="19" t="s">
        <v>87</v>
      </c>
      <c r="D815" s="25" t="s">
        <v>2932</v>
      </c>
      <c r="E815" s="20" t="s">
        <v>2875</v>
      </c>
      <c r="F815" s="37" t="s">
        <v>49</v>
      </c>
      <c r="G815" s="19" t="s">
        <v>50</v>
      </c>
      <c r="H815" s="19"/>
      <c r="I815" s="21" t="s">
        <v>29</v>
      </c>
      <c r="J815" s="21" t="s">
        <v>29</v>
      </c>
      <c r="K815" s="22" t="s">
        <v>2881</v>
      </c>
      <c r="L815" s="56">
        <v>45061</v>
      </c>
      <c r="O815" s="42"/>
      <c r="P815" s="40"/>
      <c r="Q815" s="61"/>
      <c r="R815" s="61"/>
      <c r="S815" s="40"/>
      <c r="T815" s="38"/>
      <c r="U815" s="38"/>
      <c r="V815" s="38"/>
      <c r="W815" s="60"/>
      <c r="AB815" s="42"/>
      <c r="AC815" s="35"/>
      <c r="AD815" s="38"/>
      <c r="AE815" s="38"/>
      <c r="AF815" s="38"/>
      <c r="AG815" s="38"/>
      <c r="AH815" s="60"/>
    </row>
    <row r="816" spans="1:34" ht="15.75" customHeight="1">
      <c r="A816" s="35"/>
      <c r="B816" s="18" t="s">
        <v>2933</v>
      </c>
      <c r="C816" s="19" t="s">
        <v>24</v>
      </c>
      <c r="D816" s="25" t="s">
        <v>2934</v>
      </c>
      <c r="E816" s="20" t="s">
        <v>2881</v>
      </c>
      <c r="F816" s="19" t="s">
        <v>27</v>
      </c>
      <c r="G816" s="19" t="s">
        <v>28</v>
      </c>
      <c r="H816" s="19"/>
      <c r="I816" s="21" t="s">
        <v>29</v>
      </c>
      <c r="J816" s="21" t="s">
        <v>29</v>
      </c>
      <c r="K816" s="62"/>
      <c r="L816" s="56">
        <v>45061</v>
      </c>
      <c r="O816" s="42"/>
      <c r="P816" s="40"/>
      <c r="Q816" s="61"/>
      <c r="R816" s="61"/>
      <c r="S816" s="40"/>
      <c r="T816" s="38"/>
      <c r="U816" s="38"/>
      <c r="V816" s="38"/>
      <c r="W816" s="60"/>
      <c r="AB816" s="42"/>
      <c r="AC816" s="35"/>
      <c r="AD816" s="38"/>
      <c r="AE816" s="38"/>
      <c r="AF816" s="38"/>
      <c r="AG816" s="38"/>
      <c r="AH816" s="60"/>
    </row>
    <row r="817" spans="1:34" ht="15.75" customHeight="1">
      <c r="A817" s="17"/>
      <c r="B817" s="36" t="s">
        <v>2935</v>
      </c>
      <c r="C817" s="19" t="s">
        <v>121</v>
      </c>
      <c r="D817" s="25" t="s">
        <v>2936</v>
      </c>
      <c r="E817" s="20" t="s">
        <v>2937</v>
      </c>
      <c r="F817" s="19" t="s">
        <v>27</v>
      </c>
      <c r="G817" s="19" t="s">
        <v>452</v>
      </c>
      <c r="H817" s="19"/>
      <c r="I817" s="21" t="s">
        <v>29</v>
      </c>
      <c r="J817" s="21" t="s">
        <v>452</v>
      </c>
      <c r="K817" s="22" t="s">
        <v>2938</v>
      </c>
      <c r="L817" s="56">
        <v>45061</v>
      </c>
      <c r="O817" s="42"/>
      <c r="P817" s="40"/>
      <c r="Q817" s="61"/>
      <c r="R817" s="61"/>
      <c r="S817" s="40"/>
      <c r="T817" s="38"/>
      <c r="U817" s="38"/>
      <c r="V817" s="38"/>
      <c r="W817" s="60"/>
      <c r="AB817" s="42"/>
      <c r="AC817" s="35"/>
      <c r="AD817" s="38"/>
      <c r="AE817" s="38"/>
      <c r="AF817" s="38"/>
      <c r="AG817" s="38"/>
      <c r="AH817" s="60"/>
    </row>
    <row r="818" spans="1:34" ht="15.75" customHeight="1">
      <c r="A818" s="17"/>
      <c r="B818" s="18" t="s">
        <v>2939</v>
      </c>
      <c r="C818" s="19" t="s">
        <v>87</v>
      </c>
      <c r="D818" s="25" t="s">
        <v>2940</v>
      </c>
      <c r="E818" s="20" t="s">
        <v>2941</v>
      </c>
      <c r="F818" s="19" t="s">
        <v>90</v>
      </c>
      <c r="G818" s="19" t="s">
        <v>91</v>
      </c>
      <c r="H818" s="19"/>
      <c r="I818" s="21" t="s">
        <v>29</v>
      </c>
      <c r="J818" s="21" t="s">
        <v>29</v>
      </c>
      <c r="K818" s="22" t="s">
        <v>2942</v>
      </c>
      <c r="L818" s="56">
        <v>45061</v>
      </c>
      <c r="O818" s="42"/>
      <c r="P818" s="40"/>
      <c r="Q818" s="61"/>
      <c r="R818" s="61"/>
      <c r="S818" s="40"/>
      <c r="T818" s="38"/>
      <c r="U818" s="38"/>
      <c r="V818" s="38"/>
      <c r="W818" s="60"/>
      <c r="AB818" s="42"/>
      <c r="AC818" s="35"/>
      <c r="AD818" s="38"/>
      <c r="AE818" s="38"/>
      <c r="AF818" s="38"/>
      <c r="AG818" s="38"/>
      <c r="AH818" s="60"/>
    </row>
    <row r="819" spans="1:34" ht="15.75" customHeight="1">
      <c r="A819" s="17"/>
      <c r="B819" s="18" t="s">
        <v>2943</v>
      </c>
      <c r="C819" s="19" t="s">
        <v>87</v>
      </c>
      <c r="D819" s="25" t="s">
        <v>2944</v>
      </c>
      <c r="E819" s="20" t="s">
        <v>2945</v>
      </c>
      <c r="F819" s="37" t="s">
        <v>49</v>
      </c>
      <c r="G819" s="19" t="s">
        <v>91</v>
      </c>
      <c r="H819" s="19"/>
      <c r="I819" s="21" t="s">
        <v>29</v>
      </c>
      <c r="J819" s="21" t="s">
        <v>29</v>
      </c>
      <c r="K819" s="22" t="s">
        <v>2945</v>
      </c>
      <c r="L819" s="56">
        <v>45061</v>
      </c>
      <c r="O819" s="42"/>
      <c r="P819" s="40"/>
      <c r="Q819" s="61"/>
      <c r="R819" s="61"/>
      <c r="S819" s="40"/>
      <c r="T819" s="38"/>
      <c r="U819" s="38"/>
      <c r="V819" s="38"/>
      <c r="W819" s="60"/>
      <c r="AB819" s="42"/>
      <c r="AC819" s="35"/>
      <c r="AD819" s="38"/>
      <c r="AE819" s="38"/>
      <c r="AF819" s="38"/>
      <c r="AG819" s="38"/>
      <c r="AH819" s="60"/>
    </row>
    <row r="820" spans="1:34" ht="15.75" customHeight="1">
      <c r="A820" s="17"/>
      <c r="B820" s="18" t="s">
        <v>2946</v>
      </c>
      <c r="C820" s="19" t="s">
        <v>24</v>
      </c>
      <c r="D820" s="25" t="s">
        <v>2947</v>
      </c>
      <c r="E820" s="20" t="s">
        <v>2884</v>
      </c>
      <c r="F820" s="19" t="s">
        <v>27</v>
      </c>
      <c r="G820" s="19" t="s">
        <v>28</v>
      </c>
      <c r="H820" s="19"/>
      <c r="I820" s="21" t="s">
        <v>29</v>
      </c>
      <c r="J820" s="21" t="s">
        <v>29</v>
      </c>
      <c r="K820" s="22" t="s">
        <v>2885</v>
      </c>
      <c r="L820" s="56">
        <v>45061</v>
      </c>
      <c r="O820" s="42"/>
      <c r="P820" s="40"/>
      <c r="Q820" s="61"/>
      <c r="R820" s="61"/>
      <c r="S820" s="40"/>
      <c r="T820" s="38"/>
      <c r="U820" s="38"/>
      <c r="V820" s="38"/>
      <c r="W820" s="60"/>
      <c r="AB820" s="42"/>
      <c r="AC820" s="35"/>
      <c r="AD820" s="38"/>
      <c r="AE820" s="38"/>
      <c r="AF820" s="38"/>
      <c r="AG820" s="38"/>
      <c r="AH820" s="60"/>
    </row>
    <row r="821" spans="1:34" ht="15.75" customHeight="1">
      <c r="A821" s="17"/>
      <c r="B821" s="18" t="s">
        <v>2948</v>
      </c>
      <c r="C821" s="19" t="s">
        <v>24</v>
      </c>
      <c r="D821" s="25" t="s">
        <v>2949</v>
      </c>
      <c r="E821" s="20" t="s">
        <v>2945</v>
      </c>
      <c r="F821" s="19" t="s">
        <v>27</v>
      </c>
      <c r="G821" s="19" t="s">
        <v>28</v>
      </c>
      <c r="H821" s="19"/>
      <c r="I821" s="21" t="s">
        <v>29</v>
      </c>
      <c r="J821" s="21" t="s">
        <v>29</v>
      </c>
      <c r="K821" s="22" t="s">
        <v>2945</v>
      </c>
      <c r="L821" s="56">
        <v>45061</v>
      </c>
      <c r="O821" s="42"/>
      <c r="P821" s="40"/>
      <c r="Q821" s="61"/>
      <c r="R821" s="61"/>
      <c r="S821" s="40"/>
      <c r="T821" s="38"/>
      <c r="U821" s="38"/>
      <c r="V821" s="38"/>
      <c r="W821" s="60"/>
      <c r="AB821" s="42"/>
      <c r="AC821" s="35"/>
      <c r="AD821" s="38"/>
      <c r="AE821" s="38"/>
      <c r="AF821" s="38"/>
      <c r="AG821" s="38"/>
      <c r="AH821" s="60"/>
    </row>
    <row r="822" spans="1:34" ht="15.75" customHeight="1">
      <c r="A822" s="17"/>
      <c r="B822" s="18" t="s">
        <v>2950</v>
      </c>
      <c r="C822" s="19" t="s">
        <v>24</v>
      </c>
      <c r="D822" s="25" t="s">
        <v>2951</v>
      </c>
      <c r="E822" s="20" t="s">
        <v>2867</v>
      </c>
      <c r="F822" s="19" t="s">
        <v>27</v>
      </c>
      <c r="G822" s="19" t="s">
        <v>28</v>
      </c>
      <c r="H822" s="19"/>
      <c r="I822" s="21" t="s">
        <v>29</v>
      </c>
      <c r="J822" s="21" t="s">
        <v>29</v>
      </c>
      <c r="K822" s="22" t="s">
        <v>2868</v>
      </c>
      <c r="L822" s="56">
        <v>45061</v>
      </c>
      <c r="O822" s="42"/>
      <c r="P822" s="40"/>
      <c r="Q822" s="61"/>
      <c r="R822" s="61"/>
      <c r="S822" s="40"/>
      <c r="T822" s="38"/>
      <c r="U822" s="38"/>
      <c r="V822" s="38"/>
      <c r="W822" s="60"/>
      <c r="AB822" s="42"/>
      <c r="AC822" s="35"/>
      <c r="AD822" s="38"/>
      <c r="AE822" s="38"/>
      <c r="AF822" s="38"/>
      <c r="AG822" s="38"/>
      <c r="AH822" s="60"/>
    </row>
    <row r="823" spans="1:34" ht="15.75" customHeight="1">
      <c r="A823" s="17"/>
      <c r="B823" s="18" t="s">
        <v>2952</v>
      </c>
      <c r="C823" s="19" t="s">
        <v>46</v>
      </c>
      <c r="D823" s="25" t="s">
        <v>2953</v>
      </c>
      <c r="E823" s="20" t="s">
        <v>2954</v>
      </c>
      <c r="F823" s="37" t="s">
        <v>49</v>
      </c>
      <c r="G823" s="19" t="s">
        <v>50</v>
      </c>
      <c r="H823" s="19"/>
      <c r="I823" s="21" t="s">
        <v>29</v>
      </c>
      <c r="J823" s="21" t="s">
        <v>29</v>
      </c>
      <c r="K823" s="22" t="s">
        <v>2955</v>
      </c>
      <c r="L823" s="56">
        <v>45061</v>
      </c>
      <c r="O823" s="42"/>
      <c r="P823" s="40"/>
      <c r="Q823" s="61"/>
      <c r="R823" s="61"/>
      <c r="S823" s="40"/>
      <c r="T823" s="38"/>
      <c r="U823" s="38"/>
      <c r="V823" s="38"/>
      <c r="W823" s="60"/>
      <c r="AB823" s="42"/>
      <c r="AC823" s="35"/>
      <c r="AD823" s="38"/>
      <c r="AE823" s="38"/>
      <c r="AF823" s="38"/>
      <c r="AG823" s="38"/>
      <c r="AH823" s="60"/>
    </row>
    <row r="824" spans="1:34" ht="15.75" customHeight="1">
      <c r="A824" s="17"/>
      <c r="B824" s="18" t="s">
        <v>2956</v>
      </c>
      <c r="C824" s="19" t="s">
        <v>24</v>
      </c>
      <c r="D824" s="25" t="s">
        <v>2957</v>
      </c>
      <c r="E824" s="20" t="s">
        <v>2941</v>
      </c>
      <c r="F824" s="19" t="s">
        <v>27</v>
      </c>
      <c r="G824" s="19" t="s">
        <v>28</v>
      </c>
      <c r="H824" s="19"/>
      <c r="I824" s="21" t="s">
        <v>29</v>
      </c>
      <c r="J824" s="21" t="s">
        <v>29</v>
      </c>
      <c r="K824" s="22" t="s">
        <v>2942</v>
      </c>
      <c r="L824" s="56">
        <v>45061</v>
      </c>
      <c r="O824" s="42"/>
      <c r="P824" s="40"/>
      <c r="Q824" s="61"/>
      <c r="R824" s="61"/>
      <c r="S824" s="40"/>
      <c r="T824" s="38"/>
      <c r="U824" s="38"/>
      <c r="V824" s="38"/>
      <c r="W824" s="60"/>
      <c r="AB824" s="42"/>
      <c r="AC824" s="35"/>
      <c r="AD824" s="38"/>
      <c r="AE824" s="38"/>
      <c r="AF824" s="38"/>
      <c r="AG824" s="38"/>
      <c r="AH824" s="60"/>
    </row>
    <row r="825" spans="1:34" ht="15.75" customHeight="1">
      <c r="A825" s="17"/>
      <c r="B825" s="18" t="s">
        <v>2958</v>
      </c>
      <c r="C825" s="19" t="s">
        <v>24</v>
      </c>
      <c r="D825" s="25" t="s">
        <v>2959</v>
      </c>
      <c r="E825" s="20" t="s">
        <v>2960</v>
      </c>
      <c r="F825" s="19" t="s">
        <v>27</v>
      </c>
      <c r="G825" s="19" t="s">
        <v>28</v>
      </c>
      <c r="H825" s="19"/>
      <c r="I825" s="21" t="s">
        <v>29</v>
      </c>
      <c r="J825" s="21" t="s">
        <v>29</v>
      </c>
      <c r="K825" s="22" t="s">
        <v>2961</v>
      </c>
      <c r="L825" s="56">
        <v>45061</v>
      </c>
      <c r="O825" s="42"/>
      <c r="P825" s="40"/>
      <c r="Q825" s="61"/>
      <c r="R825" s="61"/>
      <c r="S825" s="40"/>
      <c r="T825" s="38"/>
      <c r="U825" s="38"/>
      <c r="V825" s="38"/>
      <c r="W825" s="60"/>
      <c r="AB825" s="42"/>
      <c r="AC825" s="35"/>
      <c r="AD825" s="38"/>
      <c r="AE825" s="38"/>
      <c r="AF825" s="38"/>
      <c r="AG825" s="38"/>
      <c r="AH825" s="60"/>
    </row>
    <row r="826" spans="1:34" ht="15.75" customHeight="1">
      <c r="A826" s="17"/>
      <c r="B826" s="18" t="s">
        <v>2962</v>
      </c>
      <c r="C826" s="19" t="s">
        <v>87</v>
      </c>
      <c r="D826" s="25" t="s">
        <v>2963</v>
      </c>
      <c r="E826" s="20" t="s">
        <v>2867</v>
      </c>
      <c r="F826" s="19" t="s">
        <v>90</v>
      </c>
      <c r="G826" s="19" t="s">
        <v>91</v>
      </c>
      <c r="H826" s="19"/>
      <c r="I826" s="21" t="s">
        <v>29</v>
      </c>
      <c r="J826" s="21" t="s">
        <v>29</v>
      </c>
      <c r="K826" s="22" t="s">
        <v>2868</v>
      </c>
      <c r="L826" s="56">
        <v>45061</v>
      </c>
      <c r="O826" s="42"/>
      <c r="P826" s="40"/>
      <c r="Q826" s="61"/>
      <c r="R826" s="61"/>
      <c r="S826" s="40"/>
      <c r="T826" s="38"/>
      <c r="U826" s="38"/>
      <c r="V826" s="38"/>
      <c r="W826" s="60"/>
      <c r="AB826" s="42"/>
      <c r="AC826" s="35"/>
      <c r="AD826" s="38"/>
      <c r="AE826" s="38"/>
      <c r="AF826" s="38"/>
      <c r="AG826" s="38"/>
      <c r="AH826" s="60"/>
    </row>
    <row r="827" spans="1:34" ht="15.75" customHeight="1">
      <c r="A827" s="17"/>
      <c r="B827" s="18" t="s">
        <v>2964</v>
      </c>
      <c r="C827" s="19" t="s">
        <v>24</v>
      </c>
      <c r="D827" s="25" t="s">
        <v>2965</v>
      </c>
      <c r="E827" s="20" t="s">
        <v>2941</v>
      </c>
      <c r="F827" s="19" t="s">
        <v>27</v>
      </c>
      <c r="G827" s="19" t="s">
        <v>28</v>
      </c>
      <c r="H827" s="19"/>
      <c r="I827" s="21" t="s">
        <v>29</v>
      </c>
      <c r="J827" s="21" t="s">
        <v>29</v>
      </c>
      <c r="K827" s="22" t="s">
        <v>2942</v>
      </c>
      <c r="L827" s="56">
        <v>45061</v>
      </c>
      <c r="O827" s="42"/>
      <c r="P827" s="40"/>
      <c r="Q827" s="61"/>
      <c r="R827" s="61"/>
      <c r="S827" s="40"/>
      <c r="T827" s="38"/>
      <c r="U827" s="38"/>
      <c r="V827" s="38"/>
      <c r="W827" s="60"/>
      <c r="AB827" s="42"/>
      <c r="AC827" s="35"/>
      <c r="AD827" s="38"/>
      <c r="AE827" s="38"/>
      <c r="AF827" s="38"/>
      <c r="AG827" s="38"/>
      <c r="AH827" s="60"/>
    </row>
    <row r="828" spans="1:34" ht="15.75" customHeight="1">
      <c r="A828" s="17"/>
      <c r="B828" s="18" t="s">
        <v>2966</v>
      </c>
      <c r="C828" s="19" t="s">
        <v>87</v>
      </c>
      <c r="D828" s="25" t="s">
        <v>2967</v>
      </c>
      <c r="E828" s="20" t="s">
        <v>2968</v>
      </c>
      <c r="F828" s="19" t="s">
        <v>90</v>
      </c>
      <c r="G828" s="19" t="s">
        <v>91</v>
      </c>
      <c r="H828" s="19"/>
      <c r="I828" s="21" t="s">
        <v>29</v>
      </c>
      <c r="J828" s="21" t="s">
        <v>29</v>
      </c>
      <c r="K828" s="22" t="s">
        <v>2969</v>
      </c>
      <c r="L828" s="56">
        <v>45061</v>
      </c>
      <c r="O828" s="42"/>
      <c r="P828" s="40"/>
      <c r="Q828" s="61"/>
      <c r="R828" s="61"/>
      <c r="S828" s="40"/>
      <c r="T828" s="38"/>
      <c r="U828" s="38"/>
      <c r="V828" s="38"/>
      <c r="W828" s="60"/>
      <c r="AB828" s="42"/>
      <c r="AC828" s="35"/>
      <c r="AD828" s="38"/>
      <c r="AE828" s="38"/>
      <c r="AF828" s="38"/>
      <c r="AG828" s="38"/>
      <c r="AH828" s="60"/>
    </row>
    <row r="829" spans="1:34" ht="15.75" customHeight="1">
      <c r="A829" s="17"/>
      <c r="B829" s="18" t="s">
        <v>2970</v>
      </c>
      <c r="C829" s="19" t="s">
        <v>24</v>
      </c>
      <c r="D829" s="25" t="s">
        <v>2971</v>
      </c>
      <c r="E829" s="20" t="s">
        <v>2972</v>
      </c>
      <c r="F829" s="19" t="s">
        <v>27</v>
      </c>
      <c r="G829" s="19" t="s">
        <v>28</v>
      </c>
      <c r="H829" s="19"/>
      <c r="I829" s="21" t="s">
        <v>29</v>
      </c>
      <c r="J829" s="21" t="s">
        <v>29</v>
      </c>
      <c r="K829" s="22" t="s">
        <v>2973</v>
      </c>
      <c r="L829" s="56">
        <v>45061</v>
      </c>
      <c r="O829" s="42"/>
      <c r="P829" s="40"/>
      <c r="Q829" s="61"/>
      <c r="R829" s="61"/>
      <c r="S829" s="40"/>
      <c r="T829" s="38"/>
      <c r="U829" s="38"/>
      <c r="V829" s="38"/>
      <c r="W829" s="60"/>
      <c r="AB829" s="42"/>
      <c r="AC829" s="35"/>
      <c r="AD829" s="38"/>
      <c r="AE829" s="38"/>
      <c r="AF829" s="38"/>
      <c r="AG829" s="38"/>
      <c r="AH829" s="60"/>
    </row>
    <row r="830" spans="1:34" ht="15.75" customHeight="1">
      <c r="A830" s="17"/>
      <c r="B830" s="41" t="s">
        <v>2974</v>
      </c>
      <c r="C830" s="19" t="s">
        <v>87</v>
      </c>
      <c r="D830" s="25" t="s">
        <v>2975</v>
      </c>
      <c r="E830" s="20" t="s">
        <v>55</v>
      </c>
      <c r="F830" s="19"/>
      <c r="G830" s="19"/>
      <c r="H830" s="19"/>
      <c r="I830" s="21"/>
      <c r="J830" s="21"/>
      <c r="K830" s="22"/>
      <c r="L830" s="56"/>
      <c r="O830" s="42"/>
      <c r="P830" s="40"/>
      <c r="Q830" s="61"/>
      <c r="R830" s="61"/>
      <c r="S830" s="40"/>
      <c r="T830" s="38"/>
      <c r="U830" s="38"/>
      <c r="V830" s="38"/>
      <c r="W830" s="60"/>
      <c r="AB830" s="42"/>
      <c r="AC830" s="35"/>
      <c r="AD830" s="38"/>
      <c r="AE830" s="38"/>
      <c r="AF830" s="38"/>
      <c r="AG830" s="38"/>
      <c r="AH830" s="60"/>
    </row>
    <row r="831" spans="1:34" ht="15.75" customHeight="1">
      <c r="A831" s="17"/>
      <c r="B831" s="34" t="s">
        <v>2976</v>
      </c>
      <c r="C831" s="19" t="s">
        <v>87</v>
      </c>
      <c r="D831" s="25" t="s">
        <v>2977</v>
      </c>
      <c r="E831" s="20" t="s">
        <v>2937</v>
      </c>
      <c r="F831" s="37" t="s">
        <v>49</v>
      </c>
      <c r="G831" s="19" t="s">
        <v>50</v>
      </c>
      <c r="H831" s="19"/>
      <c r="I831" s="21" t="s">
        <v>29</v>
      </c>
      <c r="J831" s="21" t="s">
        <v>29</v>
      </c>
      <c r="K831" s="22" t="s">
        <v>2938</v>
      </c>
      <c r="L831" s="56">
        <v>45061</v>
      </c>
      <c r="O831" s="42"/>
      <c r="P831" s="40"/>
      <c r="Q831" s="61"/>
      <c r="R831" s="61"/>
      <c r="S831" s="40"/>
      <c r="T831" s="38"/>
      <c r="U831" s="38"/>
      <c r="V831" s="38"/>
      <c r="W831" s="60"/>
      <c r="AB831" s="42"/>
      <c r="AC831" s="35"/>
      <c r="AD831" s="38"/>
      <c r="AE831" s="38"/>
      <c r="AF831" s="38"/>
      <c r="AG831" s="38"/>
      <c r="AH831" s="60"/>
    </row>
    <row r="832" spans="1:34" ht="15.75" customHeight="1">
      <c r="A832" s="17"/>
      <c r="B832" s="18" t="s">
        <v>2978</v>
      </c>
      <c r="C832" s="19" t="s">
        <v>24</v>
      </c>
      <c r="D832" s="25" t="s">
        <v>2979</v>
      </c>
      <c r="E832" s="20" t="s">
        <v>2929</v>
      </c>
      <c r="F832" s="19" t="s">
        <v>27</v>
      </c>
      <c r="G832" s="19" t="s">
        <v>28</v>
      </c>
      <c r="H832" s="19"/>
      <c r="I832" s="21" t="s">
        <v>29</v>
      </c>
      <c r="J832" s="21" t="s">
        <v>29</v>
      </c>
      <c r="K832" s="22" t="s">
        <v>2930</v>
      </c>
      <c r="L832" s="56">
        <v>45061</v>
      </c>
      <c r="O832" s="42"/>
      <c r="P832" s="40"/>
      <c r="Q832" s="61"/>
      <c r="R832" s="61"/>
      <c r="S832" s="40"/>
      <c r="T832" s="38"/>
      <c r="U832" s="38"/>
      <c r="V832" s="38"/>
      <c r="W832" s="60"/>
      <c r="AB832" s="42"/>
      <c r="AC832" s="35"/>
      <c r="AD832" s="38"/>
      <c r="AE832" s="38"/>
      <c r="AF832" s="38"/>
      <c r="AG832" s="38"/>
      <c r="AH832" s="60"/>
    </row>
    <row r="833" spans="1:34" ht="15.75" customHeight="1">
      <c r="A833" s="17"/>
      <c r="B833" s="34" t="s">
        <v>2980</v>
      </c>
      <c r="C833" s="19" t="s">
        <v>87</v>
      </c>
      <c r="D833" s="25" t="s">
        <v>2981</v>
      </c>
      <c r="E833" s="20" t="s">
        <v>2982</v>
      </c>
      <c r="F833" s="37" t="s">
        <v>49</v>
      </c>
      <c r="G833" s="19" t="s">
        <v>50</v>
      </c>
      <c r="H833" s="19"/>
      <c r="I833" s="21" t="s">
        <v>29</v>
      </c>
      <c r="J833" s="21" t="s">
        <v>29</v>
      </c>
      <c r="K833" s="22" t="s">
        <v>2983</v>
      </c>
      <c r="L833" s="56">
        <v>45061</v>
      </c>
      <c r="O833" s="42"/>
      <c r="P833" s="40"/>
      <c r="Q833" s="61"/>
      <c r="R833" s="61"/>
      <c r="S833" s="40"/>
      <c r="T833" s="38"/>
      <c r="U833" s="38"/>
      <c r="V833" s="38"/>
      <c r="W833" s="60"/>
      <c r="AB833" s="42"/>
      <c r="AC833" s="35"/>
      <c r="AD833" s="38"/>
      <c r="AE833" s="38"/>
      <c r="AF833" s="38"/>
      <c r="AG833" s="38"/>
      <c r="AH833" s="60"/>
    </row>
    <row r="834" spans="1:34" ht="15.75" customHeight="1">
      <c r="A834" s="17"/>
      <c r="B834" s="18" t="s">
        <v>2984</v>
      </c>
      <c r="C834" s="19" t="s">
        <v>24</v>
      </c>
      <c r="D834" s="25" t="s">
        <v>2985</v>
      </c>
      <c r="E834" s="20" t="s">
        <v>2986</v>
      </c>
      <c r="F834" s="19" t="s">
        <v>27</v>
      </c>
      <c r="G834" s="19" t="s">
        <v>28</v>
      </c>
      <c r="H834" s="19"/>
      <c r="I834" s="21" t="s">
        <v>29</v>
      </c>
      <c r="J834" s="21" t="s">
        <v>29</v>
      </c>
      <c r="K834" s="22" t="s">
        <v>2987</v>
      </c>
      <c r="L834" s="56">
        <v>45061</v>
      </c>
      <c r="O834" s="42"/>
      <c r="P834" s="40"/>
      <c r="Q834" s="61"/>
      <c r="R834" s="61"/>
      <c r="S834" s="40"/>
      <c r="T834" s="38"/>
      <c r="U834" s="38"/>
      <c r="V834" s="38"/>
      <c r="W834" s="60"/>
      <c r="AB834" s="42"/>
      <c r="AC834" s="35"/>
      <c r="AD834" s="38"/>
      <c r="AE834" s="38"/>
      <c r="AF834" s="38"/>
      <c r="AG834" s="38"/>
      <c r="AH834" s="60"/>
    </row>
    <row r="835" spans="1:34" ht="15.75" customHeight="1">
      <c r="A835" s="17"/>
      <c r="B835" s="18" t="s">
        <v>2988</v>
      </c>
      <c r="C835" s="19" t="s">
        <v>46</v>
      </c>
      <c r="D835" s="25" t="s">
        <v>2989</v>
      </c>
      <c r="E835" s="20" t="s">
        <v>2954</v>
      </c>
      <c r="F835" s="37" t="s">
        <v>49</v>
      </c>
      <c r="G835" s="19" t="s">
        <v>50</v>
      </c>
      <c r="H835" s="19"/>
      <c r="I835" s="21" t="s">
        <v>29</v>
      </c>
      <c r="J835" s="21" t="s">
        <v>29</v>
      </c>
      <c r="K835" s="22" t="s">
        <v>2955</v>
      </c>
      <c r="L835" s="56">
        <v>45061</v>
      </c>
      <c r="O835" s="42"/>
      <c r="P835" s="40"/>
      <c r="Q835" s="61"/>
      <c r="R835" s="61"/>
      <c r="S835" s="40"/>
      <c r="T835" s="38"/>
      <c r="U835" s="38"/>
      <c r="V835" s="38"/>
      <c r="W835" s="60"/>
      <c r="AB835" s="42"/>
      <c r="AC835" s="35"/>
      <c r="AD835" s="38"/>
      <c r="AE835" s="38"/>
      <c r="AF835" s="38"/>
      <c r="AG835" s="38"/>
      <c r="AH835" s="60"/>
    </row>
    <row r="836" spans="1:34" ht="15.75" customHeight="1">
      <c r="A836" s="17"/>
      <c r="B836" s="18" t="s">
        <v>2990</v>
      </c>
      <c r="C836" s="19" t="s">
        <v>24</v>
      </c>
      <c r="D836" s="25" t="s">
        <v>2991</v>
      </c>
      <c r="E836" s="20" t="s">
        <v>2992</v>
      </c>
      <c r="F836" s="19" t="s">
        <v>27</v>
      </c>
      <c r="G836" s="19" t="s">
        <v>28</v>
      </c>
      <c r="H836" s="19"/>
      <c r="I836" s="21" t="s">
        <v>29</v>
      </c>
      <c r="J836" s="21" t="s">
        <v>29</v>
      </c>
      <c r="K836" s="22" t="s">
        <v>2993</v>
      </c>
      <c r="L836" s="56">
        <v>45061</v>
      </c>
      <c r="O836" s="42"/>
      <c r="P836" s="40"/>
      <c r="Q836" s="61"/>
      <c r="R836" s="61"/>
      <c r="S836" s="40"/>
      <c r="T836" s="38"/>
      <c r="U836" s="38"/>
      <c r="V836" s="38"/>
      <c r="W836" s="60"/>
      <c r="AB836" s="42"/>
      <c r="AC836" s="35"/>
      <c r="AD836" s="38"/>
      <c r="AE836" s="38"/>
      <c r="AF836" s="38"/>
      <c r="AG836" s="38"/>
      <c r="AH836" s="60"/>
    </row>
    <row r="837" spans="1:34" ht="15.75" customHeight="1">
      <c r="A837" s="17"/>
      <c r="B837" s="18" t="s">
        <v>2994</v>
      </c>
      <c r="C837" s="19" t="s">
        <v>24</v>
      </c>
      <c r="D837" s="25" t="s">
        <v>2995</v>
      </c>
      <c r="E837" s="20" t="s">
        <v>2881</v>
      </c>
      <c r="F837" s="19" t="s">
        <v>27</v>
      </c>
      <c r="G837" s="19" t="s">
        <v>28</v>
      </c>
      <c r="H837" s="19"/>
      <c r="I837" s="21" t="s">
        <v>29</v>
      </c>
      <c r="J837" s="21" t="s">
        <v>29</v>
      </c>
      <c r="K837" s="22" t="s">
        <v>2881</v>
      </c>
      <c r="L837" s="56">
        <v>45061</v>
      </c>
      <c r="O837" s="42"/>
      <c r="P837" s="40"/>
      <c r="Q837" s="61"/>
      <c r="R837" s="61"/>
      <c r="S837" s="40"/>
      <c r="T837" s="38"/>
      <c r="U837" s="38"/>
      <c r="V837" s="38"/>
      <c r="W837" s="60"/>
      <c r="AB837" s="42"/>
      <c r="AC837" s="35"/>
      <c r="AD837" s="38"/>
      <c r="AE837" s="38"/>
      <c r="AF837" s="38"/>
      <c r="AG837" s="38"/>
      <c r="AH837" s="60"/>
    </row>
    <row r="838" spans="1:34" ht="15.75" customHeight="1">
      <c r="A838" s="17"/>
      <c r="B838" s="18" t="s">
        <v>2996</v>
      </c>
      <c r="C838" s="19" t="s">
        <v>24</v>
      </c>
      <c r="D838" s="20" t="s">
        <v>2997</v>
      </c>
      <c r="E838" s="20" t="s">
        <v>2998</v>
      </c>
      <c r="F838" s="19" t="s">
        <v>27</v>
      </c>
      <c r="G838" s="19" t="s">
        <v>28</v>
      </c>
      <c r="H838" s="19"/>
      <c r="I838" s="21" t="s">
        <v>29</v>
      </c>
      <c r="J838" s="21" t="s">
        <v>29</v>
      </c>
      <c r="K838" s="22" t="s">
        <v>2999</v>
      </c>
      <c r="L838" s="56"/>
      <c r="O838" s="42"/>
      <c r="P838" s="40"/>
      <c r="Q838" s="61"/>
      <c r="R838" s="61"/>
      <c r="S838" s="40"/>
      <c r="T838" s="38"/>
      <c r="U838" s="38"/>
      <c r="V838" s="38"/>
      <c r="W838" s="60"/>
      <c r="AB838" s="42"/>
      <c r="AC838" s="35"/>
      <c r="AD838" s="38"/>
      <c r="AE838" s="38"/>
      <c r="AF838" s="38"/>
      <c r="AG838" s="38"/>
      <c r="AH838" s="60"/>
    </row>
    <row r="839" spans="1:34" ht="15.75" customHeight="1">
      <c r="A839" s="17"/>
      <c r="B839" s="18" t="s">
        <v>3000</v>
      </c>
      <c r="C839" s="19" t="s">
        <v>87</v>
      </c>
      <c r="D839" s="25" t="s">
        <v>3001</v>
      </c>
      <c r="E839" s="20" t="s">
        <v>2875</v>
      </c>
      <c r="F839" s="19" t="s">
        <v>90</v>
      </c>
      <c r="G839" s="19" t="s">
        <v>91</v>
      </c>
      <c r="H839" s="19"/>
      <c r="I839" s="21" t="s">
        <v>29</v>
      </c>
      <c r="J839" s="21" t="s">
        <v>29</v>
      </c>
      <c r="K839" s="22" t="s">
        <v>2876</v>
      </c>
      <c r="L839" s="56">
        <v>45061</v>
      </c>
      <c r="O839" s="42"/>
      <c r="P839" s="40"/>
      <c r="Q839" s="61"/>
      <c r="R839" s="61"/>
      <c r="S839" s="40"/>
      <c r="T839" s="38"/>
      <c r="U839" s="38"/>
      <c r="V839" s="38"/>
      <c r="W839" s="60"/>
      <c r="AB839" s="42"/>
      <c r="AC839" s="35"/>
      <c r="AD839" s="38"/>
      <c r="AE839" s="38"/>
      <c r="AF839" s="38"/>
      <c r="AG839" s="38"/>
      <c r="AH839" s="60"/>
    </row>
    <row r="840" spans="1:34" ht="15.75" customHeight="1">
      <c r="A840" s="17"/>
      <c r="B840" s="18" t="s">
        <v>3002</v>
      </c>
      <c r="C840" s="19" t="s">
        <v>87</v>
      </c>
      <c r="D840" s="25" t="s">
        <v>3003</v>
      </c>
      <c r="E840" s="20" t="s">
        <v>2875</v>
      </c>
      <c r="F840" s="19" t="s">
        <v>90</v>
      </c>
      <c r="G840" s="19" t="s">
        <v>91</v>
      </c>
      <c r="H840" s="19"/>
      <c r="I840" s="21" t="s">
        <v>29</v>
      </c>
      <c r="J840" s="21" t="s">
        <v>29</v>
      </c>
      <c r="K840" s="22" t="s">
        <v>2876</v>
      </c>
      <c r="L840" s="56">
        <v>45061</v>
      </c>
      <c r="O840" s="42"/>
      <c r="P840" s="40"/>
      <c r="Q840" s="61"/>
      <c r="R840" s="61"/>
      <c r="S840" s="40"/>
      <c r="T840" s="38"/>
      <c r="U840" s="38"/>
      <c r="V840" s="38"/>
      <c r="W840" s="60"/>
      <c r="AB840" s="42"/>
      <c r="AC840" s="35"/>
      <c r="AD840" s="38"/>
      <c r="AE840" s="38"/>
      <c r="AF840" s="38"/>
      <c r="AG840" s="38"/>
      <c r="AH840" s="60"/>
    </row>
    <row r="841" spans="1:34" ht="15.75" customHeight="1">
      <c r="A841" s="17"/>
      <c r="B841" s="18" t="s">
        <v>3000</v>
      </c>
      <c r="C841" s="19" t="s">
        <v>87</v>
      </c>
      <c r="D841" s="20" t="s">
        <v>3001</v>
      </c>
      <c r="E841" s="20" t="s">
        <v>3004</v>
      </c>
      <c r="F841" s="19" t="s">
        <v>90</v>
      </c>
      <c r="G841" s="19" t="s">
        <v>91</v>
      </c>
      <c r="H841" s="19"/>
      <c r="I841" s="21" t="s">
        <v>29</v>
      </c>
      <c r="J841" s="21" t="s">
        <v>29</v>
      </c>
      <c r="K841" s="22" t="s">
        <v>3004</v>
      </c>
      <c r="L841" s="56"/>
      <c r="O841" s="42"/>
      <c r="P841" s="40"/>
      <c r="Q841" s="61"/>
      <c r="R841" s="61"/>
      <c r="S841" s="40"/>
      <c r="T841" s="38"/>
      <c r="U841" s="38"/>
      <c r="V841" s="38"/>
      <c r="W841" s="60"/>
      <c r="AB841" s="42"/>
      <c r="AC841" s="35"/>
      <c r="AD841" s="38"/>
      <c r="AE841" s="38"/>
      <c r="AF841" s="38"/>
      <c r="AG841" s="38"/>
      <c r="AH841" s="60"/>
    </row>
    <row r="842" spans="1:34" ht="15.75" customHeight="1">
      <c r="A842" s="17"/>
      <c r="B842" s="18" t="s">
        <v>1201</v>
      </c>
      <c r="C842" s="19" t="s">
        <v>1603</v>
      </c>
      <c r="D842" s="25" t="s">
        <v>3005</v>
      </c>
      <c r="E842" s="20" t="s">
        <v>2871</v>
      </c>
      <c r="F842" s="19" t="s">
        <v>27</v>
      </c>
      <c r="G842" s="19" t="s">
        <v>1606</v>
      </c>
      <c r="H842" s="19"/>
      <c r="I842" s="21" t="s">
        <v>29</v>
      </c>
      <c r="J842" s="21" t="s">
        <v>233</v>
      </c>
      <c r="K842" s="22" t="s">
        <v>2872</v>
      </c>
      <c r="L842" s="56">
        <v>45061</v>
      </c>
      <c r="O842" s="42"/>
      <c r="P842" s="40"/>
      <c r="Q842" s="61"/>
      <c r="R842" s="61"/>
      <c r="S842" s="40"/>
      <c r="T842" s="38"/>
      <c r="U842" s="38"/>
      <c r="V842" s="38"/>
      <c r="W842" s="60"/>
      <c r="AB842" s="42"/>
      <c r="AC842" s="35"/>
      <c r="AD842" s="38"/>
      <c r="AE842" s="38"/>
      <c r="AF842" s="38"/>
      <c r="AG842" s="38"/>
      <c r="AH842" s="60"/>
    </row>
    <row r="843" spans="1:34" ht="15.75" customHeight="1">
      <c r="A843" s="17"/>
      <c r="B843" s="41" t="s">
        <v>3006</v>
      </c>
      <c r="C843" s="19" t="s">
        <v>46</v>
      </c>
      <c r="D843" s="25" t="s">
        <v>3007</v>
      </c>
      <c r="E843" s="20" t="s">
        <v>55</v>
      </c>
      <c r="F843" s="19"/>
      <c r="G843" s="19"/>
      <c r="H843" s="19"/>
      <c r="I843" s="21"/>
      <c r="J843" s="21"/>
      <c r="K843" s="22"/>
      <c r="L843" s="56"/>
      <c r="O843" s="42"/>
      <c r="P843" s="40"/>
      <c r="Q843" s="61"/>
      <c r="R843" s="61"/>
      <c r="S843" s="40"/>
      <c r="T843" s="38"/>
      <c r="U843" s="38"/>
      <c r="V843" s="38"/>
      <c r="W843" s="60"/>
      <c r="AB843" s="42"/>
      <c r="AC843" s="35"/>
      <c r="AD843" s="38"/>
      <c r="AE843" s="38"/>
      <c r="AF843" s="38"/>
      <c r="AG843" s="38"/>
      <c r="AH843" s="60"/>
    </row>
    <row r="844" spans="1:34" ht="15.75" customHeight="1">
      <c r="A844" s="17"/>
      <c r="B844" s="18" t="s">
        <v>3008</v>
      </c>
      <c r="C844" s="19" t="s">
        <v>46</v>
      </c>
      <c r="D844" s="25" t="s">
        <v>3009</v>
      </c>
      <c r="E844" s="20" t="s">
        <v>3010</v>
      </c>
      <c r="F844" s="37" t="s">
        <v>49</v>
      </c>
      <c r="G844" s="19" t="s">
        <v>50</v>
      </c>
      <c r="H844" s="19"/>
      <c r="I844" s="21" t="s">
        <v>29</v>
      </c>
      <c r="J844" s="21" t="s">
        <v>29</v>
      </c>
      <c r="K844" s="22" t="s">
        <v>3011</v>
      </c>
      <c r="L844" s="56">
        <v>45061</v>
      </c>
      <c r="O844" s="42"/>
      <c r="P844" s="40"/>
      <c r="Q844" s="61"/>
      <c r="R844" s="61"/>
      <c r="S844" s="40"/>
      <c r="T844" s="38"/>
      <c r="U844" s="38"/>
      <c r="V844" s="38"/>
      <c r="W844" s="60"/>
      <c r="AB844" s="42"/>
      <c r="AC844" s="35"/>
      <c r="AD844" s="38"/>
      <c r="AE844" s="38"/>
      <c r="AF844" s="38"/>
      <c r="AG844" s="38"/>
      <c r="AH844" s="60"/>
    </row>
    <row r="845" spans="1:34" ht="15.75" customHeight="1">
      <c r="A845" s="17"/>
      <c r="B845" s="18" t="s">
        <v>3012</v>
      </c>
      <c r="C845" s="19" t="s">
        <v>24</v>
      </c>
      <c r="D845" s="25" t="s">
        <v>3013</v>
      </c>
      <c r="E845" s="20" t="s">
        <v>3014</v>
      </c>
      <c r="F845" s="19" t="s">
        <v>27</v>
      </c>
      <c r="G845" s="19" t="s">
        <v>28</v>
      </c>
      <c r="H845" s="19"/>
      <c r="I845" s="21" t="s">
        <v>29</v>
      </c>
      <c r="J845" s="21" t="s">
        <v>29</v>
      </c>
      <c r="K845" s="22" t="s">
        <v>3015</v>
      </c>
      <c r="L845" s="56">
        <v>45061</v>
      </c>
      <c r="O845" s="42"/>
      <c r="P845" s="40"/>
      <c r="Q845" s="61"/>
      <c r="R845" s="61"/>
      <c r="S845" s="40"/>
      <c r="T845" s="38"/>
      <c r="U845" s="38"/>
      <c r="V845" s="38"/>
      <c r="W845" s="60"/>
      <c r="AB845" s="42"/>
      <c r="AC845" s="35"/>
      <c r="AD845" s="38"/>
      <c r="AE845" s="38"/>
      <c r="AF845" s="38"/>
      <c r="AG845" s="38"/>
      <c r="AH845" s="60"/>
    </row>
    <row r="846" spans="1:34" ht="15.75" customHeight="1">
      <c r="A846" s="17"/>
      <c r="B846" s="18" t="s">
        <v>3016</v>
      </c>
      <c r="C846" s="37" t="s">
        <v>24</v>
      </c>
      <c r="D846" s="25" t="s">
        <v>3017</v>
      </c>
      <c r="E846" s="20" t="s">
        <v>3018</v>
      </c>
      <c r="F846" s="19" t="s">
        <v>27</v>
      </c>
      <c r="G846" s="19" t="s">
        <v>28</v>
      </c>
      <c r="H846" s="37"/>
      <c r="I846" s="21" t="s">
        <v>29</v>
      </c>
      <c r="J846" s="21" t="s">
        <v>29</v>
      </c>
      <c r="K846" s="22" t="s">
        <v>3019</v>
      </c>
      <c r="L846" s="56">
        <v>45061</v>
      </c>
      <c r="O846" s="42"/>
      <c r="P846" s="40"/>
      <c r="Q846" s="61"/>
      <c r="R846" s="61"/>
      <c r="S846" s="40"/>
      <c r="T846" s="38"/>
      <c r="U846" s="38"/>
      <c r="V846" s="38"/>
      <c r="W846" s="60"/>
      <c r="AB846" s="42"/>
      <c r="AC846" s="35"/>
      <c r="AD846" s="38"/>
      <c r="AE846" s="38"/>
      <c r="AF846" s="38"/>
      <c r="AG846" s="38"/>
      <c r="AH846" s="60"/>
    </row>
    <row r="847" spans="1:34" ht="15.75" customHeight="1">
      <c r="A847" s="17"/>
      <c r="B847" s="18" t="s">
        <v>3020</v>
      </c>
      <c r="C847" s="19" t="s">
        <v>24</v>
      </c>
      <c r="D847" s="25" t="s">
        <v>3021</v>
      </c>
      <c r="E847" s="20" t="s">
        <v>2871</v>
      </c>
      <c r="F847" s="19" t="s">
        <v>27</v>
      </c>
      <c r="G847" s="19" t="s">
        <v>28</v>
      </c>
      <c r="H847" s="19"/>
      <c r="I847" s="21" t="s">
        <v>29</v>
      </c>
      <c r="J847" s="21" t="s">
        <v>29</v>
      </c>
      <c r="K847" s="22" t="s">
        <v>2872</v>
      </c>
      <c r="L847" s="56">
        <v>45061</v>
      </c>
      <c r="O847" s="42"/>
      <c r="P847" s="40"/>
      <c r="Q847" s="61"/>
      <c r="R847" s="61"/>
      <c r="S847" s="40"/>
      <c r="T847" s="38"/>
      <c r="U847" s="38"/>
      <c r="V847" s="38"/>
      <c r="W847" s="60"/>
      <c r="AB847" s="42"/>
      <c r="AC847" s="35"/>
      <c r="AD847" s="38"/>
      <c r="AE847" s="38"/>
      <c r="AF847" s="38"/>
      <c r="AG847" s="38"/>
      <c r="AH847" s="60"/>
    </row>
    <row r="848" spans="1:34" ht="15.75" customHeight="1">
      <c r="A848" s="17"/>
      <c r="B848" s="18" t="s">
        <v>3022</v>
      </c>
      <c r="C848" s="19" t="s">
        <v>24</v>
      </c>
      <c r="D848" s="25" t="s">
        <v>3023</v>
      </c>
      <c r="E848" s="20" t="s">
        <v>3024</v>
      </c>
      <c r="F848" s="19" t="s">
        <v>27</v>
      </c>
      <c r="G848" s="19" t="s">
        <v>28</v>
      </c>
      <c r="H848" s="19"/>
      <c r="I848" s="21" t="s">
        <v>29</v>
      </c>
      <c r="J848" s="21" t="s">
        <v>29</v>
      </c>
      <c r="K848" s="22" t="s">
        <v>3025</v>
      </c>
      <c r="L848" s="56">
        <v>45061</v>
      </c>
      <c r="O848" s="42"/>
      <c r="P848" s="40"/>
      <c r="Q848" s="61"/>
      <c r="R848" s="61"/>
      <c r="S848" s="40"/>
      <c r="T848" s="38"/>
      <c r="U848" s="38"/>
      <c r="V848" s="38"/>
      <c r="W848" s="60"/>
      <c r="AB848" s="42"/>
      <c r="AC848" s="35"/>
      <c r="AD848" s="38"/>
      <c r="AE848" s="38"/>
      <c r="AF848" s="38"/>
      <c r="AG848" s="38"/>
      <c r="AH848" s="60"/>
    </row>
    <row r="849" spans="1:34" ht="15.75" customHeight="1">
      <c r="A849" s="17"/>
      <c r="B849" s="18" t="s">
        <v>3026</v>
      </c>
      <c r="C849" s="19" t="s">
        <v>24</v>
      </c>
      <c r="D849" s="25" t="s">
        <v>3027</v>
      </c>
      <c r="E849" s="20" t="s">
        <v>2937</v>
      </c>
      <c r="F849" s="19" t="s">
        <v>27</v>
      </c>
      <c r="G849" s="19" t="s">
        <v>28</v>
      </c>
      <c r="H849" s="19"/>
      <c r="I849" s="21" t="s">
        <v>29</v>
      </c>
      <c r="J849" s="21" t="s">
        <v>29</v>
      </c>
      <c r="K849" s="22" t="s">
        <v>2938</v>
      </c>
      <c r="L849" s="56">
        <v>45061</v>
      </c>
      <c r="O849" s="42"/>
      <c r="P849" s="40"/>
      <c r="Q849" s="61"/>
      <c r="R849" s="61"/>
      <c r="S849" s="40"/>
      <c r="T849" s="38"/>
      <c r="U849" s="38"/>
      <c r="V849" s="38"/>
      <c r="W849" s="60"/>
      <c r="AB849" s="42"/>
      <c r="AC849" s="35"/>
      <c r="AD849" s="38"/>
      <c r="AE849" s="38"/>
      <c r="AF849" s="38"/>
      <c r="AG849" s="38"/>
      <c r="AH849" s="60"/>
    </row>
    <row r="850" spans="1:34" ht="15.75" customHeight="1">
      <c r="A850" s="17"/>
      <c r="B850" s="18" t="s">
        <v>3028</v>
      </c>
      <c r="C850" s="19" t="s">
        <v>46</v>
      </c>
      <c r="D850" s="20" t="s">
        <v>3029</v>
      </c>
      <c r="E850" s="20" t="s">
        <v>3030</v>
      </c>
      <c r="F850" s="19" t="s">
        <v>286</v>
      </c>
      <c r="G850" s="19" t="s">
        <v>50</v>
      </c>
      <c r="H850" s="19"/>
      <c r="I850" s="21" t="s">
        <v>286</v>
      </c>
      <c r="J850" s="21" t="s">
        <v>29</v>
      </c>
      <c r="K850" s="22" t="s">
        <v>3030</v>
      </c>
      <c r="L850" s="56"/>
      <c r="O850" s="42"/>
      <c r="P850" s="40"/>
      <c r="Q850" s="61"/>
      <c r="R850" s="61"/>
      <c r="S850" s="40"/>
      <c r="T850" s="38"/>
      <c r="U850" s="38"/>
      <c r="V850" s="38"/>
      <c r="W850" s="60"/>
      <c r="AB850" s="42"/>
      <c r="AC850" s="35"/>
      <c r="AD850" s="38"/>
      <c r="AE850" s="38"/>
      <c r="AF850" s="38"/>
      <c r="AG850" s="38"/>
      <c r="AH850" s="60"/>
    </row>
    <row r="851" spans="1:34" ht="15.75" customHeight="1">
      <c r="A851" s="17"/>
      <c r="B851" s="18" t="s">
        <v>3031</v>
      </c>
      <c r="C851" s="19" t="s">
        <v>87</v>
      </c>
      <c r="D851" s="25" t="s">
        <v>3032</v>
      </c>
      <c r="E851" s="20" t="s">
        <v>3033</v>
      </c>
      <c r="F851" s="19" t="s">
        <v>90</v>
      </c>
      <c r="G851" s="19" t="s">
        <v>91</v>
      </c>
      <c r="H851" s="19"/>
      <c r="I851" s="21" t="s">
        <v>29</v>
      </c>
      <c r="J851" s="21" t="s">
        <v>29</v>
      </c>
      <c r="K851" s="22" t="s">
        <v>3034</v>
      </c>
      <c r="L851" s="56">
        <v>45061</v>
      </c>
      <c r="O851" s="42"/>
      <c r="P851" s="40"/>
      <c r="Q851" s="61"/>
      <c r="R851" s="61"/>
      <c r="S851" s="40"/>
      <c r="T851" s="38"/>
      <c r="U851" s="38"/>
      <c r="V851" s="38"/>
      <c r="W851" s="60"/>
      <c r="AB851" s="42"/>
      <c r="AC851" s="35"/>
      <c r="AD851" s="38"/>
      <c r="AE851" s="38"/>
      <c r="AF851" s="38"/>
      <c r="AG851" s="38"/>
      <c r="AH851" s="60"/>
    </row>
    <row r="852" spans="1:34" ht="15.75" customHeight="1">
      <c r="A852" s="17"/>
      <c r="B852" s="18" t="s">
        <v>3035</v>
      </c>
      <c r="C852" s="19" t="s">
        <v>24</v>
      </c>
      <c r="D852" s="25" t="s">
        <v>3036</v>
      </c>
      <c r="E852" s="20" t="s">
        <v>2929</v>
      </c>
      <c r="F852" s="19" t="s">
        <v>27</v>
      </c>
      <c r="G852" s="19" t="s">
        <v>28</v>
      </c>
      <c r="H852" s="19"/>
      <c r="I852" s="21" t="s">
        <v>29</v>
      </c>
      <c r="J852" s="21" t="s">
        <v>29</v>
      </c>
      <c r="K852" s="22" t="s">
        <v>2930</v>
      </c>
      <c r="L852" s="56">
        <v>45061</v>
      </c>
      <c r="O852" s="42"/>
      <c r="P852" s="40"/>
      <c r="Q852" s="61"/>
      <c r="R852" s="61"/>
      <c r="S852" s="40"/>
      <c r="T852" s="38"/>
      <c r="U852" s="38"/>
      <c r="V852" s="38"/>
      <c r="W852" s="60"/>
      <c r="AB852" s="42"/>
      <c r="AC852" s="35"/>
      <c r="AD852" s="38"/>
      <c r="AE852" s="38"/>
      <c r="AF852" s="38"/>
      <c r="AG852" s="38"/>
      <c r="AH852" s="60"/>
    </row>
    <row r="853" spans="1:34" ht="15.75" customHeight="1">
      <c r="A853" s="17"/>
      <c r="B853" s="18" t="s">
        <v>3037</v>
      </c>
      <c r="C853" s="19" t="s">
        <v>24</v>
      </c>
      <c r="D853" s="25" t="s">
        <v>3038</v>
      </c>
      <c r="E853" s="20" t="s">
        <v>2937</v>
      </c>
      <c r="F853" s="19" t="s">
        <v>27</v>
      </c>
      <c r="G853" s="19" t="s">
        <v>28</v>
      </c>
      <c r="H853" s="19"/>
      <c r="I853" s="21" t="s">
        <v>29</v>
      </c>
      <c r="J853" s="21" t="s">
        <v>29</v>
      </c>
      <c r="K853" s="22" t="s">
        <v>2938</v>
      </c>
      <c r="L853" s="56">
        <v>45061</v>
      </c>
      <c r="O853" s="42"/>
      <c r="P853" s="40"/>
      <c r="Q853" s="61"/>
      <c r="R853" s="61"/>
      <c r="S853" s="40"/>
      <c r="T853" s="38"/>
      <c r="U853" s="38"/>
      <c r="V853" s="38"/>
      <c r="W853" s="60"/>
      <c r="AB853" s="42"/>
      <c r="AC853" s="35"/>
      <c r="AD853" s="38"/>
      <c r="AE853" s="38"/>
      <c r="AF853" s="38"/>
      <c r="AG853" s="38"/>
      <c r="AH853" s="60"/>
    </row>
    <row r="854" spans="1:34" ht="15.75" customHeight="1">
      <c r="A854" s="17"/>
      <c r="B854" s="18" t="s">
        <v>3039</v>
      </c>
      <c r="C854" s="19" t="s">
        <v>24</v>
      </c>
      <c r="D854" s="25" t="s">
        <v>3040</v>
      </c>
      <c r="E854" s="20" t="s">
        <v>3041</v>
      </c>
      <c r="F854" s="19" t="s">
        <v>27</v>
      </c>
      <c r="G854" s="19" t="s">
        <v>28</v>
      </c>
      <c r="H854" s="19"/>
      <c r="I854" s="21" t="s">
        <v>29</v>
      </c>
      <c r="J854" s="21" t="s">
        <v>29</v>
      </c>
      <c r="K854" s="22" t="s">
        <v>3041</v>
      </c>
      <c r="L854" s="56">
        <v>45061</v>
      </c>
      <c r="O854" s="42"/>
      <c r="P854" s="40"/>
      <c r="Q854" s="61"/>
      <c r="R854" s="61"/>
      <c r="S854" s="40"/>
      <c r="T854" s="38"/>
      <c r="U854" s="38"/>
      <c r="V854" s="38"/>
      <c r="W854" s="60"/>
      <c r="AB854" s="42"/>
      <c r="AC854" s="35"/>
      <c r="AD854" s="38"/>
      <c r="AE854" s="38"/>
      <c r="AF854" s="38"/>
      <c r="AG854" s="38"/>
      <c r="AH854" s="60"/>
    </row>
    <row r="855" spans="1:34" ht="15.75" customHeight="1">
      <c r="A855" s="17"/>
      <c r="B855" s="18" t="s">
        <v>3042</v>
      </c>
      <c r="C855" s="19" t="s">
        <v>24</v>
      </c>
      <c r="D855" s="25" t="s">
        <v>3043</v>
      </c>
      <c r="E855" s="20" t="s">
        <v>2945</v>
      </c>
      <c r="F855" s="19" t="s">
        <v>27</v>
      </c>
      <c r="G855" s="19" t="s">
        <v>28</v>
      </c>
      <c r="H855" s="19"/>
      <c r="I855" s="21" t="s">
        <v>29</v>
      </c>
      <c r="J855" s="21" t="s">
        <v>29</v>
      </c>
      <c r="K855" s="22" t="s">
        <v>2945</v>
      </c>
      <c r="L855" s="56">
        <v>45061</v>
      </c>
      <c r="O855" s="42"/>
      <c r="P855" s="40"/>
      <c r="Q855" s="61"/>
      <c r="R855" s="61"/>
      <c r="S855" s="40"/>
      <c r="T855" s="38"/>
      <c r="U855" s="38"/>
      <c r="V855" s="38"/>
      <c r="W855" s="60"/>
      <c r="AB855" s="42"/>
      <c r="AC855" s="35"/>
      <c r="AD855" s="38"/>
      <c r="AE855" s="38"/>
      <c r="AF855" s="38"/>
      <c r="AG855" s="38"/>
      <c r="AH855" s="60"/>
    </row>
    <row r="856" spans="1:34" ht="15.75" customHeight="1">
      <c r="A856" s="17"/>
      <c r="B856" s="38" t="s">
        <v>3044</v>
      </c>
      <c r="C856" s="19" t="s">
        <v>46</v>
      </c>
      <c r="D856" s="25" t="s">
        <v>3045</v>
      </c>
      <c r="E856" s="20" t="s">
        <v>55</v>
      </c>
      <c r="F856" s="19"/>
      <c r="G856" s="19"/>
      <c r="H856" s="19"/>
      <c r="I856" s="21"/>
      <c r="J856" s="21"/>
      <c r="K856" s="22"/>
      <c r="L856" s="56"/>
      <c r="O856" s="42"/>
      <c r="P856" s="40"/>
      <c r="Q856" s="61"/>
      <c r="R856" s="61"/>
      <c r="S856" s="40"/>
      <c r="T856" s="38"/>
      <c r="U856" s="38"/>
      <c r="V856" s="38"/>
      <c r="W856" s="60"/>
      <c r="AB856" s="42"/>
      <c r="AC856" s="35"/>
      <c r="AD856" s="38"/>
      <c r="AE856" s="38"/>
      <c r="AF856" s="38"/>
      <c r="AG856" s="38"/>
      <c r="AH856" s="60"/>
    </row>
    <row r="857" spans="1:34" ht="15.75" customHeight="1">
      <c r="A857" s="17"/>
      <c r="B857" s="18" t="s">
        <v>3046</v>
      </c>
      <c r="C857" s="19" t="s">
        <v>24</v>
      </c>
      <c r="D857" s="25" t="s">
        <v>3047</v>
      </c>
      <c r="E857" s="20" t="s">
        <v>2992</v>
      </c>
      <c r="F857" s="19" t="s">
        <v>27</v>
      </c>
      <c r="G857" s="19" t="s">
        <v>28</v>
      </c>
      <c r="H857" s="19"/>
      <c r="I857" s="21" t="s">
        <v>29</v>
      </c>
      <c r="J857" s="21" t="s">
        <v>29</v>
      </c>
      <c r="K857" s="22" t="s">
        <v>2993</v>
      </c>
      <c r="L857" s="56">
        <v>45061</v>
      </c>
      <c r="O857" s="42"/>
      <c r="P857" s="40"/>
      <c r="Q857" s="61"/>
      <c r="R857" s="61"/>
      <c r="S857" s="40"/>
      <c r="T857" s="38"/>
      <c r="U857" s="38"/>
      <c r="V857" s="38"/>
      <c r="W857" s="60"/>
      <c r="AB857" s="42"/>
      <c r="AC857" s="35"/>
      <c r="AD857" s="38"/>
      <c r="AE857" s="38"/>
      <c r="AF857" s="38"/>
      <c r="AG857" s="38"/>
      <c r="AH857" s="60"/>
    </row>
    <row r="858" spans="1:34" ht="15.75" customHeight="1">
      <c r="A858" s="17"/>
      <c r="B858" s="41" t="s">
        <v>3048</v>
      </c>
      <c r="C858" s="19" t="s">
        <v>46</v>
      </c>
      <c r="D858" s="25" t="s">
        <v>3049</v>
      </c>
      <c r="E858" s="20" t="s">
        <v>55</v>
      </c>
      <c r="F858" s="19"/>
      <c r="G858" s="19"/>
      <c r="H858" s="19"/>
      <c r="I858" s="21"/>
      <c r="J858" s="21"/>
      <c r="K858" s="22"/>
      <c r="L858" s="56"/>
      <c r="O858" s="42"/>
      <c r="P858" s="40"/>
      <c r="Q858" s="61"/>
      <c r="R858" s="61"/>
      <c r="S858" s="40"/>
      <c r="T858" s="38"/>
      <c r="U858" s="38"/>
      <c r="V858" s="38"/>
      <c r="W858" s="60"/>
      <c r="AB858" s="42"/>
      <c r="AC858" s="35"/>
      <c r="AD858" s="38"/>
      <c r="AE858" s="38"/>
      <c r="AF858" s="38"/>
      <c r="AG858" s="38"/>
      <c r="AH858" s="60"/>
    </row>
    <row r="859" spans="1:34" ht="15.75" customHeight="1">
      <c r="A859" s="17"/>
      <c r="B859" s="34" t="s">
        <v>3050</v>
      </c>
      <c r="C859" s="19" t="s">
        <v>24</v>
      </c>
      <c r="D859" s="25" t="s">
        <v>3051</v>
      </c>
      <c r="E859" s="20" t="s">
        <v>3052</v>
      </c>
      <c r="F859" s="19" t="s">
        <v>90</v>
      </c>
      <c r="G859" s="19" t="s">
        <v>91</v>
      </c>
      <c r="H859" s="19"/>
      <c r="I859" s="21" t="s">
        <v>29</v>
      </c>
      <c r="J859" s="21" t="s">
        <v>29</v>
      </c>
      <c r="K859" s="22" t="s">
        <v>3053</v>
      </c>
      <c r="L859" s="56">
        <v>45061</v>
      </c>
      <c r="O859" s="42"/>
      <c r="P859" s="40"/>
      <c r="Q859" s="61"/>
      <c r="R859" s="61"/>
      <c r="S859" s="40"/>
      <c r="T859" s="38"/>
      <c r="U859" s="38"/>
      <c r="V859" s="38"/>
      <c r="W859" s="60"/>
      <c r="AB859" s="42"/>
      <c r="AC859" s="35"/>
      <c r="AD859" s="38"/>
      <c r="AE859" s="38"/>
      <c r="AF859" s="38"/>
      <c r="AG859" s="38"/>
      <c r="AH859" s="60"/>
    </row>
    <row r="860" spans="1:34" ht="15.75" customHeight="1">
      <c r="A860" s="17"/>
      <c r="B860" s="36" t="s">
        <v>3054</v>
      </c>
      <c r="C860" s="19" t="s">
        <v>121</v>
      </c>
      <c r="D860" s="25" t="s">
        <v>3055</v>
      </c>
      <c r="E860" s="20" t="s">
        <v>3056</v>
      </c>
      <c r="F860" s="37" t="s">
        <v>49</v>
      </c>
      <c r="G860" s="19" t="s">
        <v>452</v>
      </c>
      <c r="H860" s="19"/>
      <c r="I860" s="21" t="s">
        <v>29</v>
      </c>
      <c r="J860" s="21" t="s">
        <v>452</v>
      </c>
      <c r="K860" s="22" t="s">
        <v>3057</v>
      </c>
      <c r="L860" s="56">
        <v>45061</v>
      </c>
      <c r="O860" s="42"/>
      <c r="P860" s="40"/>
      <c r="Q860" s="61"/>
      <c r="R860" s="61"/>
      <c r="S860" s="40"/>
      <c r="T860" s="38"/>
      <c r="U860" s="38"/>
      <c r="V860" s="38"/>
      <c r="W860" s="60"/>
      <c r="AB860" s="42"/>
      <c r="AC860" s="35"/>
      <c r="AD860" s="38"/>
      <c r="AE860" s="38"/>
      <c r="AF860" s="38"/>
      <c r="AG860" s="38"/>
      <c r="AH860" s="60"/>
    </row>
    <row r="861" spans="1:34" ht="15.75" customHeight="1">
      <c r="A861" s="17"/>
      <c r="B861" s="38"/>
      <c r="C861" s="37"/>
      <c r="D861" s="20"/>
      <c r="E861" s="20" t="s">
        <v>145</v>
      </c>
      <c r="F861" s="37"/>
      <c r="G861" s="37"/>
      <c r="H861" s="37"/>
      <c r="I861" s="21"/>
      <c r="J861" s="21"/>
      <c r="K861" s="22" t="s">
        <v>145</v>
      </c>
      <c r="L861" s="39"/>
      <c r="O861" s="42"/>
      <c r="P861" s="40"/>
      <c r="Q861" s="61"/>
      <c r="R861" s="61"/>
      <c r="S861" s="40"/>
      <c r="T861" s="38"/>
      <c r="U861" s="38"/>
      <c r="V861" s="38"/>
      <c r="W861" s="60"/>
      <c r="AB861" s="42"/>
      <c r="AC861" s="35"/>
      <c r="AD861" s="38"/>
      <c r="AE861" s="38"/>
      <c r="AF861" s="38"/>
      <c r="AG861" s="38"/>
      <c r="AH861" s="60"/>
    </row>
    <row r="862" spans="1:34" ht="15.75" customHeight="1">
      <c r="A862" s="35" t="s">
        <v>3058</v>
      </c>
      <c r="B862" s="36" t="s">
        <v>3059</v>
      </c>
      <c r="C862" s="19" t="s">
        <v>121</v>
      </c>
      <c r="D862" s="20" t="s">
        <v>3060</v>
      </c>
      <c r="E862" s="63" t="s">
        <v>3061</v>
      </c>
      <c r="F862" s="37" t="s">
        <v>49</v>
      </c>
      <c r="G862" s="19" t="s">
        <v>452</v>
      </c>
      <c r="H862" s="19"/>
      <c r="I862" s="21" t="s">
        <v>29</v>
      </c>
      <c r="J862" s="21" t="s">
        <v>452</v>
      </c>
      <c r="K862" s="64" t="s">
        <v>3062</v>
      </c>
      <c r="L862" s="56">
        <v>45062</v>
      </c>
      <c r="N862" s="40"/>
      <c r="O862" s="42"/>
      <c r="P862" s="40"/>
      <c r="Q862" s="61"/>
      <c r="R862" s="61"/>
      <c r="S862" s="40"/>
      <c r="T862" s="38"/>
      <c r="U862" s="38"/>
      <c r="V862" s="38"/>
      <c r="W862" s="60"/>
      <c r="AB862" s="42"/>
      <c r="AC862" s="35"/>
      <c r="AD862" s="38"/>
      <c r="AE862" s="38"/>
      <c r="AF862" s="38"/>
      <c r="AG862" s="38"/>
      <c r="AH862" s="60"/>
    </row>
    <row r="863" spans="1:34" ht="15.75" customHeight="1">
      <c r="A863" s="54" t="s">
        <v>3063</v>
      </c>
      <c r="B863" s="18" t="s">
        <v>3064</v>
      </c>
      <c r="C863" s="19" t="s">
        <v>87</v>
      </c>
      <c r="D863" s="20" t="s">
        <v>3065</v>
      </c>
      <c r="E863" s="63" t="s">
        <v>3066</v>
      </c>
      <c r="F863" s="19" t="s">
        <v>90</v>
      </c>
      <c r="G863" s="19" t="s">
        <v>91</v>
      </c>
      <c r="H863" s="19"/>
      <c r="I863" s="21" t="s">
        <v>29</v>
      </c>
      <c r="J863" s="21" t="s">
        <v>29</v>
      </c>
      <c r="K863" s="64" t="s">
        <v>3067</v>
      </c>
      <c r="L863" s="56">
        <v>45062</v>
      </c>
      <c r="O863" s="42"/>
      <c r="P863" s="40"/>
      <c r="Q863" s="61"/>
      <c r="R863" s="61"/>
      <c r="S863" s="40"/>
      <c r="T863" s="38"/>
      <c r="U863" s="38"/>
      <c r="V863" s="38"/>
      <c r="W863" s="60"/>
      <c r="AB863" s="42"/>
      <c r="AC863" s="35"/>
      <c r="AD863" s="38"/>
      <c r="AE863" s="38"/>
      <c r="AF863" s="38"/>
      <c r="AG863" s="38"/>
      <c r="AH863" s="60"/>
    </row>
    <row r="864" spans="1:34" ht="15.75" customHeight="1">
      <c r="A864" s="50" t="s">
        <v>39</v>
      </c>
      <c r="B864" s="18" t="s">
        <v>3068</v>
      </c>
      <c r="C864" s="19" t="s">
        <v>87</v>
      </c>
      <c r="D864" s="20" t="s">
        <v>3069</v>
      </c>
      <c r="E864" s="63" t="s">
        <v>3070</v>
      </c>
      <c r="F864" s="19" t="s">
        <v>90</v>
      </c>
      <c r="G864" s="19" t="s">
        <v>91</v>
      </c>
      <c r="H864" s="19"/>
      <c r="I864" s="21" t="s">
        <v>29</v>
      </c>
      <c r="J864" s="21" t="s">
        <v>29</v>
      </c>
      <c r="K864" s="64" t="s">
        <v>3071</v>
      </c>
      <c r="L864" s="56">
        <v>45062</v>
      </c>
      <c r="O864" s="42"/>
      <c r="P864" s="40"/>
      <c r="Q864" s="61"/>
      <c r="R864" s="61"/>
      <c r="S864" s="40"/>
      <c r="T864" s="38"/>
      <c r="U864" s="38"/>
      <c r="V864" s="38"/>
      <c r="W864" s="60"/>
      <c r="AB864" s="42"/>
      <c r="AC864" s="35"/>
      <c r="AD864" s="38"/>
      <c r="AE864" s="38"/>
      <c r="AF864" s="38"/>
      <c r="AG864" s="38"/>
      <c r="AH864" s="60"/>
    </row>
    <row r="865" spans="1:34" ht="15.75" customHeight="1">
      <c r="A865" s="35" t="s">
        <v>3072</v>
      </c>
      <c r="B865" s="18" t="s">
        <v>3073</v>
      </c>
      <c r="C865" s="19" t="s">
        <v>24</v>
      </c>
      <c r="D865" s="20" t="s">
        <v>3074</v>
      </c>
      <c r="E865" s="63" t="s">
        <v>3075</v>
      </c>
      <c r="F865" s="19" t="s">
        <v>27</v>
      </c>
      <c r="G865" s="19" t="s">
        <v>28</v>
      </c>
      <c r="H865" s="19" t="s">
        <v>36</v>
      </c>
      <c r="I865" s="21" t="s">
        <v>29</v>
      </c>
      <c r="J865" s="21" t="s">
        <v>29</v>
      </c>
      <c r="K865" s="65" t="s">
        <v>3075</v>
      </c>
      <c r="L865" s="56">
        <v>45062</v>
      </c>
      <c r="O865" s="42"/>
      <c r="P865" s="40"/>
      <c r="Q865" s="61"/>
      <c r="R865" s="61"/>
      <c r="S865" s="40"/>
      <c r="T865" s="38"/>
      <c r="U865" s="38"/>
      <c r="V865" s="38"/>
      <c r="W865" s="60"/>
      <c r="AB865" s="42"/>
      <c r="AC865" s="35"/>
      <c r="AD865" s="38"/>
      <c r="AE865" s="38"/>
      <c r="AF865" s="38"/>
      <c r="AG865" s="38"/>
      <c r="AH865" s="60"/>
    </row>
    <row r="866" spans="1:34" ht="15.75" customHeight="1">
      <c r="A866" s="35" t="s">
        <v>3076</v>
      </c>
      <c r="B866" s="18" t="s">
        <v>3077</v>
      </c>
      <c r="C866" s="19" t="s">
        <v>24</v>
      </c>
      <c r="D866" s="20" t="s">
        <v>3078</v>
      </c>
      <c r="E866" s="63" t="s">
        <v>3079</v>
      </c>
      <c r="F866" s="19" t="s">
        <v>27</v>
      </c>
      <c r="G866" s="19" t="s">
        <v>28</v>
      </c>
      <c r="H866" s="19" t="s">
        <v>36</v>
      </c>
      <c r="I866" s="21" t="s">
        <v>29</v>
      </c>
      <c r="J866" s="21" t="s">
        <v>29</v>
      </c>
      <c r="K866" s="64" t="s">
        <v>3080</v>
      </c>
      <c r="L866" s="56">
        <v>45062</v>
      </c>
      <c r="O866" s="42"/>
      <c r="P866" s="40"/>
      <c r="Q866" s="61"/>
      <c r="R866" s="61"/>
      <c r="S866" s="40"/>
      <c r="T866" s="38"/>
      <c r="U866" s="38"/>
      <c r="V866" s="38"/>
      <c r="W866" s="60"/>
      <c r="AB866" s="42"/>
      <c r="AC866" s="35"/>
      <c r="AD866" s="38"/>
      <c r="AE866" s="38"/>
      <c r="AF866" s="38"/>
      <c r="AG866" s="38"/>
      <c r="AH866" s="60"/>
    </row>
    <row r="867" spans="1:34" ht="15.75" customHeight="1">
      <c r="A867" s="44" t="s">
        <v>56</v>
      </c>
      <c r="B867" s="66" t="s">
        <v>3081</v>
      </c>
      <c r="C867" s="37" t="s">
        <v>24</v>
      </c>
      <c r="D867" s="20" t="s">
        <v>3082</v>
      </c>
      <c r="E867" s="63" t="s">
        <v>3083</v>
      </c>
      <c r="F867" s="19" t="s">
        <v>27</v>
      </c>
      <c r="G867" s="19" t="s">
        <v>28</v>
      </c>
      <c r="H867" s="19" t="s">
        <v>36</v>
      </c>
      <c r="I867" s="21" t="s">
        <v>29</v>
      </c>
      <c r="J867" s="21" t="s">
        <v>29</v>
      </c>
      <c r="K867" s="64" t="s">
        <v>3084</v>
      </c>
      <c r="L867" s="56">
        <v>45062</v>
      </c>
      <c r="O867" s="42"/>
      <c r="P867" s="40"/>
      <c r="Q867" s="61"/>
      <c r="R867" s="61"/>
      <c r="S867" s="40"/>
      <c r="T867" s="38"/>
      <c r="U867" s="38"/>
      <c r="V867" s="38"/>
      <c r="W867" s="60"/>
      <c r="AB867" s="42"/>
      <c r="AC867" s="35"/>
      <c r="AD867" s="38"/>
      <c r="AE867" s="38"/>
      <c r="AF867" s="38"/>
      <c r="AG867" s="38"/>
      <c r="AH867" s="60"/>
    </row>
    <row r="868" spans="1:34" ht="15.75" customHeight="1">
      <c r="A868" s="53">
        <v>77</v>
      </c>
      <c r="B868" s="18" t="s">
        <v>3085</v>
      </c>
      <c r="C868" s="19" t="s">
        <v>24</v>
      </c>
      <c r="D868" s="20" t="s">
        <v>3086</v>
      </c>
      <c r="E868" s="63" t="s">
        <v>3087</v>
      </c>
      <c r="F868" s="19" t="s">
        <v>27</v>
      </c>
      <c r="G868" s="19" t="s">
        <v>28</v>
      </c>
      <c r="H868" s="19"/>
      <c r="I868" s="21" t="s">
        <v>29</v>
      </c>
      <c r="J868" s="21" t="s">
        <v>29</v>
      </c>
      <c r="K868" s="65" t="s">
        <v>3087</v>
      </c>
      <c r="L868" s="56">
        <v>45062</v>
      </c>
      <c r="O868" s="42"/>
      <c r="P868" s="40"/>
      <c r="Q868" s="61"/>
      <c r="R868" s="61"/>
      <c r="S868" s="40"/>
      <c r="T868" s="38"/>
      <c r="U868" s="38"/>
      <c r="V868" s="38"/>
      <c r="W868" s="60"/>
      <c r="AB868" s="42"/>
      <c r="AC868" s="35"/>
      <c r="AD868" s="38"/>
      <c r="AE868" s="38"/>
      <c r="AF868" s="38"/>
      <c r="AG868" s="38"/>
      <c r="AH868" s="60"/>
    </row>
    <row r="869" spans="1:34" ht="15.75" customHeight="1">
      <c r="A869" s="44" t="s">
        <v>64</v>
      </c>
      <c r="B869" s="18" t="s">
        <v>3088</v>
      </c>
      <c r="C869" s="19" t="s">
        <v>24</v>
      </c>
      <c r="D869" s="20" t="s">
        <v>3089</v>
      </c>
      <c r="E869" s="63" t="s">
        <v>3090</v>
      </c>
      <c r="F869" s="19" t="s">
        <v>27</v>
      </c>
      <c r="G869" s="19" t="s">
        <v>28</v>
      </c>
      <c r="H869" s="19" t="s">
        <v>36</v>
      </c>
      <c r="I869" s="21" t="s">
        <v>29</v>
      </c>
      <c r="J869" s="21" t="s">
        <v>29</v>
      </c>
      <c r="K869" s="64" t="s">
        <v>3091</v>
      </c>
      <c r="L869" s="56">
        <v>45062</v>
      </c>
      <c r="O869" s="42"/>
      <c r="P869" s="40"/>
      <c r="Q869" s="61"/>
      <c r="R869" s="61"/>
      <c r="S869" s="40"/>
      <c r="T869" s="38"/>
      <c r="U869" s="38"/>
      <c r="V869" s="38"/>
      <c r="W869" s="60"/>
      <c r="AB869" s="42"/>
      <c r="AC869" s="35"/>
      <c r="AD869" s="38"/>
      <c r="AE869" s="38"/>
      <c r="AF869" s="38"/>
      <c r="AG869" s="38"/>
      <c r="AH869" s="60"/>
    </row>
    <row r="870" spans="1:34" ht="15.75" customHeight="1">
      <c r="A870" s="53">
        <v>4</v>
      </c>
      <c r="B870" s="18" t="s">
        <v>3092</v>
      </c>
      <c r="C870" s="19" t="s">
        <v>24</v>
      </c>
      <c r="D870" s="20" t="s">
        <v>3093</v>
      </c>
      <c r="E870" s="63" t="s">
        <v>3094</v>
      </c>
      <c r="F870" s="19" t="s">
        <v>27</v>
      </c>
      <c r="G870" s="19" t="s">
        <v>28</v>
      </c>
      <c r="H870" s="19"/>
      <c r="I870" s="21" t="s">
        <v>29</v>
      </c>
      <c r="J870" s="21" t="s">
        <v>29</v>
      </c>
      <c r="K870" s="64" t="s">
        <v>3095</v>
      </c>
      <c r="L870" s="56">
        <v>45062</v>
      </c>
      <c r="N870" s="38"/>
      <c r="O870" s="38"/>
      <c r="P870" s="40"/>
      <c r="Q870" s="61"/>
      <c r="R870" s="61"/>
      <c r="S870" s="40"/>
      <c r="T870" s="38"/>
      <c r="U870" s="38"/>
      <c r="V870" s="38"/>
      <c r="W870" s="60"/>
      <c r="AB870" s="42"/>
      <c r="AC870" s="35"/>
      <c r="AD870" s="38"/>
      <c r="AE870" s="38"/>
      <c r="AF870" s="38"/>
      <c r="AG870" s="38"/>
      <c r="AH870" s="60"/>
    </row>
    <row r="871" spans="1:34" ht="15.75" customHeight="1">
      <c r="A871" s="44" t="s">
        <v>73</v>
      </c>
      <c r="B871" s="18" t="s">
        <v>3096</v>
      </c>
      <c r="C871" s="19" t="s">
        <v>87</v>
      </c>
      <c r="D871" s="20" t="s">
        <v>3097</v>
      </c>
      <c r="E871" s="63" t="s">
        <v>3098</v>
      </c>
      <c r="F871" s="19" t="s">
        <v>90</v>
      </c>
      <c r="G871" s="19" t="s">
        <v>91</v>
      </c>
      <c r="H871" s="19"/>
      <c r="I871" s="21" t="s">
        <v>29</v>
      </c>
      <c r="J871" s="21" t="s">
        <v>29</v>
      </c>
      <c r="K871" s="64" t="s">
        <v>3099</v>
      </c>
      <c r="L871" s="56">
        <v>45062</v>
      </c>
      <c r="N871" s="38"/>
      <c r="O871" s="38"/>
      <c r="P871" s="40"/>
      <c r="Q871" s="61"/>
      <c r="R871" s="61"/>
      <c r="S871" s="40"/>
      <c r="T871" s="38"/>
      <c r="U871" s="38"/>
      <c r="V871" s="38"/>
      <c r="W871" s="60"/>
      <c r="AB871" s="42"/>
      <c r="AC871" s="35"/>
      <c r="AD871" s="38"/>
      <c r="AE871" s="38"/>
      <c r="AF871" s="38"/>
      <c r="AG871" s="38"/>
      <c r="AH871" s="60"/>
    </row>
    <row r="872" spans="1:34" ht="15.75" customHeight="1">
      <c r="A872" s="53">
        <v>4</v>
      </c>
      <c r="B872" s="18" t="s">
        <v>3100</v>
      </c>
      <c r="C872" s="19" t="s">
        <v>24</v>
      </c>
      <c r="D872" s="20" t="s">
        <v>3101</v>
      </c>
      <c r="E872" s="63" t="s">
        <v>3102</v>
      </c>
      <c r="F872" s="19" t="s">
        <v>27</v>
      </c>
      <c r="G872" s="19" t="s">
        <v>28</v>
      </c>
      <c r="H872" s="19" t="s">
        <v>36</v>
      </c>
      <c r="I872" s="21" t="s">
        <v>29</v>
      </c>
      <c r="J872" s="21" t="s">
        <v>29</v>
      </c>
      <c r="K872" s="64" t="s">
        <v>3103</v>
      </c>
      <c r="L872" s="56">
        <v>45062</v>
      </c>
      <c r="N872" s="38"/>
      <c r="O872" s="38"/>
      <c r="P872" s="40"/>
      <c r="Q872" s="61"/>
      <c r="R872" s="61"/>
      <c r="S872" s="40"/>
      <c r="T872" s="38"/>
      <c r="U872" s="38"/>
      <c r="V872" s="38"/>
      <c r="W872" s="60"/>
      <c r="AB872" s="42"/>
      <c r="AC872" s="35"/>
      <c r="AD872" s="38"/>
      <c r="AE872" s="38"/>
      <c r="AF872" s="38"/>
      <c r="AG872" s="38"/>
      <c r="AH872" s="60"/>
    </row>
    <row r="873" spans="1:34" ht="15.75" customHeight="1">
      <c r="A873" s="50" t="s">
        <v>82</v>
      </c>
      <c r="B873" s="18" t="s">
        <v>3104</v>
      </c>
      <c r="C873" s="19" t="s">
        <v>87</v>
      </c>
      <c r="D873" s="20" t="s">
        <v>3105</v>
      </c>
      <c r="E873" s="63" t="s">
        <v>3106</v>
      </c>
      <c r="F873" s="19" t="s">
        <v>90</v>
      </c>
      <c r="G873" s="19" t="s">
        <v>91</v>
      </c>
      <c r="H873" s="19"/>
      <c r="I873" s="21" t="s">
        <v>29</v>
      </c>
      <c r="J873" s="21" t="s">
        <v>29</v>
      </c>
      <c r="K873" s="64" t="s">
        <v>3107</v>
      </c>
      <c r="L873" s="56">
        <v>45062</v>
      </c>
      <c r="N873" s="38"/>
      <c r="O873" s="38"/>
      <c r="P873" s="40"/>
      <c r="Q873" s="61"/>
      <c r="R873" s="61"/>
      <c r="S873" s="40"/>
      <c r="T873" s="38"/>
      <c r="U873" s="38"/>
      <c r="V873" s="38"/>
      <c r="W873" s="60"/>
      <c r="AB873" s="42"/>
      <c r="AC873" s="35"/>
      <c r="AD873" s="38"/>
      <c r="AE873" s="38"/>
      <c r="AF873" s="38"/>
      <c r="AG873" s="38"/>
      <c r="AH873" s="60"/>
    </row>
    <row r="874" spans="1:34" ht="15.75" customHeight="1">
      <c r="A874" s="35" t="s">
        <v>3108</v>
      </c>
      <c r="B874" s="18" t="s">
        <v>3109</v>
      </c>
      <c r="C874" s="19" t="s">
        <v>24</v>
      </c>
      <c r="D874" s="20" t="s">
        <v>3110</v>
      </c>
      <c r="E874" s="63" t="s">
        <v>3111</v>
      </c>
      <c r="F874" s="19" t="s">
        <v>27</v>
      </c>
      <c r="G874" s="19" t="s">
        <v>28</v>
      </c>
      <c r="H874" s="19"/>
      <c r="I874" s="21" t="s">
        <v>29</v>
      </c>
      <c r="J874" s="21" t="s">
        <v>29</v>
      </c>
      <c r="K874" s="64" t="s">
        <v>3112</v>
      </c>
      <c r="L874" s="56">
        <v>45062</v>
      </c>
      <c r="N874" s="38"/>
      <c r="O874" s="38"/>
      <c r="P874" s="40"/>
      <c r="Q874" s="61"/>
      <c r="R874" s="61"/>
      <c r="S874" s="40"/>
      <c r="T874" s="38"/>
      <c r="U874" s="38"/>
      <c r="V874" s="38"/>
      <c r="W874" s="60"/>
      <c r="AB874" s="42"/>
      <c r="AC874" s="35"/>
      <c r="AD874" s="38"/>
      <c r="AE874" s="38"/>
      <c r="AF874" s="38"/>
      <c r="AG874" s="38"/>
      <c r="AH874" s="60"/>
    </row>
    <row r="875" spans="1:34" ht="15.75" customHeight="1">
      <c r="A875" s="31" t="s">
        <v>92</v>
      </c>
      <c r="B875" s="29" t="s">
        <v>3113</v>
      </c>
      <c r="C875" s="19" t="s">
        <v>87</v>
      </c>
      <c r="D875" s="20" t="s">
        <v>3114</v>
      </c>
      <c r="E875" s="63" t="s">
        <v>3115</v>
      </c>
      <c r="F875" s="19" t="s">
        <v>90</v>
      </c>
      <c r="G875" s="19" t="s">
        <v>91</v>
      </c>
      <c r="H875" s="19"/>
      <c r="I875" s="21" t="s">
        <v>29</v>
      </c>
      <c r="J875" s="21" t="s">
        <v>29</v>
      </c>
      <c r="K875" s="64" t="s">
        <v>3116</v>
      </c>
      <c r="L875" s="56">
        <v>45062</v>
      </c>
      <c r="N875" s="38"/>
      <c r="O875" s="38"/>
      <c r="P875" s="40"/>
      <c r="Q875" s="61"/>
      <c r="R875" s="61"/>
      <c r="S875" s="40"/>
      <c r="T875" s="38"/>
      <c r="U875" s="38"/>
      <c r="V875" s="38"/>
      <c r="W875" s="60"/>
      <c r="AB875" s="42"/>
      <c r="AC875" s="35"/>
      <c r="AD875" s="38"/>
      <c r="AE875" s="38"/>
      <c r="AF875" s="38"/>
      <c r="AG875" s="38"/>
      <c r="AH875" s="60"/>
    </row>
    <row r="876" spans="1:34" ht="15.75" customHeight="1">
      <c r="A876" s="33">
        <v>2188</v>
      </c>
      <c r="B876" s="18" t="s">
        <v>3117</v>
      </c>
      <c r="C876" s="19" t="s">
        <v>87</v>
      </c>
      <c r="D876" s="20" t="s">
        <v>3118</v>
      </c>
      <c r="E876" s="63" t="s">
        <v>3119</v>
      </c>
      <c r="F876" s="37" t="s">
        <v>49</v>
      </c>
      <c r="G876" s="19" t="s">
        <v>91</v>
      </c>
      <c r="H876" s="19"/>
      <c r="I876" s="21" t="s">
        <v>29</v>
      </c>
      <c r="J876" s="21" t="s">
        <v>29</v>
      </c>
      <c r="K876" s="64" t="s">
        <v>3120</v>
      </c>
      <c r="L876" s="56">
        <v>45062</v>
      </c>
      <c r="N876" s="38"/>
      <c r="O876" s="38"/>
      <c r="P876" s="40"/>
      <c r="Q876" s="61"/>
      <c r="R876" s="61"/>
      <c r="S876" s="40"/>
      <c r="T876" s="38"/>
      <c r="U876" s="38"/>
      <c r="V876" s="38"/>
      <c r="W876" s="60"/>
      <c r="AB876" s="42"/>
      <c r="AC876" s="35"/>
      <c r="AD876" s="38"/>
      <c r="AE876" s="38"/>
      <c r="AF876" s="38"/>
      <c r="AG876" s="38"/>
      <c r="AH876" s="60"/>
    </row>
    <row r="877" spans="1:34" ht="15.75" customHeight="1">
      <c r="A877" s="31" t="s">
        <v>100</v>
      </c>
      <c r="B877" s="18" t="s">
        <v>3121</v>
      </c>
      <c r="C877" s="19" t="s">
        <v>24</v>
      </c>
      <c r="D877" s="20" t="s">
        <v>3122</v>
      </c>
      <c r="E877" s="63" t="s">
        <v>3066</v>
      </c>
      <c r="F877" s="19" t="s">
        <v>27</v>
      </c>
      <c r="G877" s="19" t="s">
        <v>28</v>
      </c>
      <c r="H877" s="19"/>
      <c r="I877" s="21" t="s">
        <v>29</v>
      </c>
      <c r="J877" s="21" t="s">
        <v>29</v>
      </c>
      <c r="K877" s="64" t="s">
        <v>3067</v>
      </c>
      <c r="L877" s="56">
        <v>45062</v>
      </c>
      <c r="N877" s="38"/>
      <c r="O877" s="38"/>
      <c r="P877" s="40"/>
      <c r="Q877" s="61"/>
      <c r="R877" s="61"/>
      <c r="S877" s="40"/>
      <c r="T877" s="38"/>
      <c r="U877" s="38"/>
      <c r="V877" s="38"/>
      <c r="W877" s="60"/>
      <c r="AB877" s="42"/>
      <c r="AC877" s="35"/>
      <c r="AD877" s="38"/>
      <c r="AE877" s="38"/>
      <c r="AF877" s="38"/>
      <c r="AG877" s="38"/>
      <c r="AH877" s="60"/>
    </row>
    <row r="878" spans="1:34" ht="15.75" customHeight="1">
      <c r="A878" s="17">
        <v>167</v>
      </c>
      <c r="B878" s="18" t="s">
        <v>3123</v>
      </c>
      <c r="C878" s="19" t="s">
        <v>24</v>
      </c>
      <c r="D878" s="20" t="s">
        <v>3124</v>
      </c>
      <c r="E878" s="63" t="s">
        <v>3125</v>
      </c>
      <c r="F878" s="19" t="s">
        <v>27</v>
      </c>
      <c r="G878" s="19" t="s">
        <v>28</v>
      </c>
      <c r="H878" s="19"/>
      <c r="I878" s="21" t="s">
        <v>29</v>
      </c>
      <c r="J878" s="21" t="s">
        <v>29</v>
      </c>
      <c r="K878" s="64" t="s">
        <v>3126</v>
      </c>
      <c r="L878" s="56">
        <v>45062</v>
      </c>
      <c r="N878" s="38"/>
      <c r="O878" s="38"/>
      <c r="P878" s="40"/>
      <c r="Q878" s="61"/>
      <c r="R878" s="61"/>
      <c r="S878" s="40"/>
      <c r="T878" s="38"/>
      <c r="U878" s="38"/>
      <c r="V878" s="38"/>
      <c r="W878" s="60"/>
      <c r="AB878" s="42"/>
      <c r="AC878" s="35"/>
      <c r="AD878" s="38"/>
      <c r="AE878" s="38"/>
      <c r="AF878" s="38"/>
      <c r="AG878" s="38"/>
      <c r="AH878" s="60"/>
    </row>
    <row r="879" spans="1:34" ht="15.75" customHeight="1">
      <c r="A879" s="35"/>
      <c r="B879" s="18" t="s">
        <v>3127</v>
      </c>
      <c r="C879" s="19" t="s">
        <v>24</v>
      </c>
      <c r="D879" s="20" t="s">
        <v>3128</v>
      </c>
      <c r="E879" s="63" t="s">
        <v>3129</v>
      </c>
      <c r="F879" s="19" t="s">
        <v>27</v>
      </c>
      <c r="G879" s="19" t="s">
        <v>28</v>
      </c>
      <c r="H879" s="19"/>
      <c r="I879" s="21" t="s">
        <v>29</v>
      </c>
      <c r="J879" s="21" t="s">
        <v>29</v>
      </c>
      <c r="K879" s="64" t="s">
        <v>3130</v>
      </c>
      <c r="L879" s="56">
        <v>45062</v>
      </c>
      <c r="N879" s="38"/>
      <c r="O879" s="38"/>
      <c r="P879" s="40"/>
      <c r="Q879" s="61"/>
      <c r="R879" s="61"/>
      <c r="S879" s="40"/>
      <c r="T879" s="38"/>
      <c r="U879" s="38"/>
      <c r="V879" s="38"/>
      <c r="W879" s="60"/>
      <c r="AB879" s="42"/>
      <c r="AC879" s="35"/>
      <c r="AD879" s="38"/>
      <c r="AE879" s="38"/>
      <c r="AF879" s="38"/>
      <c r="AG879" s="38"/>
      <c r="AH879" s="60"/>
    </row>
    <row r="880" spans="1:34" ht="15.75" customHeight="1">
      <c r="A880" s="35"/>
      <c r="B880" s="18" t="s">
        <v>3131</v>
      </c>
      <c r="C880" s="19" t="s">
        <v>24</v>
      </c>
      <c r="D880" s="20" t="s">
        <v>3132</v>
      </c>
      <c r="E880" s="63" t="s">
        <v>3133</v>
      </c>
      <c r="F880" s="19" t="s">
        <v>27</v>
      </c>
      <c r="G880" s="19" t="s">
        <v>28</v>
      </c>
      <c r="H880" s="19" t="s">
        <v>36</v>
      </c>
      <c r="I880" s="21" t="s">
        <v>29</v>
      </c>
      <c r="J880" s="21" t="s">
        <v>29</v>
      </c>
      <c r="K880" s="64" t="s">
        <v>3134</v>
      </c>
      <c r="L880" s="56">
        <v>45062</v>
      </c>
      <c r="N880" s="38"/>
      <c r="O880" s="38"/>
      <c r="P880" s="40"/>
      <c r="Q880" s="61"/>
      <c r="R880" s="61"/>
      <c r="S880" s="40"/>
      <c r="T880" s="38"/>
      <c r="U880" s="38"/>
      <c r="V880" s="38"/>
      <c r="W880" s="60"/>
      <c r="AB880" s="42"/>
      <c r="AC880" s="35"/>
      <c r="AD880" s="38"/>
      <c r="AE880" s="38"/>
      <c r="AF880" s="38"/>
      <c r="AG880" s="38"/>
      <c r="AH880" s="60"/>
    </row>
    <row r="881" spans="1:34" ht="15.75" customHeight="1">
      <c r="A881" s="35"/>
      <c r="B881" s="18" t="s">
        <v>3135</v>
      </c>
      <c r="C881" s="19" t="s">
        <v>46</v>
      </c>
      <c r="D881" s="20" t="s">
        <v>3136</v>
      </c>
      <c r="E881" s="20" t="s">
        <v>3137</v>
      </c>
      <c r="F881" s="19" t="s">
        <v>286</v>
      </c>
      <c r="G881" s="19" t="s">
        <v>50</v>
      </c>
      <c r="H881" s="19"/>
      <c r="I881" s="21" t="s">
        <v>286</v>
      </c>
      <c r="J881" s="21" t="s">
        <v>29</v>
      </c>
      <c r="K881" s="22" t="s">
        <v>3137</v>
      </c>
      <c r="L881" s="56"/>
      <c r="N881" s="38"/>
      <c r="O881" s="38"/>
      <c r="P881" s="40"/>
      <c r="Q881" s="61"/>
      <c r="R881" s="61"/>
      <c r="S881" s="40"/>
      <c r="T881" s="38"/>
      <c r="U881" s="38"/>
      <c r="V881" s="38"/>
      <c r="W881" s="60"/>
      <c r="AB881" s="42"/>
      <c r="AC881" s="35"/>
      <c r="AD881" s="38"/>
      <c r="AE881" s="38"/>
      <c r="AF881" s="38"/>
      <c r="AG881" s="38"/>
      <c r="AH881" s="60"/>
    </row>
    <row r="882" spans="1:34" ht="15.75" customHeight="1">
      <c r="A882" s="35"/>
      <c r="B882" s="18" t="s">
        <v>3138</v>
      </c>
      <c r="C882" s="19" t="s">
        <v>46</v>
      </c>
      <c r="D882" s="20" t="s">
        <v>3139</v>
      </c>
      <c r="E882" s="63" t="s">
        <v>3140</v>
      </c>
      <c r="F882" s="37" t="s">
        <v>49</v>
      </c>
      <c r="G882" s="19" t="s">
        <v>50</v>
      </c>
      <c r="H882" s="19"/>
      <c r="I882" s="21" t="s">
        <v>29</v>
      </c>
      <c r="J882" s="21" t="s">
        <v>29</v>
      </c>
      <c r="K882" s="64" t="s">
        <v>3141</v>
      </c>
      <c r="L882" s="56">
        <v>45062</v>
      </c>
      <c r="N882" s="38"/>
      <c r="O882" s="38"/>
      <c r="P882" s="40"/>
      <c r="Q882" s="61"/>
      <c r="R882" s="61"/>
      <c r="S882" s="40"/>
      <c r="T882" s="38"/>
      <c r="U882" s="38"/>
      <c r="V882" s="38"/>
      <c r="W882" s="60"/>
      <c r="AB882" s="42"/>
      <c r="AC882" s="35"/>
      <c r="AD882" s="38"/>
      <c r="AE882" s="38"/>
      <c r="AF882" s="38"/>
      <c r="AG882" s="38"/>
      <c r="AH882" s="60"/>
    </row>
    <row r="883" spans="1:34" ht="15.75" customHeight="1">
      <c r="A883" s="35"/>
      <c r="B883" s="18" t="s">
        <v>3142</v>
      </c>
      <c r="C883" s="19" t="s">
        <v>24</v>
      </c>
      <c r="D883" s="20" t="s">
        <v>3143</v>
      </c>
      <c r="E883" s="63" t="s">
        <v>3144</v>
      </c>
      <c r="F883" s="19" t="s">
        <v>27</v>
      </c>
      <c r="G883" s="19" t="s">
        <v>28</v>
      </c>
      <c r="H883" s="19"/>
      <c r="I883" s="21" t="s">
        <v>29</v>
      </c>
      <c r="J883" s="21" t="s">
        <v>29</v>
      </c>
      <c r="K883" s="64" t="s">
        <v>3145</v>
      </c>
      <c r="L883" s="56">
        <v>45062</v>
      </c>
      <c r="N883" s="38"/>
      <c r="O883" s="38"/>
      <c r="P883" s="40"/>
      <c r="Q883" s="61"/>
      <c r="R883" s="61"/>
      <c r="S883" s="40"/>
      <c r="T883" s="38"/>
      <c r="U883" s="38"/>
      <c r="V883" s="38"/>
      <c r="W883" s="60"/>
      <c r="AB883" s="42"/>
      <c r="AC883" s="35"/>
      <c r="AD883" s="38"/>
      <c r="AE883" s="38"/>
      <c r="AF883" s="38"/>
      <c r="AG883" s="38"/>
      <c r="AH883" s="60"/>
    </row>
    <row r="884" spans="1:34" ht="15.75" customHeight="1">
      <c r="A884" s="35"/>
      <c r="B884" s="18" t="s">
        <v>3146</v>
      </c>
      <c r="C884" s="19" t="s">
        <v>24</v>
      </c>
      <c r="D884" s="20" t="s">
        <v>3147</v>
      </c>
      <c r="E884" s="63" t="s">
        <v>3148</v>
      </c>
      <c r="F884" s="19" t="s">
        <v>27</v>
      </c>
      <c r="G884" s="19" t="s">
        <v>28</v>
      </c>
      <c r="H884" s="19"/>
      <c r="I884" s="21" t="s">
        <v>29</v>
      </c>
      <c r="J884" s="21" t="s">
        <v>29</v>
      </c>
      <c r="K884" s="64" t="s">
        <v>3149</v>
      </c>
      <c r="L884" s="56">
        <v>45062</v>
      </c>
      <c r="N884" s="38"/>
      <c r="O884" s="38"/>
      <c r="P884" s="40"/>
      <c r="Q884" s="61"/>
      <c r="R884" s="61"/>
      <c r="S884" s="40"/>
      <c r="T884" s="38"/>
      <c r="U884" s="38"/>
      <c r="V884" s="38"/>
      <c r="W884" s="60"/>
      <c r="AB884" s="42"/>
      <c r="AC884" s="35"/>
      <c r="AD884" s="38"/>
      <c r="AE884" s="38"/>
      <c r="AF884" s="38"/>
      <c r="AG884" s="38"/>
      <c r="AH884" s="60"/>
    </row>
    <row r="885" spans="1:34" ht="15.75" customHeight="1">
      <c r="A885" s="35"/>
      <c r="B885" s="18" t="s">
        <v>3150</v>
      </c>
      <c r="C885" s="19" t="s">
        <v>24</v>
      </c>
      <c r="D885" s="20" t="s">
        <v>3151</v>
      </c>
      <c r="E885" s="63" t="s">
        <v>3152</v>
      </c>
      <c r="F885" s="19" t="s">
        <v>27</v>
      </c>
      <c r="G885" s="19" t="s">
        <v>28</v>
      </c>
      <c r="H885" s="19" t="s">
        <v>36</v>
      </c>
      <c r="I885" s="21" t="s">
        <v>29</v>
      </c>
      <c r="J885" s="21" t="s">
        <v>29</v>
      </c>
      <c r="K885" s="64" t="s">
        <v>3153</v>
      </c>
      <c r="L885" s="56">
        <v>45062</v>
      </c>
      <c r="N885" s="38"/>
      <c r="O885" s="38"/>
      <c r="P885" s="40"/>
      <c r="Q885" s="61"/>
      <c r="R885" s="61"/>
      <c r="S885" s="40"/>
      <c r="T885" s="38"/>
      <c r="U885" s="38"/>
      <c r="V885" s="38"/>
      <c r="W885" s="60"/>
      <c r="AB885" s="42"/>
      <c r="AC885" s="35"/>
      <c r="AD885" s="38"/>
      <c r="AE885" s="38"/>
      <c r="AF885" s="38"/>
      <c r="AG885" s="38"/>
      <c r="AH885" s="60"/>
    </row>
    <row r="886" spans="1:34" ht="15.75" customHeight="1">
      <c r="A886" s="35"/>
      <c r="B886" s="18" t="s">
        <v>3154</v>
      </c>
      <c r="C886" s="19" t="s">
        <v>24</v>
      </c>
      <c r="D886" s="20" t="s">
        <v>3155</v>
      </c>
      <c r="E886" s="63" t="s">
        <v>3156</v>
      </c>
      <c r="F886" s="19" t="s">
        <v>27</v>
      </c>
      <c r="G886" s="19" t="s">
        <v>28</v>
      </c>
      <c r="H886" s="19"/>
      <c r="I886" s="21" t="s">
        <v>29</v>
      </c>
      <c r="J886" s="21" t="s">
        <v>29</v>
      </c>
      <c r="K886" s="64" t="s">
        <v>3157</v>
      </c>
      <c r="L886" s="56">
        <v>45062</v>
      </c>
      <c r="N886" s="38"/>
      <c r="O886" s="38"/>
      <c r="P886" s="40"/>
      <c r="Q886" s="61"/>
      <c r="R886" s="61"/>
      <c r="S886" s="40"/>
      <c r="T886" s="38"/>
      <c r="U886" s="38"/>
      <c r="V886" s="38"/>
      <c r="W886" s="60"/>
      <c r="AB886" s="42"/>
      <c r="AC886" s="35"/>
      <c r="AD886" s="38"/>
      <c r="AE886" s="38"/>
      <c r="AF886" s="38"/>
      <c r="AG886" s="38"/>
      <c r="AH886" s="60"/>
    </row>
    <row r="887" spans="1:34" ht="15.75" customHeight="1">
      <c r="A887" s="35"/>
      <c r="B887" s="18" t="s">
        <v>3158</v>
      </c>
      <c r="C887" s="19" t="s">
        <v>24</v>
      </c>
      <c r="D887" s="20" t="s">
        <v>3159</v>
      </c>
      <c r="E887" s="63" t="s">
        <v>3160</v>
      </c>
      <c r="F887" s="19" t="s">
        <v>27</v>
      </c>
      <c r="G887" s="19" t="s">
        <v>28</v>
      </c>
      <c r="H887" s="19"/>
      <c r="I887" s="21" t="s">
        <v>29</v>
      </c>
      <c r="J887" s="21" t="s">
        <v>29</v>
      </c>
      <c r="K887" s="64" t="s">
        <v>3161</v>
      </c>
      <c r="L887" s="56">
        <v>45062</v>
      </c>
      <c r="N887" s="38"/>
      <c r="O887" s="38"/>
      <c r="P887" s="40"/>
      <c r="Q887" s="61"/>
      <c r="R887" s="61"/>
      <c r="S887" s="40"/>
      <c r="T887" s="38"/>
      <c r="U887" s="38"/>
      <c r="V887" s="38"/>
      <c r="W887" s="60"/>
      <c r="AB887" s="42"/>
      <c r="AC887" s="35"/>
      <c r="AD887" s="38"/>
      <c r="AE887" s="38"/>
      <c r="AF887" s="38"/>
      <c r="AG887" s="38"/>
      <c r="AH887" s="60"/>
    </row>
    <row r="888" spans="1:34" ht="15.75" customHeight="1">
      <c r="A888" s="35"/>
      <c r="B888" s="18" t="s">
        <v>3162</v>
      </c>
      <c r="C888" s="19" t="s">
        <v>24</v>
      </c>
      <c r="D888" s="20" t="s">
        <v>3163</v>
      </c>
      <c r="E888" s="63" t="s">
        <v>3066</v>
      </c>
      <c r="F888" s="19" t="s">
        <v>27</v>
      </c>
      <c r="G888" s="19" t="s">
        <v>28</v>
      </c>
      <c r="H888" s="19"/>
      <c r="I888" s="21" t="s">
        <v>29</v>
      </c>
      <c r="J888" s="21" t="s">
        <v>29</v>
      </c>
      <c r="K888" s="64" t="s">
        <v>3067</v>
      </c>
      <c r="L888" s="56">
        <v>45062</v>
      </c>
      <c r="N888" s="38"/>
      <c r="O888" s="38"/>
      <c r="P888" s="40"/>
      <c r="Q888" s="61"/>
      <c r="R888" s="61"/>
      <c r="S888" s="40"/>
      <c r="T888" s="38"/>
      <c r="U888" s="38"/>
      <c r="V888" s="38"/>
      <c r="W888" s="60"/>
      <c r="AB888" s="42"/>
      <c r="AC888" s="35"/>
      <c r="AD888" s="38"/>
      <c r="AE888" s="38"/>
      <c r="AF888" s="38"/>
      <c r="AG888" s="38"/>
      <c r="AH888" s="60"/>
    </row>
    <row r="889" spans="1:34" ht="15.75" customHeight="1">
      <c r="A889" s="35"/>
      <c r="B889" s="18" t="s">
        <v>3164</v>
      </c>
      <c r="C889" s="19" t="s">
        <v>24</v>
      </c>
      <c r="D889" s="20" t="s">
        <v>3165</v>
      </c>
      <c r="E889" s="63" t="s">
        <v>3166</v>
      </c>
      <c r="F889" s="19" t="s">
        <v>27</v>
      </c>
      <c r="G889" s="19" t="s">
        <v>28</v>
      </c>
      <c r="H889" s="19"/>
      <c r="I889" s="21" t="s">
        <v>29</v>
      </c>
      <c r="J889" s="21" t="s">
        <v>29</v>
      </c>
      <c r="K889" s="64" t="s">
        <v>3167</v>
      </c>
      <c r="L889" s="56">
        <v>45062</v>
      </c>
      <c r="N889" s="38"/>
      <c r="O889" s="38"/>
      <c r="P889" s="40"/>
      <c r="Q889" s="61"/>
      <c r="R889" s="61"/>
      <c r="S889" s="40"/>
      <c r="T889" s="38"/>
      <c r="U889" s="38"/>
      <c r="V889" s="38"/>
      <c r="W889" s="60"/>
      <c r="AB889" s="42"/>
      <c r="AC889" s="35"/>
      <c r="AD889" s="38"/>
      <c r="AE889" s="38"/>
      <c r="AF889" s="38"/>
      <c r="AG889" s="38"/>
      <c r="AH889" s="60"/>
    </row>
    <row r="890" spans="1:34" ht="15.75" customHeight="1">
      <c r="A890" s="35"/>
      <c r="B890" s="18" t="s">
        <v>3168</v>
      </c>
      <c r="C890" s="19" t="s">
        <v>24</v>
      </c>
      <c r="D890" s="20" t="s">
        <v>3169</v>
      </c>
      <c r="E890" s="63" t="s">
        <v>3066</v>
      </c>
      <c r="F890" s="19" t="s">
        <v>27</v>
      </c>
      <c r="G890" s="19" t="s">
        <v>28</v>
      </c>
      <c r="H890" s="19"/>
      <c r="I890" s="21" t="s">
        <v>29</v>
      </c>
      <c r="J890" s="21" t="s">
        <v>29</v>
      </c>
      <c r="K890" s="64" t="s">
        <v>3067</v>
      </c>
      <c r="L890" s="56">
        <v>45062</v>
      </c>
      <c r="N890" s="38"/>
      <c r="O890" s="38"/>
      <c r="P890" s="40"/>
      <c r="Q890" s="61"/>
      <c r="R890" s="61"/>
      <c r="S890" s="40"/>
      <c r="T890" s="38"/>
      <c r="U890" s="38"/>
      <c r="V890" s="38"/>
      <c r="W890" s="60"/>
      <c r="AB890" s="42"/>
      <c r="AC890" s="35"/>
      <c r="AD890" s="38"/>
      <c r="AE890" s="38"/>
      <c r="AF890" s="38"/>
      <c r="AG890" s="38"/>
      <c r="AH890" s="60"/>
    </row>
    <row r="891" spans="1:34" ht="15.75" customHeight="1">
      <c r="A891" s="35"/>
      <c r="B891" s="18" t="s">
        <v>3170</v>
      </c>
      <c r="C891" s="19" t="s">
        <v>24</v>
      </c>
      <c r="D891" s="20" t="s">
        <v>3171</v>
      </c>
      <c r="E891" s="63" t="s">
        <v>3172</v>
      </c>
      <c r="F891" s="19" t="s">
        <v>27</v>
      </c>
      <c r="G891" s="19" t="s">
        <v>28</v>
      </c>
      <c r="H891" s="19" t="s">
        <v>36</v>
      </c>
      <c r="I891" s="21" t="s">
        <v>29</v>
      </c>
      <c r="J891" s="21" t="s">
        <v>29</v>
      </c>
      <c r="K891" s="64" t="s">
        <v>3173</v>
      </c>
      <c r="L891" s="56">
        <v>45062</v>
      </c>
      <c r="N891" s="38"/>
      <c r="O891" s="38"/>
      <c r="P891" s="40"/>
      <c r="Q891" s="61"/>
      <c r="R891" s="61"/>
      <c r="S891" s="40"/>
      <c r="T891" s="38"/>
      <c r="U891" s="38"/>
      <c r="V891" s="38"/>
      <c r="W891" s="60"/>
      <c r="AB891" s="42"/>
      <c r="AC891" s="35"/>
      <c r="AD891" s="38"/>
      <c r="AE891" s="38"/>
      <c r="AF891" s="38"/>
      <c r="AG891" s="38"/>
      <c r="AH891" s="60"/>
    </row>
    <row r="892" spans="1:34" ht="15.75" customHeight="1">
      <c r="A892" s="35"/>
      <c r="B892" s="18" t="s">
        <v>3174</v>
      </c>
      <c r="C892" s="19" t="s">
        <v>24</v>
      </c>
      <c r="D892" s="20" t="s">
        <v>3175</v>
      </c>
      <c r="E892" s="63" t="s">
        <v>3176</v>
      </c>
      <c r="F892" s="19" t="s">
        <v>27</v>
      </c>
      <c r="G892" s="19" t="s">
        <v>28</v>
      </c>
      <c r="H892" s="19"/>
      <c r="I892" s="21" t="s">
        <v>29</v>
      </c>
      <c r="J892" s="21" t="s">
        <v>29</v>
      </c>
      <c r="K892" s="64" t="s">
        <v>3177</v>
      </c>
      <c r="L892" s="56">
        <v>45062</v>
      </c>
      <c r="N892" s="38"/>
      <c r="O892" s="38"/>
      <c r="P892" s="40"/>
      <c r="Q892" s="61"/>
      <c r="R892" s="61"/>
      <c r="S892" s="40"/>
      <c r="T892" s="38"/>
      <c r="U892" s="38"/>
      <c r="V892" s="38"/>
      <c r="W892" s="60"/>
      <c r="AB892" s="42"/>
      <c r="AC892" s="35"/>
      <c r="AD892" s="38"/>
      <c r="AE892" s="38"/>
      <c r="AF892" s="38"/>
      <c r="AG892" s="38"/>
      <c r="AH892" s="60"/>
    </row>
    <row r="893" spans="1:34" ht="15.75" customHeight="1">
      <c r="A893" s="35"/>
      <c r="B893" s="18" t="s">
        <v>3178</v>
      </c>
      <c r="C893" s="19" t="s">
        <v>46</v>
      </c>
      <c r="D893" s="20" t="s">
        <v>3179</v>
      </c>
      <c r="E893" s="63" t="s">
        <v>3180</v>
      </c>
      <c r="F893" s="37" t="s">
        <v>49</v>
      </c>
      <c r="G893" s="19" t="s">
        <v>50</v>
      </c>
      <c r="H893" s="19"/>
      <c r="I893" s="21" t="s">
        <v>29</v>
      </c>
      <c r="J893" s="21" t="s">
        <v>29</v>
      </c>
      <c r="K893" s="64" t="s">
        <v>3181</v>
      </c>
      <c r="L893" s="56">
        <v>45062</v>
      </c>
      <c r="N893" s="38"/>
      <c r="O893" s="38"/>
      <c r="P893" s="40"/>
      <c r="Q893" s="61"/>
      <c r="R893" s="61"/>
      <c r="S893" s="40"/>
      <c r="T893" s="38"/>
      <c r="U893" s="38"/>
      <c r="V893" s="38"/>
      <c r="W893" s="60"/>
      <c r="AB893" s="42"/>
      <c r="AC893" s="35"/>
      <c r="AD893" s="38"/>
      <c r="AE893" s="38"/>
      <c r="AF893" s="38"/>
      <c r="AG893" s="38"/>
      <c r="AH893" s="60"/>
    </row>
    <row r="894" spans="1:34" ht="15.75" customHeight="1">
      <c r="A894" s="35"/>
      <c r="B894" s="18" t="s">
        <v>3182</v>
      </c>
      <c r="C894" s="19" t="s">
        <v>24</v>
      </c>
      <c r="D894" s="20" t="s">
        <v>3183</v>
      </c>
      <c r="E894" s="63" t="s">
        <v>3184</v>
      </c>
      <c r="F894" s="19" t="s">
        <v>27</v>
      </c>
      <c r="G894" s="19" t="s">
        <v>28</v>
      </c>
      <c r="H894" s="19"/>
      <c r="I894" s="21" t="s">
        <v>29</v>
      </c>
      <c r="J894" s="21" t="s">
        <v>29</v>
      </c>
      <c r="K894" s="64" t="s">
        <v>3185</v>
      </c>
      <c r="L894" s="56">
        <v>45062</v>
      </c>
      <c r="N894" s="38"/>
      <c r="O894" s="38"/>
      <c r="P894" s="40"/>
      <c r="Q894" s="61"/>
      <c r="R894" s="61"/>
      <c r="S894" s="40"/>
      <c r="T894" s="38"/>
      <c r="U894" s="38"/>
      <c r="V894" s="38"/>
      <c r="W894" s="60"/>
      <c r="AB894" s="42"/>
      <c r="AC894" s="35"/>
      <c r="AD894" s="38"/>
      <c r="AE894" s="38"/>
      <c r="AF894" s="38"/>
      <c r="AG894" s="38"/>
      <c r="AH894" s="60"/>
    </row>
    <row r="895" spans="1:34" ht="15.75" customHeight="1">
      <c r="A895" s="35"/>
      <c r="B895" s="18" t="s">
        <v>3186</v>
      </c>
      <c r="C895" s="19" t="s">
        <v>24</v>
      </c>
      <c r="D895" s="20" t="s">
        <v>3187</v>
      </c>
      <c r="E895" s="63" t="s">
        <v>3188</v>
      </c>
      <c r="F895" s="19" t="s">
        <v>27</v>
      </c>
      <c r="G895" s="19" t="s">
        <v>28</v>
      </c>
      <c r="H895" s="19"/>
      <c r="I895" s="21" t="s">
        <v>29</v>
      </c>
      <c r="J895" s="21" t="s">
        <v>29</v>
      </c>
      <c r="K895" s="64" t="s">
        <v>3189</v>
      </c>
      <c r="L895" s="56">
        <v>45062</v>
      </c>
      <c r="N895" s="38"/>
      <c r="O895" s="38"/>
      <c r="P895" s="40"/>
      <c r="Q895" s="61"/>
      <c r="R895" s="61"/>
      <c r="S895" s="40"/>
      <c r="T895" s="38"/>
      <c r="U895" s="38"/>
      <c r="V895" s="38"/>
      <c r="W895" s="60"/>
      <c r="AB895" s="42"/>
      <c r="AC895" s="35"/>
      <c r="AD895" s="38"/>
      <c r="AE895" s="38"/>
      <c r="AF895" s="38"/>
      <c r="AG895" s="38"/>
      <c r="AH895" s="60"/>
    </row>
    <row r="896" spans="1:34" ht="15.75" customHeight="1">
      <c r="A896" s="35"/>
      <c r="B896" s="18" t="s">
        <v>3190</v>
      </c>
      <c r="C896" s="19" t="s">
        <v>24</v>
      </c>
      <c r="D896" s="20" t="s">
        <v>3191</v>
      </c>
      <c r="E896" s="20" t="s">
        <v>145</v>
      </c>
      <c r="F896" s="19" t="s">
        <v>27</v>
      </c>
      <c r="G896" s="19" t="s">
        <v>28</v>
      </c>
      <c r="H896" s="19"/>
      <c r="I896" s="21" t="s">
        <v>29</v>
      </c>
      <c r="J896" s="21" t="s">
        <v>29</v>
      </c>
      <c r="K896" s="22" t="s">
        <v>145</v>
      </c>
      <c r="L896" s="56">
        <v>45062</v>
      </c>
      <c r="N896" s="38"/>
      <c r="O896" s="38"/>
      <c r="P896" s="40"/>
      <c r="Q896" s="61"/>
      <c r="R896" s="61"/>
      <c r="S896" s="40"/>
      <c r="T896" s="38"/>
      <c r="U896" s="38"/>
      <c r="V896" s="38"/>
      <c r="W896" s="60"/>
      <c r="AB896" s="42"/>
      <c r="AC896" s="35"/>
      <c r="AD896" s="38"/>
      <c r="AE896" s="38"/>
      <c r="AF896" s="38"/>
      <c r="AG896" s="38"/>
      <c r="AH896" s="60"/>
    </row>
    <row r="897" spans="1:34" ht="15.75" customHeight="1">
      <c r="A897" s="35"/>
      <c r="B897" s="18" t="s">
        <v>3192</v>
      </c>
      <c r="C897" s="19" t="s">
        <v>24</v>
      </c>
      <c r="D897" s="20" t="s">
        <v>3193</v>
      </c>
      <c r="E897" s="63" t="s">
        <v>3194</v>
      </c>
      <c r="F897" s="19" t="s">
        <v>27</v>
      </c>
      <c r="G897" s="19" t="s">
        <v>28</v>
      </c>
      <c r="H897" s="19" t="s">
        <v>36</v>
      </c>
      <c r="I897" s="21" t="s">
        <v>29</v>
      </c>
      <c r="J897" s="21" t="s">
        <v>29</v>
      </c>
      <c r="K897" s="64" t="s">
        <v>3195</v>
      </c>
      <c r="L897" s="56">
        <v>45062</v>
      </c>
      <c r="N897" s="38"/>
      <c r="O897" s="38"/>
      <c r="P897" s="40"/>
      <c r="Q897" s="61"/>
      <c r="R897" s="61"/>
      <c r="S897" s="40"/>
      <c r="T897" s="38"/>
      <c r="U897" s="38"/>
      <c r="V897" s="38"/>
      <c r="W897" s="60"/>
      <c r="AB897" s="42"/>
      <c r="AC897" s="35"/>
      <c r="AD897" s="38"/>
      <c r="AE897" s="38"/>
      <c r="AF897" s="38"/>
      <c r="AG897" s="38"/>
      <c r="AH897" s="60"/>
    </row>
    <row r="898" spans="1:34" ht="15.75" customHeight="1">
      <c r="A898" s="35"/>
      <c r="B898" s="18" t="s">
        <v>3196</v>
      </c>
      <c r="C898" s="19" t="s">
        <v>46</v>
      </c>
      <c r="D898" s="20" t="s">
        <v>3197</v>
      </c>
      <c r="E898" s="63" t="s">
        <v>3198</v>
      </c>
      <c r="F898" s="37" t="s">
        <v>49</v>
      </c>
      <c r="G898" s="19" t="s">
        <v>50</v>
      </c>
      <c r="H898" s="19"/>
      <c r="I898" s="21" t="s">
        <v>29</v>
      </c>
      <c r="J898" s="21" t="s">
        <v>29</v>
      </c>
      <c r="K898" s="64" t="s">
        <v>3199</v>
      </c>
      <c r="L898" s="56">
        <v>45062</v>
      </c>
      <c r="N898" s="38"/>
      <c r="O898" s="38"/>
      <c r="P898" s="40"/>
      <c r="Q898" s="61"/>
      <c r="R898" s="61"/>
      <c r="S898" s="40"/>
      <c r="T898" s="38"/>
      <c r="U898" s="38"/>
      <c r="V898" s="38"/>
      <c r="W898" s="60"/>
      <c r="AB898" s="42"/>
      <c r="AC898" s="35"/>
      <c r="AD898" s="38"/>
      <c r="AE898" s="38"/>
      <c r="AF898" s="38"/>
      <c r="AG898" s="38"/>
      <c r="AH898" s="60"/>
    </row>
    <row r="899" spans="1:34" ht="15.75" customHeight="1">
      <c r="A899" s="35"/>
      <c r="B899" s="18" t="s">
        <v>3200</v>
      </c>
      <c r="C899" s="19" t="s">
        <v>24</v>
      </c>
      <c r="D899" s="20" t="s">
        <v>3201</v>
      </c>
      <c r="E899" s="63" t="s">
        <v>3202</v>
      </c>
      <c r="F899" s="19" t="s">
        <v>27</v>
      </c>
      <c r="G899" s="19" t="s">
        <v>28</v>
      </c>
      <c r="H899" s="19"/>
      <c r="I899" s="21" t="s">
        <v>29</v>
      </c>
      <c r="J899" s="21" t="s">
        <v>29</v>
      </c>
      <c r="K899" s="64" t="s">
        <v>3203</v>
      </c>
      <c r="L899" s="56">
        <v>45062</v>
      </c>
      <c r="N899" s="38"/>
      <c r="O899" s="38"/>
      <c r="P899" s="40"/>
      <c r="Q899" s="61"/>
      <c r="R899" s="61"/>
      <c r="S899" s="40"/>
      <c r="T899" s="38"/>
      <c r="U899" s="38"/>
      <c r="V899" s="38"/>
      <c r="W899" s="60"/>
      <c r="AB899" s="42"/>
      <c r="AC899" s="35"/>
      <c r="AD899" s="38"/>
      <c r="AE899" s="38"/>
      <c r="AF899" s="38"/>
      <c r="AG899" s="38"/>
      <c r="AH899" s="60"/>
    </row>
    <row r="900" spans="1:34" ht="15.75" customHeight="1">
      <c r="A900" s="35"/>
      <c r="B900" s="18" t="s">
        <v>3204</v>
      </c>
      <c r="C900" s="19" t="s">
        <v>24</v>
      </c>
      <c r="D900" s="20" t="s">
        <v>3205</v>
      </c>
      <c r="E900" s="63" t="s">
        <v>3206</v>
      </c>
      <c r="F900" s="19" t="s">
        <v>27</v>
      </c>
      <c r="G900" s="19" t="s">
        <v>28</v>
      </c>
      <c r="H900" s="19"/>
      <c r="I900" s="21" t="s">
        <v>29</v>
      </c>
      <c r="J900" s="21" t="s">
        <v>29</v>
      </c>
      <c r="K900" s="64" t="s">
        <v>3207</v>
      </c>
      <c r="L900" s="56">
        <v>45062</v>
      </c>
      <c r="N900" s="38"/>
      <c r="O900" s="38"/>
      <c r="P900" s="40"/>
      <c r="Q900" s="61"/>
      <c r="R900" s="61"/>
      <c r="S900" s="40"/>
      <c r="T900" s="38"/>
      <c r="U900" s="38"/>
      <c r="V900" s="38"/>
      <c r="W900" s="60"/>
      <c r="AB900" s="42"/>
      <c r="AC900" s="35"/>
      <c r="AD900" s="38"/>
      <c r="AE900" s="38"/>
      <c r="AF900" s="38"/>
      <c r="AG900" s="38"/>
      <c r="AH900" s="60"/>
    </row>
    <row r="901" spans="1:34" ht="15.75" customHeight="1">
      <c r="A901" s="35"/>
      <c r="B901" s="38" t="s">
        <v>3208</v>
      </c>
      <c r="C901" s="19" t="s">
        <v>87</v>
      </c>
      <c r="D901" s="20" t="s">
        <v>3209</v>
      </c>
      <c r="E901" s="20" t="s">
        <v>3210</v>
      </c>
      <c r="F901" s="19" t="s">
        <v>286</v>
      </c>
      <c r="G901" s="19" t="s">
        <v>91</v>
      </c>
      <c r="H901" s="19"/>
      <c r="I901" s="21" t="s">
        <v>286</v>
      </c>
      <c r="J901" s="21" t="s">
        <v>29</v>
      </c>
      <c r="K901" s="22" t="s">
        <v>3211</v>
      </c>
      <c r="L901" s="56"/>
      <c r="N901" s="38"/>
      <c r="O901" s="38"/>
      <c r="P901" s="40"/>
      <c r="Q901" s="61"/>
      <c r="R901" s="61"/>
      <c r="S901" s="40"/>
      <c r="T901" s="38"/>
      <c r="U901" s="38"/>
      <c r="V901" s="38"/>
      <c r="W901" s="60"/>
      <c r="AB901" s="42"/>
      <c r="AC901" s="35"/>
      <c r="AD901" s="38"/>
      <c r="AE901" s="38"/>
      <c r="AF901" s="38"/>
      <c r="AG901" s="38"/>
      <c r="AH901" s="60"/>
    </row>
    <row r="902" spans="1:34" ht="15.75" customHeight="1">
      <c r="A902" s="35"/>
      <c r="B902" s="18" t="s">
        <v>3212</v>
      </c>
      <c r="C902" s="19" t="s">
        <v>46</v>
      </c>
      <c r="D902" s="20" t="s">
        <v>3213</v>
      </c>
      <c r="E902" s="63" t="s">
        <v>3214</v>
      </c>
      <c r="F902" s="37" t="s">
        <v>49</v>
      </c>
      <c r="G902" s="19" t="s">
        <v>50</v>
      </c>
      <c r="H902" s="19"/>
      <c r="I902" s="21" t="s">
        <v>29</v>
      </c>
      <c r="J902" s="21" t="s">
        <v>29</v>
      </c>
      <c r="K902" s="64" t="s">
        <v>3215</v>
      </c>
      <c r="L902" s="56">
        <v>45062</v>
      </c>
      <c r="N902" s="38"/>
      <c r="O902" s="38"/>
      <c r="P902" s="40"/>
      <c r="Q902" s="61"/>
      <c r="R902" s="61"/>
      <c r="S902" s="40"/>
      <c r="T902" s="38"/>
      <c r="U902" s="38"/>
      <c r="V902" s="38"/>
      <c r="W902" s="60"/>
      <c r="AB902" s="42"/>
      <c r="AC902" s="35"/>
      <c r="AD902" s="38"/>
      <c r="AE902" s="38"/>
      <c r="AF902" s="38"/>
      <c r="AG902" s="38"/>
      <c r="AH902" s="60"/>
    </row>
    <row r="903" spans="1:34" ht="15.75" customHeight="1">
      <c r="A903" s="35"/>
      <c r="B903" s="18" t="s">
        <v>3216</v>
      </c>
      <c r="C903" s="19" t="s">
        <v>24</v>
      </c>
      <c r="D903" s="20" t="s">
        <v>3217</v>
      </c>
      <c r="E903" s="63" t="s">
        <v>3218</v>
      </c>
      <c r="F903" s="19" t="s">
        <v>27</v>
      </c>
      <c r="G903" s="19" t="s">
        <v>28</v>
      </c>
      <c r="H903" s="19"/>
      <c r="I903" s="21" t="s">
        <v>29</v>
      </c>
      <c r="J903" s="21" t="s">
        <v>29</v>
      </c>
      <c r="K903" s="64" t="s">
        <v>3219</v>
      </c>
      <c r="L903" s="56">
        <v>45062</v>
      </c>
      <c r="N903" s="38"/>
      <c r="O903" s="38"/>
      <c r="P903" s="40"/>
      <c r="Q903" s="61"/>
      <c r="R903" s="61"/>
      <c r="S903" s="40"/>
      <c r="T903" s="38"/>
      <c r="U903" s="38"/>
      <c r="V903" s="38"/>
      <c r="W903" s="60"/>
      <c r="AB903" s="42"/>
      <c r="AC903" s="35"/>
      <c r="AD903" s="38"/>
      <c r="AE903" s="38"/>
      <c r="AF903" s="38"/>
      <c r="AG903" s="38"/>
      <c r="AH903" s="60"/>
    </row>
    <row r="904" spans="1:34" ht="15.75" customHeight="1">
      <c r="A904" s="35"/>
      <c r="B904" s="18" t="s">
        <v>3220</v>
      </c>
      <c r="C904" s="19" t="s">
        <v>87</v>
      </c>
      <c r="D904" s="20" t="s">
        <v>3221</v>
      </c>
      <c r="E904" s="63" t="s">
        <v>3222</v>
      </c>
      <c r="F904" s="19" t="s">
        <v>90</v>
      </c>
      <c r="G904" s="19" t="s">
        <v>91</v>
      </c>
      <c r="H904" s="19"/>
      <c r="I904" s="21" t="s">
        <v>29</v>
      </c>
      <c r="J904" s="21" t="s">
        <v>29</v>
      </c>
      <c r="K904" s="64" t="s">
        <v>3223</v>
      </c>
      <c r="L904" s="56">
        <v>45062</v>
      </c>
      <c r="N904" s="38"/>
      <c r="O904" s="38"/>
      <c r="P904" s="40"/>
      <c r="Q904" s="61"/>
      <c r="R904" s="61"/>
      <c r="S904" s="40"/>
      <c r="T904" s="38"/>
      <c r="U904" s="38"/>
      <c r="V904" s="38"/>
      <c r="W904" s="60"/>
      <c r="AB904" s="42"/>
      <c r="AC904" s="35"/>
      <c r="AD904" s="38"/>
      <c r="AE904" s="38"/>
      <c r="AF904" s="38"/>
      <c r="AG904" s="38"/>
      <c r="AH904" s="60"/>
    </row>
    <row r="905" spans="1:34" ht="15.75" customHeight="1">
      <c r="A905" s="35"/>
      <c r="B905" s="18" t="s">
        <v>3224</v>
      </c>
      <c r="C905" s="19" t="s">
        <v>24</v>
      </c>
      <c r="D905" s="20" t="s">
        <v>3225</v>
      </c>
      <c r="E905" s="63" t="s">
        <v>3226</v>
      </c>
      <c r="F905" s="19" t="s">
        <v>27</v>
      </c>
      <c r="G905" s="19" t="s">
        <v>28</v>
      </c>
      <c r="H905" s="19"/>
      <c r="I905" s="21" t="s">
        <v>29</v>
      </c>
      <c r="J905" s="21" t="s">
        <v>29</v>
      </c>
      <c r="K905" s="64" t="s">
        <v>3227</v>
      </c>
      <c r="L905" s="56">
        <v>45062</v>
      </c>
      <c r="N905" s="38"/>
      <c r="O905" s="38"/>
      <c r="P905" s="40"/>
      <c r="Q905" s="61"/>
      <c r="R905" s="61"/>
      <c r="S905" s="40"/>
      <c r="T905" s="38"/>
      <c r="U905" s="38"/>
      <c r="V905" s="38"/>
      <c r="W905" s="60"/>
      <c r="AB905" s="42"/>
      <c r="AC905" s="35"/>
      <c r="AD905" s="38"/>
      <c r="AE905" s="38"/>
      <c r="AF905" s="38"/>
      <c r="AG905" s="38"/>
      <c r="AH905" s="60"/>
    </row>
    <row r="906" spans="1:34" ht="15.75" customHeight="1">
      <c r="A906" s="35"/>
      <c r="B906" s="18" t="s">
        <v>3228</v>
      </c>
      <c r="C906" s="37" t="s">
        <v>412</v>
      </c>
      <c r="D906" s="20" t="s">
        <v>3229</v>
      </c>
      <c r="E906" s="20" t="s">
        <v>145</v>
      </c>
      <c r="F906" s="19" t="s">
        <v>414</v>
      </c>
      <c r="G906" s="19" t="s">
        <v>415</v>
      </c>
      <c r="H906" s="37"/>
      <c r="I906" s="21" t="s">
        <v>233</v>
      </c>
      <c r="J906" s="21" t="s">
        <v>233</v>
      </c>
      <c r="K906" s="22" t="s">
        <v>145</v>
      </c>
      <c r="L906" s="39"/>
      <c r="N906" s="38"/>
      <c r="O906" s="38"/>
      <c r="P906" s="40"/>
      <c r="Q906" s="61"/>
      <c r="R906" s="61"/>
      <c r="S906" s="40"/>
      <c r="T906" s="38"/>
      <c r="U906" s="38"/>
      <c r="V906" s="38"/>
      <c r="W906" s="60"/>
      <c r="AB906" s="42"/>
      <c r="AC906" s="35"/>
      <c r="AD906" s="38"/>
      <c r="AE906" s="38"/>
      <c r="AF906" s="38"/>
      <c r="AG906" s="38"/>
      <c r="AH906" s="60"/>
    </row>
    <row r="907" spans="1:34" ht="15.75" customHeight="1">
      <c r="A907" s="35"/>
      <c r="B907" s="18" t="s">
        <v>3230</v>
      </c>
      <c r="C907" s="37" t="s">
        <v>412</v>
      </c>
      <c r="D907" s="20" t="s">
        <v>3231</v>
      </c>
      <c r="E907" s="20" t="s">
        <v>145</v>
      </c>
      <c r="F907" s="19" t="s">
        <v>414</v>
      </c>
      <c r="G907" s="37" t="s">
        <v>415</v>
      </c>
      <c r="H907" s="37"/>
      <c r="I907" s="21" t="s">
        <v>233</v>
      </c>
      <c r="J907" s="21" t="s">
        <v>233</v>
      </c>
      <c r="K907" s="22" t="s">
        <v>145</v>
      </c>
      <c r="L907" s="39"/>
      <c r="N907" s="38"/>
      <c r="O907" s="38"/>
      <c r="P907" s="40"/>
      <c r="Q907" s="61"/>
      <c r="R907" s="61"/>
      <c r="S907" s="40"/>
      <c r="T907" s="38"/>
      <c r="U907" s="38"/>
      <c r="V907" s="38"/>
      <c r="W907" s="60"/>
      <c r="AB907" s="42"/>
      <c r="AC907" s="35"/>
      <c r="AD907" s="38"/>
      <c r="AE907" s="38"/>
      <c r="AF907" s="38"/>
      <c r="AG907" s="38"/>
      <c r="AH907" s="60"/>
    </row>
    <row r="908" spans="1:34" ht="15.75" customHeight="1">
      <c r="A908" s="35"/>
      <c r="B908" s="38"/>
      <c r="C908" s="37"/>
      <c r="D908" s="20"/>
      <c r="E908" s="20" t="s">
        <v>145</v>
      </c>
      <c r="F908" s="37"/>
      <c r="G908" s="37"/>
      <c r="H908" s="37"/>
      <c r="I908" s="21"/>
      <c r="J908" s="21"/>
      <c r="K908" s="22" t="s">
        <v>145</v>
      </c>
      <c r="L908" s="39"/>
      <c r="N908" s="38"/>
      <c r="O908" s="38"/>
      <c r="P908" s="40"/>
      <c r="Q908" s="61"/>
      <c r="R908" s="61"/>
      <c r="S908" s="40"/>
      <c r="T908" s="38"/>
      <c r="U908" s="38"/>
      <c r="V908" s="38"/>
      <c r="W908" s="60"/>
      <c r="AB908" s="42"/>
      <c r="AC908" s="35"/>
      <c r="AD908" s="38"/>
      <c r="AE908" s="38"/>
      <c r="AF908" s="38"/>
      <c r="AG908" s="38"/>
      <c r="AH908" s="60"/>
    </row>
    <row r="909" spans="1:34" ht="15.75" customHeight="1">
      <c r="A909" s="35" t="s">
        <v>3232</v>
      </c>
      <c r="B909" s="34" t="s">
        <v>3233</v>
      </c>
      <c r="C909" s="19" t="s">
        <v>24</v>
      </c>
      <c r="D909" s="25" t="s">
        <v>3234</v>
      </c>
      <c r="E909" s="20" t="s">
        <v>3235</v>
      </c>
      <c r="F909" s="19" t="s">
        <v>90</v>
      </c>
      <c r="G909" s="19" t="s">
        <v>91</v>
      </c>
      <c r="H909" s="19"/>
      <c r="I909" s="21" t="s">
        <v>29</v>
      </c>
      <c r="J909" s="21" t="s">
        <v>29</v>
      </c>
      <c r="K909" s="22" t="s">
        <v>3235</v>
      </c>
      <c r="L909" s="56">
        <v>45062</v>
      </c>
      <c r="N909" s="38"/>
      <c r="O909" s="38"/>
      <c r="P909" s="40"/>
      <c r="Q909" s="61"/>
      <c r="R909" s="61"/>
      <c r="S909" s="40"/>
      <c r="T909" s="38"/>
      <c r="U909" s="38"/>
      <c r="V909" s="38"/>
      <c r="W909" s="60"/>
      <c r="AB909" s="42"/>
      <c r="AC909" s="35"/>
      <c r="AD909" s="38"/>
      <c r="AE909" s="38"/>
      <c r="AF909" s="38"/>
      <c r="AG909" s="38"/>
      <c r="AH909" s="60"/>
    </row>
    <row r="910" spans="1:34" ht="15.75" customHeight="1">
      <c r="A910" s="54" t="s">
        <v>3236</v>
      </c>
      <c r="B910" s="18" t="s">
        <v>3237</v>
      </c>
      <c r="C910" s="19" t="s">
        <v>24</v>
      </c>
      <c r="D910" s="25" t="s">
        <v>3238</v>
      </c>
      <c r="E910" s="20" t="s">
        <v>3239</v>
      </c>
      <c r="F910" s="19" t="s">
        <v>27</v>
      </c>
      <c r="G910" s="19" t="s">
        <v>28</v>
      </c>
      <c r="H910" s="37" t="s">
        <v>762</v>
      </c>
      <c r="I910" s="21" t="s">
        <v>29</v>
      </c>
      <c r="J910" s="21" t="s">
        <v>29</v>
      </c>
      <c r="K910" s="22" t="s">
        <v>3240</v>
      </c>
      <c r="L910" s="56">
        <v>45062</v>
      </c>
      <c r="N910" s="38"/>
      <c r="O910" s="38"/>
      <c r="P910" s="40"/>
      <c r="Q910" s="61"/>
      <c r="R910" s="61"/>
      <c r="S910" s="40"/>
      <c r="T910" s="38"/>
      <c r="U910" s="38"/>
      <c r="V910" s="38"/>
      <c r="W910" s="60"/>
      <c r="AB910" s="42"/>
      <c r="AC910" s="35"/>
      <c r="AD910" s="38"/>
      <c r="AE910" s="38"/>
      <c r="AF910" s="38"/>
      <c r="AG910" s="38"/>
      <c r="AH910" s="60"/>
    </row>
    <row r="911" spans="1:34" ht="15.75" customHeight="1">
      <c r="A911" s="50" t="s">
        <v>39</v>
      </c>
      <c r="B911" s="18" t="s">
        <v>3241</v>
      </c>
      <c r="C911" s="19" t="s">
        <v>46</v>
      </c>
      <c r="D911" s="25" t="s">
        <v>3242</v>
      </c>
      <c r="E911" s="20" t="s">
        <v>3243</v>
      </c>
      <c r="F911" s="37" t="s">
        <v>49</v>
      </c>
      <c r="G911" s="19" t="s">
        <v>50</v>
      </c>
      <c r="H911" s="19" t="s">
        <v>36</v>
      </c>
      <c r="I911" s="21" t="s">
        <v>29</v>
      </c>
      <c r="J911" s="21" t="s">
        <v>29</v>
      </c>
      <c r="K911" s="22" t="s">
        <v>3243</v>
      </c>
      <c r="L911" s="56">
        <v>45062</v>
      </c>
      <c r="Q911" s="61"/>
      <c r="R911" s="61"/>
      <c r="T911" s="38"/>
      <c r="U911" s="38"/>
      <c r="V911" s="38"/>
      <c r="W911" s="60"/>
      <c r="AB911" s="42"/>
      <c r="AC911" s="35"/>
      <c r="AD911" s="38"/>
      <c r="AE911" s="38"/>
      <c r="AF911" s="38"/>
      <c r="AG911" s="38"/>
      <c r="AH911" s="60"/>
    </row>
    <row r="912" spans="1:34" ht="15.75" customHeight="1">
      <c r="A912" s="35" t="s">
        <v>3244</v>
      </c>
      <c r="B912" s="34" t="s">
        <v>3245</v>
      </c>
      <c r="C912" s="19" t="s">
        <v>87</v>
      </c>
      <c r="D912" s="25" t="s">
        <v>3246</v>
      </c>
      <c r="E912" s="20" t="s">
        <v>3247</v>
      </c>
      <c r="F912" s="37" t="s">
        <v>49</v>
      </c>
      <c r="G912" s="19" t="s">
        <v>50</v>
      </c>
      <c r="H912" s="19"/>
      <c r="I912" s="21" t="s">
        <v>29</v>
      </c>
      <c r="J912" s="21" t="s">
        <v>29</v>
      </c>
      <c r="K912" s="22" t="s">
        <v>3247</v>
      </c>
      <c r="L912" s="56">
        <v>45062</v>
      </c>
      <c r="Q912" s="61"/>
      <c r="R912" s="61"/>
      <c r="T912" s="38"/>
      <c r="U912" s="38"/>
      <c r="V912" s="38"/>
      <c r="W912" s="60"/>
      <c r="AB912" s="42"/>
      <c r="AC912" s="35"/>
      <c r="AD912" s="38"/>
      <c r="AE912" s="38"/>
      <c r="AF912" s="38"/>
      <c r="AG912" s="38"/>
      <c r="AH912" s="60"/>
    </row>
    <row r="913" spans="1:34" ht="15.75" customHeight="1">
      <c r="A913" s="35" t="s">
        <v>3248</v>
      </c>
      <c r="B913" s="18" t="s">
        <v>3249</v>
      </c>
      <c r="C913" s="19" t="s">
        <v>24</v>
      </c>
      <c r="D913" s="25" t="s">
        <v>3250</v>
      </c>
      <c r="E913" s="20" t="s">
        <v>3251</v>
      </c>
      <c r="F913" s="19" t="s">
        <v>27</v>
      </c>
      <c r="G913" s="19" t="s">
        <v>28</v>
      </c>
      <c r="H913" s="19"/>
      <c r="I913" s="21" t="s">
        <v>29</v>
      </c>
      <c r="J913" s="21" t="s">
        <v>29</v>
      </c>
      <c r="K913" s="22" t="s">
        <v>3251</v>
      </c>
      <c r="L913" s="56">
        <v>45062</v>
      </c>
      <c r="P913" s="40"/>
      <c r="Q913" s="61"/>
      <c r="R913" s="61"/>
      <c r="S913" s="40"/>
      <c r="T913" s="38"/>
      <c r="U913" s="38"/>
      <c r="V913" s="38"/>
      <c r="W913" s="60"/>
      <c r="AB913" s="42"/>
      <c r="AC913" s="35"/>
      <c r="AD913" s="38"/>
      <c r="AE913" s="38"/>
      <c r="AF913" s="38"/>
      <c r="AG913" s="38"/>
      <c r="AH913" s="60"/>
    </row>
    <row r="914" spans="1:34" ht="15.75" customHeight="1">
      <c r="A914" s="44" t="s">
        <v>56</v>
      </c>
      <c r="B914" s="18" t="s">
        <v>3252</v>
      </c>
      <c r="C914" s="19" t="s">
        <v>24</v>
      </c>
      <c r="D914" s="25" t="s">
        <v>3253</v>
      </c>
      <c r="E914" s="20" t="s">
        <v>3254</v>
      </c>
      <c r="F914" s="19" t="s">
        <v>27</v>
      </c>
      <c r="G914" s="19" t="s">
        <v>28</v>
      </c>
      <c r="H914" s="19"/>
      <c r="I914" s="21" t="s">
        <v>29</v>
      </c>
      <c r="J914" s="21" t="s">
        <v>29</v>
      </c>
      <c r="K914" s="22" t="s">
        <v>3254</v>
      </c>
      <c r="L914" s="56">
        <v>45062</v>
      </c>
      <c r="P914" s="40"/>
      <c r="Q914" s="61"/>
      <c r="R914" s="61"/>
      <c r="S914" s="40"/>
      <c r="T914" s="38"/>
      <c r="U914" s="38"/>
      <c r="V914" s="38"/>
      <c r="W914" s="60"/>
      <c r="AB914" s="42"/>
      <c r="AC914" s="35"/>
      <c r="AD914" s="38"/>
      <c r="AE914" s="38"/>
      <c r="AF914" s="38"/>
      <c r="AG914" s="38"/>
      <c r="AH914" s="60"/>
    </row>
    <row r="915" spans="1:34" ht="15.75" customHeight="1">
      <c r="A915" s="53">
        <v>80</v>
      </c>
      <c r="B915" s="34" t="s">
        <v>3255</v>
      </c>
      <c r="C915" s="19" t="s">
        <v>24</v>
      </c>
      <c r="D915" s="25" t="s">
        <v>3256</v>
      </c>
      <c r="E915" s="20" t="s">
        <v>3257</v>
      </c>
      <c r="F915" s="19" t="s">
        <v>90</v>
      </c>
      <c r="G915" s="19" t="s">
        <v>91</v>
      </c>
      <c r="H915" s="19"/>
      <c r="I915" s="21" t="s">
        <v>29</v>
      </c>
      <c r="J915" s="21" t="s">
        <v>29</v>
      </c>
      <c r="K915" s="22" t="s">
        <v>3258</v>
      </c>
      <c r="L915" s="56">
        <v>45062</v>
      </c>
      <c r="P915" s="40"/>
      <c r="Q915" s="61"/>
      <c r="R915" s="61"/>
      <c r="S915" s="40"/>
      <c r="T915" s="38"/>
      <c r="U915" s="38"/>
      <c r="V915" s="38"/>
      <c r="W915" s="60"/>
      <c r="AB915" s="42"/>
      <c r="AC915" s="35"/>
      <c r="AD915" s="38"/>
      <c r="AE915" s="38"/>
      <c r="AF915" s="38"/>
      <c r="AG915" s="38"/>
      <c r="AH915" s="60"/>
    </row>
    <row r="916" spans="1:34" ht="15.75" customHeight="1">
      <c r="A916" s="44" t="s">
        <v>64</v>
      </c>
      <c r="B916" s="18" t="s">
        <v>3259</v>
      </c>
      <c r="C916" s="19" t="s">
        <v>24</v>
      </c>
      <c r="D916" s="25" t="s">
        <v>3260</v>
      </c>
      <c r="E916" s="20" t="s">
        <v>3261</v>
      </c>
      <c r="F916" s="19" t="s">
        <v>27</v>
      </c>
      <c r="G916" s="19" t="s">
        <v>28</v>
      </c>
      <c r="H916" s="19"/>
      <c r="I916" s="21" t="s">
        <v>29</v>
      </c>
      <c r="J916" s="21" t="s">
        <v>29</v>
      </c>
      <c r="K916" s="22" t="s">
        <v>3262</v>
      </c>
      <c r="L916" s="56">
        <v>45062</v>
      </c>
      <c r="O916" s="42"/>
      <c r="P916" s="40"/>
      <c r="Q916" s="61"/>
      <c r="R916" s="61"/>
      <c r="S916" s="40"/>
      <c r="T916" s="38"/>
      <c r="U916" s="38"/>
      <c r="V916" s="38"/>
      <c r="W916" s="60"/>
      <c r="AB916" s="42"/>
      <c r="AC916" s="35"/>
      <c r="AD916" s="38"/>
      <c r="AE916" s="38"/>
      <c r="AF916" s="38"/>
      <c r="AG916" s="38"/>
      <c r="AH916" s="60"/>
    </row>
    <row r="917" spans="1:34" ht="15.75" customHeight="1">
      <c r="A917" s="53">
        <v>4</v>
      </c>
      <c r="B917" s="18" t="s">
        <v>3263</v>
      </c>
      <c r="C917" s="19" t="s">
        <v>46</v>
      </c>
      <c r="D917" s="25" t="s">
        <v>3264</v>
      </c>
      <c r="E917" s="20" t="s">
        <v>3265</v>
      </c>
      <c r="F917" s="37" t="s">
        <v>49</v>
      </c>
      <c r="G917" s="19" t="s">
        <v>50</v>
      </c>
      <c r="H917" s="19" t="s">
        <v>36</v>
      </c>
      <c r="I917" s="21" t="s">
        <v>29</v>
      </c>
      <c r="J917" s="21" t="s">
        <v>29</v>
      </c>
      <c r="K917" s="22" t="s">
        <v>3265</v>
      </c>
      <c r="L917" s="56">
        <v>45062</v>
      </c>
      <c r="O917" s="42"/>
      <c r="P917" s="40"/>
      <c r="Q917" s="61"/>
      <c r="R917" s="61"/>
      <c r="S917" s="40"/>
      <c r="T917" s="38"/>
      <c r="U917" s="38"/>
      <c r="V917" s="38"/>
      <c r="W917" s="60"/>
      <c r="AB917" s="42"/>
      <c r="AC917" s="35"/>
      <c r="AD917" s="38"/>
      <c r="AE917" s="38"/>
      <c r="AF917" s="38"/>
      <c r="AG917" s="38"/>
      <c r="AH917" s="60"/>
    </row>
    <row r="918" spans="1:34" ht="15.75" customHeight="1">
      <c r="A918" s="44" t="s">
        <v>73</v>
      </c>
      <c r="B918" s="18" t="s">
        <v>3266</v>
      </c>
      <c r="C918" s="19" t="s">
        <v>87</v>
      </c>
      <c r="D918" s="25" t="s">
        <v>3267</v>
      </c>
      <c r="E918" s="20" t="s">
        <v>3268</v>
      </c>
      <c r="F918" s="37" t="s">
        <v>49</v>
      </c>
      <c r="G918" s="19" t="s">
        <v>91</v>
      </c>
      <c r="H918" s="19"/>
      <c r="I918" s="21" t="s">
        <v>29</v>
      </c>
      <c r="J918" s="21" t="s">
        <v>29</v>
      </c>
      <c r="K918" s="22" t="s">
        <v>3269</v>
      </c>
      <c r="L918" s="56">
        <v>45062</v>
      </c>
      <c r="O918" s="42"/>
      <c r="P918" s="40"/>
      <c r="Q918" s="61"/>
      <c r="R918" s="61"/>
      <c r="S918" s="40"/>
      <c r="T918" s="38"/>
      <c r="U918" s="38"/>
      <c r="V918" s="38"/>
      <c r="W918" s="60"/>
      <c r="AB918" s="42"/>
      <c r="AC918" s="35"/>
      <c r="AD918" s="38"/>
      <c r="AE918" s="38"/>
      <c r="AF918" s="38"/>
      <c r="AG918" s="38"/>
      <c r="AH918" s="60"/>
    </row>
    <row r="919" spans="1:34" ht="15.75" customHeight="1">
      <c r="A919" s="53">
        <v>4.0999999999999996</v>
      </c>
      <c r="B919" s="36" t="s">
        <v>3270</v>
      </c>
      <c r="C919" s="19" t="s">
        <v>121</v>
      </c>
      <c r="D919" s="25" t="s">
        <v>3271</v>
      </c>
      <c r="E919" s="20" t="s">
        <v>3272</v>
      </c>
      <c r="F919" s="37" t="s">
        <v>49</v>
      </c>
      <c r="G919" s="19" t="s">
        <v>50</v>
      </c>
      <c r="H919" s="19"/>
      <c r="I919" s="21" t="s">
        <v>29</v>
      </c>
      <c r="J919" s="21" t="s">
        <v>29</v>
      </c>
      <c r="K919" s="22" t="s">
        <v>3273</v>
      </c>
      <c r="L919" s="56">
        <v>45062</v>
      </c>
      <c r="O919" s="42"/>
      <c r="P919" s="40"/>
      <c r="Q919" s="61"/>
      <c r="R919" s="61"/>
      <c r="S919" s="40"/>
      <c r="T919" s="38"/>
      <c r="U919" s="38"/>
      <c r="V919" s="38"/>
      <c r="W919" s="60"/>
      <c r="AB919" s="42"/>
      <c r="AC919" s="35"/>
      <c r="AD919" s="38"/>
      <c r="AE919" s="38"/>
      <c r="AF919" s="38"/>
      <c r="AG919" s="38"/>
      <c r="AH919" s="60"/>
    </row>
    <row r="920" spans="1:34" ht="15.75" customHeight="1">
      <c r="A920" s="50" t="s">
        <v>82</v>
      </c>
      <c r="B920" s="18" t="s">
        <v>3274</v>
      </c>
      <c r="C920" s="19" t="s">
        <v>24</v>
      </c>
      <c r="D920" s="25" t="s">
        <v>3275</v>
      </c>
      <c r="E920" s="20" t="s">
        <v>3276</v>
      </c>
      <c r="F920" s="19" t="s">
        <v>27</v>
      </c>
      <c r="G920" s="19" t="s">
        <v>28</v>
      </c>
      <c r="H920" s="37" t="s">
        <v>762</v>
      </c>
      <c r="I920" s="21" t="s">
        <v>29</v>
      </c>
      <c r="J920" s="21" t="s">
        <v>29</v>
      </c>
      <c r="K920" s="22" t="s">
        <v>3277</v>
      </c>
      <c r="L920" s="56">
        <v>45062</v>
      </c>
      <c r="O920" s="42"/>
      <c r="P920" s="40"/>
      <c r="Q920" s="61"/>
      <c r="R920" s="61"/>
      <c r="S920" s="40"/>
      <c r="T920" s="38"/>
      <c r="U920" s="38"/>
      <c r="V920" s="38"/>
      <c r="W920" s="60"/>
      <c r="AB920" s="42"/>
      <c r="AC920" s="35"/>
      <c r="AD920" s="38"/>
      <c r="AE920" s="38"/>
      <c r="AF920" s="38"/>
      <c r="AG920" s="38"/>
      <c r="AH920" s="60"/>
    </row>
    <row r="921" spans="1:34" ht="15.75" customHeight="1">
      <c r="A921" s="35" t="s">
        <v>3278</v>
      </c>
      <c r="B921" s="18" t="s">
        <v>3279</v>
      </c>
      <c r="C921" s="19" t="s">
        <v>87</v>
      </c>
      <c r="D921" s="25" t="s">
        <v>3280</v>
      </c>
      <c r="E921" s="20" t="s">
        <v>3281</v>
      </c>
      <c r="F921" s="19" t="s">
        <v>90</v>
      </c>
      <c r="G921" s="19" t="s">
        <v>91</v>
      </c>
      <c r="H921" s="19"/>
      <c r="I921" s="21" t="s">
        <v>29</v>
      </c>
      <c r="J921" s="21" t="s">
        <v>29</v>
      </c>
      <c r="K921" s="22" t="s">
        <v>3282</v>
      </c>
      <c r="L921" s="56">
        <v>45062</v>
      </c>
      <c r="O921" s="42"/>
      <c r="P921" s="40"/>
      <c r="Q921" s="61"/>
      <c r="R921" s="61"/>
      <c r="S921" s="40"/>
      <c r="T921" s="38"/>
      <c r="U921" s="38"/>
      <c r="V921" s="38"/>
      <c r="W921" s="60"/>
      <c r="AB921" s="42"/>
      <c r="AC921" s="35"/>
      <c r="AD921" s="38"/>
      <c r="AE921" s="38"/>
      <c r="AF921" s="38"/>
      <c r="AG921" s="38"/>
      <c r="AH921" s="60"/>
    </row>
    <row r="922" spans="1:34" ht="15.75" customHeight="1">
      <c r="A922" s="50" t="s">
        <v>92</v>
      </c>
      <c r="B922" s="18" t="s">
        <v>3283</v>
      </c>
      <c r="C922" s="19" t="s">
        <v>1470</v>
      </c>
      <c r="D922" s="25" t="s">
        <v>3284</v>
      </c>
      <c r="E922" s="20" t="s">
        <v>3285</v>
      </c>
      <c r="F922" s="19" t="s">
        <v>3286</v>
      </c>
      <c r="G922" s="19" t="s">
        <v>1461</v>
      </c>
      <c r="H922" s="19"/>
      <c r="I922" s="21" t="s">
        <v>233</v>
      </c>
      <c r="J922" s="21" t="s">
        <v>233</v>
      </c>
      <c r="K922" s="22" t="s">
        <v>3285</v>
      </c>
      <c r="L922" s="56">
        <v>45062</v>
      </c>
      <c r="O922" s="42"/>
      <c r="P922" s="40"/>
      <c r="Q922" s="61"/>
      <c r="R922" s="61"/>
      <c r="S922" s="40"/>
      <c r="T922" s="38"/>
      <c r="U922" s="38"/>
      <c r="V922" s="38"/>
      <c r="W922" s="60"/>
      <c r="AB922" s="42"/>
      <c r="AC922" s="35"/>
      <c r="AD922" s="38"/>
      <c r="AE922" s="38"/>
      <c r="AF922" s="38"/>
      <c r="AG922" s="38"/>
      <c r="AH922" s="60"/>
    </row>
    <row r="923" spans="1:34" ht="15.75" customHeight="1">
      <c r="A923" s="33">
        <v>2604</v>
      </c>
      <c r="B923" s="34" t="s">
        <v>3287</v>
      </c>
      <c r="C923" s="19" t="s">
        <v>87</v>
      </c>
      <c r="D923" s="25" t="s">
        <v>3288</v>
      </c>
      <c r="E923" s="20" t="s">
        <v>3289</v>
      </c>
      <c r="F923" s="37" t="s">
        <v>49</v>
      </c>
      <c r="G923" s="19" t="s">
        <v>50</v>
      </c>
      <c r="H923" s="19"/>
      <c r="I923" s="21" t="s">
        <v>29</v>
      </c>
      <c r="J923" s="21" t="s">
        <v>29</v>
      </c>
      <c r="K923" s="22" t="s">
        <v>3290</v>
      </c>
      <c r="L923" s="56">
        <v>45062</v>
      </c>
      <c r="O923" s="42"/>
      <c r="P923" s="40"/>
      <c r="Q923" s="61"/>
      <c r="R923" s="61"/>
      <c r="S923" s="40"/>
      <c r="T923" s="38"/>
      <c r="U923" s="38"/>
      <c r="V923" s="38"/>
      <c r="W923" s="60"/>
      <c r="AB923" s="42"/>
      <c r="AC923" s="35"/>
      <c r="AD923" s="38"/>
      <c r="AE923" s="38"/>
      <c r="AF923" s="38"/>
      <c r="AG923" s="38"/>
      <c r="AH923" s="60"/>
    </row>
    <row r="924" spans="1:34" ht="15.75" customHeight="1">
      <c r="A924" s="31" t="s">
        <v>100</v>
      </c>
      <c r="B924" s="34" t="s">
        <v>3291</v>
      </c>
      <c r="C924" s="19" t="s">
        <v>87</v>
      </c>
      <c r="D924" s="25" t="s">
        <v>3292</v>
      </c>
      <c r="E924" s="20" t="s">
        <v>3293</v>
      </c>
      <c r="F924" s="37" t="s">
        <v>49</v>
      </c>
      <c r="G924" s="19" t="s">
        <v>50</v>
      </c>
      <c r="H924" s="19"/>
      <c r="I924" s="21" t="s">
        <v>29</v>
      </c>
      <c r="J924" s="21" t="s">
        <v>29</v>
      </c>
      <c r="K924" s="22" t="s">
        <v>3293</v>
      </c>
      <c r="L924" s="56">
        <v>45062</v>
      </c>
      <c r="O924" s="42"/>
      <c r="P924" s="40"/>
      <c r="Q924" s="61"/>
      <c r="R924" s="61"/>
      <c r="S924" s="40"/>
      <c r="T924" s="38"/>
      <c r="U924" s="38"/>
      <c r="V924" s="38"/>
      <c r="W924" s="60"/>
      <c r="AB924" s="42"/>
      <c r="AC924" s="35"/>
      <c r="AD924" s="38"/>
      <c r="AE924" s="38"/>
      <c r="AF924" s="38"/>
      <c r="AG924" s="38"/>
      <c r="AH924" s="60"/>
    </row>
    <row r="925" spans="1:34" ht="15.75" customHeight="1">
      <c r="A925" s="17"/>
      <c r="B925" s="41" t="s">
        <v>3294</v>
      </c>
      <c r="C925" s="19" t="s">
        <v>24</v>
      </c>
      <c r="D925" s="25" t="s">
        <v>3295</v>
      </c>
      <c r="E925" s="20" t="s">
        <v>3296</v>
      </c>
      <c r="F925" s="19"/>
      <c r="G925" s="19"/>
      <c r="H925" s="19"/>
      <c r="I925" s="21"/>
      <c r="J925" s="21"/>
      <c r="K925" s="22"/>
      <c r="L925" s="56"/>
      <c r="O925" s="42"/>
      <c r="P925" s="40"/>
      <c r="Q925" s="61"/>
      <c r="R925" s="61"/>
      <c r="S925" s="40"/>
      <c r="T925" s="38"/>
      <c r="U925" s="38"/>
      <c r="V925" s="38"/>
      <c r="W925" s="60"/>
      <c r="AB925" s="42"/>
      <c r="AC925" s="35"/>
      <c r="AD925" s="38"/>
      <c r="AE925" s="38"/>
      <c r="AF925" s="38"/>
      <c r="AG925" s="38"/>
      <c r="AH925" s="60"/>
    </row>
    <row r="926" spans="1:34" ht="15.75" customHeight="1">
      <c r="A926" s="17">
        <v>167</v>
      </c>
      <c r="B926" s="18" t="s">
        <v>3297</v>
      </c>
      <c r="C926" s="19" t="s">
        <v>1470</v>
      </c>
      <c r="D926" s="25" t="s">
        <v>3298</v>
      </c>
      <c r="E926" s="20" t="s">
        <v>3299</v>
      </c>
      <c r="F926" s="19" t="s">
        <v>3286</v>
      </c>
      <c r="G926" s="37" t="s">
        <v>1461</v>
      </c>
      <c r="H926" s="19"/>
      <c r="I926" s="21" t="s">
        <v>29</v>
      </c>
      <c r="J926" s="21" t="s">
        <v>29</v>
      </c>
      <c r="K926" s="22" t="s">
        <v>3299</v>
      </c>
      <c r="L926" s="56">
        <v>45062</v>
      </c>
      <c r="O926" s="42"/>
      <c r="P926" s="40"/>
      <c r="Q926" s="61"/>
      <c r="R926" s="61"/>
      <c r="S926" s="40"/>
      <c r="T926" s="38"/>
      <c r="U926" s="38"/>
      <c r="V926" s="38"/>
      <c r="W926" s="60"/>
      <c r="AB926" s="42"/>
      <c r="AC926" s="35"/>
      <c r="AD926" s="38"/>
      <c r="AE926" s="38"/>
      <c r="AF926" s="38"/>
      <c r="AG926" s="38"/>
      <c r="AH926" s="60"/>
    </row>
    <row r="927" spans="1:34" ht="15.75" customHeight="1">
      <c r="A927" s="35"/>
      <c r="B927" s="18" t="s">
        <v>3300</v>
      </c>
      <c r="C927" s="19" t="s">
        <v>24</v>
      </c>
      <c r="D927" s="25" t="s">
        <v>3301</v>
      </c>
      <c r="E927" s="20" t="s">
        <v>3302</v>
      </c>
      <c r="F927" s="19" t="s">
        <v>27</v>
      </c>
      <c r="G927" s="19" t="s">
        <v>28</v>
      </c>
      <c r="H927" s="19" t="s">
        <v>36</v>
      </c>
      <c r="I927" s="21" t="s">
        <v>29</v>
      </c>
      <c r="J927" s="21" t="s">
        <v>29</v>
      </c>
      <c r="K927" s="22" t="s">
        <v>3303</v>
      </c>
      <c r="L927" s="56">
        <v>45062</v>
      </c>
      <c r="O927" s="42"/>
      <c r="P927" s="40"/>
      <c r="Q927" s="61"/>
      <c r="R927" s="61"/>
      <c r="S927" s="40"/>
      <c r="T927" s="38"/>
      <c r="U927" s="38"/>
      <c r="V927" s="38"/>
      <c r="W927" s="60"/>
      <c r="AB927" s="42"/>
      <c r="AC927" s="35"/>
      <c r="AD927" s="38"/>
      <c r="AE927" s="38"/>
      <c r="AF927" s="38"/>
      <c r="AG927" s="38"/>
      <c r="AH927" s="60"/>
    </row>
    <row r="928" spans="1:34" ht="15.75" customHeight="1">
      <c r="A928" s="35"/>
      <c r="B928" s="18" t="s">
        <v>3304</v>
      </c>
      <c r="C928" s="19" t="s">
        <v>46</v>
      </c>
      <c r="D928" s="25" t="s">
        <v>3305</v>
      </c>
      <c r="E928" s="20" t="s">
        <v>3306</v>
      </c>
      <c r="F928" s="37" t="s">
        <v>49</v>
      </c>
      <c r="G928" s="19" t="s">
        <v>50</v>
      </c>
      <c r="H928" s="19"/>
      <c r="I928" s="21" t="s">
        <v>29</v>
      </c>
      <c r="J928" s="21" t="s">
        <v>29</v>
      </c>
      <c r="K928" s="22" t="s">
        <v>3306</v>
      </c>
      <c r="L928" s="56">
        <v>45062</v>
      </c>
      <c r="O928" s="42"/>
      <c r="P928" s="40"/>
      <c r="Q928" s="61"/>
      <c r="R928" s="61"/>
      <c r="S928" s="40"/>
      <c r="T928" s="38"/>
      <c r="U928" s="38"/>
      <c r="V928" s="38"/>
      <c r="W928" s="60"/>
      <c r="AB928" s="42"/>
      <c r="AC928" s="35"/>
      <c r="AD928" s="38"/>
      <c r="AE928" s="38"/>
      <c r="AF928" s="38"/>
      <c r="AG928" s="38"/>
      <c r="AH928" s="60"/>
    </row>
    <row r="929" spans="1:34" ht="15.75" customHeight="1">
      <c r="A929" s="35"/>
      <c r="B929" s="18" t="s">
        <v>3307</v>
      </c>
      <c r="C929" s="19" t="s">
        <v>24</v>
      </c>
      <c r="D929" s="25" t="s">
        <v>3308</v>
      </c>
      <c r="E929" s="20" t="s">
        <v>3309</v>
      </c>
      <c r="F929" s="19" t="s">
        <v>27</v>
      </c>
      <c r="G929" s="19" t="s">
        <v>28</v>
      </c>
      <c r="H929" s="19"/>
      <c r="I929" s="21" t="s">
        <v>29</v>
      </c>
      <c r="J929" s="21" t="s">
        <v>29</v>
      </c>
      <c r="K929" s="22" t="s">
        <v>3309</v>
      </c>
      <c r="L929" s="56">
        <v>45062</v>
      </c>
      <c r="O929" s="42"/>
      <c r="P929" s="40"/>
      <c r="Q929" s="61"/>
      <c r="R929" s="61"/>
      <c r="S929" s="40"/>
      <c r="T929" s="38"/>
      <c r="U929" s="38"/>
      <c r="V929" s="38"/>
      <c r="W929" s="60"/>
      <c r="AB929" s="42"/>
      <c r="AC929" s="35"/>
      <c r="AD929" s="38"/>
      <c r="AE929" s="38"/>
      <c r="AF929" s="38"/>
      <c r="AG929" s="38"/>
      <c r="AH929" s="60"/>
    </row>
    <row r="930" spans="1:34" ht="15.75" customHeight="1">
      <c r="A930" s="35"/>
      <c r="B930" s="36" t="s">
        <v>3310</v>
      </c>
      <c r="C930" s="37" t="s">
        <v>121</v>
      </c>
      <c r="D930" s="25" t="s">
        <v>3311</v>
      </c>
      <c r="E930" s="20" t="s">
        <v>55</v>
      </c>
      <c r="F930" s="19" t="s">
        <v>414</v>
      </c>
      <c r="G930" s="37" t="s">
        <v>452</v>
      </c>
      <c r="H930" s="37"/>
      <c r="I930" s="21" t="s">
        <v>233</v>
      </c>
      <c r="J930" s="21" t="s">
        <v>452</v>
      </c>
      <c r="K930" s="22" t="s">
        <v>55</v>
      </c>
      <c r="L930" s="56">
        <v>45062</v>
      </c>
      <c r="O930" s="42"/>
      <c r="P930" s="40"/>
      <c r="Q930" s="61"/>
      <c r="R930" s="61"/>
      <c r="S930" s="40"/>
      <c r="T930" s="38"/>
      <c r="U930" s="38"/>
      <c r="V930" s="38"/>
      <c r="W930" s="60"/>
      <c r="AB930" s="42"/>
      <c r="AC930" s="35"/>
      <c r="AD930" s="38"/>
      <c r="AE930" s="38"/>
      <c r="AF930" s="38"/>
      <c r="AG930" s="38"/>
      <c r="AH930" s="60"/>
    </row>
    <row r="931" spans="1:34" ht="15.75" customHeight="1">
      <c r="A931" s="35"/>
      <c r="B931" s="41" t="s">
        <v>3312</v>
      </c>
      <c r="C931" s="19" t="s">
        <v>46</v>
      </c>
      <c r="D931" s="25" t="s">
        <v>3313</v>
      </c>
      <c r="E931" s="20" t="s">
        <v>3314</v>
      </c>
      <c r="F931" s="19"/>
      <c r="G931" s="19"/>
      <c r="H931" s="19"/>
      <c r="I931" s="21"/>
      <c r="J931" s="21"/>
      <c r="K931" s="22"/>
      <c r="L931" s="56"/>
      <c r="O931" s="42"/>
      <c r="P931" s="40"/>
      <c r="Q931" s="61"/>
      <c r="R931" s="61"/>
      <c r="S931" s="40"/>
      <c r="T931" s="38"/>
      <c r="U931" s="38"/>
      <c r="V931" s="38"/>
      <c r="W931" s="60"/>
      <c r="AB931" s="42"/>
      <c r="AC931" s="35"/>
      <c r="AD931" s="38"/>
      <c r="AE931" s="38"/>
      <c r="AF931" s="38"/>
      <c r="AG931" s="38"/>
      <c r="AH931" s="60"/>
    </row>
    <row r="932" spans="1:34" ht="15.75" customHeight="1">
      <c r="A932" s="35"/>
      <c r="B932" s="18" t="s">
        <v>3315</v>
      </c>
      <c r="C932" s="19" t="s">
        <v>24</v>
      </c>
      <c r="D932" s="25" t="s">
        <v>3316</v>
      </c>
      <c r="E932" s="20" t="s">
        <v>3317</v>
      </c>
      <c r="F932" s="19" t="s">
        <v>27</v>
      </c>
      <c r="G932" s="19" t="s">
        <v>28</v>
      </c>
      <c r="H932" s="19"/>
      <c r="I932" s="21" t="s">
        <v>29</v>
      </c>
      <c r="J932" s="21" t="s">
        <v>29</v>
      </c>
      <c r="K932" s="22" t="s">
        <v>3317</v>
      </c>
      <c r="L932" s="56">
        <v>45062</v>
      </c>
      <c r="O932" s="42"/>
      <c r="P932" s="40"/>
      <c r="Q932" s="61"/>
      <c r="R932" s="61"/>
      <c r="S932" s="40"/>
      <c r="T932" s="38"/>
      <c r="U932" s="38"/>
      <c r="V932" s="38"/>
      <c r="W932" s="60"/>
      <c r="AB932" s="42"/>
      <c r="AC932" s="35"/>
      <c r="AD932" s="38"/>
      <c r="AE932" s="38"/>
      <c r="AF932" s="38"/>
      <c r="AG932" s="38"/>
      <c r="AH932" s="60"/>
    </row>
    <row r="933" spans="1:34" ht="15.75" customHeight="1">
      <c r="A933" s="35"/>
      <c r="B933" s="18" t="s">
        <v>3318</v>
      </c>
      <c r="C933" s="19" t="s">
        <v>87</v>
      </c>
      <c r="D933" s="25" t="s">
        <v>3319</v>
      </c>
      <c r="E933" s="20" t="s">
        <v>3320</v>
      </c>
      <c r="F933" s="19" t="s">
        <v>90</v>
      </c>
      <c r="G933" s="19" t="s">
        <v>91</v>
      </c>
      <c r="H933" s="19"/>
      <c r="I933" s="21" t="s">
        <v>29</v>
      </c>
      <c r="J933" s="21" t="s">
        <v>29</v>
      </c>
      <c r="K933" s="22" t="s">
        <v>3321</v>
      </c>
      <c r="L933" s="56">
        <v>45062</v>
      </c>
      <c r="O933" s="42"/>
      <c r="P933" s="40"/>
      <c r="Q933" s="61"/>
      <c r="R933" s="61"/>
      <c r="S933" s="40"/>
      <c r="T933" s="38"/>
      <c r="U933" s="38"/>
      <c r="V933" s="38"/>
      <c r="W933" s="60"/>
      <c r="AB933" s="42"/>
      <c r="AC933" s="35"/>
      <c r="AD933" s="38"/>
      <c r="AE933" s="38"/>
      <c r="AF933" s="38"/>
      <c r="AG933" s="38"/>
      <c r="AH933" s="60"/>
    </row>
    <row r="934" spans="1:34" ht="15.75" customHeight="1">
      <c r="A934" s="35"/>
      <c r="B934" s="18" t="s">
        <v>3322</v>
      </c>
      <c r="C934" s="19" t="s">
        <v>24</v>
      </c>
      <c r="D934" s="25" t="s">
        <v>3323</v>
      </c>
      <c r="E934" s="20" t="s">
        <v>3324</v>
      </c>
      <c r="F934" s="19" t="s">
        <v>27</v>
      </c>
      <c r="G934" s="19" t="s">
        <v>28</v>
      </c>
      <c r="H934" s="19" t="s">
        <v>36</v>
      </c>
      <c r="I934" s="21" t="s">
        <v>29</v>
      </c>
      <c r="J934" s="21" t="s">
        <v>29</v>
      </c>
      <c r="K934" s="22" t="s">
        <v>3325</v>
      </c>
      <c r="L934" s="56">
        <v>45062</v>
      </c>
      <c r="O934" s="42"/>
      <c r="P934" s="40"/>
      <c r="Q934" s="61"/>
      <c r="R934" s="61"/>
      <c r="S934" s="40"/>
      <c r="T934" s="38"/>
      <c r="U934" s="38"/>
      <c r="V934" s="38"/>
      <c r="W934" s="60"/>
      <c r="AB934" s="42"/>
      <c r="AC934" s="35"/>
      <c r="AD934" s="38"/>
      <c r="AE934" s="38"/>
      <c r="AF934" s="38"/>
      <c r="AG934" s="38"/>
      <c r="AH934" s="60"/>
    </row>
    <row r="935" spans="1:34" ht="15.75" customHeight="1">
      <c r="A935" s="35"/>
      <c r="B935" s="18" t="s">
        <v>3326</v>
      </c>
      <c r="C935" s="19" t="s">
        <v>24</v>
      </c>
      <c r="D935" s="25" t="s">
        <v>3327</v>
      </c>
      <c r="E935" s="20" t="s">
        <v>3328</v>
      </c>
      <c r="F935" s="19" t="s">
        <v>27</v>
      </c>
      <c r="G935" s="19" t="s">
        <v>28</v>
      </c>
      <c r="H935" s="19"/>
      <c r="I935" s="21" t="s">
        <v>29</v>
      </c>
      <c r="J935" s="21" t="s">
        <v>29</v>
      </c>
      <c r="K935" s="22" t="s">
        <v>3329</v>
      </c>
      <c r="L935" s="56">
        <v>45062</v>
      </c>
      <c r="O935" s="42"/>
      <c r="P935" s="40"/>
      <c r="Q935" s="61"/>
      <c r="R935" s="61"/>
      <c r="S935" s="40"/>
      <c r="T935" s="38"/>
      <c r="U935" s="38"/>
      <c r="V935" s="38"/>
      <c r="W935" s="60"/>
      <c r="AB935" s="42"/>
      <c r="AC935" s="35"/>
      <c r="AD935" s="38"/>
      <c r="AE935" s="38"/>
      <c r="AF935" s="38"/>
      <c r="AG935" s="38"/>
      <c r="AH935" s="60"/>
    </row>
    <row r="936" spans="1:34" ht="15.75" customHeight="1">
      <c r="A936" s="35"/>
      <c r="B936" s="29" t="s">
        <v>3330</v>
      </c>
      <c r="C936" s="37" t="s">
        <v>24</v>
      </c>
      <c r="D936" s="25" t="s">
        <v>3331</v>
      </c>
      <c r="E936" s="20" t="s">
        <v>3332</v>
      </c>
      <c r="F936" s="19" t="s">
        <v>27</v>
      </c>
      <c r="G936" s="19" t="s">
        <v>28</v>
      </c>
      <c r="H936" s="37" t="s">
        <v>762</v>
      </c>
      <c r="I936" s="21" t="s">
        <v>29</v>
      </c>
      <c r="J936" s="21" t="s">
        <v>29</v>
      </c>
      <c r="K936" s="22" t="s">
        <v>3332</v>
      </c>
      <c r="L936" s="56">
        <v>45062</v>
      </c>
      <c r="O936" s="42"/>
      <c r="P936" s="40"/>
      <c r="Q936" s="61"/>
      <c r="R936" s="61"/>
      <c r="S936" s="40"/>
      <c r="T936" s="38"/>
      <c r="U936" s="38"/>
      <c r="V936" s="38"/>
      <c r="W936" s="60"/>
      <c r="AB936" s="42"/>
      <c r="AC936" s="35"/>
      <c r="AD936" s="38"/>
      <c r="AE936" s="38"/>
      <c r="AF936" s="38"/>
      <c r="AG936" s="38"/>
      <c r="AH936" s="60"/>
    </row>
    <row r="937" spans="1:34" ht="15.75" customHeight="1">
      <c r="A937" s="35"/>
      <c r="B937" s="18" t="s">
        <v>3333</v>
      </c>
      <c r="C937" s="19" t="s">
        <v>24</v>
      </c>
      <c r="D937" s="25" t="s">
        <v>3334</v>
      </c>
      <c r="E937" s="20" t="s">
        <v>3335</v>
      </c>
      <c r="F937" s="19" t="s">
        <v>27</v>
      </c>
      <c r="G937" s="19" t="s">
        <v>28</v>
      </c>
      <c r="H937" s="19" t="s">
        <v>36</v>
      </c>
      <c r="I937" s="21" t="s">
        <v>29</v>
      </c>
      <c r="J937" s="21" t="s">
        <v>29</v>
      </c>
      <c r="K937" s="22" t="s">
        <v>3336</v>
      </c>
      <c r="L937" s="56">
        <v>45062</v>
      </c>
      <c r="O937" s="42"/>
      <c r="P937" s="40"/>
      <c r="Q937" s="61"/>
      <c r="R937" s="61"/>
      <c r="S937" s="40"/>
      <c r="T937" s="38"/>
      <c r="U937" s="38"/>
      <c r="V937" s="38"/>
      <c r="W937" s="60"/>
      <c r="AB937" s="42"/>
      <c r="AC937" s="35"/>
      <c r="AD937" s="38"/>
      <c r="AE937" s="38"/>
      <c r="AF937" s="38"/>
      <c r="AG937" s="38"/>
      <c r="AH937" s="60"/>
    </row>
    <row r="938" spans="1:34" ht="15.75" customHeight="1">
      <c r="A938" s="35"/>
      <c r="B938" s="41" t="s">
        <v>3337</v>
      </c>
      <c r="C938" s="19" t="s">
        <v>46</v>
      </c>
      <c r="D938" s="25" t="s">
        <v>3338</v>
      </c>
      <c r="E938" s="20" t="s">
        <v>3339</v>
      </c>
      <c r="F938" s="19"/>
      <c r="G938" s="19"/>
      <c r="H938" s="19"/>
      <c r="I938" s="21"/>
      <c r="J938" s="21"/>
      <c r="K938" s="22"/>
      <c r="L938" s="56"/>
      <c r="O938" s="42"/>
      <c r="P938" s="40"/>
      <c r="Q938" s="61"/>
      <c r="R938" s="61"/>
      <c r="S938" s="40"/>
      <c r="T938" s="38"/>
      <c r="U938" s="38"/>
      <c r="V938" s="38"/>
      <c r="W938" s="60"/>
      <c r="AB938" s="42"/>
      <c r="AC938" s="35"/>
      <c r="AD938" s="38"/>
      <c r="AE938" s="38"/>
      <c r="AF938" s="38"/>
      <c r="AG938" s="38"/>
      <c r="AH938" s="60"/>
    </row>
    <row r="939" spans="1:34" ht="15.75" customHeight="1">
      <c r="A939" s="35"/>
      <c r="B939" s="18" t="s">
        <v>3340</v>
      </c>
      <c r="C939" s="19" t="s">
        <v>24</v>
      </c>
      <c r="D939" s="25" t="s">
        <v>3341</v>
      </c>
      <c r="E939" s="20" t="s">
        <v>3342</v>
      </c>
      <c r="F939" s="19" t="s">
        <v>27</v>
      </c>
      <c r="G939" s="19" t="s">
        <v>28</v>
      </c>
      <c r="H939" s="19"/>
      <c r="I939" s="21" t="s">
        <v>29</v>
      </c>
      <c r="J939" s="21" t="s">
        <v>29</v>
      </c>
      <c r="K939" s="22" t="s">
        <v>3343</v>
      </c>
      <c r="L939" s="56">
        <v>45062</v>
      </c>
      <c r="O939" s="42"/>
      <c r="P939" s="40"/>
      <c r="Q939" s="61"/>
      <c r="R939" s="61"/>
      <c r="S939" s="40"/>
      <c r="T939" s="38"/>
      <c r="U939" s="38"/>
      <c r="V939" s="38"/>
      <c r="W939" s="60"/>
      <c r="AB939" s="42"/>
      <c r="AC939" s="35"/>
      <c r="AD939" s="38"/>
      <c r="AE939" s="38"/>
      <c r="AF939" s="38"/>
      <c r="AG939" s="38"/>
      <c r="AH939" s="60"/>
    </row>
    <row r="940" spans="1:34" ht="15.75" customHeight="1">
      <c r="A940" s="35"/>
      <c r="B940" s="18" t="s">
        <v>3344</v>
      </c>
      <c r="C940" s="19" t="s">
        <v>24</v>
      </c>
      <c r="D940" s="25" t="s">
        <v>3345</v>
      </c>
      <c r="E940" s="20" t="s">
        <v>3346</v>
      </c>
      <c r="F940" s="19" t="s">
        <v>27</v>
      </c>
      <c r="G940" s="19" t="s">
        <v>28</v>
      </c>
      <c r="H940" s="19"/>
      <c r="I940" s="21" t="s">
        <v>29</v>
      </c>
      <c r="J940" s="21" t="s">
        <v>29</v>
      </c>
      <c r="K940" s="22" t="s">
        <v>3347</v>
      </c>
      <c r="L940" s="56">
        <v>45062</v>
      </c>
      <c r="O940" s="42"/>
      <c r="P940" s="40"/>
      <c r="Q940" s="61"/>
      <c r="R940" s="61"/>
      <c r="S940" s="40"/>
      <c r="T940" s="38"/>
      <c r="U940" s="38"/>
      <c r="V940" s="38"/>
      <c r="W940" s="60"/>
      <c r="AB940" s="42"/>
      <c r="AC940" s="35"/>
      <c r="AD940" s="38"/>
      <c r="AE940" s="38"/>
      <c r="AF940" s="38"/>
      <c r="AG940" s="38"/>
      <c r="AH940" s="60"/>
    </row>
    <row r="941" spans="1:34" ht="15.75" customHeight="1">
      <c r="A941" s="35"/>
      <c r="B941" s="38"/>
      <c r="C941" s="37"/>
      <c r="D941" s="20"/>
      <c r="E941" s="20"/>
      <c r="F941" s="37"/>
      <c r="G941" s="37"/>
      <c r="H941" s="37"/>
      <c r="I941" s="21"/>
      <c r="J941" s="21"/>
      <c r="K941" s="22"/>
      <c r="L941" s="39"/>
      <c r="M941" s="67"/>
      <c r="N941" s="67"/>
      <c r="O941" s="42"/>
      <c r="P941" s="40"/>
      <c r="Q941" s="61"/>
      <c r="R941" s="61"/>
      <c r="S941" s="40"/>
      <c r="T941" s="38"/>
      <c r="U941" s="38"/>
      <c r="V941" s="38"/>
      <c r="W941" s="60"/>
      <c r="AB941" s="42"/>
      <c r="AC941" s="35"/>
      <c r="AD941" s="38"/>
      <c r="AE941" s="38"/>
      <c r="AF941" s="38"/>
      <c r="AG941" s="38"/>
      <c r="AH941" s="60"/>
    </row>
    <row r="942" spans="1:34" ht="15.75" customHeight="1">
      <c r="A942" s="35" t="s">
        <v>3348</v>
      </c>
      <c r="B942" s="29" t="s">
        <v>3349</v>
      </c>
      <c r="C942" s="19" t="s">
        <v>24</v>
      </c>
      <c r="D942" s="20" t="s">
        <v>3350</v>
      </c>
      <c r="E942" s="20" t="s">
        <v>3351</v>
      </c>
      <c r="F942" s="19" t="s">
        <v>27</v>
      </c>
      <c r="G942" s="19" t="s">
        <v>28</v>
      </c>
      <c r="H942" s="19" t="s">
        <v>36</v>
      </c>
      <c r="I942" s="21" t="s">
        <v>29</v>
      </c>
      <c r="J942" s="21" t="s">
        <v>29</v>
      </c>
      <c r="K942" s="22" t="s">
        <v>3352</v>
      </c>
      <c r="L942" s="56">
        <v>45062</v>
      </c>
      <c r="M942" s="40"/>
      <c r="N942" s="40"/>
      <c r="O942" s="42"/>
      <c r="P942" s="40"/>
      <c r="Q942" s="61"/>
      <c r="R942" s="61"/>
      <c r="S942" s="40"/>
      <c r="T942" s="38"/>
      <c r="U942" s="38"/>
      <c r="V942" s="38"/>
      <c r="W942" s="60"/>
      <c r="AB942" s="42"/>
      <c r="AC942" s="35"/>
      <c r="AD942" s="38"/>
      <c r="AE942" s="38"/>
      <c r="AF942" s="38"/>
      <c r="AG942" s="38"/>
      <c r="AH942" s="60"/>
    </row>
    <row r="943" spans="1:34" ht="15.75" customHeight="1">
      <c r="A943" s="54" t="s">
        <v>3353</v>
      </c>
      <c r="B943" s="18" t="s">
        <v>3354</v>
      </c>
      <c r="C943" s="19" t="s">
        <v>87</v>
      </c>
      <c r="D943" s="20" t="s">
        <v>3355</v>
      </c>
      <c r="E943" s="20" t="s">
        <v>3356</v>
      </c>
      <c r="F943" s="19" t="s">
        <v>90</v>
      </c>
      <c r="G943" s="19" t="s">
        <v>91</v>
      </c>
      <c r="H943" s="19"/>
      <c r="I943" s="21" t="s">
        <v>29</v>
      </c>
      <c r="J943" s="21" t="s">
        <v>29</v>
      </c>
      <c r="K943" s="22" t="s">
        <v>3357</v>
      </c>
      <c r="L943" s="56">
        <v>45062</v>
      </c>
      <c r="O943" s="42"/>
      <c r="P943" s="40"/>
      <c r="Q943" s="61"/>
      <c r="R943" s="61"/>
      <c r="S943" s="40"/>
      <c r="T943" s="38"/>
      <c r="U943" s="38"/>
      <c r="V943" s="38"/>
      <c r="W943" s="60"/>
      <c r="AB943" s="42"/>
      <c r="AC943" s="35"/>
      <c r="AD943" s="38"/>
      <c r="AE943" s="38"/>
      <c r="AF943" s="38"/>
      <c r="AG943" s="38"/>
      <c r="AH943" s="60"/>
    </row>
    <row r="944" spans="1:34" ht="15.75" customHeight="1">
      <c r="A944" s="50" t="s">
        <v>39</v>
      </c>
      <c r="B944" s="18" t="s">
        <v>3358</v>
      </c>
      <c r="C944" s="19" t="s">
        <v>24</v>
      </c>
      <c r="D944" s="20" t="s">
        <v>3359</v>
      </c>
      <c r="E944" s="20" t="s">
        <v>3360</v>
      </c>
      <c r="F944" s="19" t="s">
        <v>27</v>
      </c>
      <c r="G944" s="19" t="s">
        <v>28</v>
      </c>
      <c r="H944" s="19" t="s">
        <v>36</v>
      </c>
      <c r="I944" s="21" t="s">
        <v>29</v>
      </c>
      <c r="J944" s="21" t="s">
        <v>29</v>
      </c>
      <c r="K944" s="22" t="s">
        <v>3361</v>
      </c>
      <c r="L944" s="56">
        <v>45062</v>
      </c>
      <c r="O944" s="42"/>
      <c r="P944" s="40"/>
      <c r="Q944" s="61"/>
      <c r="R944" s="61"/>
      <c r="S944" s="40"/>
      <c r="T944" s="38"/>
      <c r="U944" s="38"/>
      <c r="V944" s="38"/>
      <c r="W944" s="60"/>
      <c r="AB944" s="42"/>
      <c r="AC944" s="35"/>
      <c r="AD944" s="38"/>
      <c r="AE944" s="38"/>
      <c r="AF944" s="38"/>
      <c r="AG944" s="38"/>
      <c r="AH944" s="60"/>
    </row>
    <row r="945" spans="1:34" ht="15.75" customHeight="1">
      <c r="A945" s="35" t="s">
        <v>3244</v>
      </c>
      <c r="B945" s="36" t="s">
        <v>3362</v>
      </c>
      <c r="C945" s="19" t="s">
        <v>121</v>
      </c>
      <c r="D945" s="20" t="s">
        <v>3363</v>
      </c>
      <c r="E945" s="20" t="s">
        <v>3364</v>
      </c>
      <c r="F945" s="37" t="s">
        <v>49</v>
      </c>
      <c r="G945" s="19" t="s">
        <v>452</v>
      </c>
      <c r="H945" s="19"/>
      <c r="I945" s="21" t="s">
        <v>29</v>
      </c>
      <c r="J945" s="21" t="s">
        <v>452</v>
      </c>
      <c r="K945" s="22" t="s">
        <v>3365</v>
      </c>
      <c r="L945" s="56">
        <v>45062</v>
      </c>
      <c r="O945" s="42"/>
      <c r="P945" s="40"/>
      <c r="Q945" s="61"/>
      <c r="R945" s="61"/>
      <c r="S945" s="40"/>
      <c r="T945" s="38"/>
      <c r="U945" s="38"/>
      <c r="V945" s="38"/>
      <c r="W945" s="60"/>
      <c r="AB945" s="42"/>
      <c r="AC945" s="35"/>
      <c r="AD945" s="38"/>
      <c r="AE945" s="38"/>
      <c r="AF945" s="38"/>
      <c r="AG945" s="38"/>
      <c r="AH945" s="60"/>
    </row>
    <row r="946" spans="1:34" ht="15.75" customHeight="1">
      <c r="A946" s="35" t="s">
        <v>3366</v>
      </c>
      <c r="B946" s="18" t="s">
        <v>3367</v>
      </c>
      <c r="C946" s="19" t="s">
        <v>24</v>
      </c>
      <c r="D946" s="20" t="s">
        <v>3368</v>
      </c>
      <c r="E946" s="20" t="s">
        <v>3369</v>
      </c>
      <c r="F946" s="19" t="s">
        <v>27</v>
      </c>
      <c r="G946" s="19" t="s">
        <v>28</v>
      </c>
      <c r="H946" s="19" t="s">
        <v>36</v>
      </c>
      <c r="I946" s="21" t="s">
        <v>29</v>
      </c>
      <c r="J946" s="21" t="s">
        <v>29</v>
      </c>
      <c r="K946" s="22" t="s">
        <v>3370</v>
      </c>
      <c r="L946" s="56">
        <v>45062</v>
      </c>
      <c r="O946" s="42"/>
      <c r="P946" s="40"/>
      <c r="Q946" s="61"/>
      <c r="R946" s="61"/>
      <c r="S946" s="40"/>
      <c r="T946" s="38"/>
      <c r="U946" s="38"/>
      <c r="V946" s="38"/>
      <c r="W946" s="60"/>
      <c r="AB946" s="42"/>
      <c r="AC946" s="35"/>
      <c r="AD946" s="38"/>
      <c r="AE946" s="38"/>
      <c r="AF946" s="38"/>
      <c r="AG946" s="38"/>
      <c r="AH946" s="60"/>
    </row>
    <row r="947" spans="1:34" ht="15.75" customHeight="1">
      <c r="A947" s="44" t="s">
        <v>56</v>
      </c>
      <c r="B947" s="18" t="s">
        <v>3371</v>
      </c>
      <c r="C947" s="19" t="s">
        <v>46</v>
      </c>
      <c r="D947" s="20" t="s">
        <v>3372</v>
      </c>
      <c r="E947" s="20" t="s">
        <v>3373</v>
      </c>
      <c r="F947" s="37" t="s">
        <v>49</v>
      </c>
      <c r="G947" s="19" t="s">
        <v>50</v>
      </c>
      <c r="H947" s="19"/>
      <c r="I947" s="21" t="s">
        <v>29</v>
      </c>
      <c r="J947" s="21" t="s">
        <v>29</v>
      </c>
      <c r="K947" s="22" t="s">
        <v>3374</v>
      </c>
      <c r="L947" s="56">
        <v>45062</v>
      </c>
      <c r="O947" s="42"/>
      <c r="P947" s="40"/>
      <c r="Q947" s="61"/>
      <c r="R947" s="61"/>
      <c r="S947" s="40"/>
      <c r="T947" s="38"/>
      <c r="U947" s="38"/>
      <c r="V947" s="38"/>
      <c r="W947" s="60"/>
      <c r="AB947" s="42"/>
      <c r="AC947" s="35"/>
      <c r="AD947" s="38"/>
      <c r="AE947" s="38"/>
      <c r="AF947" s="38"/>
      <c r="AG947" s="38"/>
      <c r="AH947" s="60"/>
    </row>
    <row r="948" spans="1:34" ht="15.75" customHeight="1">
      <c r="A948" s="53">
        <v>85</v>
      </c>
      <c r="B948" s="34" t="s">
        <v>3375</v>
      </c>
      <c r="C948" s="19" t="s">
        <v>87</v>
      </c>
      <c r="D948" s="20" t="s">
        <v>3376</v>
      </c>
      <c r="E948" s="20" t="s">
        <v>3377</v>
      </c>
      <c r="F948" s="37" t="s">
        <v>49</v>
      </c>
      <c r="G948" s="19" t="s">
        <v>50</v>
      </c>
      <c r="H948" s="19"/>
      <c r="I948" s="21" t="s">
        <v>29</v>
      </c>
      <c r="J948" s="21" t="s">
        <v>29</v>
      </c>
      <c r="K948" s="22" t="s">
        <v>3378</v>
      </c>
      <c r="L948" s="56">
        <v>45062</v>
      </c>
      <c r="O948" s="42"/>
      <c r="P948" s="40"/>
      <c r="Q948" s="61"/>
      <c r="R948" s="61"/>
      <c r="S948" s="40"/>
      <c r="T948" s="38"/>
      <c r="U948" s="38"/>
      <c r="V948" s="38"/>
      <c r="W948" s="60"/>
      <c r="AB948" s="42"/>
      <c r="AC948" s="35"/>
      <c r="AD948" s="38"/>
      <c r="AE948" s="38"/>
      <c r="AF948" s="38"/>
      <c r="AG948" s="38"/>
      <c r="AH948" s="60"/>
    </row>
    <row r="949" spans="1:34" ht="15.75" customHeight="1">
      <c r="A949" s="44" t="s">
        <v>64</v>
      </c>
      <c r="B949" s="18" t="s">
        <v>3379</v>
      </c>
      <c r="C949" s="19" t="s">
        <v>24</v>
      </c>
      <c r="D949" s="20" t="s">
        <v>3380</v>
      </c>
      <c r="E949" s="20" t="s">
        <v>55</v>
      </c>
      <c r="F949" s="19" t="s">
        <v>27</v>
      </c>
      <c r="G949" s="19" t="s">
        <v>28</v>
      </c>
      <c r="H949" s="19" t="s">
        <v>36</v>
      </c>
      <c r="I949" s="21" t="s">
        <v>29</v>
      </c>
      <c r="J949" s="21" t="s">
        <v>29</v>
      </c>
      <c r="K949" s="22" t="s">
        <v>55</v>
      </c>
      <c r="L949" s="56">
        <v>45062</v>
      </c>
      <c r="O949" s="42"/>
      <c r="P949" s="40"/>
      <c r="Q949" s="61"/>
      <c r="R949" s="61"/>
      <c r="S949" s="40"/>
      <c r="T949" s="38"/>
      <c r="U949" s="38"/>
      <c r="V949" s="38"/>
      <c r="W949" s="60"/>
      <c r="AB949" s="42"/>
      <c r="AC949" s="35"/>
      <c r="AD949" s="38"/>
      <c r="AE949" s="38"/>
      <c r="AF949" s="38"/>
      <c r="AG949" s="38"/>
      <c r="AH949" s="60"/>
    </row>
    <row r="950" spans="1:34" ht="15.75" customHeight="1">
      <c r="A950" s="53">
        <v>3.9</v>
      </c>
      <c r="B950" s="18" t="s">
        <v>3381</v>
      </c>
      <c r="C950" s="19" t="s">
        <v>1470</v>
      </c>
      <c r="D950" s="20" t="s">
        <v>3382</v>
      </c>
      <c r="E950" s="20" t="s">
        <v>3383</v>
      </c>
      <c r="F950" s="19" t="s">
        <v>3286</v>
      </c>
      <c r="G950" s="19" t="s">
        <v>1461</v>
      </c>
      <c r="H950" s="19"/>
      <c r="I950" s="21" t="s">
        <v>233</v>
      </c>
      <c r="J950" s="21" t="s">
        <v>233</v>
      </c>
      <c r="K950" s="22" t="s">
        <v>3384</v>
      </c>
      <c r="L950" s="56">
        <v>45062</v>
      </c>
      <c r="O950" s="42"/>
      <c r="P950" s="40"/>
      <c r="Q950" s="61"/>
      <c r="R950" s="61"/>
      <c r="S950" s="40"/>
      <c r="T950" s="38"/>
      <c r="U950" s="38"/>
      <c r="V950" s="38"/>
      <c r="W950" s="60"/>
      <c r="AB950" s="42"/>
      <c r="AC950" s="35"/>
      <c r="AD950" s="38"/>
      <c r="AE950" s="38"/>
      <c r="AF950" s="38"/>
      <c r="AG950" s="38"/>
      <c r="AH950" s="60"/>
    </row>
    <row r="951" spans="1:34" ht="15.75" customHeight="1">
      <c r="A951" s="44" t="s">
        <v>73</v>
      </c>
      <c r="B951" s="18" t="s">
        <v>3385</v>
      </c>
      <c r="C951" s="19" t="s">
        <v>1430</v>
      </c>
      <c r="D951" s="20" t="s">
        <v>3386</v>
      </c>
      <c r="E951" s="20" t="s">
        <v>3387</v>
      </c>
      <c r="F951" s="55" t="s">
        <v>1445</v>
      </c>
      <c r="G951" s="55" t="s">
        <v>1432</v>
      </c>
      <c r="H951" s="19"/>
      <c r="I951" s="21" t="s">
        <v>233</v>
      </c>
      <c r="J951" s="21" t="s">
        <v>233</v>
      </c>
      <c r="K951" s="22" t="s">
        <v>3388</v>
      </c>
      <c r="L951" s="56">
        <v>45062</v>
      </c>
      <c r="O951" s="42"/>
      <c r="P951" s="40"/>
      <c r="Q951" s="61"/>
      <c r="R951" s="61"/>
      <c r="S951" s="40"/>
      <c r="T951" s="38"/>
      <c r="U951" s="38"/>
      <c r="V951" s="38"/>
      <c r="W951" s="60"/>
      <c r="AB951" s="42"/>
      <c r="AC951" s="35"/>
      <c r="AD951" s="38"/>
      <c r="AE951" s="38"/>
      <c r="AF951" s="38"/>
      <c r="AG951" s="38"/>
      <c r="AH951" s="60"/>
    </row>
    <row r="952" spans="1:34" ht="15.75" customHeight="1">
      <c r="A952" s="53">
        <v>4</v>
      </c>
      <c r="B952" s="18" t="s">
        <v>3389</v>
      </c>
      <c r="C952" s="19" t="s">
        <v>24</v>
      </c>
      <c r="D952" s="20" t="s">
        <v>3390</v>
      </c>
      <c r="E952" s="20" t="s">
        <v>3391</v>
      </c>
      <c r="F952" s="19" t="s">
        <v>27</v>
      </c>
      <c r="G952" s="19" t="s">
        <v>28</v>
      </c>
      <c r="H952" s="19"/>
      <c r="I952" s="21" t="s">
        <v>29</v>
      </c>
      <c r="J952" s="21" t="s">
        <v>29</v>
      </c>
      <c r="K952" s="22" t="s">
        <v>3392</v>
      </c>
      <c r="L952" s="56">
        <v>45062</v>
      </c>
      <c r="O952" s="42"/>
      <c r="P952" s="40"/>
      <c r="Q952" s="61"/>
      <c r="R952" s="61"/>
      <c r="S952" s="40"/>
      <c r="T952" s="38"/>
      <c r="U952" s="38"/>
      <c r="V952" s="38"/>
      <c r="W952" s="60"/>
      <c r="AB952" s="42"/>
      <c r="AC952" s="35"/>
      <c r="AD952" s="38"/>
      <c r="AE952" s="38"/>
      <c r="AF952" s="38"/>
      <c r="AG952" s="38"/>
      <c r="AH952" s="60"/>
    </row>
    <row r="953" spans="1:34" ht="15.75" customHeight="1">
      <c r="A953" s="50" t="s">
        <v>82</v>
      </c>
      <c r="B953" s="18" t="s">
        <v>3393</v>
      </c>
      <c r="C953" s="19" t="s">
        <v>46</v>
      </c>
      <c r="D953" s="20" t="s">
        <v>3394</v>
      </c>
      <c r="E953" s="20" t="s">
        <v>3395</v>
      </c>
      <c r="F953" s="37" t="s">
        <v>49</v>
      </c>
      <c r="G953" s="19" t="s">
        <v>50</v>
      </c>
      <c r="H953" s="19"/>
      <c r="I953" s="21" t="s">
        <v>29</v>
      </c>
      <c r="J953" s="21" t="s">
        <v>29</v>
      </c>
      <c r="K953" s="22" t="s">
        <v>3396</v>
      </c>
      <c r="L953" s="56">
        <v>45062</v>
      </c>
      <c r="O953" s="42"/>
      <c r="P953" s="40"/>
      <c r="Q953" s="61"/>
      <c r="R953" s="61"/>
      <c r="S953" s="40"/>
      <c r="T953" s="38"/>
      <c r="U953" s="38"/>
      <c r="V953" s="38"/>
      <c r="W953" s="60"/>
      <c r="AB953" s="42"/>
      <c r="AC953" s="35"/>
      <c r="AD953" s="38"/>
      <c r="AE953" s="38"/>
      <c r="AF953" s="38"/>
      <c r="AG953" s="38"/>
      <c r="AH953" s="60"/>
    </row>
    <row r="954" spans="1:34" ht="15.75" customHeight="1">
      <c r="A954" s="35" t="s">
        <v>3397</v>
      </c>
      <c r="B954" s="18" t="s">
        <v>3398</v>
      </c>
      <c r="C954" s="19" t="s">
        <v>87</v>
      </c>
      <c r="D954" s="20" t="s">
        <v>3399</v>
      </c>
      <c r="E954" s="20" t="s">
        <v>3400</v>
      </c>
      <c r="F954" s="19" t="s">
        <v>90</v>
      </c>
      <c r="G954" s="19" t="s">
        <v>91</v>
      </c>
      <c r="H954" s="19"/>
      <c r="I954" s="21" t="s">
        <v>29</v>
      </c>
      <c r="J954" s="21" t="s">
        <v>29</v>
      </c>
      <c r="K954" s="22" t="s">
        <v>3401</v>
      </c>
      <c r="L954" s="56">
        <v>45062</v>
      </c>
      <c r="O954" s="42"/>
      <c r="P954" s="40"/>
      <c r="Q954" s="61"/>
      <c r="R954" s="61"/>
      <c r="S954" s="40"/>
      <c r="T954" s="38"/>
      <c r="U954" s="38"/>
      <c r="V954" s="38"/>
      <c r="W954" s="60"/>
      <c r="AB954" s="42"/>
      <c r="AC954" s="35"/>
      <c r="AD954" s="38"/>
      <c r="AE954" s="38"/>
      <c r="AF954" s="38"/>
      <c r="AG954" s="38"/>
      <c r="AH954" s="60"/>
    </row>
    <row r="955" spans="1:34" ht="15.75" customHeight="1">
      <c r="A955" s="31" t="s">
        <v>92</v>
      </c>
      <c r="B955" s="18" t="s">
        <v>3402</v>
      </c>
      <c r="C955" s="19" t="s">
        <v>1430</v>
      </c>
      <c r="D955" s="20" t="s">
        <v>3403</v>
      </c>
      <c r="E955" s="20" t="s">
        <v>3404</v>
      </c>
      <c r="F955" s="55" t="s">
        <v>1445</v>
      </c>
      <c r="G955" s="55" t="s">
        <v>1432</v>
      </c>
      <c r="H955" s="19"/>
      <c r="I955" s="21" t="s">
        <v>233</v>
      </c>
      <c r="J955" s="21" t="s">
        <v>233</v>
      </c>
      <c r="K955" s="22" t="s">
        <v>3404</v>
      </c>
      <c r="L955" s="56">
        <v>45062</v>
      </c>
      <c r="O955" s="42"/>
      <c r="P955" s="40"/>
      <c r="Q955" s="61"/>
      <c r="R955" s="61"/>
      <c r="S955" s="40"/>
      <c r="T955" s="38"/>
      <c r="U955" s="38"/>
      <c r="V955" s="38"/>
      <c r="W955" s="60"/>
      <c r="AB955" s="42"/>
      <c r="AC955" s="35"/>
      <c r="AD955" s="38"/>
      <c r="AE955" s="38"/>
      <c r="AF955" s="38"/>
      <c r="AG955" s="38"/>
      <c r="AH955" s="60"/>
    </row>
    <row r="956" spans="1:34" ht="15.75" customHeight="1">
      <c r="A956" s="33">
        <v>3380</v>
      </c>
      <c r="B956" s="18" t="s">
        <v>3405</v>
      </c>
      <c r="C956" s="19" t="s">
        <v>46</v>
      </c>
      <c r="D956" s="20" t="s">
        <v>3406</v>
      </c>
      <c r="E956" s="20" t="s">
        <v>3407</v>
      </c>
      <c r="F956" s="19" t="s">
        <v>286</v>
      </c>
      <c r="G956" s="19" t="s">
        <v>50</v>
      </c>
      <c r="H956" s="19"/>
      <c r="I956" s="21" t="s">
        <v>286</v>
      </c>
      <c r="J956" s="21" t="s">
        <v>29</v>
      </c>
      <c r="K956" s="22" t="s">
        <v>3408</v>
      </c>
      <c r="L956" s="56"/>
      <c r="O956" s="42"/>
      <c r="P956" s="40"/>
      <c r="Q956" s="61"/>
      <c r="R956" s="61"/>
      <c r="S956" s="40"/>
      <c r="T956" s="38"/>
      <c r="U956" s="38"/>
      <c r="V956" s="38"/>
      <c r="W956" s="60"/>
      <c r="AB956" s="42"/>
      <c r="AC956" s="35"/>
      <c r="AD956" s="38"/>
      <c r="AE956" s="38"/>
      <c r="AF956" s="38"/>
      <c r="AG956" s="38"/>
      <c r="AH956" s="60"/>
    </row>
    <row r="957" spans="1:34" ht="15.75" customHeight="1">
      <c r="A957" s="31" t="s">
        <v>100</v>
      </c>
      <c r="B957" s="18" t="s">
        <v>3409</v>
      </c>
      <c r="C957" s="19" t="s">
        <v>24</v>
      </c>
      <c r="D957" s="20" t="s">
        <v>3410</v>
      </c>
      <c r="E957" s="20" t="s">
        <v>3411</v>
      </c>
      <c r="F957" s="19" t="s">
        <v>27</v>
      </c>
      <c r="G957" s="19" t="s">
        <v>28</v>
      </c>
      <c r="H957" s="19"/>
      <c r="I957" s="21" t="s">
        <v>29</v>
      </c>
      <c r="J957" s="21" t="s">
        <v>29</v>
      </c>
      <c r="K957" s="22" t="s">
        <v>3412</v>
      </c>
      <c r="L957" s="56">
        <v>45062</v>
      </c>
      <c r="O957" s="42"/>
      <c r="P957" s="40"/>
      <c r="Q957" s="61"/>
      <c r="R957" s="61"/>
      <c r="S957" s="40"/>
      <c r="T957" s="38"/>
      <c r="U957" s="38"/>
      <c r="V957" s="38"/>
      <c r="W957" s="60"/>
      <c r="AB957" s="42"/>
      <c r="AC957" s="35"/>
      <c r="AD957" s="38"/>
      <c r="AE957" s="38"/>
      <c r="AF957" s="38"/>
      <c r="AG957" s="38"/>
      <c r="AH957" s="60"/>
    </row>
    <row r="958" spans="1:34" ht="15.75" customHeight="1">
      <c r="A958" s="17">
        <v>163</v>
      </c>
      <c r="B958" s="18" t="s">
        <v>3413</v>
      </c>
      <c r="C958" s="19" t="s">
        <v>87</v>
      </c>
      <c r="D958" s="20" t="s">
        <v>3414</v>
      </c>
      <c r="E958" s="20" t="s">
        <v>3415</v>
      </c>
      <c r="F958" s="19" t="s">
        <v>90</v>
      </c>
      <c r="G958" s="19" t="s">
        <v>91</v>
      </c>
      <c r="H958" s="19"/>
      <c r="I958" s="21" t="s">
        <v>29</v>
      </c>
      <c r="J958" s="21" t="s">
        <v>29</v>
      </c>
      <c r="K958" s="22" t="s">
        <v>3416</v>
      </c>
      <c r="L958" s="56">
        <v>45062</v>
      </c>
      <c r="O958" s="42"/>
      <c r="P958" s="40"/>
      <c r="Q958" s="61"/>
      <c r="R958" s="61"/>
      <c r="S958" s="40"/>
      <c r="T958" s="38"/>
      <c r="U958" s="38"/>
      <c r="V958" s="38"/>
      <c r="W958" s="60"/>
      <c r="AB958" s="42"/>
      <c r="AC958" s="35"/>
      <c r="AD958" s="38"/>
      <c r="AE958" s="38"/>
      <c r="AF958" s="38"/>
      <c r="AG958" s="38"/>
      <c r="AH958" s="60"/>
    </row>
    <row r="959" spans="1:34" ht="15.75" customHeight="1">
      <c r="A959" s="35"/>
      <c r="B959" s="18" t="s">
        <v>3417</v>
      </c>
      <c r="C959" s="19" t="s">
        <v>228</v>
      </c>
      <c r="D959" s="20" t="s">
        <v>3418</v>
      </c>
      <c r="E959" s="20" t="s">
        <v>3419</v>
      </c>
      <c r="F959" s="19" t="s">
        <v>90</v>
      </c>
      <c r="G959" s="19" t="s">
        <v>232</v>
      </c>
      <c r="H959" s="19"/>
      <c r="I959" s="21" t="s">
        <v>29</v>
      </c>
      <c r="J959" s="21" t="s">
        <v>233</v>
      </c>
      <c r="K959" s="22" t="s">
        <v>3420</v>
      </c>
      <c r="L959" s="56">
        <v>45062</v>
      </c>
      <c r="O959" s="42"/>
      <c r="P959" s="40"/>
      <c r="Q959" s="61"/>
      <c r="R959" s="61"/>
      <c r="S959" s="40"/>
      <c r="T959" s="38"/>
      <c r="U959" s="38"/>
      <c r="V959" s="38"/>
      <c r="W959" s="60"/>
      <c r="AB959" s="42"/>
      <c r="AC959" s="35"/>
      <c r="AD959" s="38"/>
      <c r="AE959" s="38"/>
      <c r="AF959" s="38"/>
      <c r="AG959" s="38"/>
      <c r="AH959" s="60"/>
    </row>
    <row r="960" spans="1:34" ht="15.75" customHeight="1">
      <c r="A960" s="35"/>
      <c r="B960" s="29" t="s">
        <v>3421</v>
      </c>
      <c r="C960" s="19" t="s">
        <v>24</v>
      </c>
      <c r="D960" s="20" t="s">
        <v>3422</v>
      </c>
      <c r="E960" s="20" t="s">
        <v>3423</v>
      </c>
      <c r="F960" s="19" t="s">
        <v>27</v>
      </c>
      <c r="G960" s="19" t="s">
        <v>28</v>
      </c>
      <c r="H960" s="19" t="s">
        <v>36</v>
      </c>
      <c r="I960" s="21" t="s">
        <v>29</v>
      </c>
      <c r="J960" s="21" t="s">
        <v>29</v>
      </c>
      <c r="K960" s="22" t="s">
        <v>3424</v>
      </c>
      <c r="L960" s="56">
        <v>45062</v>
      </c>
      <c r="O960" s="42"/>
      <c r="P960" s="40"/>
      <c r="Q960" s="61"/>
      <c r="R960" s="61"/>
      <c r="S960" s="40"/>
      <c r="T960" s="38"/>
      <c r="U960" s="38"/>
      <c r="V960" s="38"/>
      <c r="W960" s="60"/>
      <c r="AB960" s="42"/>
      <c r="AC960" s="35"/>
      <c r="AD960" s="38"/>
      <c r="AE960" s="38"/>
      <c r="AF960" s="38"/>
      <c r="AG960" s="38"/>
      <c r="AH960" s="60"/>
    </row>
    <row r="961" spans="1:34" ht="15.75" customHeight="1">
      <c r="A961" s="35"/>
      <c r="B961" s="18" t="s">
        <v>3425</v>
      </c>
      <c r="C961" s="19" t="s">
        <v>87</v>
      </c>
      <c r="D961" s="20" t="s">
        <v>3426</v>
      </c>
      <c r="E961" s="20" t="s">
        <v>3427</v>
      </c>
      <c r="F961" s="19" t="s">
        <v>90</v>
      </c>
      <c r="G961" s="19" t="s">
        <v>91</v>
      </c>
      <c r="H961" s="19"/>
      <c r="I961" s="21" t="s">
        <v>29</v>
      </c>
      <c r="J961" s="21" t="s">
        <v>29</v>
      </c>
      <c r="K961" s="22" t="s">
        <v>3428</v>
      </c>
      <c r="L961" s="56">
        <v>45062</v>
      </c>
      <c r="O961" s="42"/>
      <c r="P961" s="40"/>
      <c r="Q961" s="61"/>
      <c r="R961" s="61"/>
      <c r="S961" s="40"/>
      <c r="T961" s="38"/>
      <c r="U961" s="38"/>
      <c r="V961" s="38"/>
      <c r="W961" s="60"/>
      <c r="AB961" s="42"/>
      <c r="AC961" s="35"/>
      <c r="AD961" s="38"/>
      <c r="AE961" s="38"/>
      <c r="AF961" s="38"/>
      <c r="AG961" s="38"/>
      <c r="AH961" s="60"/>
    </row>
    <row r="962" spans="1:34" ht="15.75" customHeight="1">
      <c r="A962" s="35"/>
      <c r="B962" s="29" t="s">
        <v>3429</v>
      </c>
      <c r="C962" s="19" t="s">
        <v>1470</v>
      </c>
      <c r="D962" s="20" t="s">
        <v>3430</v>
      </c>
      <c r="E962" s="20" t="s">
        <v>3431</v>
      </c>
      <c r="F962" s="19" t="s">
        <v>3286</v>
      </c>
      <c r="G962" s="37" t="s">
        <v>1461</v>
      </c>
      <c r="H962" s="19"/>
      <c r="I962" s="21" t="s">
        <v>233</v>
      </c>
      <c r="J962" s="21" t="s">
        <v>233</v>
      </c>
      <c r="K962" s="22" t="s">
        <v>3432</v>
      </c>
      <c r="L962" s="56">
        <v>45062</v>
      </c>
      <c r="O962" s="42"/>
      <c r="P962" s="40"/>
      <c r="Q962" s="61"/>
      <c r="R962" s="61"/>
      <c r="S962" s="40"/>
      <c r="T962" s="38"/>
      <c r="U962" s="38"/>
      <c r="V962" s="38"/>
      <c r="W962" s="60"/>
      <c r="AB962" s="42"/>
      <c r="AC962" s="35"/>
      <c r="AD962" s="38"/>
      <c r="AE962" s="38"/>
      <c r="AF962" s="38"/>
      <c r="AG962" s="38"/>
      <c r="AH962" s="60"/>
    </row>
    <row r="963" spans="1:34" ht="15.75" customHeight="1">
      <c r="A963" s="35"/>
      <c r="B963" s="18" t="s">
        <v>3433</v>
      </c>
      <c r="C963" s="19" t="s">
        <v>24</v>
      </c>
      <c r="D963" s="20" t="s">
        <v>3434</v>
      </c>
      <c r="E963" s="20" t="s">
        <v>3435</v>
      </c>
      <c r="F963" s="19" t="s">
        <v>27</v>
      </c>
      <c r="G963" s="19" t="s">
        <v>28</v>
      </c>
      <c r="H963" s="19" t="s">
        <v>36</v>
      </c>
      <c r="I963" s="21" t="s">
        <v>29</v>
      </c>
      <c r="J963" s="21" t="s">
        <v>29</v>
      </c>
      <c r="K963" s="22" t="s">
        <v>3436</v>
      </c>
      <c r="L963" s="56">
        <v>45062</v>
      </c>
      <c r="O963" s="42"/>
      <c r="P963" s="40"/>
      <c r="Q963" s="61"/>
      <c r="R963" s="61"/>
      <c r="S963" s="40"/>
      <c r="T963" s="38"/>
      <c r="U963" s="38"/>
      <c r="V963" s="38"/>
      <c r="W963" s="60"/>
      <c r="AB963" s="42"/>
      <c r="AC963" s="35"/>
      <c r="AD963" s="38"/>
      <c r="AE963" s="38"/>
      <c r="AF963" s="38"/>
      <c r="AG963" s="38"/>
      <c r="AH963" s="60"/>
    </row>
    <row r="964" spans="1:34" ht="15.75" customHeight="1">
      <c r="A964" s="35"/>
      <c r="B964" s="18" t="s">
        <v>3437</v>
      </c>
      <c r="C964" s="19" t="s">
        <v>87</v>
      </c>
      <c r="D964" s="20" t="s">
        <v>3438</v>
      </c>
      <c r="E964" s="20" t="s">
        <v>3439</v>
      </c>
      <c r="F964" s="19" t="s">
        <v>90</v>
      </c>
      <c r="G964" s="19" t="s">
        <v>91</v>
      </c>
      <c r="H964" s="19"/>
      <c r="I964" s="21" t="s">
        <v>29</v>
      </c>
      <c r="J964" s="21" t="s">
        <v>29</v>
      </c>
      <c r="K964" s="22" t="s">
        <v>3440</v>
      </c>
      <c r="L964" s="56">
        <v>45062</v>
      </c>
      <c r="O964" s="42"/>
      <c r="P964" s="40"/>
      <c r="Q964" s="61"/>
      <c r="R964" s="61"/>
      <c r="S964" s="40"/>
      <c r="T964" s="38"/>
      <c r="U964" s="38"/>
      <c r="V964" s="38"/>
      <c r="W964" s="60"/>
      <c r="AB964" s="42"/>
      <c r="AC964" s="35"/>
      <c r="AD964" s="38"/>
      <c r="AE964" s="38"/>
      <c r="AF964" s="38"/>
      <c r="AG964" s="38"/>
      <c r="AH964" s="60"/>
    </row>
    <row r="965" spans="1:34" ht="15.75" customHeight="1">
      <c r="A965" s="35"/>
      <c r="B965" s="18" t="s">
        <v>3441</v>
      </c>
      <c r="C965" s="19" t="s">
        <v>46</v>
      </c>
      <c r="D965" s="20" t="s">
        <v>3442</v>
      </c>
      <c r="E965" s="20" t="s">
        <v>3443</v>
      </c>
      <c r="F965" s="37" t="s">
        <v>49</v>
      </c>
      <c r="G965" s="19" t="s">
        <v>50</v>
      </c>
      <c r="H965" s="19"/>
      <c r="I965" s="21" t="s">
        <v>29</v>
      </c>
      <c r="J965" s="21" t="s">
        <v>29</v>
      </c>
      <c r="K965" s="22" t="s">
        <v>3444</v>
      </c>
      <c r="L965" s="56">
        <v>45062</v>
      </c>
      <c r="O965" s="42"/>
      <c r="P965" s="40"/>
      <c r="Q965" s="61"/>
      <c r="R965" s="61"/>
      <c r="S965" s="40"/>
      <c r="T965" s="38"/>
      <c r="U965" s="38"/>
      <c r="V965" s="38"/>
      <c r="W965" s="60"/>
      <c r="AB965" s="42"/>
      <c r="AC965" s="35"/>
      <c r="AD965" s="38"/>
      <c r="AE965" s="38"/>
      <c r="AF965" s="38"/>
      <c r="AG965" s="38"/>
      <c r="AH965" s="60"/>
    </row>
    <row r="966" spans="1:34" ht="15.75" customHeight="1">
      <c r="A966" s="35"/>
      <c r="B966" s="18" t="s">
        <v>3445</v>
      </c>
      <c r="C966" s="19" t="s">
        <v>87</v>
      </c>
      <c r="D966" s="20" t="s">
        <v>3446</v>
      </c>
      <c r="E966" s="20" t="s">
        <v>3447</v>
      </c>
      <c r="F966" s="19" t="s">
        <v>90</v>
      </c>
      <c r="G966" s="19" t="s">
        <v>91</v>
      </c>
      <c r="H966" s="19"/>
      <c r="I966" s="21" t="s">
        <v>29</v>
      </c>
      <c r="J966" s="21" t="s">
        <v>29</v>
      </c>
      <c r="K966" s="22" t="s">
        <v>3448</v>
      </c>
      <c r="L966" s="56">
        <v>45062</v>
      </c>
      <c r="O966" s="42"/>
      <c r="P966" s="40"/>
      <c r="Q966" s="61"/>
      <c r="R966" s="61"/>
      <c r="S966" s="40"/>
      <c r="T966" s="38"/>
      <c r="U966" s="38"/>
      <c r="V966" s="38"/>
      <c r="W966" s="60"/>
      <c r="AB966" s="42"/>
      <c r="AC966" s="35"/>
      <c r="AD966" s="38"/>
      <c r="AE966" s="38"/>
      <c r="AF966" s="38"/>
      <c r="AG966" s="38"/>
      <c r="AH966" s="60"/>
    </row>
    <row r="967" spans="1:34" ht="15.75" customHeight="1">
      <c r="A967" s="35"/>
      <c r="B967" s="18" t="s">
        <v>3449</v>
      </c>
      <c r="C967" s="19" t="s">
        <v>1366</v>
      </c>
      <c r="D967" s="20" t="s">
        <v>3450</v>
      </c>
      <c r="E967" s="20" t="s">
        <v>3451</v>
      </c>
      <c r="F967" s="55" t="s">
        <v>1369</v>
      </c>
      <c r="G967" s="55" t="s">
        <v>1370</v>
      </c>
      <c r="H967" s="19"/>
      <c r="I967" s="21" t="s">
        <v>1371</v>
      </c>
      <c r="J967" s="21" t="s">
        <v>1371</v>
      </c>
      <c r="K967" s="22" t="s">
        <v>3452</v>
      </c>
      <c r="L967" s="56">
        <v>45062</v>
      </c>
      <c r="O967" s="42"/>
      <c r="P967" s="40"/>
      <c r="Q967" s="61"/>
      <c r="R967" s="61"/>
      <c r="S967" s="40"/>
      <c r="T967" s="38"/>
      <c r="U967" s="38"/>
      <c r="V967" s="38"/>
      <c r="W967" s="60"/>
      <c r="AB967" s="42"/>
      <c r="AC967" s="35"/>
      <c r="AD967" s="38"/>
      <c r="AE967" s="38"/>
      <c r="AF967" s="38"/>
      <c r="AG967" s="38"/>
      <c r="AH967" s="60"/>
    </row>
    <row r="968" spans="1:34" ht="15.75" customHeight="1">
      <c r="A968" s="35"/>
      <c r="B968" s="18" t="s">
        <v>3453</v>
      </c>
      <c r="C968" s="19" t="s">
        <v>24</v>
      </c>
      <c r="D968" s="20" t="s">
        <v>3454</v>
      </c>
      <c r="E968" s="20" t="s">
        <v>3455</v>
      </c>
      <c r="F968" s="19" t="s">
        <v>27</v>
      </c>
      <c r="G968" s="19" t="s">
        <v>28</v>
      </c>
      <c r="H968" s="19"/>
      <c r="I968" s="21" t="s">
        <v>29</v>
      </c>
      <c r="J968" s="21" t="s">
        <v>29</v>
      </c>
      <c r="K968" s="22" t="s">
        <v>3456</v>
      </c>
      <c r="L968" s="56">
        <v>45062</v>
      </c>
      <c r="O968" s="42"/>
      <c r="P968" s="40"/>
      <c r="Q968" s="61"/>
      <c r="R968" s="61"/>
      <c r="S968" s="40"/>
      <c r="T968" s="38"/>
      <c r="U968" s="38"/>
      <c r="V968" s="38"/>
      <c r="W968" s="60"/>
      <c r="AB968" s="42"/>
      <c r="AC968" s="35"/>
      <c r="AD968" s="38"/>
      <c r="AE968" s="38"/>
      <c r="AF968" s="38"/>
      <c r="AG968" s="38"/>
      <c r="AH968" s="60"/>
    </row>
    <row r="969" spans="1:34" ht="15.75" customHeight="1">
      <c r="A969" s="35"/>
      <c r="B969" s="18" t="s">
        <v>3457</v>
      </c>
      <c r="C969" s="19" t="s">
        <v>1470</v>
      </c>
      <c r="D969" s="20" t="s">
        <v>3458</v>
      </c>
      <c r="E969" s="20" t="s">
        <v>3459</v>
      </c>
      <c r="F969" s="19" t="s">
        <v>3286</v>
      </c>
      <c r="G969" s="19" t="s">
        <v>1461</v>
      </c>
      <c r="H969" s="19"/>
      <c r="I969" s="21" t="s">
        <v>233</v>
      </c>
      <c r="J969" s="21" t="s">
        <v>233</v>
      </c>
      <c r="K969" s="22" t="s">
        <v>3460</v>
      </c>
      <c r="L969" s="56">
        <v>45062</v>
      </c>
      <c r="O969" s="42"/>
      <c r="P969" s="40"/>
      <c r="Q969" s="61"/>
      <c r="R969" s="61"/>
      <c r="S969" s="40"/>
      <c r="T969" s="38"/>
      <c r="U969" s="38"/>
      <c r="V969" s="38"/>
      <c r="W969" s="60"/>
      <c r="AB969" s="42"/>
      <c r="AC969" s="35"/>
      <c r="AD969" s="38"/>
      <c r="AE969" s="38"/>
      <c r="AF969" s="38"/>
      <c r="AG969" s="38"/>
      <c r="AH969" s="60"/>
    </row>
    <row r="970" spans="1:34" ht="15.75" customHeight="1">
      <c r="A970" s="35"/>
      <c r="B970" s="18" t="s">
        <v>3461</v>
      </c>
      <c r="C970" s="19" t="s">
        <v>24</v>
      </c>
      <c r="D970" s="20" t="s">
        <v>3462</v>
      </c>
      <c r="E970" s="20" t="s">
        <v>3463</v>
      </c>
      <c r="F970" s="19" t="s">
        <v>27</v>
      </c>
      <c r="G970" s="19" t="s">
        <v>28</v>
      </c>
      <c r="H970" s="19" t="s">
        <v>36</v>
      </c>
      <c r="I970" s="21" t="s">
        <v>29</v>
      </c>
      <c r="J970" s="21" t="s">
        <v>29</v>
      </c>
      <c r="K970" s="22" t="s">
        <v>3464</v>
      </c>
      <c r="L970" s="56">
        <v>45062</v>
      </c>
      <c r="O970" s="42"/>
      <c r="P970" s="40"/>
      <c r="Q970" s="61"/>
      <c r="R970" s="61"/>
      <c r="S970" s="40"/>
      <c r="T970" s="38"/>
      <c r="U970" s="38"/>
      <c r="V970" s="38"/>
      <c r="W970" s="60"/>
      <c r="AB970" s="42"/>
      <c r="AC970" s="35"/>
      <c r="AD970" s="38"/>
      <c r="AE970" s="38"/>
      <c r="AF970" s="38"/>
      <c r="AG970" s="38"/>
      <c r="AH970" s="60"/>
    </row>
    <row r="971" spans="1:34" ht="15.75" customHeight="1">
      <c r="A971" s="35"/>
      <c r="B971" s="18" t="s">
        <v>3465</v>
      </c>
      <c r="C971" s="19" t="s">
        <v>46</v>
      </c>
      <c r="D971" s="20" t="s">
        <v>3466</v>
      </c>
      <c r="E971" s="20" t="s">
        <v>3467</v>
      </c>
      <c r="F971" s="37" t="s">
        <v>49</v>
      </c>
      <c r="G971" s="19" t="s">
        <v>50</v>
      </c>
      <c r="H971" s="19"/>
      <c r="I971" s="21" t="s">
        <v>29</v>
      </c>
      <c r="J971" s="21" t="s">
        <v>29</v>
      </c>
      <c r="K971" s="22" t="s">
        <v>3468</v>
      </c>
      <c r="L971" s="56">
        <v>45062</v>
      </c>
      <c r="O971" s="42"/>
      <c r="P971" s="40"/>
      <c r="Q971" s="61"/>
      <c r="R971" s="61"/>
      <c r="S971" s="40"/>
      <c r="T971" s="38"/>
      <c r="U971" s="38"/>
      <c r="V971" s="38"/>
      <c r="W971" s="60"/>
      <c r="AB971" s="42"/>
      <c r="AC971" s="35"/>
      <c r="AD971" s="38"/>
      <c r="AE971" s="38"/>
      <c r="AF971" s="38"/>
      <c r="AG971" s="38"/>
      <c r="AH971" s="60"/>
    </row>
    <row r="972" spans="1:34" ht="15.75" customHeight="1">
      <c r="A972" s="35"/>
      <c r="B972" s="18" t="s">
        <v>3469</v>
      </c>
      <c r="C972" s="19" t="s">
        <v>24</v>
      </c>
      <c r="D972" s="20" t="s">
        <v>3470</v>
      </c>
      <c r="E972" s="20" t="s">
        <v>3471</v>
      </c>
      <c r="F972" s="19" t="s">
        <v>27</v>
      </c>
      <c r="G972" s="19" t="s">
        <v>28</v>
      </c>
      <c r="H972" s="37" t="s">
        <v>762</v>
      </c>
      <c r="I972" s="21" t="s">
        <v>29</v>
      </c>
      <c r="J972" s="21" t="s">
        <v>29</v>
      </c>
      <c r="K972" s="22" t="s">
        <v>3472</v>
      </c>
      <c r="L972" s="56">
        <v>45062</v>
      </c>
      <c r="O972" s="42"/>
      <c r="P972" s="40"/>
      <c r="Q972" s="61"/>
      <c r="R972" s="61"/>
      <c r="S972" s="40"/>
      <c r="T972" s="38"/>
      <c r="U972" s="38"/>
      <c r="V972" s="38"/>
      <c r="W972" s="60"/>
      <c r="AB972" s="42"/>
      <c r="AC972" s="35"/>
      <c r="AD972" s="38"/>
      <c r="AE972" s="38"/>
      <c r="AF972" s="38"/>
      <c r="AG972" s="38"/>
      <c r="AH972" s="60"/>
    </row>
    <row r="973" spans="1:34" ht="15.75" customHeight="1">
      <c r="A973" s="35"/>
      <c r="B973" s="18" t="s">
        <v>3473</v>
      </c>
      <c r="C973" s="19" t="s">
        <v>24</v>
      </c>
      <c r="D973" s="20" t="s">
        <v>3474</v>
      </c>
      <c r="E973" s="20" t="s">
        <v>3475</v>
      </c>
      <c r="F973" s="19" t="s">
        <v>27</v>
      </c>
      <c r="G973" s="19" t="s">
        <v>28</v>
      </c>
      <c r="H973" s="19" t="s">
        <v>36</v>
      </c>
      <c r="I973" s="21" t="s">
        <v>29</v>
      </c>
      <c r="J973" s="21" t="s">
        <v>29</v>
      </c>
      <c r="K973" s="22" t="s">
        <v>3476</v>
      </c>
      <c r="L973" s="56">
        <v>45062</v>
      </c>
      <c r="O973" s="42"/>
      <c r="P973" s="40"/>
      <c r="Q973" s="61"/>
      <c r="R973" s="61"/>
      <c r="S973" s="40"/>
      <c r="T973" s="38"/>
      <c r="U973" s="38"/>
      <c r="V973" s="38"/>
      <c r="W973" s="60"/>
      <c r="AB973" s="42"/>
      <c r="AC973" s="35"/>
      <c r="AD973" s="38"/>
      <c r="AE973" s="38"/>
      <c r="AF973" s="38"/>
      <c r="AG973" s="38"/>
      <c r="AH973" s="60"/>
    </row>
    <row r="974" spans="1:34" ht="15.75" customHeight="1">
      <c r="A974" s="35"/>
      <c r="B974" s="18" t="s">
        <v>3477</v>
      </c>
      <c r="C974" s="19" t="s">
        <v>24</v>
      </c>
      <c r="D974" s="20" t="s">
        <v>3478</v>
      </c>
      <c r="E974" s="20" t="s">
        <v>3479</v>
      </c>
      <c r="F974" s="19" t="s">
        <v>27</v>
      </c>
      <c r="G974" s="19" t="s">
        <v>28</v>
      </c>
      <c r="H974" s="19"/>
      <c r="I974" s="21" t="s">
        <v>29</v>
      </c>
      <c r="J974" s="21" t="s">
        <v>29</v>
      </c>
      <c r="K974" s="22" t="s">
        <v>3480</v>
      </c>
      <c r="L974" s="56">
        <v>45062</v>
      </c>
      <c r="O974" s="42"/>
      <c r="P974" s="40"/>
      <c r="Q974" s="61"/>
      <c r="R974" s="61"/>
      <c r="S974" s="40"/>
      <c r="T974" s="38"/>
      <c r="U974" s="38"/>
      <c r="V974" s="38"/>
      <c r="W974" s="60"/>
      <c r="AB974" s="42"/>
      <c r="AC974" s="35"/>
      <c r="AD974" s="38"/>
      <c r="AE974" s="38"/>
      <c r="AF974" s="38"/>
      <c r="AG974" s="38"/>
      <c r="AH974" s="60"/>
    </row>
    <row r="975" spans="1:34" ht="15.75" customHeight="1">
      <c r="A975" s="35"/>
      <c r="B975" s="34" t="s">
        <v>3481</v>
      </c>
      <c r="C975" s="19" t="s">
        <v>1470</v>
      </c>
      <c r="D975" s="20" t="s">
        <v>3482</v>
      </c>
      <c r="E975" s="20" t="s">
        <v>3483</v>
      </c>
      <c r="F975" s="55" t="s">
        <v>1445</v>
      </c>
      <c r="G975" s="55" t="s">
        <v>1432</v>
      </c>
      <c r="H975" s="19"/>
      <c r="I975" s="21" t="s">
        <v>233</v>
      </c>
      <c r="J975" s="21" t="s">
        <v>233</v>
      </c>
      <c r="K975" s="22" t="s">
        <v>3484</v>
      </c>
      <c r="L975" s="56">
        <v>45062</v>
      </c>
      <c r="O975" s="42"/>
      <c r="P975" s="40"/>
      <c r="Q975" s="61"/>
      <c r="R975" s="61"/>
      <c r="S975" s="40"/>
      <c r="T975" s="38"/>
      <c r="U975" s="38"/>
      <c r="V975" s="38"/>
      <c r="W975" s="60"/>
      <c r="AB975" s="42"/>
      <c r="AC975" s="35"/>
      <c r="AD975" s="38"/>
      <c r="AE975" s="38"/>
      <c r="AF975" s="38"/>
      <c r="AG975" s="38"/>
      <c r="AH975" s="60"/>
    </row>
    <row r="976" spans="1:34" ht="15.75" customHeight="1">
      <c r="A976" s="35"/>
      <c r="B976" s="18" t="s">
        <v>3485</v>
      </c>
      <c r="C976" s="19" t="s">
        <v>24</v>
      </c>
      <c r="D976" s="20" t="s">
        <v>3486</v>
      </c>
      <c r="E976" s="20" t="s">
        <v>3483</v>
      </c>
      <c r="F976" s="19" t="s">
        <v>27</v>
      </c>
      <c r="G976" s="19" t="s">
        <v>28</v>
      </c>
      <c r="H976" s="19" t="s">
        <v>36</v>
      </c>
      <c r="I976" s="21" t="s">
        <v>29</v>
      </c>
      <c r="J976" s="21" t="s">
        <v>29</v>
      </c>
      <c r="K976" s="22" t="s">
        <v>3487</v>
      </c>
      <c r="L976" s="56">
        <v>45062</v>
      </c>
      <c r="O976" s="42"/>
      <c r="P976" s="40"/>
      <c r="Q976" s="61"/>
      <c r="R976" s="61"/>
      <c r="S976" s="40"/>
      <c r="T976" s="38"/>
      <c r="U976" s="38"/>
      <c r="V976" s="38"/>
      <c r="W976" s="60"/>
      <c r="AB976" s="42"/>
      <c r="AC976" s="35"/>
      <c r="AD976" s="38"/>
      <c r="AE976" s="38"/>
      <c r="AF976" s="38"/>
      <c r="AG976" s="38"/>
      <c r="AH976" s="60"/>
    </row>
    <row r="977" spans="1:34" ht="15.75" customHeight="1">
      <c r="A977" s="35"/>
      <c r="B977" s="18" t="s">
        <v>3488</v>
      </c>
      <c r="C977" s="19" t="s">
        <v>24</v>
      </c>
      <c r="D977" s="20" t="s">
        <v>3489</v>
      </c>
      <c r="E977" s="20" t="s">
        <v>3490</v>
      </c>
      <c r="F977" s="19" t="s">
        <v>27</v>
      </c>
      <c r="G977" s="19" t="s">
        <v>28</v>
      </c>
      <c r="H977" s="19" t="s">
        <v>36</v>
      </c>
      <c r="I977" s="21" t="s">
        <v>29</v>
      </c>
      <c r="J977" s="21" t="s">
        <v>29</v>
      </c>
      <c r="K977" s="22" t="s">
        <v>3491</v>
      </c>
      <c r="L977" s="56">
        <v>45062</v>
      </c>
      <c r="O977" s="42"/>
      <c r="P977" s="40"/>
      <c r="Q977" s="61"/>
      <c r="R977" s="61"/>
      <c r="S977" s="40"/>
      <c r="T977" s="38"/>
      <c r="U977" s="38"/>
      <c r="V977" s="38"/>
      <c r="W977" s="60"/>
      <c r="AB977" s="42"/>
      <c r="AC977" s="35"/>
      <c r="AD977" s="38"/>
      <c r="AE977" s="38"/>
      <c r="AF977" s="38"/>
      <c r="AG977" s="38"/>
      <c r="AH977" s="60"/>
    </row>
    <row r="978" spans="1:34" ht="15.75" customHeight="1">
      <c r="A978" s="35"/>
      <c r="B978" s="34" t="s">
        <v>3492</v>
      </c>
      <c r="C978" s="19" t="s">
        <v>87</v>
      </c>
      <c r="D978" s="20" t="s">
        <v>3493</v>
      </c>
      <c r="E978" s="20" t="s">
        <v>3494</v>
      </c>
      <c r="F978" s="37" t="s">
        <v>49</v>
      </c>
      <c r="G978" s="19" t="s">
        <v>50</v>
      </c>
      <c r="H978" s="19"/>
      <c r="I978" s="21" t="s">
        <v>29</v>
      </c>
      <c r="J978" s="21" t="s">
        <v>29</v>
      </c>
      <c r="K978" s="22" t="s">
        <v>3495</v>
      </c>
      <c r="L978" s="56">
        <v>45062</v>
      </c>
      <c r="O978" s="42"/>
      <c r="P978" s="40"/>
      <c r="Q978" s="61"/>
      <c r="R978" s="61"/>
      <c r="S978" s="40"/>
      <c r="T978" s="38"/>
      <c r="U978" s="38"/>
      <c r="V978" s="38"/>
      <c r="W978" s="60"/>
      <c r="AB978" s="42"/>
      <c r="AC978" s="35"/>
      <c r="AD978" s="38"/>
      <c r="AE978" s="38"/>
      <c r="AF978" s="38"/>
      <c r="AG978" s="38"/>
      <c r="AH978" s="60"/>
    </row>
    <row r="979" spans="1:34" ht="15.75" customHeight="1">
      <c r="A979" s="35"/>
      <c r="B979" s="34" t="s">
        <v>3496</v>
      </c>
      <c r="C979" s="19" t="s">
        <v>1470</v>
      </c>
      <c r="D979" s="20" t="s">
        <v>3497</v>
      </c>
      <c r="E979" s="20" t="s">
        <v>3498</v>
      </c>
      <c r="F979" s="55" t="s">
        <v>1445</v>
      </c>
      <c r="G979" s="55" t="s">
        <v>1432</v>
      </c>
      <c r="H979" s="19"/>
      <c r="I979" s="21" t="s">
        <v>233</v>
      </c>
      <c r="J979" s="21" t="s">
        <v>233</v>
      </c>
      <c r="K979" s="22" t="s">
        <v>3499</v>
      </c>
      <c r="L979" s="56">
        <v>45062</v>
      </c>
      <c r="O979" s="42"/>
      <c r="P979" s="40"/>
      <c r="Q979" s="61"/>
      <c r="R979" s="61"/>
      <c r="S979" s="40"/>
      <c r="T979" s="38"/>
      <c r="U979" s="38"/>
      <c r="V979" s="38"/>
      <c r="W979" s="60"/>
      <c r="AB979" s="42"/>
      <c r="AC979" s="35"/>
      <c r="AD979" s="38"/>
      <c r="AE979" s="38"/>
      <c r="AF979" s="38"/>
      <c r="AG979" s="38"/>
      <c r="AH979" s="60"/>
    </row>
    <row r="980" spans="1:34" ht="15.75" customHeight="1">
      <c r="A980" s="35"/>
      <c r="B980" s="18" t="s">
        <v>3500</v>
      </c>
      <c r="C980" s="19" t="s">
        <v>87</v>
      </c>
      <c r="D980" s="20" t="s">
        <v>3501</v>
      </c>
      <c r="E980" s="20" t="s">
        <v>3502</v>
      </c>
      <c r="F980" s="19" t="s">
        <v>90</v>
      </c>
      <c r="G980" s="19" t="s">
        <v>91</v>
      </c>
      <c r="H980" s="19"/>
      <c r="I980" s="21" t="s">
        <v>29</v>
      </c>
      <c r="J980" s="21" t="s">
        <v>29</v>
      </c>
      <c r="K980" s="22" t="s">
        <v>3503</v>
      </c>
      <c r="L980" s="56">
        <v>45062</v>
      </c>
      <c r="O980" s="42"/>
      <c r="P980" s="40"/>
      <c r="Q980" s="61"/>
      <c r="R980" s="61"/>
      <c r="S980" s="40"/>
      <c r="T980" s="38"/>
      <c r="U980" s="38"/>
      <c r="V980" s="38"/>
      <c r="W980" s="60"/>
      <c r="AB980" s="42"/>
      <c r="AC980" s="35"/>
      <c r="AD980" s="38"/>
      <c r="AE980" s="38"/>
      <c r="AF980" s="38"/>
      <c r="AG980" s="38"/>
      <c r="AH980" s="60"/>
    </row>
    <row r="981" spans="1:34" ht="15.75" customHeight="1">
      <c r="A981" s="35"/>
      <c r="B981" s="18" t="s">
        <v>3504</v>
      </c>
      <c r="C981" s="19" t="s">
        <v>87</v>
      </c>
      <c r="D981" s="20" t="s">
        <v>3505</v>
      </c>
      <c r="E981" s="20" t="s">
        <v>3506</v>
      </c>
      <c r="F981" s="19" t="s">
        <v>90</v>
      </c>
      <c r="G981" s="19" t="s">
        <v>91</v>
      </c>
      <c r="H981" s="19"/>
      <c r="I981" s="21" t="s">
        <v>29</v>
      </c>
      <c r="J981" s="21" t="s">
        <v>29</v>
      </c>
      <c r="K981" s="22" t="s">
        <v>3507</v>
      </c>
      <c r="L981" s="56">
        <v>45062</v>
      </c>
      <c r="O981" s="42"/>
      <c r="P981" s="40"/>
      <c r="Q981" s="61"/>
      <c r="R981" s="61"/>
      <c r="S981" s="40"/>
      <c r="T981" s="38"/>
      <c r="U981" s="38"/>
      <c r="V981" s="38"/>
      <c r="W981" s="60"/>
      <c r="AB981" s="42"/>
      <c r="AC981" s="35"/>
      <c r="AD981" s="38"/>
      <c r="AE981" s="38"/>
      <c r="AF981" s="38"/>
      <c r="AG981" s="38"/>
      <c r="AH981" s="60"/>
    </row>
    <row r="982" spans="1:34" ht="15.75" customHeight="1">
      <c r="A982" s="35"/>
      <c r="B982" s="18" t="s">
        <v>3508</v>
      </c>
      <c r="C982" s="19" t="s">
        <v>46</v>
      </c>
      <c r="D982" s="20" t="s">
        <v>3509</v>
      </c>
      <c r="E982" s="20" t="s">
        <v>3510</v>
      </c>
      <c r="F982" s="37" t="s">
        <v>49</v>
      </c>
      <c r="G982" s="19" t="s">
        <v>50</v>
      </c>
      <c r="H982" s="19"/>
      <c r="I982" s="21" t="s">
        <v>29</v>
      </c>
      <c r="J982" s="21" t="s">
        <v>29</v>
      </c>
      <c r="K982" s="22" t="s">
        <v>3511</v>
      </c>
      <c r="L982" s="56">
        <v>45062</v>
      </c>
      <c r="O982" s="42"/>
      <c r="P982" s="40"/>
      <c r="Q982" s="61"/>
      <c r="R982" s="61"/>
      <c r="S982" s="40"/>
      <c r="T982" s="38"/>
      <c r="U982" s="38"/>
      <c r="V982" s="38"/>
      <c r="W982" s="60"/>
      <c r="AB982" s="42"/>
      <c r="AC982" s="35"/>
      <c r="AD982" s="38"/>
      <c r="AE982" s="38"/>
      <c r="AF982" s="38"/>
      <c r="AG982" s="38"/>
      <c r="AH982" s="60"/>
    </row>
    <row r="983" spans="1:34" ht="15.75" customHeight="1">
      <c r="A983" s="35"/>
      <c r="B983" s="18" t="s">
        <v>3512</v>
      </c>
      <c r="C983" s="19" t="s">
        <v>87</v>
      </c>
      <c r="D983" s="20" t="s">
        <v>3513</v>
      </c>
      <c r="E983" s="20" t="s">
        <v>3514</v>
      </c>
      <c r="F983" s="19" t="s">
        <v>90</v>
      </c>
      <c r="G983" s="19" t="s">
        <v>91</v>
      </c>
      <c r="H983" s="19"/>
      <c r="I983" s="21" t="s">
        <v>29</v>
      </c>
      <c r="J983" s="21" t="s">
        <v>29</v>
      </c>
      <c r="K983" s="22" t="s">
        <v>3515</v>
      </c>
      <c r="L983" s="56">
        <v>45062</v>
      </c>
      <c r="O983" s="42"/>
      <c r="P983" s="40"/>
      <c r="Q983" s="61"/>
      <c r="R983" s="61"/>
      <c r="S983" s="40"/>
      <c r="T983" s="38"/>
      <c r="U983" s="38"/>
      <c r="V983" s="38"/>
      <c r="W983" s="60"/>
      <c r="AB983" s="42"/>
      <c r="AC983" s="35"/>
      <c r="AD983" s="38"/>
      <c r="AE983" s="38"/>
      <c r="AF983" s="38"/>
      <c r="AG983" s="38"/>
      <c r="AH983" s="60"/>
    </row>
    <row r="984" spans="1:34" ht="15.75" customHeight="1">
      <c r="A984" s="35"/>
      <c r="B984" s="18" t="s">
        <v>3516</v>
      </c>
      <c r="C984" s="19" t="s">
        <v>24</v>
      </c>
      <c r="D984" s="20" t="s">
        <v>3517</v>
      </c>
      <c r="E984" s="20" t="s">
        <v>3518</v>
      </c>
      <c r="F984" s="19" t="s">
        <v>27</v>
      </c>
      <c r="G984" s="19" t="s">
        <v>28</v>
      </c>
      <c r="H984" s="19"/>
      <c r="I984" s="21" t="s">
        <v>29</v>
      </c>
      <c r="J984" s="21" t="s">
        <v>29</v>
      </c>
      <c r="K984" s="22" t="s">
        <v>3519</v>
      </c>
      <c r="L984" s="56">
        <v>45062</v>
      </c>
      <c r="O984" s="42"/>
      <c r="P984" s="40"/>
      <c r="Q984" s="61"/>
      <c r="R984" s="61"/>
      <c r="S984" s="40"/>
      <c r="T984" s="38"/>
      <c r="U984" s="38"/>
      <c r="V984" s="38"/>
      <c r="W984" s="60"/>
      <c r="AB984" s="42"/>
      <c r="AC984" s="35"/>
      <c r="AD984" s="38"/>
      <c r="AE984" s="38"/>
      <c r="AF984" s="38"/>
      <c r="AG984" s="38"/>
      <c r="AH984" s="60"/>
    </row>
    <row r="985" spans="1:34" ht="15.75" customHeight="1">
      <c r="A985" s="35"/>
      <c r="B985" s="18" t="s">
        <v>3520</v>
      </c>
      <c r="C985" s="19" t="s">
        <v>24</v>
      </c>
      <c r="D985" s="20" t="s">
        <v>3521</v>
      </c>
      <c r="E985" s="20" t="s">
        <v>3522</v>
      </c>
      <c r="F985" s="19" t="s">
        <v>27</v>
      </c>
      <c r="G985" s="19" t="s">
        <v>28</v>
      </c>
      <c r="H985" s="19"/>
      <c r="I985" s="21" t="s">
        <v>29</v>
      </c>
      <c r="J985" s="21" t="s">
        <v>29</v>
      </c>
      <c r="K985" s="22" t="s">
        <v>3523</v>
      </c>
      <c r="L985" s="56">
        <v>45062</v>
      </c>
      <c r="O985" s="42"/>
      <c r="P985" s="40"/>
      <c r="Q985" s="61"/>
      <c r="R985" s="61"/>
      <c r="S985" s="40"/>
      <c r="T985" s="38"/>
      <c r="U985" s="38"/>
      <c r="V985" s="38"/>
      <c r="W985" s="60"/>
      <c r="AB985" s="42"/>
      <c r="AC985" s="35"/>
      <c r="AD985" s="38"/>
      <c r="AE985" s="38"/>
      <c r="AF985" s="38"/>
      <c r="AG985" s="38"/>
      <c r="AH985" s="60"/>
    </row>
    <row r="986" spans="1:34" ht="15.75" customHeight="1">
      <c r="A986" s="35"/>
      <c r="B986" s="18" t="s">
        <v>3524</v>
      </c>
      <c r="C986" s="19" t="s">
        <v>46</v>
      </c>
      <c r="D986" s="20" t="s">
        <v>3525</v>
      </c>
      <c r="E986" s="20" t="s">
        <v>3526</v>
      </c>
      <c r="F986" s="37" t="s">
        <v>49</v>
      </c>
      <c r="G986" s="19" t="s">
        <v>50</v>
      </c>
      <c r="H986" s="19"/>
      <c r="I986" s="21" t="s">
        <v>29</v>
      </c>
      <c r="J986" s="21" t="s">
        <v>29</v>
      </c>
      <c r="K986" s="22" t="s">
        <v>3527</v>
      </c>
      <c r="L986" s="56">
        <v>45062</v>
      </c>
      <c r="O986" s="42"/>
      <c r="P986" s="40"/>
      <c r="Q986" s="61"/>
      <c r="R986" s="61"/>
      <c r="S986" s="40"/>
      <c r="T986" s="38"/>
      <c r="U986" s="38"/>
      <c r="V986" s="38"/>
      <c r="W986" s="60"/>
      <c r="AB986" s="42"/>
      <c r="AC986" s="35"/>
      <c r="AD986" s="38"/>
      <c r="AE986" s="38"/>
      <c r="AF986" s="38"/>
      <c r="AG986" s="38"/>
      <c r="AH986" s="60"/>
    </row>
    <row r="987" spans="1:34" ht="15.75" customHeight="1">
      <c r="A987" s="35"/>
      <c r="B987" s="18" t="s">
        <v>3528</v>
      </c>
      <c r="C987" s="19" t="s">
        <v>24</v>
      </c>
      <c r="D987" s="20" t="s">
        <v>3529</v>
      </c>
      <c r="E987" s="20" t="s">
        <v>3530</v>
      </c>
      <c r="F987" s="19" t="s">
        <v>27</v>
      </c>
      <c r="G987" s="19" t="s">
        <v>28</v>
      </c>
      <c r="H987" s="19" t="s">
        <v>36</v>
      </c>
      <c r="I987" s="21" t="s">
        <v>29</v>
      </c>
      <c r="J987" s="21" t="s">
        <v>29</v>
      </c>
      <c r="K987" s="22" t="s">
        <v>3531</v>
      </c>
      <c r="L987" s="56">
        <v>45062</v>
      </c>
      <c r="O987" s="42"/>
      <c r="P987" s="40"/>
      <c r="Q987" s="61"/>
      <c r="R987" s="61"/>
      <c r="S987" s="40"/>
      <c r="T987" s="38"/>
      <c r="U987" s="38"/>
      <c r="V987" s="38"/>
      <c r="W987" s="60"/>
      <c r="AB987" s="42"/>
      <c r="AC987" s="35"/>
      <c r="AD987" s="38"/>
      <c r="AE987" s="38"/>
      <c r="AF987" s="38"/>
      <c r="AG987" s="38"/>
      <c r="AH987" s="60"/>
    </row>
    <row r="988" spans="1:34" ht="15.75" customHeight="1">
      <c r="A988" s="35"/>
      <c r="B988" s="41" t="s">
        <v>3532</v>
      </c>
      <c r="C988" s="19" t="s">
        <v>24</v>
      </c>
      <c r="D988" s="68" t="s">
        <v>3533</v>
      </c>
      <c r="E988" s="20" t="s">
        <v>3534</v>
      </c>
      <c r="F988" s="19"/>
      <c r="G988" s="19"/>
      <c r="H988" s="19"/>
      <c r="I988" s="21"/>
      <c r="J988" s="21"/>
      <c r="K988" s="22"/>
      <c r="L988" s="56"/>
      <c r="O988" s="42"/>
      <c r="P988" s="40"/>
      <c r="Q988" s="61"/>
      <c r="R988" s="61"/>
      <c r="S988" s="40"/>
      <c r="T988" s="38"/>
      <c r="U988" s="38"/>
      <c r="V988" s="38"/>
      <c r="W988" s="60"/>
      <c r="AB988" s="42"/>
      <c r="AC988" s="35"/>
      <c r="AD988" s="38"/>
      <c r="AE988" s="38"/>
      <c r="AF988" s="38"/>
      <c r="AG988" s="38"/>
      <c r="AH988" s="60"/>
    </row>
    <row r="989" spans="1:34" ht="15.75" customHeight="1">
      <c r="A989" s="35"/>
      <c r="B989" s="18" t="s">
        <v>3535</v>
      </c>
      <c r="C989" s="19" t="s">
        <v>46</v>
      </c>
      <c r="D989" s="20" t="s">
        <v>3536</v>
      </c>
      <c r="E989" s="20" t="s">
        <v>3537</v>
      </c>
      <c r="F989" s="37" t="s">
        <v>49</v>
      </c>
      <c r="G989" s="19" t="s">
        <v>50</v>
      </c>
      <c r="H989" s="19"/>
      <c r="I989" s="21" t="s">
        <v>29</v>
      </c>
      <c r="J989" s="21" t="s">
        <v>29</v>
      </c>
      <c r="K989" s="22" t="s">
        <v>3538</v>
      </c>
      <c r="L989" s="56">
        <v>45062</v>
      </c>
      <c r="O989" s="42"/>
      <c r="P989" s="40"/>
      <c r="Q989" s="61"/>
      <c r="R989" s="61"/>
      <c r="S989" s="40"/>
      <c r="T989" s="38"/>
      <c r="U989" s="38"/>
      <c r="V989" s="38"/>
      <c r="W989" s="60"/>
      <c r="AB989" s="42"/>
      <c r="AC989" s="35"/>
      <c r="AD989" s="38"/>
      <c r="AE989" s="38"/>
      <c r="AF989" s="38"/>
      <c r="AG989" s="38"/>
      <c r="AH989" s="60"/>
    </row>
    <row r="990" spans="1:34" ht="15.75" customHeight="1">
      <c r="A990" s="35"/>
      <c r="B990" s="18" t="s">
        <v>3539</v>
      </c>
      <c r="C990" s="19" t="s">
        <v>87</v>
      </c>
      <c r="D990" s="20" t="s">
        <v>3540</v>
      </c>
      <c r="E990" s="20" t="s">
        <v>3541</v>
      </c>
      <c r="F990" s="37" t="s">
        <v>49</v>
      </c>
      <c r="G990" s="19" t="s">
        <v>91</v>
      </c>
      <c r="H990" s="19"/>
      <c r="I990" s="21" t="s">
        <v>29</v>
      </c>
      <c r="J990" s="21" t="s">
        <v>29</v>
      </c>
      <c r="K990" s="22" t="s">
        <v>3542</v>
      </c>
      <c r="L990" s="56">
        <v>45062</v>
      </c>
      <c r="O990" s="42"/>
      <c r="P990" s="40"/>
      <c r="Q990" s="61"/>
      <c r="R990" s="61"/>
      <c r="S990" s="40"/>
      <c r="T990" s="38"/>
      <c r="U990" s="38"/>
      <c r="V990" s="38"/>
      <c r="W990" s="60"/>
      <c r="AB990" s="42"/>
      <c r="AC990" s="35"/>
      <c r="AD990" s="38"/>
      <c r="AE990" s="38"/>
      <c r="AF990" s="38"/>
      <c r="AG990" s="38"/>
      <c r="AH990" s="60"/>
    </row>
    <row r="991" spans="1:34" ht="15.75" customHeight="1">
      <c r="A991" s="35"/>
      <c r="B991" s="18" t="s">
        <v>3543</v>
      </c>
      <c r="C991" s="19" t="s">
        <v>87</v>
      </c>
      <c r="D991" s="20" t="s">
        <v>3544</v>
      </c>
      <c r="E991" s="20" t="s">
        <v>3545</v>
      </c>
      <c r="F991" s="19" t="s">
        <v>90</v>
      </c>
      <c r="G991" s="19" t="s">
        <v>91</v>
      </c>
      <c r="H991" s="19"/>
      <c r="I991" s="21" t="s">
        <v>29</v>
      </c>
      <c r="J991" s="21" t="s">
        <v>29</v>
      </c>
      <c r="K991" s="22" t="s">
        <v>3546</v>
      </c>
      <c r="L991" s="56">
        <v>45062</v>
      </c>
      <c r="O991" s="42"/>
      <c r="P991" s="40"/>
      <c r="Q991" s="61"/>
      <c r="R991" s="61"/>
      <c r="S991" s="40"/>
      <c r="T991" s="38"/>
      <c r="U991" s="38"/>
      <c r="V991" s="38"/>
      <c r="W991" s="60"/>
      <c r="AB991" s="42"/>
      <c r="AC991" s="35"/>
      <c r="AD991" s="38"/>
      <c r="AE991" s="38"/>
      <c r="AF991" s="38"/>
      <c r="AG991" s="38"/>
      <c r="AH991" s="60"/>
    </row>
    <row r="992" spans="1:34" ht="15.75" customHeight="1">
      <c r="A992" s="35"/>
      <c r="B992" s="18" t="s">
        <v>3547</v>
      </c>
      <c r="C992" s="19" t="s">
        <v>24</v>
      </c>
      <c r="D992" s="20" t="s">
        <v>3548</v>
      </c>
      <c r="E992" s="20" t="s">
        <v>3549</v>
      </c>
      <c r="F992" s="19" t="s">
        <v>27</v>
      </c>
      <c r="G992" s="19" t="s">
        <v>28</v>
      </c>
      <c r="H992" s="19"/>
      <c r="I992" s="21" t="s">
        <v>29</v>
      </c>
      <c r="J992" s="21" t="s">
        <v>29</v>
      </c>
      <c r="K992" s="22" t="s">
        <v>3550</v>
      </c>
      <c r="L992" s="56">
        <v>45062</v>
      </c>
      <c r="O992" s="42"/>
      <c r="P992" s="40"/>
      <c r="Q992" s="61"/>
      <c r="R992" s="61"/>
      <c r="S992" s="40"/>
      <c r="T992" s="38"/>
      <c r="U992" s="38"/>
      <c r="V992" s="38"/>
      <c r="W992" s="60"/>
      <c r="AB992" s="42"/>
      <c r="AC992" s="35"/>
      <c r="AD992" s="38"/>
      <c r="AE992" s="38"/>
      <c r="AF992" s="38"/>
      <c r="AG992" s="38"/>
      <c r="AH992" s="60"/>
    </row>
    <row r="993" spans="1:34" ht="15.75" customHeight="1">
      <c r="A993" s="35"/>
      <c r="B993" s="18" t="s">
        <v>3551</v>
      </c>
      <c r="C993" s="19" t="s">
        <v>24</v>
      </c>
      <c r="D993" s="20" t="s">
        <v>3552</v>
      </c>
      <c r="E993" s="20" t="s">
        <v>3553</v>
      </c>
      <c r="F993" s="19" t="s">
        <v>27</v>
      </c>
      <c r="G993" s="19" t="s">
        <v>28</v>
      </c>
      <c r="H993" s="19"/>
      <c r="I993" s="21" t="s">
        <v>29</v>
      </c>
      <c r="J993" s="21" t="s">
        <v>29</v>
      </c>
      <c r="K993" s="22" t="s">
        <v>3554</v>
      </c>
      <c r="L993" s="56">
        <v>45062</v>
      </c>
      <c r="O993" s="42"/>
      <c r="P993" s="40"/>
      <c r="Q993" s="61"/>
      <c r="R993" s="61"/>
      <c r="S993" s="40"/>
      <c r="T993" s="38"/>
      <c r="U993" s="38"/>
      <c r="V993" s="38"/>
      <c r="W993" s="60"/>
      <c r="AB993" s="42"/>
      <c r="AC993" s="35"/>
      <c r="AD993" s="38"/>
      <c r="AE993" s="38"/>
      <c r="AF993" s="38"/>
      <c r="AG993" s="38"/>
      <c r="AH993" s="60"/>
    </row>
    <row r="994" spans="1:34" ht="15.75" customHeight="1">
      <c r="A994" s="35"/>
      <c r="B994" s="34" t="s">
        <v>3555</v>
      </c>
      <c r="C994" s="19" t="s">
        <v>24</v>
      </c>
      <c r="D994" s="20" t="s">
        <v>3556</v>
      </c>
      <c r="E994" s="20" t="s">
        <v>3557</v>
      </c>
      <c r="F994" s="19" t="s">
        <v>90</v>
      </c>
      <c r="G994" s="19" t="s">
        <v>91</v>
      </c>
      <c r="H994" s="19"/>
      <c r="I994" s="21" t="s">
        <v>29</v>
      </c>
      <c r="J994" s="21" t="s">
        <v>29</v>
      </c>
      <c r="K994" s="22" t="s">
        <v>3558</v>
      </c>
      <c r="L994" s="56">
        <v>45062</v>
      </c>
      <c r="O994" s="42"/>
      <c r="P994" s="40"/>
      <c r="Q994" s="61"/>
      <c r="R994" s="61"/>
      <c r="S994" s="40"/>
      <c r="T994" s="38"/>
      <c r="U994" s="38"/>
      <c r="V994" s="38"/>
      <c r="W994" s="60"/>
      <c r="AB994" s="42"/>
      <c r="AC994" s="35"/>
      <c r="AD994" s="38"/>
      <c r="AE994" s="38"/>
      <c r="AF994" s="38"/>
      <c r="AG994" s="38"/>
      <c r="AH994" s="60"/>
    </row>
    <row r="995" spans="1:34" ht="15.75" customHeight="1">
      <c r="A995" s="35"/>
      <c r="B995" s="18" t="s">
        <v>3559</v>
      </c>
      <c r="C995" s="37" t="s">
        <v>1486</v>
      </c>
      <c r="D995" s="20" t="s">
        <v>3560</v>
      </c>
      <c r="E995" s="20" t="s">
        <v>3561</v>
      </c>
      <c r="F995" s="37" t="s">
        <v>1489</v>
      </c>
      <c r="G995" s="37" t="s">
        <v>1490</v>
      </c>
      <c r="H995" s="19"/>
      <c r="I995" s="21" t="s">
        <v>1371</v>
      </c>
      <c r="J995" s="21" t="s">
        <v>1371</v>
      </c>
      <c r="K995" s="22" t="s">
        <v>3562</v>
      </c>
      <c r="L995" s="56">
        <v>45062</v>
      </c>
      <c r="O995" s="42"/>
      <c r="P995" s="40"/>
      <c r="Q995" s="61"/>
      <c r="R995" s="61"/>
      <c r="S995" s="40"/>
      <c r="T995" s="38"/>
      <c r="U995" s="38"/>
      <c r="V995" s="38"/>
      <c r="W995" s="60"/>
      <c r="AB995" s="42"/>
      <c r="AC995" s="35"/>
      <c r="AD995" s="38"/>
      <c r="AE995" s="38"/>
      <c r="AF995" s="38"/>
      <c r="AG995" s="38"/>
      <c r="AH995" s="60"/>
    </row>
    <row r="996" spans="1:34" ht="15.75" customHeight="1">
      <c r="A996" s="35"/>
      <c r="B996" s="18" t="s">
        <v>3563</v>
      </c>
      <c r="C996" s="19" t="s">
        <v>24</v>
      </c>
      <c r="D996" s="20" t="s">
        <v>3564</v>
      </c>
      <c r="E996" s="20" t="s">
        <v>3565</v>
      </c>
      <c r="F996" s="19" t="s">
        <v>27</v>
      </c>
      <c r="G996" s="19" t="s">
        <v>28</v>
      </c>
      <c r="H996" s="19" t="s">
        <v>36</v>
      </c>
      <c r="I996" s="21" t="s">
        <v>29</v>
      </c>
      <c r="J996" s="21" t="s">
        <v>29</v>
      </c>
      <c r="K996" s="22" t="s">
        <v>3566</v>
      </c>
      <c r="L996" s="56">
        <v>45062</v>
      </c>
      <c r="O996" s="42"/>
      <c r="P996" s="40"/>
      <c r="Q996" s="61"/>
      <c r="R996" s="61"/>
      <c r="S996" s="40"/>
      <c r="T996" s="38"/>
      <c r="U996" s="38"/>
      <c r="V996" s="38"/>
      <c r="W996" s="60"/>
      <c r="AB996" s="42"/>
      <c r="AC996" s="35"/>
      <c r="AD996" s="38"/>
      <c r="AE996" s="38"/>
      <c r="AF996" s="38"/>
      <c r="AG996" s="38"/>
      <c r="AH996" s="60"/>
    </row>
    <row r="997" spans="1:34" ht="15.75" customHeight="1">
      <c r="A997" s="35"/>
      <c r="B997" s="18" t="s">
        <v>3567</v>
      </c>
      <c r="C997" s="19" t="s">
        <v>87</v>
      </c>
      <c r="D997" s="20" t="s">
        <v>3568</v>
      </c>
      <c r="E997" s="20" t="s">
        <v>3569</v>
      </c>
      <c r="F997" s="19" t="s">
        <v>90</v>
      </c>
      <c r="G997" s="19" t="s">
        <v>91</v>
      </c>
      <c r="H997" s="19"/>
      <c r="I997" s="21" t="s">
        <v>29</v>
      </c>
      <c r="J997" s="21" t="s">
        <v>29</v>
      </c>
      <c r="K997" s="22" t="s">
        <v>3570</v>
      </c>
      <c r="L997" s="56">
        <v>45062</v>
      </c>
      <c r="O997" s="42"/>
      <c r="P997" s="40"/>
      <c r="Q997" s="61"/>
      <c r="R997" s="61"/>
      <c r="S997" s="40"/>
      <c r="T997" s="38"/>
      <c r="U997" s="38"/>
      <c r="V997" s="38"/>
      <c r="W997" s="60"/>
      <c r="AB997" s="42"/>
      <c r="AC997" s="35"/>
      <c r="AD997" s="38"/>
      <c r="AE997" s="38"/>
      <c r="AF997" s="38"/>
      <c r="AG997" s="38"/>
      <c r="AH997" s="60"/>
    </row>
    <row r="998" spans="1:34" ht="15.75" customHeight="1">
      <c r="A998" s="35"/>
      <c r="B998" s="18" t="s">
        <v>3571</v>
      </c>
      <c r="C998" s="19" t="s">
        <v>1470</v>
      </c>
      <c r="D998" s="20" t="s">
        <v>3572</v>
      </c>
      <c r="E998" s="20" t="s">
        <v>55</v>
      </c>
      <c r="F998" s="19" t="s">
        <v>3286</v>
      </c>
      <c r="G998" s="37" t="s">
        <v>1461</v>
      </c>
      <c r="H998" s="19"/>
      <c r="I998" s="21" t="s">
        <v>233</v>
      </c>
      <c r="J998" s="21" t="s">
        <v>233</v>
      </c>
      <c r="K998" s="22" t="s">
        <v>55</v>
      </c>
      <c r="L998" s="56">
        <v>45062</v>
      </c>
      <c r="O998" s="42"/>
      <c r="P998" s="40"/>
      <c r="Q998" s="61"/>
      <c r="R998" s="61"/>
      <c r="S998" s="40"/>
      <c r="T998" s="38"/>
      <c r="U998" s="38"/>
      <c r="V998" s="38"/>
      <c r="W998" s="60"/>
      <c r="AB998" s="42"/>
      <c r="AC998" s="35"/>
      <c r="AD998" s="38"/>
      <c r="AE998" s="38"/>
      <c r="AF998" s="38"/>
      <c r="AG998" s="38"/>
      <c r="AH998" s="60"/>
    </row>
    <row r="999" spans="1:34" ht="15.75" customHeight="1">
      <c r="A999" s="35"/>
      <c r="B999" s="34" t="s">
        <v>3573</v>
      </c>
      <c r="C999" s="19" t="s">
        <v>1470</v>
      </c>
      <c r="D999" s="20" t="s">
        <v>3574</v>
      </c>
      <c r="E999" s="20" t="s">
        <v>55</v>
      </c>
      <c r="F999" s="55" t="s">
        <v>1445</v>
      </c>
      <c r="G999" s="55" t="s">
        <v>1432</v>
      </c>
      <c r="H999" s="19"/>
      <c r="I999" s="21" t="s">
        <v>233</v>
      </c>
      <c r="J999" s="21" t="s">
        <v>233</v>
      </c>
      <c r="K999" s="22" t="s">
        <v>55</v>
      </c>
      <c r="L999" s="56">
        <v>45062</v>
      </c>
      <c r="O999" s="42"/>
      <c r="P999" s="40"/>
      <c r="Q999" s="61"/>
      <c r="R999" s="61"/>
      <c r="S999" s="40"/>
      <c r="T999" s="38"/>
      <c r="U999" s="38"/>
      <c r="V999" s="38"/>
      <c r="W999" s="60"/>
      <c r="AB999" s="42"/>
      <c r="AC999" s="35"/>
      <c r="AD999" s="38"/>
      <c r="AE999" s="38"/>
      <c r="AF999" s="38"/>
      <c r="AG999" s="38"/>
      <c r="AH999" s="60"/>
    </row>
    <row r="1000" spans="1:34" ht="15.75" customHeight="1">
      <c r="A1000" s="35"/>
      <c r="B1000" s="18" t="s">
        <v>3575</v>
      </c>
      <c r="C1000" s="19" t="s">
        <v>87</v>
      </c>
      <c r="D1000" s="20" t="s">
        <v>3576</v>
      </c>
      <c r="E1000" s="20" t="s">
        <v>3577</v>
      </c>
      <c r="F1000" s="19" t="s">
        <v>90</v>
      </c>
      <c r="G1000" s="19" t="s">
        <v>91</v>
      </c>
      <c r="H1000" s="19"/>
      <c r="I1000" s="21" t="s">
        <v>29</v>
      </c>
      <c r="J1000" s="21" t="s">
        <v>29</v>
      </c>
      <c r="K1000" s="22" t="s">
        <v>3578</v>
      </c>
      <c r="L1000" s="56">
        <v>45062</v>
      </c>
      <c r="O1000" s="42"/>
      <c r="P1000" s="40"/>
      <c r="Q1000" s="61"/>
      <c r="R1000" s="61"/>
      <c r="S1000" s="40"/>
      <c r="T1000" s="38"/>
      <c r="U1000" s="38"/>
      <c r="V1000" s="38"/>
      <c r="W1000" s="60"/>
      <c r="AB1000" s="42"/>
      <c r="AC1000" s="35"/>
      <c r="AD1000" s="38"/>
      <c r="AE1000" s="38"/>
      <c r="AF1000" s="38"/>
      <c r="AG1000" s="38"/>
      <c r="AH1000" s="60"/>
    </row>
    <row r="1001" spans="1:34" ht="15.75" customHeight="1">
      <c r="A1001" s="35"/>
      <c r="B1001" s="18" t="s">
        <v>3579</v>
      </c>
      <c r="C1001" s="19" t="s">
        <v>24</v>
      </c>
      <c r="D1001" s="20" t="s">
        <v>3580</v>
      </c>
      <c r="E1001" s="20" t="s">
        <v>3581</v>
      </c>
      <c r="F1001" s="19" t="s">
        <v>27</v>
      </c>
      <c r="G1001" s="19" t="s">
        <v>28</v>
      </c>
      <c r="H1001" s="19" t="s">
        <v>36</v>
      </c>
      <c r="I1001" s="21" t="s">
        <v>29</v>
      </c>
      <c r="J1001" s="21" t="s">
        <v>29</v>
      </c>
      <c r="K1001" s="22" t="s">
        <v>3582</v>
      </c>
      <c r="L1001" s="56">
        <v>45062</v>
      </c>
      <c r="O1001" s="42"/>
      <c r="P1001" s="40"/>
      <c r="Q1001" s="61"/>
      <c r="R1001" s="61"/>
      <c r="S1001" s="40"/>
      <c r="T1001" s="38"/>
      <c r="U1001" s="38"/>
      <c r="V1001" s="38"/>
      <c r="W1001" s="60"/>
      <c r="AB1001" s="42"/>
      <c r="AC1001" s="35"/>
      <c r="AD1001" s="38"/>
      <c r="AE1001" s="38"/>
      <c r="AF1001" s="38"/>
      <c r="AG1001" s="38"/>
      <c r="AH1001" s="60"/>
    </row>
    <row r="1002" spans="1:34" ht="15.75" customHeight="1">
      <c r="A1002" s="35"/>
      <c r="B1002" s="18" t="s">
        <v>3583</v>
      </c>
      <c r="C1002" s="19" t="s">
        <v>24</v>
      </c>
      <c r="D1002" s="20" t="s">
        <v>3584</v>
      </c>
      <c r="E1002" s="20" t="s">
        <v>55</v>
      </c>
      <c r="F1002" s="19" t="s">
        <v>27</v>
      </c>
      <c r="G1002" s="19" t="s">
        <v>28</v>
      </c>
      <c r="H1002" s="37" t="s">
        <v>813</v>
      </c>
      <c r="I1002" s="21" t="s">
        <v>29</v>
      </c>
      <c r="J1002" s="21" t="s">
        <v>29</v>
      </c>
      <c r="K1002" s="22" t="s">
        <v>55</v>
      </c>
      <c r="L1002" s="56">
        <v>45062</v>
      </c>
      <c r="O1002" s="42"/>
      <c r="P1002" s="40"/>
      <c r="Q1002" s="61"/>
      <c r="R1002" s="61"/>
      <c r="S1002" s="40"/>
      <c r="T1002" s="38"/>
      <c r="U1002" s="38"/>
      <c r="V1002" s="38"/>
      <c r="W1002" s="60"/>
      <c r="AB1002" s="42"/>
      <c r="AC1002" s="35"/>
      <c r="AD1002" s="38"/>
      <c r="AE1002" s="38"/>
      <c r="AF1002" s="38"/>
      <c r="AG1002" s="38"/>
      <c r="AH1002" s="60"/>
    </row>
    <row r="1003" spans="1:34" ht="15.75" customHeight="1">
      <c r="A1003" s="35"/>
      <c r="B1003" s="69" t="s">
        <v>3585</v>
      </c>
      <c r="C1003" s="19" t="s">
        <v>24</v>
      </c>
      <c r="D1003" s="20" t="s">
        <v>3586</v>
      </c>
      <c r="E1003" s="20" t="s">
        <v>3587</v>
      </c>
      <c r="F1003" s="19" t="s">
        <v>90</v>
      </c>
      <c r="G1003" s="19" t="s">
        <v>91</v>
      </c>
      <c r="H1003" s="19" t="s">
        <v>36</v>
      </c>
      <c r="I1003" s="21" t="s">
        <v>29</v>
      </c>
      <c r="J1003" s="21" t="s">
        <v>29</v>
      </c>
      <c r="K1003" s="22" t="s">
        <v>3588</v>
      </c>
      <c r="L1003" s="56">
        <v>45062</v>
      </c>
      <c r="O1003" s="42"/>
      <c r="P1003" s="40"/>
      <c r="Q1003" s="61"/>
      <c r="R1003" s="61"/>
      <c r="S1003" s="40"/>
      <c r="T1003" s="38"/>
      <c r="U1003" s="38"/>
      <c r="V1003" s="38"/>
      <c r="W1003" s="60"/>
      <c r="AB1003" s="42"/>
      <c r="AC1003" s="35"/>
      <c r="AD1003" s="38"/>
      <c r="AE1003" s="38"/>
      <c r="AF1003" s="38"/>
      <c r="AG1003" s="38"/>
      <c r="AH1003" s="60"/>
    </row>
    <row r="1004" spans="1:34" ht="15.75" customHeight="1">
      <c r="A1004" s="35"/>
      <c r="B1004" s="18" t="s">
        <v>3589</v>
      </c>
      <c r="C1004" s="19" t="s">
        <v>24</v>
      </c>
      <c r="D1004" s="20" t="s">
        <v>3590</v>
      </c>
      <c r="E1004" s="20" t="s">
        <v>3591</v>
      </c>
      <c r="F1004" s="19" t="s">
        <v>27</v>
      </c>
      <c r="G1004" s="19" t="s">
        <v>28</v>
      </c>
      <c r="H1004" s="19" t="s">
        <v>36</v>
      </c>
      <c r="I1004" s="21" t="s">
        <v>29</v>
      </c>
      <c r="J1004" s="21" t="s">
        <v>29</v>
      </c>
      <c r="K1004" s="22" t="s">
        <v>3592</v>
      </c>
      <c r="L1004" s="56">
        <v>45062</v>
      </c>
      <c r="O1004" s="42"/>
      <c r="P1004" s="40"/>
      <c r="Q1004" s="61"/>
      <c r="R1004" s="61"/>
      <c r="S1004" s="40"/>
      <c r="T1004" s="38"/>
      <c r="U1004" s="38"/>
      <c r="V1004" s="38"/>
      <c r="W1004" s="60"/>
      <c r="AB1004" s="42"/>
      <c r="AC1004" s="35"/>
      <c r="AD1004" s="38"/>
      <c r="AE1004" s="38"/>
      <c r="AF1004" s="38"/>
      <c r="AG1004" s="38"/>
      <c r="AH1004" s="60"/>
    </row>
    <row r="1005" spans="1:34" ht="15.75" customHeight="1">
      <c r="A1005" s="35"/>
      <c r="B1005" s="41" t="s">
        <v>3593</v>
      </c>
      <c r="C1005" s="19" t="s">
        <v>46</v>
      </c>
      <c r="D1005" s="20" t="s">
        <v>3594</v>
      </c>
      <c r="E1005" s="20" t="s">
        <v>3595</v>
      </c>
      <c r="F1005" s="19"/>
      <c r="G1005" s="19"/>
      <c r="H1005" s="19"/>
      <c r="I1005" s="21"/>
      <c r="J1005" s="21"/>
      <c r="K1005" s="22"/>
      <c r="L1005" s="56"/>
      <c r="O1005" s="42"/>
      <c r="P1005" s="40"/>
      <c r="Q1005" s="61"/>
      <c r="R1005" s="61"/>
      <c r="S1005" s="40"/>
      <c r="T1005" s="38"/>
      <c r="U1005" s="38"/>
      <c r="V1005" s="38"/>
      <c r="W1005" s="60"/>
      <c r="AB1005" s="42"/>
      <c r="AC1005" s="35"/>
      <c r="AD1005" s="38"/>
      <c r="AE1005" s="38"/>
      <c r="AF1005" s="38"/>
      <c r="AG1005" s="38"/>
      <c r="AH1005" s="60"/>
    </row>
    <row r="1006" spans="1:34" ht="15.75" customHeight="1">
      <c r="A1006" s="35"/>
      <c r="B1006" s="18" t="s">
        <v>3596</v>
      </c>
      <c r="C1006" s="19" t="s">
        <v>24</v>
      </c>
      <c r="D1006" s="20" t="s">
        <v>3597</v>
      </c>
      <c r="E1006" s="20" t="s">
        <v>3598</v>
      </c>
      <c r="F1006" s="19" t="s">
        <v>27</v>
      </c>
      <c r="G1006" s="19" t="s">
        <v>28</v>
      </c>
      <c r="H1006" s="19" t="s">
        <v>36</v>
      </c>
      <c r="I1006" s="21" t="s">
        <v>29</v>
      </c>
      <c r="J1006" s="21" t="s">
        <v>29</v>
      </c>
      <c r="K1006" s="22" t="s">
        <v>3599</v>
      </c>
      <c r="L1006" s="56">
        <v>45062</v>
      </c>
      <c r="O1006" s="42"/>
      <c r="P1006" s="40"/>
      <c r="Q1006" s="61"/>
      <c r="R1006" s="61"/>
      <c r="S1006" s="40"/>
      <c r="T1006" s="38"/>
      <c r="U1006" s="38"/>
      <c r="V1006" s="38"/>
      <c r="W1006" s="60"/>
      <c r="AB1006" s="42"/>
      <c r="AC1006" s="35"/>
      <c r="AD1006" s="38"/>
      <c r="AE1006" s="38"/>
      <c r="AF1006" s="38"/>
      <c r="AG1006" s="38"/>
      <c r="AH1006" s="60"/>
    </row>
    <row r="1007" spans="1:34" ht="15.75" customHeight="1">
      <c r="A1007" s="35"/>
      <c r="B1007" s="18" t="s">
        <v>3600</v>
      </c>
      <c r="C1007" s="19" t="s">
        <v>87</v>
      </c>
      <c r="D1007" s="20" t="s">
        <v>3601</v>
      </c>
      <c r="E1007" s="20" t="s">
        <v>3602</v>
      </c>
      <c r="F1007" s="19" t="s">
        <v>90</v>
      </c>
      <c r="G1007" s="19" t="s">
        <v>91</v>
      </c>
      <c r="H1007" s="19"/>
      <c r="I1007" s="21" t="s">
        <v>29</v>
      </c>
      <c r="J1007" s="21" t="s">
        <v>29</v>
      </c>
      <c r="K1007" s="22" t="s">
        <v>3603</v>
      </c>
      <c r="L1007" s="56">
        <v>45062</v>
      </c>
      <c r="O1007" s="42"/>
      <c r="P1007" s="40"/>
      <c r="Q1007" s="61"/>
      <c r="R1007" s="61"/>
      <c r="S1007" s="40"/>
      <c r="T1007" s="38"/>
      <c r="U1007" s="38"/>
      <c r="V1007" s="38"/>
      <c r="W1007" s="60"/>
      <c r="AB1007" s="42"/>
      <c r="AC1007" s="35"/>
      <c r="AD1007" s="38"/>
      <c r="AE1007" s="38"/>
      <c r="AF1007" s="38"/>
      <c r="AG1007" s="38"/>
      <c r="AH1007" s="60"/>
    </row>
    <row r="1008" spans="1:34" ht="15.75" customHeight="1">
      <c r="A1008" s="35"/>
      <c r="B1008" s="18" t="s">
        <v>3604</v>
      </c>
      <c r="C1008" s="19" t="s">
        <v>24</v>
      </c>
      <c r="D1008" s="20" t="s">
        <v>3605</v>
      </c>
      <c r="E1008" s="20" t="s">
        <v>3606</v>
      </c>
      <c r="F1008" s="19" t="s">
        <v>27</v>
      </c>
      <c r="G1008" s="19" t="s">
        <v>28</v>
      </c>
      <c r="H1008" s="19"/>
      <c r="I1008" s="21" t="s">
        <v>29</v>
      </c>
      <c r="J1008" s="21" t="s">
        <v>29</v>
      </c>
      <c r="K1008" s="22" t="s">
        <v>3607</v>
      </c>
      <c r="L1008" s="56">
        <v>45062</v>
      </c>
      <c r="O1008" s="42"/>
      <c r="P1008" s="40"/>
      <c r="Q1008" s="61"/>
      <c r="R1008" s="61"/>
      <c r="S1008" s="40"/>
      <c r="T1008" s="38"/>
      <c r="U1008" s="38"/>
      <c r="V1008" s="38"/>
      <c r="W1008" s="60"/>
      <c r="AB1008" s="42"/>
      <c r="AC1008" s="35"/>
      <c r="AD1008" s="38"/>
      <c r="AE1008" s="38"/>
      <c r="AF1008" s="38"/>
      <c r="AG1008" s="38"/>
      <c r="AH1008" s="60"/>
    </row>
    <row r="1009" spans="1:34" ht="15.75" customHeight="1">
      <c r="A1009" s="35"/>
      <c r="B1009" s="18" t="s">
        <v>3608</v>
      </c>
      <c r="C1009" s="19" t="s">
        <v>24</v>
      </c>
      <c r="D1009" s="20" t="s">
        <v>3609</v>
      </c>
      <c r="E1009" s="20" t="s">
        <v>3610</v>
      </c>
      <c r="F1009" s="19" t="s">
        <v>27</v>
      </c>
      <c r="G1009" s="19" t="s">
        <v>28</v>
      </c>
      <c r="H1009" s="19"/>
      <c r="I1009" s="21" t="s">
        <v>29</v>
      </c>
      <c r="J1009" s="21" t="s">
        <v>29</v>
      </c>
      <c r="K1009" s="22" t="s">
        <v>3611</v>
      </c>
      <c r="L1009" s="56">
        <v>45062</v>
      </c>
      <c r="O1009" s="42"/>
      <c r="P1009" s="40"/>
      <c r="Q1009" s="61"/>
      <c r="R1009" s="61"/>
      <c r="S1009" s="40"/>
      <c r="T1009" s="38"/>
      <c r="U1009" s="38"/>
      <c r="V1009" s="38"/>
      <c r="W1009" s="60"/>
      <c r="AB1009" s="42"/>
      <c r="AC1009" s="35"/>
      <c r="AD1009" s="38"/>
      <c r="AE1009" s="38"/>
      <c r="AF1009" s="38"/>
      <c r="AG1009" s="38"/>
      <c r="AH1009" s="60"/>
    </row>
    <row r="1010" spans="1:34" ht="15.75" customHeight="1">
      <c r="A1010" s="35"/>
      <c r="B1010" s="29" t="s">
        <v>3612</v>
      </c>
      <c r="C1010" s="19" t="s">
        <v>87</v>
      </c>
      <c r="D1010" s="20" t="s">
        <v>3613</v>
      </c>
      <c r="E1010" s="20" t="s">
        <v>3614</v>
      </c>
      <c r="F1010" s="19" t="s">
        <v>90</v>
      </c>
      <c r="G1010" s="19" t="s">
        <v>91</v>
      </c>
      <c r="H1010" s="19"/>
      <c r="I1010" s="21" t="s">
        <v>29</v>
      </c>
      <c r="J1010" s="21" t="s">
        <v>29</v>
      </c>
      <c r="K1010" s="22" t="s">
        <v>3615</v>
      </c>
      <c r="L1010" s="56">
        <v>45062</v>
      </c>
      <c r="O1010" s="42"/>
      <c r="P1010" s="40"/>
      <c r="Q1010" s="61"/>
      <c r="R1010" s="61"/>
      <c r="S1010" s="40"/>
      <c r="T1010" s="38"/>
      <c r="U1010" s="38"/>
      <c r="V1010" s="38"/>
      <c r="W1010" s="60"/>
      <c r="AB1010" s="42"/>
      <c r="AC1010" s="35"/>
      <c r="AD1010" s="38"/>
      <c r="AE1010" s="38"/>
      <c r="AF1010" s="38"/>
      <c r="AG1010" s="38"/>
      <c r="AH1010" s="60"/>
    </row>
    <row r="1011" spans="1:34" ht="15.75" customHeight="1">
      <c r="A1011" s="35"/>
      <c r="B1011" s="38" t="s">
        <v>3616</v>
      </c>
      <c r="C1011" s="19" t="s">
        <v>46</v>
      </c>
      <c r="D1011" s="20" t="s">
        <v>3617</v>
      </c>
      <c r="E1011" s="20" t="s">
        <v>3618</v>
      </c>
      <c r="F1011" s="19" t="s">
        <v>286</v>
      </c>
      <c r="G1011" s="19" t="s">
        <v>50</v>
      </c>
      <c r="H1011" s="19"/>
      <c r="I1011" s="21" t="s">
        <v>286</v>
      </c>
      <c r="J1011" s="21" t="s">
        <v>29</v>
      </c>
      <c r="K1011" s="22" t="s">
        <v>3619</v>
      </c>
      <c r="L1011" s="56"/>
      <c r="O1011" s="42"/>
      <c r="P1011" s="40"/>
      <c r="Q1011" s="61"/>
      <c r="R1011" s="61"/>
      <c r="S1011" s="40"/>
      <c r="T1011" s="38"/>
      <c r="U1011" s="38"/>
      <c r="V1011" s="38"/>
      <c r="W1011" s="60"/>
      <c r="AB1011" s="42"/>
      <c r="AC1011" s="35"/>
      <c r="AD1011" s="38"/>
      <c r="AE1011" s="38"/>
      <c r="AF1011" s="38"/>
      <c r="AG1011" s="38"/>
      <c r="AH1011" s="60"/>
    </row>
    <row r="1012" spans="1:34" ht="15.75" customHeight="1">
      <c r="A1012" s="35"/>
      <c r="B1012" s="18" t="s">
        <v>3620</v>
      </c>
      <c r="C1012" s="19" t="s">
        <v>1603</v>
      </c>
      <c r="D1012" s="20" t="s">
        <v>3621</v>
      </c>
      <c r="E1012" s="20" t="s">
        <v>3622</v>
      </c>
      <c r="F1012" s="19" t="s">
        <v>27</v>
      </c>
      <c r="G1012" s="37" t="s">
        <v>1606</v>
      </c>
      <c r="H1012" s="19"/>
      <c r="I1012" s="21" t="s">
        <v>29</v>
      </c>
      <c r="J1012" s="21" t="s">
        <v>233</v>
      </c>
      <c r="K1012" s="22" t="s">
        <v>3623</v>
      </c>
      <c r="L1012" s="56">
        <v>45062</v>
      </c>
      <c r="O1012" s="42"/>
      <c r="P1012" s="40"/>
      <c r="Q1012" s="61"/>
      <c r="R1012" s="61"/>
      <c r="S1012" s="40"/>
      <c r="T1012" s="38"/>
      <c r="U1012" s="38"/>
      <c r="V1012" s="38"/>
      <c r="W1012" s="60"/>
      <c r="AB1012" s="42"/>
      <c r="AC1012" s="35"/>
      <c r="AD1012" s="38"/>
      <c r="AE1012" s="38"/>
      <c r="AF1012" s="38"/>
      <c r="AG1012" s="38"/>
      <c r="AH1012" s="60"/>
    </row>
    <row r="1013" spans="1:34" ht="15.75" customHeight="1">
      <c r="A1013" s="35"/>
      <c r="B1013" s="18" t="s">
        <v>3624</v>
      </c>
      <c r="C1013" s="19" t="s">
        <v>87</v>
      </c>
      <c r="D1013" s="20" t="s">
        <v>3625</v>
      </c>
      <c r="E1013" s="20" t="s">
        <v>3626</v>
      </c>
      <c r="F1013" s="19" t="s">
        <v>90</v>
      </c>
      <c r="G1013" s="19" t="s">
        <v>91</v>
      </c>
      <c r="H1013" s="19"/>
      <c r="I1013" s="21" t="s">
        <v>29</v>
      </c>
      <c r="J1013" s="21" t="s">
        <v>29</v>
      </c>
      <c r="K1013" s="22" t="s">
        <v>3627</v>
      </c>
      <c r="L1013" s="56">
        <v>45062</v>
      </c>
      <c r="O1013" s="42"/>
      <c r="P1013" s="40"/>
      <c r="Q1013" s="61"/>
      <c r="R1013" s="61"/>
      <c r="S1013" s="40"/>
      <c r="T1013" s="38"/>
      <c r="U1013" s="38"/>
      <c r="V1013" s="38"/>
      <c r="W1013" s="60"/>
      <c r="AB1013" s="42"/>
      <c r="AC1013" s="35"/>
      <c r="AD1013" s="38"/>
      <c r="AE1013" s="38"/>
      <c r="AF1013" s="38"/>
      <c r="AG1013" s="38"/>
      <c r="AH1013" s="60"/>
    </row>
    <row r="1014" spans="1:34" ht="15.75" customHeight="1">
      <c r="A1014" s="35"/>
      <c r="B1014" s="18" t="s">
        <v>3628</v>
      </c>
      <c r="C1014" s="19" t="s">
        <v>24</v>
      </c>
      <c r="D1014" s="20" t="s">
        <v>3629</v>
      </c>
      <c r="E1014" s="20" t="s">
        <v>3630</v>
      </c>
      <c r="F1014" s="19" t="s">
        <v>27</v>
      </c>
      <c r="G1014" s="19" t="s">
        <v>28</v>
      </c>
      <c r="H1014" s="37" t="s">
        <v>762</v>
      </c>
      <c r="I1014" s="21" t="s">
        <v>29</v>
      </c>
      <c r="J1014" s="21" t="s">
        <v>29</v>
      </c>
      <c r="K1014" s="22" t="s">
        <v>3631</v>
      </c>
      <c r="L1014" s="56">
        <v>45062</v>
      </c>
      <c r="O1014" s="42"/>
      <c r="P1014" s="40"/>
      <c r="Q1014" s="61"/>
      <c r="R1014" s="61"/>
      <c r="S1014" s="40"/>
      <c r="T1014" s="38"/>
      <c r="U1014" s="38"/>
      <c r="V1014" s="38"/>
      <c r="W1014" s="60"/>
      <c r="AB1014" s="42"/>
      <c r="AC1014" s="35"/>
      <c r="AD1014" s="38"/>
      <c r="AE1014" s="38"/>
      <c r="AF1014" s="38"/>
      <c r="AG1014" s="38"/>
      <c r="AH1014" s="60"/>
    </row>
    <row r="1015" spans="1:34" ht="15.75" customHeight="1">
      <c r="A1015" s="35"/>
      <c r="B1015" s="18" t="s">
        <v>3632</v>
      </c>
      <c r="C1015" s="19" t="s">
        <v>24</v>
      </c>
      <c r="D1015" s="20" t="s">
        <v>3633</v>
      </c>
      <c r="E1015" s="20" t="s">
        <v>3634</v>
      </c>
      <c r="F1015" s="19" t="s">
        <v>27</v>
      </c>
      <c r="G1015" s="19" t="s">
        <v>28</v>
      </c>
      <c r="H1015" s="19" t="s">
        <v>36</v>
      </c>
      <c r="I1015" s="21" t="s">
        <v>29</v>
      </c>
      <c r="J1015" s="21" t="s">
        <v>29</v>
      </c>
      <c r="K1015" s="22" t="s">
        <v>3635</v>
      </c>
      <c r="L1015" s="56">
        <v>45062</v>
      </c>
      <c r="O1015" s="42"/>
      <c r="P1015" s="40"/>
      <c r="Q1015" s="61"/>
      <c r="R1015" s="61"/>
      <c r="S1015" s="40"/>
      <c r="T1015" s="38"/>
      <c r="U1015" s="38"/>
      <c r="V1015" s="38"/>
      <c r="W1015" s="60"/>
      <c r="AB1015" s="42"/>
      <c r="AC1015" s="35"/>
      <c r="AD1015" s="38"/>
      <c r="AE1015" s="38"/>
      <c r="AF1015" s="38"/>
      <c r="AG1015" s="38"/>
      <c r="AH1015" s="60"/>
    </row>
    <row r="1016" spans="1:34" ht="15.75" customHeight="1">
      <c r="A1016" s="35"/>
      <c r="B1016" s="18" t="s">
        <v>3636</v>
      </c>
      <c r="C1016" s="19" t="s">
        <v>24</v>
      </c>
      <c r="D1016" s="20" t="s">
        <v>3637</v>
      </c>
      <c r="E1016" s="20" t="s">
        <v>3638</v>
      </c>
      <c r="F1016" s="19" t="s">
        <v>27</v>
      </c>
      <c r="G1016" s="19" t="s">
        <v>28</v>
      </c>
      <c r="H1016" s="19"/>
      <c r="I1016" s="21" t="s">
        <v>29</v>
      </c>
      <c r="J1016" s="21" t="s">
        <v>29</v>
      </c>
      <c r="K1016" s="22" t="s">
        <v>3639</v>
      </c>
      <c r="L1016" s="56">
        <v>45062</v>
      </c>
      <c r="O1016" s="42"/>
      <c r="P1016" s="40"/>
      <c r="Q1016" s="61"/>
      <c r="R1016" s="61"/>
      <c r="S1016" s="40"/>
      <c r="T1016" s="38"/>
      <c r="U1016" s="38"/>
      <c r="V1016" s="38"/>
      <c r="W1016" s="60"/>
      <c r="AB1016" s="42"/>
      <c r="AC1016" s="35"/>
      <c r="AD1016" s="38"/>
      <c r="AE1016" s="38"/>
      <c r="AF1016" s="38"/>
      <c r="AG1016" s="38"/>
      <c r="AH1016" s="60"/>
    </row>
    <row r="1017" spans="1:34" ht="15.75" customHeight="1">
      <c r="A1017" s="35"/>
      <c r="B1017" s="18" t="s">
        <v>3640</v>
      </c>
      <c r="C1017" s="19" t="s">
        <v>24</v>
      </c>
      <c r="D1017" s="20" t="s">
        <v>3641</v>
      </c>
      <c r="E1017" s="20" t="s">
        <v>3642</v>
      </c>
      <c r="F1017" s="19" t="s">
        <v>27</v>
      </c>
      <c r="G1017" s="19" t="s">
        <v>28</v>
      </c>
      <c r="H1017" s="19" t="s">
        <v>36</v>
      </c>
      <c r="I1017" s="21" t="s">
        <v>29</v>
      </c>
      <c r="J1017" s="21" t="s">
        <v>29</v>
      </c>
      <c r="K1017" s="22" t="s">
        <v>3643</v>
      </c>
      <c r="L1017" s="56">
        <v>45062</v>
      </c>
      <c r="O1017" s="42"/>
      <c r="P1017" s="40"/>
      <c r="Q1017" s="61"/>
      <c r="R1017" s="61"/>
      <c r="S1017" s="40"/>
      <c r="T1017" s="38"/>
      <c r="U1017" s="38"/>
      <c r="V1017" s="38"/>
      <c r="W1017" s="60"/>
      <c r="AB1017" s="42"/>
      <c r="AC1017" s="35"/>
      <c r="AD1017" s="38"/>
      <c r="AE1017" s="38"/>
      <c r="AF1017" s="38"/>
      <c r="AG1017" s="38"/>
      <c r="AH1017" s="60"/>
    </row>
    <row r="1018" spans="1:34" ht="15.75" customHeight="1">
      <c r="A1018" s="35"/>
      <c r="B1018" s="18" t="s">
        <v>3644</v>
      </c>
      <c r="C1018" s="19" t="s">
        <v>46</v>
      </c>
      <c r="D1018" s="20" t="s">
        <v>3645</v>
      </c>
      <c r="E1018" s="20" t="s">
        <v>3646</v>
      </c>
      <c r="F1018" s="37" t="s">
        <v>49</v>
      </c>
      <c r="G1018" s="19" t="s">
        <v>50</v>
      </c>
      <c r="H1018" s="19"/>
      <c r="I1018" s="21" t="s">
        <v>29</v>
      </c>
      <c r="J1018" s="21" t="s">
        <v>29</v>
      </c>
      <c r="K1018" s="22" t="s">
        <v>3647</v>
      </c>
      <c r="L1018" s="56">
        <v>45062</v>
      </c>
      <c r="O1018" s="42"/>
      <c r="P1018" s="40"/>
      <c r="Q1018" s="61"/>
      <c r="R1018" s="61"/>
      <c r="S1018" s="40"/>
      <c r="T1018" s="38"/>
      <c r="U1018" s="38"/>
      <c r="V1018" s="38"/>
      <c r="W1018" s="60"/>
      <c r="AB1018" s="42"/>
      <c r="AC1018" s="35"/>
      <c r="AD1018" s="38"/>
      <c r="AE1018" s="38"/>
      <c r="AF1018" s="38"/>
      <c r="AG1018" s="38"/>
      <c r="AH1018" s="60"/>
    </row>
    <row r="1019" spans="1:34" ht="15.75" customHeight="1">
      <c r="A1019" s="35"/>
      <c r="B1019" s="18" t="s">
        <v>3648</v>
      </c>
      <c r="C1019" s="19" t="s">
        <v>1638</v>
      </c>
      <c r="D1019" s="20" t="s">
        <v>3649</v>
      </c>
      <c r="E1019" s="20" t="s">
        <v>3650</v>
      </c>
      <c r="F1019" s="37" t="s">
        <v>1399</v>
      </c>
      <c r="G1019" s="19" t="s">
        <v>1641</v>
      </c>
      <c r="H1019" s="19"/>
      <c r="I1019" s="21" t="s">
        <v>1371</v>
      </c>
      <c r="J1019" s="21" t="s">
        <v>1371</v>
      </c>
      <c r="K1019" s="22" t="s">
        <v>3651</v>
      </c>
      <c r="L1019" s="56">
        <v>45062</v>
      </c>
      <c r="O1019" s="42"/>
      <c r="P1019" s="40"/>
      <c r="Q1019" s="61"/>
      <c r="R1019" s="61"/>
      <c r="S1019" s="40"/>
      <c r="T1019" s="38"/>
      <c r="U1019" s="38"/>
      <c r="V1019" s="38"/>
      <c r="W1019" s="60"/>
      <c r="AB1019" s="42"/>
      <c r="AC1019" s="35"/>
      <c r="AD1019" s="38"/>
      <c r="AE1019" s="38"/>
      <c r="AF1019" s="38"/>
      <c r="AG1019" s="38"/>
      <c r="AH1019" s="60"/>
    </row>
    <row r="1020" spans="1:34" ht="15.75" customHeight="1">
      <c r="A1020" s="35"/>
      <c r="B1020" s="18" t="s">
        <v>3652</v>
      </c>
      <c r="C1020" s="19" t="s">
        <v>24</v>
      </c>
      <c r="D1020" s="20" t="s">
        <v>3653</v>
      </c>
      <c r="E1020" s="20" t="s">
        <v>3654</v>
      </c>
      <c r="F1020" s="19" t="s">
        <v>27</v>
      </c>
      <c r="G1020" s="19" t="s">
        <v>28</v>
      </c>
      <c r="H1020" s="19"/>
      <c r="I1020" s="21" t="s">
        <v>29</v>
      </c>
      <c r="J1020" s="21" t="s">
        <v>29</v>
      </c>
      <c r="K1020" s="22" t="s">
        <v>3655</v>
      </c>
      <c r="L1020" s="56">
        <v>45062</v>
      </c>
      <c r="O1020" s="42"/>
      <c r="P1020" s="40"/>
      <c r="Q1020" s="61"/>
      <c r="R1020" s="61"/>
      <c r="S1020" s="40"/>
      <c r="T1020" s="38"/>
      <c r="U1020" s="38"/>
      <c r="V1020" s="38"/>
      <c r="W1020" s="60"/>
      <c r="AB1020" s="42"/>
      <c r="AC1020" s="35"/>
      <c r="AD1020" s="38"/>
      <c r="AE1020" s="38"/>
      <c r="AF1020" s="38"/>
      <c r="AG1020" s="38"/>
      <c r="AH1020" s="60"/>
    </row>
    <row r="1021" spans="1:34" ht="15.75" customHeight="1">
      <c r="A1021" s="35"/>
      <c r="B1021" s="18" t="s">
        <v>3656</v>
      </c>
      <c r="C1021" s="19" t="s">
        <v>24</v>
      </c>
      <c r="D1021" s="20" t="s">
        <v>3657</v>
      </c>
      <c r="E1021" s="20" t="s">
        <v>3658</v>
      </c>
      <c r="F1021" s="19" t="s">
        <v>27</v>
      </c>
      <c r="G1021" s="19" t="s">
        <v>28</v>
      </c>
      <c r="H1021" s="19" t="s">
        <v>36</v>
      </c>
      <c r="I1021" s="21" t="s">
        <v>29</v>
      </c>
      <c r="J1021" s="21" t="s">
        <v>29</v>
      </c>
      <c r="K1021" s="22" t="s">
        <v>3659</v>
      </c>
      <c r="L1021" s="56">
        <v>45062</v>
      </c>
      <c r="O1021" s="42"/>
      <c r="P1021" s="40"/>
      <c r="Q1021" s="61"/>
      <c r="R1021" s="61"/>
      <c r="S1021" s="40"/>
      <c r="T1021" s="38"/>
      <c r="U1021" s="38"/>
      <c r="V1021" s="38"/>
      <c r="W1021" s="60"/>
      <c r="AB1021" s="42"/>
      <c r="AC1021" s="35"/>
      <c r="AD1021" s="38"/>
      <c r="AE1021" s="38"/>
      <c r="AF1021" s="38"/>
      <c r="AG1021" s="38"/>
      <c r="AH1021" s="60"/>
    </row>
    <row r="1022" spans="1:34" ht="15.75" customHeight="1">
      <c r="A1022" s="35"/>
      <c r="B1022" s="41" t="s">
        <v>3660</v>
      </c>
      <c r="C1022" s="19" t="s">
        <v>24</v>
      </c>
      <c r="D1022" s="20" t="s">
        <v>3661</v>
      </c>
      <c r="E1022" s="20" t="s">
        <v>3662</v>
      </c>
      <c r="F1022" s="19"/>
      <c r="G1022" s="19"/>
      <c r="H1022" s="19"/>
      <c r="I1022" s="21"/>
      <c r="J1022" s="21"/>
      <c r="K1022" s="22"/>
      <c r="L1022" s="56"/>
      <c r="O1022" s="42"/>
      <c r="P1022" s="40"/>
      <c r="Q1022" s="61"/>
      <c r="R1022" s="61"/>
      <c r="S1022" s="40"/>
      <c r="T1022" s="38"/>
      <c r="U1022" s="38"/>
      <c r="V1022" s="38"/>
      <c r="W1022" s="60"/>
      <c r="AB1022" s="42"/>
      <c r="AC1022" s="35"/>
      <c r="AD1022" s="38"/>
      <c r="AE1022" s="38"/>
      <c r="AF1022" s="38"/>
      <c r="AG1022" s="38"/>
      <c r="AH1022" s="60"/>
    </row>
    <row r="1023" spans="1:34" ht="15.75" customHeight="1">
      <c r="A1023" s="35"/>
      <c r="B1023" s="18" t="s">
        <v>3663</v>
      </c>
      <c r="C1023" s="19" t="s">
        <v>24</v>
      </c>
      <c r="D1023" s="20" t="s">
        <v>3664</v>
      </c>
      <c r="E1023" s="20" t="s">
        <v>3665</v>
      </c>
      <c r="F1023" s="19" t="s">
        <v>27</v>
      </c>
      <c r="G1023" s="19" t="s">
        <v>28</v>
      </c>
      <c r="H1023" s="19"/>
      <c r="I1023" s="21" t="s">
        <v>29</v>
      </c>
      <c r="J1023" s="21" t="s">
        <v>29</v>
      </c>
      <c r="K1023" s="22" t="s">
        <v>3666</v>
      </c>
      <c r="L1023" s="56">
        <v>45062</v>
      </c>
      <c r="O1023" s="42"/>
      <c r="P1023" s="40"/>
      <c r="Q1023" s="61"/>
      <c r="R1023" s="61"/>
      <c r="S1023" s="40"/>
      <c r="T1023" s="38"/>
      <c r="U1023" s="38"/>
      <c r="V1023" s="38"/>
      <c r="W1023" s="60"/>
      <c r="AB1023" s="42"/>
      <c r="AC1023" s="35"/>
      <c r="AD1023" s="38"/>
      <c r="AE1023" s="38"/>
      <c r="AF1023" s="38"/>
      <c r="AG1023" s="38"/>
      <c r="AH1023" s="60"/>
    </row>
    <row r="1024" spans="1:34" ht="15.75" customHeight="1">
      <c r="A1024" s="35"/>
      <c r="B1024" s="18" t="s">
        <v>3667</v>
      </c>
      <c r="C1024" s="19" t="s">
        <v>87</v>
      </c>
      <c r="D1024" s="20" t="s">
        <v>3668</v>
      </c>
      <c r="E1024" s="20" t="s">
        <v>3669</v>
      </c>
      <c r="F1024" s="19" t="s">
        <v>90</v>
      </c>
      <c r="G1024" s="19" t="s">
        <v>91</v>
      </c>
      <c r="H1024" s="19"/>
      <c r="I1024" s="21" t="s">
        <v>29</v>
      </c>
      <c r="J1024" s="21" t="s">
        <v>29</v>
      </c>
      <c r="K1024" s="22" t="s">
        <v>3670</v>
      </c>
      <c r="L1024" s="56">
        <v>45062</v>
      </c>
      <c r="O1024" s="42"/>
      <c r="P1024" s="40"/>
      <c r="Q1024" s="61"/>
      <c r="R1024" s="61"/>
      <c r="S1024" s="40"/>
      <c r="T1024" s="38"/>
      <c r="U1024" s="38"/>
      <c r="V1024" s="38"/>
      <c r="W1024" s="60"/>
      <c r="AB1024" s="42"/>
      <c r="AC1024" s="35"/>
      <c r="AD1024" s="38"/>
      <c r="AE1024" s="38"/>
      <c r="AF1024" s="38"/>
      <c r="AG1024" s="38"/>
      <c r="AH1024" s="60"/>
    </row>
    <row r="1025" spans="1:34" ht="15.75" customHeight="1">
      <c r="A1025" s="35"/>
      <c r="B1025" s="18" t="s">
        <v>3671</v>
      </c>
      <c r="C1025" s="19" t="s">
        <v>1470</v>
      </c>
      <c r="D1025" s="20" t="s">
        <v>3672</v>
      </c>
      <c r="E1025" s="20" t="s">
        <v>3673</v>
      </c>
      <c r="F1025" s="19" t="s">
        <v>3286</v>
      </c>
      <c r="G1025" s="19" t="s">
        <v>1461</v>
      </c>
      <c r="H1025" s="19"/>
      <c r="I1025" s="21" t="s">
        <v>233</v>
      </c>
      <c r="J1025" s="21" t="s">
        <v>233</v>
      </c>
      <c r="K1025" s="22" t="s">
        <v>3674</v>
      </c>
      <c r="L1025" s="56">
        <v>45062</v>
      </c>
      <c r="O1025" s="42"/>
      <c r="P1025" s="40"/>
      <c r="Q1025" s="61"/>
      <c r="R1025" s="61"/>
      <c r="S1025" s="40"/>
      <c r="T1025" s="38"/>
      <c r="U1025" s="38"/>
      <c r="V1025" s="38"/>
      <c r="W1025" s="60"/>
      <c r="AB1025" s="42"/>
      <c r="AC1025" s="35"/>
      <c r="AD1025" s="38"/>
      <c r="AE1025" s="38"/>
      <c r="AF1025" s="38"/>
      <c r="AG1025" s="38"/>
      <c r="AH1025" s="60"/>
    </row>
    <row r="1026" spans="1:34" ht="15.75" customHeight="1">
      <c r="A1026" s="35"/>
      <c r="B1026" s="18" t="s">
        <v>3675</v>
      </c>
      <c r="C1026" s="19" t="s">
        <v>87</v>
      </c>
      <c r="D1026" s="20" t="s">
        <v>3676</v>
      </c>
      <c r="E1026" s="20" t="s">
        <v>3677</v>
      </c>
      <c r="F1026" s="19" t="s">
        <v>90</v>
      </c>
      <c r="G1026" s="19" t="s">
        <v>91</v>
      </c>
      <c r="H1026" s="19"/>
      <c r="I1026" s="21" t="s">
        <v>29</v>
      </c>
      <c r="J1026" s="21" t="s">
        <v>29</v>
      </c>
      <c r="K1026" s="22" t="s">
        <v>3678</v>
      </c>
      <c r="L1026" s="56">
        <v>45062</v>
      </c>
      <c r="O1026" s="42"/>
      <c r="P1026" s="40"/>
      <c r="Q1026" s="61"/>
      <c r="R1026" s="61"/>
      <c r="S1026" s="40"/>
      <c r="T1026" s="38"/>
      <c r="U1026" s="38"/>
      <c r="V1026" s="38"/>
      <c r="W1026" s="60"/>
      <c r="AB1026" s="42"/>
      <c r="AC1026" s="35"/>
      <c r="AD1026" s="38"/>
      <c r="AE1026" s="38"/>
      <c r="AF1026" s="38"/>
      <c r="AG1026" s="38"/>
      <c r="AH1026" s="60"/>
    </row>
    <row r="1027" spans="1:34" ht="15.75" customHeight="1">
      <c r="A1027" s="35"/>
      <c r="B1027" s="18" t="s">
        <v>3679</v>
      </c>
      <c r="C1027" s="19" t="s">
        <v>87</v>
      </c>
      <c r="D1027" s="20" t="s">
        <v>3680</v>
      </c>
      <c r="E1027" s="20" t="s">
        <v>3681</v>
      </c>
      <c r="F1027" s="19" t="s">
        <v>90</v>
      </c>
      <c r="G1027" s="19" t="s">
        <v>91</v>
      </c>
      <c r="H1027" s="19" t="s">
        <v>36</v>
      </c>
      <c r="I1027" s="21" t="s">
        <v>29</v>
      </c>
      <c r="J1027" s="21" t="s">
        <v>29</v>
      </c>
      <c r="K1027" s="22" t="s">
        <v>3682</v>
      </c>
      <c r="L1027" s="56">
        <v>45062</v>
      </c>
      <c r="O1027" s="42"/>
      <c r="P1027" s="40"/>
      <c r="Q1027" s="61"/>
      <c r="R1027" s="61"/>
      <c r="S1027" s="40"/>
      <c r="T1027" s="38"/>
      <c r="U1027" s="38"/>
      <c r="V1027" s="38"/>
      <c r="W1027" s="60"/>
      <c r="AB1027" s="42"/>
      <c r="AC1027" s="35"/>
      <c r="AD1027" s="38"/>
      <c r="AE1027" s="38"/>
      <c r="AF1027" s="38"/>
      <c r="AG1027" s="38"/>
      <c r="AH1027" s="60"/>
    </row>
    <row r="1028" spans="1:34" ht="15.75" customHeight="1">
      <c r="A1028" s="35"/>
      <c r="B1028" s="18" t="s">
        <v>3683</v>
      </c>
      <c r="C1028" s="19" t="s">
        <v>24</v>
      </c>
      <c r="D1028" s="20" t="s">
        <v>3684</v>
      </c>
      <c r="E1028" s="20" t="s">
        <v>3685</v>
      </c>
      <c r="F1028" s="19" t="s">
        <v>27</v>
      </c>
      <c r="G1028" s="19" t="s">
        <v>28</v>
      </c>
      <c r="H1028" s="19"/>
      <c r="I1028" s="21" t="s">
        <v>29</v>
      </c>
      <c r="J1028" s="21" t="s">
        <v>29</v>
      </c>
      <c r="K1028" s="22" t="s">
        <v>3686</v>
      </c>
      <c r="L1028" s="56">
        <v>45062</v>
      </c>
      <c r="O1028" s="42"/>
      <c r="P1028" s="40"/>
      <c r="Q1028" s="61"/>
      <c r="R1028" s="61"/>
      <c r="S1028" s="40"/>
      <c r="T1028" s="38"/>
      <c r="U1028" s="38"/>
      <c r="V1028" s="38"/>
      <c r="W1028" s="60"/>
      <c r="AB1028" s="42"/>
      <c r="AC1028" s="35"/>
      <c r="AD1028" s="38"/>
      <c r="AE1028" s="38"/>
      <c r="AF1028" s="38"/>
      <c r="AG1028" s="38"/>
      <c r="AH1028" s="60"/>
    </row>
    <row r="1029" spans="1:34" ht="15.75" customHeight="1">
      <c r="A1029" s="35"/>
      <c r="B1029" s="38" t="s">
        <v>3687</v>
      </c>
      <c r="C1029" s="19" t="s">
        <v>46</v>
      </c>
      <c r="D1029" s="20" t="s">
        <v>3688</v>
      </c>
      <c r="E1029" s="20" t="s">
        <v>3689</v>
      </c>
      <c r="F1029" s="19" t="s">
        <v>286</v>
      </c>
      <c r="G1029" s="19" t="s">
        <v>50</v>
      </c>
      <c r="H1029" s="19"/>
      <c r="I1029" s="21" t="s">
        <v>286</v>
      </c>
      <c r="J1029" s="21" t="s">
        <v>233</v>
      </c>
      <c r="K1029" s="22" t="s">
        <v>3690</v>
      </c>
      <c r="L1029" s="56"/>
      <c r="O1029" s="42"/>
      <c r="P1029" s="40"/>
      <c r="Q1029" s="61"/>
      <c r="R1029" s="61"/>
      <c r="S1029" s="40"/>
      <c r="T1029" s="38"/>
      <c r="U1029" s="38"/>
      <c r="V1029" s="38"/>
      <c r="W1029" s="60"/>
      <c r="AB1029" s="42"/>
      <c r="AC1029" s="35"/>
      <c r="AD1029" s="38"/>
      <c r="AE1029" s="38"/>
      <c r="AF1029" s="38"/>
      <c r="AG1029" s="38"/>
      <c r="AH1029" s="60"/>
    </row>
    <row r="1030" spans="1:34" ht="15.75" customHeight="1">
      <c r="A1030" s="35"/>
      <c r="B1030" s="18" t="s">
        <v>3691</v>
      </c>
      <c r="C1030" s="19" t="s">
        <v>1638</v>
      </c>
      <c r="D1030" s="20" t="s">
        <v>3692</v>
      </c>
      <c r="E1030" s="20" t="s">
        <v>3693</v>
      </c>
      <c r="F1030" s="37" t="s">
        <v>1399</v>
      </c>
      <c r="G1030" s="19" t="s">
        <v>1641</v>
      </c>
      <c r="H1030" s="19"/>
      <c r="I1030" s="21" t="s">
        <v>1371</v>
      </c>
      <c r="J1030" s="21" t="s">
        <v>1371</v>
      </c>
      <c r="K1030" s="22" t="s">
        <v>3694</v>
      </c>
      <c r="L1030" s="56">
        <v>45062</v>
      </c>
      <c r="O1030" s="42"/>
      <c r="P1030" s="40"/>
      <c r="Q1030" s="61"/>
      <c r="R1030" s="61"/>
      <c r="S1030" s="40"/>
      <c r="T1030" s="38"/>
      <c r="U1030" s="38"/>
      <c r="V1030" s="38"/>
      <c r="W1030" s="60"/>
      <c r="AB1030" s="42"/>
      <c r="AC1030" s="35"/>
      <c r="AD1030" s="38"/>
      <c r="AE1030" s="38"/>
      <c r="AF1030" s="38"/>
      <c r="AG1030" s="38"/>
      <c r="AH1030" s="60"/>
    </row>
    <row r="1031" spans="1:34" ht="15.75" customHeight="1">
      <c r="A1031" s="35"/>
      <c r="B1031" s="18" t="s">
        <v>3695</v>
      </c>
      <c r="C1031" s="19" t="s">
        <v>1430</v>
      </c>
      <c r="D1031" s="20" t="s">
        <v>3696</v>
      </c>
      <c r="E1031" s="20" t="s">
        <v>55</v>
      </c>
      <c r="F1031" s="55" t="s">
        <v>1445</v>
      </c>
      <c r="G1031" s="55" t="s">
        <v>1432</v>
      </c>
      <c r="H1031" s="19"/>
      <c r="I1031" s="21" t="s">
        <v>233</v>
      </c>
      <c r="J1031" s="21" t="s">
        <v>233</v>
      </c>
      <c r="K1031" s="22" t="s">
        <v>55</v>
      </c>
      <c r="L1031" s="56">
        <v>45062</v>
      </c>
      <c r="O1031" s="42"/>
      <c r="P1031" s="40"/>
      <c r="Q1031" s="61"/>
      <c r="R1031" s="61"/>
      <c r="S1031" s="40"/>
      <c r="T1031" s="38"/>
      <c r="U1031" s="38"/>
      <c r="V1031" s="38"/>
      <c r="W1031" s="60"/>
      <c r="AB1031" s="42"/>
      <c r="AC1031" s="35"/>
      <c r="AD1031" s="38"/>
      <c r="AE1031" s="38"/>
      <c r="AF1031" s="38"/>
      <c r="AG1031" s="38"/>
      <c r="AH1031" s="60"/>
    </row>
    <row r="1032" spans="1:34" ht="15.75" customHeight="1">
      <c r="A1032" s="35"/>
      <c r="B1032" s="18" t="s">
        <v>3697</v>
      </c>
      <c r="C1032" s="19" t="s">
        <v>1430</v>
      </c>
      <c r="D1032" s="20" t="s">
        <v>3698</v>
      </c>
      <c r="E1032" s="20" t="s">
        <v>55</v>
      </c>
      <c r="F1032" s="55" t="s">
        <v>1445</v>
      </c>
      <c r="G1032" s="55" t="s">
        <v>1432</v>
      </c>
      <c r="H1032" s="19"/>
      <c r="I1032" s="21" t="s">
        <v>233</v>
      </c>
      <c r="J1032" s="21" t="s">
        <v>233</v>
      </c>
      <c r="K1032" s="22" t="s">
        <v>55</v>
      </c>
      <c r="L1032" s="56">
        <v>45062</v>
      </c>
      <c r="O1032" s="42"/>
      <c r="P1032" s="40"/>
      <c r="Q1032" s="61"/>
      <c r="R1032" s="61"/>
      <c r="S1032" s="40"/>
      <c r="T1032" s="38"/>
      <c r="U1032" s="38"/>
      <c r="V1032" s="38"/>
      <c r="W1032" s="60"/>
      <c r="AB1032" s="42"/>
      <c r="AC1032" s="35"/>
      <c r="AD1032" s="38"/>
      <c r="AE1032" s="38"/>
      <c r="AF1032" s="38"/>
      <c r="AG1032" s="38"/>
      <c r="AH1032" s="60"/>
    </row>
    <row r="1033" spans="1:34" ht="15.75" customHeight="1">
      <c r="A1033" s="35"/>
      <c r="B1033" s="18" t="s">
        <v>3699</v>
      </c>
      <c r="C1033" s="19" t="s">
        <v>1470</v>
      </c>
      <c r="D1033" s="20" t="s">
        <v>3700</v>
      </c>
      <c r="E1033" s="20" t="s">
        <v>3701</v>
      </c>
      <c r="F1033" s="55" t="s">
        <v>1445</v>
      </c>
      <c r="G1033" s="37" t="s">
        <v>1461</v>
      </c>
      <c r="H1033" s="19"/>
      <c r="I1033" s="21" t="s">
        <v>233</v>
      </c>
      <c r="J1033" s="21" t="s">
        <v>233</v>
      </c>
      <c r="K1033" s="22" t="s">
        <v>3702</v>
      </c>
      <c r="L1033" s="56">
        <v>45062</v>
      </c>
      <c r="O1033" s="42"/>
      <c r="P1033" s="40"/>
      <c r="Q1033" s="61"/>
      <c r="R1033" s="61"/>
      <c r="S1033" s="40"/>
      <c r="T1033" s="38"/>
      <c r="U1033" s="38"/>
      <c r="V1033" s="38"/>
      <c r="W1033" s="60"/>
      <c r="AB1033" s="42"/>
      <c r="AC1033" s="35"/>
      <c r="AD1033" s="38"/>
      <c r="AE1033" s="38"/>
      <c r="AF1033" s="38"/>
      <c r="AG1033" s="38"/>
      <c r="AH1033" s="60"/>
    </row>
    <row r="1034" spans="1:34" ht="15.75" customHeight="1">
      <c r="A1034" s="35"/>
      <c r="B1034" s="18" t="s">
        <v>3703</v>
      </c>
      <c r="C1034" s="19" t="s">
        <v>87</v>
      </c>
      <c r="D1034" s="20" t="s">
        <v>3704</v>
      </c>
      <c r="E1034" s="20" t="s">
        <v>3705</v>
      </c>
      <c r="F1034" s="19" t="s">
        <v>90</v>
      </c>
      <c r="G1034" s="19" t="s">
        <v>91</v>
      </c>
      <c r="H1034" s="19" t="s">
        <v>36</v>
      </c>
      <c r="I1034" s="21" t="s">
        <v>29</v>
      </c>
      <c r="J1034" s="21" t="s">
        <v>29</v>
      </c>
      <c r="K1034" s="22" t="s">
        <v>3706</v>
      </c>
      <c r="L1034" s="56">
        <v>45062</v>
      </c>
      <c r="O1034" s="42"/>
      <c r="P1034" s="40"/>
      <c r="Q1034" s="61"/>
      <c r="R1034" s="61"/>
      <c r="S1034" s="40"/>
      <c r="T1034" s="38"/>
      <c r="U1034" s="38"/>
      <c r="V1034" s="38"/>
      <c r="W1034" s="60"/>
      <c r="AB1034" s="42"/>
      <c r="AC1034" s="35"/>
      <c r="AD1034" s="38"/>
      <c r="AE1034" s="38"/>
      <c r="AF1034" s="38"/>
      <c r="AG1034" s="38"/>
      <c r="AH1034" s="60"/>
    </row>
    <row r="1035" spans="1:34" ht="15.75" customHeight="1">
      <c r="A1035" s="35"/>
      <c r="B1035" s="18" t="s">
        <v>3707</v>
      </c>
      <c r="C1035" s="19" t="s">
        <v>1430</v>
      </c>
      <c r="D1035" s="20" t="s">
        <v>3708</v>
      </c>
      <c r="E1035" s="20" t="s">
        <v>3709</v>
      </c>
      <c r="F1035" s="55" t="s">
        <v>1445</v>
      </c>
      <c r="G1035" s="55" t="s">
        <v>1432</v>
      </c>
      <c r="H1035" s="19"/>
      <c r="I1035" s="21" t="s">
        <v>233</v>
      </c>
      <c r="J1035" s="21" t="s">
        <v>233</v>
      </c>
      <c r="K1035" s="22" t="s">
        <v>3710</v>
      </c>
      <c r="L1035" s="56">
        <v>45062</v>
      </c>
      <c r="O1035" s="42"/>
      <c r="P1035" s="40"/>
      <c r="Q1035" s="61"/>
      <c r="R1035" s="61"/>
      <c r="S1035" s="40"/>
      <c r="T1035" s="38"/>
      <c r="U1035" s="38"/>
      <c r="V1035" s="38"/>
      <c r="W1035" s="60"/>
      <c r="AB1035" s="42"/>
      <c r="AC1035" s="35"/>
      <c r="AD1035" s="38"/>
      <c r="AE1035" s="38"/>
      <c r="AF1035" s="38"/>
      <c r="AG1035" s="38"/>
      <c r="AH1035" s="60"/>
    </row>
    <row r="1036" spans="1:34" ht="15.75" customHeight="1">
      <c r="A1036" s="35"/>
      <c r="B1036" s="18" t="s">
        <v>3711</v>
      </c>
      <c r="C1036" s="19" t="s">
        <v>87</v>
      </c>
      <c r="D1036" s="20" t="s">
        <v>3712</v>
      </c>
      <c r="E1036" s="20" t="s">
        <v>3713</v>
      </c>
      <c r="F1036" s="19" t="s">
        <v>90</v>
      </c>
      <c r="G1036" s="19" t="s">
        <v>91</v>
      </c>
      <c r="H1036" s="19"/>
      <c r="I1036" s="21" t="s">
        <v>29</v>
      </c>
      <c r="J1036" s="21" t="s">
        <v>29</v>
      </c>
      <c r="K1036" s="22" t="s">
        <v>3714</v>
      </c>
      <c r="L1036" s="56">
        <v>45062</v>
      </c>
      <c r="O1036" s="42"/>
      <c r="P1036" s="40"/>
      <c r="Q1036" s="61"/>
      <c r="R1036" s="61"/>
      <c r="S1036" s="40"/>
      <c r="T1036" s="38"/>
      <c r="U1036" s="38"/>
      <c r="V1036" s="38"/>
      <c r="W1036" s="60"/>
      <c r="AB1036" s="42"/>
      <c r="AC1036" s="35"/>
      <c r="AD1036" s="38"/>
      <c r="AE1036" s="38"/>
      <c r="AF1036" s="38"/>
      <c r="AG1036" s="38"/>
      <c r="AH1036" s="60"/>
    </row>
    <row r="1037" spans="1:34" ht="15.75" customHeight="1">
      <c r="A1037" s="35"/>
      <c r="B1037" s="18" t="s">
        <v>3715</v>
      </c>
      <c r="C1037" s="19" t="s">
        <v>87</v>
      </c>
      <c r="D1037" s="20" t="s">
        <v>3716</v>
      </c>
      <c r="E1037" s="20" t="s">
        <v>3717</v>
      </c>
      <c r="F1037" s="19" t="s">
        <v>90</v>
      </c>
      <c r="G1037" s="19" t="s">
        <v>91</v>
      </c>
      <c r="H1037" s="19" t="s">
        <v>36</v>
      </c>
      <c r="I1037" s="21" t="s">
        <v>29</v>
      </c>
      <c r="J1037" s="21" t="s">
        <v>29</v>
      </c>
      <c r="K1037" s="22" t="s">
        <v>3718</v>
      </c>
      <c r="L1037" s="56">
        <v>45062</v>
      </c>
      <c r="O1037" s="42"/>
      <c r="P1037" s="40"/>
      <c r="Q1037" s="61"/>
      <c r="R1037" s="61"/>
      <c r="S1037" s="40"/>
      <c r="T1037" s="38"/>
      <c r="U1037" s="38"/>
      <c r="V1037" s="38"/>
      <c r="W1037" s="60"/>
      <c r="AB1037" s="42"/>
      <c r="AC1037" s="35"/>
      <c r="AD1037" s="38"/>
      <c r="AE1037" s="38"/>
      <c r="AF1037" s="38"/>
      <c r="AG1037" s="38"/>
      <c r="AH1037" s="60"/>
    </row>
    <row r="1038" spans="1:34" ht="15.75" customHeight="1">
      <c r="A1038" s="35"/>
      <c r="B1038" s="18" t="s">
        <v>3719</v>
      </c>
      <c r="C1038" s="19" t="s">
        <v>87</v>
      </c>
      <c r="D1038" s="20" t="s">
        <v>3720</v>
      </c>
      <c r="E1038" s="20" t="s">
        <v>3721</v>
      </c>
      <c r="F1038" s="19" t="s">
        <v>90</v>
      </c>
      <c r="G1038" s="19" t="s">
        <v>91</v>
      </c>
      <c r="H1038" s="19" t="s">
        <v>36</v>
      </c>
      <c r="I1038" s="21" t="s">
        <v>29</v>
      </c>
      <c r="J1038" s="21" t="s">
        <v>29</v>
      </c>
      <c r="K1038" s="22" t="s">
        <v>3722</v>
      </c>
      <c r="L1038" s="56">
        <v>45062</v>
      </c>
      <c r="O1038" s="42"/>
      <c r="P1038" s="40"/>
      <c r="Q1038" s="61"/>
      <c r="R1038" s="61"/>
      <c r="S1038" s="40"/>
      <c r="T1038" s="38"/>
      <c r="U1038" s="38"/>
      <c r="V1038" s="38"/>
      <c r="W1038" s="60"/>
      <c r="AB1038" s="42"/>
      <c r="AC1038" s="35"/>
      <c r="AD1038" s="38"/>
      <c r="AE1038" s="38"/>
      <c r="AF1038" s="38"/>
      <c r="AG1038" s="38"/>
      <c r="AH1038" s="60"/>
    </row>
    <row r="1039" spans="1:34" ht="15.75" customHeight="1">
      <c r="A1039" s="35"/>
      <c r="B1039" s="18" t="s">
        <v>3723</v>
      </c>
      <c r="C1039" s="19" t="s">
        <v>24</v>
      </c>
      <c r="D1039" s="20" t="s">
        <v>3724</v>
      </c>
      <c r="E1039" s="20" t="s">
        <v>3725</v>
      </c>
      <c r="F1039" s="19" t="s">
        <v>27</v>
      </c>
      <c r="G1039" s="19" t="s">
        <v>28</v>
      </c>
      <c r="H1039" s="19" t="s">
        <v>36</v>
      </c>
      <c r="I1039" s="21" t="s">
        <v>29</v>
      </c>
      <c r="J1039" s="21" t="s">
        <v>29</v>
      </c>
      <c r="K1039" s="22" t="s">
        <v>3726</v>
      </c>
      <c r="L1039" s="56">
        <v>45062</v>
      </c>
      <c r="O1039" s="42"/>
      <c r="P1039" s="40"/>
      <c r="Q1039" s="61"/>
      <c r="R1039" s="61"/>
      <c r="S1039" s="40"/>
      <c r="T1039" s="38"/>
      <c r="U1039" s="38"/>
      <c r="V1039" s="38"/>
      <c r="W1039" s="60"/>
      <c r="AB1039" s="42"/>
      <c r="AC1039" s="35"/>
      <c r="AD1039" s="38"/>
      <c r="AE1039" s="38"/>
      <c r="AF1039" s="38"/>
      <c r="AG1039" s="38"/>
      <c r="AH1039" s="60"/>
    </row>
    <row r="1040" spans="1:34" ht="15.75" customHeight="1">
      <c r="A1040" s="35"/>
      <c r="B1040" s="41" t="s">
        <v>3727</v>
      </c>
      <c r="C1040" s="19" t="s">
        <v>87</v>
      </c>
      <c r="D1040" s="20" t="s">
        <v>3728</v>
      </c>
      <c r="E1040" s="20" t="s">
        <v>3729</v>
      </c>
      <c r="F1040" s="19"/>
      <c r="G1040" s="19"/>
      <c r="H1040" s="19"/>
      <c r="I1040" s="21"/>
      <c r="J1040" s="21"/>
      <c r="K1040" s="22"/>
      <c r="L1040" s="56"/>
      <c r="O1040" s="42"/>
      <c r="P1040" s="40"/>
      <c r="Q1040" s="61"/>
      <c r="R1040" s="61"/>
      <c r="S1040" s="40"/>
      <c r="T1040" s="38"/>
      <c r="U1040" s="38"/>
      <c r="V1040" s="38"/>
      <c r="W1040" s="60"/>
      <c r="AB1040" s="42"/>
      <c r="AC1040" s="35"/>
      <c r="AD1040" s="38"/>
      <c r="AE1040" s="38"/>
      <c r="AF1040" s="38"/>
      <c r="AG1040" s="38"/>
      <c r="AH1040" s="60"/>
    </row>
    <row r="1041" spans="1:34" ht="15.75" customHeight="1">
      <c r="A1041" s="35"/>
      <c r="B1041" s="18" t="s">
        <v>3730</v>
      </c>
      <c r="C1041" s="19" t="s">
        <v>46</v>
      </c>
      <c r="D1041" s="20" t="s">
        <v>3731</v>
      </c>
      <c r="E1041" s="20" t="s">
        <v>3732</v>
      </c>
      <c r="F1041" s="37" t="s">
        <v>49</v>
      </c>
      <c r="G1041" s="19" t="s">
        <v>50</v>
      </c>
      <c r="H1041" s="19"/>
      <c r="I1041" s="21" t="s">
        <v>29</v>
      </c>
      <c r="J1041" s="21" t="s">
        <v>29</v>
      </c>
      <c r="K1041" s="22" t="s">
        <v>3733</v>
      </c>
      <c r="L1041" s="56">
        <v>45062</v>
      </c>
      <c r="O1041" s="42"/>
      <c r="P1041" s="40"/>
      <c r="Q1041" s="61"/>
      <c r="R1041" s="61"/>
      <c r="S1041" s="40"/>
      <c r="T1041" s="38"/>
      <c r="U1041" s="38"/>
      <c r="V1041" s="38"/>
      <c r="W1041" s="60"/>
      <c r="AB1041" s="42"/>
      <c r="AC1041" s="35"/>
      <c r="AD1041" s="38"/>
      <c r="AE1041" s="38"/>
      <c r="AF1041" s="38"/>
      <c r="AG1041" s="38"/>
      <c r="AH1041" s="60"/>
    </row>
    <row r="1042" spans="1:34" ht="15.75" customHeight="1">
      <c r="A1042" s="35"/>
      <c r="B1042" s="38"/>
      <c r="C1042" s="37"/>
      <c r="D1042" s="20"/>
      <c r="E1042" s="20"/>
      <c r="F1042" s="37"/>
      <c r="G1042" s="37"/>
      <c r="H1042" s="37"/>
      <c r="I1042" s="21"/>
      <c r="J1042" s="21"/>
      <c r="K1042" s="22"/>
      <c r="L1042" s="39"/>
      <c r="O1042" s="42"/>
      <c r="P1042" s="40"/>
      <c r="Q1042" s="61"/>
      <c r="R1042" s="61"/>
      <c r="S1042" s="40"/>
      <c r="T1042" s="38"/>
      <c r="U1042" s="38"/>
      <c r="V1042" s="38"/>
      <c r="W1042" s="60"/>
      <c r="AB1042" s="42"/>
      <c r="AC1042" s="35"/>
      <c r="AD1042" s="38"/>
      <c r="AE1042" s="38"/>
      <c r="AF1042" s="38"/>
      <c r="AG1042" s="38"/>
      <c r="AH1042" s="60"/>
    </row>
    <row r="1043" spans="1:34" ht="15.75" customHeight="1">
      <c r="A1043" s="35" t="s">
        <v>3734</v>
      </c>
      <c r="B1043" s="29" t="s">
        <v>3735</v>
      </c>
      <c r="C1043" s="37" t="s">
        <v>24</v>
      </c>
      <c r="D1043" s="25" t="s">
        <v>3736</v>
      </c>
      <c r="E1043" s="20" t="s">
        <v>3737</v>
      </c>
      <c r="F1043" s="19" t="s">
        <v>27</v>
      </c>
      <c r="G1043" s="19" t="s">
        <v>28</v>
      </c>
      <c r="H1043" s="37"/>
      <c r="I1043" s="21" t="s">
        <v>29</v>
      </c>
      <c r="J1043" s="21" t="s">
        <v>29</v>
      </c>
      <c r="K1043" s="22" t="s">
        <v>3738</v>
      </c>
      <c r="L1043" s="56">
        <v>45063</v>
      </c>
      <c r="M1043" s="40"/>
      <c r="N1043" s="40"/>
      <c r="O1043" s="42"/>
      <c r="P1043" s="40"/>
      <c r="Q1043" s="61"/>
      <c r="R1043" s="61"/>
      <c r="S1043" s="40"/>
      <c r="T1043" s="38"/>
      <c r="U1043" s="38"/>
      <c r="V1043" s="38"/>
      <c r="W1043" s="60"/>
      <c r="AB1043" s="42"/>
      <c r="AC1043" s="35"/>
      <c r="AD1043" s="38"/>
      <c r="AE1043" s="38"/>
      <c r="AF1043" s="38"/>
      <c r="AG1043" s="38"/>
      <c r="AH1043" s="60"/>
    </row>
    <row r="1044" spans="1:34" ht="15.75" customHeight="1">
      <c r="A1044" s="54" t="s">
        <v>3739</v>
      </c>
      <c r="B1044" s="18" t="s">
        <v>3740</v>
      </c>
      <c r="C1044" s="19" t="s">
        <v>24</v>
      </c>
      <c r="D1044" s="25" t="s">
        <v>3741</v>
      </c>
      <c r="E1044" s="20" t="s">
        <v>3742</v>
      </c>
      <c r="F1044" s="19" t="s">
        <v>27</v>
      </c>
      <c r="G1044" s="19" t="s">
        <v>28</v>
      </c>
      <c r="H1044" s="37" t="s">
        <v>813</v>
      </c>
      <c r="I1044" s="21" t="s">
        <v>29</v>
      </c>
      <c r="J1044" s="21" t="s">
        <v>29</v>
      </c>
      <c r="K1044" s="22" t="s">
        <v>3743</v>
      </c>
      <c r="L1044" s="56">
        <v>45063</v>
      </c>
      <c r="O1044" s="42"/>
      <c r="P1044" s="40"/>
      <c r="Q1044" s="61"/>
      <c r="R1044" s="61"/>
      <c r="S1044" s="40"/>
      <c r="T1044" s="38"/>
      <c r="U1044" s="38"/>
      <c r="V1044" s="38"/>
      <c r="W1044" s="60"/>
      <c r="AB1044" s="42"/>
      <c r="AC1044" s="35"/>
      <c r="AD1044" s="38"/>
      <c r="AE1044" s="38"/>
      <c r="AF1044" s="38"/>
      <c r="AG1044" s="38"/>
      <c r="AH1044" s="60"/>
    </row>
    <row r="1045" spans="1:34" ht="15.75" customHeight="1">
      <c r="A1045" s="50" t="s">
        <v>39</v>
      </c>
      <c r="B1045" s="18" t="s">
        <v>3744</v>
      </c>
      <c r="C1045" s="19" t="s">
        <v>24</v>
      </c>
      <c r="D1045" s="25" t="s">
        <v>3745</v>
      </c>
      <c r="E1045" s="20" t="s">
        <v>3746</v>
      </c>
      <c r="F1045" s="19" t="s">
        <v>27</v>
      </c>
      <c r="G1045" s="19" t="s">
        <v>28</v>
      </c>
      <c r="H1045" s="19"/>
      <c r="I1045" s="21" t="s">
        <v>29</v>
      </c>
      <c r="J1045" s="21" t="s">
        <v>29</v>
      </c>
      <c r="K1045" s="22" t="s">
        <v>3747</v>
      </c>
      <c r="L1045" s="56">
        <v>45063</v>
      </c>
      <c r="O1045" s="42"/>
      <c r="P1045" s="40"/>
      <c r="Q1045" s="61"/>
      <c r="R1045" s="61"/>
      <c r="S1045" s="40"/>
      <c r="T1045" s="38"/>
      <c r="U1045" s="38"/>
      <c r="V1045" s="38"/>
      <c r="W1045" s="60"/>
      <c r="AB1045" s="42"/>
      <c r="AC1045" s="35"/>
      <c r="AD1045" s="38"/>
      <c r="AE1045" s="38"/>
      <c r="AF1045" s="38"/>
      <c r="AG1045" s="38"/>
      <c r="AH1045" s="60"/>
    </row>
    <row r="1046" spans="1:34" ht="15.75" customHeight="1">
      <c r="A1046" s="35" t="s">
        <v>3244</v>
      </c>
      <c r="B1046" s="18" t="s">
        <v>3748</v>
      </c>
      <c r="C1046" s="19" t="s">
        <v>24</v>
      </c>
      <c r="D1046" s="25" t="s">
        <v>3749</v>
      </c>
      <c r="E1046" s="20" t="s">
        <v>3750</v>
      </c>
      <c r="F1046" s="19" t="s">
        <v>27</v>
      </c>
      <c r="G1046" s="19" t="s">
        <v>28</v>
      </c>
      <c r="H1046" s="19"/>
      <c r="I1046" s="21" t="s">
        <v>29</v>
      </c>
      <c r="J1046" s="21" t="s">
        <v>29</v>
      </c>
      <c r="K1046" s="22" t="s">
        <v>3751</v>
      </c>
      <c r="L1046" s="56">
        <v>45063</v>
      </c>
      <c r="O1046" s="42"/>
      <c r="P1046" s="40"/>
      <c r="Q1046" s="61"/>
      <c r="R1046" s="61"/>
      <c r="S1046" s="40"/>
      <c r="T1046" s="38"/>
      <c r="U1046" s="38"/>
      <c r="V1046" s="38"/>
      <c r="W1046" s="60"/>
      <c r="AB1046" s="42"/>
      <c r="AC1046" s="35"/>
      <c r="AD1046" s="38"/>
      <c r="AE1046" s="38"/>
      <c r="AF1046" s="38"/>
      <c r="AG1046" s="38"/>
      <c r="AH1046" s="60"/>
    </row>
    <row r="1047" spans="1:34" ht="15.75" customHeight="1">
      <c r="A1047" s="35" t="s">
        <v>3752</v>
      </c>
      <c r="B1047" s="18" t="s">
        <v>3753</v>
      </c>
      <c r="C1047" s="19" t="s">
        <v>46</v>
      </c>
      <c r="D1047" s="25" t="s">
        <v>3754</v>
      </c>
      <c r="E1047" s="20" t="s">
        <v>3755</v>
      </c>
      <c r="F1047" s="37" t="s">
        <v>49</v>
      </c>
      <c r="G1047" s="19" t="s">
        <v>50</v>
      </c>
      <c r="H1047" s="19"/>
      <c r="I1047" s="21" t="s">
        <v>29</v>
      </c>
      <c r="J1047" s="21" t="s">
        <v>29</v>
      </c>
      <c r="K1047" s="22" t="s">
        <v>3756</v>
      </c>
      <c r="L1047" s="56">
        <v>45063</v>
      </c>
      <c r="O1047" s="42"/>
      <c r="P1047" s="40"/>
      <c r="Q1047" s="61"/>
      <c r="R1047" s="61"/>
      <c r="S1047" s="40"/>
      <c r="T1047" s="38"/>
      <c r="U1047" s="38"/>
      <c r="V1047" s="38"/>
      <c r="W1047" s="60"/>
      <c r="AB1047" s="42"/>
      <c r="AC1047" s="35"/>
      <c r="AD1047" s="38"/>
      <c r="AE1047" s="38"/>
      <c r="AF1047" s="38"/>
      <c r="AG1047" s="38"/>
      <c r="AH1047" s="60"/>
    </row>
    <row r="1048" spans="1:34" ht="15.75" customHeight="1">
      <c r="A1048" s="44" t="s">
        <v>56</v>
      </c>
      <c r="B1048" s="18" t="s">
        <v>3757</v>
      </c>
      <c r="C1048" s="19" t="s">
        <v>46</v>
      </c>
      <c r="D1048" s="25" t="s">
        <v>3758</v>
      </c>
      <c r="E1048" s="20" t="s">
        <v>3759</v>
      </c>
      <c r="F1048" s="37" t="s">
        <v>49</v>
      </c>
      <c r="G1048" s="19" t="s">
        <v>50</v>
      </c>
      <c r="H1048" s="19"/>
      <c r="I1048" s="21" t="s">
        <v>29</v>
      </c>
      <c r="J1048" s="21" t="s">
        <v>29</v>
      </c>
      <c r="K1048" s="22" t="s">
        <v>3760</v>
      </c>
      <c r="L1048" s="56">
        <v>45063</v>
      </c>
      <c r="O1048" s="42"/>
      <c r="P1048" s="40"/>
      <c r="Q1048" s="61"/>
      <c r="R1048" s="61"/>
      <c r="S1048" s="40"/>
      <c r="T1048" s="38"/>
      <c r="U1048" s="38"/>
      <c r="V1048" s="38"/>
      <c r="W1048" s="60"/>
      <c r="AB1048" s="42"/>
      <c r="AC1048" s="35"/>
      <c r="AD1048" s="38"/>
      <c r="AE1048" s="38"/>
      <c r="AF1048" s="38"/>
      <c r="AG1048" s="38"/>
      <c r="AH1048" s="60"/>
    </row>
    <row r="1049" spans="1:34" ht="15.75" customHeight="1">
      <c r="A1049" s="53">
        <v>78</v>
      </c>
      <c r="B1049" s="36" t="s">
        <v>3761</v>
      </c>
      <c r="C1049" s="19" t="s">
        <v>359</v>
      </c>
      <c r="D1049" s="25" t="s">
        <v>3762</v>
      </c>
      <c r="E1049" s="20" t="s">
        <v>3763</v>
      </c>
      <c r="F1049" s="19" t="s">
        <v>27</v>
      </c>
      <c r="G1049" s="37" t="s">
        <v>359</v>
      </c>
      <c r="H1049" s="19"/>
      <c r="I1049" s="21" t="s">
        <v>29</v>
      </c>
      <c r="J1049" s="37" t="s">
        <v>359</v>
      </c>
      <c r="K1049" s="22" t="s">
        <v>3764</v>
      </c>
      <c r="L1049" s="56">
        <v>45063</v>
      </c>
      <c r="O1049" s="42"/>
      <c r="P1049" s="40"/>
      <c r="Q1049" s="61"/>
      <c r="R1049" s="61"/>
      <c r="S1049" s="40"/>
      <c r="T1049" s="38"/>
      <c r="U1049" s="38"/>
      <c r="V1049" s="38"/>
      <c r="W1049" s="60"/>
      <c r="AB1049" s="42"/>
      <c r="AC1049" s="35"/>
      <c r="AD1049" s="38"/>
      <c r="AE1049" s="38"/>
      <c r="AF1049" s="38"/>
      <c r="AG1049" s="38"/>
      <c r="AH1049" s="60"/>
    </row>
    <row r="1050" spans="1:34" ht="15.75" customHeight="1">
      <c r="A1050" s="44" t="s">
        <v>64</v>
      </c>
      <c r="B1050" s="18" t="s">
        <v>3765</v>
      </c>
      <c r="C1050" s="19" t="s">
        <v>46</v>
      </c>
      <c r="D1050" s="20"/>
      <c r="E1050" s="20" t="s">
        <v>3766</v>
      </c>
      <c r="F1050" s="37" t="s">
        <v>49</v>
      </c>
      <c r="G1050" s="19" t="s">
        <v>50</v>
      </c>
      <c r="H1050" s="19"/>
      <c r="I1050" s="21" t="s">
        <v>29</v>
      </c>
      <c r="J1050" s="21" t="s">
        <v>29</v>
      </c>
      <c r="K1050" s="22" t="s">
        <v>3767</v>
      </c>
      <c r="L1050" s="56">
        <v>45063</v>
      </c>
      <c r="O1050" s="42"/>
      <c r="P1050" s="40"/>
      <c r="Q1050" s="61"/>
      <c r="R1050" s="61"/>
      <c r="S1050" s="40"/>
      <c r="T1050" s="38"/>
      <c r="U1050" s="38"/>
      <c r="V1050" s="38"/>
      <c r="W1050" s="60"/>
      <c r="AB1050" s="42"/>
      <c r="AC1050" s="35"/>
      <c r="AD1050" s="38"/>
      <c r="AE1050" s="38"/>
      <c r="AF1050" s="38"/>
      <c r="AG1050" s="38"/>
      <c r="AH1050" s="60"/>
    </row>
    <row r="1051" spans="1:34" ht="15.75" customHeight="1">
      <c r="A1051" s="53">
        <v>3.9</v>
      </c>
      <c r="B1051" s="18" t="s">
        <v>3768</v>
      </c>
      <c r="C1051" s="19" t="s">
        <v>24</v>
      </c>
      <c r="D1051" s="25" t="s">
        <v>3769</v>
      </c>
      <c r="E1051" s="20" t="s">
        <v>3770</v>
      </c>
      <c r="F1051" s="19" t="s">
        <v>27</v>
      </c>
      <c r="G1051" s="19" t="s">
        <v>28</v>
      </c>
      <c r="H1051" s="19"/>
      <c r="I1051" s="21" t="s">
        <v>29</v>
      </c>
      <c r="J1051" s="21" t="s">
        <v>29</v>
      </c>
      <c r="K1051" s="22" t="s">
        <v>3771</v>
      </c>
      <c r="L1051" s="56">
        <v>45063</v>
      </c>
      <c r="O1051" s="42"/>
      <c r="P1051" s="40"/>
      <c r="Q1051" s="61"/>
      <c r="R1051" s="61"/>
      <c r="S1051" s="40"/>
      <c r="T1051" s="38"/>
      <c r="U1051" s="38"/>
      <c r="V1051" s="38"/>
      <c r="W1051" s="60"/>
      <c r="AB1051" s="42"/>
      <c r="AC1051" s="35"/>
      <c r="AD1051" s="38"/>
      <c r="AE1051" s="38"/>
      <c r="AF1051" s="38"/>
      <c r="AG1051" s="38"/>
      <c r="AH1051" s="60"/>
    </row>
    <row r="1052" spans="1:34" ht="15.75" customHeight="1">
      <c r="A1052" s="44" t="s">
        <v>73</v>
      </c>
      <c r="B1052" s="18" t="s">
        <v>3772</v>
      </c>
      <c r="C1052" s="19" t="s">
        <v>24</v>
      </c>
      <c r="D1052" s="25" t="s">
        <v>3773</v>
      </c>
      <c r="E1052" s="20" t="s">
        <v>3774</v>
      </c>
      <c r="F1052" s="19" t="s">
        <v>27</v>
      </c>
      <c r="G1052" s="19" t="s">
        <v>28</v>
      </c>
      <c r="H1052" s="19"/>
      <c r="I1052" s="21" t="s">
        <v>29</v>
      </c>
      <c r="J1052" s="21" t="s">
        <v>29</v>
      </c>
      <c r="K1052" s="22" t="s">
        <v>3775</v>
      </c>
      <c r="L1052" s="56">
        <v>45063</v>
      </c>
      <c r="O1052" s="42"/>
      <c r="P1052" s="40"/>
      <c r="Q1052" s="61"/>
      <c r="R1052" s="61"/>
      <c r="S1052" s="40"/>
      <c r="T1052" s="38"/>
      <c r="U1052" s="38"/>
      <c r="V1052" s="38"/>
      <c r="W1052" s="60"/>
      <c r="AB1052" s="42"/>
      <c r="AC1052" s="35"/>
      <c r="AD1052" s="38"/>
      <c r="AE1052" s="38"/>
      <c r="AF1052" s="38"/>
      <c r="AG1052" s="38"/>
      <c r="AH1052" s="60"/>
    </row>
    <row r="1053" spans="1:34" ht="15.75" customHeight="1">
      <c r="A1053" s="53">
        <v>3.9</v>
      </c>
      <c r="B1053" s="34" t="s">
        <v>3776</v>
      </c>
      <c r="C1053" s="19" t="s">
        <v>87</v>
      </c>
      <c r="D1053" s="20" t="s">
        <v>3777</v>
      </c>
      <c r="E1053" s="20" t="s">
        <v>3778</v>
      </c>
      <c r="F1053" s="19" t="s">
        <v>90</v>
      </c>
      <c r="G1053" s="19" t="s">
        <v>91</v>
      </c>
      <c r="H1053" s="19"/>
      <c r="I1053" s="21" t="s">
        <v>29</v>
      </c>
      <c r="J1053" s="21" t="s">
        <v>29</v>
      </c>
      <c r="K1053" s="22" t="s">
        <v>3779</v>
      </c>
      <c r="L1053" s="56">
        <v>45063</v>
      </c>
      <c r="O1053" s="42"/>
      <c r="P1053" s="40"/>
      <c r="Q1053" s="61"/>
      <c r="R1053" s="61"/>
      <c r="S1053" s="40"/>
      <c r="T1053" s="38"/>
      <c r="U1053" s="38"/>
      <c r="V1053" s="38"/>
      <c r="W1053" s="60"/>
      <c r="AB1053" s="42"/>
      <c r="AC1053" s="35"/>
      <c r="AD1053" s="38"/>
      <c r="AE1053" s="38"/>
      <c r="AF1053" s="38"/>
      <c r="AG1053" s="38"/>
      <c r="AH1053" s="60"/>
    </row>
    <row r="1054" spans="1:34" ht="15.75" customHeight="1">
      <c r="A1054" s="50" t="s">
        <v>82</v>
      </c>
      <c r="B1054" s="18" t="s">
        <v>3780</v>
      </c>
      <c r="C1054" s="19" t="s">
        <v>24</v>
      </c>
      <c r="D1054" s="25" t="s">
        <v>3781</v>
      </c>
      <c r="E1054" s="20" t="s">
        <v>3782</v>
      </c>
      <c r="F1054" s="19" t="s">
        <v>27</v>
      </c>
      <c r="G1054" s="19" t="s">
        <v>28</v>
      </c>
      <c r="H1054" s="19"/>
      <c r="I1054" s="21" t="s">
        <v>29</v>
      </c>
      <c r="J1054" s="21" t="s">
        <v>29</v>
      </c>
      <c r="K1054" s="22" t="s">
        <v>3783</v>
      </c>
      <c r="L1054" s="56">
        <v>45063</v>
      </c>
      <c r="O1054" s="42"/>
      <c r="P1054" s="40"/>
      <c r="Q1054" s="61"/>
      <c r="R1054" s="61"/>
      <c r="S1054" s="40"/>
      <c r="T1054" s="38"/>
      <c r="U1054" s="38"/>
      <c r="V1054" s="38"/>
      <c r="W1054" s="60"/>
      <c r="AB1054" s="42"/>
      <c r="AC1054" s="35"/>
      <c r="AD1054" s="38"/>
      <c r="AE1054" s="38"/>
      <c r="AF1054" s="38"/>
      <c r="AG1054" s="38"/>
      <c r="AH1054" s="60"/>
    </row>
    <row r="1055" spans="1:34" ht="15.75" customHeight="1">
      <c r="A1055" s="35" t="s">
        <v>3784</v>
      </c>
      <c r="B1055" s="18" t="s">
        <v>3785</v>
      </c>
      <c r="C1055" s="19" t="s">
        <v>24</v>
      </c>
      <c r="D1055" s="25" t="s">
        <v>3786</v>
      </c>
      <c r="E1055" s="20" t="s">
        <v>3787</v>
      </c>
      <c r="F1055" s="19" t="s">
        <v>27</v>
      </c>
      <c r="G1055" s="19" t="s">
        <v>28</v>
      </c>
      <c r="H1055" s="19"/>
      <c r="I1055" s="21" t="s">
        <v>29</v>
      </c>
      <c r="J1055" s="21" t="s">
        <v>29</v>
      </c>
      <c r="K1055" s="22" t="s">
        <v>3788</v>
      </c>
      <c r="L1055" s="56">
        <v>45063</v>
      </c>
      <c r="O1055" s="42"/>
      <c r="P1055" s="40"/>
      <c r="Q1055" s="61"/>
      <c r="R1055" s="61"/>
      <c r="S1055" s="40"/>
      <c r="T1055" s="38"/>
      <c r="U1055" s="38"/>
      <c r="V1055" s="38"/>
      <c r="W1055" s="60"/>
      <c r="AB1055" s="42"/>
      <c r="AC1055" s="35"/>
      <c r="AD1055" s="38"/>
      <c r="AE1055" s="38"/>
      <c r="AF1055" s="38"/>
      <c r="AG1055" s="38"/>
      <c r="AH1055" s="60"/>
    </row>
    <row r="1056" spans="1:34" ht="15.75" customHeight="1">
      <c r="A1056" s="31" t="s">
        <v>92</v>
      </c>
      <c r="B1056" s="18" t="s">
        <v>3789</v>
      </c>
      <c r="C1056" s="19" t="s">
        <v>24</v>
      </c>
      <c r="D1056" s="25" t="s">
        <v>3790</v>
      </c>
      <c r="E1056" s="20" t="s">
        <v>3791</v>
      </c>
      <c r="F1056" s="19" t="s">
        <v>27</v>
      </c>
      <c r="G1056" s="19" t="s">
        <v>28</v>
      </c>
      <c r="H1056" s="19"/>
      <c r="I1056" s="21" t="s">
        <v>29</v>
      </c>
      <c r="J1056" s="21" t="s">
        <v>29</v>
      </c>
      <c r="K1056" s="22" t="s">
        <v>3792</v>
      </c>
      <c r="L1056" s="56">
        <v>45063</v>
      </c>
      <c r="O1056" s="42"/>
      <c r="P1056" s="40"/>
      <c r="Q1056" s="61"/>
      <c r="R1056" s="61"/>
      <c r="S1056" s="40"/>
      <c r="T1056" s="38"/>
      <c r="U1056" s="38"/>
      <c r="V1056" s="38"/>
      <c r="W1056" s="60"/>
      <c r="AB1056" s="42"/>
      <c r="AC1056" s="35"/>
      <c r="AD1056" s="38"/>
      <c r="AE1056" s="38"/>
      <c r="AF1056" s="38"/>
      <c r="AG1056" s="38"/>
      <c r="AH1056" s="60"/>
    </row>
    <row r="1057" spans="1:34" ht="15.75" customHeight="1">
      <c r="A1057" s="33">
        <v>2535</v>
      </c>
      <c r="B1057" s="18" t="s">
        <v>3793</v>
      </c>
      <c r="C1057" s="19" t="s">
        <v>24</v>
      </c>
      <c r="D1057" s="25" t="s">
        <v>3794</v>
      </c>
      <c r="E1057" s="20" t="s">
        <v>3795</v>
      </c>
      <c r="F1057" s="19" t="s">
        <v>27</v>
      </c>
      <c r="G1057" s="19" t="s">
        <v>28</v>
      </c>
      <c r="H1057" s="19"/>
      <c r="I1057" s="21" t="s">
        <v>29</v>
      </c>
      <c r="J1057" s="21" t="s">
        <v>29</v>
      </c>
      <c r="K1057" s="22" t="s">
        <v>3796</v>
      </c>
      <c r="L1057" s="56">
        <v>45063</v>
      </c>
      <c r="O1057" s="42"/>
      <c r="P1057" s="40"/>
      <c r="Q1057" s="61"/>
      <c r="R1057" s="61"/>
      <c r="S1057" s="40"/>
      <c r="T1057" s="38"/>
      <c r="U1057" s="38"/>
      <c r="V1057" s="38"/>
      <c r="W1057" s="60"/>
      <c r="AB1057" s="42"/>
      <c r="AC1057" s="35"/>
      <c r="AD1057" s="38"/>
      <c r="AE1057" s="38"/>
      <c r="AF1057" s="38"/>
      <c r="AG1057" s="38"/>
      <c r="AH1057" s="60"/>
    </row>
    <row r="1058" spans="1:34" ht="15.75" customHeight="1">
      <c r="A1058" s="31" t="s">
        <v>100</v>
      </c>
      <c r="B1058" s="18" t="s">
        <v>3797</v>
      </c>
      <c r="C1058" s="19" t="s">
        <v>24</v>
      </c>
      <c r="D1058" s="25" t="s">
        <v>3798</v>
      </c>
      <c r="E1058" s="20" t="s">
        <v>3799</v>
      </c>
      <c r="F1058" s="19" t="s">
        <v>90</v>
      </c>
      <c r="G1058" s="19" t="s">
        <v>28</v>
      </c>
      <c r="H1058" s="19"/>
      <c r="I1058" s="21" t="s">
        <v>29</v>
      </c>
      <c r="J1058" s="21" t="s">
        <v>29</v>
      </c>
      <c r="K1058" s="22" t="s">
        <v>3800</v>
      </c>
      <c r="L1058" s="56">
        <v>45063</v>
      </c>
      <c r="O1058" s="42"/>
      <c r="P1058" s="40"/>
      <c r="Q1058" s="61"/>
      <c r="R1058" s="61"/>
      <c r="S1058" s="40"/>
      <c r="T1058" s="38"/>
      <c r="U1058" s="38"/>
      <c r="V1058" s="38"/>
      <c r="W1058" s="60"/>
      <c r="AB1058" s="42"/>
      <c r="AC1058" s="35"/>
      <c r="AD1058" s="38"/>
      <c r="AE1058" s="38"/>
      <c r="AF1058" s="38"/>
      <c r="AG1058" s="38"/>
      <c r="AH1058" s="60"/>
    </row>
    <row r="1059" spans="1:34" ht="15.75" customHeight="1">
      <c r="A1059" s="17">
        <v>167</v>
      </c>
      <c r="B1059" s="18" t="s">
        <v>3801</v>
      </c>
      <c r="C1059" s="19" t="s">
        <v>24</v>
      </c>
      <c r="D1059" s="25" t="s">
        <v>3802</v>
      </c>
      <c r="E1059" s="20" t="s">
        <v>3803</v>
      </c>
      <c r="F1059" s="19" t="s">
        <v>27</v>
      </c>
      <c r="G1059" s="19" t="s">
        <v>28</v>
      </c>
      <c r="H1059" s="19"/>
      <c r="I1059" s="21" t="s">
        <v>29</v>
      </c>
      <c r="J1059" s="21" t="s">
        <v>29</v>
      </c>
      <c r="K1059" s="22" t="s">
        <v>3804</v>
      </c>
      <c r="L1059" s="56">
        <v>45063</v>
      </c>
      <c r="O1059" s="42"/>
      <c r="P1059" s="40"/>
      <c r="Q1059" s="61"/>
      <c r="R1059" s="61"/>
      <c r="S1059" s="40"/>
      <c r="T1059" s="38"/>
      <c r="U1059" s="38"/>
      <c r="V1059" s="38"/>
      <c r="W1059" s="60"/>
      <c r="AB1059" s="42"/>
      <c r="AC1059" s="35"/>
      <c r="AD1059" s="38"/>
      <c r="AE1059" s="38"/>
      <c r="AF1059" s="38"/>
      <c r="AG1059" s="38"/>
      <c r="AH1059" s="60"/>
    </row>
    <row r="1060" spans="1:34" ht="15.75" customHeight="1">
      <c r="A1060" s="35"/>
      <c r="B1060" s="18" t="s">
        <v>3805</v>
      </c>
      <c r="C1060" s="19" t="s">
        <v>87</v>
      </c>
      <c r="D1060" s="25" t="s">
        <v>3806</v>
      </c>
      <c r="E1060" s="20" t="s">
        <v>3807</v>
      </c>
      <c r="F1060" s="37" t="s">
        <v>49</v>
      </c>
      <c r="G1060" s="19" t="s">
        <v>91</v>
      </c>
      <c r="H1060" s="19"/>
      <c r="I1060" s="21" t="s">
        <v>29</v>
      </c>
      <c r="J1060" s="21" t="s">
        <v>29</v>
      </c>
      <c r="K1060" s="22" t="s">
        <v>3808</v>
      </c>
      <c r="L1060" s="56">
        <v>45063</v>
      </c>
      <c r="O1060" s="42"/>
      <c r="P1060" s="40"/>
      <c r="Q1060" s="61"/>
      <c r="R1060" s="61"/>
      <c r="S1060" s="40"/>
      <c r="T1060" s="38"/>
      <c r="U1060" s="38"/>
      <c r="V1060" s="38"/>
      <c r="W1060" s="60"/>
      <c r="AB1060" s="42"/>
      <c r="AC1060" s="35"/>
      <c r="AD1060" s="38"/>
      <c r="AE1060" s="38"/>
      <c r="AF1060" s="38"/>
      <c r="AG1060" s="38"/>
      <c r="AH1060" s="60"/>
    </row>
    <row r="1061" spans="1:34" ht="15.75" customHeight="1">
      <c r="A1061" s="35"/>
      <c r="B1061" s="41" t="s">
        <v>3809</v>
      </c>
      <c r="C1061" s="19" t="s">
        <v>24</v>
      </c>
      <c r="D1061" s="25" t="s">
        <v>3810</v>
      </c>
      <c r="E1061" s="20" t="s">
        <v>3811</v>
      </c>
      <c r="F1061" s="19"/>
      <c r="G1061" s="19"/>
      <c r="H1061" s="19"/>
      <c r="I1061" s="21"/>
      <c r="J1061" s="21"/>
      <c r="K1061" s="22"/>
      <c r="L1061" s="56"/>
      <c r="O1061" s="42"/>
      <c r="P1061" s="40"/>
      <c r="Q1061" s="61"/>
      <c r="R1061" s="61"/>
      <c r="S1061" s="40"/>
      <c r="T1061" s="38"/>
      <c r="U1061" s="38"/>
      <c r="V1061" s="38"/>
      <c r="W1061" s="60"/>
      <c r="AB1061" s="42"/>
      <c r="AC1061" s="35"/>
      <c r="AD1061" s="38"/>
      <c r="AE1061" s="38"/>
      <c r="AF1061" s="38"/>
      <c r="AG1061" s="38"/>
      <c r="AH1061" s="60"/>
    </row>
    <row r="1062" spans="1:34" ht="15.75" customHeight="1">
      <c r="A1062" s="35"/>
      <c r="B1062" s="18" t="s">
        <v>3812</v>
      </c>
      <c r="C1062" s="19" t="s">
        <v>24</v>
      </c>
      <c r="D1062" s="25" t="s">
        <v>3813</v>
      </c>
      <c r="E1062" s="20" t="s">
        <v>3814</v>
      </c>
      <c r="F1062" s="19" t="s">
        <v>27</v>
      </c>
      <c r="G1062" s="19" t="s">
        <v>28</v>
      </c>
      <c r="H1062" s="19"/>
      <c r="I1062" s="21" t="s">
        <v>29</v>
      </c>
      <c r="J1062" s="21" t="s">
        <v>29</v>
      </c>
      <c r="K1062" s="22" t="s">
        <v>3815</v>
      </c>
      <c r="L1062" s="56">
        <v>45063</v>
      </c>
      <c r="O1062" s="42"/>
      <c r="P1062" s="40"/>
      <c r="Q1062" s="61"/>
      <c r="R1062" s="61"/>
      <c r="S1062" s="40"/>
      <c r="T1062" s="38"/>
      <c r="U1062" s="38"/>
      <c r="V1062" s="38"/>
      <c r="W1062" s="60"/>
      <c r="AB1062" s="42"/>
      <c r="AC1062" s="35"/>
      <c r="AD1062" s="38"/>
      <c r="AE1062" s="38"/>
      <c r="AF1062" s="38"/>
      <c r="AG1062" s="38"/>
      <c r="AH1062" s="60"/>
    </row>
    <row r="1063" spans="1:34" ht="15.75" customHeight="1">
      <c r="A1063" s="35"/>
      <c r="B1063" s="18" t="s">
        <v>3816</v>
      </c>
      <c r="C1063" s="19" t="s">
        <v>24</v>
      </c>
      <c r="D1063" s="25" t="s">
        <v>3817</v>
      </c>
      <c r="E1063" s="20" t="s">
        <v>3818</v>
      </c>
      <c r="F1063" s="19" t="s">
        <v>27</v>
      </c>
      <c r="G1063" s="19" t="s">
        <v>28</v>
      </c>
      <c r="H1063" s="37" t="s">
        <v>813</v>
      </c>
      <c r="I1063" s="21" t="s">
        <v>29</v>
      </c>
      <c r="J1063" s="21" t="s">
        <v>29</v>
      </c>
      <c r="K1063" s="22" t="s">
        <v>3819</v>
      </c>
      <c r="L1063" s="56">
        <v>45063</v>
      </c>
      <c r="O1063" s="42"/>
      <c r="P1063" s="40"/>
      <c r="Q1063" s="61"/>
      <c r="R1063" s="61"/>
      <c r="S1063" s="40"/>
      <c r="T1063" s="38"/>
      <c r="U1063" s="38"/>
      <c r="V1063" s="38"/>
      <c r="W1063" s="60"/>
      <c r="AB1063" s="42"/>
      <c r="AC1063" s="35"/>
      <c r="AD1063" s="38"/>
      <c r="AE1063" s="38"/>
      <c r="AF1063" s="38"/>
      <c r="AG1063" s="38"/>
      <c r="AH1063" s="60"/>
    </row>
    <row r="1064" spans="1:34" ht="15.75" customHeight="1">
      <c r="A1064" s="35"/>
      <c r="B1064" s="18" t="s">
        <v>3820</v>
      </c>
      <c r="C1064" s="19" t="s">
        <v>24</v>
      </c>
      <c r="D1064" s="25" t="s">
        <v>3821</v>
      </c>
      <c r="E1064" s="20" t="s">
        <v>3822</v>
      </c>
      <c r="F1064" s="19" t="s">
        <v>27</v>
      </c>
      <c r="G1064" s="19" t="s">
        <v>28</v>
      </c>
      <c r="H1064" s="19"/>
      <c r="I1064" s="21" t="s">
        <v>29</v>
      </c>
      <c r="J1064" s="21" t="s">
        <v>29</v>
      </c>
      <c r="K1064" s="22" t="s">
        <v>3823</v>
      </c>
      <c r="L1064" s="56">
        <v>45063</v>
      </c>
      <c r="O1064" s="42"/>
      <c r="P1064" s="40"/>
      <c r="Q1064" s="61"/>
      <c r="R1064" s="61"/>
      <c r="S1064" s="40"/>
      <c r="T1064" s="38"/>
      <c r="U1064" s="38"/>
      <c r="V1064" s="38"/>
      <c r="W1064" s="60"/>
      <c r="AB1064" s="42"/>
      <c r="AC1064" s="35"/>
      <c r="AD1064" s="38"/>
      <c r="AE1064" s="38"/>
      <c r="AF1064" s="38"/>
      <c r="AG1064" s="38"/>
      <c r="AH1064" s="60"/>
    </row>
    <row r="1065" spans="1:34" ht="15.75" customHeight="1">
      <c r="A1065" s="35"/>
      <c r="B1065" s="18" t="s">
        <v>3824</v>
      </c>
      <c r="C1065" s="19" t="s">
        <v>87</v>
      </c>
      <c r="D1065" s="25" t="s">
        <v>3825</v>
      </c>
      <c r="E1065" s="20" t="s">
        <v>3826</v>
      </c>
      <c r="F1065" s="37" t="s">
        <v>49</v>
      </c>
      <c r="G1065" s="19" t="s">
        <v>91</v>
      </c>
      <c r="H1065" s="19"/>
      <c r="I1065" s="21" t="s">
        <v>29</v>
      </c>
      <c r="J1065" s="21" t="s">
        <v>29</v>
      </c>
      <c r="K1065" s="22" t="s">
        <v>3827</v>
      </c>
      <c r="L1065" s="56">
        <v>45063</v>
      </c>
      <c r="O1065" s="42"/>
      <c r="P1065" s="40"/>
      <c r="Q1065" s="61"/>
      <c r="R1065" s="61"/>
      <c r="S1065" s="40"/>
      <c r="T1065" s="38"/>
      <c r="U1065" s="38"/>
      <c r="V1065" s="38"/>
      <c r="W1065" s="60"/>
      <c r="AB1065" s="42"/>
      <c r="AC1065" s="35"/>
      <c r="AD1065" s="38"/>
      <c r="AE1065" s="38"/>
      <c r="AF1065" s="38"/>
      <c r="AG1065" s="38"/>
      <c r="AH1065" s="60"/>
    </row>
    <row r="1066" spans="1:34" ht="15.75" customHeight="1">
      <c r="A1066" s="35"/>
      <c r="B1066" s="18" t="s">
        <v>3828</v>
      </c>
      <c r="C1066" s="19" t="s">
        <v>24</v>
      </c>
      <c r="D1066" s="25" t="s">
        <v>3829</v>
      </c>
      <c r="E1066" s="20" t="s">
        <v>3830</v>
      </c>
      <c r="F1066" s="19" t="s">
        <v>27</v>
      </c>
      <c r="G1066" s="19" t="s">
        <v>28</v>
      </c>
      <c r="H1066" s="37" t="s">
        <v>813</v>
      </c>
      <c r="I1066" s="21" t="s">
        <v>29</v>
      </c>
      <c r="J1066" s="21" t="s">
        <v>29</v>
      </c>
      <c r="K1066" s="22" t="s">
        <v>3831</v>
      </c>
      <c r="L1066" s="56">
        <v>45063</v>
      </c>
      <c r="O1066" s="42"/>
      <c r="P1066" s="40"/>
      <c r="Q1066" s="61"/>
      <c r="R1066" s="61"/>
      <c r="S1066" s="40"/>
      <c r="T1066" s="38"/>
      <c r="U1066" s="38"/>
      <c r="V1066" s="38"/>
      <c r="W1066" s="60"/>
      <c r="AB1066" s="42"/>
      <c r="AC1066" s="35"/>
      <c r="AD1066" s="38"/>
      <c r="AE1066" s="38"/>
      <c r="AF1066" s="38"/>
      <c r="AG1066" s="38"/>
      <c r="AH1066" s="60"/>
    </row>
    <row r="1067" spans="1:34" ht="15.75" customHeight="1">
      <c r="A1067" s="35"/>
      <c r="B1067" s="18" t="s">
        <v>3832</v>
      </c>
      <c r="C1067" s="19" t="s">
        <v>24</v>
      </c>
      <c r="D1067" s="25" t="s">
        <v>3833</v>
      </c>
      <c r="E1067" s="20" t="s">
        <v>3834</v>
      </c>
      <c r="F1067" s="19" t="s">
        <v>27</v>
      </c>
      <c r="G1067" s="19" t="s">
        <v>28</v>
      </c>
      <c r="H1067" s="19"/>
      <c r="I1067" s="21" t="s">
        <v>29</v>
      </c>
      <c r="J1067" s="21" t="s">
        <v>29</v>
      </c>
      <c r="K1067" s="22" t="s">
        <v>3835</v>
      </c>
      <c r="L1067" s="56">
        <v>45063</v>
      </c>
      <c r="O1067" s="42"/>
      <c r="P1067" s="40"/>
      <c r="Q1067" s="61"/>
      <c r="R1067" s="61"/>
      <c r="S1067" s="40"/>
      <c r="T1067" s="38"/>
      <c r="U1067" s="38"/>
      <c r="V1067" s="38"/>
      <c r="W1067" s="60"/>
      <c r="AB1067" s="42"/>
      <c r="AC1067" s="35"/>
      <c r="AD1067" s="38"/>
      <c r="AE1067" s="38"/>
      <c r="AF1067" s="38"/>
      <c r="AG1067" s="38"/>
      <c r="AH1067" s="60"/>
    </row>
    <row r="1068" spans="1:34" ht="15.75" customHeight="1">
      <c r="A1068" s="35"/>
      <c r="B1068" s="18" t="s">
        <v>3836</v>
      </c>
      <c r="C1068" s="19" t="s">
        <v>24</v>
      </c>
      <c r="D1068" s="25" t="s">
        <v>3837</v>
      </c>
      <c r="E1068" s="20" t="s">
        <v>3838</v>
      </c>
      <c r="F1068" s="19" t="s">
        <v>27</v>
      </c>
      <c r="G1068" s="19" t="s">
        <v>28</v>
      </c>
      <c r="H1068" s="19"/>
      <c r="I1068" s="21" t="s">
        <v>29</v>
      </c>
      <c r="J1068" s="21" t="s">
        <v>29</v>
      </c>
      <c r="K1068" s="22" t="s">
        <v>3839</v>
      </c>
      <c r="L1068" s="56">
        <v>45063</v>
      </c>
      <c r="O1068" s="42"/>
      <c r="P1068" s="40"/>
      <c r="Q1068" s="61"/>
      <c r="R1068" s="61"/>
      <c r="S1068" s="40"/>
      <c r="T1068" s="38"/>
      <c r="U1068" s="38"/>
      <c r="V1068" s="38"/>
      <c r="W1068" s="60"/>
      <c r="AB1068" s="42"/>
      <c r="AC1068" s="35"/>
      <c r="AD1068" s="38"/>
      <c r="AE1068" s="38"/>
      <c r="AF1068" s="38"/>
      <c r="AG1068" s="38"/>
      <c r="AH1068" s="60"/>
    </row>
    <row r="1069" spans="1:34" ht="15.75" customHeight="1">
      <c r="A1069" s="35"/>
      <c r="B1069" s="18" t="s">
        <v>3840</v>
      </c>
      <c r="C1069" s="19" t="s">
        <v>46</v>
      </c>
      <c r="D1069" s="25" t="s">
        <v>3841</v>
      </c>
      <c r="E1069" s="20" t="s">
        <v>3842</v>
      </c>
      <c r="F1069" s="37" t="s">
        <v>49</v>
      </c>
      <c r="G1069" s="19" t="s">
        <v>50</v>
      </c>
      <c r="H1069" s="19"/>
      <c r="I1069" s="21" t="s">
        <v>29</v>
      </c>
      <c r="J1069" s="21" t="s">
        <v>29</v>
      </c>
      <c r="K1069" s="22" t="s">
        <v>3843</v>
      </c>
      <c r="L1069" s="56">
        <v>45063</v>
      </c>
      <c r="O1069" s="42"/>
      <c r="P1069" s="40"/>
      <c r="Q1069" s="61"/>
      <c r="R1069" s="61"/>
      <c r="S1069" s="40"/>
      <c r="T1069" s="38"/>
      <c r="U1069" s="38"/>
      <c r="V1069" s="38"/>
      <c r="W1069" s="60"/>
      <c r="AB1069" s="42"/>
      <c r="AC1069" s="35"/>
      <c r="AD1069" s="38"/>
      <c r="AE1069" s="38"/>
      <c r="AF1069" s="38"/>
      <c r="AG1069" s="38"/>
      <c r="AH1069" s="60"/>
    </row>
    <row r="1070" spans="1:34" ht="15.75" customHeight="1">
      <c r="A1070" s="35"/>
      <c r="B1070" s="29" t="s">
        <v>3844</v>
      </c>
      <c r="C1070" s="19" t="s">
        <v>46</v>
      </c>
      <c r="D1070" s="25" t="s">
        <v>3845</v>
      </c>
      <c r="E1070" s="20" t="s">
        <v>55</v>
      </c>
      <c r="F1070" s="37" t="s">
        <v>49</v>
      </c>
      <c r="G1070" s="19" t="s">
        <v>50</v>
      </c>
      <c r="H1070" s="19"/>
      <c r="I1070" s="21" t="s">
        <v>29</v>
      </c>
      <c r="J1070" s="21" t="s">
        <v>29</v>
      </c>
      <c r="K1070" s="22" t="s">
        <v>55</v>
      </c>
      <c r="L1070" s="56">
        <v>45063</v>
      </c>
      <c r="O1070" s="42"/>
      <c r="P1070" s="40"/>
      <c r="Q1070" s="61"/>
      <c r="R1070" s="61"/>
      <c r="S1070" s="40"/>
      <c r="T1070" s="38"/>
      <c r="U1070" s="38"/>
      <c r="V1070" s="38"/>
      <c r="W1070" s="60"/>
      <c r="AB1070" s="42"/>
      <c r="AC1070" s="35"/>
      <c r="AD1070" s="38"/>
      <c r="AE1070" s="38"/>
      <c r="AF1070" s="38"/>
      <c r="AG1070" s="38"/>
      <c r="AH1070" s="60"/>
    </row>
    <row r="1071" spans="1:34" ht="15.75" customHeight="1">
      <c r="A1071" s="35"/>
      <c r="B1071" s="18" t="s">
        <v>3846</v>
      </c>
      <c r="C1071" s="19" t="s">
        <v>24</v>
      </c>
      <c r="D1071" s="25" t="s">
        <v>3847</v>
      </c>
      <c r="E1071" s="20" t="s">
        <v>3848</v>
      </c>
      <c r="F1071" s="19" t="s">
        <v>27</v>
      </c>
      <c r="G1071" s="19" t="s">
        <v>28</v>
      </c>
      <c r="H1071" s="19"/>
      <c r="I1071" s="21" t="s">
        <v>29</v>
      </c>
      <c r="J1071" s="21" t="s">
        <v>29</v>
      </c>
      <c r="K1071" s="22" t="s">
        <v>3849</v>
      </c>
      <c r="L1071" s="56">
        <v>45063</v>
      </c>
      <c r="O1071" s="42"/>
      <c r="P1071" s="40"/>
      <c r="Q1071" s="61"/>
      <c r="R1071" s="61"/>
      <c r="S1071" s="40"/>
      <c r="T1071" s="38"/>
      <c r="U1071" s="38"/>
      <c r="V1071" s="38"/>
      <c r="W1071" s="60"/>
      <c r="AB1071" s="42"/>
      <c r="AC1071" s="35"/>
      <c r="AD1071" s="38"/>
      <c r="AE1071" s="38"/>
      <c r="AF1071" s="38"/>
      <c r="AG1071" s="38"/>
      <c r="AH1071" s="60"/>
    </row>
    <row r="1072" spans="1:34" ht="15.75" customHeight="1">
      <c r="A1072" s="35"/>
      <c r="B1072" s="18" t="s">
        <v>3850</v>
      </c>
      <c r="C1072" s="19" t="s">
        <v>24</v>
      </c>
      <c r="D1072" s="25" t="s">
        <v>3851</v>
      </c>
      <c r="E1072" s="20" t="s">
        <v>3852</v>
      </c>
      <c r="F1072" s="19" t="s">
        <v>27</v>
      </c>
      <c r="G1072" s="19" t="s">
        <v>28</v>
      </c>
      <c r="H1072" s="19"/>
      <c r="I1072" s="21" t="s">
        <v>29</v>
      </c>
      <c r="J1072" s="21" t="s">
        <v>29</v>
      </c>
      <c r="K1072" s="22" t="s">
        <v>3853</v>
      </c>
      <c r="L1072" s="56">
        <v>45063</v>
      </c>
      <c r="O1072" s="42"/>
      <c r="P1072" s="40"/>
      <c r="Q1072" s="61"/>
      <c r="R1072" s="61"/>
      <c r="S1072" s="40"/>
      <c r="T1072" s="38"/>
      <c r="U1072" s="38"/>
      <c r="V1072" s="38"/>
      <c r="W1072" s="60"/>
      <c r="AB1072" s="42"/>
      <c r="AC1072" s="35"/>
      <c r="AD1072" s="38"/>
      <c r="AE1072" s="38"/>
      <c r="AF1072" s="38"/>
      <c r="AG1072" s="38"/>
      <c r="AH1072" s="60"/>
    </row>
    <row r="1073" spans="1:34" ht="15.75" customHeight="1">
      <c r="A1073" s="35"/>
      <c r="B1073" s="18" t="s">
        <v>3854</v>
      </c>
      <c r="C1073" s="19" t="s">
        <v>24</v>
      </c>
      <c r="D1073" s="25" t="s">
        <v>3855</v>
      </c>
      <c r="E1073" s="20" t="s">
        <v>3856</v>
      </c>
      <c r="F1073" s="19" t="s">
        <v>27</v>
      </c>
      <c r="G1073" s="19" t="s">
        <v>28</v>
      </c>
      <c r="H1073" s="19"/>
      <c r="I1073" s="21" t="s">
        <v>29</v>
      </c>
      <c r="J1073" s="21" t="s">
        <v>29</v>
      </c>
      <c r="K1073" s="22" t="s">
        <v>3857</v>
      </c>
      <c r="L1073" s="56">
        <v>45063</v>
      </c>
      <c r="O1073" s="42"/>
      <c r="P1073" s="40"/>
      <c r="Q1073" s="61"/>
      <c r="R1073" s="61"/>
      <c r="S1073" s="40"/>
      <c r="T1073" s="38"/>
      <c r="U1073" s="38"/>
      <c r="V1073" s="38"/>
      <c r="W1073" s="60"/>
      <c r="AB1073" s="42"/>
      <c r="AC1073" s="35"/>
      <c r="AD1073" s="38"/>
      <c r="AE1073" s="38"/>
      <c r="AF1073" s="38"/>
      <c r="AG1073" s="38"/>
      <c r="AH1073" s="60"/>
    </row>
    <row r="1074" spans="1:34" ht="15.75" customHeight="1">
      <c r="A1074" s="35"/>
      <c r="B1074" s="18" t="s">
        <v>3858</v>
      </c>
      <c r="C1074" s="19" t="s">
        <v>24</v>
      </c>
      <c r="D1074" s="25" t="s">
        <v>3859</v>
      </c>
      <c r="E1074" s="20" t="s">
        <v>3860</v>
      </c>
      <c r="F1074" s="19" t="s">
        <v>27</v>
      </c>
      <c r="G1074" s="19" t="s">
        <v>28</v>
      </c>
      <c r="H1074" s="19"/>
      <c r="I1074" s="21" t="s">
        <v>29</v>
      </c>
      <c r="J1074" s="21" t="s">
        <v>29</v>
      </c>
      <c r="K1074" s="22" t="s">
        <v>3861</v>
      </c>
      <c r="L1074" s="56">
        <v>45063</v>
      </c>
      <c r="O1074" s="42"/>
      <c r="P1074" s="40"/>
      <c r="Q1074" s="61"/>
      <c r="R1074" s="61"/>
      <c r="S1074" s="40"/>
      <c r="T1074" s="38"/>
      <c r="U1074" s="38"/>
      <c r="V1074" s="38"/>
      <c r="W1074" s="60"/>
      <c r="AB1074" s="42"/>
      <c r="AC1074" s="35"/>
      <c r="AD1074" s="38"/>
      <c r="AE1074" s="38"/>
      <c r="AF1074" s="38"/>
      <c r="AG1074" s="38"/>
      <c r="AH1074" s="60"/>
    </row>
    <row r="1075" spans="1:34" ht="15.75" customHeight="1">
      <c r="A1075" s="35"/>
      <c r="B1075" s="18" t="s">
        <v>3862</v>
      </c>
      <c r="C1075" s="19" t="s">
        <v>87</v>
      </c>
      <c r="D1075" s="25" t="s">
        <v>3863</v>
      </c>
      <c r="E1075" s="20" t="s">
        <v>3864</v>
      </c>
      <c r="F1075" s="19" t="s">
        <v>90</v>
      </c>
      <c r="G1075" s="19" t="s">
        <v>91</v>
      </c>
      <c r="H1075" s="19"/>
      <c r="I1075" s="21" t="s">
        <v>29</v>
      </c>
      <c r="J1075" s="21" t="s">
        <v>29</v>
      </c>
      <c r="K1075" s="22" t="s">
        <v>3865</v>
      </c>
      <c r="L1075" s="56">
        <v>45063</v>
      </c>
      <c r="O1075" s="42"/>
      <c r="P1075" s="40"/>
      <c r="Q1075" s="61"/>
      <c r="R1075" s="61"/>
      <c r="S1075" s="40"/>
      <c r="T1075" s="38"/>
      <c r="U1075" s="38"/>
      <c r="V1075" s="38"/>
      <c r="W1075" s="60"/>
      <c r="AB1075" s="42"/>
      <c r="AC1075" s="35"/>
      <c r="AD1075" s="38"/>
      <c r="AE1075" s="38"/>
      <c r="AF1075" s="38"/>
      <c r="AG1075" s="38"/>
      <c r="AH1075" s="60"/>
    </row>
    <row r="1076" spans="1:34" ht="15.75" customHeight="1">
      <c r="A1076" s="35"/>
      <c r="B1076" s="18" t="s">
        <v>3866</v>
      </c>
      <c r="C1076" s="19" t="s">
        <v>24</v>
      </c>
      <c r="D1076" s="25" t="s">
        <v>3867</v>
      </c>
      <c r="E1076" s="20" t="s">
        <v>3868</v>
      </c>
      <c r="F1076" s="19" t="s">
        <v>27</v>
      </c>
      <c r="G1076" s="19" t="s">
        <v>28</v>
      </c>
      <c r="H1076" s="37" t="s">
        <v>813</v>
      </c>
      <c r="I1076" s="21" t="s">
        <v>29</v>
      </c>
      <c r="J1076" s="21" t="s">
        <v>29</v>
      </c>
      <c r="K1076" s="22" t="s">
        <v>3869</v>
      </c>
      <c r="L1076" s="56">
        <v>45063</v>
      </c>
      <c r="O1076" s="42"/>
      <c r="P1076" s="40"/>
      <c r="Q1076" s="61"/>
      <c r="R1076" s="61"/>
      <c r="S1076" s="40"/>
      <c r="T1076" s="38"/>
      <c r="U1076" s="38"/>
      <c r="V1076" s="38"/>
      <c r="W1076" s="60"/>
      <c r="AB1076" s="42"/>
      <c r="AC1076" s="35"/>
      <c r="AD1076" s="38"/>
      <c r="AE1076" s="38"/>
      <c r="AF1076" s="38"/>
      <c r="AG1076" s="38"/>
      <c r="AH1076" s="60"/>
    </row>
    <row r="1077" spans="1:34" ht="15.75" customHeight="1">
      <c r="A1077" s="35"/>
      <c r="B1077" s="18" t="s">
        <v>3870</v>
      </c>
      <c r="C1077" s="19" t="s">
        <v>24</v>
      </c>
      <c r="D1077" s="25" t="s">
        <v>3871</v>
      </c>
      <c r="E1077" s="20" t="s">
        <v>3872</v>
      </c>
      <c r="F1077" s="19" t="s">
        <v>27</v>
      </c>
      <c r="G1077" s="19" t="s">
        <v>28</v>
      </c>
      <c r="H1077" s="19"/>
      <c r="I1077" s="21" t="s">
        <v>29</v>
      </c>
      <c r="J1077" s="21" t="s">
        <v>29</v>
      </c>
      <c r="K1077" s="22" t="s">
        <v>3873</v>
      </c>
      <c r="L1077" s="56">
        <v>45063</v>
      </c>
      <c r="O1077" s="42"/>
      <c r="P1077" s="40"/>
      <c r="Q1077" s="61"/>
      <c r="R1077" s="61"/>
      <c r="S1077" s="40"/>
      <c r="T1077" s="38"/>
      <c r="U1077" s="38"/>
      <c r="V1077" s="38"/>
      <c r="W1077" s="60"/>
      <c r="AB1077" s="42"/>
      <c r="AC1077" s="35"/>
      <c r="AD1077" s="38"/>
      <c r="AE1077" s="38"/>
      <c r="AF1077" s="38"/>
      <c r="AG1077" s="38"/>
      <c r="AH1077" s="60"/>
    </row>
    <row r="1078" spans="1:34" ht="15.75" customHeight="1">
      <c r="A1078" s="35"/>
      <c r="B1078" s="18" t="s">
        <v>3874</v>
      </c>
      <c r="C1078" s="19" t="s">
        <v>24</v>
      </c>
      <c r="D1078" s="20" t="s">
        <v>3875</v>
      </c>
      <c r="E1078" s="20" t="s">
        <v>3876</v>
      </c>
      <c r="F1078" s="19" t="s">
        <v>27</v>
      </c>
      <c r="G1078" s="19" t="s">
        <v>28</v>
      </c>
      <c r="H1078" s="37" t="s">
        <v>813</v>
      </c>
      <c r="I1078" s="21" t="s">
        <v>29</v>
      </c>
      <c r="J1078" s="21" t="s">
        <v>29</v>
      </c>
      <c r="K1078" s="22" t="s">
        <v>3877</v>
      </c>
      <c r="L1078" s="56">
        <v>45063</v>
      </c>
      <c r="O1078" s="42"/>
      <c r="P1078" s="40"/>
      <c r="Q1078" s="61"/>
      <c r="R1078" s="61"/>
      <c r="S1078" s="40"/>
      <c r="T1078" s="38"/>
      <c r="U1078" s="38"/>
      <c r="V1078" s="38"/>
      <c r="W1078" s="60"/>
      <c r="AB1078" s="42"/>
      <c r="AC1078" s="35"/>
      <c r="AD1078" s="38"/>
      <c r="AE1078" s="38"/>
      <c r="AF1078" s="38"/>
      <c r="AG1078" s="38"/>
      <c r="AH1078" s="60"/>
    </row>
    <row r="1079" spans="1:34" ht="15.75" customHeight="1">
      <c r="A1079" s="35"/>
      <c r="B1079" s="18" t="s">
        <v>3878</v>
      </c>
      <c r="C1079" s="37" t="s">
        <v>412</v>
      </c>
      <c r="D1079" s="25" t="s">
        <v>3879</v>
      </c>
      <c r="E1079" s="20"/>
      <c r="F1079" s="19" t="s">
        <v>414</v>
      </c>
      <c r="G1079" s="19" t="s">
        <v>415</v>
      </c>
      <c r="H1079" s="37"/>
      <c r="I1079" s="21" t="s">
        <v>233</v>
      </c>
      <c r="J1079" s="21" t="s">
        <v>233</v>
      </c>
      <c r="K1079" s="22"/>
      <c r="L1079" s="56">
        <v>45063</v>
      </c>
      <c r="O1079" s="42"/>
      <c r="P1079" s="40"/>
      <c r="Q1079" s="61"/>
      <c r="R1079" s="61"/>
      <c r="S1079" s="40"/>
      <c r="T1079" s="38"/>
      <c r="U1079" s="38"/>
      <c r="V1079" s="38"/>
      <c r="W1079" s="60"/>
      <c r="AB1079" s="42"/>
      <c r="AC1079" s="35"/>
      <c r="AD1079" s="38"/>
      <c r="AE1079" s="38"/>
      <c r="AF1079" s="38"/>
      <c r="AG1079" s="38"/>
      <c r="AH1079" s="60"/>
    </row>
    <row r="1080" spans="1:34" ht="15.75" customHeight="1">
      <c r="A1080" s="35"/>
      <c r="B1080" s="38"/>
      <c r="C1080" s="37"/>
      <c r="D1080" s="20"/>
      <c r="E1080" s="20"/>
      <c r="F1080" s="37"/>
      <c r="G1080" s="37"/>
      <c r="H1080" s="37"/>
      <c r="I1080" s="21"/>
      <c r="J1080" s="21"/>
      <c r="K1080" s="22"/>
      <c r="L1080" s="39"/>
      <c r="O1080" s="42"/>
      <c r="P1080" s="40"/>
      <c r="Q1080" s="61"/>
      <c r="R1080" s="61"/>
      <c r="S1080" s="40"/>
      <c r="T1080" s="38"/>
      <c r="U1080" s="38"/>
      <c r="V1080" s="38"/>
      <c r="W1080" s="60"/>
      <c r="AB1080" s="42"/>
      <c r="AC1080" s="35"/>
      <c r="AD1080" s="38"/>
      <c r="AE1080" s="38"/>
      <c r="AF1080" s="38"/>
      <c r="AG1080" s="38"/>
      <c r="AH1080" s="60"/>
    </row>
    <row r="1081" spans="1:34" ht="15.75" customHeight="1">
      <c r="A1081" s="35" t="s">
        <v>3880</v>
      </c>
      <c r="B1081" s="34" t="s">
        <v>3881</v>
      </c>
      <c r="C1081" s="19" t="s">
        <v>24</v>
      </c>
      <c r="D1081" s="25" t="s">
        <v>3882</v>
      </c>
      <c r="E1081" s="20" t="s">
        <v>3883</v>
      </c>
      <c r="F1081" s="37" t="s">
        <v>49</v>
      </c>
      <c r="G1081" s="19" t="s">
        <v>50</v>
      </c>
      <c r="H1081" s="19"/>
      <c r="I1081" s="21" t="s">
        <v>29</v>
      </c>
      <c r="J1081" s="21" t="s">
        <v>29</v>
      </c>
      <c r="K1081" s="22" t="s">
        <v>3884</v>
      </c>
      <c r="L1081" s="56">
        <v>45063</v>
      </c>
      <c r="M1081" s="40"/>
      <c r="N1081" s="40"/>
      <c r="O1081" s="42"/>
      <c r="P1081" s="40"/>
      <c r="Q1081" s="61"/>
      <c r="R1081" s="61"/>
      <c r="S1081" s="40"/>
      <c r="T1081" s="38"/>
      <c r="U1081" s="38"/>
      <c r="V1081" s="38"/>
      <c r="W1081" s="60"/>
      <c r="AB1081" s="42"/>
      <c r="AC1081" s="35"/>
      <c r="AD1081" s="38"/>
      <c r="AE1081" s="38"/>
      <c r="AF1081" s="38"/>
      <c r="AG1081" s="38"/>
      <c r="AH1081" s="60"/>
    </row>
    <row r="1082" spans="1:34" ht="15.75" customHeight="1">
      <c r="A1082" s="35"/>
      <c r="B1082" s="41" t="s">
        <v>3885</v>
      </c>
      <c r="C1082" s="19" t="s">
        <v>87</v>
      </c>
      <c r="D1082" s="25" t="s">
        <v>3886</v>
      </c>
      <c r="E1082" s="20" t="s">
        <v>3887</v>
      </c>
      <c r="F1082" s="19"/>
      <c r="G1082" s="19"/>
      <c r="H1082" s="19"/>
      <c r="I1082" s="21"/>
      <c r="J1082" s="21"/>
      <c r="K1082" s="22"/>
      <c r="L1082" s="56"/>
      <c r="O1082" s="42"/>
      <c r="P1082" s="40"/>
      <c r="Q1082" s="61"/>
      <c r="R1082" s="61"/>
      <c r="S1082" s="40"/>
      <c r="T1082" s="38"/>
      <c r="U1082" s="38"/>
      <c r="V1082" s="38"/>
      <c r="W1082" s="60"/>
      <c r="AB1082" s="42"/>
      <c r="AC1082" s="35"/>
      <c r="AD1082" s="38"/>
      <c r="AE1082" s="38"/>
      <c r="AF1082" s="38"/>
      <c r="AG1082" s="38"/>
      <c r="AH1082" s="60"/>
    </row>
    <row r="1083" spans="1:34" ht="15.75" customHeight="1">
      <c r="A1083" s="54" t="s">
        <v>3888</v>
      </c>
      <c r="B1083" s="18" t="s">
        <v>3889</v>
      </c>
      <c r="C1083" s="19" t="s">
        <v>87</v>
      </c>
      <c r="D1083" s="25" t="s">
        <v>3890</v>
      </c>
      <c r="E1083" s="20" t="s">
        <v>3891</v>
      </c>
      <c r="F1083" s="19" t="s">
        <v>90</v>
      </c>
      <c r="G1083" s="19" t="s">
        <v>91</v>
      </c>
      <c r="H1083" s="19"/>
      <c r="I1083" s="21" t="s">
        <v>29</v>
      </c>
      <c r="J1083" s="21" t="s">
        <v>29</v>
      </c>
      <c r="K1083" s="22" t="s">
        <v>3891</v>
      </c>
      <c r="L1083" s="56">
        <v>45063</v>
      </c>
      <c r="O1083" s="42"/>
      <c r="P1083" s="40"/>
      <c r="Q1083" s="61"/>
      <c r="R1083" s="61"/>
      <c r="S1083" s="40"/>
      <c r="T1083" s="38"/>
      <c r="U1083" s="38"/>
      <c r="V1083" s="38"/>
      <c r="W1083" s="60"/>
      <c r="AB1083" s="42"/>
      <c r="AC1083" s="35"/>
      <c r="AD1083" s="38"/>
      <c r="AE1083" s="38"/>
      <c r="AF1083" s="38"/>
      <c r="AG1083" s="38"/>
      <c r="AH1083" s="60"/>
    </row>
    <row r="1084" spans="1:34" ht="15.75" customHeight="1">
      <c r="A1084" s="50"/>
      <c r="B1084" s="41" t="s">
        <v>3892</v>
      </c>
      <c r="C1084" s="19" t="s">
        <v>87</v>
      </c>
      <c r="D1084" s="25" t="s">
        <v>3893</v>
      </c>
      <c r="E1084" s="20" t="s">
        <v>3894</v>
      </c>
      <c r="F1084" s="19"/>
      <c r="G1084" s="19"/>
      <c r="H1084" s="19"/>
      <c r="I1084" s="21"/>
      <c r="J1084" s="21"/>
      <c r="K1084" s="22"/>
      <c r="L1084" s="56"/>
      <c r="O1084" s="42"/>
      <c r="P1084" s="40"/>
      <c r="Q1084" s="61"/>
      <c r="R1084" s="61"/>
      <c r="S1084" s="40"/>
      <c r="T1084" s="38"/>
      <c r="U1084" s="38"/>
      <c r="V1084" s="38"/>
      <c r="W1084" s="60"/>
      <c r="AB1084" s="42"/>
      <c r="AC1084" s="35"/>
      <c r="AD1084" s="38"/>
      <c r="AE1084" s="38"/>
      <c r="AF1084" s="38"/>
      <c r="AG1084" s="38"/>
      <c r="AH1084" s="60"/>
    </row>
    <row r="1085" spans="1:34" ht="15.75" customHeight="1">
      <c r="A1085" s="50" t="s">
        <v>39</v>
      </c>
      <c r="B1085" s="18" t="s">
        <v>3895</v>
      </c>
      <c r="C1085" s="19" t="s">
        <v>24</v>
      </c>
      <c r="D1085" s="25" t="s">
        <v>3896</v>
      </c>
      <c r="E1085" s="20" t="s">
        <v>3897</v>
      </c>
      <c r="F1085" s="19" t="s">
        <v>27</v>
      </c>
      <c r="G1085" s="19" t="s">
        <v>28</v>
      </c>
      <c r="H1085" s="19"/>
      <c r="I1085" s="21" t="s">
        <v>29</v>
      </c>
      <c r="J1085" s="21" t="s">
        <v>29</v>
      </c>
      <c r="K1085" s="22" t="s">
        <v>3897</v>
      </c>
      <c r="L1085" s="56">
        <v>45063</v>
      </c>
      <c r="O1085" s="42"/>
      <c r="P1085" s="40"/>
      <c r="Q1085" s="61"/>
      <c r="R1085" s="61"/>
      <c r="S1085" s="40"/>
      <c r="T1085" s="38"/>
      <c r="U1085" s="38"/>
      <c r="V1085" s="38"/>
      <c r="W1085" s="60"/>
      <c r="AB1085" s="42"/>
      <c r="AC1085" s="35"/>
      <c r="AD1085" s="38"/>
      <c r="AE1085" s="38"/>
      <c r="AF1085" s="38"/>
      <c r="AG1085" s="38"/>
      <c r="AH1085" s="60"/>
    </row>
    <row r="1086" spans="1:34" ht="15.75" customHeight="1">
      <c r="A1086" s="35" t="s">
        <v>3898</v>
      </c>
      <c r="B1086" s="18" t="s">
        <v>3899</v>
      </c>
      <c r="C1086" s="19" t="s">
        <v>46</v>
      </c>
      <c r="D1086" s="25" t="s">
        <v>3900</v>
      </c>
      <c r="E1086" s="20" t="s">
        <v>3901</v>
      </c>
      <c r="F1086" s="37" t="s">
        <v>49</v>
      </c>
      <c r="G1086" s="19" t="s">
        <v>50</v>
      </c>
      <c r="H1086" s="19"/>
      <c r="I1086" s="21" t="s">
        <v>29</v>
      </c>
      <c r="J1086" s="21" t="s">
        <v>29</v>
      </c>
      <c r="K1086" s="22" t="s">
        <v>3901</v>
      </c>
      <c r="L1086" s="56">
        <v>45063</v>
      </c>
      <c r="O1086" s="42"/>
      <c r="P1086" s="40"/>
      <c r="Q1086" s="61"/>
      <c r="R1086" s="61"/>
      <c r="S1086" s="40"/>
      <c r="T1086" s="38"/>
      <c r="U1086" s="38"/>
      <c r="V1086" s="38"/>
      <c r="W1086" s="60"/>
      <c r="AB1086" s="42"/>
      <c r="AC1086" s="35"/>
      <c r="AD1086" s="38"/>
      <c r="AE1086" s="38"/>
      <c r="AF1086" s="38"/>
      <c r="AG1086" s="38"/>
      <c r="AH1086" s="60"/>
    </row>
    <row r="1087" spans="1:34" ht="15.75" customHeight="1">
      <c r="A1087" s="35" t="s">
        <v>3902</v>
      </c>
      <c r="B1087" s="29" t="s">
        <v>3903</v>
      </c>
      <c r="C1087" s="19" t="s">
        <v>46</v>
      </c>
      <c r="D1087" s="25" t="s">
        <v>3904</v>
      </c>
      <c r="E1087" s="20" t="s">
        <v>3905</v>
      </c>
      <c r="F1087" s="19" t="s">
        <v>286</v>
      </c>
      <c r="G1087" s="19" t="s">
        <v>50</v>
      </c>
      <c r="H1087" s="19"/>
      <c r="I1087" s="21" t="s">
        <v>286</v>
      </c>
      <c r="J1087" s="21" t="s">
        <v>29</v>
      </c>
      <c r="K1087" s="22" t="s">
        <v>3906</v>
      </c>
      <c r="L1087" s="56"/>
      <c r="O1087" s="42"/>
      <c r="P1087" s="40"/>
      <c r="Q1087" s="61"/>
      <c r="R1087" s="61"/>
      <c r="S1087" s="40"/>
      <c r="T1087" s="38"/>
      <c r="U1087" s="38"/>
      <c r="V1087" s="38"/>
      <c r="W1087" s="60"/>
      <c r="AB1087" s="42"/>
      <c r="AC1087" s="35"/>
      <c r="AD1087" s="38"/>
      <c r="AE1087" s="38"/>
      <c r="AF1087" s="38"/>
      <c r="AG1087" s="38"/>
      <c r="AH1087" s="60"/>
    </row>
    <row r="1088" spans="1:34" ht="15.75" customHeight="1">
      <c r="A1088" s="44"/>
      <c r="B1088" s="41" t="s">
        <v>3907</v>
      </c>
      <c r="C1088" s="19" t="s">
        <v>46</v>
      </c>
      <c r="D1088" s="25" t="s">
        <v>3908</v>
      </c>
      <c r="E1088" s="20" t="s">
        <v>3909</v>
      </c>
      <c r="F1088" s="19"/>
      <c r="G1088" s="19"/>
      <c r="H1088" s="19"/>
      <c r="I1088" s="21"/>
      <c r="J1088" s="21"/>
      <c r="K1088" s="22"/>
      <c r="L1088" s="56"/>
      <c r="O1088" s="42"/>
      <c r="P1088" s="40"/>
      <c r="Q1088" s="61"/>
      <c r="R1088" s="61"/>
      <c r="S1088" s="40"/>
      <c r="T1088" s="38"/>
      <c r="U1088" s="38"/>
      <c r="V1088" s="38"/>
      <c r="W1088" s="60"/>
      <c r="AB1088" s="42"/>
      <c r="AC1088" s="35"/>
      <c r="AD1088" s="38"/>
      <c r="AE1088" s="38"/>
      <c r="AF1088" s="38"/>
      <c r="AG1088" s="38"/>
      <c r="AH1088" s="60"/>
    </row>
    <row r="1089" spans="1:34" ht="15.75" customHeight="1">
      <c r="A1089" s="44" t="s">
        <v>56</v>
      </c>
      <c r="B1089" s="34" t="s">
        <v>3910</v>
      </c>
      <c r="C1089" s="19" t="s">
        <v>24</v>
      </c>
      <c r="D1089" s="25" t="s">
        <v>3911</v>
      </c>
      <c r="E1089" s="20" t="s">
        <v>3912</v>
      </c>
      <c r="F1089" s="37" t="s">
        <v>49</v>
      </c>
      <c r="G1089" s="19" t="s">
        <v>50</v>
      </c>
      <c r="H1089" s="19"/>
      <c r="I1089" s="21" t="s">
        <v>29</v>
      </c>
      <c r="J1089" s="21" t="s">
        <v>29</v>
      </c>
      <c r="K1089" s="22" t="s">
        <v>3913</v>
      </c>
      <c r="L1089" s="56">
        <v>45063</v>
      </c>
      <c r="O1089" s="42"/>
      <c r="P1089" s="40"/>
      <c r="Q1089" s="61"/>
      <c r="R1089" s="61"/>
      <c r="S1089" s="40"/>
      <c r="T1089" s="38"/>
      <c r="U1089" s="38"/>
      <c r="V1089" s="38"/>
      <c r="W1089" s="60"/>
      <c r="AB1089" s="42"/>
      <c r="AC1089" s="35"/>
      <c r="AD1089" s="38"/>
      <c r="AE1089" s="38"/>
      <c r="AF1089" s="38"/>
      <c r="AG1089" s="38"/>
      <c r="AH1089" s="60"/>
    </row>
    <row r="1090" spans="1:34" ht="15.75" customHeight="1">
      <c r="A1090" s="53">
        <v>69</v>
      </c>
      <c r="B1090" s="34" t="s">
        <v>3914</v>
      </c>
      <c r="C1090" s="19" t="s">
        <v>87</v>
      </c>
      <c r="D1090" s="25" t="s">
        <v>3915</v>
      </c>
      <c r="E1090" s="20" t="s">
        <v>3916</v>
      </c>
      <c r="F1090" s="19" t="s">
        <v>27</v>
      </c>
      <c r="G1090" s="19" t="s">
        <v>28</v>
      </c>
      <c r="H1090" s="19" t="s">
        <v>36</v>
      </c>
      <c r="I1090" s="21" t="s">
        <v>29</v>
      </c>
      <c r="J1090" s="21" t="s">
        <v>29</v>
      </c>
      <c r="K1090" s="22" t="s">
        <v>3917</v>
      </c>
      <c r="L1090" s="56">
        <v>45063</v>
      </c>
      <c r="O1090" s="42"/>
      <c r="P1090" s="40"/>
      <c r="Q1090" s="61"/>
      <c r="R1090" s="61"/>
      <c r="S1090" s="40"/>
      <c r="T1090" s="38"/>
      <c r="U1090" s="38"/>
      <c r="V1090" s="38"/>
      <c r="W1090" s="60"/>
      <c r="AB1090" s="42"/>
      <c r="AC1090" s="35"/>
      <c r="AD1090" s="38"/>
      <c r="AE1090" s="38"/>
      <c r="AF1090" s="38"/>
      <c r="AG1090" s="38"/>
      <c r="AH1090" s="60"/>
    </row>
    <row r="1091" spans="1:34" ht="15.75" customHeight="1">
      <c r="A1091" s="44"/>
      <c r="B1091" s="41" t="s">
        <v>3918</v>
      </c>
      <c r="C1091" s="19" t="s">
        <v>87</v>
      </c>
      <c r="D1091" s="25" t="s">
        <v>3919</v>
      </c>
      <c r="E1091" s="20" t="s">
        <v>3920</v>
      </c>
      <c r="F1091" s="19"/>
      <c r="G1091" s="19"/>
      <c r="H1091" s="19"/>
      <c r="I1091" s="21"/>
      <c r="J1091" s="21"/>
      <c r="K1091" s="22"/>
      <c r="L1091" s="56"/>
      <c r="O1091" s="42"/>
      <c r="P1091" s="40"/>
      <c r="Q1091" s="61"/>
      <c r="R1091" s="61"/>
      <c r="S1091" s="40"/>
      <c r="T1091" s="38"/>
      <c r="U1091" s="38"/>
      <c r="V1091" s="38"/>
      <c r="W1091" s="60"/>
      <c r="AB1091" s="42"/>
      <c r="AC1091" s="35"/>
      <c r="AD1091" s="38"/>
      <c r="AE1091" s="38"/>
      <c r="AF1091" s="38"/>
      <c r="AG1091" s="38"/>
      <c r="AH1091" s="60"/>
    </row>
    <row r="1092" spans="1:34" ht="15.75" customHeight="1">
      <c r="A1092" s="44" t="s">
        <v>64</v>
      </c>
      <c r="B1092" s="18" t="s">
        <v>3921</v>
      </c>
      <c r="C1092" s="19" t="s">
        <v>24</v>
      </c>
      <c r="D1092" s="25" t="s">
        <v>3922</v>
      </c>
      <c r="E1092" s="20" t="s">
        <v>3923</v>
      </c>
      <c r="F1092" s="19" t="s">
        <v>27</v>
      </c>
      <c r="G1092" s="19" t="s">
        <v>28</v>
      </c>
      <c r="H1092" s="19" t="s">
        <v>36</v>
      </c>
      <c r="I1092" s="21" t="s">
        <v>29</v>
      </c>
      <c r="J1092" s="21" t="s">
        <v>29</v>
      </c>
      <c r="K1092" s="22" t="s">
        <v>3923</v>
      </c>
      <c r="L1092" s="56">
        <v>45063</v>
      </c>
      <c r="O1092" s="42"/>
      <c r="P1092" s="40"/>
      <c r="Q1092" s="61"/>
      <c r="R1092" s="61"/>
      <c r="S1092" s="40"/>
      <c r="T1092" s="38"/>
      <c r="U1092" s="38"/>
      <c r="V1092" s="38"/>
      <c r="W1092" s="60"/>
      <c r="AB1092" s="42"/>
      <c r="AC1092" s="35"/>
      <c r="AD1092" s="38"/>
      <c r="AE1092" s="38"/>
      <c r="AF1092" s="38"/>
      <c r="AG1092" s="38"/>
      <c r="AH1092" s="60"/>
    </row>
    <row r="1093" spans="1:34" ht="15.75" customHeight="1">
      <c r="A1093" s="53">
        <v>3.7</v>
      </c>
      <c r="B1093" s="34" t="s">
        <v>3924</v>
      </c>
      <c r="C1093" s="19" t="s">
        <v>87</v>
      </c>
      <c r="D1093" s="25" t="s">
        <v>3925</v>
      </c>
      <c r="E1093" s="20" t="s">
        <v>3926</v>
      </c>
      <c r="F1093" s="19" t="s">
        <v>27</v>
      </c>
      <c r="G1093" s="19" t="s">
        <v>28</v>
      </c>
      <c r="H1093" s="19" t="s">
        <v>36</v>
      </c>
      <c r="I1093" s="21" t="s">
        <v>29</v>
      </c>
      <c r="J1093" s="21" t="s">
        <v>29</v>
      </c>
      <c r="K1093" s="22" t="s">
        <v>3926</v>
      </c>
      <c r="L1093" s="56">
        <v>45063</v>
      </c>
      <c r="O1093" s="42"/>
      <c r="P1093" s="40"/>
      <c r="Q1093" s="61"/>
      <c r="R1093" s="61"/>
      <c r="S1093" s="40"/>
      <c r="T1093" s="38"/>
      <c r="U1093" s="38"/>
      <c r="V1093" s="38"/>
      <c r="W1093" s="60"/>
      <c r="AB1093" s="42"/>
      <c r="AC1093" s="35"/>
      <c r="AD1093" s="38"/>
      <c r="AE1093" s="38"/>
      <c r="AF1093" s="38"/>
      <c r="AG1093" s="38"/>
      <c r="AH1093" s="60"/>
    </row>
    <row r="1094" spans="1:34" ht="15.75" customHeight="1">
      <c r="A1094" s="44" t="s">
        <v>73</v>
      </c>
      <c r="B1094" s="18" t="s">
        <v>3927</v>
      </c>
      <c r="C1094" s="19" t="s">
        <v>24</v>
      </c>
      <c r="D1094" s="25" t="s">
        <v>3928</v>
      </c>
      <c r="E1094" s="20" t="s">
        <v>3929</v>
      </c>
      <c r="F1094" s="19" t="s">
        <v>27</v>
      </c>
      <c r="G1094" s="19" t="s">
        <v>28</v>
      </c>
      <c r="H1094" s="19"/>
      <c r="I1094" s="21" t="s">
        <v>29</v>
      </c>
      <c r="J1094" s="21" t="s">
        <v>29</v>
      </c>
      <c r="K1094" s="22" t="s">
        <v>3929</v>
      </c>
      <c r="L1094" s="56">
        <v>45063</v>
      </c>
      <c r="O1094" s="42"/>
      <c r="P1094" s="40"/>
      <c r="Q1094" s="61"/>
      <c r="R1094" s="61"/>
      <c r="S1094" s="40"/>
      <c r="T1094" s="38"/>
      <c r="U1094" s="38"/>
      <c r="V1094" s="38"/>
      <c r="W1094" s="60"/>
      <c r="AB1094" s="42"/>
      <c r="AC1094" s="35"/>
      <c r="AD1094" s="38"/>
      <c r="AE1094" s="38"/>
      <c r="AF1094" s="38"/>
      <c r="AG1094" s="38"/>
      <c r="AH1094" s="60"/>
    </row>
    <row r="1095" spans="1:34" ht="15.75" customHeight="1">
      <c r="A1095" s="53">
        <v>3.9</v>
      </c>
      <c r="B1095" s="18" t="s">
        <v>3930</v>
      </c>
      <c r="C1095" s="19" t="s">
        <v>87</v>
      </c>
      <c r="D1095" s="25" t="s">
        <v>3931</v>
      </c>
      <c r="E1095" s="20" t="s">
        <v>3932</v>
      </c>
      <c r="F1095" s="19" t="s">
        <v>90</v>
      </c>
      <c r="G1095" s="19" t="s">
        <v>91</v>
      </c>
      <c r="H1095" s="19"/>
      <c r="I1095" s="21" t="s">
        <v>29</v>
      </c>
      <c r="J1095" s="21" t="s">
        <v>29</v>
      </c>
      <c r="K1095" s="22" t="s">
        <v>3933</v>
      </c>
      <c r="L1095" s="56">
        <v>45063</v>
      </c>
      <c r="O1095" s="42"/>
      <c r="P1095" s="40"/>
      <c r="Q1095" s="61"/>
      <c r="R1095" s="61"/>
      <c r="S1095" s="40"/>
      <c r="T1095" s="38"/>
      <c r="U1095" s="38"/>
      <c r="V1095" s="38"/>
      <c r="W1095" s="60"/>
      <c r="AB1095" s="42"/>
      <c r="AC1095" s="35"/>
      <c r="AD1095" s="38"/>
      <c r="AE1095" s="38"/>
      <c r="AF1095" s="38"/>
      <c r="AG1095" s="38"/>
      <c r="AH1095" s="60"/>
    </row>
    <row r="1096" spans="1:34" ht="15.75" customHeight="1">
      <c r="A1096" s="50" t="s">
        <v>82</v>
      </c>
      <c r="B1096" s="18" t="s">
        <v>3934</v>
      </c>
      <c r="C1096" s="19" t="s">
        <v>46</v>
      </c>
      <c r="D1096" s="25" t="s">
        <v>3935</v>
      </c>
      <c r="E1096" s="20" t="s">
        <v>3936</v>
      </c>
      <c r="F1096" s="37" t="s">
        <v>49</v>
      </c>
      <c r="G1096" s="19" t="s">
        <v>50</v>
      </c>
      <c r="H1096" s="19"/>
      <c r="I1096" s="21" t="s">
        <v>29</v>
      </c>
      <c r="J1096" s="21" t="s">
        <v>29</v>
      </c>
      <c r="K1096" s="22" t="s">
        <v>3936</v>
      </c>
      <c r="L1096" s="56">
        <v>45063</v>
      </c>
      <c r="O1096" s="42"/>
      <c r="P1096" s="40"/>
      <c r="Q1096" s="61"/>
      <c r="R1096" s="61"/>
      <c r="S1096" s="40"/>
      <c r="T1096" s="38"/>
      <c r="U1096" s="38"/>
      <c r="V1096" s="38"/>
      <c r="W1096" s="60"/>
      <c r="AB1096" s="42"/>
      <c r="AC1096" s="35"/>
      <c r="AD1096" s="38"/>
      <c r="AE1096" s="38"/>
      <c r="AF1096" s="38"/>
      <c r="AG1096" s="38"/>
      <c r="AH1096" s="60"/>
    </row>
    <row r="1097" spans="1:34" ht="15.75" customHeight="1">
      <c r="A1097" s="35" t="s">
        <v>3937</v>
      </c>
      <c r="B1097" s="18" t="s">
        <v>3938</v>
      </c>
      <c r="C1097" s="19" t="s">
        <v>87</v>
      </c>
      <c r="D1097" s="25" t="s">
        <v>3939</v>
      </c>
      <c r="E1097" s="20" t="s">
        <v>55</v>
      </c>
      <c r="F1097" s="19" t="s">
        <v>90</v>
      </c>
      <c r="G1097" s="19" t="s">
        <v>91</v>
      </c>
      <c r="H1097" s="19"/>
      <c r="I1097" s="21" t="s">
        <v>29</v>
      </c>
      <c r="J1097" s="21" t="s">
        <v>29</v>
      </c>
      <c r="K1097" s="22" t="s">
        <v>55</v>
      </c>
      <c r="L1097" s="56">
        <v>45063</v>
      </c>
      <c r="O1097" s="42"/>
      <c r="P1097" s="40"/>
      <c r="Q1097" s="61"/>
      <c r="R1097" s="61"/>
      <c r="S1097" s="40"/>
      <c r="T1097" s="38"/>
      <c r="U1097" s="38"/>
      <c r="V1097" s="38"/>
      <c r="W1097" s="60"/>
      <c r="AB1097" s="42"/>
      <c r="AC1097" s="35"/>
      <c r="AD1097" s="38"/>
      <c r="AE1097" s="38"/>
      <c r="AF1097" s="38"/>
      <c r="AG1097" s="38"/>
      <c r="AH1097" s="60"/>
    </row>
    <row r="1098" spans="1:34" ht="15.75" customHeight="1">
      <c r="A1098" s="31" t="s">
        <v>92</v>
      </c>
      <c r="B1098" s="18" t="s">
        <v>3940</v>
      </c>
      <c r="C1098" s="19" t="s">
        <v>46</v>
      </c>
      <c r="D1098" s="25" t="s">
        <v>3941</v>
      </c>
      <c r="E1098" s="20" t="s">
        <v>3942</v>
      </c>
      <c r="F1098" s="37" t="s">
        <v>49</v>
      </c>
      <c r="G1098" s="19" t="s">
        <v>50</v>
      </c>
      <c r="H1098" s="19"/>
      <c r="I1098" s="21" t="s">
        <v>29</v>
      </c>
      <c r="J1098" s="21" t="s">
        <v>29</v>
      </c>
      <c r="K1098" s="22" t="s">
        <v>3943</v>
      </c>
      <c r="L1098" s="56">
        <v>45063</v>
      </c>
      <c r="O1098" s="42"/>
      <c r="P1098" s="40"/>
      <c r="Q1098" s="61"/>
      <c r="R1098" s="61"/>
      <c r="S1098" s="40"/>
      <c r="T1098" s="38"/>
      <c r="U1098" s="38"/>
      <c r="V1098" s="38"/>
      <c r="W1098" s="60"/>
      <c r="AB1098" s="42"/>
      <c r="AC1098" s="35"/>
      <c r="AD1098" s="38"/>
      <c r="AE1098" s="38"/>
      <c r="AF1098" s="38"/>
      <c r="AG1098" s="38"/>
      <c r="AH1098" s="60"/>
    </row>
    <row r="1099" spans="1:34" ht="15.75" customHeight="1">
      <c r="A1099" s="33">
        <v>2209</v>
      </c>
      <c r="B1099" s="29" t="s">
        <v>3944</v>
      </c>
      <c r="C1099" s="19" t="s">
        <v>24</v>
      </c>
      <c r="D1099" s="25" t="s">
        <v>3945</v>
      </c>
      <c r="E1099" s="20" t="s">
        <v>3946</v>
      </c>
      <c r="F1099" s="19" t="s">
        <v>27</v>
      </c>
      <c r="G1099" s="19" t="s">
        <v>28</v>
      </c>
      <c r="H1099" s="19"/>
      <c r="I1099" s="21" t="s">
        <v>29</v>
      </c>
      <c r="J1099" s="21" t="s">
        <v>29</v>
      </c>
      <c r="K1099" s="22" t="s">
        <v>3947</v>
      </c>
      <c r="L1099" s="56">
        <v>45063</v>
      </c>
      <c r="O1099" s="42"/>
      <c r="P1099" s="40"/>
      <c r="Q1099" s="61"/>
      <c r="R1099" s="61"/>
      <c r="S1099" s="40"/>
      <c r="T1099" s="38"/>
      <c r="U1099" s="38"/>
      <c r="V1099" s="38"/>
      <c r="W1099" s="60"/>
      <c r="AB1099" s="42"/>
      <c r="AC1099" s="35"/>
      <c r="AD1099" s="38"/>
      <c r="AE1099" s="38"/>
      <c r="AF1099" s="38"/>
      <c r="AG1099" s="38"/>
      <c r="AH1099" s="60"/>
    </row>
    <row r="1100" spans="1:34" ht="15.75" customHeight="1">
      <c r="A1100" s="31" t="s">
        <v>100</v>
      </c>
      <c r="B1100" s="18" t="s">
        <v>3948</v>
      </c>
      <c r="C1100" s="19" t="s">
        <v>87</v>
      </c>
      <c r="D1100" s="25" t="s">
        <v>3949</v>
      </c>
      <c r="E1100" s="20" t="s">
        <v>3929</v>
      </c>
      <c r="F1100" s="19" t="s">
        <v>90</v>
      </c>
      <c r="G1100" s="19" t="s">
        <v>91</v>
      </c>
      <c r="H1100" s="19"/>
      <c r="I1100" s="21" t="s">
        <v>29</v>
      </c>
      <c r="J1100" s="21" t="s">
        <v>29</v>
      </c>
      <c r="K1100" s="22" t="s">
        <v>3929</v>
      </c>
      <c r="L1100" s="56">
        <v>45063</v>
      </c>
      <c r="O1100" s="42"/>
      <c r="P1100" s="40"/>
      <c r="Q1100" s="61"/>
      <c r="R1100" s="61"/>
      <c r="S1100" s="40"/>
      <c r="T1100" s="38"/>
      <c r="U1100" s="38"/>
      <c r="V1100" s="38"/>
      <c r="W1100" s="60"/>
      <c r="AB1100" s="42"/>
      <c r="AC1100" s="35"/>
      <c r="AD1100" s="38"/>
      <c r="AE1100" s="38"/>
      <c r="AF1100" s="38"/>
      <c r="AG1100" s="38"/>
      <c r="AH1100" s="60"/>
    </row>
    <row r="1101" spans="1:34" ht="15.75" customHeight="1">
      <c r="A1101" s="17">
        <v>164</v>
      </c>
      <c r="B1101" s="34" t="s">
        <v>3950</v>
      </c>
      <c r="C1101" s="19" t="s">
        <v>24</v>
      </c>
      <c r="D1101" s="20" t="s">
        <v>3951</v>
      </c>
      <c r="E1101" s="20" t="s">
        <v>3952</v>
      </c>
      <c r="F1101" s="37" t="s">
        <v>49</v>
      </c>
      <c r="G1101" s="19" t="s">
        <v>50</v>
      </c>
      <c r="H1101" s="19"/>
      <c r="I1101" s="21" t="s">
        <v>29</v>
      </c>
      <c r="J1101" s="21" t="s">
        <v>29</v>
      </c>
      <c r="K1101" s="22" t="s">
        <v>3952</v>
      </c>
      <c r="L1101" s="56">
        <v>45063</v>
      </c>
      <c r="O1101" s="42"/>
      <c r="P1101" s="40"/>
      <c r="Q1101" s="61"/>
      <c r="R1101" s="61"/>
      <c r="S1101" s="40"/>
      <c r="T1101" s="38"/>
      <c r="U1101" s="38"/>
      <c r="V1101" s="38"/>
      <c r="W1101" s="60"/>
      <c r="AB1101" s="42"/>
      <c r="AC1101" s="35"/>
      <c r="AD1101" s="38"/>
      <c r="AE1101" s="38"/>
      <c r="AF1101" s="38"/>
      <c r="AG1101" s="38"/>
      <c r="AH1101" s="60"/>
    </row>
    <row r="1102" spans="1:34" ht="15.75" customHeight="1">
      <c r="A1102" s="35"/>
      <c r="B1102" s="18" t="s">
        <v>3953</v>
      </c>
      <c r="C1102" s="19" t="s">
        <v>46</v>
      </c>
      <c r="D1102" s="25" t="s">
        <v>3954</v>
      </c>
      <c r="E1102" s="20" t="s">
        <v>55</v>
      </c>
      <c r="F1102" s="37" t="s">
        <v>49</v>
      </c>
      <c r="G1102" s="19" t="s">
        <v>50</v>
      </c>
      <c r="H1102" s="19"/>
      <c r="I1102" s="21" t="s">
        <v>29</v>
      </c>
      <c r="J1102" s="21" t="s">
        <v>29</v>
      </c>
      <c r="K1102" s="22" t="s">
        <v>55</v>
      </c>
      <c r="L1102" s="56">
        <v>45063</v>
      </c>
      <c r="O1102" s="42"/>
      <c r="P1102" s="40"/>
      <c r="Q1102" s="61"/>
      <c r="R1102" s="61"/>
      <c r="S1102" s="40"/>
      <c r="T1102" s="38"/>
      <c r="U1102" s="38"/>
      <c r="V1102" s="38"/>
      <c r="W1102" s="60"/>
      <c r="AB1102" s="42"/>
      <c r="AC1102" s="35"/>
      <c r="AD1102" s="38"/>
      <c r="AE1102" s="38"/>
      <c r="AF1102" s="38"/>
      <c r="AG1102" s="38"/>
      <c r="AH1102" s="60"/>
    </row>
    <row r="1103" spans="1:34" ht="15.75" customHeight="1">
      <c r="A1103" s="35"/>
      <c r="B1103" s="29" t="s">
        <v>3955</v>
      </c>
      <c r="C1103" s="19" t="s">
        <v>46</v>
      </c>
      <c r="D1103" s="25" t="s">
        <v>3956</v>
      </c>
      <c r="E1103" s="20" t="s">
        <v>3957</v>
      </c>
      <c r="F1103" s="19" t="s">
        <v>286</v>
      </c>
      <c r="G1103" s="19" t="s">
        <v>50</v>
      </c>
      <c r="H1103" s="19"/>
      <c r="I1103" s="21" t="s">
        <v>286</v>
      </c>
      <c r="J1103" s="21" t="s">
        <v>29</v>
      </c>
      <c r="K1103" s="22" t="s">
        <v>3958</v>
      </c>
      <c r="L1103" s="56"/>
      <c r="O1103" s="42"/>
      <c r="P1103" s="40"/>
      <c r="Q1103" s="61"/>
      <c r="R1103" s="61"/>
      <c r="S1103" s="40"/>
      <c r="T1103" s="38"/>
      <c r="U1103" s="38"/>
      <c r="V1103" s="38"/>
      <c r="W1103" s="60"/>
      <c r="AB1103" s="42"/>
      <c r="AC1103" s="35"/>
      <c r="AD1103" s="38"/>
      <c r="AE1103" s="38"/>
      <c r="AF1103" s="38"/>
      <c r="AG1103" s="38"/>
      <c r="AH1103" s="60"/>
    </row>
    <row r="1104" spans="1:34" ht="15.75" customHeight="1">
      <c r="A1104" s="35"/>
      <c r="B1104" s="18" t="s">
        <v>3959</v>
      </c>
      <c r="C1104" s="19" t="s">
        <v>24</v>
      </c>
      <c r="D1104" s="25" t="s">
        <v>3960</v>
      </c>
      <c r="E1104" s="20" t="s">
        <v>55</v>
      </c>
      <c r="F1104" s="19" t="s">
        <v>27</v>
      </c>
      <c r="G1104" s="19" t="s">
        <v>28</v>
      </c>
      <c r="H1104" s="19"/>
      <c r="I1104" s="21" t="s">
        <v>29</v>
      </c>
      <c r="J1104" s="21" t="s">
        <v>29</v>
      </c>
      <c r="K1104" s="22" t="s">
        <v>55</v>
      </c>
      <c r="L1104" s="56">
        <v>45063</v>
      </c>
      <c r="O1104" s="42"/>
      <c r="P1104" s="40"/>
      <c r="Q1104" s="61"/>
      <c r="R1104" s="61"/>
      <c r="S1104" s="40"/>
      <c r="T1104" s="38"/>
      <c r="U1104" s="38"/>
      <c r="V1104" s="38"/>
      <c r="W1104" s="60"/>
      <c r="AB1104" s="42"/>
      <c r="AC1104" s="35"/>
      <c r="AD1104" s="38"/>
      <c r="AE1104" s="38"/>
      <c r="AF1104" s="38"/>
      <c r="AG1104" s="38"/>
      <c r="AH1104" s="60"/>
    </row>
    <row r="1105" spans="1:34" ht="15.75" customHeight="1">
      <c r="A1105" s="35"/>
      <c r="B1105" s="36" t="s">
        <v>3961</v>
      </c>
      <c r="C1105" s="19" t="s">
        <v>121</v>
      </c>
      <c r="D1105" s="25" t="s">
        <v>3962</v>
      </c>
      <c r="E1105" s="20" t="s">
        <v>3963</v>
      </c>
      <c r="F1105" s="19" t="s">
        <v>90</v>
      </c>
      <c r="G1105" s="19" t="s">
        <v>452</v>
      </c>
      <c r="H1105" s="19"/>
      <c r="I1105" s="21" t="s">
        <v>29</v>
      </c>
      <c r="J1105" s="21" t="s">
        <v>452</v>
      </c>
      <c r="K1105" s="22" t="s">
        <v>3963</v>
      </c>
      <c r="L1105" s="56">
        <v>45063</v>
      </c>
      <c r="O1105" s="42"/>
      <c r="P1105" s="40"/>
      <c r="Q1105" s="61"/>
      <c r="R1105" s="61"/>
      <c r="S1105" s="40"/>
      <c r="T1105" s="38"/>
      <c r="U1105" s="38"/>
      <c r="V1105" s="38"/>
      <c r="W1105" s="60"/>
      <c r="AB1105" s="42"/>
      <c r="AC1105" s="35"/>
      <c r="AD1105" s="38"/>
      <c r="AE1105" s="38"/>
      <c r="AF1105" s="38"/>
      <c r="AG1105" s="38"/>
      <c r="AH1105" s="60"/>
    </row>
    <row r="1106" spans="1:34" ht="15.75" customHeight="1">
      <c r="A1106" s="35"/>
      <c r="B1106" s="41" t="s">
        <v>3964</v>
      </c>
      <c r="C1106" s="19" t="s">
        <v>24</v>
      </c>
      <c r="D1106" s="25" t="s">
        <v>3965</v>
      </c>
      <c r="E1106" s="70" t="s">
        <v>3966</v>
      </c>
      <c r="F1106" s="19"/>
      <c r="G1106" s="19"/>
      <c r="H1106" s="19"/>
      <c r="I1106" s="21"/>
      <c r="J1106" s="21"/>
      <c r="K1106" s="22"/>
      <c r="L1106" s="56"/>
      <c r="O1106" s="42"/>
      <c r="P1106" s="40"/>
      <c r="Q1106" s="61"/>
      <c r="R1106" s="61"/>
      <c r="S1106" s="40"/>
      <c r="T1106" s="38"/>
      <c r="U1106" s="38"/>
      <c r="V1106" s="38"/>
      <c r="W1106" s="60"/>
      <c r="AB1106" s="42"/>
      <c r="AC1106" s="35"/>
      <c r="AD1106" s="38"/>
      <c r="AE1106" s="38"/>
      <c r="AF1106" s="38"/>
      <c r="AG1106" s="38"/>
      <c r="AH1106" s="60"/>
    </row>
    <row r="1107" spans="1:34" ht="15.75" customHeight="1">
      <c r="A1107" s="35"/>
      <c r="B1107" s="18" t="s">
        <v>3967</v>
      </c>
      <c r="C1107" s="19" t="s">
        <v>46</v>
      </c>
      <c r="D1107" s="25" t="s">
        <v>3968</v>
      </c>
      <c r="E1107" s="20" t="s">
        <v>3969</v>
      </c>
      <c r="F1107" s="37" t="s">
        <v>49</v>
      </c>
      <c r="G1107" s="19" t="s">
        <v>50</v>
      </c>
      <c r="H1107" s="19"/>
      <c r="I1107" s="21" t="s">
        <v>29</v>
      </c>
      <c r="J1107" s="21" t="s">
        <v>29</v>
      </c>
      <c r="K1107" s="22" t="s">
        <v>3969</v>
      </c>
      <c r="L1107" s="56">
        <v>45063</v>
      </c>
      <c r="O1107" s="42"/>
      <c r="P1107" s="40"/>
      <c r="Q1107" s="61"/>
      <c r="R1107" s="61"/>
      <c r="S1107" s="40"/>
      <c r="T1107" s="38"/>
      <c r="U1107" s="38"/>
      <c r="V1107" s="38"/>
      <c r="W1107" s="60"/>
      <c r="AB1107" s="42"/>
      <c r="AC1107" s="35"/>
      <c r="AD1107" s="38"/>
      <c r="AE1107" s="38"/>
      <c r="AF1107" s="38"/>
      <c r="AG1107" s="38"/>
      <c r="AH1107" s="60"/>
    </row>
    <row r="1108" spans="1:34" ht="15.75" customHeight="1">
      <c r="A1108" s="35"/>
      <c r="B1108" s="34" t="s">
        <v>3970</v>
      </c>
      <c r="C1108" s="19" t="s">
        <v>24</v>
      </c>
      <c r="D1108" s="25" t="s">
        <v>3971</v>
      </c>
      <c r="E1108" s="20" t="s">
        <v>3972</v>
      </c>
      <c r="F1108" s="19" t="s">
        <v>90</v>
      </c>
      <c r="G1108" s="19" t="s">
        <v>91</v>
      </c>
      <c r="H1108" s="19"/>
      <c r="I1108" s="21" t="s">
        <v>29</v>
      </c>
      <c r="J1108" s="21" t="s">
        <v>29</v>
      </c>
      <c r="K1108" s="22" t="s">
        <v>3973</v>
      </c>
      <c r="L1108" s="56">
        <v>45063</v>
      </c>
      <c r="O1108" s="42"/>
      <c r="P1108" s="40"/>
      <c r="Q1108" s="61"/>
      <c r="R1108" s="61"/>
      <c r="S1108" s="40"/>
      <c r="T1108" s="38"/>
      <c r="U1108" s="38"/>
      <c r="V1108" s="38"/>
      <c r="W1108" s="60"/>
      <c r="AB1108" s="42"/>
      <c r="AC1108" s="35"/>
      <c r="AD1108" s="38"/>
      <c r="AE1108" s="38"/>
      <c r="AF1108" s="38"/>
      <c r="AG1108" s="38"/>
      <c r="AH1108" s="60"/>
    </row>
    <row r="1109" spans="1:34" ht="15.75" customHeight="1">
      <c r="A1109" s="35"/>
      <c r="B1109" s="18" t="s">
        <v>3974</v>
      </c>
      <c r="C1109" s="19" t="s">
        <v>24</v>
      </c>
      <c r="D1109" s="25" t="s">
        <v>3975</v>
      </c>
      <c r="E1109" s="20" t="s">
        <v>3929</v>
      </c>
      <c r="F1109" s="19" t="s">
        <v>27</v>
      </c>
      <c r="G1109" s="19" t="s">
        <v>28</v>
      </c>
      <c r="H1109" s="19"/>
      <c r="I1109" s="21" t="s">
        <v>29</v>
      </c>
      <c r="J1109" s="21" t="s">
        <v>29</v>
      </c>
      <c r="K1109" s="22" t="s">
        <v>3929</v>
      </c>
      <c r="L1109" s="56">
        <v>45063</v>
      </c>
      <c r="O1109" s="42"/>
      <c r="P1109" s="40"/>
      <c r="Q1109" s="61"/>
      <c r="R1109" s="61"/>
      <c r="S1109" s="40"/>
      <c r="T1109" s="38"/>
      <c r="U1109" s="38"/>
      <c r="V1109" s="38"/>
      <c r="W1109" s="60"/>
      <c r="AB1109" s="42"/>
      <c r="AC1109" s="35"/>
      <c r="AD1109" s="38"/>
      <c r="AE1109" s="38"/>
      <c r="AF1109" s="38"/>
      <c r="AG1109" s="38"/>
      <c r="AH1109" s="60"/>
    </row>
    <row r="1110" spans="1:34" ht="15.75" customHeight="1">
      <c r="A1110" s="35"/>
      <c r="B1110" s="18" t="s">
        <v>3976</v>
      </c>
      <c r="C1110" s="19" t="s">
        <v>24</v>
      </c>
      <c r="D1110" s="25" t="s">
        <v>3977</v>
      </c>
      <c r="E1110" s="20" t="s">
        <v>55</v>
      </c>
      <c r="F1110" s="19" t="s">
        <v>27</v>
      </c>
      <c r="G1110" s="19" t="s">
        <v>28</v>
      </c>
      <c r="H1110" s="19"/>
      <c r="I1110" s="21" t="s">
        <v>29</v>
      </c>
      <c r="J1110" s="21" t="s">
        <v>29</v>
      </c>
      <c r="K1110" s="22" t="s">
        <v>55</v>
      </c>
      <c r="L1110" s="56">
        <v>45063</v>
      </c>
      <c r="O1110" s="42"/>
      <c r="P1110" s="40"/>
      <c r="Q1110" s="61"/>
      <c r="R1110" s="61"/>
      <c r="S1110" s="40"/>
      <c r="T1110" s="38"/>
      <c r="U1110" s="38"/>
      <c r="V1110" s="38"/>
      <c r="W1110" s="60"/>
      <c r="AB1110" s="42"/>
      <c r="AC1110" s="35"/>
      <c r="AD1110" s="38"/>
      <c r="AE1110" s="38"/>
      <c r="AF1110" s="38"/>
      <c r="AG1110" s="38"/>
      <c r="AH1110" s="60"/>
    </row>
    <row r="1111" spans="1:34" ht="15.75" customHeight="1">
      <c r="A1111" s="35"/>
      <c r="B1111" s="34" t="s">
        <v>3978</v>
      </c>
      <c r="C1111" s="19" t="s">
        <v>24</v>
      </c>
      <c r="D1111" s="25" t="s">
        <v>3979</v>
      </c>
      <c r="E1111" s="20" t="s">
        <v>3980</v>
      </c>
      <c r="F1111" s="19" t="s">
        <v>90</v>
      </c>
      <c r="G1111" s="19" t="s">
        <v>91</v>
      </c>
      <c r="H1111" s="19"/>
      <c r="I1111" s="21" t="s">
        <v>29</v>
      </c>
      <c r="J1111" s="21" t="s">
        <v>29</v>
      </c>
      <c r="K1111" s="22" t="s">
        <v>3980</v>
      </c>
      <c r="L1111" s="56">
        <v>45063</v>
      </c>
      <c r="O1111" s="42"/>
      <c r="P1111" s="40"/>
      <c r="Q1111" s="61"/>
      <c r="R1111" s="61"/>
      <c r="S1111" s="40"/>
      <c r="T1111" s="38"/>
      <c r="U1111" s="38"/>
      <c r="V1111" s="38"/>
      <c r="W1111" s="60"/>
      <c r="AB1111" s="42"/>
      <c r="AC1111" s="35"/>
      <c r="AD1111" s="38"/>
      <c r="AE1111" s="38"/>
      <c r="AF1111" s="38"/>
      <c r="AG1111" s="38"/>
      <c r="AH1111" s="60"/>
    </row>
    <row r="1112" spans="1:34" ht="15.75" customHeight="1">
      <c r="A1112" s="35"/>
      <c r="B1112" s="18" t="s">
        <v>3981</v>
      </c>
      <c r="C1112" s="19" t="s">
        <v>87</v>
      </c>
      <c r="D1112" s="25" t="s">
        <v>3982</v>
      </c>
      <c r="E1112" s="20" t="s">
        <v>3983</v>
      </c>
      <c r="F1112" s="19" t="s">
        <v>90</v>
      </c>
      <c r="G1112" s="19" t="s">
        <v>91</v>
      </c>
      <c r="H1112" s="19"/>
      <c r="I1112" s="21" t="s">
        <v>29</v>
      </c>
      <c r="J1112" s="21" t="s">
        <v>29</v>
      </c>
      <c r="K1112" s="22" t="s">
        <v>3983</v>
      </c>
      <c r="L1112" s="56">
        <v>45063</v>
      </c>
      <c r="O1112" s="42"/>
      <c r="P1112" s="40"/>
      <c r="Q1112" s="61"/>
      <c r="R1112" s="61"/>
      <c r="S1112" s="40"/>
      <c r="T1112" s="38"/>
      <c r="U1112" s="38"/>
      <c r="V1112" s="38"/>
      <c r="W1112" s="60"/>
      <c r="AB1112" s="42"/>
      <c r="AC1112" s="35"/>
      <c r="AD1112" s="38"/>
      <c r="AE1112" s="38"/>
      <c r="AF1112" s="38"/>
      <c r="AG1112" s="38"/>
      <c r="AH1112" s="60"/>
    </row>
    <row r="1113" spans="1:34" ht="15.75" customHeight="1">
      <c r="A1113" s="35"/>
      <c r="B1113" s="34" t="s">
        <v>3984</v>
      </c>
      <c r="C1113" s="19" t="s">
        <v>87</v>
      </c>
      <c r="D1113" s="25" t="s">
        <v>3985</v>
      </c>
      <c r="E1113" s="20" t="s">
        <v>3916</v>
      </c>
      <c r="F1113" s="19" t="s">
        <v>27</v>
      </c>
      <c r="G1113" s="19" t="s">
        <v>28</v>
      </c>
      <c r="H1113" s="19" t="s">
        <v>36</v>
      </c>
      <c r="I1113" s="21" t="s">
        <v>29</v>
      </c>
      <c r="J1113" s="21" t="s">
        <v>29</v>
      </c>
      <c r="K1113" s="22" t="s">
        <v>3917</v>
      </c>
      <c r="L1113" s="56">
        <v>45063</v>
      </c>
      <c r="O1113" s="42"/>
      <c r="P1113" s="40"/>
      <c r="Q1113" s="61"/>
      <c r="R1113" s="61"/>
      <c r="S1113" s="40"/>
      <c r="T1113" s="38"/>
      <c r="U1113" s="38"/>
      <c r="V1113" s="38"/>
      <c r="W1113" s="60"/>
      <c r="AB1113" s="42"/>
      <c r="AC1113" s="35"/>
      <c r="AD1113" s="38"/>
      <c r="AE1113" s="38"/>
      <c r="AF1113" s="38"/>
      <c r="AG1113" s="38"/>
      <c r="AH1113" s="60"/>
    </row>
    <row r="1114" spans="1:34" ht="15.75" customHeight="1">
      <c r="A1114" s="35"/>
      <c r="B1114" s="18" t="s">
        <v>3986</v>
      </c>
      <c r="C1114" s="19" t="s">
        <v>87</v>
      </c>
      <c r="D1114" s="25" t="s">
        <v>3987</v>
      </c>
      <c r="E1114" s="20" t="s">
        <v>3988</v>
      </c>
      <c r="F1114" s="37" t="s">
        <v>49</v>
      </c>
      <c r="G1114" s="19" t="s">
        <v>91</v>
      </c>
      <c r="H1114" s="19"/>
      <c r="I1114" s="21" t="s">
        <v>29</v>
      </c>
      <c r="J1114" s="21" t="s">
        <v>29</v>
      </c>
      <c r="K1114" s="22" t="s">
        <v>3988</v>
      </c>
      <c r="L1114" s="56">
        <v>45063</v>
      </c>
      <c r="O1114" s="42"/>
      <c r="P1114" s="40"/>
      <c r="Q1114" s="61"/>
      <c r="R1114" s="61"/>
      <c r="S1114" s="40"/>
      <c r="T1114" s="38"/>
      <c r="U1114" s="38"/>
      <c r="V1114" s="38"/>
      <c r="W1114" s="60"/>
      <c r="AB1114" s="42"/>
      <c r="AC1114" s="35"/>
      <c r="AD1114" s="38"/>
      <c r="AE1114" s="38"/>
      <c r="AF1114" s="38"/>
      <c r="AG1114" s="38"/>
      <c r="AH1114" s="60"/>
    </row>
    <row r="1115" spans="1:34" ht="15.75" customHeight="1">
      <c r="A1115" s="35"/>
      <c r="B1115" s="18" t="s">
        <v>3989</v>
      </c>
      <c r="C1115" s="19" t="s">
        <v>46</v>
      </c>
      <c r="D1115" s="25" t="s">
        <v>3990</v>
      </c>
      <c r="E1115" s="20" t="s">
        <v>3991</v>
      </c>
      <c r="F1115" s="37" t="s">
        <v>49</v>
      </c>
      <c r="G1115" s="19" t="s">
        <v>50</v>
      </c>
      <c r="H1115" s="19"/>
      <c r="I1115" s="21" t="s">
        <v>29</v>
      </c>
      <c r="J1115" s="21" t="s">
        <v>29</v>
      </c>
      <c r="K1115" s="22" t="s">
        <v>3992</v>
      </c>
      <c r="L1115" s="56">
        <v>45063</v>
      </c>
      <c r="O1115" s="42"/>
      <c r="P1115" s="40"/>
      <c r="Q1115" s="61"/>
      <c r="R1115" s="61"/>
      <c r="S1115" s="40"/>
      <c r="T1115" s="38"/>
      <c r="U1115" s="38"/>
      <c r="V1115" s="38"/>
      <c r="W1115" s="60"/>
      <c r="AB1115" s="42"/>
      <c r="AC1115" s="35"/>
      <c r="AD1115" s="38"/>
      <c r="AE1115" s="38"/>
      <c r="AF1115" s="38"/>
      <c r="AG1115" s="38"/>
      <c r="AH1115" s="60"/>
    </row>
    <row r="1116" spans="1:34" ht="15.75" customHeight="1">
      <c r="A1116" s="35"/>
      <c r="B1116" s="18" t="s">
        <v>3993</v>
      </c>
      <c r="C1116" s="19" t="s">
        <v>24</v>
      </c>
      <c r="D1116" s="25" t="s">
        <v>3994</v>
      </c>
      <c r="E1116" s="20" t="s">
        <v>55</v>
      </c>
      <c r="F1116" s="19" t="s">
        <v>27</v>
      </c>
      <c r="G1116" s="19" t="s">
        <v>28</v>
      </c>
      <c r="H1116" s="19"/>
      <c r="I1116" s="21" t="s">
        <v>29</v>
      </c>
      <c r="J1116" s="21" t="s">
        <v>29</v>
      </c>
      <c r="K1116" s="22" t="s">
        <v>55</v>
      </c>
      <c r="L1116" s="56">
        <v>45063</v>
      </c>
      <c r="O1116" s="42"/>
      <c r="P1116" s="40"/>
      <c r="Q1116" s="61"/>
      <c r="R1116" s="61"/>
      <c r="S1116" s="40"/>
      <c r="T1116" s="38"/>
      <c r="U1116" s="38"/>
      <c r="V1116" s="38"/>
      <c r="W1116" s="60"/>
      <c r="AB1116" s="42"/>
      <c r="AC1116" s="35"/>
      <c r="AD1116" s="38"/>
      <c r="AE1116" s="38"/>
      <c r="AF1116" s="38"/>
      <c r="AG1116" s="38"/>
      <c r="AH1116" s="60"/>
    </row>
    <row r="1117" spans="1:34" ht="15.75" customHeight="1">
      <c r="A1117" s="35"/>
      <c r="B1117" s="18" t="s">
        <v>3995</v>
      </c>
      <c r="C1117" s="19" t="s">
        <v>46</v>
      </c>
      <c r="D1117" s="25" t="s">
        <v>3996</v>
      </c>
      <c r="E1117" s="20" t="s">
        <v>3997</v>
      </c>
      <c r="F1117" s="37" t="s">
        <v>49</v>
      </c>
      <c r="G1117" s="19" t="s">
        <v>50</v>
      </c>
      <c r="H1117" s="19"/>
      <c r="I1117" s="21" t="s">
        <v>29</v>
      </c>
      <c r="J1117" s="21" t="s">
        <v>29</v>
      </c>
      <c r="K1117" s="22" t="s">
        <v>3997</v>
      </c>
      <c r="L1117" s="56">
        <v>45063</v>
      </c>
      <c r="O1117" s="42"/>
      <c r="P1117" s="40"/>
      <c r="Q1117" s="61"/>
      <c r="R1117" s="61"/>
      <c r="S1117" s="40"/>
      <c r="T1117" s="38"/>
      <c r="U1117" s="38"/>
      <c r="V1117" s="38"/>
      <c r="W1117" s="60"/>
      <c r="AB1117" s="42"/>
      <c r="AC1117" s="35"/>
      <c r="AD1117" s="38"/>
      <c r="AE1117" s="38"/>
      <c r="AF1117" s="38"/>
      <c r="AG1117" s="38"/>
      <c r="AH1117" s="60"/>
    </row>
    <row r="1118" spans="1:34" ht="15.75" customHeight="1">
      <c r="A1118" s="35"/>
      <c r="B1118" s="29" t="s">
        <v>3998</v>
      </c>
      <c r="C1118" s="19" t="s">
        <v>24</v>
      </c>
      <c r="D1118" s="25" t="s">
        <v>3999</v>
      </c>
      <c r="E1118" s="20" t="s">
        <v>4000</v>
      </c>
      <c r="F1118" s="19" t="s">
        <v>27</v>
      </c>
      <c r="G1118" s="19" t="s">
        <v>28</v>
      </c>
      <c r="H1118" s="19"/>
      <c r="I1118" s="21" t="s">
        <v>29</v>
      </c>
      <c r="J1118" s="21" t="s">
        <v>29</v>
      </c>
      <c r="K1118" s="22" t="s">
        <v>4000</v>
      </c>
      <c r="L1118" s="56"/>
      <c r="O1118" s="42"/>
      <c r="P1118" s="40"/>
      <c r="Q1118" s="61"/>
      <c r="R1118" s="61"/>
      <c r="S1118" s="40"/>
      <c r="T1118" s="38"/>
      <c r="U1118" s="38"/>
      <c r="V1118" s="38"/>
      <c r="W1118" s="60"/>
      <c r="AB1118" s="42"/>
      <c r="AC1118" s="35"/>
      <c r="AD1118" s="38"/>
      <c r="AE1118" s="38"/>
      <c r="AF1118" s="38"/>
      <c r="AG1118" s="38"/>
      <c r="AH1118" s="60"/>
    </row>
    <row r="1119" spans="1:34" ht="15.75" customHeight="1">
      <c r="A1119" s="35"/>
      <c r="B1119" s="18" t="s">
        <v>4001</v>
      </c>
      <c r="C1119" s="19" t="s">
        <v>46</v>
      </c>
      <c r="D1119" s="25" t="s">
        <v>4002</v>
      </c>
      <c r="E1119" s="20" t="s">
        <v>4003</v>
      </c>
      <c r="F1119" s="37" t="s">
        <v>49</v>
      </c>
      <c r="G1119" s="19" t="s">
        <v>50</v>
      </c>
      <c r="H1119" s="19"/>
      <c r="I1119" s="21" t="s">
        <v>29</v>
      </c>
      <c r="J1119" s="21" t="s">
        <v>29</v>
      </c>
      <c r="K1119" s="22" t="s">
        <v>4003</v>
      </c>
      <c r="L1119" s="56">
        <v>45063</v>
      </c>
      <c r="O1119" s="42"/>
      <c r="P1119" s="40"/>
      <c r="Q1119" s="61"/>
      <c r="R1119" s="61"/>
      <c r="S1119" s="40"/>
      <c r="T1119" s="38"/>
      <c r="U1119" s="38"/>
      <c r="V1119" s="38"/>
      <c r="W1119" s="60"/>
      <c r="AB1119" s="42"/>
      <c r="AC1119" s="35"/>
      <c r="AD1119" s="38"/>
      <c r="AE1119" s="38"/>
      <c r="AF1119" s="38"/>
      <c r="AG1119" s="38"/>
      <c r="AH1119" s="60"/>
    </row>
    <row r="1120" spans="1:34" ht="15.75" customHeight="1">
      <c r="A1120" s="35"/>
      <c r="B1120" s="18" t="s">
        <v>4004</v>
      </c>
      <c r="C1120" s="19" t="s">
        <v>24</v>
      </c>
      <c r="D1120" s="25" t="s">
        <v>4005</v>
      </c>
      <c r="E1120" s="20" t="s">
        <v>4006</v>
      </c>
      <c r="F1120" s="19" t="s">
        <v>27</v>
      </c>
      <c r="G1120" s="19" t="s">
        <v>28</v>
      </c>
      <c r="H1120" s="19"/>
      <c r="I1120" s="21" t="s">
        <v>29</v>
      </c>
      <c r="J1120" s="21" t="s">
        <v>29</v>
      </c>
      <c r="K1120" s="22" t="s">
        <v>4007</v>
      </c>
      <c r="L1120" s="56">
        <v>45063</v>
      </c>
      <c r="O1120" s="42"/>
      <c r="P1120" s="40"/>
      <c r="Q1120" s="61"/>
      <c r="R1120" s="61"/>
      <c r="S1120" s="40"/>
      <c r="T1120" s="38"/>
      <c r="U1120" s="38"/>
      <c r="V1120" s="38"/>
      <c r="W1120" s="60"/>
      <c r="AB1120" s="42"/>
      <c r="AC1120" s="35"/>
      <c r="AD1120" s="38"/>
      <c r="AE1120" s="38"/>
      <c r="AF1120" s="38"/>
      <c r="AG1120" s="38"/>
      <c r="AH1120" s="60"/>
    </row>
    <row r="1121" spans="1:34" ht="15.75" customHeight="1">
      <c r="A1121" s="35"/>
      <c r="B1121" s="18" t="s">
        <v>4008</v>
      </c>
      <c r="C1121" s="19" t="s">
        <v>24</v>
      </c>
      <c r="D1121" s="25" t="s">
        <v>4009</v>
      </c>
      <c r="E1121" s="20" t="s">
        <v>3929</v>
      </c>
      <c r="F1121" s="19" t="s">
        <v>27</v>
      </c>
      <c r="G1121" s="19" t="s">
        <v>28</v>
      </c>
      <c r="H1121" s="19"/>
      <c r="I1121" s="21" t="s">
        <v>29</v>
      </c>
      <c r="J1121" s="21" t="s">
        <v>29</v>
      </c>
      <c r="K1121" s="22" t="s">
        <v>3929</v>
      </c>
      <c r="L1121" s="56">
        <v>45063</v>
      </c>
      <c r="O1121" s="42"/>
      <c r="P1121" s="40"/>
      <c r="Q1121" s="61"/>
      <c r="R1121" s="61"/>
      <c r="S1121" s="40"/>
      <c r="T1121" s="38"/>
      <c r="U1121" s="38"/>
      <c r="V1121" s="38"/>
      <c r="W1121" s="60"/>
      <c r="AB1121" s="42"/>
      <c r="AC1121" s="35"/>
      <c r="AD1121" s="38"/>
      <c r="AE1121" s="38"/>
      <c r="AF1121" s="38"/>
      <c r="AG1121" s="38"/>
      <c r="AH1121" s="60"/>
    </row>
    <row r="1122" spans="1:34" ht="15.75" customHeight="1">
      <c r="A1122" s="35"/>
      <c r="B1122" s="18" t="s">
        <v>4010</v>
      </c>
      <c r="C1122" s="19" t="s">
        <v>24</v>
      </c>
      <c r="D1122" s="25" t="s">
        <v>4011</v>
      </c>
      <c r="E1122" s="20" t="s">
        <v>4012</v>
      </c>
      <c r="F1122" s="19" t="s">
        <v>27</v>
      </c>
      <c r="G1122" s="19" t="s">
        <v>28</v>
      </c>
      <c r="H1122" s="19" t="s">
        <v>36</v>
      </c>
      <c r="I1122" s="21" t="s">
        <v>29</v>
      </c>
      <c r="J1122" s="21" t="s">
        <v>29</v>
      </c>
      <c r="K1122" s="22" t="s">
        <v>4012</v>
      </c>
      <c r="L1122" s="56">
        <v>45063</v>
      </c>
      <c r="O1122" s="42"/>
      <c r="P1122" s="40"/>
      <c r="Q1122" s="61"/>
      <c r="R1122" s="61"/>
      <c r="S1122" s="40"/>
      <c r="T1122" s="38"/>
      <c r="U1122" s="38"/>
      <c r="V1122" s="38"/>
      <c r="W1122" s="60"/>
      <c r="AB1122" s="42"/>
      <c r="AC1122" s="35"/>
      <c r="AD1122" s="38"/>
      <c r="AE1122" s="38"/>
      <c r="AF1122" s="38"/>
      <c r="AG1122" s="38"/>
      <c r="AH1122" s="60"/>
    </row>
    <row r="1123" spans="1:34" ht="15.75" customHeight="1">
      <c r="A1123" s="35"/>
      <c r="B1123" s="18" t="s">
        <v>4013</v>
      </c>
      <c r="C1123" s="19" t="s">
        <v>87</v>
      </c>
      <c r="D1123" s="25" t="s">
        <v>4014</v>
      </c>
      <c r="E1123" s="20" t="s">
        <v>4015</v>
      </c>
      <c r="F1123" s="19" t="s">
        <v>90</v>
      </c>
      <c r="G1123" s="19" t="s">
        <v>91</v>
      </c>
      <c r="H1123" s="19"/>
      <c r="I1123" s="21" t="s">
        <v>29</v>
      </c>
      <c r="J1123" s="21" t="s">
        <v>29</v>
      </c>
      <c r="K1123" s="22" t="s">
        <v>4016</v>
      </c>
      <c r="L1123" s="56">
        <v>45063</v>
      </c>
      <c r="O1123" s="42"/>
      <c r="P1123" s="40"/>
      <c r="Q1123" s="61"/>
      <c r="R1123" s="61"/>
      <c r="S1123" s="40"/>
      <c r="T1123" s="38"/>
      <c r="U1123" s="38"/>
      <c r="V1123" s="38"/>
      <c r="W1123" s="60"/>
      <c r="AB1123" s="42"/>
      <c r="AC1123" s="35"/>
      <c r="AD1123" s="38"/>
      <c r="AE1123" s="38"/>
      <c r="AF1123" s="38"/>
      <c r="AG1123" s="38"/>
      <c r="AH1123" s="60"/>
    </row>
    <row r="1124" spans="1:34" ht="15.75" customHeight="1">
      <c r="A1124" s="35"/>
      <c r="B1124" s="18" t="s">
        <v>4017</v>
      </c>
      <c r="C1124" s="19" t="s">
        <v>24</v>
      </c>
      <c r="D1124" s="25" t="s">
        <v>4018</v>
      </c>
      <c r="E1124" s="20" t="s">
        <v>3926</v>
      </c>
      <c r="F1124" s="19" t="s">
        <v>27</v>
      </c>
      <c r="G1124" s="19" t="s">
        <v>28</v>
      </c>
      <c r="H1124" s="19" t="s">
        <v>36</v>
      </c>
      <c r="I1124" s="21" t="s">
        <v>29</v>
      </c>
      <c r="J1124" s="21" t="s">
        <v>29</v>
      </c>
      <c r="K1124" s="22" t="s">
        <v>3926</v>
      </c>
      <c r="L1124" s="56">
        <v>45063</v>
      </c>
      <c r="O1124" s="42"/>
      <c r="P1124" s="40"/>
      <c r="Q1124" s="61"/>
      <c r="R1124" s="61"/>
      <c r="S1124" s="40"/>
      <c r="T1124" s="38"/>
      <c r="U1124" s="38"/>
      <c r="V1124" s="38"/>
      <c r="W1124" s="60"/>
      <c r="AB1124" s="42"/>
      <c r="AC1124" s="35"/>
      <c r="AD1124" s="38"/>
      <c r="AE1124" s="38"/>
      <c r="AF1124" s="38"/>
      <c r="AG1124" s="38"/>
      <c r="AH1124" s="60"/>
    </row>
    <row r="1125" spans="1:34" ht="15.75" customHeight="1">
      <c r="A1125" s="35"/>
      <c r="B1125" s="18" t="s">
        <v>4019</v>
      </c>
      <c r="C1125" s="19" t="s">
        <v>24</v>
      </c>
      <c r="D1125" s="25" t="s">
        <v>4020</v>
      </c>
      <c r="E1125" s="20" t="s">
        <v>4021</v>
      </c>
      <c r="F1125" s="19" t="s">
        <v>27</v>
      </c>
      <c r="G1125" s="19" t="s">
        <v>28</v>
      </c>
      <c r="H1125" s="37" t="s">
        <v>813</v>
      </c>
      <c r="I1125" s="21" t="s">
        <v>29</v>
      </c>
      <c r="J1125" s="21" t="s">
        <v>29</v>
      </c>
      <c r="K1125" s="22" t="s">
        <v>4021</v>
      </c>
      <c r="L1125" s="56">
        <v>45063</v>
      </c>
      <c r="O1125" s="42"/>
      <c r="P1125" s="40"/>
      <c r="Q1125" s="61"/>
      <c r="R1125" s="61"/>
      <c r="S1125" s="40"/>
      <c r="T1125" s="38"/>
      <c r="U1125" s="38"/>
      <c r="V1125" s="38"/>
      <c r="W1125" s="60"/>
      <c r="AB1125" s="42"/>
      <c r="AC1125" s="35"/>
      <c r="AD1125" s="38"/>
      <c r="AE1125" s="38"/>
      <c r="AF1125" s="38"/>
      <c r="AG1125" s="38"/>
      <c r="AH1125" s="60"/>
    </row>
    <row r="1126" spans="1:34" ht="15.75" customHeight="1">
      <c r="A1126" s="35"/>
      <c r="B1126" s="18" t="s">
        <v>4022</v>
      </c>
      <c r="C1126" s="19" t="s">
        <v>24</v>
      </c>
      <c r="D1126" s="25" t="s">
        <v>4023</v>
      </c>
      <c r="E1126" s="20" t="s">
        <v>55</v>
      </c>
      <c r="F1126" s="19" t="s">
        <v>27</v>
      </c>
      <c r="G1126" s="19" t="s">
        <v>28</v>
      </c>
      <c r="H1126" s="19" t="s">
        <v>36</v>
      </c>
      <c r="I1126" s="21" t="s">
        <v>29</v>
      </c>
      <c r="J1126" s="21" t="s">
        <v>29</v>
      </c>
      <c r="K1126" s="22" t="s">
        <v>55</v>
      </c>
      <c r="L1126" s="56">
        <v>45063</v>
      </c>
      <c r="O1126" s="42"/>
      <c r="P1126" s="40"/>
      <c r="Q1126" s="61"/>
      <c r="R1126" s="61"/>
      <c r="S1126" s="40"/>
      <c r="T1126" s="38"/>
      <c r="U1126" s="38"/>
      <c r="V1126" s="38"/>
      <c r="W1126" s="60"/>
      <c r="AB1126" s="42"/>
      <c r="AC1126" s="35"/>
      <c r="AD1126" s="38"/>
      <c r="AE1126" s="38"/>
      <c r="AF1126" s="38"/>
      <c r="AG1126" s="38"/>
      <c r="AH1126" s="60"/>
    </row>
    <row r="1127" spans="1:34" ht="15.75" customHeight="1">
      <c r="A1127" s="35"/>
      <c r="B1127" s="18" t="s">
        <v>4024</v>
      </c>
      <c r="C1127" s="19" t="s">
        <v>24</v>
      </c>
      <c r="D1127" s="25" t="s">
        <v>4025</v>
      </c>
      <c r="E1127" s="20" t="s">
        <v>55</v>
      </c>
      <c r="F1127" s="19" t="s">
        <v>27</v>
      </c>
      <c r="G1127" s="19" t="s">
        <v>28</v>
      </c>
      <c r="H1127" s="19"/>
      <c r="I1127" s="21" t="s">
        <v>29</v>
      </c>
      <c r="J1127" s="21" t="s">
        <v>29</v>
      </c>
      <c r="K1127" s="22" t="s">
        <v>55</v>
      </c>
      <c r="L1127" s="56">
        <v>45063</v>
      </c>
      <c r="O1127" s="42"/>
      <c r="P1127" s="40"/>
      <c r="Q1127" s="61"/>
      <c r="R1127" s="61"/>
      <c r="S1127" s="40"/>
      <c r="T1127" s="38"/>
      <c r="U1127" s="38"/>
      <c r="V1127" s="38"/>
      <c r="W1127" s="60"/>
      <c r="AB1127" s="42"/>
      <c r="AC1127" s="35"/>
      <c r="AD1127" s="38"/>
      <c r="AE1127" s="38"/>
      <c r="AF1127" s="38"/>
      <c r="AG1127" s="38"/>
      <c r="AH1127" s="60"/>
    </row>
    <row r="1128" spans="1:34" ht="15.75" customHeight="1">
      <c r="A1128" s="35"/>
      <c r="B1128" s="18" t="s">
        <v>4026</v>
      </c>
      <c r="C1128" s="19" t="s">
        <v>24</v>
      </c>
      <c r="D1128" s="25" t="s">
        <v>4027</v>
      </c>
      <c r="E1128" s="20" t="s">
        <v>4028</v>
      </c>
      <c r="F1128" s="19" t="s">
        <v>27</v>
      </c>
      <c r="G1128" s="19" t="s">
        <v>28</v>
      </c>
      <c r="H1128" s="19" t="s">
        <v>36</v>
      </c>
      <c r="I1128" s="21" t="s">
        <v>29</v>
      </c>
      <c r="J1128" s="21" t="s">
        <v>29</v>
      </c>
      <c r="K1128" s="22" t="s">
        <v>4028</v>
      </c>
      <c r="L1128" s="56">
        <v>45063</v>
      </c>
      <c r="O1128" s="42"/>
      <c r="P1128" s="40"/>
      <c r="Q1128" s="61"/>
      <c r="R1128" s="61"/>
      <c r="S1128" s="40"/>
      <c r="T1128" s="38"/>
      <c r="U1128" s="38"/>
      <c r="V1128" s="38"/>
      <c r="W1128" s="60"/>
      <c r="AB1128" s="42"/>
      <c r="AC1128" s="35"/>
      <c r="AD1128" s="38"/>
      <c r="AE1128" s="38"/>
      <c r="AF1128" s="38"/>
      <c r="AG1128" s="38"/>
      <c r="AH1128" s="60"/>
    </row>
    <row r="1129" spans="1:34" ht="15.75" customHeight="1">
      <c r="A1129" s="35"/>
      <c r="B1129" s="18" t="s">
        <v>4029</v>
      </c>
      <c r="C1129" s="19" t="s">
        <v>24</v>
      </c>
      <c r="D1129" s="25" t="s">
        <v>4030</v>
      </c>
      <c r="E1129" s="20" t="s">
        <v>4031</v>
      </c>
      <c r="F1129" s="19" t="s">
        <v>27</v>
      </c>
      <c r="G1129" s="19" t="s">
        <v>28</v>
      </c>
      <c r="H1129" s="19"/>
      <c r="I1129" s="21" t="s">
        <v>29</v>
      </c>
      <c r="J1129" s="21" t="s">
        <v>29</v>
      </c>
      <c r="K1129" s="22" t="s">
        <v>4031</v>
      </c>
      <c r="L1129" s="56">
        <v>45063</v>
      </c>
      <c r="O1129" s="42"/>
      <c r="P1129" s="40"/>
      <c r="Q1129" s="61"/>
      <c r="R1129" s="61"/>
      <c r="S1129" s="40"/>
      <c r="T1129" s="38"/>
      <c r="U1129" s="38"/>
      <c r="V1129" s="38"/>
      <c r="W1129" s="60"/>
      <c r="AB1129" s="42"/>
      <c r="AC1129" s="35"/>
      <c r="AD1129" s="38"/>
      <c r="AE1129" s="38"/>
      <c r="AF1129" s="38"/>
      <c r="AG1129" s="38"/>
      <c r="AH1129" s="60"/>
    </row>
    <row r="1130" spans="1:34" ht="15.75" customHeight="1">
      <c r="A1130" s="35"/>
      <c r="B1130" s="18" t="s">
        <v>4032</v>
      </c>
      <c r="C1130" s="19" t="s">
        <v>24</v>
      </c>
      <c r="D1130" s="25" t="s">
        <v>4033</v>
      </c>
      <c r="E1130" s="20" t="s">
        <v>3980</v>
      </c>
      <c r="F1130" s="19" t="s">
        <v>27</v>
      </c>
      <c r="G1130" s="19" t="s">
        <v>28</v>
      </c>
      <c r="H1130" s="37" t="s">
        <v>813</v>
      </c>
      <c r="I1130" s="21" t="s">
        <v>29</v>
      </c>
      <c r="J1130" s="21" t="s">
        <v>29</v>
      </c>
      <c r="K1130" s="22" t="s">
        <v>3980</v>
      </c>
      <c r="L1130" s="56">
        <v>45063</v>
      </c>
      <c r="O1130" s="42"/>
      <c r="P1130" s="40"/>
      <c r="Q1130" s="61"/>
      <c r="R1130" s="61"/>
      <c r="S1130" s="40"/>
      <c r="T1130" s="38"/>
      <c r="U1130" s="38"/>
      <c r="V1130" s="38"/>
      <c r="W1130" s="60"/>
      <c r="AB1130" s="42"/>
      <c r="AC1130" s="35"/>
      <c r="AD1130" s="38"/>
      <c r="AE1130" s="38"/>
      <c r="AF1130" s="38"/>
      <c r="AG1130" s="38"/>
      <c r="AH1130" s="60"/>
    </row>
    <row r="1131" spans="1:34" ht="15.75" customHeight="1">
      <c r="A1131" s="35"/>
      <c r="B1131" s="18" t="s">
        <v>4034</v>
      </c>
      <c r="C1131" s="19" t="s">
        <v>24</v>
      </c>
      <c r="D1131" s="25" t="s">
        <v>4035</v>
      </c>
      <c r="E1131" s="20" t="s">
        <v>3929</v>
      </c>
      <c r="F1131" s="19" t="s">
        <v>27</v>
      </c>
      <c r="G1131" s="19" t="s">
        <v>28</v>
      </c>
      <c r="H1131" s="37" t="s">
        <v>813</v>
      </c>
      <c r="I1131" s="21" t="s">
        <v>29</v>
      </c>
      <c r="J1131" s="21" t="s">
        <v>29</v>
      </c>
      <c r="K1131" s="22" t="s">
        <v>3929</v>
      </c>
      <c r="L1131" s="56">
        <v>45063</v>
      </c>
      <c r="O1131" s="42"/>
      <c r="P1131" s="40"/>
      <c r="Q1131" s="61"/>
      <c r="R1131" s="61"/>
      <c r="S1131" s="40"/>
      <c r="T1131" s="38"/>
      <c r="U1131" s="38"/>
      <c r="V1131" s="38"/>
      <c r="W1131" s="60"/>
      <c r="AB1131" s="42"/>
      <c r="AC1131" s="35"/>
      <c r="AD1131" s="38"/>
      <c r="AE1131" s="38"/>
      <c r="AF1131" s="38"/>
      <c r="AG1131" s="38"/>
      <c r="AH1131" s="60"/>
    </row>
    <row r="1132" spans="1:34" ht="15.75" customHeight="1">
      <c r="A1132" s="35"/>
      <c r="B1132" s="36" t="s">
        <v>4036</v>
      </c>
      <c r="C1132" s="19" t="s">
        <v>121</v>
      </c>
      <c r="D1132" s="25" t="s">
        <v>4037</v>
      </c>
      <c r="E1132" s="20" t="s">
        <v>4038</v>
      </c>
      <c r="F1132" s="19" t="s">
        <v>27</v>
      </c>
      <c r="G1132" s="19" t="s">
        <v>452</v>
      </c>
      <c r="H1132" s="19"/>
      <c r="I1132" s="21" t="s">
        <v>29</v>
      </c>
      <c r="J1132" s="21" t="s">
        <v>452</v>
      </c>
      <c r="K1132" s="22" t="s">
        <v>4038</v>
      </c>
      <c r="L1132" s="56">
        <v>45063</v>
      </c>
      <c r="O1132" s="42"/>
      <c r="P1132" s="40"/>
      <c r="Q1132" s="61"/>
      <c r="R1132" s="61"/>
      <c r="S1132" s="40"/>
      <c r="T1132" s="38"/>
      <c r="U1132" s="38"/>
      <c r="V1132" s="38"/>
      <c r="W1132" s="60"/>
      <c r="AB1132" s="42"/>
      <c r="AC1132" s="35"/>
      <c r="AD1132" s="38"/>
      <c r="AE1132" s="38"/>
      <c r="AF1132" s="38"/>
      <c r="AG1132" s="38"/>
      <c r="AH1132" s="60"/>
    </row>
    <row r="1133" spans="1:34" ht="15.75" customHeight="1">
      <c r="A1133" s="35"/>
      <c r="B1133" s="18" t="s">
        <v>4039</v>
      </c>
      <c r="C1133" s="19" t="s">
        <v>24</v>
      </c>
      <c r="D1133" s="25" t="s">
        <v>4040</v>
      </c>
      <c r="E1133" s="20" t="s">
        <v>4041</v>
      </c>
      <c r="F1133" s="19" t="s">
        <v>27</v>
      </c>
      <c r="G1133" s="19" t="s">
        <v>28</v>
      </c>
      <c r="H1133" s="19" t="s">
        <v>36</v>
      </c>
      <c r="I1133" s="21" t="s">
        <v>29</v>
      </c>
      <c r="J1133" s="21" t="s">
        <v>29</v>
      </c>
      <c r="K1133" s="22" t="s">
        <v>4042</v>
      </c>
      <c r="L1133" s="56">
        <v>45063</v>
      </c>
      <c r="O1133" s="42"/>
      <c r="P1133" s="40"/>
      <c r="Q1133" s="61"/>
      <c r="R1133" s="61"/>
      <c r="S1133" s="40"/>
      <c r="T1133" s="38"/>
      <c r="U1133" s="38"/>
      <c r="V1133" s="38"/>
      <c r="W1133" s="60"/>
      <c r="AB1133" s="42"/>
      <c r="AC1133" s="35"/>
      <c r="AD1133" s="38"/>
      <c r="AE1133" s="38"/>
      <c r="AF1133" s="38"/>
      <c r="AG1133" s="38"/>
      <c r="AH1133" s="60"/>
    </row>
    <row r="1134" spans="1:34" ht="15.75" customHeight="1">
      <c r="A1134" s="35"/>
      <c r="B1134" s="18" t="s">
        <v>4043</v>
      </c>
      <c r="C1134" s="19" t="s">
        <v>24</v>
      </c>
      <c r="D1134" s="25" t="s">
        <v>4044</v>
      </c>
      <c r="E1134" s="20" t="s">
        <v>3926</v>
      </c>
      <c r="F1134" s="19" t="s">
        <v>27</v>
      </c>
      <c r="G1134" s="19" t="s">
        <v>28</v>
      </c>
      <c r="H1134" s="19"/>
      <c r="I1134" s="21" t="s">
        <v>29</v>
      </c>
      <c r="J1134" s="21" t="s">
        <v>29</v>
      </c>
      <c r="K1134" s="22" t="s">
        <v>3926</v>
      </c>
      <c r="L1134" s="56">
        <v>45063</v>
      </c>
      <c r="O1134" s="42"/>
      <c r="P1134" s="40"/>
      <c r="Q1134" s="61"/>
      <c r="R1134" s="61"/>
      <c r="S1134" s="40"/>
      <c r="T1134" s="38"/>
      <c r="U1134" s="38"/>
      <c r="V1134" s="38"/>
      <c r="W1134" s="60"/>
      <c r="AB1134" s="42"/>
      <c r="AC1134" s="35"/>
      <c r="AD1134" s="38"/>
      <c r="AE1134" s="38"/>
      <c r="AF1134" s="38"/>
      <c r="AG1134" s="38"/>
      <c r="AH1134" s="60"/>
    </row>
    <row r="1135" spans="1:34" ht="15.75" customHeight="1">
      <c r="A1135" s="35"/>
      <c r="B1135" s="18" t="s">
        <v>4045</v>
      </c>
      <c r="C1135" s="19" t="s">
        <v>24</v>
      </c>
      <c r="D1135" s="25" t="s">
        <v>4046</v>
      </c>
      <c r="E1135" s="20" t="s">
        <v>4047</v>
      </c>
      <c r="F1135" s="19" t="s">
        <v>27</v>
      </c>
      <c r="G1135" s="19" t="s">
        <v>28</v>
      </c>
      <c r="H1135" s="19"/>
      <c r="I1135" s="21" t="s">
        <v>29</v>
      </c>
      <c r="J1135" s="21" t="s">
        <v>29</v>
      </c>
      <c r="K1135" s="22" t="s">
        <v>4047</v>
      </c>
      <c r="L1135" s="56">
        <v>45063</v>
      </c>
      <c r="O1135" s="42"/>
      <c r="P1135" s="40"/>
      <c r="Q1135" s="61"/>
      <c r="R1135" s="61"/>
      <c r="S1135" s="40"/>
      <c r="T1135" s="38"/>
      <c r="U1135" s="38"/>
      <c r="V1135" s="38"/>
      <c r="W1135" s="60"/>
      <c r="AB1135" s="42"/>
      <c r="AC1135" s="35"/>
      <c r="AD1135" s="38"/>
      <c r="AE1135" s="38"/>
      <c r="AF1135" s="38"/>
      <c r="AG1135" s="38"/>
      <c r="AH1135" s="60"/>
    </row>
    <row r="1136" spans="1:34" ht="15.75" customHeight="1">
      <c r="A1136" s="35"/>
      <c r="B1136" s="18" t="s">
        <v>4048</v>
      </c>
      <c r="C1136" s="19" t="s">
        <v>46</v>
      </c>
      <c r="D1136" s="25" t="s">
        <v>4049</v>
      </c>
      <c r="E1136" s="20" t="s">
        <v>4050</v>
      </c>
      <c r="F1136" s="37" t="s">
        <v>49</v>
      </c>
      <c r="G1136" s="19" t="s">
        <v>50</v>
      </c>
      <c r="H1136" s="19"/>
      <c r="I1136" s="21" t="s">
        <v>29</v>
      </c>
      <c r="J1136" s="21" t="s">
        <v>29</v>
      </c>
      <c r="K1136" s="22" t="s">
        <v>4050</v>
      </c>
      <c r="L1136" s="56">
        <v>45063</v>
      </c>
      <c r="O1136" s="42"/>
      <c r="P1136" s="40"/>
      <c r="Q1136" s="61"/>
      <c r="R1136" s="61"/>
      <c r="S1136" s="40"/>
      <c r="T1136" s="38"/>
      <c r="U1136" s="38"/>
      <c r="V1136" s="38"/>
      <c r="W1136" s="60"/>
      <c r="AB1136" s="42"/>
      <c r="AC1136" s="35"/>
      <c r="AD1136" s="38"/>
      <c r="AE1136" s="38"/>
      <c r="AF1136" s="38"/>
      <c r="AG1136" s="38"/>
      <c r="AH1136" s="60"/>
    </row>
    <row r="1137" spans="1:34" ht="15.75" customHeight="1">
      <c r="A1137" s="35"/>
      <c r="B1137" s="18" t="s">
        <v>4051</v>
      </c>
      <c r="C1137" s="19" t="s">
        <v>24</v>
      </c>
      <c r="D1137" s="25" t="s">
        <v>4052</v>
      </c>
      <c r="E1137" s="20" t="s">
        <v>4053</v>
      </c>
      <c r="F1137" s="19" t="s">
        <v>27</v>
      </c>
      <c r="G1137" s="19" t="s">
        <v>28</v>
      </c>
      <c r="H1137" s="19"/>
      <c r="I1137" s="21" t="s">
        <v>29</v>
      </c>
      <c r="J1137" s="21" t="s">
        <v>29</v>
      </c>
      <c r="K1137" s="22" t="s">
        <v>4054</v>
      </c>
      <c r="L1137" s="56">
        <v>45063</v>
      </c>
      <c r="O1137" s="42"/>
      <c r="P1137" s="40"/>
      <c r="Q1137" s="61"/>
      <c r="R1137" s="61"/>
      <c r="S1137" s="40"/>
      <c r="T1137" s="38"/>
      <c r="U1137" s="38"/>
      <c r="V1137" s="38"/>
      <c r="W1137" s="60"/>
      <c r="AB1137" s="42"/>
      <c r="AC1137" s="35"/>
      <c r="AD1137" s="38"/>
      <c r="AE1137" s="38"/>
      <c r="AF1137" s="38"/>
      <c r="AG1137" s="38"/>
      <c r="AH1137" s="60"/>
    </row>
    <row r="1138" spans="1:34" ht="15.75" customHeight="1">
      <c r="A1138" s="35"/>
      <c r="B1138" s="18" t="s">
        <v>4055</v>
      </c>
      <c r="C1138" s="19" t="s">
        <v>87</v>
      </c>
      <c r="D1138" s="25" t="s">
        <v>4056</v>
      </c>
      <c r="E1138" s="20" t="s">
        <v>3929</v>
      </c>
      <c r="F1138" s="19" t="s">
        <v>90</v>
      </c>
      <c r="G1138" s="19" t="s">
        <v>91</v>
      </c>
      <c r="H1138" s="19"/>
      <c r="I1138" s="21" t="s">
        <v>29</v>
      </c>
      <c r="J1138" s="21" t="s">
        <v>29</v>
      </c>
      <c r="K1138" s="22" t="s">
        <v>3929</v>
      </c>
      <c r="L1138" s="56">
        <v>45063</v>
      </c>
      <c r="O1138" s="42"/>
      <c r="P1138" s="40"/>
      <c r="Q1138" s="61"/>
      <c r="R1138" s="61"/>
      <c r="S1138" s="40"/>
      <c r="T1138" s="38"/>
      <c r="U1138" s="38"/>
      <c r="V1138" s="38"/>
      <c r="W1138" s="60"/>
      <c r="AB1138" s="42"/>
      <c r="AC1138" s="35"/>
      <c r="AD1138" s="38"/>
      <c r="AE1138" s="38"/>
      <c r="AF1138" s="38"/>
      <c r="AG1138" s="38"/>
      <c r="AH1138" s="60"/>
    </row>
    <row r="1139" spans="1:34" ht="15.75" customHeight="1">
      <c r="A1139" s="35"/>
      <c r="B1139" s="18" t="s">
        <v>4057</v>
      </c>
      <c r="C1139" s="19" t="s">
        <v>46</v>
      </c>
      <c r="D1139" s="25" t="s">
        <v>4058</v>
      </c>
      <c r="E1139" s="20" t="s">
        <v>4059</v>
      </c>
      <c r="F1139" s="37" t="s">
        <v>49</v>
      </c>
      <c r="G1139" s="19" t="s">
        <v>50</v>
      </c>
      <c r="H1139" s="19"/>
      <c r="I1139" s="21" t="s">
        <v>29</v>
      </c>
      <c r="J1139" s="21" t="s">
        <v>29</v>
      </c>
      <c r="K1139" s="22" t="s">
        <v>4060</v>
      </c>
      <c r="L1139" s="56">
        <v>45063</v>
      </c>
      <c r="O1139" s="42"/>
      <c r="P1139" s="40"/>
      <c r="Q1139" s="61"/>
      <c r="R1139" s="61"/>
      <c r="S1139" s="40"/>
      <c r="T1139" s="38"/>
      <c r="U1139" s="38"/>
      <c r="V1139" s="38"/>
      <c r="W1139" s="60"/>
      <c r="AB1139" s="42"/>
      <c r="AC1139" s="35"/>
      <c r="AD1139" s="38"/>
      <c r="AE1139" s="38"/>
      <c r="AF1139" s="38"/>
      <c r="AG1139" s="38"/>
      <c r="AH1139" s="60"/>
    </row>
    <row r="1140" spans="1:34" ht="15.75" customHeight="1">
      <c r="A1140" s="35"/>
      <c r="B1140" s="18" t="s">
        <v>4061</v>
      </c>
      <c r="C1140" s="19" t="s">
        <v>24</v>
      </c>
      <c r="D1140" s="25" t="s">
        <v>4062</v>
      </c>
      <c r="E1140" s="20" t="s">
        <v>3926</v>
      </c>
      <c r="F1140" s="19" t="s">
        <v>27</v>
      </c>
      <c r="G1140" s="19" t="s">
        <v>28</v>
      </c>
      <c r="H1140" s="19"/>
      <c r="I1140" s="21" t="s">
        <v>29</v>
      </c>
      <c r="J1140" s="21" t="s">
        <v>29</v>
      </c>
      <c r="K1140" s="22" t="s">
        <v>3926</v>
      </c>
      <c r="L1140" s="56">
        <v>45063</v>
      </c>
      <c r="O1140" s="42"/>
      <c r="P1140" s="40"/>
      <c r="Q1140" s="61"/>
      <c r="R1140" s="61"/>
      <c r="S1140" s="40"/>
      <c r="T1140" s="38"/>
      <c r="U1140" s="38"/>
      <c r="V1140" s="38"/>
      <c r="W1140" s="60"/>
      <c r="AB1140" s="42"/>
      <c r="AC1140" s="35"/>
      <c r="AD1140" s="38"/>
      <c r="AE1140" s="38"/>
      <c r="AF1140" s="38"/>
      <c r="AG1140" s="38"/>
      <c r="AH1140" s="60"/>
    </row>
    <row r="1141" spans="1:34" ht="15.75" customHeight="1">
      <c r="A1141" s="35"/>
      <c r="B1141" s="18" t="s">
        <v>4063</v>
      </c>
      <c r="C1141" s="19" t="s">
        <v>46</v>
      </c>
      <c r="D1141" s="25" t="s">
        <v>4064</v>
      </c>
      <c r="E1141" s="20" t="s">
        <v>3926</v>
      </c>
      <c r="F1141" s="37" t="s">
        <v>49</v>
      </c>
      <c r="G1141" s="19" t="s">
        <v>50</v>
      </c>
      <c r="H1141" s="19"/>
      <c r="I1141" s="21" t="s">
        <v>29</v>
      </c>
      <c r="J1141" s="21" t="s">
        <v>29</v>
      </c>
      <c r="K1141" s="22" t="s">
        <v>3926</v>
      </c>
      <c r="L1141" s="56">
        <v>45063</v>
      </c>
      <c r="O1141" s="42"/>
      <c r="P1141" s="40"/>
      <c r="Q1141" s="61"/>
      <c r="R1141" s="61"/>
      <c r="S1141" s="40"/>
      <c r="T1141" s="38"/>
      <c r="U1141" s="38"/>
      <c r="V1141" s="38"/>
      <c r="W1141" s="60"/>
      <c r="AB1141" s="42"/>
      <c r="AC1141" s="35"/>
      <c r="AD1141" s="38"/>
      <c r="AE1141" s="38"/>
      <c r="AF1141" s="38"/>
      <c r="AG1141" s="38"/>
      <c r="AH1141" s="60"/>
    </row>
    <row r="1142" spans="1:34" ht="15.75" customHeight="1">
      <c r="A1142" s="35"/>
      <c r="B1142" s="38"/>
      <c r="C1142" s="37"/>
      <c r="D1142" s="20"/>
      <c r="E1142" s="20"/>
      <c r="F1142" s="37"/>
      <c r="G1142" s="37"/>
      <c r="H1142" s="37"/>
      <c r="I1142" s="21"/>
      <c r="J1142" s="21"/>
      <c r="K1142" s="22"/>
      <c r="L1142" s="39"/>
      <c r="O1142" s="42"/>
      <c r="P1142" s="40"/>
      <c r="Q1142" s="61"/>
      <c r="R1142" s="61"/>
      <c r="S1142" s="40"/>
      <c r="T1142" s="38"/>
      <c r="U1142" s="38"/>
      <c r="V1142" s="38"/>
      <c r="W1142" s="60"/>
      <c r="AB1142" s="42"/>
      <c r="AC1142" s="35"/>
      <c r="AD1142" s="38"/>
      <c r="AE1142" s="38"/>
      <c r="AF1142" s="38"/>
      <c r="AG1142" s="38"/>
      <c r="AH1142" s="60"/>
    </row>
    <row r="1143" spans="1:34" ht="15.75" customHeight="1">
      <c r="A1143" s="35" t="s">
        <v>4065</v>
      </c>
      <c r="B1143" s="18" t="s">
        <v>4066</v>
      </c>
      <c r="C1143" s="19" t="s">
        <v>87</v>
      </c>
      <c r="D1143" s="25" t="s">
        <v>4067</v>
      </c>
      <c r="E1143" s="20" t="s">
        <v>4068</v>
      </c>
      <c r="F1143" s="19" t="s">
        <v>90</v>
      </c>
      <c r="G1143" s="19" t="s">
        <v>91</v>
      </c>
      <c r="H1143" s="19"/>
      <c r="I1143" s="21"/>
      <c r="J1143" s="21"/>
      <c r="K1143" s="22" t="s">
        <v>4069</v>
      </c>
      <c r="L1143" s="56">
        <v>45063</v>
      </c>
      <c r="M1143" s="40"/>
      <c r="N1143" s="40"/>
      <c r="O1143" s="42"/>
      <c r="P1143" s="40"/>
      <c r="Q1143" s="61"/>
      <c r="R1143" s="61"/>
      <c r="S1143" s="40"/>
      <c r="T1143" s="38"/>
      <c r="U1143" s="38"/>
      <c r="V1143" s="38"/>
      <c r="W1143" s="60"/>
      <c r="AB1143" s="42"/>
      <c r="AC1143" s="35"/>
      <c r="AD1143" s="38"/>
      <c r="AE1143" s="38"/>
      <c r="AF1143" s="38"/>
      <c r="AG1143" s="38"/>
      <c r="AH1143" s="60"/>
    </row>
    <row r="1144" spans="1:34" ht="15.75" customHeight="1">
      <c r="A1144" s="54" t="s">
        <v>4070</v>
      </c>
      <c r="B1144" s="18" t="s">
        <v>4071</v>
      </c>
      <c r="C1144" s="19" t="s">
        <v>24</v>
      </c>
      <c r="D1144" s="25" t="s">
        <v>4072</v>
      </c>
      <c r="E1144" s="20" t="s">
        <v>4073</v>
      </c>
      <c r="F1144" s="19" t="s">
        <v>27</v>
      </c>
      <c r="G1144" s="19" t="s">
        <v>28</v>
      </c>
      <c r="H1144" s="19"/>
      <c r="I1144" s="21" t="s">
        <v>29</v>
      </c>
      <c r="J1144" s="21" t="s">
        <v>29</v>
      </c>
      <c r="K1144" s="22" t="s">
        <v>4074</v>
      </c>
      <c r="L1144" s="56">
        <v>45063</v>
      </c>
      <c r="O1144" s="42"/>
      <c r="P1144" s="40"/>
      <c r="Q1144" s="61"/>
      <c r="R1144" s="61"/>
      <c r="S1144" s="40"/>
      <c r="T1144" s="38"/>
      <c r="U1144" s="38"/>
      <c r="V1144" s="38"/>
      <c r="W1144" s="60"/>
      <c r="AB1144" s="42"/>
      <c r="AC1144" s="35"/>
      <c r="AD1144" s="38"/>
      <c r="AE1144" s="38"/>
      <c r="AF1144" s="38"/>
      <c r="AG1144" s="38"/>
      <c r="AH1144" s="60"/>
    </row>
    <row r="1145" spans="1:34" ht="15.75" customHeight="1">
      <c r="A1145" s="50" t="s">
        <v>39</v>
      </c>
      <c r="B1145" s="29" t="s">
        <v>4075</v>
      </c>
      <c r="C1145" s="37" t="s">
        <v>24</v>
      </c>
      <c r="D1145" s="25" t="s">
        <v>4076</v>
      </c>
      <c r="E1145" s="20" t="s">
        <v>4077</v>
      </c>
      <c r="F1145" s="19" t="s">
        <v>27</v>
      </c>
      <c r="G1145" s="19" t="s">
        <v>28</v>
      </c>
      <c r="H1145" s="37" t="s">
        <v>762</v>
      </c>
      <c r="I1145" s="21" t="s">
        <v>29</v>
      </c>
      <c r="J1145" s="21" t="s">
        <v>29</v>
      </c>
      <c r="K1145" s="22" t="s">
        <v>4078</v>
      </c>
      <c r="L1145" s="56">
        <v>45063</v>
      </c>
      <c r="O1145" s="42"/>
      <c r="P1145" s="40"/>
      <c r="Q1145" s="61"/>
      <c r="R1145" s="61"/>
      <c r="S1145" s="40"/>
      <c r="T1145" s="38"/>
      <c r="U1145" s="38"/>
      <c r="V1145" s="38"/>
      <c r="W1145" s="60"/>
      <c r="AB1145" s="42"/>
      <c r="AC1145" s="35"/>
      <c r="AD1145" s="38"/>
      <c r="AE1145" s="38"/>
      <c r="AF1145" s="38"/>
      <c r="AG1145" s="38"/>
      <c r="AH1145" s="60"/>
    </row>
    <row r="1146" spans="1:34" ht="15.75" customHeight="1">
      <c r="A1146" s="35" t="s">
        <v>3898</v>
      </c>
      <c r="B1146" s="18" t="s">
        <v>4079</v>
      </c>
      <c r="C1146" s="19" t="s">
        <v>24</v>
      </c>
      <c r="D1146" s="25" t="s">
        <v>4080</v>
      </c>
      <c r="E1146" s="20" t="s">
        <v>4081</v>
      </c>
      <c r="F1146" s="19" t="s">
        <v>27</v>
      </c>
      <c r="G1146" s="19" t="s">
        <v>28</v>
      </c>
      <c r="H1146" s="19" t="s">
        <v>36</v>
      </c>
      <c r="I1146" s="21" t="s">
        <v>29</v>
      </c>
      <c r="J1146" s="21" t="s">
        <v>29</v>
      </c>
      <c r="K1146" s="22" t="s">
        <v>4082</v>
      </c>
      <c r="L1146" s="56">
        <v>45063</v>
      </c>
      <c r="O1146" s="42"/>
      <c r="P1146" s="40"/>
      <c r="Q1146" s="61"/>
      <c r="R1146" s="61"/>
      <c r="S1146" s="40"/>
      <c r="T1146" s="38"/>
      <c r="U1146" s="38"/>
      <c r="V1146" s="38"/>
      <c r="W1146" s="60"/>
      <c r="AB1146" s="42"/>
      <c r="AC1146" s="35"/>
      <c r="AD1146" s="38"/>
      <c r="AE1146" s="38"/>
      <c r="AF1146" s="38"/>
      <c r="AG1146" s="38"/>
      <c r="AH1146" s="60"/>
    </row>
    <row r="1147" spans="1:34" ht="15.75" customHeight="1">
      <c r="A1147" s="35" t="s">
        <v>4083</v>
      </c>
      <c r="B1147" s="18" t="s">
        <v>4084</v>
      </c>
      <c r="C1147" s="19" t="s">
        <v>24</v>
      </c>
      <c r="D1147" s="25" t="s">
        <v>4085</v>
      </c>
      <c r="E1147" s="20" t="s">
        <v>4086</v>
      </c>
      <c r="F1147" s="19" t="s">
        <v>27</v>
      </c>
      <c r="G1147" s="19" t="s">
        <v>28</v>
      </c>
      <c r="H1147" s="19"/>
      <c r="I1147" s="21" t="s">
        <v>29</v>
      </c>
      <c r="J1147" s="21" t="s">
        <v>29</v>
      </c>
      <c r="K1147" s="22" t="s">
        <v>4087</v>
      </c>
      <c r="L1147" s="56">
        <v>45063</v>
      </c>
      <c r="O1147" s="42"/>
      <c r="P1147" s="40"/>
      <c r="Q1147" s="61"/>
      <c r="R1147" s="61"/>
      <c r="S1147" s="40"/>
      <c r="T1147" s="38"/>
      <c r="U1147" s="38"/>
      <c r="V1147" s="38"/>
      <c r="W1147" s="60"/>
      <c r="AB1147" s="42"/>
      <c r="AC1147" s="35"/>
      <c r="AD1147" s="38"/>
      <c r="AE1147" s="38"/>
      <c r="AF1147" s="38"/>
      <c r="AG1147" s="38"/>
      <c r="AH1147" s="60"/>
    </row>
    <row r="1148" spans="1:34" ht="15.75" customHeight="1">
      <c r="A1148" s="44" t="s">
        <v>56</v>
      </c>
      <c r="B1148" s="18" t="s">
        <v>4088</v>
      </c>
      <c r="C1148" s="19" t="s">
        <v>24</v>
      </c>
      <c r="D1148" s="25" t="s">
        <v>4089</v>
      </c>
      <c r="E1148" s="20" t="s">
        <v>4090</v>
      </c>
      <c r="F1148" s="19" t="s">
        <v>27</v>
      </c>
      <c r="G1148" s="19" t="s">
        <v>28</v>
      </c>
      <c r="H1148" s="37" t="s">
        <v>813</v>
      </c>
      <c r="I1148" s="21" t="s">
        <v>29</v>
      </c>
      <c r="J1148" s="21" t="s">
        <v>29</v>
      </c>
      <c r="K1148" s="22" t="s">
        <v>4091</v>
      </c>
      <c r="L1148" s="56">
        <v>45063</v>
      </c>
      <c r="O1148" s="42"/>
      <c r="P1148" s="40"/>
      <c r="Q1148" s="61"/>
      <c r="R1148" s="61"/>
      <c r="S1148" s="40"/>
      <c r="T1148" s="38"/>
      <c r="U1148" s="38"/>
      <c r="V1148" s="38"/>
      <c r="W1148" s="60"/>
      <c r="AB1148" s="42"/>
      <c r="AC1148" s="35"/>
      <c r="AD1148" s="38"/>
      <c r="AE1148" s="38"/>
      <c r="AF1148" s="38"/>
      <c r="AG1148" s="38"/>
      <c r="AH1148" s="60"/>
    </row>
    <row r="1149" spans="1:34" ht="15.75" customHeight="1">
      <c r="A1149" s="53">
        <v>76</v>
      </c>
      <c r="B1149" s="18" t="s">
        <v>4092</v>
      </c>
      <c r="C1149" s="19" t="s">
        <v>24</v>
      </c>
      <c r="D1149" s="25" t="s">
        <v>4093</v>
      </c>
      <c r="E1149" s="20" t="s">
        <v>4094</v>
      </c>
      <c r="F1149" s="19" t="s">
        <v>27</v>
      </c>
      <c r="G1149" s="19" t="s">
        <v>28</v>
      </c>
      <c r="H1149" s="19"/>
      <c r="I1149" s="21" t="s">
        <v>29</v>
      </c>
      <c r="J1149" s="21" t="s">
        <v>29</v>
      </c>
      <c r="K1149" s="22" t="s">
        <v>4095</v>
      </c>
      <c r="L1149" s="56">
        <v>45063</v>
      </c>
      <c r="O1149" s="42"/>
      <c r="P1149" s="40"/>
      <c r="Q1149" s="61"/>
      <c r="R1149" s="61"/>
      <c r="S1149" s="40"/>
      <c r="T1149" s="38"/>
      <c r="U1149" s="38"/>
      <c r="V1149" s="38"/>
      <c r="W1149" s="60"/>
      <c r="AB1149" s="42"/>
      <c r="AC1149" s="35"/>
      <c r="AD1149" s="38"/>
      <c r="AE1149" s="38"/>
      <c r="AF1149" s="38"/>
      <c r="AG1149" s="38"/>
      <c r="AH1149" s="60"/>
    </row>
    <row r="1150" spans="1:34" ht="15.75" customHeight="1">
      <c r="A1150" s="44" t="s">
        <v>64</v>
      </c>
      <c r="B1150" s="18" t="s">
        <v>4096</v>
      </c>
      <c r="C1150" s="19" t="s">
        <v>24</v>
      </c>
      <c r="D1150" s="25" t="s">
        <v>4097</v>
      </c>
      <c r="E1150" s="20" t="s">
        <v>4098</v>
      </c>
      <c r="F1150" s="19" t="s">
        <v>27</v>
      </c>
      <c r="G1150" s="19" t="s">
        <v>28</v>
      </c>
      <c r="H1150" s="19"/>
      <c r="I1150" s="21" t="s">
        <v>29</v>
      </c>
      <c r="J1150" s="21" t="s">
        <v>29</v>
      </c>
      <c r="K1150" s="22" t="s">
        <v>4099</v>
      </c>
      <c r="L1150" s="56">
        <v>45063</v>
      </c>
      <c r="O1150" s="42"/>
      <c r="P1150" s="40"/>
      <c r="Q1150" s="61"/>
      <c r="R1150" s="61"/>
      <c r="S1150" s="40"/>
      <c r="T1150" s="38"/>
      <c r="U1150" s="38"/>
      <c r="V1150" s="38"/>
      <c r="W1150" s="60"/>
      <c r="AB1150" s="42"/>
      <c r="AC1150" s="35"/>
      <c r="AD1150" s="38"/>
      <c r="AE1150" s="38"/>
      <c r="AF1150" s="38"/>
      <c r="AG1150" s="38"/>
      <c r="AH1150" s="60"/>
    </row>
    <row r="1151" spans="1:34" ht="15.75" customHeight="1">
      <c r="A1151" s="53">
        <v>3.7</v>
      </c>
      <c r="B1151" s="18" t="s">
        <v>4100</v>
      </c>
      <c r="C1151" s="19" t="s">
        <v>24</v>
      </c>
      <c r="D1151" s="25" t="s">
        <v>4101</v>
      </c>
      <c r="E1151" s="20" t="s">
        <v>4102</v>
      </c>
      <c r="F1151" s="19" t="s">
        <v>27</v>
      </c>
      <c r="G1151" s="19" t="s">
        <v>28</v>
      </c>
      <c r="H1151" s="19"/>
      <c r="I1151" s="21" t="s">
        <v>29</v>
      </c>
      <c r="J1151" s="21" t="s">
        <v>29</v>
      </c>
      <c r="K1151" s="22" t="s">
        <v>4103</v>
      </c>
      <c r="L1151" s="56">
        <v>45063</v>
      </c>
      <c r="O1151" s="42"/>
      <c r="P1151" s="40"/>
      <c r="Q1151" s="61"/>
      <c r="R1151" s="61"/>
      <c r="S1151" s="40"/>
      <c r="T1151" s="38"/>
      <c r="U1151" s="38"/>
      <c r="V1151" s="38"/>
      <c r="W1151" s="60"/>
      <c r="AB1151" s="42"/>
      <c r="AC1151" s="35"/>
      <c r="AD1151" s="38"/>
      <c r="AE1151" s="38"/>
      <c r="AF1151" s="38"/>
      <c r="AG1151" s="38"/>
      <c r="AH1151" s="60"/>
    </row>
    <row r="1152" spans="1:34" ht="15.75" customHeight="1">
      <c r="A1152" s="44" t="s">
        <v>73</v>
      </c>
      <c r="B1152" s="18" t="s">
        <v>4104</v>
      </c>
      <c r="C1152" s="19" t="s">
        <v>24</v>
      </c>
      <c r="D1152" s="25" t="s">
        <v>4105</v>
      </c>
      <c r="E1152" s="20" t="s">
        <v>4106</v>
      </c>
      <c r="F1152" s="19" t="s">
        <v>27</v>
      </c>
      <c r="G1152" s="19" t="s">
        <v>28</v>
      </c>
      <c r="H1152" s="19"/>
      <c r="I1152" s="21" t="s">
        <v>29</v>
      </c>
      <c r="J1152" s="21" t="s">
        <v>29</v>
      </c>
      <c r="K1152" s="22" t="s">
        <v>4107</v>
      </c>
      <c r="L1152" s="56">
        <v>45063</v>
      </c>
      <c r="O1152" s="42"/>
      <c r="P1152" s="40"/>
      <c r="Q1152" s="61"/>
      <c r="R1152" s="61"/>
      <c r="S1152" s="40"/>
      <c r="T1152" s="38"/>
      <c r="U1152" s="38"/>
      <c r="V1152" s="38"/>
      <c r="W1152" s="60"/>
      <c r="AB1152" s="42"/>
      <c r="AC1152" s="35"/>
      <c r="AD1152" s="38"/>
      <c r="AE1152" s="38"/>
      <c r="AF1152" s="38"/>
      <c r="AG1152" s="38"/>
      <c r="AH1152" s="60"/>
    </row>
    <row r="1153" spans="1:34" ht="15.75" customHeight="1">
      <c r="A1153" s="53">
        <v>3.8</v>
      </c>
      <c r="B1153" s="34" t="s">
        <v>4108</v>
      </c>
      <c r="C1153" s="19" t="s">
        <v>24</v>
      </c>
      <c r="D1153" s="25" t="s">
        <v>4109</v>
      </c>
      <c r="E1153" s="20" t="s">
        <v>4110</v>
      </c>
      <c r="F1153" s="19" t="s">
        <v>90</v>
      </c>
      <c r="G1153" s="19" t="s">
        <v>91</v>
      </c>
      <c r="H1153" s="19"/>
      <c r="I1153" s="21" t="s">
        <v>29</v>
      </c>
      <c r="J1153" s="21" t="s">
        <v>29</v>
      </c>
      <c r="K1153" s="22" t="s">
        <v>4111</v>
      </c>
      <c r="L1153" s="56">
        <v>45063</v>
      </c>
      <c r="O1153" s="42"/>
      <c r="P1153" s="40"/>
      <c r="Q1153" s="61"/>
      <c r="R1153" s="61"/>
      <c r="S1153" s="40"/>
      <c r="T1153" s="38"/>
      <c r="U1153" s="38"/>
      <c r="V1153" s="38"/>
      <c r="W1153" s="60"/>
      <c r="AB1153" s="42"/>
      <c r="AC1153" s="35"/>
      <c r="AD1153" s="38"/>
      <c r="AE1153" s="38"/>
      <c r="AF1153" s="38"/>
      <c r="AG1153" s="38"/>
      <c r="AH1153" s="60"/>
    </row>
    <row r="1154" spans="1:34" ht="15.75" customHeight="1">
      <c r="A1154" s="50" t="s">
        <v>82</v>
      </c>
      <c r="B1154" s="18" t="s">
        <v>4112</v>
      </c>
      <c r="C1154" s="19" t="s">
        <v>24</v>
      </c>
      <c r="D1154" s="25" t="s">
        <v>4113</v>
      </c>
      <c r="E1154" s="20" t="s">
        <v>4114</v>
      </c>
      <c r="F1154" s="19" t="s">
        <v>27</v>
      </c>
      <c r="G1154" s="19" t="s">
        <v>28</v>
      </c>
      <c r="H1154" s="19" t="s">
        <v>36</v>
      </c>
      <c r="I1154" s="21" t="s">
        <v>29</v>
      </c>
      <c r="J1154" s="21" t="s">
        <v>29</v>
      </c>
      <c r="K1154" s="22" t="s">
        <v>4115</v>
      </c>
      <c r="L1154" s="56">
        <v>45063</v>
      </c>
      <c r="O1154" s="42"/>
      <c r="P1154" s="40"/>
      <c r="Q1154" s="61"/>
      <c r="R1154" s="61"/>
      <c r="S1154" s="40"/>
      <c r="T1154" s="38"/>
      <c r="U1154" s="38"/>
      <c r="V1154" s="38"/>
      <c r="W1154" s="60"/>
      <c r="AB1154" s="42"/>
      <c r="AC1154" s="35"/>
      <c r="AD1154" s="38"/>
      <c r="AE1154" s="38"/>
      <c r="AF1154" s="38"/>
      <c r="AG1154" s="38"/>
      <c r="AH1154" s="60"/>
    </row>
    <row r="1155" spans="1:34" ht="15.75" customHeight="1">
      <c r="A1155" s="35" t="s">
        <v>4116</v>
      </c>
      <c r="B1155" s="18" t="s">
        <v>4117</v>
      </c>
      <c r="C1155" s="19" t="s">
        <v>24</v>
      </c>
      <c r="D1155" s="25" t="s">
        <v>4118</v>
      </c>
      <c r="E1155" s="20" t="s">
        <v>4119</v>
      </c>
      <c r="F1155" s="19" t="s">
        <v>27</v>
      </c>
      <c r="G1155" s="19" t="s">
        <v>28</v>
      </c>
      <c r="H1155" s="19" t="s">
        <v>36</v>
      </c>
      <c r="I1155" s="21" t="s">
        <v>29</v>
      </c>
      <c r="J1155" s="21" t="s">
        <v>29</v>
      </c>
      <c r="K1155" s="22" t="s">
        <v>4120</v>
      </c>
      <c r="L1155" s="56">
        <v>45063</v>
      </c>
      <c r="O1155" s="42"/>
      <c r="P1155" s="40"/>
      <c r="Q1155" s="61"/>
      <c r="R1155" s="61"/>
      <c r="S1155" s="40"/>
      <c r="T1155" s="38"/>
      <c r="U1155" s="38"/>
      <c r="V1155" s="38"/>
      <c r="W1155" s="60"/>
      <c r="AB1155" s="42"/>
      <c r="AC1155" s="35"/>
      <c r="AD1155" s="38"/>
      <c r="AE1155" s="38"/>
      <c r="AF1155" s="38"/>
      <c r="AG1155" s="38"/>
      <c r="AH1155" s="60"/>
    </row>
    <row r="1156" spans="1:34" ht="15.75" customHeight="1">
      <c r="A1156" s="31" t="s">
        <v>92</v>
      </c>
      <c r="B1156" s="18" t="s">
        <v>4121</v>
      </c>
      <c r="C1156" s="19" t="s">
        <v>46</v>
      </c>
      <c r="D1156" s="25" t="s">
        <v>4122</v>
      </c>
      <c r="E1156" s="20" t="s">
        <v>4123</v>
      </c>
      <c r="F1156" s="37" t="s">
        <v>49</v>
      </c>
      <c r="G1156" s="19" t="s">
        <v>50</v>
      </c>
      <c r="H1156" s="19"/>
      <c r="I1156" s="21" t="s">
        <v>29</v>
      </c>
      <c r="J1156" s="21" t="s">
        <v>29</v>
      </c>
      <c r="K1156" s="22" t="s">
        <v>4124</v>
      </c>
      <c r="L1156" s="56">
        <v>45063</v>
      </c>
      <c r="O1156" s="42"/>
      <c r="P1156" s="40"/>
      <c r="Q1156" s="61"/>
      <c r="R1156" s="61"/>
      <c r="S1156" s="40"/>
      <c r="T1156" s="38"/>
      <c r="U1156" s="38"/>
      <c r="V1156" s="38"/>
      <c r="W1156" s="60"/>
      <c r="AB1156" s="42"/>
      <c r="AC1156" s="35"/>
      <c r="AD1156" s="38"/>
      <c r="AE1156" s="38"/>
      <c r="AF1156" s="38"/>
      <c r="AG1156" s="38"/>
      <c r="AH1156" s="60"/>
    </row>
    <row r="1157" spans="1:34" ht="15.75" customHeight="1">
      <c r="A1157" s="33">
        <v>1852</v>
      </c>
      <c r="B1157" s="18" t="s">
        <v>4125</v>
      </c>
      <c r="C1157" s="19" t="s">
        <v>24</v>
      </c>
      <c r="D1157" s="25" t="s">
        <v>4126</v>
      </c>
      <c r="E1157" s="20" t="s">
        <v>4127</v>
      </c>
      <c r="F1157" s="19" t="s">
        <v>27</v>
      </c>
      <c r="G1157" s="19" t="s">
        <v>28</v>
      </c>
      <c r="H1157" s="19" t="s">
        <v>36</v>
      </c>
      <c r="I1157" s="21" t="s">
        <v>29</v>
      </c>
      <c r="J1157" s="21" t="s">
        <v>29</v>
      </c>
      <c r="K1157" s="22" t="s">
        <v>4128</v>
      </c>
      <c r="L1157" s="56">
        <v>45063</v>
      </c>
      <c r="O1157" s="42"/>
      <c r="P1157" s="40"/>
      <c r="Q1157" s="61"/>
      <c r="R1157" s="61"/>
      <c r="S1157" s="40"/>
      <c r="T1157" s="38"/>
      <c r="U1157" s="38"/>
      <c r="V1157" s="38"/>
      <c r="W1157" s="60"/>
      <c r="AB1157" s="42"/>
      <c r="AC1157" s="35"/>
      <c r="AD1157" s="38"/>
      <c r="AE1157" s="38"/>
      <c r="AF1157" s="38"/>
      <c r="AG1157" s="38"/>
      <c r="AH1157" s="60"/>
    </row>
    <row r="1158" spans="1:34" ht="15.75" customHeight="1">
      <c r="A1158" s="31" t="s">
        <v>100</v>
      </c>
      <c r="B1158" s="18" t="s">
        <v>4129</v>
      </c>
      <c r="C1158" s="19" t="s">
        <v>46</v>
      </c>
      <c r="D1158" s="25" t="s">
        <v>4130</v>
      </c>
      <c r="E1158" s="20" t="s">
        <v>4131</v>
      </c>
      <c r="F1158" s="37" t="s">
        <v>49</v>
      </c>
      <c r="G1158" s="19" t="s">
        <v>50</v>
      </c>
      <c r="H1158" s="19"/>
      <c r="I1158" s="21" t="s">
        <v>29</v>
      </c>
      <c r="J1158" s="21" t="s">
        <v>29</v>
      </c>
      <c r="K1158" s="22" t="s">
        <v>4132</v>
      </c>
      <c r="L1158" s="56">
        <v>45063</v>
      </c>
      <c r="O1158" s="42"/>
      <c r="P1158" s="40"/>
      <c r="Q1158" s="61"/>
      <c r="R1158" s="61"/>
      <c r="S1158" s="40"/>
      <c r="T1158" s="38"/>
      <c r="U1158" s="38"/>
      <c r="V1158" s="38"/>
      <c r="W1158" s="60"/>
      <c r="AB1158" s="42"/>
      <c r="AC1158" s="35"/>
      <c r="AD1158" s="38"/>
      <c r="AE1158" s="38"/>
      <c r="AF1158" s="38"/>
      <c r="AG1158" s="38"/>
      <c r="AH1158" s="60"/>
    </row>
    <row r="1159" spans="1:34" ht="15.75" customHeight="1">
      <c r="A1159" s="17">
        <v>163</v>
      </c>
      <c r="B1159" s="18" t="s">
        <v>4133</v>
      </c>
      <c r="C1159" s="19" t="s">
        <v>24</v>
      </c>
      <c r="D1159" s="25" t="s">
        <v>4134</v>
      </c>
      <c r="E1159" s="20" t="s">
        <v>55</v>
      </c>
      <c r="F1159" s="19" t="s">
        <v>27</v>
      </c>
      <c r="G1159" s="19" t="s">
        <v>28</v>
      </c>
      <c r="H1159" s="19"/>
      <c r="I1159" s="21" t="s">
        <v>29</v>
      </c>
      <c r="J1159" s="21" t="s">
        <v>29</v>
      </c>
      <c r="K1159" s="22" t="s">
        <v>55</v>
      </c>
      <c r="L1159" s="56">
        <v>45063</v>
      </c>
      <c r="O1159" s="42"/>
      <c r="P1159" s="40"/>
      <c r="Q1159" s="61"/>
      <c r="R1159" s="61"/>
      <c r="S1159" s="40"/>
      <c r="T1159" s="38"/>
      <c r="U1159" s="38"/>
      <c r="V1159" s="38"/>
      <c r="W1159" s="60"/>
      <c r="AB1159" s="42"/>
      <c r="AC1159" s="35"/>
      <c r="AD1159" s="38"/>
      <c r="AE1159" s="38"/>
      <c r="AF1159" s="38"/>
      <c r="AG1159" s="38"/>
      <c r="AH1159" s="60"/>
    </row>
    <row r="1160" spans="1:34" ht="15.75" customHeight="1">
      <c r="A1160" s="35"/>
      <c r="B1160" s="18" t="s">
        <v>4135</v>
      </c>
      <c r="C1160" s="19" t="s">
        <v>24</v>
      </c>
      <c r="D1160" s="25" t="s">
        <v>4136</v>
      </c>
      <c r="E1160" s="20" t="s">
        <v>4137</v>
      </c>
      <c r="F1160" s="19" t="s">
        <v>27</v>
      </c>
      <c r="G1160" s="19" t="s">
        <v>28</v>
      </c>
      <c r="H1160" s="19"/>
      <c r="I1160" s="21" t="s">
        <v>29</v>
      </c>
      <c r="J1160" s="21" t="s">
        <v>29</v>
      </c>
      <c r="K1160" s="22" t="s">
        <v>4138</v>
      </c>
      <c r="L1160" s="56">
        <v>45063</v>
      </c>
      <c r="O1160" s="42"/>
      <c r="P1160" s="40"/>
      <c r="Q1160" s="61"/>
      <c r="R1160" s="61"/>
      <c r="S1160" s="40"/>
      <c r="T1160" s="38"/>
      <c r="U1160" s="38"/>
      <c r="V1160" s="38"/>
      <c r="W1160" s="60"/>
      <c r="AB1160" s="42"/>
      <c r="AC1160" s="35"/>
      <c r="AD1160" s="38"/>
      <c r="AE1160" s="38"/>
      <c r="AF1160" s="38"/>
      <c r="AG1160" s="38"/>
      <c r="AH1160" s="60"/>
    </row>
    <row r="1161" spans="1:34" ht="15.75" customHeight="1">
      <c r="A1161" s="35"/>
      <c r="B1161" s="18" t="s">
        <v>4139</v>
      </c>
      <c r="C1161" s="19" t="s">
        <v>24</v>
      </c>
      <c r="D1161" s="25" t="s">
        <v>4140</v>
      </c>
      <c r="E1161" s="20" t="s">
        <v>55</v>
      </c>
      <c r="F1161" s="19" t="s">
        <v>27</v>
      </c>
      <c r="G1161" s="19" t="s">
        <v>28</v>
      </c>
      <c r="H1161" s="19" t="s">
        <v>36</v>
      </c>
      <c r="I1161" s="21" t="s">
        <v>29</v>
      </c>
      <c r="J1161" s="21" t="s">
        <v>29</v>
      </c>
      <c r="K1161" s="22" t="s">
        <v>55</v>
      </c>
      <c r="L1161" s="56">
        <v>45063</v>
      </c>
      <c r="O1161" s="42"/>
      <c r="P1161" s="40"/>
      <c r="Q1161" s="61"/>
      <c r="R1161" s="61"/>
      <c r="S1161" s="40"/>
      <c r="T1161" s="38"/>
      <c r="U1161" s="38"/>
      <c r="V1161" s="38"/>
      <c r="W1161" s="60"/>
      <c r="AB1161" s="42"/>
      <c r="AC1161" s="35"/>
      <c r="AD1161" s="38"/>
      <c r="AE1161" s="38"/>
      <c r="AF1161" s="38"/>
      <c r="AG1161" s="38"/>
      <c r="AH1161" s="60"/>
    </row>
    <row r="1162" spans="1:34" ht="15.75" customHeight="1">
      <c r="A1162" s="35"/>
      <c r="B1162" s="18" t="s">
        <v>4141</v>
      </c>
      <c r="C1162" s="19" t="s">
        <v>87</v>
      </c>
      <c r="D1162" s="25" t="s">
        <v>4142</v>
      </c>
      <c r="E1162" s="20" t="s">
        <v>4143</v>
      </c>
      <c r="F1162" s="19" t="s">
        <v>90</v>
      </c>
      <c r="G1162" s="19" t="s">
        <v>91</v>
      </c>
      <c r="H1162" s="19"/>
      <c r="I1162" s="21" t="s">
        <v>29</v>
      </c>
      <c r="J1162" s="21" t="s">
        <v>29</v>
      </c>
      <c r="K1162" s="22" t="s">
        <v>4144</v>
      </c>
      <c r="L1162" s="56">
        <v>45063</v>
      </c>
      <c r="O1162" s="42"/>
      <c r="P1162" s="40"/>
      <c r="Q1162" s="61"/>
      <c r="R1162" s="61"/>
      <c r="S1162" s="40"/>
      <c r="T1162" s="38"/>
      <c r="U1162" s="38"/>
      <c r="V1162" s="38"/>
      <c r="W1162" s="60"/>
      <c r="AB1162" s="42"/>
      <c r="AC1162" s="35"/>
      <c r="AD1162" s="38"/>
      <c r="AE1162" s="38"/>
      <c r="AF1162" s="38"/>
      <c r="AG1162" s="38"/>
      <c r="AH1162" s="60"/>
    </row>
    <row r="1163" spans="1:34" ht="15.75" customHeight="1">
      <c r="A1163" s="35"/>
      <c r="B1163" s="18" t="s">
        <v>4145</v>
      </c>
      <c r="C1163" s="19" t="s">
        <v>24</v>
      </c>
      <c r="D1163" s="25" t="s">
        <v>4146</v>
      </c>
      <c r="E1163" s="20" t="s">
        <v>4147</v>
      </c>
      <c r="F1163" s="19" t="s">
        <v>27</v>
      </c>
      <c r="G1163" s="19" t="s">
        <v>28</v>
      </c>
      <c r="H1163" s="37" t="s">
        <v>762</v>
      </c>
      <c r="I1163" s="21" t="s">
        <v>29</v>
      </c>
      <c r="J1163" s="21" t="s">
        <v>29</v>
      </c>
      <c r="K1163" s="22" t="s">
        <v>4148</v>
      </c>
      <c r="L1163" s="56">
        <v>45063</v>
      </c>
      <c r="O1163" s="42"/>
      <c r="P1163" s="40"/>
      <c r="Q1163" s="61"/>
      <c r="R1163" s="61"/>
      <c r="S1163" s="40"/>
      <c r="T1163" s="38"/>
      <c r="U1163" s="38"/>
      <c r="V1163" s="38"/>
      <c r="W1163" s="60"/>
      <c r="AB1163" s="42"/>
      <c r="AC1163" s="35"/>
      <c r="AD1163" s="38"/>
      <c r="AE1163" s="38"/>
      <c r="AF1163" s="38"/>
      <c r="AG1163" s="38"/>
      <c r="AH1163" s="60"/>
    </row>
    <row r="1164" spans="1:34" ht="15.75" customHeight="1">
      <c r="A1164" s="35"/>
      <c r="B1164" s="34" t="s">
        <v>4149</v>
      </c>
      <c r="C1164" s="19" t="s">
        <v>24</v>
      </c>
      <c r="D1164" s="25" t="s">
        <v>4150</v>
      </c>
      <c r="E1164" s="20" t="s">
        <v>4151</v>
      </c>
      <c r="F1164" s="19" t="s">
        <v>90</v>
      </c>
      <c r="G1164" s="19" t="s">
        <v>91</v>
      </c>
      <c r="H1164" s="19"/>
      <c r="I1164" s="21" t="s">
        <v>29</v>
      </c>
      <c r="J1164" s="21" t="s">
        <v>29</v>
      </c>
      <c r="K1164" s="22" t="s">
        <v>4152</v>
      </c>
      <c r="L1164" s="56">
        <v>45063</v>
      </c>
      <c r="O1164" s="42"/>
      <c r="P1164" s="40"/>
      <c r="Q1164" s="61"/>
      <c r="R1164" s="61"/>
      <c r="S1164" s="40"/>
      <c r="T1164" s="38"/>
      <c r="U1164" s="38"/>
      <c r="V1164" s="38"/>
      <c r="W1164" s="60"/>
      <c r="AB1164" s="42"/>
      <c r="AC1164" s="35"/>
      <c r="AD1164" s="38"/>
      <c r="AE1164" s="38"/>
      <c r="AF1164" s="38"/>
      <c r="AG1164" s="38"/>
      <c r="AH1164" s="60"/>
    </row>
    <row r="1165" spans="1:34" ht="15.75" customHeight="1">
      <c r="A1165" s="35"/>
      <c r="B1165" s="18" t="s">
        <v>4153</v>
      </c>
      <c r="C1165" s="19" t="s">
        <v>24</v>
      </c>
      <c r="D1165" s="25" t="s">
        <v>4154</v>
      </c>
      <c r="E1165" s="20" t="s">
        <v>4155</v>
      </c>
      <c r="F1165" s="19" t="s">
        <v>27</v>
      </c>
      <c r="G1165" s="19" t="s">
        <v>28</v>
      </c>
      <c r="H1165" s="19" t="s">
        <v>36</v>
      </c>
      <c r="I1165" s="21" t="s">
        <v>29</v>
      </c>
      <c r="J1165" s="21" t="s">
        <v>29</v>
      </c>
      <c r="K1165" s="22" t="s">
        <v>4156</v>
      </c>
      <c r="L1165" s="56">
        <v>45063</v>
      </c>
      <c r="O1165" s="42"/>
      <c r="P1165" s="40"/>
      <c r="Q1165" s="61"/>
      <c r="R1165" s="61"/>
      <c r="S1165" s="40"/>
      <c r="T1165" s="38"/>
      <c r="U1165" s="38"/>
      <c r="V1165" s="38"/>
      <c r="W1165" s="60"/>
      <c r="AB1165" s="42"/>
      <c r="AC1165" s="35"/>
      <c r="AD1165" s="38"/>
      <c r="AE1165" s="38"/>
      <c r="AF1165" s="38"/>
      <c r="AG1165" s="38"/>
      <c r="AH1165" s="60"/>
    </row>
    <row r="1166" spans="1:34" ht="15.75" customHeight="1">
      <c r="A1166" s="35"/>
      <c r="B1166" s="36" t="s">
        <v>4157</v>
      </c>
      <c r="C1166" s="19" t="s">
        <v>121</v>
      </c>
      <c r="D1166" s="25" t="s">
        <v>4158</v>
      </c>
      <c r="E1166" s="20" t="s">
        <v>4159</v>
      </c>
      <c r="F1166" s="19" t="s">
        <v>27</v>
      </c>
      <c r="G1166" s="19" t="s">
        <v>452</v>
      </c>
      <c r="H1166" s="19"/>
      <c r="I1166" s="21" t="s">
        <v>29</v>
      </c>
      <c r="J1166" s="21" t="s">
        <v>452</v>
      </c>
      <c r="K1166" s="22" t="s">
        <v>4160</v>
      </c>
      <c r="L1166" s="56">
        <v>45063</v>
      </c>
      <c r="O1166" s="42"/>
      <c r="P1166" s="40"/>
      <c r="Q1166" s="61"/>
      <c r="R1166" s="61"/>
      <c r="S1166" s="40"/>
      <c r="T1166" s="38"/>
      <c r="U1166" s="38"/>
      <c r="V1166" s="38"/>
      <c r="W1166" s="60"/>
      <c r="AB1166" s="42"/>
      <c r="AC1166" s="35"/>
      <c r="AD1166" s="38"/>
      <c r="AE1166" s="38"/>
      <c r="AF1166" s="38"/>
      <c r="AG1166" s="38"/>
      <c r="AH1166" s="60"/>
    </row>
    <row r="1167" spans="1:34" ht="15.75" customHeight="1">
      <c r="A1167" s="35"/>
      <c r="B1167" s="18" t="s">
        <v>4161</v>
      </c>
      <c r="C1167" s="19" t="s">
        <v>46</v>
      </c>
      <c r="D1167" s="25" t="s">
        <v>4162</v>
      </c>
      <c r="E1167" s="20" t="s">
        <v>55</v>
      </c>
      <c r="F1167" s="37" t="s">
        <v>49</v>
      </c>
      <c r="G1167" s="19" t="s">
        <v>50</v>
      </c>
      <c r="H1167" s="19"/>
      <c r="I1167" s="21" t="s">
        <v>29</v>
      </c>
      <c r="J1167" s="21" t="s">
        <v>29</v>
      </c>
      <c r="K1167" s="22" t="s">
        <v>55</v>
      </c>
      <c r="L1167" s="56">
        <v>45063</v>
      </c>
      <c r="O1167" s="42"/>
      <c r="P1167" s="40"/>
      <c r="Q1167" s="61"/>
      <c r="R1167" s="61"/>
      <c r="S1167" s="40"/>
      <c r="T1167" s="38"/>
      <c r="U1167" s="38"/>
      <c r="V1167" s="38"/>
      <c r="W1167" s="60"/>
      <c r="AB1167" s="42"/>
      <c r="AC1167" s="35"/>
      <c r="AD1167" s="38"/>
      <c r="AE1167" s="38"/>
      <c r="AF1167" s="38"/>
      <c r="AG1167" s="38"/>
      <c r="AH1167" s="60"/>
    </row>
    <row r="1168" spans="1:34" ht="15.75" customHeight="1">
      <c r="A1168" s="35"/>
      <c r="B1168" s="18" t="s">
        <v>4163</v>
      </c>
      <c r="C1168" s="19" t="s">
        <v>24</v>
      </c>
      <c r="D1168" s="25" t="s">
        <v>4164</v>
      </c>
      <c r="E1168" s="20" t="s">
        <v>4165</v>
      </c>
      <c r="F1168" s="19" t="s">
        <v>27</v>
      </c>
      <c r="G1168" s="19" t="s">
        <v>28</v>
      </c>
      <c r="H1168" s="19" t="s">
        <v>36</v>
      </c>
      <c r="I1168" s="21" t="s">
        <v>29</v>
      </c>
      <c r="J1168" s="21" t="s">
        <v>29</v>
      </c>
      <c r="K1168" s="22" t="s">
        <v>4166</v>
      </c>
      <c r="L1168" s="56">
        <v>45063</v>
      </c>
      <c r="O1168" s="42"/>
      <c r="P1168" s="40"/>
      <c r="Q1168" s="61"/>
      <c r="R1168" s="61"/>
      <c r="S1168" s="40"/>
      <c r="T1168" s="38"/>
      <c r="U1168" s="38"/>
      <c r="V1168" s="38"/>
      <c r="W1168" s="60"/>
      <c r="AB1168" s="42"/>
      <c r="AC1168" s="35"/>
      <c r="AD1168" s="38"/>
      <c r="AE1168" s="38"/>
      <c r="AF1168" s="38"/>
      <c r="AG1168" s="38"/>
      <c r="AH1168" s="60"/>
    </row>
    <row r="1169" spans="1:34" ht="15.75" customHeight="1">
      <c r="A1169" s="35"/>
      <c r="B1169" s="18" t="s">
        <v>4167</v>
      </c>
      <c r="C1169" s="19" t="s">
        <v>24</v>
      </c>
      <c r="D1169" s="25" t="s">
        <v>4168</v>
      </c>
      <c r="E1169" s="20" t="s">
        <v>4169</v>
      </c>
      <c r="F1169" s="19" t="s">
        <v>27</v>
      </c>
      <c r="G1169" s="19" t="s">
        <v>28</v>
      </c>
      <c r="H1169" s="19"/>
      <c r="I1169" s="21" t="s">
        <v>29</v>
      </c>
      <c r="J1169" s="21" t="s">
        <v>29</v>
      </c>
      <c r="K1169" s="22" t="s">
        <v>4170</v>
      </c>
      <c r="L1169" s="56">
        <v>45063</v>
      </c>
      <c r="O1169" s="42"/>
      <c r="P1169" s="40"/>
      <c r="Q1169" s="61"/>
      <c r="R1169" s="61"/>
      <c r="S1169" s="40"/>
      <c r="T1169" s="38"/>
      <c r="U1169" s="38"/>
      <c r="V1169" s="38"/>
      <c r="W1169" s="60"/>
      <c r="AB1169" s="42"/>
      <c r="AC1169" s="35"/>
      <c r="AD1169" s="38"/>
      <c r="AE1169" s="38"/>
      <c r="AF1169" s="38"/>
      <c r="AG1169" s="38"/>
      <c r="AH1169" s="60"/>
    </row>
    <row r="1170" spans="1:34" ht="15.75" customHeight="1">
      <c r="A1170" s="35"/>
      <c r="B1170" s="18" t="s">
        <v>4171</v>
      </c>
      <c r="C1170" s="19" t="s">
        <v>24</v>
      </c>
      <c r="D1170" s="25" t="s">
        <v>4172</v>
      </c>
      <c r="E1170" s="20" t="s">
        <v>4173</v>
      </c>
      <c r="F1170" s="19" t="s">
        <v>27</v>
      </c>
      <c r="G1170" s="19" t="s">
        <v>28</v>
      </c>
      <c r="H1170" s="19" t="s">
        <v>36</v>
      </c>
      <c r="I1170" s="21" t="s">
        <v>29</v>
      </c>
      <c r="J1170" s="21" t="s">
        <v>29</v>
      </c>
      <c r="K1170" s="22" t="s">
        <v>4174</v>
      </c>
      <c r="L1170" s="56">
        <v>45063</v>
      </c>
      <c r="O1170" s="42"/>
      <c r="P1170" s="40"/>
      <c r="Q1170" s="61"/>
      <c r="R1170" s="61"/>
      <c r="S1170" s="40"/>
      <c r="T1170" s="38"/>
      <c r="U1170" s="38"/>
      <c r="V1170" s="38"/>
      <c r="W1170" s="60"/>
      <c r="AB1170" s="42"/>
      <c r="AC1170" s="35"/>
      <c r="AD1170" s="38"/>
      <c r="AE1170" s="38"/>
      <c r="AF1170" s="38"/>
      <c r="AG1170" s="38"/>
      <c r="AH1170" s="60"/>
    </row>
    <row r="1171" spans="1:34" ht="15.75" customHeight="1">
      <c r="A1171" s="35"/>
      <c r="B1171" s="34" t="s">
        <v>4175</v>
      </c>
      <c r="C1171" s="19" t="s">
        <v>24</v>
      </c>
      <c r="D1171" s="25" t="s">
        <v>4176</v>
      </c>
      <c r="E1171" s="20" t="s">
        <v>4177</v>
      </c>
      <c r="F1171" s="19" t="s">
        <v>90</v>
      </c>
      <c r="G1171" s="19" t="s">
        <v>91</v>
      </c>
      <c r="H1171" s="19"/>
      <c r="I1171" s="21" t="s">
        <v>29</v>
      </c>
      <c r="J1171" s="21" t="s">
        <v>29</v>
      </c>
      <c r="K1171" s="22" t="s">
        <v>4178</v>
      </c>
      <c r="L1171" s="56">
        <v>45063</v>
      </c>
      <c r="O1171" s="42"/>
      <c r="P1171" s="40"/>
      <c r="Q1171" s="61"/>
      <c r="R1171" s="61"/>
      <c r="S1171" s="40"/>
      <c r="T1171" s="38"/>
      <c r="U1171" s="38"/>
      <c r="V1171" s="38"/>
      <c r="W1171" s="60"/>
      <c r="AB1171" s="42"/>
      <c r="AC1171" s="35"/>
      <c r="AD1171" s="38"/>
      <c r="AE1171" s="38"/>
      <c r="AF1171" s="38"/>
      <c r="AG1171" s="38"/>
      <c r="AH1171" s="60"/>
    </row>
    <row r="1172" spans="1:34" ht="15.75" customHeight="1">
      <c r="A1172" s="35"/>
      <c r="B1172" s="18" t="s">
        <v>4179</v>
      </c>
      <c r="C1172" s="19" t="s">
        <v>24</v>
      </c>
      <c r="D1172" s="25" t="s">
        <v>4180</v>
      </c>
      <c r="E1172" s="20" t="s">
        <v>4181</v>
      </c>
      <c r="F1172" s="19" t="s">
        <v>27</v>
      </c>
      <c r="G1172" s="19" t="s">
        <v>28</v>
      </c>
      <c r="H1172" s="37" t="s">
        <v>762</v>
      </c>
      <c r="I1172" s="21" t="s">
        <v>29</v>
      </c>
      <c r="J1172" s="21" t="s">
        <v>29</v>
      </c>
      <c r="K1172" s="22" t="s">
        <v>4182</v>
      </c>
      <c r="L1172" s="56">
        <v>45063</v>
      </c>
      <c r="O1172" s="42"/>
      <c r="P1172" s="40"/>
      <c r="Q1172" s="61"/>
      <c r="R1172" s="61"/>
      <c r="S1172" s="40"/>
      <c r="T1172" s="38"/>
      <c r="U1172" s="38"/>
      <c r="V1172" s="38"/>
      <c r="W1172" s="60"/>
      <c r="AB1172" s="42"/>
      <c r="AC1172" s="35"/>
      <c r="AD1172" s="38"/>
      <c r="AE1172" s="38"/>
      <c r="AF1172" s="38"/>
      <c r="AG1172" s="38"/>
      <c r="AH1172" s="60"/>
    </row>
    <row r="1173" spans="1:34" ht="15.75" customHeight="1">
      <c r="A1173" s="35"/>
      <c r="B1173" s="18" t="s">
        <v>4183</v>
      </c>
      <c r="C1173" s="19" t="s">
        <v>24</v>
      </c>
      <c r="D1173" s="25" t="s">
        <v>4184</v>
      </c>
      <c r="E1173" s="20" t="s">
        <v>4185</v>
      </c>
      <c r="F1173" s="19" t="s">
        <v>27</v>
      </c>
      <c r="G1173" s="19" t="s">
        <v>28</v>
      </c>
      <c r="H1173" s="19" t="s">
        <v>36</v>
      </c>
      <c r="I1173" s="21" t="s">
        <v>29</v>
      </c>
      <c r="J1173" s="21" t="s">
        <v>29</v>
      </c>
      <c r="K1173" s="22" t="s">
        <v>4186</v>
      </c>
      <c r="L1173" s="56">
        <v>45063</v>
      </c>
      <c r="O1173" s="42"/>
      <c r="P1173" s="40"/>
      <c r="Q1173" s="61"/>
      <c r="R1173" s="61"/>
      <c r="S1173" s="40"/>
      <c r="T1173" s="38"/>
      <c r="U1173" s="38"/>
      <c r="V1173" s="38"/>
      <c r="W1173" s="60"/>
      <c r="AB1173" s="42"/>
      <c r="AC1173" s="35"/>
      <c r="AD1173" s="38"/>
      <c r="AE1173" s="38"/>
      <c r="AF1173" s="38"/>
      <c r="AG1173" s="38"/>
      <c r="AH1173" s="60"/>
    </row>
    <row r="1174" spans="1:34" ht="15.75" customHeight="1">
      <c r="A1174" s="35"/>
      <c r="B1174" s="18" t="s">
        <v>4187</v>
      </c>
      <c r="C1174" s="19" t="s">
        <v>24</v>
      </c>
      <c r="D1174" s="25" t="s">
        <v>4188</v>
      </c>
      <c r="E1174" s="20" t="s">
        <v>4189</v>
      </c>
      <c r="F1174" s="19" t="s">
        <v>27</v>
      </c>
      <c r="G1174" s="19" t="s">
        <v>28</v>
      </c>
      <c r="H1174" s="19"/>
      <c r="I1174" s="21" t="s">
        <v>29</v>
      </c>
      <c r="J1174" s="21" t="s">
        <v>29</v>
      </c>
      <c r="K1174" s="22" t="s">
        <v>4190</v>
      </c>
      <c r="L1174" s="56">
        <v>45063</v>
      </c>
      <c r="O1174" s="42"/>
      <c r="P1174" s="40"/>
      <c r="Q1174" s="61"/>
      <c r="R1174" s="61"/>
      <c r="S1174" s="40"/>
      <c r="T1174" s="38"/>
      <c r="U1174" s="38"/>
      <c r="V1174" s="38"/>
      <c r="W1174" s="60"/>
      <c r="AB1174" s="42"/>
      <c r="AC1174" s="35"/>
      <c r="AD1174" s="38"/>
      <c r="AE1174" s="38"/>
      <c r="AF1174" s="38"/>
      <c r="AG1174" s="38"/>
      <c r="AH1174" s="60"/>
    </row>
    <row r="1175" spans="1:34" ht="15.75" customHeight="1">
      <c r="A1175" s="35"/>
      <c r="B1175" s="41" t="s">
        <v>4191</v>
      </c>
      <c r="C1175" s="19" t="s">
        <v>46</v>
      </c>
      <c r="D1175" s="25" t="s">
        <v>4192</v>
      </c>
      <c r="E1175" s="20" t="s">
        <v>4193</v>
      </c>
      <c r="F1175" s="37" t="s">
        <v>49</v>
      </c>
      <c r="G1175" s="19" t="s">
        <v>50</v>
      </c>
      <c r="H1175" s="19"/>
      <c r="I1175" s="21" t="s">
        <v>286</v>
      </c>
      <c r="J1175" s="21" t="s">
        <v>29</v>
      </c>
      <c r="K1175" s="22" t="s">
        <v>4193</v>
      </c>
      <c r="L1175" s="56"/>
      <c r="O1175" s="42"/>
      <c r="P1175" s="40"/>
      <c r="Q1175" s="61"/>
      <c r="R1175" s="61"/>
      <c r="S1175" s="40"/>
      <c r="T1175" s="38"/>
      <c r="U1175" s="38"/>
      <c r="V1175" s="38"/>
      <c r="W1175" s="60"/>
      <c r="AB1175" s="42"/>
      <c r="AC1175" s="35"/>
      <c r="AD1175" s="38"/>
      <c r="AE1175" s="38"/>
      <c r="AF1175" s="38"/>
      <c r="AG1175" s="38"/>
      <c r="AH1175" s="60"/>
    </row>
    <row r="1176" spans="1:34" ht="15.75" customHeight="1">
      <c r="A1176" s="35"/>
      <c r="B1176" s="18" t="s">
        <v>4194</v>
      </c>
      <c r="C1176" s="19" t="s">
        <v>24</v>
      </c>
      <c r="D1176" s="25" t="s">
        <v>4195</v>
      </c>
      <c r="E1176" s="20" t="s">
        <v>4196</v>
      </c>
      <c r="F1176" s="19" t="s">
        <v>27</v>
      </c>
      <c r="G1176" s="19" t="s">
        <v>28</v>
      </c>
      <c r="H1176" s="19" t="s">
        <v>36</v>
      </c>
      <c r="I1176" s="21" t="s">
        <v>29</v>
      </c>
      <c r="J1176" s="21" t="s">
        <v>29</v>
      </c>
      <c r="K1176" s="22" t="s">
        <v>4197</v>
      </c>
      <c r="L1176" s="56">
        <v>45063</v>
      </c>
      <c r="O1176" s="42"/>
      <c r="P1176" s="40"/>
      <c r="Q1176" s="61"/>
      <c r="R1176" s="61"/>
      <c r="S1176" s="40"/>
      <c r="T1176" s="38"/>
      <c r="U1176" s="38"/>
      <c r="V1176" s="38"/>
      <c r="W1176" s="60"/>
      <c r="AB1176" s="42"/>
      <c r="AC1176" s="35"/>
      <c r="AD1176" s="38"/>
      <c r="AE1176" s="38"/>
      <c r="AF1176" s="38"/>
      <c r="AG1176" s="38"/>
      <c r="AH1176" s="60"/>
    </row>
    <row r="1177" spans="1:34" ht="15.75" customHeight="1">
      <c r="A1177" s="35"/>
      <c r="B1177" s="18" t="s">
        <v>4198</v>
      </c>
      <c r="C1177" s="19" t="s">
        <v>24</v>
      </c>
      <c r="D1177" s="25" t="s">
        <v>4199</v>
      </c>
      <c r="E1177" s="20" t="s">
        <v>4200</v>
      </c>
      <c r="F1177" s="19" t="s">
        <v>27</v>
      </c>
      <c r="G1177" s="19" t="s">
        <v>28</v>
      </c>
      <c r="H1177" s="19" t="s">
        <v>36</v>
      </c>
      <c r="I1177" s="21" t="s">
        <v>29</v>
      </c>
      <c r="J1177" s="21" t="s">
        <v>29</v>
      </c>
      <c r="K1177" s="22" t="s">
        <v>4201</v>
      </c>
      <c r="L1177" s="56">
        <v>45063</v>
      </c>
      <c r="O1177" s="42"/>
      <c r="P1177" s="40"/>
      <c r="Q1177" s="61"/>
      <c r="R1177" s="61"/>
      <c r="S1177" s="40"/>
      <c r="T1177" s="38"/>
      <c r="U1177" s="38"/>
      <c r="V1177" s="38"/>
      <c r="W1177" s="60"/>
      <c r="AB1177" s="42"/>
      <c r="AC1177" s="35"/>
      <c r="AD1177" s="38"/>
      <c r="AE1177" s="38"/>
      <c r="AF1177" s="38"/>
      <c r="AG1177" s="38"/>
      <c r="AH1177" s="60"/>
    </row>
    <row r="1178" spans="1:34" ht="15.75" customHeight="1">
      <c r="A1178" s="35"/>
      <c r="B1178" s="18" t="s">
        <v>4202</v>
      </c>
      <c r="C1178" s="19" t="s">
        <v>24</v>
      </c>
      <c r="D1178" s="25" t="s">
        <v>4203</v>
      </c>
      <c r="E1178" s="20" t="s">
        <v>4204</v>
      </c>
      <c r="F1178" s="19" t="s">
        <v>27</v>
      </c>
      <c r="G1178" s="19" t="s">
        <v>28</v>
      </c>
      <c r="H1178" s="19" t="s">
        <v>36</v>
      </c>
      <c r="I1178" s="21" t="s">
        <v>29</v>
      </c>
      <c r="J1178" s="21" t="s">
        <v>29</v>
      </c>
      <c r="K1178" s="22" t="s">
        <v>4205</v>
      </c>
      <c r="L1178" s="56">
        <v>45063</v>
      </c>
      <c r="O1178" s="42"/>
      <c r="P1178" s="40"/>
      <c r="Q1178" s="61"/>
      <c r="R1178" s="61"/>
      <c r="S1178" s="40"/>
      <c r="T1178" s="38"/>
      <c r="U1178" s="38"/>
      <c r="V1178" s="38"/>
      <c r="W1178" s="60"/>
      <c r="AB1178" s="42"/>
      <c r="AC1178" s="35"/>
      <c r="AD1178" s="38"/>
      <c r="AE1178" s="38"/>
      <c r="AF1178" s="38"/>
      <c r="AG1178" s="38"/>
      <c r="AH1178" s="60"/>
    </row>
    <row r="1179" spans="1:34" ht="15.75" customHeight="1">
      <c r="A1179" s="35"/>
      <c r="B1179" s="18" t="s">
        <v>4206</v>
      </c>
      <c r="C1179" s="19" t="s">
        <v>24</v>
      </c>
      <c r="D1179" s="25" t="s">
        <v>4207</v>
      </c>
      <c r="E1179" s="20" t="s">
        <v>4208</v>
      </c>
      <c r="F1179" s="19" t="s">
        <v>27</v>
      </c>
      <c r="G1179" s="19" t="s">
        <v>28</v>
      </c>
      <c r="H1179" s="37" t="s">
        <v>762</v>
      </c>
      <c r="I1179" s="21" t="s">
        <v>29</v>
      </c>
      <c r="J1179" s="21" t="s">
        <v>29</v>
      </c>
      <c r="K1179" s="22" t="s">
        <v>4209</v>
      </c>
      <c r="L1179" s="56">
        <v>45063</v>
      </c>
      <c r="O1179" s="42"/>
      <c r="P1179" s="40"/>
      <c r="Q1179" s="61"/>
      <c r="R1179" s="61"/>
      <c r="S1179" s="40"/>
      <c r="T1179" s="38"/>
      <c r="U1179" s="38"/>
      <c r="V1179" s="38"/>
      <c r="W1179" s="60"/>
      <c r="AB1179" s="42"/>
      <c r="AC1179" s="35"/>
      <c r="AD1179" s="38"/>
      <c r="AE1179" s="38"/>
      <c r="AF1179" s="38"/>
      <c r="AG1179" s="38"/>
      <c r="AH1179" s="60"/>
    </row>
    <row r="1180" spans="1:34" ht="15.75" customHeight="1">
      <c r="A1180" s="35"/>
      <c r="B1180" s="18" t="s">
        <v>4210</v>
      </c>
      <c r="C1180" s="19" t="s">
        <v>24</v>
      </c>
      <c r="D1180" s="25" t="s">
        <v>4211</v>
      </c>
      <c r="E1180" s="20" t="s">
        <v>4212</v>
      </c>
      <c r="F1180" s="19" t="s">
        <v>27</v>
      </c>
      <c r="G1180" s="19" t="s">
        <v>28</v>
      </c>
      <c r="H1180" s="19" t="s">
        <v>36</v>
      </c>
      <c r="I1180" s="21" t="s">
        <v>29</v>
      </c>
      <c r="J1180" s="21" t="s">
        <v>29</v>
      </c>
      <c r="K1180" s="22" t="s">
        <v>4213</v>
      </c>
      <c r="L1180" s="56">
        <v>45063</v>
      </c>
      <c r="O1180" s="42"/>
      <c r="P1180" s="40"/>
      <c r="Q1180" s="61"/>
      <c r="R1180" s="61"/>
      <c r="S1180" s="40"/>
      <c r="T1180" s="38"/>
      <c r="U1180" s="38"/>
      <c r="V1180" s="38"/>
      <c r="W1180" s="60"/>
      <c r="AB1180" s="42"/>
      <c r="AC1180" s="35"/>
      <c r="AD1180" s="38"/>
      <c r="AE1180" s="38"/>
      <c r="AF1180" s="38"/>
      <c r="AG1180" s="38"/>
      <c r="AH1180" s="60"/>
    </row>
    <row r="1181" spans="1:34" ht="15.75" customHeight="1">
      <c r="A1181" s="35"/>
      <c r="B1181" s="18" t="s">
        <v>4214</v>
      </c>
      <c r="C1181" s="19" t="s">
        <v>87</v>
      </c>
      <c r="D1181" s="25" t="s">
        <v>4215</v>
      </c>
      <c r="E1181" s="20" t="s">
        <v>4216</v>
      </c>
      <c r="F1181" s="19" t="s">
        <v>90</v>
      </c>
      <c r="G1181" s="19" t="s">
        <v>91</v>
      </c>
      <c r="H1181" s="19"/>
      <c r="I1181" s="21" t="s">
        <v>29</v>
      </c>
      <c r="J1181" s="21" t="s">
        <v>29</v>
      </c>
      <c r="K1181" s="22" t="s">
        <v>4217</v>
      </c>
      <c r="L1181" s="56">
        <v>45063</v>
      </c>
      <c r="O1181" s="42"/>
      <c r="P1181" s="40"/>
      <c r="Q1181" s="61"/>
      <c r="R1181" s="61"/>
      <c r="S1181" s="40"/>
      <c r="T1181" s="38"/>
      <c r="U1181" s="38"/>
      <c r="V1181" s="38"/>
      <c r="W1181" s="60"/>
      <c r="AB1181" s="42"/>
      <c r="AC1181" s="35"/>
      <c r="AD1181" s="38"/>
      <c r="AE1181" s="38"/>
      <c r="AF1181" s="38"/>
      <c r="AG1181" s="38"/>
      <c r="AH1181" s="60"/>
    </row>
    <row r="1182" spans="1:34" ht="15.75" customHeight="1">
      <c r="A1182" s="35"/>
      <c r="B1182" s="18" t="s">
        <v>4218</v>
      </c>
      <c r="C1182" s="19" t="s">
        <v>24</v>
      </c>
      <c r="D1182" s="25" t="s">
        <v>4219</v>
      </c>
      <c r="E1182" s="20" t="s">
        <v>4220</v>
      </c>
      <c r="F1182" s="19" t="s">
        <v>27</v>
      </c>
      <c r="G1182" s="19" t="s">
        <v>28</v>
      </c>
      <c r="H1182" s="19" t="s">
        <v>36</v>
      </c>
      <c r="I1182" s="21" t="s">
        <v>29</v>
      </c>
      <c r="J1182" s="21" t="s">
        <v>29</v>
      </c>
      <c r="K1182" s="22" t="s">
        <v>4221</v>
      </c>
      <c r="L1182" s="56">
        <v>45063</v>
      </c>
      <c r="O1182" s="42"/>
      <c r="P1182" s="40"/>
      <c r="Q1182" s="61"/>
      <c r="R1182" s="61"/>
      <c r="S1182" s="40"/>
      <c r="T1182" s="38"/>
      <c r="U1182" s="38"/>
      <c r="V1182" s="38"/>
      <c r="W1182" s="60"/>
      <c r="AB1182" s="42"/>
      <c r="AC1182" s="35"/>
      <c r="AD1182" s="38"/>
      <c r="AE1182" s="38"/>
      <c r="AF1182" s="38"/>
      <c r="AG1182" s="38"/>
      <c r="AH1182" s="60"/>
    </row>
    <row r="1183" spans="1:34" ht="15.75" customHeight="1">
      <c r="A1183" s="35"/>
      <c r="B1183" s="18" t="s">
        <v>4222</v>
      </c>
      <c r="C1183" s="19" t="s">
        <v>24</v>
      </c>
      <c r="D1183" s="25" t="s">
        <v>4223</v>
      </c>
      <c r="E1183" s="20" t="s">
        <v>4224</v>
      </c>
      <c r="F1183" s="19" t="s">
        <v>27</v>
      </c>
      <c r="G1183" s="19" t="s">
        <v>28</v>
      </c>
      <c r="H1183" s="19"/>
      <c r="I1183" s="21" t="s">
        <v>29</v>
      </c>
      <c r="J1183" s="21" t="s">
        <v>29</v>
      </c>
      <c r="K1183" s="22" t="s">
        <v>4225</v>
      </c>
      <c r="L1183" s="56">
        <v>45063</v>
      </c>
      <c r="O1183" s="42"/>
      <c r="P1183" s="40"/>
      <c r="Q1183" s="61"/>
      <c r="R1183" s="61"/>
      <c r="S1183" s="40"/>
      <c r="T1183" s="38"/>
      <c r="U1183" s="38"/>
      <c r="V1183" s="38"/>
      <c r="W1183" s="60"/>
      <c r="AB1183" s="42"/>
      <c r="AC1183" s="35"/>
      <c r="AD1183" s="38"/>
      <c r="AE1183" s="38"/>
      <c r="AF1183" s="38"/>
      <c r="AG1183" s="38"/>
      <c r="AH1183" s="60"/>
    </row>
    <row r="1184" spans="1:34" ht="15.75" customHeight="1">
      <c r="A1184" s="35"/>
      <c r="B1184" s="18" t="s">
        <v>4226</v>
      </c>
      <c r="C1184" s="19" t="s">
        <v>87</v>
      </c>
      <c r="D1184" s="25" t="s">
        <v>4227</v>
      </c>
      <c r="E1184" s="20" t="s">
        <v>4228</v>
      </c>
      <c r="F1184" s="19" t="s">
        <v>90</v>
      </c>
      <c r="G1184" s="19" t="s">
        <v>91</v>
      </c>
      <c r="H1184" s="19"/>
      <c r="I1184" s="21" t="s">
        <v>29</v>
      </c>
      <c r="J1184" s="21" t="s">
        <v>29</v>
      </c>
      <c r="K1184" s="22" t="s">
        <v>4228</v>
      </c>
      <c r="L1184" s="56">
        <v>45063</v>
      </c>
      <c r="O1184" s="42"/>
      <c r="P1184" s="40"/>
      <c r="Q1184" s="61"/>
      <c r="R1184" s="61"/>
      <c r="S1184" s="40"/>
      <c r="T1184" s="38"/>
      <c r="U1184" s="38"/>
      <c r="V1184" s="38"/>
      <c r="W1184" s="60"/>
      <c r="AB1184" s="42"/>
      <c r="AC1184" s="35"/>
      <c r="AD1184" s="38"/>
      <c r="AE1184" s="38"/>
      <c r="AF1184" s="38"/>
      <c r="AG1184" s="38"/>
      <c r="AH1184" s="60"/>
    </row>
    <row r="1185" spans="1:34" ht="15.75" customHeight="1">
      <c r="A1185" s="35"/>
      <c r="B1185" s="18" t="s">
        <v>4229</v>
      </c>
      <c r="C1185" s="19" t="s">
        <v>24</v>
      </c>
      <c r="D1185" s="25" t="s">
        <v>4230</v>
      </c>
      <c r="E1185" s="20" t="s">
        <v>4231</v>
      </c>
      <c r="F1185" s="19" t="s">
        <v>27</v>
      </c>
      <c r="G1185" s="19" t="s">
        <v>28</v>
      </c>
      <c r="H1185" s="19" t="s">
        <v>36</v>
      </c>
      <c r="I1185" s="21" t="s">
        <v>29</v>
      </c>
      <c r="J1185" s="21" t="s">
        <v>29</v>
      </c>
      <c r="K1185" s="22" t="s">
        <v>4232</v>
      </c>
      <c r="L1185" s="56">
        <v>45063</v>
      </c>
      <c r="O1185" s="42"/>
      <c r="P1185" s="40"/>
      <c r="Q1185" s="61"/>
      <c r="R1185" s="61"/>
      <c r="S1185" s="40"/>
      <c r="T1185" s="38"/>
      <c r="U1185" s="38"/>
      <c r="V1185" s="38"/>
      <c r="W1185" s="60"/>
      <c r="AB1185" s="42"/>
      <c r="AC1185" s="35"/>
      <c r="AD1185" s="38"/>
      <c r="AE1185" s="38"/>
      <c r="AF1185" s="38"/>
      <c r="AG1185" s="38"/>
      <c r="AH1185" s="60"/>
    </row>
    <row r="1186" spans="1:34" ht="15.75" customHeight="1">
      <c r="A1186" s="35"/>
      <c r="B1186" s="18" t="s">
        <v>4233</v>
      </c>
      <c r="C1186" s="19" t="s">
        <v>24</v>
      </c>
      <c r="D1186" s="25" t="s">
        <v>4234</v>
      </c>
      <c r="E1186" s="20" t="s">
        <v>4235</v>
      </c>
      <c r="F1186" s="19" t="s">
        <v>27</v>
      </c>
      <c r="G1186" s="19" t="s">
        <v>28</v>
      </c>
      <c r="H1186" s="19"/>
      <c r="I1186" s="21" t="s">
        <v>29</v>
      </c>
      <c r="J1186" s="21" t="s">
        <v>29</v>
      </c>
      <c r="K1186" s="22" t="s">
        <v>4236</v>
      </c>
      <c r="L1186" s="56">
        <v>45063</v>
      </c>
      <c r="O1186" s="42"/>
      <c r="P1186" s="40"/>
      <c r="Q1186" s="61"/>
      <c r="R1186" s="61"/>
      <c r="S1186" s="40"/>
      <c r="T1186" s="38"/>
      <c r="U1186" s="38"/>
      <c r="V1186" s="38"/>
      <c r="W1186" s="60"/>
      <c r="AB1186" s="42"/>
      <c r="AC1186" s="35"/>
      <c r="AD1186" s="38"/>
      <c r="AE1186" s="38"/>
      <c r="AF1186" s="38"/>
      <c r="AG1186" s="38"/>
      <c r="AH1186" s="60"/>
    </row>
    <row r="1187" spans="1:34" ht="15.75" customHeight="1">
      <c r="A1187" s="35"/>
      <c r="B1187" s="18" t="s">
        <v>4237</v>
      </c>
      <c r="C1187" s="37" t="s">
        <v>412</v>
      </c>
      <c r="D1187" s="25" t="s">
        <v>4238</v>
      </c>
      <c r="E1187" s="20" t="s">
        <v>55</v>
      </c>
      <c r="F1187" s="19" t="s">
        <v>414</v>
      </c>
      <c r="G1187" s="37" t="s">
        <v>415</v>
      </c>
      <c r="H1187" s="37"/>
      <c r="I1187" s="21" t="s">
        <v>233</v>
      </c>
      <c r="J1187" s="21" t="s">
        <v>233</v>
      </c>
      <c r="K1187" s="22" t="s">
        <v>55</v>
      </c>
      <c r="L1187" s="56">
        <v>45063</v>
      </c>
      <c r="O1187" s="42"/>
      <c r="P1187" s="40"/>
      <c r="Q1187" s="61"/>
      <c r="R1187" s="61"/>
      <c r="S1187" s="40"/>
      <c r="T1187" s="38"/>
      <c r="U1187" s="38"/>
      <c r="V1187" s="38"/>
      <c r="W1187" s="60"/>
      <c r="AB1187" s="42"/>
      <c r="AC1187" s="35"/>
      <c r="AD1187" s="38"/>
      <c r="AE1187" s="38"/>
      <c r="AF1187" s="38"/>
      <c r="AG1187" s="38"/>
      <c r="AH1187" s="60"/>
    </row>
    <row r="1188" spans="1:34" ht="15.75" customHeight="1">
      <c r="A1188" s="35"/>
      <c r="B1188" s="18" t="s">
        <v>4239</v>
      </c>
      <c r="C1188" s="19" t="s">
        <v>46</v>
      </c>
      <c r="D1188" s="25" t="s">
        <v>4240</v>
      </c>
      <c r="E1188" s="20" t="s">
        <v>4241</v>
      </c>
      <c r="F1188" s="37" t="s">
        <v>49</v>
      </c>
      <c r="G1188" s="19" t="s">
        <v>50</v>
      </c>
      <c r="H1188" s="19"/>
      <c r="I1188" s="21" t="s">
        <v>29</v>
      </c>
      <c r="J1188" s="21" t="s">
        <v>29</v>
      </c>
      <c r="K1188" s="22" t="s">
        <v>4242</v>
      </c>
      <c r="L1188" s="56">
        <v>45063</v>
      </c>
      <c r="O1188" s="42"/>
      <c r="P1188" s="40"/>
      <c r="Q1188" s="61"/>
      <c r="R1188" s="61"/>
      <c r="S1188" s="40"/>
      <c r="T1188" s="38"/>
      <c r="U1188" s="38"/>
      <c r="V1188" s="38"/>
      <c r="W1188" s="60"/>
      <c r="AB1188" s="42"/>
      <c r="AC1188" s="35"/>
      <c r="AD1188" s="38"/>
      <c r="AE1188" s="38"/>
      <c r="AF1188" s="38"/>
      <c r="AG1188" s="38"/>
      <c r="AH1188" s="60"/>
    </row>
    <row r="1189" spans="1:34" ht="15.75" customHeight="1">
      <c r="A1189" s="35"/>
      <c r="B1189" s="18" t="s">
        <v>4243</v>
      </c>
      <c r="C1189" s="19" t="s">
        <v>24</v>
      </c>
      <c r="D1189" s="25" t="s">
        <v>4244</v>
      </c>
      <c r="E1189" s="20" t="s">
        <v>4245</v>
      </c>
      <c r="F1189" s="19" t="s">
        <v>27</v>
      </c>
      <c r="G1189" s="19" t="s">
        <v>28</v>
      </c>
      <c r="H1189" s="19"/>
      <c r="I1189" s="21" t="s">
        <v>29</v>
      </c>
      <c r="J1189" s="21" t="s">
        <v>29</v>
      </c>
      <c r="K1189" s="22" t="s">
        <v>4246</v>
      </c>
      <c r="L1189" s="56">
        <v>45063</v>
      </c>
      <c r="O1189" s="42"/>
      <c r="P1189" s="40"/>
      <c r="Q1189" s="61"/>
      <c r="R1189" s="61"/>
      <c r="S1189" s="40"/>
      <c r="T1189" s="38"/>
      <c r="U1189" s="38"/>
      <c r="V1189" s="38"/>
      <c r="W1189" s="60"/>
      <c r="AB1189" s="42"/>
      <c r="AC1189" s="35"/>
      <c r="AD1189" s="38"/>
      <c r="AE1189" s="38"/>
      <c r="AF1189" s="38"/>
      <c r="AG1189" s="38"/>
      <c r="AH1189" s="60"/>
    </row>
    <row r="1190" spans="1:34" ht="15.75" customHeight="1">
      <c r="A1190" s="35"/>
      <c r="B1190" s="18" t="s">
        <v>4247</v>
      </c>
      <c r="C1190" s="19" t="s">
        <v>24</v>
      </c>
      <c r="D1190" s="25" t="s">
        <v>4248</v>
      </c>
      <c r="E1190" s="20" t="s">
        <v>4249</v>
      </c>
      <c r="F1190" s="19" t="s">
        <v>27</v>
      </c>
      <c r="G1190" s="19" t="s">
        <v>28</v>
      </c>
      <c r="H1190" s="19"/>
      <c r="I1190" s="21" t="s">
        <v>29</v>
      </c>
      <c r="J1190" s="21" t="s">
        <v>29</v>
      </c>
      <c r="K1190" s="22" t="s">
        <v>4250</v>
      </c>
      <c r="L1190" s="56">
        <v>45063</v>
      </c>
      <c r="O1190" s="42"/>
      <c r="P1190" s="40"/>
      <c r="Q1190" s="61"/>
      <c r="R1190" s="61"/>
      <c r="S1190" s="40"/>
      <c r="T1190" s="38"/>
      <c r="U1190" s="38"/>
      <c r="V1190" s="38"/>
      <c r="W1190" s="60"/>
      <c r="AB1190" s="42"/>
      <c r="AC1190" s="35"/>
      <c r="AD1190" s="38"/>
      <c r="AE1190" s="38"/>
      <c r="AF1190" s="38"/>
      <c r="AG1190" s="38"/>
      <c r="AH1190" s="60"/>
    </row>
    <row r="1191" spans="1:34" ht="15.75" customHeight="1">
      <c r="A1191" s="35"/>
      <c r="B1191" s="18" t="s">
        <v>4251</v>
      </c>
      <c r="C1191" s="19" t="s">
        <v>46</v>
      </c>
      <c r="D1191" s="25" t="s">
        <v>4252</v>
      </c>
      <c r="E1191" s="20" t="s">
        <v>4253</v>
      </c>
      <c r="F1191" s="37" t="s">
        <v>49</v>
      </c>
      <c r="G1191" s="19" t="s">
        <v>50</v>
      </c>
      <c r="H1191" s="19"/>
      <c r="I1191" s="21" t="s">
        <v>29</v>
      </c>
      <c r="J1191" s="21" t="s">
        <v>29</v>
      </c>
      <c r="K1191" s="22" t="s">
        <v>4254</v>
      </c>
      <c r="L1191" s="56">
        <v>45063</v>
      </c>
      <c r="O1191" s="42"/>
      <c r="P1191" s="40"/>
      <c r="Q1191" s="61"/>
      <c r="R1191" s="61"/>
      <c r="S1191" s="40"/>
      <c r="T1191" s="38"/>
      <c r="U1191" s="38"/>
      <c r="V1191" s="38"/>
      <c r="W1191" s="60"/>
      <c r="AB1191" s="42"/>
      <c r="AC1191" s="35"/>
      <c r="AD1191" s="38"/>
      <c r="AE1191" s="38"/>
      <c r="AF1191" s="38"/>
      <c r="AG1191" s="38"/>
      <c r="AH1191" s="60"/>
    </row>
    <row r="1192" spans="1:34" ht="15.75" customHeight="1">
      <c r="A1192" s="35"/>
      <c r="B1192" s="18" t="s">
        <v>4255</v>
      </c>
      <c r="C1192" s="37" t="s">
        <v>412</v>
      </c>
      <c r="D1192" s="25" t="s">
        <v>4256</v>
      </c>
      <c r="E1192" s="20" t="s">
        <v>55</v>
      </c>
      <c r="F1192" s="19" t="s">
        <v>414</v>
      </c>
      <c r="G1192" s="19" t="s">
        <v>415</v>
      </c>
      <c r="H1192" s="37"/>
      <c r="I1192" s="21" t="s">
        <v>233</v>
      </c>
      <c r="J1192" s="21" t="s">
        <v>233</v>
      </c>
      <c r="K1192" s="22" t="s">
        <v>55</v>
      </c>
      <c r="L1192" s="56">
        <v>45063</v>
      </c>
      <c r="O1192" s="42"/>
      <c r="P1192" s="40"/>
      <c r="Q1192" s="61"/>
      <c r="R1192" s="61"/>
      <c r="S1192" s="40"/>
      <c r="T1192" s="38"/>
      <c r="U1192" s="38"/>
      <c r="V1192" s="38"/>
      <c r="W1192" s="60"/>
      <c r="AB1192" s="42"/>
      <c r="AC1192" s="35"/>
      <c r="AD1192" s="38"/>
      <c r="AE1192" s="38"/>
      <c r="AF1192" s="38"/>
      <c r="AG1192" s="38"/>
      <c r="AH1192" s="60"/>
    </row>
    <row r="1193" spans="1:34" ht="15.75" customHeight="1">
      <c r="A1193" s="35"/>
      <c r="B1193" s="18" t="s">
        <v>4257</v>
      </c>
      <c r="C1193" s="37" t="s">
        <v>412</v>
      </c>
      <c r="D1193" s="25" t="s">
        <v>4258</v>
      </c>
      <c r="E1193" s="20" t="s">
        <v>55</v>
      </c>
      <c r="F1193" s="19" t="s">
        <v>414</v>
      </c>
      <c r="G1193" s="37" t="s">
        <v>415</v>
      </c>
      <c r="H1193" s="37"/>
      <c r="I1193" s="21" t="s">
        <v>233</v>
      </c>
      <c r="J1193" s="21" t="s">
        <v>233</v>
      </c>
      <c r="K1193" s="22" t="s">
        <v>55</v>
      </c>
      <c r="L1193" s="56">
        <v>45063</v>
      </c>
      <c r="O1193" s="42"/>
      <c r="P1193" s="40"/>
      <c r="Q1193" s="61"/>
      <c r="R1193" s="61"/>
      <c r="S1193" s="40"/>
      <c r="T1193" s="38"/>
      <c r="U1193" s="38"/>
      <c r="V1193" s="38"/>
      <c r="W1193" s="60"/>
      <c r="AB1193" s="42"/>
      <c r="AC1193" s="35"/>
      <c r="AD1193" s="38"/>
      <c r="AE1193" s="38"/>
      <c r="AF1193" s="38"/>
      <c r="AG1193" s="38"/>
      <c r="AH1193" s="60"/>
    </row>
    <row r="1194" spans="1:34" ht="15.75" customHeight="1">
      <c r="A1194" s="35"/>
      <c r="B1194" s="18" t="s">
        <v>4259</v>
      </c>
      <c r="C1194" s="37" t="s">
        <v>412</v>
      </c>
      <c r="D1194" s="25" t="s">
        <v>4260</v>
      </c>
      <c r="E1194" s="20" t="s">
        <v>55</v>
      </c>
      <c r="F1194" s="19" t="s">
        <v>414</v>
      </c>
      <c r="G1194" s="19" t="s">
        <v>415</v>
      </c>
      <c r="H1194" s="37"/>
      <c r="I1194" s="21" t="s">
        <v>233</v>
      </c>
      <c r="J1194" s="21" t="s">
        <v>233</v>
      </c>
      <c r="K1194" s="22" t="s">
        <v>55</v>
      </c>
      <c r="L1194" s="56">
        <v>45063</v>
      </c>
      <c r="O1194" s="42"/>
      <c r="P1194" s="40"/>
      <c r="Q1194" s="61"/>
      <c r="R1194" s="61"/>
      <c r="S1194" s="40"/>
      <c r="T1194" s="38"/>
      <c r="U1194" s="38"/>
      <c r="V1194" s="38"/>
      <c r="W1194" s="60"/>
      <c r="AB1194" s="42"/>
      <c r="AC1194" s="35"/>
      <c r="AD1194" s="38"/>
      <c r="AE1194" s="38"/>
      <c r="AF1194" s="38"/>
      <c r="AG1194" s="38"/>
      <c r="AH1194" s="60"/>
    </row>
    <row r="1195" spans="1:34" ht="15.75" customHeight="1">
      <c r="A1195" s="35"/>
      <c r="B1195" s="18" t="s">
        <v>4261</v>
      </c>
      <c r="C1195" s="37" t="s">
        <v>412</v>
      </c>
      <c r="D1195" s="25" t="s">
        <v>4262</v>
      </c>
      <c r="E1195" s="20" t="s">
        <v>55</v>
      </c>
      <c r="F1195" s="19" t="s">
        <v>414</v>
      </c>
      <c r="G1195" s="37" t="s">
        <v>415</v>
      </c>
      <c r="H1195" s="37"/>
      <c r="I1195" s="21" t="s">
        <v>233</v>
      </c>
      <c r="J1195" s="21" t="s">
        <v>233</v>
      </c>
      <c r="K1195" s="22" t="s">
        <v>55</v>
      </c>
      <c r="L1195" s="56">
        <v>45063</v>
      </c>
      <c r="O1195" s="42"/>
      <c r="P1195" s="40"/>
      <c r="Q1195" s="61"/>
      <c r="R1195" s="61"/>
      <c r="S1195" s="40"/>
      <c r="T1195" s="38"/>
      <c r="U1195" s="38"/>
      <c r="V1195" s="38"/>
      <c r="W1195" s="60"/>
      <c r="AB1195" s="42"/>
      <c r="AC1195" s="35"/>
      <c r="AD1195" s="38"/>
      <c r="AE1195" s="38"/>
      <c r="AF1195" s="38"/>
      <c r="AG1195" s="38"/>
      <c r="AH1195" s="60"/>
    </row>
    <row r="1196" spans="1:34" ht="15.75" customHeight="1">
      <c r="A1196" s="35"/>
      <c r="B1196" s="18" t="s">
        <v>4263</v>
      </c>
      <c r="C1196" s="37" t="s">
        <v>412</v>
      </c>
      <c r="D1196" s="25" t="s">
        <v>4264</v>
      </c>
      <c r="E1196" s="20" t="s">
        <v>55</v>
      </c>
      <c r="F1196" s="19" t="s">
        <v>414</v>
      </c>
      <c r="G1196" s="19" t="s">
        <v>415</v>
      </c>
      <c r="H1196" s="37"/>
      <c r="I1196" s="21" t="s">
        <v>233</v>
      </c>
      <c r="J1196" s="21" t="s">
        <v>233</v>
      </c>
      <c r="K1196" s="22" t="s">
        <v>55</v>
      </c>
      <c r="L1196" s="56">
        <v>45063</v>
      </c>
      <c r="O1196" s="42"/>
      <c r="P1196" s="40"/>
      <c r="Q1196" s="61"/>
      <c r="R1196" s="61"/>
      <c r="S1196" s="40"/>
      <c r="T1196" s="38"/>
      <c r="U1196" s="38"/>
      <c r="V1196" s="38"/>
      <c r="W1196" s="60"/>
      <c r="AB1196" s="42"/>
      <c r="AC1196" s="35"/>
      <c r="AD1196" s="38"/>
      <c r="AE1196" s="38"/>
      <c r="AF1196" s="38"/>
      <c r="AG1196" s="38"/>
      <c r="AH1196" s="60"/>
    </row>
    <row r="1197" spans="1:34" ht="15.75" customHeight="1">
      <c r="A1197" s="35"/>
      <c r="B1197" s="18" t="s">
        <v>4237</v>
      </c>
      <c r="C1197" s="37" t="s">
        <v>412</v>
      </c>
      <c r="D1197" s="25" t="s">
        <v>4238</v>
      </c>
      <c r="E1197" s="20" t="s">
        <v>55</v>
      </c>
      <c r="F1197" s="19" t="s">
        <v>414</v>
      </c>
      <c r="G1197" s="37" t="s">
        <v>415</v>
      </c>
      <c r="H1197" s="37"/>
      <c r="I1197" s="21" t="s">
        <v>233</v>
      </c>
      <c r="J1197" s="21" t="s">
        <v>233</v>
      </c>
      <c r="K1197" s="22" t="s">
        <v>55</v>
      </c>
      <c r="L1197" s="56">
        <v>45063</v>
      </c>
      <c r="O1197" s="42"/>
      <c r="P1197" s="40"/>
      <c r="Q1197" s="61"/>
      <c r="R1197" s="61"/>
      <c r="S1197" s="40"/>
      <c r="T1197" s="38"/>
      <c r="U1197" s="38"/>
      <c r="V1197" s="38"/>
      <c r="W1197" s="60"/>
      <c r="AB1197" s="42"/>
      <c r="AC1197" s="35"/>
      <c r="AD1197" s="38"/>
      <c r="AE1197" s="38"/>
      <c r="AF1197" s="38"/>
      <c r="AG1197" s="38"/>
      <c r="AH1197" s="60"/>
    </row>
    <row r="1198" spans="1:34" ht="15.75" customHeight="1">
      <c r="A1198" s="35"/>
      <c r="B1198" s="38"/>
      <c r="C1198" s="37"/>
      <c r="D1198" s="20"/>
      <c r="E1198" s="20"/>
      <c r="F1198" s="37"/>
      <c r="G1198" s="37"/>
      <c r="H1198" s="37"/>
      <c r="I1198" s="21"/>
      <c r="J1198" s="21"/>
      <c r="K1198" s="22"/>
      <c r="L1198" s="39"/>
      <c r="O1198" s="42"/>
      <c r="P1198" s="40"/>
      <c r="Q1198" s="61"/>
      <c r="R1198" s="61"/>
      <c r="S1198" s="40"/>
      <c r="T1198" s="38"/>
      <c r="U1198" s="38"/>
      <c r="V1198" s="38"/>
      <c r="W1198" s="60"/>
      <c r="AB1198" s="42"/>
      <c r="AC1198" s="35"/>
      <c r="AD1198" s="38"/>
      <c r="AE1198" s="38"/>
      <c r="AF1198" s="38"/>
      <c r="AG1198" s="38"/>
      <c r="AH1198" s="60"/>
    </row>
    <row r="1199" spans="1:34" ht="15.75" customHeight="1">
      <c r="A1199" s="35" t="s">
        <v>4265</v>
      </c>
      <c r="B1199" s="18" t="s">
        <v>4266</v>
      </c>
      <c r="C1199" s="19" t="s">
        <v>87</v>
      </c>
      <c r="D1199" s="25" t="s">
        <v>4267</v>
      </c>
      <c r="E1199" s="20" t="s">
        <v>4268</v>
      </c>
      <c r="F1199" s="19" t="s">
        <v>90</v>
      </c>
      <c r="G1199" s="19" t="s">
        <v>91</v>
      </c>
      <c r="H1199" s="19" t="s">
        <v>36</v>
      </c>
      <c r="I1199" s="21" t="s">
        <v>29</v>
      </c>
      <c r="J1199" s="21" t="s">
        <v>29</v>
      </c>
      <c r="K1199" s="22" t="s">
        <v>4269</v>
      </c>
      <c r="L1199" s="56">
        <v>45063</v>
      </c>
      <c r="M1199" s="40"/>
      <c r="N1199" s="40"/>
      <c r="O1199" s="42"/>
      <c r="P1199" s="40"/>
      <c r="Q1199" s="61"/>
      <c r="R1199" s="61"/>
      <c r="S1199" s="40"/>
      <c r="T1199" s="38"/>
      <c r="U1199" s="38"/>
      <c r="V1199" s="38"/>
      <c r="W1199" s="60"/>
      <c r="AB1199" s="42"/>
      <c r="AC1199" s="35"/>
      <c r="AD1199" s="38"/>
      <c r="AE1199" s="38"/>
      <c r="AF1199" s="38"/>
      <c r="AG1199" s="38"/>
      <c r="AH1199" s="60"/>
    </row>
    <row r="1200" spans="1:34" ht="15.75" customHeight="1">
      <c r="A1200" s="71" t="s">
        <v>4270</v>
      </c>
      <c r="B1200" s="18" t="s">
        <v>4271</v>
      </c>
      <c r="C1200" s="19" t="s">
        <v>24</v>
      </c>
      <c r="D1200" s="25" t="s">
        <v>4272</v>
      </c>
      <c r="E1200" s="20" t="s">
        <v>4273</v>
      </c>
      <c r="F1200" s="19" t="s">
        <v>27</v>
      </c>
      <c r="G1200" s="19" t="s">
        <v>28</v>
      </c>
      <c r="H1200" s="19"/>
      <c r="I1200" s="21" t="s">
        <v>29</v>
      </c>
      <c r="J1200" s="21" t="s">
        <v>29</v>
      </c>
      <c r="K1200" s="22" t="s">
        <v>4274</v>
      </c>
      <c r="L1200" s="56">
        <v>45063</v>
      </c>
      <c r="O1200" s="42"/>
      <c r="P1200" s="40"/>
      <c r="Q1200" s="61"/>
      <c r="R1200" s="61"/>
      <c r="S1200" s="40"/>
      <c r="T1200" s="38"/>
      <c r="U1200" s="38"/>
      <c r="V1200" s="38"/>
      <c r="W1200" s="60"/>
      <c r="AB1200" s="42"/>
      <c r="AC1200" s="35"/>
      <c r="AD1200" s="38"/>
      <c r="AE1200" s="38"/>
      <c r="AF1200" s="38"/>
      <c r="AG1200" s="38"/>
      <c r="AH1200" s="60"/>
    </row>
    <row r="1201" spans="1:34" ht="15.75" customHeight="1">
      <c r="A1201" s="50" t="s">
        <v>39</v>
      </c>
      <c r="B1201" s="18" t="s">
        <v>4275</v>
      </c>
      <c r="C1201" s="19" t="s">
        <v>87</v>
      </c>
      <c r="D1201" s="25" t="s">
        <v>4276</v>
      </c>
      <c r="E1201" s="20" t="s">
        <v>4277</v>
      </c>
      <c r="F1201" s="19" t="s">
        <v>90</v>
      </c>
      <c r="G1201" s="19" t="s">
        <v>91</v>
      </c>
      <c r="H1201" s="19"/>
      <c r="I1201" s="21" t="s">
        <v>29</v>
      </c>
      <c r="J1201" s="21" t="s">
        <v>29</v>
      </c>
      <c r="K1201" s="22" t="s">
        <v>4278</v>
      </c>
      <c r="L1201" s="56">
        <v>45063</v>
      </c>
      <c r="O1201" s="42"/>
      <c r="P1201" s="40"/>
      <c r="Q1201" s="61"/>
      <c r="R1201" s="61"/>
      <c r="S1201" s="40"/>
      <c r="T1201" s="38"/>
      <c r="U1201" s="38"/>
      <c r="V1201" s="38"/>
      <c r="W1201" s="60"/>
      <c r="AB1201" s="42"/>
      <c r="AC1201" s="35"/>
      <c r="AD1201" s="38"/>
      <c r="AE1201" s="38"/>
      <c r="AF1201" s="38"/>
      <c r="AG1201" s="38"/>
      <c r="AH1201" s="60"/>
    </row>
    <row r="1202" spans="1:34" ht="15.75" customHeight="1">
      <c r="A1202" s="35" t="s">
        <v>3898</v>
      </c>
      <c r="B1202" s="18" t="s">
        <v>4279</v>
      </c>
      <c r="C1202" s="19" t="s">
        <v>24</v>
      </c>
      <c r="D1202" s="25" t="s">
        <v>4280</v>
      </c>
      <c r="E1202" s="20" t="s">
        <v>4281</v>
      </c>
      <c r="F1202" s="19" t="s">
        <v>27</v>
      </c>
      <c r="G1202" s="19" t="s">
        <v>28</v>
      </c>
      <c r="H1202" s="19"/>
      <c r="I1202" s="21" t="s">
        <v>29</v>
      </c>
      <c r="J1202" s="21" t="s">
        <v>29</v>
      </c>
      <c r="K1202" s="22" t="s">
        <v>4282</v>
      </c>
      <c r="L1202" s="56">
        <v>45063</v>
      </c>
      <c r="O1202" s="42"/>
      <c r="P1202" s="40"/>
      <c r="Q1202" s="61"/>
      <c r="R1202" s="61"/>
      <c r="S1202" s="40"/>
      <c r="T1202" s="38"/>
      <c r="U1202" s="38"/>
      <c r="V1202" s="38"/>
      <c r="W1202" s="60"/>
      <c r="AB1202" s="42"/>
      <c r="AC1202" s="35"/>
      <c r="AD1202" s="38"/>
      <c r="AE1202" s="38"/>
      <c r="AF1202" s="38"/>
      <c r="AG1202" s="38"/>
      <c r="AH1202" s="60"/>
    </row>
    <row r="1203" spans="1:34" ht="15.75" customHeight="1">
      <c r="A1203" s="35" t="s">
        <v>4283</v>
      </c>
      <c r="B1203" s="18" t="s">
        <v>4284</v>
      </c>
      <c r="C1203" s="19" t="s">
        <v>24</v>
      </c>
      <c r="D1203" s="25" t="s">
        <v>4285</v>
      </c>
      <c r="E1203" s="20" t="s">
        <v>4286</v>
      </c>
      <c r="F1203" s="19" t="s">
        <v>27</v>
      </c>
      <c r="G1203" s="19" t="s">
        <v>28</v>
      </c>
      <c r="H1203" s="37" t="s">
        <v>813</v>
      </c>
      <c r="I1203" s="21" t="s">
        <v>29</v>
      </c>
      <c r="J1203" s="21" t="s">
        <v>29</v>
      </c>
      <c r="K1203" s="22" t="s">
        <v>4287</v>
      </c>
      <c r="L1203" s="56">
        <v>45063</v>
      </c>
      <c r="O1203" s="42"/>
      <c r="P1203" s="40"/>
      <c r="Q1203" s="61"/>
      <c r="R1203" s="61"/>
      <c r="S1203" s="40"/>
      <c r="T1203" s="38"/>
      <c r="U1203" s="38"/>
      <c r="V1203" s="38"/>
      <c r="W1203" s="60"/>
      <c r="AB1203" s="42"/>
      <c r="AC1203" s="35"/>
      <c r="AD1203" s="38"/>
      <c r="AE1203" s="38"/>
      <c r="AF1203" s="38"/>
      <c r="AG1203" s="38"/>
      <c r="AH1203" s="60"/>
    </row>
    <row r="1204" spans="1:34" ht="15.75" customHeight="1">
      <c r="A1204" s="31" t="s">
        <v>56</v>
      </c>
      <c r="B1204" s="18" t="s">
        <v>4288</v>
      </c>
      <c r="C1204" s="19" t="s">
        <v>46</v>
      </c>
      <c r="D1204" s="25" t="s">
        <v>4289</v>
      </c>
      <c r="E1204" s="20" t="s">
        <v>4290</v>
      </c>
      <c r="F1204" s="37" t="s">
        <v>49</v>
      </c>
      <c r="G1204" s="19" t="s">
        <v>50</v>
      </c>
      <c r="H1204" s="19" t="s">
        <v>36</v>
      </c>
      <c r="I1204" s="21" t="s">
        <v>29</v>
      </c>
      <c r="J1204" s="21" t="s">
        <v>29</v>
      </c>
      <c r="K1204" s="22" t="s">
        <v>4291</v>
      </c>
      <c r="L1204" s="56">
        <v>45063</v>
      </c>
      <c r="O1204" s="42"/>
      <c r="P1204" s="40"/>
      <c r="Q1204" s="61"/>
      <c r="R1204" s="61"/>
      <c r="S1204" s="40"/>
      <c r="T1204" s="38"/>
      <c r="U1204" s="38"/>
      <c r="V1204" s="38"/>
      <c r="W1204" s="60"/>
      <c r="AB1204" s="42"/>
      <c r="AC1204" s="35"/>
      <c r="AD1204" s="38"/>
      <c r="AE1204" s="38"/>
      <c r="AF1204" s="38"/>
      <c r="AG1204" s="38"/>
      <c r="AH1204" s="60"/>
    </row>
    <row r="1205" spans="1:34" ht="15.75" customHeight="1">
      <c r="A1205" s="17">
        <v>67</v>
      </c>
      <c r="B1205" s="18" t="s">
        <v>4292</v>
      </c>
      <c r="C1205" s="19" t="s">
        <v>24</v>
      </c>
      <c r="D1205" s="25" t="s">
        <v>4293</v>
      </c>
      <c r="E1205" s="20" t="s">
        <v>4294</v>
      </c>
      <c r="F1205" s="19" t="s">
        <v>27</v>
      </c>
      <c r="G1205" s="19" t="s">
        <v>28</v>
      </c>
      <c r="H1205" s="19" t="s">
        <v>36</v>
      </c>
      <c r="I1205" s="21" t="s">
        <v>29</v>
      </c>
      <c r="J1205" s="21" t="s">
        <v>29</v>
      </c>
      <c r="K1205" s="22" t="s">
        <v>4295</v>
      </c>
      <c r="L1205" s="56">
        <v>45063</v>
      </c>
      <c r="O1205" s="42"/>
      <c r="P1205" s="40"/>
      <c r="Q1205" s="61"/>
      <c r="R1205" s="61"/>
      <c r="S1205" s="40"/>
      <c r="T1205" s="38"/>
      <c r="U1205" s="38"/>
      <c r="V1205" s="38"/>
      <c r="W1205" s="60"/>
      <c r="AB1205" s="42"/>
      <c r="AC1205" s="35"/>
      <c r="AD1205" s="38"/>
      <c r="AE1205" s="38"/>
      <c r="AF1205" s="38"/>
      <c r="AG1205" s="38"/>
      <c r="AH1205" s="60"/>
    </row>
    <row r="1206" spans="1:34" ht="15.75" customHeight="1">
      <c r="A1206" s="31" t="s">
        <v>64</v>
      </c>
      <c r="B1206" s="18" t="s">
        <v>4296</v>
      </c>
      <c r="C1206" s="19" t="s">
        <v>24</v>
      </c>
      <c r="D1206" s="25" t="s">
        <v>4297</v>
      </c>
      <c r="E1206" s="20" t="s">
        <v>4298</v>
      </c>
      <c r="F1206" s="19" t="s">
        <v>27</v>
      </c>
      <c r="G1206" s="19" t="s">
        <v>28</v>
      </c>
      <c r="H1206" s="37" t="s">
        <v>813</v>
      </c>
      <c r="I1206" s="21" t="s">
        <v>29</v>
      </c>
      <c r="J1206" s="21" t="s">
        <v>29</v>
      </c>
      <c r="K1206" s="22" t="s">
        <v>4299</v>
      </c>
      <c r="L1206" s="56">
        <v>45063</v>
      </c>
      <c r="O1206" s="42"/>
      <c r="P1206" s="40"/>
      <c r="Q1206" s="61"/>
      <c r="R1206" s="61"/>
      <c r="S1206" s="40"/>
      <c r="T1206" s="38"/>
      <c r="U1206" s="38"/>
      <c r="V1206" s="38"/>
      <c r="W1206" s="60"/>
      <c r="AB1206" s="42"/>
      <c r="AC1206" s="35"/>
      <c r="AD1206" s="38"/>
      <c r="AE1206" s="38"/>
      <c r="AF1206" s="38"/>
      <c r="AG1206" s="38"/>
      <c r="AH1206" s="60"/>
    </row>
    <row r="1207" spans="1:34" ht="15.75" customHeight="1">
      <c r="A1207" s="17">
        <v>3.6</v>
      </c>
      <c r="B1207" s="18" t="s">
        <v>4300</v>
      </c>
      <c r="C1207" s="19" t="s">
        <v>24</v>
      </c>
      <c r="D1207" s="25" t="s">
        <v>4301</v>
      </c>
      <c r="E1207" s="20" t="s">
        <v>4302</v>
      </c>
      <c r="F1207" s="19" t="s">
        <v>27</v>
      </c>
      <c r="G1207" s="19" t="s">
        <v>28</v>
      </c>
      <c r="H1207" s="19"/>
      <c r="I1207" s="21" t="s">
        <v>29</v>
      </c>
      <c r="J1207" s="21" t="s">
        <v>29</v>
      </c>
      <c r="K1207" s="22" t="s">
        <v>4303</v>
      </c>
      <c r="L1207" s="56">
        <v>45063</v>
      </c>
      <c r="O1207" s="42"/>
      <c r="P1207" s="40"/>
      <c r="Q1207" s="61"/>
      <c r="R1207" s="61"/>
      <c r="S1207" s="40"/>
      <c r="T1207" s="38"/>
      <c r="U1207" s="38"/>
      <c r="V1207" s="38"/>
      <c r="W1207" s="60"/>
      <c r="AB1207" s="42"/>
      <c r="AC1207" s="35"/>
      <c r="AD1207" s="38"/>
      <c r="AE1207" s="38"/>
      <c r="AF1207" s="38"/>
      <c r="AG1207" s="38"/>
      <c r="AH1207" s="60"/>
    </row>
    <row r="1208" spans="1:34" ht="15.75" customHeight="1">
      <c r="A1208" s="31" t="s">
        <v>73</v>
      </c>
      <c r="B1208" s="18" t="s">
        <v>4304</v>
      </c>
      <c r="C1208" s="19" t="s">
        <v>24</v>
      </c>
      <c r="D1208" s="25" t="s">
        <v>4305</v>
      </c>
      <c r="E1208" s="20" t="s">
        <v>4306</v>
      </c>
      <c r="F1208" s="19" t="s">
        <v>27</v>
      </c>
      <c r="G1208" s="19" t="s">
        <v>28</v>
      </c>
      <c r="H1208" s="19"/>
      <c r="I1208" s="21" t="s">
        <v>29</v>
      </c>
      <c r="J1208" s="21" t="s">
        <v>29</v>
      </c>
      <c r="K1208" s="22" t="s">
        <v>4307</v>
      </c>
      <c r="L1208" s="56">
        <v>45063</v>
      </c>
      <c r="O1208" s="42"/>
      <c r="P1208" s="40"/>
      <c r="Q1208" s="61"/>
      <c r="R1208" s="61"/>
      <c r="S1208" s="40"/>
      <c r="T1208" s="38"/>
      <c r="U1208" s="38"/>
      <c r="V1208" s="38"/>
      <c r="W1208" s="60"/>
      <c r="AB1208" s="42"/>
      <c r="AC1208" s="35"/>
      <c r="AD1208" s="38"/>
      <c r="AE1208" s="38"/>
      <c r="AF1208" s="38"/>
      <c r="AG1208" s="38"/>
      <c r="AH1208" s="60"/>
    </row>
    <row r="1209" spans="1:34" ht="15.75" customHeight="1">
      <c r="A1209" s="17">
        <v>3.7</v>
      </c>
      <c r="B1209" s="34" t="s">
        <v>4308</v>
      </c>
      <c r="C1209" s="19" t="s">
        <v>24</v>
      </c>
      <c r="D1209" s="25" t="s">
        <v>4309</v>
      </c>
      <c r="E1209" s="20" t="s">
        <v>4310</v>
      </c>
      <c r="F1209" s="19" t="s">
        <v>90</v>
      </c>
      <c r="G1209" s="19" t="s">
        <v>91</v>
      </c>
      <c r="H1209" s="19"/>
      <c r="I1209" s="21" t="s">
        <v>29</v>
      </c>
      <c r="J1209" s="21" t="s">
        <v>29</v>
      </c>
      <c r="K1209" s="22" t="s">
        <v>4311</v>
      </c>
      <c r="L1209" s="56">
        <v>45063</v>
      </c>
      <c r="O1209" s="42"/>
      <c r="P1209" s="40"/>
      <c r="Q1209" s="61"/>
      <c r="R1209" s="61"/>
      <c r="S1209" s="40"/>
      <c r="T1209" s="38"/>
      <c r="U1209" s="38"/>
      <c r="V1209" s="38"/>
      <c r="W1209" s="60"/>
      <c r="AB1209" s="42"/>
      <c r="AC1209" s="35"/>
      <c r="AD1209" s="38"/>
      <c r="AE1209" s="38"/>
      <c r="AF1209" s="38"/>
      <c r="AG1209" s="38"/>
      <c r="AH1209" s="60"/>
    </row>
    <row r="1210" spans="1:34" ht="15.75" customHeight="1">
      <c r="A1210" s="50" t="s">
        <v>82</v>
      </c>
      <c r="B1210" s="18" t="s">
        <v>4312</v>
      </c>
      <c r="C1210" s="19" t="s">
        <v>24</v>
      </c>
      <c r="D1210" s="25" t="s">
        <v>4313</v>
      </c>
      <c r="E1210" s="20" t="s">
        <v>4314</v>
      </c>
      <c r="F1210" s="19" t="s">
        <v>27</v>
      </c>
      <c r="G1210" s="19" t="s">
        <v>28</v>
      </c>
      <c r="H1210" s="37" t="s">
        <v>762</v>
      </c>
      <c r="I1210" s="21" t="s">
        <v>29</v>
      </c>
      <c r="J1210" s="21" t="s">
        <v>29</v>
      </c>
      <c r="K1210" s="22" t="s">
        <v>4315</v>
      </c>
      <c r="L1210" s="56">
        <v>45063</v>
      </c>
      <c r="O1210" s="42"/>
      <c r="P1210" s="40"/>
      <c r="Q1210" s="61"/>
      <c r="R1210" s="61"/>
      <c r="S1210" s="40"/>
      <c r="T1210" s="38"/>
      <c r="U1210" s="38"/>
      <c r="V1210" s="38"/>
      <c r="W1210" s="60"/>
      <c r="AB1210" s="42"/>
      <c r="AC1210" s="35"/>
      <c r="AD1210" s="38"/>
      <c r="AE1210" s="38"/>
      <c r="AF1210" s="38"/>
      <c r="AG1210" s="38"/>
      <c r="AH1210" s="60"/>
    </row>
    <row r="1211" spans="1:34" ht="15.75" customHeight="1">
      <c r="A1211" s="35" t="s">
        <v>4316</v>
      </c>
      <c r="B1211" s="18" t="s">
        <v>4317</v>
      </c>
      <c r="C1211" s="19" t="s">
        <v>24</v>
      </c>
      <c r="D1211" s="25" t="s">
        <v>4318</v>
      </c>
      <c r="E1211" s="20" t="s">
        <v>4319</v>
      </c>
      <c r="F1211" s="19" t="s">
        <v>27</v>
      </c>
      <c r="G1211" s="19" t="s">
        <v>28</v>
      </c>
      <c r="H1211" s="19"/>
      <c r="I1211" s="21" t="s">
        <v>29</v>
      </c>
      <c r="J1211" s="21" t="s">
        <v>29</v>
      </c>
      <c r="K1211" s="22" t="s">
        <v>4320</v>
      </c>
      <c r="L1211" s="56">
        <v>45063</v>
      </c>
      <c r="O1211" s="42"/>
      <c r="P1211" s="40"/>
      <c r="Q1211" s="61"/>
      <c r="R1211" s="61"/>
      <c r="S1211" s="40"/>
      <c r="T1211" s="38"/>
      <c r="U1211" s="38"/>
      <c r="V1211" s="38"/>
      <c r="W1211" s="60"/>
      <c r="AB1211" s="42"/>
      <c r="AC1211" s="35"/>
      <c r="AD1211" s="38"/>
      <c r="AE1211" s="38"/>
      <c r="AF1211" s="38"/>
      <c r="AG1211" s="38"/>
      <c r="AH1211" s="60"/>
    </row>
    <row r="1212" spans="1:34" ht="15.75" customHeight="1">
      <c r="A1212" s="31" t="s">
        <v>92</v>
      </c>
      <c r="B1212" s="18" t="s">
        <v>4321</v>
      </c>
      <c r="C1212" s="19" t="s">
        <v>24</v>
      </c>
      <c r="D1212" s="25" t="s">
        <v>4322</v>
      </c>
      <c r="E1212" s="20" t="s">
        <v>4323</v>
      </c>
      <c r="F1212" s="19" t="s">
        <v>27</v>
      </c>
      <c r="G1212" s="19" t="s">
        <v>28</v>
      </c>
      <c r="H1212" s="19"/>
      <c r="I1212" s="21" t="s">
        <v>29</v>
      </c>
      <c r="J1212" s="21" t="s">
        <v>29</v>
      </c>
      <c r="K1212" s="22" t="s">
        <v>4324</v>
      </c>
      <c r="L1212" s="56">
        <v>45063</v>
      </c>
      <c r="O1212" s="42"/>
      <c r="P1212" s="40"/>
      <c r="Q1212" s="61"/>
      <c r="R1212" s="61"/>
      <c r="S1212" s="40"/>
      <c r="T1212" s="38"/>
      <c r="U1212" s="38"/>
      <c r="V1212" s="38"/>
      <c r="W1212" s="60"/>
      <c r="AB1212" s="42"/>
      <c r="AC1212" s="35"/>
      <c r="AD1212" s="38"/>
      <c r="AE1212" s="38"/>
      <c r="AF1212" s="38"/>
      <c r="AG1212" s="38"/>
      <c r="AH1212" s="60"/>
    </row>
    <row r="1213" spans="1:34" ht="15.75" customHeight="1">
      <c r="A1213" s="33">
        <v>1619</v>
      </c>
      <c r="B1213" s="18" t="s">
        <v>4325</v>
      </c>
      <c r="C1213" s="19" t="s">
        <v>24</v>
      </c>
      <c r="D1213" s="25" t="s">
        <v>4326</v>
      </c>
      <c r="E1213" s="20" t="s">
        <v>4327</v>
      </c>
      <c r="F1213" s="19" t="s">
        <v>27</v>
      </c>
      <c r="G1213" s="19" t="s">
        <v>28</v>
      </c>
      <c r="H1213" s="19"/>
      <c r="I1213" s="21" t="s">
        <v>29</v>
      </c>
      <c r="J1213" s="21" t="s">
        <v>29</v>
      </c>
      <c r="K1213" s="22" t="s">
        <v>4328</v>
      </c>
      <c r="L1213" s="56">
        <v>45063</v>
      </c>
      <c r="O1213" s="42"/>
      <c r="P1213" s="40"/>
      <c r="Q1213" s="61"/>
      <c r="R1213" s="61"/>
      <c r="S1213" s="40"/>
      <c r="T1213" s="38"/>
      <c r="U1213" s="38"/>
      <c r="V1213" s="38"/>
      <c r="W1213" s="60"/>
      <c r="AB1213" s="42"/>
      <c r="AC1213" s="35"/>
      <c r="AD1213" s="38"/>
      <c r="AE1213" s="38"/>
      <c r="AF1213" s="38"/>
      <c r="AG1213" s="38"/>
      <c r="AH1213" s="60"/>
    </row>
    <row r="1214" spans="1:34" ht="15.75" customHeight="1">
      <c r="A1214" s="31" t="s">
        <v>100</v>
      </c>
      <c r="B1214" s="18" t="s">
        <v>4329</v>
      </c>
      <c r="C1214" s="19" t="s">
        <v>46</v>
      </c>
      <c r="D1214" s="25" t="s">
        <v>4330</v>
      </c>
      <c r="E1214" s="20" t="s">
        <v>4331</v>
      </c>
      <c r="F1214" s="37" t="s">
        <v>49</v>
      </c>
      <c r="G1214" s="19" t="s">
        <v>50</v>
      </c>
      <c r="H1214" s="19" t="s">
        <v>36</v>
      </c>
      <c r="I1214" s="21" t="s">
        <v>29</v>
      </c>
      <c r="J1214" s="21" t="s">
        <v>29</v>
      </c>
      <c r="K1214" s="22" t="s">
        <v>4332</v>
      </c>
      <c r="L1214" s="56">
        <v>45063</v>
      </c>
      <c r="O1214" s="42"/>
      <c r="P1214" s="40"/>
      <c r="Q1214" s="61"/>
      <c r="R1214" s="61"/>
      <c r="S1214" s="40"/>
      <c r="T1214" s="38"/>
      <c r="U1214" s="38"/>
      <c r="V1214" s="38"/>
      <c r="W1214" s="60"/>
      <c r="AB1214" s="42"/>
      <c r="AC1214" s="35"/>
      <c r="AD1214" s="38"/>
      <c r="AE1214" s="38"/>
      <c r="AF1214" s="38"/>
      <c r="AG1214" s="38"/>
      <c r="AH1214" s="60"/>
    </row>
    <row r="1215" spans="1:34" ht="15.75" customHeight="1">
      <c r="A1215" s="35">
        <v>160</v>
      </c>
      <c r="B1215" s="18" t="s">
        <v>4333</v>
      </c>
      <c r="C1215" s="19" t="s">
        <v>24</v>
      </c>
      <c r="D1215" s="25" t="s">
        <v>4334</v>
      </c>
      <c r="E1215" s="20" t="s">
        <v>4335</v>
      </c>
      <c r="F1215" s="19" t="s">
        <v>27</v>
      </c>
      <c r="G1215" s="19" t="s">
        <v>28</v>
      </c>
      <c r="H1215" s="19"/>
      <c r="I1215" s="21" t="s">
        <v>29</v>
      </c>
      <c r="J1215" s="21" t="s">
        <v>29</v>
      </c>
      <c r="K1215" s="22" t="s">
        <v>4336</v>
      </c>
      <c r="L1215" s="56">
        <v>45063</v>
      </c>
      <c r="O1215" s="42"/>
      <c r="P1215" s="40"/>
      <c r="Q1215" s="61"/>
      <c r="R1215" s="61"/>
      <c r="S1215" s="40"/>
      <c r="T1215" s="38"/>
      <c r="U1215" s="38"/>
      <c r="V1215" s="38"/>
      <c r="W1215" s="60"/>
      <c r="AB1215" s="42"/>
      <c r="AC1215" s="35"/>
      <c r="AD1215" s="38"/>
      <c r="AE1215" s="38"/>
      <c r="AF1215" s="38"/>
      <c r="AG1215" s="38"/>
      <c r="AH1215" s="60"/>
    </row>
    <row r="1216" spans="1:34" ht="15.75" customHeight="1">
      <c r="A1216" s="35"/>
      <c r="B1216" s="34" t="s">
        <v>4337</v>
      </c>
      <c r="C1216" s="19" t="s">
        <v>87</v>
      </c>
      <c r="D1216" s="25" t="s">
        <v>4338</v>
      </c>
      <c r="E1216" s="20" t="s">
        <v>4339</v>
      </c>
      <c r="F1216" s="37" t="s">
        <v>49</v>
      </c>
      <c r="G1216" s="19" t="s">
        <v>50</v>
      </c>
      <c r="H1216" s="19" t="s">
        <v>36</v>
      </c>
      <c r="I1216" s="21" t="s">
        <v>29</v>
      </c>
      <c r="J1216" s="21" t="s">
        <v>29</v>
      </c>
      <c r="K1216" s="22" t="s">
        <v>4340</v>
      </c>
      <c r="L1216" s="56">
        <v>45063</v>
      </c>
      <c r="O1216" s="42"/>
      <c r="P1216" s="40"/>
      <c r="Q1216" s="61"/>
      <c r="R1216" s="61"/>
      <c r="S1216" s="40"/>
      <c r="T1216" s="38"/>
      <c r="U1216" s="38"/>
      <c r="V1216" s="38"/>
      <c r="W1216" s="60"/>
      <c r="AB1216" s="42"/>
      <c r="AC1216" s="35"/>
      <c r="AD1216" s="38"/>
      <c r="AE1216" s="38"/>
      <c r="AF1216" s="38"/>
      <c r="AG1216" s="38"/>
      <c r="AH1216" s="60"/>
    </row>
    <row r="1217" spans="1:34" ht="15.75" customHeight="1">
      <c r="A1217" s="35"/>
      <c r="B1217" s="18" t="s">
        <v>4341</v>
      </c>
      <c r="C1217" s="19" t="s">
        <v>24</v>
      </c>
      <c r="D1217" s="25" t="s">
        <v>4342</v>
      </c>
      <c r="E1217" s="20" t="s">
        <v>4343</v>
      </c>
      <c r="F1217" s="19" t="s">
        <v>27</v>
      </c>
      <c r="G1217" s="19" t="s">
        <v>28</v>
      </c>
      <c r="H1217" s="37" t="s">
        <v>762</v>
      </c>
      <c r="I1217" s="21" t="s">
        <v>29</v>
      </c>
      <c r="J1217" s="21" t="s">
        <v>29</v>
      </c>
      <c r="K1217" s="22" t="s">
        <v>4344</v>
      </c>
      <c r="L1217" s="56">
        <v>45063</v>
      </c>
      <c r="O1217" s="42"/>
      <c r="P1217" s="40"/>
      <c r="Q1217" s="61"/>
      <c r="R1217" s="61"/>
      <c r="S1217" s="40"/>
      <c r="T1217" s="38"/>
      <c r="U1217" s="38"/>
      <c r="V1217" s="38"/>
      <c r="W1217" s="60"/>
      <c r="AB1217" s="42"/>
      <c r="AC1217" s="35"/>
      <c r="AD1217" s="38"/>
      <c r="AE1217" s="38"/>
      <c r="AF1217" s="38"/>
      <c r="AG1217" s="38"/>
      <c r="AH1217" s="60"/>
    </row>
    <row r="1218" spans="1:34" ht="15.75" customHeight="1">
      <c r="A1218" s="35"/>
      <c r="B1218" s="18" t="s">
        <v>4345</v>
      </c>
      <c r="C1218" s="19" t="s">
        <v>87</v>
      </c>
      <c r="D1218" s="25" t="s">
        <v>4346</v>
      </c>
      <c r="E1218" s="20" t="s">
        <v>4347</v>
      </c>
      <c r="F1218" s="19" t="s">
        <v>90</v>
      </c>
      <c r="G1218" s="19" t="s">
        <v>91</v>
      </c>
      <c r="H1218" s="19"/>
      <c r="I1218" s="21" t="s">
        <v>29</v>
      </c>
      <c r="J1218" s="21" t="s">
        <v>29</v>
      </c>
      <c r="K1218" s="22" t="s">
        <v>4348</v>
      </c>
      <c r="L1218" s="56">
        <v>45063</v>
      </c>
      <c r="O1218" s="42"/>
      <c r="P1218" s="40"/>
      <c r="Q1218" s="61"/>
      <c r="R1218" s="61"/>
      <c r="S1218" s="40"/>
      <c r="T1218" s="38"/>
      <c r="U1218" s="38"/>
      <c r="V1218" s="38"/>
      <c r="W1218" s="60"/>
      <c r="AB1218" s="42"/>
      <c r="AC1218" s="35"/>
      <c r="AD1218" s="38"/>
      <c r="AE1218" s="38"/>
      <c r="AF1218" s="38"/>
      <c r="AG1218" s="38"/>
      <c r="AH1218" s="60"/>
    </row>
    <row r="1219" spans="1:34" ht="15.75" customHeight="1">
      <c r="A1219" s="35"/>
      <c r="B1219" s="18" t="s">
        <v>4349</v>
      </c>
      <c r="C1219" s="19" t="s">
        <v>87</v>
      </c>
      <c r="D1219" s="25" t="s">
        <v>4350</v>
      </c>
      <c r="E1219" s="20" t="s">
        <v>4351</v>
      </c>
      <c r="F1219" s="19" t="s">
        <v>90</v>
      </c>
      <c r="G1219" s="19" t="s">
        <v>91</v>
      </c>
      <c r="H1219" s="19"/>
      <c r="I1219" s="21" t="s">
        <v>29</v>
      </c>
      <c r="J1219" s="21" t="s">
        <v>29</v>
      </c>
      <c r="K1219" s="22" t="s">
        <v>4352</v>
      </c>
      <c r="L1219" s="56">
        <v>45063</v>
      </c>
      <c r="O1219" s="42"/>
      <c r="P1219" s="40"/>
      <c r="Q1219" s="61"/>
      <c r="R1219" s="61"/>
      <c r="S1219" s="40"/>
      <c r="T1219" s="38"/>
      <c r="U1219" s="38"/>
      <c r="V1219" s="38"/>
      <c r="W1219" s="60"/>
      <c r="AB1219" s="42"/>
      <c r="AC1219" s="35"/>
      <c r="AD1219" s="38"/>
      <c r="AE1219" s="38"/>
      <c r="AF1219" s="38"/>
      <c r="AG1219" s="38"/>
      <c r="AH1219" s="60"/>
    </row>
    <row r="1220" spans="1:34" ht="15.75" customHeight="1">
      <c r="A1220" s="35"/>
      <c r="B1220" s="18" t="s">
        <v>4353</v>
      </c>
      <c r="C1220" s="19" t="s">
        <v>46</v>
      </c>
      <c r="D1220" s="25" t="s">
        <v>4354</v>
      </c>
      <c r="E1220" s="20" t="s">
        <v>4355</v>
      </c>
      <c r="F1220" s="37" t="s">
        <v>49</v>
      </c>
      <c r="G1220" s="19" t="s">
        <v>50</v>
      </c>
      <c r="H1220" s="19" t="s">
        <v>36</v>
      </c>
      <c r="I1220" s="21" t="s">
        <v>29</v>
      </c>
      <c r="J1220" s="21" t="s">
        <v>29</v>
      </c>
      <c r="K1220" s="22" t="s">
        <v>4356</v>
      </c>
      <c r="L1220" s="56">
        <v>45063</v>
      </c>
      <c r="O1220" s="42"/>
      <c r="P1220" s="40"/>
      <c r="Q1220" s="61"/>
      <c r="R1220" s="61"/>
      <c r="S1220" s="40"/>
      <c r="T1220" s="38"/>
      <c r="U1220" s="38"/>
      <c r="V1220" s="38"/>
      <c r="W1220" s="60"/>
      <c r="AB1220" s="42"/>
      <c r="AC1220" s="35"/>
      <c r="AD1220" s="38"/>
      <c r="AE1220" s="38"/>
      <c r="AF1220" s="38"/>
      <c r="AG1220" s="38"/>
      <c r="AH1220" s="60"/>
    </row>
    <row r="1221" spans="1:34" ht="15.75" customHeight="1">
      <c r="A1221" s="35"/>
      <c r="B1221" s="18" t="s">
        <v>4357</v>
      </c>
      <c r="C1221" s="19" t="s">
        <v>24</v>
      </c>
      <c r="D1221" s="25" t="s">
        <v>4358</v>
      </c>
      <c r="E1221" s="20" t="s">
        <v>4359</v>
      </c>
      <c r="F1221" s="19" t="s">
        <v>27</v>
      </c>
      <c r="G1221" s="19" t="s">
        <v>28</v>
      </c>
      <c r="H1221" s="19"/>
      <c r="I1221" s="21" t="s">
        <v>29</v>
      </c>
      <c r="J1221" s="21" t="s">
        <v>29</v>
      </c>
      <c r="K1221" s="22" t="s">
        <v>4360</v>
      </c>
      <c r="L1221" s="56">
        <v>45063</v>
      </c>
      <c r="O1221" s="42"/>
      <c r="P1221" s="40"/>
      <c r="Q1221" s="61"/>
      <c r="R1221" s="61"/>
      <c r="S1221" s="40"/>
      <c r="T1221" s="38"/>
      <c r="U1221" s="38"/>
      <c r="V1221" s="38"/>
      <c r="W1221" s="60"/>
      <c r="AB1221" s="42"/>
      <c r="AC1221" s="35"/>
      <c r="AD1221" s="38"/>
      <c r="AE1221" s="38"/>
      <c r="AF1221" s="38"/>
      <c r="AG1221" s="38"/>
      <c r="AH1221" s="60"/>
    </row>
    <row r="1222" spans="1:34" ht="15.75" customHeight="1">
      <c r="A1222" s="35"/>
      <c r="B1222" s="29" t="s">
        <v>4361</v>
      </c>
      <c r="C1222" s="37" t="s">
        <v>24</v>
      </c>
      <c r="D1222" s="25" t="s">
        <v>4362</v>
      </c>
      <c r="E1222" s="20" t="s">
        <v>4363</v>
      </c>
      <c r="F1222" s="19" t="s">
        <v>27</v>
      </c>
      <c r="G1222" s="19" t="s">
        <v>28</v>
      </c>
      <c r="H1222" s="19" t="s">
        <v>36</v>
      </c>
      <c r="I1222" s="21" t="s">
        <v>29</v>
      </c>
      <c r="J1222" s="21" t="s">
        <v>29</v>
      </c>
      <c r="K1222" s="22" t="s">
        <v>4364</v>
      </c>
      <c r="L1222" s="56">
        <v>45063</v>
      </c>
      <c r="O1222" s="42"/>
      <c r="P1222" s="40"/>
      <c r="Q1222" s="61"/>
      <c r="R1222" s="61"/>
      <c r="S1222" s="40"/>
      <c r="T1222" s="38"/>
      <c r="U1222" s="38"/>
      <c r="V1222" s="38"/>
      <c r="W1222" s="60"/>
      <c r="AB1222" s="42"/>
      <c r="AC1222" s="35"/>
      <c r="AD1222" s="38"/>
      <c r="AE1222" s="38"/>
      <c r="AF1222" s="38"/>
      <c r="AG1222" s="38"/>
      <c r="AH1222" s="60"/>
    </row>
    <row r="1223" spans="1:34" ht="15.75" customHeight="1">
      <c r="A1223" s="35"/>
      <c r="B1223" s="18" t="s">
        <v>4365</v>
      </c>
      <c r="C1223" s="19" t="s">
        <v>24</v>
      </c>
      <c r="D1223" s="25" t="s">
        <v>4366</v>
      </c>
      <c r="E1223" s="20" t="s">
        <v>4367</v>
      </c>
      <c r="F1223" s="19" t="s">
        <v>27</v>
      </c>
      <c r="G1223" s="19" t="s">
        <v>28</v>
      </c>
      <c r="H1223" s="19" t="s">
        <v>36</v>
      </c>
      <c r="I1223" s="21" t="s">
        <v>29</v>
      </c>
      <c r="J1223" s="21" t="s">
        <v>29</v>
      </c>
      <c r="K1223" s="22" t="s">
        <v>4368</v>
      </c>
      <c r="L1223" s="56">
        <v>45063</v>
      </c>
      <c r="O1223" s="42"/>
      <c r="P1223" s="40"/>
      <c r="Q1223" s="61"/>
      <c r="R1223" s="61"/>
      <c r="S1223" s="40"/>
      <c r="T1223" s="38"/>
      <c r="U1223" s="38"/>
      <c r="V1223" s="38"/>
      <c r="W1223" s="60"/>
      <c r="AB1223" s="42"/>
      <c r="AC1223" s="35"/>
      <c r="AD1223" s="38"/>
      <c r="AE1223" s="38"/>
      <c r="AF1223" s="38"/>
      <c r="AG1223" s="38"/>
      <c r="AH1223" s="60"/>
    </row>
    <row r="1224" spans="1:34" ht="15.75" customHeight="1">
      <c r="A1224" s="35"/>
      <c r="B1224" s="18" t="s">
        <v>4369</v>
      </c>
      <c r="C1224" s="19" t="s">
        <v>1486</v>
      </c>
      <c r="D1224" s="25" t="s">
        <v>4370</v>
      </c>
      <c r="E1224" s="20" t="s">
        <v>4371</v>
      </c>
      <c r="F1224" s="37" t="s">
        <v>1489</v>
      </c>
      <c r="G1224" s="37" t="s">
        <v>1490</v>
      </c>
      <c r="H1224" s="19"/>
      <c r="I1224" s="21" t="s">
        <v>1371</v>
      </c>
      <c r="J1224" s="21" t="s">
        <v>1371</v>
      </c>
      <c r="K1224" s="22" t="s">
        <v>4372</v>
      </c>
      <c r="L1224" s="56">
        <v>45063</v>
      </c>
      <c r="O1224" s="42"/>
      <c r="P1224" s="40"/>
      <c r="Q1224" s="61"/>
      <c r="R1224" s="61"/>
      <c r="S1224" s="40"/>
      <c r="T1224" s="38"/>
      <c r="U1224" s="38"/>
      <c r="V1224" s="38"/>
      <c r="W1224" s="60"/>
      <c r="AB1224" s="42"/>
      <c r="AC1224" s="35"/>
      <c r="AD1224" s="38"/>
      <c r="AE1224" s="38"/>
      <c r="AF1224" s="38"/>
      <c r="AG1224" s="38"/>
      <c r="AH1224" s="60"/>
    </row>
    <row r="1225" spans="1:34" ht="15.75" customHeight="1">
      <c r="A1225" s="35"/>
      <c r="B1225" s="18" t="s">
        <v>4373</v>
      </c>
      <c r="C1225" s="19" t="s">
        <v>24</v>
      </c>
      <c r="D1225" s="25" t="s">
        <v>4374</v>
      </c>
      <c r="E1225" s="20" t="s">
        <v>4375</v>
      </c>
      <c r="F1225" s="19" t="s">
        <v>27</v>
      </c>
      <c r="G1225" s="19" t="s">
        <v>28</v>
      </c>
      <c r="H1225" s="19"/>
      <c r="I1225" s="21" t="s">
        <v>29</v>
      </c>
      <c r="J1225" s="21" t="s">
        <v>29</v>
      </c>
      <c r="K1225" s="22" t="s">
        <v>4376</v>
      </c>
      <c r="L1225" s="56">
        <v>45063</v>
      </c>
      <c r="O1225" s="42"/>
      <c r="P1225" s="40"/>
      <c r="Q1225" s="61"/>
      <c r="R1225" s="61"/>
      <c r="S1225" s="40"/>
      <c r="T1225" s="38"/>
      <c r="U1225" s="38"/>
      <c r="V1225" s="38"/>
      <c r="W1225" s="60"/>
      <c r="AB1225" s="42"/>
      <c r="AC1225" s="35"/>
      <c r="AD1225" s="38"/>
      <c r="AE1225" s="38"/>
      <c r="AF1225" s="38"/>
      <c r="AG1225" s="38"/>
      <c r="AH1225" s="60"/>
    </row>
    <row r="1226" spans="1:34" ht="15.75" customHeight="1">
      <c r="A1226" s="35"/>
      <c r="B1226" s="18" t="s">
        <v>4377</v>
      </c>
      <c r="C1226" s="19" t="s">
        <v>24</v>
      </c>
      <c r="D1226" s="25" t="s">
        <v>4378</v>
      </c>
      <c r="E1226" s="20" t="s">
        <v>4379</v>
      </c>
      <c r="F1226" s="19" t="s">
        <v>27</v>
      </c>
      <c r="G1226" s="19" t="s">
        <v>28</v>
      </c>
      <c r="H1226" s="19" t="s">
        <v>36</v>
      </c>
      <c r="I1226" s="21" t="s">
        <v>29</v>
      </c>
      <c r="J1226" s="21" t="s">
        <v>29</v>
      </c>
      <c r="K1226" s="22" t="s">
        <v>4380</v>
      </c>
      <c r="L1226" s="56">
        <v>45063</v>
      </c>
      <c r="O1226" s="42"/>
      <c r="P1226" s="40"/>
      <c r="Q1226" s="61"/>
      <c r="R1226" s="61"/>
      <c r="S1226" s="40"/>
      <c r="T1226" s="38"/>
      <c r="U1226" s="38"/>
      <c r="V1226" s="38"/>
      <c r="W1226" s="60"/>
      <c r="AB1226" s="42"/>
      <c r="AC1226" s="35"/>
      <c r="AD1226" s="38"/>
      <c r="AE1226" s="38"/>
      <c r="AF1226" s="38"/>
      <c r="AG1226" s="38"/>
      <c r="AH1226" s="60"/>
    </row>
    <row r="1227" spans="1:34" ht="15.75" customHeight="1">
      <c r="A1227" s="35"/>
      <c r="B1227" s="29" t="s">
        <v>4381</v>
      </c>
      <c r="C1227" s="19" t="s">
        <v>87</v>
      </c>
      <c r="D1227" s="25" t="s">
        <v>4382</v>
      </c>
      <c r="E1227" s="20" t="s">
        <v>4383</v>
      </c>
      <c r="F1227" s="19" t="s">
        <v>90</v>
      </c>
      <c r="G1227" s="19" t="s">
        <v>91</v>
      </c>
      <c r="H1227" s="19"/>
      <c r="I1227" s="21" t="s">
        <v>29</v>
      </c>
      <c r="J1227" s="21" t="s">
        <v>29</v>
      </c>
      <c r="K1227" s="22" t="s">
        <v>4384</v>
      </c>
      <c r="L1227" s="56"/>
      <c r="O1227" s="42"/>
      <c r="P1227" s="40"/>
      <c r="Q1227" s="61"/>
      <c r="R1227" s="61"/>
      <c r="S1227" s="40"/>
      <c r="T1227" s="38"/>
      <c r="U1227" s="38"/>
      <c r="V1227" s="38"/>
      <c r="W1227" s="60"/>
      <c r="AB1227" s="42"/>
      <c r="AC1227" s="35"/>
      <c r="AD1227" s="38"/>
      <c r="AE1227" s="38"/>
      <c r="AF1227" s="38"/>
      <c r="AG1227" s="38"/>
      <c r="AH1227" s="60"/>
    </row>
    <row r="1228" spans="1:34" ht="15.75" customHeight="1">
      <c r="A1228" s="35"/>
      <c r="B1228" s="18" t="s">
        <v>4385</v>
      </c>
      <c r="C1228" s="19" t="s">
        <v>24</v>
      </c>
      <c r="D1228" s="25" t="s">
        <v>4386</v>
      </c>
      <c r="E1228" s="20" t="s">
        <v>4387</v>
      </c>
      <c r="F1228" s="19" t="s">
        <v>27</v>
      </c>
      <c r="G1228" s="19" t="s">
        <v>28</v>
      </c>
      <c r="H1228" s="19" t="s">
        <v>36</v>
      </c>
      <c r="I1228" s="21" t="s">
        <v>29</v>
      </c>
      <c r="J1228" s="21" t="s">
        <v>29</v>
      </c>
      <c r="K1228" s="22" t="s">
        <v>4388</v>
      </c>
      <c r="L1228" s="56">
        <v>45063</v>
      </c>
      <c r="O1228" s="42"/>
      <c r="P1228" s="40"/>
      <c r="Q1228" s="61"/>
      <c r="R1228" s="61"/>
      <c r="S1228" s="40"/>
      <c r="T1228" s="38"/>
      <c r="U1228" s="38"/>
      <c r="V1228" s="38"/>
      <c r="W1228" s="60"/>
      <c r="AB1228" s="42"/>
      <c r="AC1228" s="35"/>
      <c r="AD1228" s="38"/>
      <c r="AE1228" s="38"/>
      <c r="AF1228" s="38"/>
      <c r="AG1228" s="38"/>
      <c r="AH1228" s="60"/>
    </row>
    <row r="1229" spans="1:34" ht="15.75" customHeight="1">
      <c r="A1229" s="35"/>
      <c r="B1229" s="18" t="s">
        <v>4389</v>
      </c>
      <c r="C1229" s="19" t="s">
        <v>46</v>
      </c>
      <c r="D1229" s="25" t="s">
        <v>4390</v>
      </c>
      <c r="E1229" s="20" t="s">
        <v>4391</v>
      </c>
      <c r="F1229" s="37" t="s">
        <v>49</v>
      </c>
      <c r="G1229" s="19" t="s">
        <v>50</v>
      </c>
      <c r="H1229" s="19" t="s">
        <v>36</v>
      </c>
      <c r="I1229" s="21" t="s">
        <v>29</v>
      </c>
      <c r="J1229" s="21" t="s">
        <v>29</v>
      </c>
      <c r="K1229" s="22" t="s">
        <v>4392</v>
      </c>
      <c r="L1229" s="56">
        <v>45063</v>
      </c>
      <c r="O1229" s="42"/>
      <c r="P1229" s="40"/>
      <c r="Q1229" s="61"/>
      <c r="R1229" s="61"/>
      <c r="S1229" s="40"/>
      <c r="T1229" s="38"/>
      <c r="U1229" s="38"/>
      <c r="V1229" s="38"/>
      <c r="W1229" s="60"/>
      <c r="AB1229" s="42"/>
      <c r="AC1229" s="35"/>
      <c r="AD1229" s="38"/>
      <c r="AE1229" s="38"/>
      <c r="AF1229" s="38"/>
      <c r="AG1229" s="38"/>
      <c r="AH1229" s="60"/>
    </row>
    <row r="1230" spans="1:34" ht="15.75" customHeight="1">
      <c r="A1230" s="35"/>
      <c r="B1230" s="18" t="s">
        <v>4393</v>
      </c>
      <c r="C1230" s="19" t="s">
        <v>24</v>
      </c>
      <c r="D1230" s="25" t="s">
        <v>4394</v>
      </c>
      <c r="E1230" s="20" t="s">
        <v>4395</v>
      </c>
      <c r="F1230" s="19" t="s">
        <v>27</v>
      </c>
      <c r="G1230" s="19" t="s">
        <v>28</v>
      </c>
      <c r="H1230" s="19"/>
      <c r="I1230" s="21" t="s">
        <v>29</v>
      </c>
      <c r="J1230" s="21" t="s">
        <v>29</v>
      </c>
      <c r="K1230" s="22" t="s">
        <v>4396</v>
      </c>
      <c r="L1230" s="56">
        <v>45063</v>
      </c>
      <c r="O1230" s="42"/>
      <c r="P1230" s="40"/>
      <c r="Q1230" s="61"/>
      <c r="R1230" s="61"/>
      <c r="S1230" s="40"/>
      <c r="T1230" s="38"/>
      <c r="U1230" s="38"/>
      <c r="V1230" s="38"/>
      <c r="W1230" s="60"/>
      <c r="AB1230" s="42"/>
      <c r="AC1230" s="35"/>
      <c r="AD1230" s="38"/>
      <c r="AE1230" s="38"/>
      <c r="AF1230" s="38"/>
      <c r="AG1230" s="38"/>
      <c r="AH1230" s="60"/>
    </row>
    <row r="1231" spans="1:34" ht="15.75" customHeight="1">
      <c r="A1231" s="35"/>
      <c r="B1231" s="18" t="s">
        <v>4397</v>
      </c>
      <c r="C1231" s="19" t="s">
        <v>46</v>
      </c>
      <c r="D1231" s="25" t="s">
        <v>4398</v>
      </c>
      <c r="E1231" s="20" t="s">
        <v>4399</v>
      </c>
      <c r="F1231" s="37" t="s">
        <v>49</v>
      </c>
      <c r="G1231" s="19" t="s">
        <v>50</v>
      </c>
      <c r="H1231" s="19" t="s">
        <v>36</v>
      </c>
      <c r="I1231" s="21" t="s">
        <v>29</v>
      </c>
      <c r="J1231" s="21" t="s">
        <v>29</v>
      </c>
      <c r="K1231" s="22" t="s">
        <v>4400</v>
      </c>
      <c r="L1231" s="56">
        <v>45063</v>
      </c>
      <c r="O1231" s="42"/>
      <c r="P1231" s="40"/>
      <c r="Q1231" s="61"/>
      <c r="R1231" s="61"/>
      <c r="S1231" s="40"/>
      <c r="T1231" s="38"/>
      <c r="U1231" s="38"/>
      <c r="V1231" s="38"/>
      <c r="W1231" s="60"/>
      <c r="AB1231" s="42"/>
      <c r="AC1231" s="35"/>
      <c r="AD1231" s="38"/>
      <c r="AE1231" s="38"/>
      <c r="AF1231" s="38"/>
      <c r="AG1231" s="38"/>
      <c r="AH1231" s="60"/>
    </row>
    <row r="1232" spans="1:34" ht="15.75" customHeight="1">
      <c r="A1232" s="35"/>
      <c r="B1232" s="18" t="s">
        <v>4401</v>
      </c>
      <c r="C1232" s="19" t="s">
        <v>24</v>
      </c>
      <c r="D1232" s="25" t="s">
        <v>4402</v>
      </c>
      <c r="E1232" s="20" t="s">
        <v>4403</v>
      </c>
      <c r="F1232" s="19" t="s">
        <v>27</v>
      </c>
      <c r="G1232" s="19" t="s">
        <v>28</v>
      </c>
      <c r="H1232" s="37" t="s">
        <v>813</v>
      </c>
      <c r="I1232" s="21" t="s">
        <v>29</v>
      </c>
      <c r="J1232" s="21" t="s">
        <v>29</v>
      </c>
      <c r="K1232" s="22" t="s">
        <v>4404</v>
      </c>
      <c r="L1232" s="56">
        <v>45063</v>
      </c>
      <c r="O1232" s="42"/>
      <c r="P1232" s="40"/>
      <c r="Q1232" s="61"/>
      <c r="R1232" s="61"/>
      <c r="S1232" s="40"/>
      <c r="T1232" s="38"/>
      <c r="U1232" s="38"/>
      <c r="V1232" s="38"/>
      <c r="W1232" s="60"/>
      <c r="AB1232" s="42"/>
      <c r="AC1232" s="35"/>
      <c r="AD1232" s="38"/>
      <c r="AE1232" s="38"/>
      <c r="AF1232" s="38"/>
      <c r="AG1232" s="38"/>
      <c r="AH1232" s="60"/>
    </row>
    <row r="1233" spans="1:34" ht="15.75" customHeight="1">
      <c r="A1233" s="35"/>
      <c r="B1233" s="18" t="s">
        <v>4405</v>
      </c>
      <c r="C1233" s="19" t="s">
        <v>24</v>
      </c>
      <c r="D1233" s="25" t="s">
        <v>4406</v>
      </c>
      <c r="E1233" s="20" t="s">
        <v>4407</v>
      </c>
      <c r="F1233" s="19" t="s">
        <v>27</v>
      </c>
      <c r="G1233" s="19" t="s">
        <v>28</v>
      </c>
      <c r="H1233" s="37" t="s">
        <v>813</v>
      </c>
      <c r="I1233" s="21" t="s">
        <v>29</v>
      </c>
      <c r="J1233" s="21" t="s">
        <v>29</v>
      </c>
      <c r="K1233" s="22" t="s">
        <v>4408</v>
      </c>
      <c r="L1233" s="56">
        <v>45063</v>
      </c>
      <c r="O1233" s="42"/>
      <c r="P1233" s="40"/>
      <c r="Q1233" s="61"/>
      <c r="R1233" s="61"/>
      <c r="S1233" s="40"/>
      <c r="T1233" s="38"/>
      <c r="U1233" s="38"/>
      <c r="V1233" s="38"/>
      <c r="W1233" s="60"/>
      <c r="AB1233" s="42"/>
      <c r="AC1233" s="35"/>
      <c r="AD1233" s="38"/>
      <c r="AE1233" s="38"/>
      <c r="AF1233" s="38"/>
      <c r="AG1233" s="38"/>
      <c r="AH1233" s="60"/>
    </row>
    <row r="1234" spans="1:34" ht="15.75" customHeight="1">
      <c r="A1234" s="35"/>
      <c r="B1234" s="18" t="s">
        <v>4409</v>
      </c>
      <c r="C1234" s="19" t="s">
        <v>24</v>
      </c>
      <c r="D1234" s="25" t="s">
        <v>4410</v>
      </c>
      <c r="E1234" s="20" t="s">
        <v>4411</v>
      </c>
      <c r="F1234" s="19" t="s">
        <v>27</v>
      </c>
      <c r="G1234" s="19" t="s">
        <v>28</v>
      </c>
      <c r="H1234" s="19" t="s">
        <v>36</v>
      </c>
      <c r="I1234" s="21" t="s">
        <v>29</v>
      </c>
      <c r="J1234" s="21" t="s">
        <v>29</v>
      </c>
      <c r="K1234" s="22" t="s">
        <v>4412</v>
      </c>
      <c r="L1234" s="56">
        <v>45063</v>
      </c>
      <c r="O1234" s="42"/>
      <c r="P1234" s="40"/>
      <c r="Q1234" s="61"/>
      <c r="R1234" s="61"/>
      <c r="S1234" s="40"/>
      <c r="T1234" s="38"/>
      <c r="U1234" s="38"/>
      <c r="V1234" s="38"/>
      <c r="W1234" s="60"/>
      <c r="AB1234" s="42"/>
      <c r="AC1234" s="35"/>
      <c r="AD1234" s="38"/>
      <c r="AE1234" s="38"/>
      <c r="AF1234" s="38"/>
      <c r="AG1234" s="38"/>
      <c r="AH1234" s="60"/>
    </row>
    <row r="1235" spans="1:34" ht="15.75" customHeight="1">
      <c r="A1235" s="35"/>
      <c r="B1235" s="18" t="s">
        <v>4413</v>
      </c>
      <c r="C1235" s="19" t="s">
        <v>24</v>
      </c>
      <c r="D1235" s="25" t="s">
        <v>4414</v>
      </c>
      <c r="E1235" s="20" t="s">
        <v>4415</v>
      </c>
      <c r="F1235" s="19" t="s">
        <v>27</v>
      </c>
      <c r="G1235" s="19" t="s">
        <v>28</v>
      </c>
      <c r="H1235" s="19"/>
      <c r="I1235" s="21" t="s">
        <v>29</v>
      </c>
      <c r="J1235" s="21" t="s">
        <v>29</v>
      </c>
      <c r="K1235" s="22" t="s">
        <v>4416</v>
      </c>
      <c r="L1235" s="56">
        <v>45063</v>
      </c>
      <c r="O1235" s="42"/>
      <c r="P1235" s="40"/>
      <c r="Q1235" s="61"/>
      <c r="R1235" s="61"/>
      <c r="S1235" s="40"/>
      <c r="T1235" s="38"/>
      <c r="U1235" s="38"/>
      <c r="V1235" s="38"/>
      <c r="W1235" s="60"/>
      <c r="AB1235" s="42"/>
      <c r="AC1235" s="35"/>
      <c r="AD1235" s="38"/>
      <c r="AE1235" s="38"/>
      <c r="AF1235" s="38"/>
      <c r="AG1235" s="38"/>
      <c r="AH1235" s="60"/>
    </row>
    <row r="1236" spans="1:34" ht="15.75" customHeight="1">
      <c r="A1236" s="35"/>
      <c r="B1236" s="18" t="s">
        <v>4417</v>
      </c>
      <c r="C1236" s="19" t="s">
        <v>46</v>
      </c>
      <c r="D1236" s="25" t="s">
        <v>4418</v>
      </c>
      <c r="E1236" s="20" t="s">
        <v>4419</v>
      </c>
      <c r="F1236" s="37" t="s">
        <v>49</v>
      </c>
      <c r="G1236" s="19" t="s">
        <v>50</v>
      </c>
      <c r="H1236" s="19" t="s">
        <v>36</v>
      </c>
      <c r="I1236" s="21" t="s">
        <v>29</v>
      </c>
      <c r="J1236" s="21" t="s">
        <v>29</v>
      </c>
      <c r="K1236" s="22" t="s">
        <v>4420</v>
      </c>
      <c r="L1236" s="56">
        <v>45063</v>
      </c>
      <c r="O1236" s="42"/>
      <c r="P1236" s="40"/>
      <c r="Q1236" s="61"/>
      <c r="R1236" s="61"/>
      <c r="S1236" s="40"/>
      <c r="T1236" s="38"/>
      <c r="U1236" s="38"/>
      <c r="V1236" s="38"/>
      <c r="W1236" s="60"/>
      <c r="AB1236" s="42"/>
      <c r="AC1236" s="35"/>
      <c r="AD1236" s="38"/>
      <c r="AE1236" s="38"/>
      <c r="AF1236" s="38"/>
      <c r="AG1236" s="38"/>
      <c r="AH1236" s="60"/>
    </row>
    <row r="1237" spans="1:34" ht="15.75" customHeight="1">
      <c r="A1237" s="35"/>
      <c r="B1237" s="18" t="s">
        <v>4421</v>
      </c>
      <c r="C1237" s="19" t="s">
        <v>24</v>
      </c>
      <c r="D1237" s="25" t="s">
        <v>4422</v>
      </c>
      <c r="E1237" s="20" t="s">
        <v>4423</v>
      </c>
      <c r="F1237" s="19" t="s">
        <v>27</v>
      </c>
      <c r="G1237" s="19" t="s">
        <v>28</v>
      </c>
      <c r="H1237" s="19"/>
      <c r="I1237" s="21" t="s">
        <v>29</v>
      </c>
      <c r="J1237" s="21" t="s">
        <v>29</v>
      </c>
      <c r="K1237" s="22" t="s">
        <v>4424</v>
      </c>
      <c r="L1237" s="56">
        <v>45063</v>
      </c>
      <c r="O1237" s="42"/>
      <c r="P1237" s="40"/>
      <c r="Q1237" s="61"/>
      <c r="R1237" s="61"/>
      <c r="S1237" s="40"/>
      <c r="T1237" s="38"/>
      <c r="U1237" s="38"/>
      <c r="V1237" s="38"/>
      <c r="W1237" s="60"/>
      <c r="AB1237" s="42"/>
      <c r="AC1237" s="35"/>
      <c r="AD1237" s="38"/>
      <c r="AE1237" s="38"/>
      <c r="AF1237" s="38"/>
      <c r="AG1237" s="38"/>
      <c r="AH1237" s="60"/>
    </row>
    <row r="1238" spans="1:34" ht="15.75" customHeight="1">
      <c r="A1238" s="35"/>
      <c r="B1238" s="18" t="s">
        <v>4425</v>
      </c>
      <c r="C1238" s="19" t="s">
        <v>87</v>
      </c>
      <c r="D1238" s="25" t="s">
        <v>4426</v>
      </c>
      <c r="E1238" s="20" t="s">
        <v>4427</v>
      </c>
      <c r="F1238" s="19" t="s">
        <v>90</v>
      </c>
      <c r="G1238" s="19" t="s">
        <v>91</v>
      </c>
      <c r="H1238" s="19"/>
      <c r="I1238" s="21" t="s">
        <v>29</v>
      </c>
      <c r="J1238" s="21" t="s">
        <v>29</v>
      </c>
      <c r="K1238" s="22" t="s">
        <v>4428</v>
      </c>
      <c r="L1238" s="56">
        <v>45063</v>
      </c>
      <c r="O1238" s="42"/>
      <c r="P1238" s="40"/>
      <c r="Q1238" s="61"/>
      <c r="R1238" s="61"/>
      <c r="S1238" s="40"/>
      <c r="T1238" s="38"/>
      <c r="U1238" s="38"/>
      <c r="V1238" s="38"/>
      <c r="W1238" s="60"/>
      <c r="AB1238" s="42"/>
      <c r="AC1238" s="35"/>
      <c r="AD1238" s="38"/>
      <c r="AE1238" s="38"/>
      <c r="AF1238" s="38"/>
      <c r="AG1238" s="38"/>
      <c r="AH1238" s="60"/>
    </row>
    <row r="1239" spans="1:34" ht="15.75" customHeight="1">
      <c r="A1239" s="35"/>
      <c r="B1239" s="18" t="s">
        <v>4429</v>
      </c>
      <c r="C1239" s="19" t="s">
        <v>46</v>
      </c>
      <c r="D1239" s="25" t="s">
        <v>4430</v>
      </c>
      <c r="E1239" s="20" t="s">
        <v>4431</v>
      </c>
      <c r="F1239" s="37" t="s">
        <v>49</v>
      </c>
      <c r="G1239" s="19" t="s">
        <v>50</v>
      </c>
      <c r="H1239" s="19" t="s">
        <v>36</v>
      </c>
      <c r="I1239" s="21" t="s">
        <v>29</v>
      </c>
      <c r="J1239" s="21" t="s">
        <v>29</v>
      </c>
      <c r="K1239" s="22" t="s">
        <v>4432</v>
      </c>
      <c r="L1239" s="56">
        <v>45063</v>
      </c>
      <c r="O1239" s="42"/>
      <c r="P1239" s="40"/>
      <c r="Q1239" s="61"/>
      <c r="R1239" s="61"/>
      <c r="S1239" s="40"/>
      <c r="T1239" s="38"/>
      <c r="U1239" s="38"/>
      <c r="V1239" s="38"/>
      <c r="W1239" s="60"/>
      <c r="AB1239" s="42"/>
      <c r="AC1239" s="35"/>
      <c r="AD1239" s="38"/>
      <c r="AE1239" s="38"/>
      <c r="AF1239" s="38"/>
      <c r="AG1239" s="38"/>
      <c r="AH1239" s="60"/>
    </row>
    <row r="1240" spans="1:34" ht="15.75" customHeight="1">
      <c r="A1240" s="35"/>
      <c r="B1240" s="18" t="s">
        <v>4433</v>
      </c>
      <c r="C1240" s="19" t="s">
        <v>46</v>
      </c>
      <c r="D1240" s="25" t="s">
        <v>4434</v>
      </c>
      <c r="E1240" s="20" t="s">
        <v>4435</v>
      </c>
      <c r="F1240" s="37" t="s">
        <v>49</v>
      </c>
      <c r="G1240" s="19" t="s">
        <v>50</v>
      </c>
      <c r="H1240" s="19" t="s">
        <v>36</v>
      </c>
      <c r="I1240" s="21" t="s">
        <v>29</v>
      </c>
      <c r="J1240" s="21" t="s">
        <v>29</v>
      </c>
      <c r="K1240" s="22" t="s">
        <v>4436</v>
      </c>
      <c r="L1240" s="56">
        <v>45063</v>
      </c>
      <c r="O1240" s="42"/>
      <c r="P1240" s="40"/>
      <c r="Q1240" s="61"/>
      <c r="R1240" s="61"/>
      <c r="S1240" s="40"/>
      <c r="T1240" s="38"/>
      <c r="U1240" s="38"/>
      <c r="V1240" s="38"/>
      <c r="W1240" s="60"/>
      <c r="AB1240" s="42"/>
      <c r="AC1240" s="35"/>
      <c r="AD1240" s="38"/>
      <c r="AE1240" s="38"/>
      <c r="AF1240" s="38"/>
      <c r="AG1240" s="38"/>
      <c r="AH1240" s="60"/>
    </row>
    <row r="1241" spans="1:34" ht="15.75" customHeight="1">
      <c r="A1241" s="35"/>
      <c r="B1241" s="38"/>
      <c r="C1241" s="37"/>
      <c r="D1241" s="25"/>
      <c r="E1241" s="25"/>
      <c r="F1241" s="37"/>
      <c r="G1241" s="37"/>
      <c r="H1241" s="37"/>
      <c r="I1241" s="37"/>
      <c r="J1241" s="37"/>
      <c r="K1241" s="22"/>
      <c r="L1241" s="39"/>
      <c r="O1241" s="42"/>
      <c r="P1241" s="40"/>
      <c r="Q1241" s="61"/>
      <c r="R1241" s="61"/>
      <c r="S1241" s="40"/>
      <c r="T1241" s="38"/>
      <c r="U1241" s="38"/>
      <c r="V1241" s="38"/>
      <c r="W1241" s="60"/>
      <c r="AB1241" s="42"/>
      <c r="AC1241" s="35"/>
      <c r="AD1241" s="38"/>
      <c r="AE1241" s="38"/>
      <c r="AF1241" s="38"/>
      <c r="AG1241" s="38"/>
      <c r="AH1241" s="60"/>
    </row>
    <row r="1242" spans="1:34" ht="15.75" customHeight="1">
      <c r="A1242" s="35"/>
      <c r="B1242" s="38"/>
      <c r="C1242" s="37"/>
      <c r="D1242" s="25"/>
      <c r="E1242" s="25"/>
      <c r="F1242" s="37"/>
      <c r="G1242" s="37"/>
      <c r="H1242" s="37"/>
      <c r="I1242" s="37"/>
      <c r="J1242" s="37"/>
      <c r="K1242" s="22"/>
      <c r="L1242" s="39"/>
      <c r="O1242" s="42"/>
      <c r="P1242" s="40"/>
      <c r="Q1242" s="61"/>
      <c r="R1242" s="61"/>
      <c r="S1242" s="40"/>
      <c r="T1242" s="38"/>
      <c r="U1242" s="38"/>
      <c r="V1242" s="38"/>
      <c r="W1242" s="60"/>
      <c r="AB1242" s="42"/>
      <c r="AC1242" s="35"/>
      <c r="AD1242" s="38"/>
      <c r="AE1242" s="38"/>
      <c r="AF1242" s="38"/>
      <c r="AG1242" s="38"/>
      <c r="AH1242" s="60"/>
    </row>
    <row r="1243" spans="1:34" ht="15.75" customHeight="1">
      <c r="A1243" s="35"/>
      <c r="B1243" s="38"/>
      <c r="C1243" s="37"/>
      <c r="D1243" s="25"/>
      <c r="E1243" s="25"/>
      <c r="F1243" s="37"/>
      <c r="G1243" s="37"/>
      <c r="H1243" s="37"/>
      <c r="I1243" s="37"/>
      <c r="J1243" s="37"/>
      <c r="K1243" s="22"/>
      <c r="L1243" s="39"/>
      <c r="O1243" s="42"/>
      <c r="P1243" s="40"/>
      <c r="Q1243" s="61"/>
      <c r="R1243" s="61"/>
      <c r="S1243" s="40"/>
      <c r="T1243" s="38"/>
      <c r="U1243" s="38"/>
      <c r="V1243" s="38"/>
      <c r="W1243" s="60"/>
      <c r="AB1243" s="42"/>
      <c r="AC1243" s="35"/>
      <c r="AD1243" s="38"/>
      <c r="AE1243" s="38"/>
      <c r="AF1243" s="38"/>
      <c r="AG1243" s="38"/>
      <c r="AH1243" s="60"/>
    </row>
    <row r="1244" spans="1:34" ht="15.75" customHeight="1">
      <c r="A1244" s="35"/>
      <c r="B1244" s="38"/>
      <c r="C1244" s="37"/>
      <c r="D1244" s="25"/>
      <c r="E1244" s="25"/>
      <c r="F1244" s="37"/>
      <c r="G1244" s="37"/>
      <c r="H1244" s="37"/>
      <c r="I1244" s="37"/>
      <c r="J1244" s="37"/>
      <c r="K1244" s="22"/>
      <c r="L1244" s="39"/>
      <c r="O1244" s="42"/>
      <c r="P1244" s="40"/>
      <c r="Q1244" s="61"/>
      <c r="R1244" s="61"/>
      <c r="S1244" s="40"/>
      <c r="T1244" s="38"/>
      <c r="U1244" s="38"/>
      <c r="V1244" s="38"/>
      <c r="W1244" s="60"/>
      <c r="AB1244" s="42"/>
      <c r="AC1244" s="35"/>
      <c r="AD1244" s="38"/>
      <c r="AE1244" s="38"/>
      <c r="AF1244" s="38"/>
      <c r="AG1244" s="38"/>
      <c r="AH1244" s="60"/>
    </row>
    <row r="1245" spans="1:34" ht="15.75" customHeight="1">
      <c r="A1245" s="35"/>
      <c r="B1245" s="38"/>
      <c r="C1245" s="37"/>
      <c r="D1245" s="20"/>
      <c r="E1245" s="20"/>
      <c r="F1245" s="37"/>
      <c r="G1245" s="37"/>
      <c r="H1245" s="37"/>
      <c r="I1245" s="21"/>
      <c r="J1245" s="21"/>
      <c r="K1245" s="22"/>
      <c r="L1245" s="39"/>
      <c r="O1245" s="42"/>
      <c r="P1245" s="40"/>
      <c r="Q1245" s="61"/>
      <c r="R1245" s="61"/>
      <c r="S1245" s="40"/>
      <c r="T1245" s="38"/>
      <c r="U1245" s="38"/>
      <c r="V1245" s="38"/>
      <c r="W1245" s="60"/>
      <c r="AB1245" s="42"/>
      <c r="AC1245" s="35"/>
      <c r="AD1245" s="38"/>
      <c r="AE1245" s="38"/>
      <c r="AF1245" s="38"/>
      <c r="AG1245" s="38"/>
      <c r="AH1245" s="60"/>
    </row>
    <row r="1246" spans="1:34" ht="15.75" customHeight="1">
      <c r="A1246" s="35" t="s">
        <v>4437</v>
      </c>
      <c r="B1246" s="18" t="s">
        <v>4438</v>
      </c>
      <c r="C1246" s="37" t="s">
        <v>412</v>
      </c>
      <c r="D1246" s="20" t="s">
        <v>4439</v>
      </c>
      <c r="E1246" s="20" t="s">
        <v>55</v>
      </c>
      <c r="F1246" s="19" t="s">
        <v>414</v>
      </c>
      <c r="G1246" s="19" t="s">
        <v>415</v>
      </c>
      <c r="H1246" s="37"/>
      <c r="I1246" s="21" t="s">
        <v>233</v>
      </c>
      <c r="J1246" s="21" t="s">
        <v>233</v>
      </c>
      <c r="K1246" s="22" t="s">
        <v>55</v>
      </c>
      <c r="L1246" s="56">
        <v>45063</v>
      </c>
      <c r="M1246" s="40"/>
      <c r="N1246" s="40"/>
      <c r="O1246" s="42"/>
      <c r="P1246" s="40"/>
      <c r="Q1246" s="61"/>
      <c r="R1246" s="61"/>
      <c r="S1246" s="40"/>
      <c r="T1246" s="38"/>
      <c r="U1246" s="38"/>
      <c r="V1246" s="38"/>
      <c r="W1246" s="60"/>
      <c r="AB1246" s="42"/>
      <c r="AC1246" s="35"/>
      <c r="AD1246" s="38"/>
      <c r="AE1246" s="38"/>
      <c r="AF1246" s="38"/>
      <c r="AG1246" s="38"/>
      <c r="AH1246" s="60"/>
    </row>
    <row r="1247" spans="1:34" ht="15.75" customHeight="1">
      <c r="A1247" s="54" t="s">
        <v>4440</v>
      </c>
      <c r="B1247" s="18" t="s">
        <v>4441</v>
      </c>
      <c r="C1247" s="19" t="s">
        <v>24</v>
      </c>
      <c r="D1247" s="20" t="s">
        <v>4442</v>
      </c>
      <c r="E1247" s="20" t="s">
        <v>4443</v>
      </c>
      <c r="F1247" s="19" t="s">
        <v>27</v>
      </c>
      <c r="G1247" s="19" t="s">
        <v>28</v>
      </c>
      <c r="H1247" s="19" t="s">
        <v>36</v>
      </c>
      <c r="I1247" s="21" t="s">
        <v>29</v>
      </c>
      <c r="J1247" s="21" t="s">
        <v>29</v>
      </c>
      <c r="K1247" s="22" t="s">
        <v>4444</v>
      </c>
      <c r="L1247" s="56">
        <v>45063</v>
      </c>
      <c r="O1247" s="42"/>
      <c r="P1247" s="40"/>
      <c r="Q1247" s="61"/>
      <c r="R1247" s="61"/>
      <c r="S1247" s="40"/>
      <c r="T1247" s="38"/>
      <c r="U1247" s="38"/>
      <c r="V1247" s="38"/>
      <c r="W1247" s="60"/>
      <c r="AB1247" s="42"/>
      <c r="AC1247" s="35"/>
      <c r="AD1247" s="38"/>
      <c r="AE1247" s="38"/>
      <c r="AF1247" s="38"/>
      <c r="AG1247" s="38"/>
      <c r="AH1247" s="60"/>
    </row>
    <row r="1248" spans="1:34" ht="15.75" customHeight="1">
      <c r="A1248" s="50" t="s">
        <v>39</v>
      </c>
      <c r="B1248" s="18" t="s">
        <v>4445</v>
      </c>
      <c r="C1248" s="19" t="s">
        <v>24</v>
      </c>
      <c r="D1248" s="20" t="s">
        <v>4446</v>
      </c>
      <c r="E1248" s="20" t="s">
        <v>4447</v>
      </c>
      <c r="F1248" s="19" t="s">
        <v>27</v>
      </c>
      <c r="G1248" s="19" t="s">
        <v>28</v>
      </c>
      <c r="H1248" s="19"/>
      <c r="I1248" s="21" t="s">
        <v>29</v>
      </c>
      <c r="J1248" s="21" t="s">
        <v>29</v>
      </c>
      <c r="K1248" s="22" t="s">
        <v>4448</v>
      </c>
      <c r="L1248" s="56">
        <v>45063</v>
      </c>
      <c r="O1248" s="42"/>
      <c r="P1248" s="40"/>
      <c r="Q1248" s="61"/>
      <c r="R1248" s="61"/>
      <c r="S1248" s="40"/>
      <c r="T1248" s="38"/>
      <c r="U1248" s="38"/>
      <c r="V1248" s="38"/>
      <c r="W1248" s="60"/>
      <c r="AB1248" s="42"/>
      <c r="AC1248" s="35"/>
      <c r="AD1248" s="38"/>
      <c r="AE1248" s="38"/>
      <c r="AF1248" s="38"/>
      <c r="AG1248" s="38"/>
      <c r="AH1248" s="60"/>
    </row>
    <row r="1249" spans="1:34" ht="15.75" customHeight="1">
      <c r="A1249" s="35" t="s">
        <v>3898</v>
      </c>
      <c r="B1249" s="18" t="s">
        <v>4449</v>
      </c>
      <c r="C1249" s="19" t="s">
        <v>87</v>
      </c>
      <c r="D1249" s="20" t="s">
        <v>4450</v>
      </c>
      <c r="E1249" s="20" t="s">
        <v>4451</v>
      </c>
      <c r="F1249" s="19" t="s">
        <v>90</v>
      </c>
      <c r="G1249" s="19" t="s">
        <v>91</v>
      </c>
      <c r="H1249" s="19"/>
      <c r="I1249" s="21" t="s">
        <v>29</v>
      </c>
      <c r="J1249" s="21" t="s">
        <v>29</v>
      </c>
      <c r="K1249" s="22" t="s">
        <v>4452</v>
      </c>
      <c r="L1249" s="56">
        <v>45063</v>
      </c>
      <c r="O1249" s="42"/>
      <c r="P1249" s="40"/>
      <c r="Q1249" s="61"/>
      <c r="R1249" s="61"/>
      <c r="S1249" s="40"/>
      <c r="T1249" s="38"/>
      <c r="U1249" s="38"/>
      <c r="V1249" s="38"/>
      <c r="W1249" s="60"/>
      <c r="AB1249" s="42"/>
      <c r="AC1249" s="35"/>
      <c r="AD1249" s="38"/>
      <c r="AE1249" s="38"/>
      <c r="AF1249" s="38"/>
      <c r="AG1249" s="38"/>
      <c r="AH1249" s="60"/>
    </row>
    <row r="1250" spans="1:34" ht="15.75" customHeight="1">
      <c r="A1250" s="35" t="s">
        <v>4083</v>
      </c>
      <c r="B1250" s="36" t="s">
        <v>4453</v>
      </c>
      <c r="C1250" s="19" t="s">
        <v>121</v>
      </c>
      <c r="D1250" s="20" t="s">
        <v>4454</v>
      </c>
      <c r="E1250" s="20"/>
      <c r="F1250" s="19" t="s">
        <v>27</v>
      </c>
      <c r="G1250" s="19" t="s">
        <v>4455</v>
      </c>
      <c r="H1250" s="19"/>
      <c r="I1250" s="21" t="s">
        <v>29</v>
      </c>
      <c r="J1250" s="19" t="s">
        <v>4455</v>
      </c>
      <c r="K1250" s="22"/>
      <c r="L1250" s="56">
        <v>45063</v>
      </c>
      <c r="O1250" s="42"/>
      <c r="P1250" s="40"/>
      <c r="Q1250" s="61"/>
      <c r="R1250" s="61"/>
      <c r="S1250" s="40"/>
      <c r="T1250" s="38"/>
      <c r="U1250" s="38"/>
      <c r="V1250" s="38"/>
      <c r="W1250" s="60"/>
      <c r="AB1250" s="42"/>
      <c r="AC1250" s="35"/>
      <c r="AD1250" s="38"/>
      <c r="AE1250" s="38"/>
      <c r="AF1250" s="38"/>
      <c r="AG1250" s="38"/>
      <c r="AH1250" s="60"/>
    </row>
    <row r="1251" spans="1:34" ht="15.75" customHeight="1">
      <c r="A1251" s="31" t="s">
        <v>56</v>
      </c>
      <c r="B1251" s="18" t="s">
        <v>4456</v>
      </c>
      <c r="C1251" s="19" t="s">
        <v>24</v>
      </c>
      <c r="D1251" s="20" t="s">
        <v>4457</v>
      </c>
      <c r="E1251" s="20" t="s">
        <v>4458</v>
      </c>
      <c r="F1251" s="19" t="s">
        <v>27</v>
      </c>
      <c r="G1251" s="19" t="s">
        <v>28</v>
      </c>
      <c r="H1251" s="19" t="s">
        <v>36</v>
      </c>
      <c r="I1251" s="21" t="s">
        <v>29</v>
      </c>
      <c r="J1251" s="21" t="s">
        <v>29</v>
      </c>
      <c r="K1251" s="22" t="s">
        <v>4459</v>
      </c>
      <c r="L1251" s="56">
        <v>45063</v>
      </c>
      <c r="O1251" s="42"/>
      <c r="P1251" s="40"/>
      <c r="Q1251" s="61"/>
      <c r="R1251" s="61"/>
      <c r="S1251" s="40"/>
      <c r="T1251" s="38"/>
      <c r="U1251" s="38"/>
      <c r="V1251" s="38"/>
      <c r="W1251" s="60"/>
      <c r="AB1251" s="42"/>
      <c r="AC1251" s="35"/>
      <c r="AD1251" s="38"/>
      <c r="AE1251" s="38"/>
      <c r="AF1251" s="38"/>
      <c r="AG1251" s="38"/>
      <c r="AH1251" s="60"/>
    </row>
    <row r="1252" spans="1:34" ht="15.75" customHeight="1">
      <c r="A1252" s="17">
        <v>76</v>
      </c>
      <c r="B1252" s="29" t="s">
        <v>4460</v>
      </c>
      <c r="C1252" s="37" t="s">
        <v>1638</v>
      </c>
      <c r="D1252" s="20" t="s">
        <v>4461</v>
      </c>
      <c r="E1252" s="20" t="s">
        <v>4462</v>
      </c>
      <c r="F1252" s="37" t="s">
        <v>1399</v>
      </c>
      <c r="G1252" s="19" t="s">
        <v>1641</v>
      </c>
      <c r="H1252" s="37"/>
      <c r="I1252" s="21" t="s">
        <v>1371</v>
      </c>
      <c r="J1252" s="21" t="s">
        <v>1371</v>
      </c>
      <c r="K1252" s="22" t="s">
        <v>4463</v>
      </c>
      <c r="L1252" s="56"/>
      <c r="O1252" s="42"/>
      <c r="P1252" s="40"/>
      <c r="Q1252" s="61"/>
      <c r="R1252" s="61"/>
      <c r="S1252" s="40"/>
      <c r="T1252" s="38"/>
      <c r="U1252" s="38"/>
      <c r="V1252" s="38"/>
      <c r="W1252" s="60"/>
      <c r="AB1252" s="42"/>
      <c r="AC1252" s="35"/>
      <c r="AD1252" s="38"/>
      <c r="AE1252" s="38"/>
      <c r="AF1252" s="38"/>
      <c r="AG1252" s="38"/>
      <c r="AH1252" s="60"/>
    </row>
    <row r="1253" spans="1:34" ht="15.75" customHeight="1">
      <c r="A1253" s="31" t="s">
        <v>64</v>
      </c>
      <c r="B1253" s="18" t="s">
        <v>4464</v>
      </c>
      <c r="C1253" s="37" t="s">
        <v>412</v>
      </c>
      <c r="D1253" s="20" t="s">
        <v>4465</v>
      </c>
      <c r="E1253" s="20"/>
      <c r="F1253" s="19" t="s">
        <v>414</v>
      </c>
      <c r="G1253" s="37" t="s">
        <v>415</v>
      </c>
      <c r="H1253" s="37"/>
      <c r="I1253" s="21" t="s">
        <v>233</v>
      </c>
      <c r="J1253" s="21" t="s">
        <v>233</v>
      </c>
      <c r="K1253" s="22"/>
      <c r="L1253" s="56">
        <v>45063</v>
      </c>
      <c r="O1253" s="42"/>
      <c r="P1253" s="40"/>
      <c r="Q1253" s="61"/>
      <c r="R1253" s="61"/>
      <c r="S1253" s="40"/>
      <c r="T1253" s="38"/>
      <c r="U1253" s="38"/>
      <c r="V1253" s="38"/>
      <c r="W1253" s="60"/>
      <c r="AB1253" s="42"/>
      <c r="AC1253" s="35"/>
      <c r="AD1253" s="38"/>
      <c r="AE1253" s="38"/>
      <c r="AF1253" s="38"/>
      <c r="AG1253" s="38"/>
      <c r="AH1253" s="60"/>
    </row>
    <row r="1254" spans="1:34" ht="15.75" customHeight="1">
      <c r="A1254" s="17">
        <v>3.7</v>
      </c>
      <c r="B1254" s="18" t="s">
        <v>4466</v>
      </c>
      <c r="C1254" s="37" t="s">
        <v>412</v>
      </c>
      <c r="D1254" s="20" t="s">
        <v>4467</v>
      </c>
      <c r="E1254" s="20"/>
      <c r="F1254" s="19" t="s">
        <v>414</v>
      </c>
      <c r="G1254" s="19" t="s">
        <v>415</v>
      </c>
      <c r="H1254" s="37"/>
      <c r="I1254" s="21" t="s">
        <v>233</v>
      </c>
      <c r="J1254" s="21" t="s">
        <v>233</v>
      </c>
      <c r="K1254" s="22"/>
      <c r="L1254" s="56">
        <v>45063</v>
      </c>
      <c r="O1254" s="42"/>
      <c r="P1254" s="40"/>
      <c r="Q1254" s="61"/>
      <c r="R1254" s="61"/>
      <c r="S1254" s="40"/>
      <c r="T1254" s="38"/>
      <c r="U1254" s="38"/>
      <c r="V1254" s="38"/>
      <c r="W1254" s="60"/>
      <c r="AB1254" s="42"/>
      <c r="AC1254" s="35"/>
      <c r="AD1254" s="38"/>
      <c r="AE1254" s="38"/>
      <c r="AF1254" s="38"/>
      <c r="AG1254" s="38"/>
      <c r="AH1254" s="60"/>
    </row>
    <row r="1255" spans="1:34" ht="15.75" customHeight="1">
      <c r="A1255" s="31" t="s">
        <v>73</v>
      </c>
      <c r="B1255" s="18" t="s">
        <v>4468</v>
      </c>
      <c r="C1255" s="19" t="s">
        <v>24</v>
      </c>
      <c r="D1255" s="20" t="s">
        <v>4469</v>
      </c>
      <c r="E1255" s="20" t="s">
        <v>4470</v>
      </c>
      <c r="F1255" s="19" t="s">
        <v>27</v>
      </c>
      <c r="G1255" s="19" t="s">
        <v>28</v>
      </c>
      <c r="H1255" s="19" t="s">
        <v>36</v>
      </c>
      <c r="I1255" s="21" t="s">
        <v>29</v>
      </c>
      <c r="J1255" s="21" t="s">
        <v>29</v>
      </c>
      <c r="K1255" s="22" t="s">
        <v>4471</v>
      </c>
      <c r="L1255" s="56">
        <v>45063</v>
      </c>
      <c r="O1255" s="42"/>
      <c r="P1255" s="40"/>
      <c r="Q1255" s="61"/>
      <c r="R1255" s="61"/>
      <c r="S1255" s="40"/>
      <c r="T1255" s="38"/>
      <c r="U1255" s="38"/>
      <c r="V1255" s="38"/>
      <c r="W1255" s="60"/>
      <c r="AB1255" s="42"/>
      <c r="AC1255" s="35"/>
      <c r="AD1255" s="38"/>
      <c r="AE1255" s="38"/>
      <c r="AF1255" s="38"/>
      <c r="AG1255" s="38"/>
      <c r="AH1255" s="60"/>
    </row>
    <row r="1256" spans="1:34" ht="15.75" customHeight="1">
      <c r="A1256" s="17">
        <v>4</v>
      </c>
      <c r="B1256" s="18" t="s">
        <v>4472</v>
      </c>
      <c r="C1256" s="19" t="s">
        <v>24</v>
      </c>
      <c r="D1256" s="20" t="s">
        <v>4473</v>
      </c>
      <c r="E1256" s="20" t="s">
        <v>4474</v>
      </c>
      <c r="F1256" s="19" t="s">
        <v>27</v>
      </c>
      <c r="G1256" s="19" t="s">
        <v>28</v>
      </c>
      <c r="H1256" s="19" t="s">
        <v>36</v>
      </c>
      <c r="I1256" s="21" t="s">
        <v>29</v>
      </c>
      <c r="J1256" s="21" t="s">
        <v>29</v>
      </c>
      <c r="K1256" s="22" t="s">
        <v>4475</v>
      </c>
      <c r="L1256" s="56">
        <v>45063</v>
      </c>
      <c r="O1256" s="42"/>
      <c r="P1256" s="40"/>
      <c r="Q1256" s="61"/>
      <c r="R1256" s="61"/>
      <c r="S1256" s="40"/>
      <c r="T1256" s="38"/>
      <c r="U1256" s="38"/>
      <c r="V1256" s="38"/>
      <c r="W1256" s="60"/>
      <c r="AB1256" s="42"/>
      <c r="AC1256" s="35"/>
      <c r="AD1256" s="38"/>
      <c r="AE1256" s="38"/>
      <c r="AF1256" s="38"/>
      <c r="AG1256" s="38"/>
      <c r="AH1256" s="60"/>
    </row>
    <row r="1257" spans="1:34" ht="15.75" customHeight="1">
      <c r="A1257" s="50" t="s">
        <v>82</v>
      </c>
      <c r="B1257" s="18" t="s">
        <v>4476</v>
      </c>
      <c r="C1257" s="19" t="s">
        <v>46</v>
      </c>
      <c r="D1257" s="20" t="s">
        <v>4477</v>
      </c>
      <c r="E1257" s="20" t="s">
        <v>4478</v>
      </c>
      <c r="F1257" s="37" t="s">
        <v>49</v>
      </c>
      <c r="G1257" s="19" t="s">
        <v>50</v>
      </c>
      <c r="H1257" s="19" t="s">
        <v>36</v>
      </c>
      <c r="I1257" s="21" t="s">
        <v>29</v>
      </c>
      <c r="J1257" s="21" t="s">
        <v>29</v>
      </c>
      <c r="K1257" s="22" t="s">
        <v>4479</v>
      </c>
      <c r="L1257" s="56">
        <v>45063</v>
      </c>
      <c r="O1257" s="42"/>
      <c r="P1257" s="40"/>
      <c r="Q1257" s="61"/>
      <c r="R1257" s="61"/>
      <c r="S1257" s="40"/>
      <c r="T1257" s="38"/>
      <c r="U1257" s="38"/>
      <c r="V1257" s="38"/>
      <c r="W1257" s="60"/>
      <c r="AB1257" s="42"/>
      <c r="AC1257" s="35"/>
      <c r="AD1257" s="38"/>
      <c r="AE1257" s="38"/>
      <c r="AF1257" s="38"/>
      <c r="AG1257" s="38"/>
      <c r="AH1257" s="60"/>
    </row>
    <row r="1258" spans="1:34" ht="15.75" customHeight="1">
      <c r="A1258" s="35" t="s">
        <v>4480</v>
      </c>
      <c r="B1258" s="18" t="s">
        <v>4481</v>
      </c>
      <c r="C1258" s="19" t="s">
        <v>24</v>
      </c>
      <c r="D1258" s="20" t="s">
        <v>4482</v>
      </c>
      <c r="E1258" s="20" t="s">
        <v>4483</v>
      </c>
      <c r="F1258" s="19" t="s">
        <v>27</v>
      </c>
      <c r="G1258" s="19" t="s">
        <v>28</v>
      </c>
      <c r="H1258" s="19"/>
      <c r="I1258" s="21" t="s">
        <v>29</v>
      </c>
      <c r="J1258" s="21" t="s">
        <v>29</v>
      </c>
      <c r="K1258" s="22" t="s">
        <v>4484</v>
      </c>
      <c r="L1258" s="56">
        <v>45063</v>
      </c>
      <c r="O1258" s="42"/>
      <c r="P1258" s="40"/>
      <c r="Q1258" s="61"/>
      <c r="R1258" s="61"/>
      <c r="S1258" s="40"/>
      <c r="T1258" s="38"/>
      <c r="U1258" s="38"/>
      <c r="V1258" s="38"/>
      <c r="W1258" s="60"/>
      <c r="AB1258" s="42"/>
      <c r="AC1258" s="35"/>
      <c r="AD1258" s="38"/>
      <c r="AE1258" s="38"/>
      <c r="AF1258" s="38"/>
      <c r="AG1258" s="38"/>
      <c r="AH1258" s="60"/>
    </row>
    <row r="1259" spans="1:34" ht="15.75" customHeight="1">
      <c r="A1259" s="31" t="s">
        <v>92</v>
      </c>
      <c r="B1259" s="18" t="s">
        <v>4485</v>
      </c>
      <c r="C1259" s="19" t="s">
        <v>87</v>
      </c>
      <c r="D1259" s="20" t="s">
        <v>4486</v>
      </c>
      <c r="E1259" s="20" t="s">
        <v>4487</v>
      </c>
      <c r="F1259" s="19" t="s">
        <v>90</v>
      </c>
      <c r="G1259" s="19" t="s">
        <v>91</v>
      </c>
      <c r="H1259" s="19"/>
      <c r="I1259" s="21" t="s">
        <v>29</v>
      </c>
      <c r="J1259" s="21" t="s">
        <v>29</v>
      </c>
      <c r="K1259" s="22" t="s">
        <v>4488</v>
      </c>
      <c r="L1259" s="56">
        <v>45063</v>
      </c>
      <c r="O1259" s="42"/>
      <c r="P1259" s="40"/>
      <c r="Q1259" s="61"/>
      <c r="R1259" s="61"/>
      <c r="S1259" s="40"/>
      <c r="T1259" s="38"/>
      <c r="U1259" s="38"/>
      <c r="V1259" s="38"/>
      <c r="W1259" s="60"/>
      <c r="AB1259" s="42"/>
      <c r="AC1259" s="35"/>
      <c r="AD1259" s="38"/>
      <c r="AE1259" s="38"/>
      <c r="AF1259" s="38"/>
      <c r="AG1259" s="38"/>
      <c r="AH1259" s="60"/>
    </row>
    <row r="1260" spans="1:34" ht="15.75" customHeight="1">
      <c r="A1260" s="33">
        <v>2815</v>
      </c>
      <c r="B1260" s="18" t="s">
        <v>4489</v>
      </c>
      <c r="C1260" s="19" t="s">
        <v>24</v>
      </c>
      <c r="D1260" s="20" t="s">
        <v>4490</v>
      </c>
      <c r="E1260" s="20"/>
      <c r="F1260" s="19" t="s">
        <v>27</v>
      </c>
      <c r="G1260" s="19" t="s">
        <v>28</v>
      </c>
      <c r="H1260" s="19"/>
      <c r="I1260" s="21" t="s">
        <v>29</v>
      </c>
      <c r="J1260" s="21" t="s">
        <v>29</v>
      </c>
      <c r="K1260" s="22"/>
      <c r="L1260" s="56">
        <v>45063</v>
      </c>
      <c r="O1260" s="42"/>
      <c r="P1260" s="40"/>
      <c r="Q1260" s="61"/>
      <c r="R1260" s="61"/>
      <c r="S1260" s="40"/>
      <c r="T1260" s="38"/>
      <c r="U1260" s="38"/>
      <c r="V1260" s="38"/>
      <c r="W1260" s="60"/>
      <c r="AB1260" s="42"/>
      <c r="AC1260" s="35"/>
      <c r="AD1260" s="38"/>
      <c r="AE1260" s="38"/>
      <c r="AF1260" s="38"/>
      <c r="AG1260" s="38"/>
      <c r="AH1260" s="60"/>
    </row>
    <row r="1261" spans="1:34" ht="15.75" customHeight="1">
      <c r="A1261" s="31" t="s">
        <v>100</v>
      </c>
      <c r="B1261" s="18" t="s">
        <v>4491</v>
      </c>
      <c r="C1261" s="19" t="s">
        <v>24</v>
      </c>
      <c r="D1261" s="20" t="s">
        <v>4492</v>
      </c>
      <c r="E1261" s="20" t="s">
        <v>4493</v>
      </c>
      <c r="F1261" s="19" t="s">
        <v>27</v>
      </c>
      <c r="G1261" s="19" t="s">
        <v>28</v>
      </c>
      <c r="H1261" s="19"/>
      <c r="I1261" s="21" t="s">
        <v>29</v>
      </c>
      <c r="J1261" s="21" t="s">
        <v>29</v>
      </c>
      <c r="K1261" s="22" t="s">
        <v>4494</v>
      </c>
      <c r="L1261" s="56">
        <v>45063</v>
      </c>
      <c r="O1261" s="42"/>
      <c r="P1261" s="40"/>
      <c r="Q1261" s="61"/>
      <c r="R1261" s="61"/>
      <c r="S1261" s="40"/>
      <c r="T1261" s="38"/>
      <c r="U1261" s="38"/>
      <c r="V1261" s="38"/>
      <c r="W1261" s="60"/>
      <c r="AB1261" s="42"/>
      <c r="AC1261" s="35"/>
      <c r="AD1261" s="38"/>
      <c r="AE1261" s="38"/>
      <c r="AF1261" s="38"/>
      <c r="AG1261" s="38"/>
      <c r="AH1261" s="60"/>
    </row>
    <row r="1262" spans="1:34" ht="15.75" customHeight="1">
      <c r="A1262" s="17">
        <v>168</v>
      </c>
      <c r="B1262" s="18" t="s">
        <v>4495</v>
      </c>
      <c r="C1262" s="19" t="s">
        <v>24</v>
      </c>
      <c r="D1262" s="20" t="s">
        <v>4496</v>
      </c>
      <c r="E1262" s="20" t="s">
        <v>4497</v>
      </c>
      <c r="F1262" s="19" t="s">
        <v>27</v>
      </c>
      <c r="G1262" s="19" t="s">
        <v>28</v>
      </c>
      <c r="H1262" s="19" t="s">
        <v>36</v>
      </c>
      <c r="I1262" s="21" t="s">
        <v>29</v>
      </c>
      <c r="J1262" s="21" t="s">
        <v>29</v>
      </c>
      <c r="K1262" s="22" t="s">
        <v>4498</v>
      </c>
      <c r="L1262" s="56">
        <v>45063</v>
      </c>
      <c r="O1262" s="42"/>
      <c r="P1262" s="40"/>
      <c r="Q1262" s="61"/>
      <c r="R1262" s="61"/>
      <c r="S1262" s="40"/>
      <c r="T1262" s="38"/>
      <c r="U1262" s="38"/>
      <c r="V1262" s="38"/>
      <c r="W1262" s="60"/>
      <c r="AB1262" s="42"/>
      <c r="AC1262" s="35"/>
      <c r="AD1262" s="38"/>
      <c r="AE1262" s="38"/>
      <c r="AF1262" s="38"/>
      <c r="AG1262" s="38"/>
      <c r="AH1262" s="60"/>
    </row>
    <row r="1263" spans="1:34" ht="15.75" customHeight="1">
      <c r="A1263" s="35"/>
      <c r="B1263" s="18" t="s">
        <v>4499</v>
      </c>
      <c r="C1263" s="37" t="s">
        <v>412</v>
      </c>
      <c r="D1263" s="20" t="s">
        <v>4500</v>
      </c>
      <c r="E1263" s="20"/>
      <c r="F1263" s="19" t="s">
        <v>414</v>
      </c>
      <c r="G1263" s="37" t="s">
        <v>415</v>
      </c>
      <c r="H1263" s="37"/>
      <c r="I1263" s="21" t="s">
        <v>29</v>
      </c>
      <c r="J1263" s="21" t="s">
        <v>29</v>
      </c>
      <c r="K1263" s="22"/>
      <c r="L1263" s="56">
        <v>45063</v>
      </c>
      <c r="O1263" s="42"/>
      <c r="P1263" s="40"/>
      <c r="Q1263" s="61"/>
      <c r="R1263" s="61"/>
      <c r="S1263" s="40"/>
      <c r="T1263" s="38"/>
      <c r="U1263" s="38"/>
      <c r="V1263" s="38"/>
      <c r="W1263" s="60"/>
      <c r="AB1263" s="42"/>
      <c r="AC1263" s="35"/>
      <c r="AD1263" s="38"/>
      <c r="AE1263" s="38"/>
      <c r="AF1263" s="38"/>
      <c r="AG1263" s="38"/>
      <c r="AH1263" s="60"/>
    </row>
    <row r="1264" spans="1:34" ht="15.75" customHeight="1">
      <c r="A1264" s="35"/>
      <c r="B1264" s="18" t="s">
        <v>4501</v>
      </c>
      <c r="C1264" s="19" t="s">
        <v>24</v>
      </c>
      <c r="D1264" s="20" t="s">
        <v>4502</v>
      </c>
      <c r="E1264" s="20" t="s">
        <v>4503</v>
      </c>
      <c r="F1264" s="19" t="s">
        <v>27</v>
      </c>
      <c r="G1264" s="19" t="s">
        <v>28</v>
      </c>
      <c r="H1264" s="19"/>
      <c r="I1264" s="21" t="s">
        <v>29</v>
      </c>
      <c r="J1264" s="21" t="s">
        <v>29</v>
      </c>
      <c r="K1264" s="22" t="s">
        <v>4504</v>
      </c>
      <c r="L1264" s="56">
        <v>45063</v>
      </c>
      <c r="O1264" s="42"/>
      <c r="P1264" s="40"/>
      <c r="Q1264" s="61"/>
      <c r="R1264" s="61"/>
      <c r="S1264" s="40"/>
      <c r="T1264" s="38"/>
      <c r="U1264" s="38"/>
      <c r="V1264" s="38"/>
      <c r="W1264" s="60"/>
      <c r="AB1264" s="42"/>
      <c r="AC1264" s="35"/>
      <c r="AD1264" s="38"/>
      <c r="AE1264" s="38"/>
      <c r="AF1264" s="38"/>
      <c r="AG1264" s="38"/>
      <c r="AH1264" s="60"/>
    </row>
    <row r="1265" spans="1:34" ht="15.75" customHeight="1">
      <c r="A1265" s="35"/>
      <c r="B1265" s="18" t="s">
        <v>4505</v>
      </c>
      <c r="C1265" s="19" t="s">
        <v>24</v>
      </c>
      <c r="D1265" s="20" t="s">
        <v>4506</v>
      </c>
      <c r="E1265" s="20" t="s">
        <v>4507</v>
      </c>
      <c r="F1265" s="19" t="s">
        <v>27</v>
      </c>
      <c r="G1265" s="19" t="s">
        <v>28</v>
      </c>
      <c r="H1265" s="19"/>
      <c r="I1265" s="21" t="s">
        <v>29</v>
      </c>
      <c r="J1265" s="21" t="s">
        <v>29</v>
      </c>
      <c r="K1265" s="22" t="s">
        <v>4508</v>
      </c>
      <c r="L1265" s="56">
        <v>45063</v>
      </c>
      <c r="O1265" s="42"/>
      <c r="P1265" s="40"/>
      <c r="Q1265" s="61"/>
      <c r="R1265" s="61"/>
      <c r="S1265" s="40"/>
      <c r="T1265" s="38"/>
      <c r="U1265" s="38"/>
      <c r="V1265" s="38"/>
      <c r="W1265" s="60"/>
      <c r="AB1265" s="42"/>
      <c r="AC1265" s="35"/>
      <c r="AD1265" s="38"/>
      <c r="AE1265" s="38"/>
      <c r="AF1265" s="38"/>
      <c r="AG1265" s="38"/>
      <c r="AH1265" s="60"/>
    </row>
    <row r="1266" spans="1:34" ht="15.75" customHeight="1">
      <c r="A1266" s="35"/>
      <c r="B1266" s="18" t="s">
        <v>4509</v>
      </c>
      <c r="C1266" s="19" t="s">
        <v>24</v>
      </c>
      <c r="D1266" s="20" t="s">
        <v>4510</v>
      </c>
      <c r="E1266" s="20"/>
      <c r="F1266" s="19" t="s">
        <v>27</v>
      </c>
      <c r="G1266" s="19" t="s">
        <v>28</v>
      </c>
      <c r="H1266" s="19"/>
      <c r="I1266" s="21" t="s">
        <v>29</v>
      </c>
      <c r="J1266" s="21" t="s">
        <v>29</v>
      </c>
      <c r="K1266" s="22"/>
      <c r="L1266" s="56">
        <v>45063</v>
      </c>
      <c r="O1266" s="42"/>
      <c r="P1266" s="40"/>
      <c r="Q1266" s="61"/>
      <c r="R1266" s="61"/>
      <c r="S1266" s="40"/>
      <c r="T1266" s="38"/>
      <c r="U1266" s="38"/>
      <c r="V1266" s="38"/>
      <c r="W1266" s="60"/>
      <c r="AB1266" s="42"/>
      <c r="AC1266" s="35"/>
      <c r="AD1266" s="38"/>
      <c r="AE1266" s="38"/>
      <c r="AF1266" s="38"/>
      <c r="AG1266" s="38"/>
      <c r="AH1266" s="60"/>
    </row>
    <row r="1267" spans="1:34" ht="15.75" customHeight="1">
      <c r="A1267" s="35"/>
      <c r="B1267" s="29" t="s">
        <v>4511</v>
      </c>
      <c r="C1267" s="37" t="s">
        <v>24</v>
      </c>
      <c r="D1267" s="20" t="s">
        <v>4512</v>
      </c>
      <c r="E1267" s="20" t="s">
        <v>4513</v>
      </c>
      <c r="F1267" s="19" t="s">
        <v>27</v>
      </c>
      <c r="G1267" s="19" t="s">
        <v>28</v>
      </c>
      <c r="H1267" s="19" t="s">
        <v>36</v>
      </c>
      <c r="I1267" s="21" t="s">
        <v>29</v>
      </c>
      <c r="J1267" s="21" t="s">
        <v>29</v>
      </c>
      <c r="K1267" s="22" t="s">
        <v>4514</v>
      </c>
      <c r="L1267" s="56">
        <v>45063</v>
      </c>
      <c r="O1267" s="42"/>
      <c r="P1267" s="40"/>
      <c r="Q1267" s="61"/>
      <c r="R1267" s="61"/>
      <c r="S1267" s="40"/>
      <c r="T1267" s="38"/>
      <c r="U1267" s="38"/>
      <c r="V1267" s="38"/>
      <c r="W1267" s="60"/>
      <c r="AB1267" s="42"/>
      <c r="AC1267" s="35"/>
      <c r="AD1267" s="38"/>
      <c r="AE1267" s="38"/>
      <c r="AF1267" s="38"/>
      <c r="AG1267" s="38"/>
      <c r="AH1267" s="60"/>
    </row>
    <row r="1268" spans="1:34" ht="15.75" customHeight="1">
      <c r="A1268" s="35"/>
      <c r="B1268" s="18" t="s">
        <v>4515</v>
      </c>
      <c r="C1268" s="19" t="s">
        <v>46</v>
      </c>
      <c r="D1268" s="20" t="s">
        <v>4516</v>
      </c>
      <c r="E1268" s="20" t="s">
        <v>4517</v>
      </c>
      <c r="F1268" s="37" t="s">
        <v>49</v>
      </c>
      <c r="G1268" s="19" t="s">
        <v>50</v>
      </c>
      <c r="H1268" s="19"/>
      <c r="I1268" s="21" t="s">
        <v>29</v>
      </c>
      <c r="J1268" s="21" t="s">
        <v>29</v>
      </c>
      <c r="K1268" s="22" t="s">
        <v>4518</v>
      </c>
      <c r="L1268" s="56">
        <v>45063</v>
      </c>
      <c r="O1268" s="42"/>
      <c r="P1268" s="40"/>
      <c r="Q1268" s="61"/>
      <c r="R1268" s="61"/>
      <c r="S1268" s="40"/>
      <c r="T1268" s="38"/>
      <c r="U1268" s="38"/>
      <c r="V1268" s="38"/>
      <c r="W1268" s="60"/>
      <c r="AB1268" s="42"/>
      <c r="AC1268" s="35"/>
      <c r="AD1268" s="38"/>
      <c r="AE1268" s="38"/>
      <c r="AF1268" s="38"/>
      <c r="AG1268" s="38"/>
      <c r="AH1268" s="60"/>
    </row>
    <row r="1269" spans="1:34" ht="15.75" customHeight="1">
      <c r="A1269" s="35"/>
      <c r="B1269" s="18" t="s">
        <v>4519</v>
      </c>
      <c r="C1269" s="19" t="s">
        <v>87</v>
      </c>
      <c r="D1269" s="20" t="s">
        <v>4520</v>
      </c>
      <c r="E1269" s="20"/>
      <c r="F1269" s="37" t="s">
        <v>49</v>
      </c>
      <c r="G1269" s="19" t="s">
        <v>91</v>
      </c>
      <c r="H1269" s="19"/>
      <c r="I1269" s="21" t="s">
        <v>29</v>
      </c>
      <c r="J1269" s="21" t="s">
        <v>29</v>
      </c>
      <c r="K1269" s="22"/>
      <c r="L1269" s="56">
        <v>45063</v>
      </c>
      <c r="O1269" s="42"/>
      <c r="P1269" s="40"/>
      <c r="Q1269" s="61"/>
      <c r="R1269" s="61"/>
      <c r="S1269" s="40"/>
      <c r="T1269" s="38"/>
      <c r="U1269" s="38"/>
      <c r="V1269" s="38"/>
      <c r="W1269" s="60"/>
      <c r="AB1269" s="42"/>
      <c r="AC1269" s="35"/>
      <c r="AD1269" s="38"/>
      <c r="AE1269" s="38"/>
      <c r="AF1269" s="38"/>
      <c r="AG1269" s="38"/>
      <c r="AH1269" s="60"/>
    </row>
    <row r="1270" spans="1:34" ht="15.75" customHeight="1">
      <c r="A1270" s="35"/>
      <c r="B1270" s="18" t="s">
        <v>4521</v>
      </c>
      <c r="C1270" s="19" t="s">
        <v>24</v>
      </c>
      <c r="D1270" s="20" t="s">
        <v>4522</v>
      </c>
      <c r="E1270" s="20" t="s">
        <v>4523</v>
      </c>
      <c r="F1270" s="19" t="s">
        <v>27</v>
      </c>
      <c r="G1270" s="19" t="s">
        <v>28</v>
      </c>
      <c r="H1270" s="19"/>
      <c r="I1270" s="21" t="s">
        <v>29</v>
      </c>
      <c r="J1270" s="21" t="s">
        <v>29</v>
      </c>
      <c r="K1270" s="22" t="s">
        <v>4524</v>
      </c>
      <c r="L1270" s="56">
        <v>45063</v>
      </c>
      <c r="O1270" s="42"/>
      <c r="P1270" s="40"/>
      <c r="Q1270" s="61"/>
      <c r="R1270" s="61"/>
      <c r="S1270" s="40"/>
      <c r="T1270" s="38"/>
      <c r="U1270" s="38"/>
      <c r="V1270" s="38"/>
      <c r="W1270" s="60"/>
      <c r="AB1270" s="42"/>
      <c r="AC1270" s="35"/>
      <c r="AD1270" s="38"/>
      <c r="AE1270" s="38"/>
      <c r="AF1270" s="38"/>
      <c r="AG1270" s="38"/>
      <c r="AH1270" s="60"/>
    </row>
    <row r="1271" spans="1:34" ht="15.75" customHeight="1">
      <c r="A1271" s="35"/>
      <c r="B1271" s="18" t="s">
        <v>4525</v>
      </c>
      <c r="C1271" s="19" t="s">
        <v>46</v>
      </c>
      <c r="D1271" s="20" t="s">
        <v>4526</v>
      </c>
      <c r="E1271" s="20" t="s">
        <v>4527</v>
      </c>
      <c r="F1271" s="37" t="s">
        <v>49</v>
      </c>
      <c r="G1271" s="19" t="s">
        <v>50</v>
      </c>
      <c r="H1271" s="19"/>
      <c r="I1271" s="21" t="s">
        <v>29</v>
      </c>
      <c r="J1271" s="21" t="s">
        <v>29</v>
      </c>
      <c r="K1271" s="22" t="s">
        <v>4528</v>
      </c>
      <c r="L1271" s="56">
        <v>45063</v>
      </c>
      <c r="O1271" s="42"/>
      <c r="P1271" s="40"/>
      <c r="Q1271" s="61"/>
      <c r="R1271" s="61"/>
      <c r="S1271" s="40"/>
      <c r="T1271" s="38"/>
      <c r="U1271" s="38"/>
      <c r="V1271" s="38"/>
      <c r="W1271" s="60"/>
      <c r="AB1271" s="42"/>
      <c r="AC1271" s="35"/>
      <c r="AD1271" s="38"/>
      <c r="AE1271" s="38"/>
      <c r="AF1271" s="38"/>
      <c r="AG1271" s="38"/>
      <c r="AH1271" s="60"/>
    </row>
    <row r="1272" spans="1:34" ht="15.75" customHeight="1">
      <c r="A1272" s="35"/>
      <c r="B1272" s="18" t="s">
        <v>4529</v>
      </c>
      <c r="C1272" s="19" t="s">
        <v>24</v>
      </c>
      <c r="D1272" s="20" t="s">
        <v>4530</v>
      </c>
      <c r="E1272" s="20" t="s">
        <v>4531</v>
      </c>
      <c r="F1272" s="19" t="s">
        <v>27</v>
      </c>
      <c r="G1272" s="19" t="s">
        <v>28</v>
      </c>
      <c r="H1272" s="19"/>
      <c r="I1272" s="21" t="s">
        <v>29</v>
      </c>
      <c r="J1272" s="21" t="s">
        <v>29</v>
      </c>
      <c r="K1272" s="22" t="s">
        <v>4532</v>
      </c>
      <c r="L1272" s="56">
        <v>45063</v>
      </c>
      <c r="O1272" s="42"/>
      <c r="P1272" s="40"/>
      <c r="Q1272" s="61"/>
      <c r="R1272" s="61"/>
      <c r="S1272" s="40"/>
      <c r="T1272" s="38"/>
      <c r="U1272" s="38"/>
      <c r="V1272" s="38"/>
      <c r="W1272" s="60"/>
      <c r="AB1272" s="42"/>
      <c r="AC1272" s="35"/>
      <c r="AD1272" s="38"/>
      <c r="AE1272" s="38"/>
      <c r="AF1272" s="38"/>
      <c r="AG1272" s="38"/>
      <c r="AH1272" s="60"/>
    </row>
    <row r="1273" spans="1:34" ht="15.75" customHeight="1">
      <c r="A1273" s="35"/>
      <c r="B1273" s="18" t="s">
        <v>4533</v>
      </c>
      <c r="C1273" s="19" t="s">
        <v>87</v>
      </c>
      <c r="D1273" s="20" t="s">
        <v>4534</v>
      </c>
      <c r="E1273" s="20" t="s">
        <v>4535</v>
      </c>
      <c r="F1273" s="37" t="s">
        <v>49</v>
      </c>
      <c r="G1273" s="19" t="s">
        <v>91</v>
      </c>
      <c r="H1273" s="19"/>
      <c r="I1273" s="21" t="s">
        <v>29</v>
      </c>
      <c r="J1273" s="21" t="s">
        <v>29</v>
      </c>
      <c r="K1273" s="22" t="s">
        <v>4536</v>
      </c>
      <c r="L1273" s="56">
        <v>45063</v>
      </c>
      <c r="O1273" s="42"/>
      <c r="P1273" s="40"/>
      <c r="Q1273" s="61"/>
      <c r="R1273" s="61"/>
      <c r="S1273" s="40"/>
      <c r="T1273" s="38"/>
      <c r="U1273" s="38"/>
      <c r="V1273" s="38"/>
      <c r="W1273" s="60"/>
      <c r="AB1273" s="42"/>
      <c r="AC1273" s="35"/>
      <c r="AD1273" s="38"/>
      <c r="AE1273" s="38"/>
      <c r="AF1273" s="38"/>
      <c r="AG1273" s="38"/>
      <c r="AH1273" s="60"/>
    </row>
    <row r="1274" spans="1:34" ht="15.75" customHeight="1">
      <c r="A1274" s="35"/>
      <c r="B1274" s="18" t="s">
        <v>4537</v>
      </c>
      <c r="C1274" s="19" t="s">
        <v>87</v>
      </c>
      <c r="D1274" s="20" t="s">
        <v>4538</v>
      </c>
      <c r="E1274" s="20" t="s">
        <v>4539</v>
      </c>
      <c r="F1274" s="19" t="s">
        <v>90</v>
      </c>
      <c r="G1274" s="19" t="s">
        <v>91</v>
      </c>
      <c r="H1274" s="19"/>
      <c r="I1274" s="21" t="s">
        <v>29</v>
      </c>
      <c r="J1274" s="21" t="s">
        <v>29</v>
      </c>
      <c r="K1274" s="22" t="s">
        <v>4540</v>
      </c>
      <c r="L1274" s="56">
        <v>45063</v>
      </c>
      <c r="O1274" s="42"/>
      <c r="P1274" s="40"/>
      <c r="Q1274" s="61"/>
      <c r="R1274" s="61"/>
      <c r="S1274" s="40"/>
      <c r="T1274" s="38"/>
      <c r="U1274" s="38"/>
      <c r="V1274" s="38"/>
      <c r="W1274" s="60"/>
      <c r="AB1274" s="42"/>
      <c r="AC1274" s="35"/>
      <c r="AD1274" s="38"/>
      <c r="AE1274" s="38"/>
      <c r="AF1274" s="38"/>
      <c r="AG1274" s="38"/>
      <c r="AH1274" s="60"/>
    </row>
    <row r="1275" spans="1:34" ht="15.75" customHeight="1">
      <c r="A1275" s="35"/>
      <c r="B1275" s="18" t="s">
        <v>4541</v>
      </c>
      <c r="C1275" s="37" t="s">
        <v>412</v>
      </c>
      <c r="D1275" s="20" t="s">
        <v>4542</v>
      </c>
      <c r="E1275" s="20"/>
      <c r="F1275" s="19" t="s">
        <v>414</v>
      </c>
      <c r="G1275" s="19" t="s">
        <v>415</v>
      </c>
      <c r="H1275" s="37"/>
      <c r="I1275" s="21" t="s">
        <v>233</v>
      </c>
      <c r="J1275" s="21" t="s">
        <v>233</v>
      </c>
      <c r="K1275" s="22"/>
      <c r="L1275" s="56">
        <v>45063</v>
      </c>
      <c r="O1275" s="42"/>
      <c r="P1275" s="40"/>
      <c r="Q1275" s="61"/>
      <c r="R1275" s="61"/>
      <c r="S1275" s="40"/>
      <c r="T1275" s="38"/>
      <c r="U1275" s="38"/>
      <c r="V1275" s="38"/>
      <c r="W1275" s="60"/>
      <c r="AB1275" s="42"/>
      <c r="AC1275" s="35"/>
      <c r="AD1275" s="38"/>
      <c r="AE1275" s="38"/>
      <c r="AF1275" s="38"/>
      <c r="AG1275" s="38"/>
      <c r="AH1275" s="60"/>
    </row>
    <row r="1276" spans="1:34" ht="15.75" customHeight="1">
      <c r="A1276" s="35"/>
      <c r="B1276" s="18" t="s">
        <v>4543</v>
      </c>
      <c r="C1276" s="19" t="s">
        <v>24</v>
      </c>
      <c r="D1276" s="20" t="s">
        <v>4544</v>
      </c>
      <c r="E1276" s="20" t="s">
        <v>4545</v>
      </c>
      <c r="F1276" s="19" t="s">
        <v>27</v>
      </c>
      <c r="G1276" s="19" t="s">
        <v>28</v>
      </c>
      <c r="H1276" s="37" t="s">
        <v>762</v>
      </c>
      <c r="I1276" s="21" t="s">
        <v>29</v>
      </c>
      <c r="J1276" s="21" t="s">
        <v>29</v>
      </c>
      <c r="K1276" s="22" t="s">
        <v>4546</v>
      </c>
      <c r="L1276" s="56">
        <v>45063</v>
      </c>
      <c r="O1276" s="42"/>
      <c r="P1276" s="40"/>
      <c r="Q1276" s="61"/>
      <c r="R1276" s="61"/>
      <c r="S1276" s="40"/>
      <c r="T1276" s="38"/>
      <c r="U1276" s="38"/>
      <c r="V1276" s="38"/>
      <c r="W1276" s="60"/>
      <c r="AB1276" s="42"/>
      <c r="AC1276" s="35"/>
      <c r="AD1276" s="38"/>
      <c r="AE1276" s="38"/>
      <c r="AF1276" s="38"/>
      <c r="AG1276" s="38"/>
      <c r="AH1276" s="60"/>
    </row>
    <row r="1277" spans="1:34" ht="15.75" customHeight="1">
      <c r="A1277" s="35"/>
      <c r="B1277" s="18" t="s">
        <v>4547</v>
      </c>
      <c r="C1277" s="19" t="s">
        <v>24</v>
      </c>
      <c r="D1277" s="20" t="s">
        <v>4548</v>
      </c>
      <c r="E1277" s="20"/>
      <c r="F1277" s="19" t="s">
        <v>27</v>
      </c>
      <c r="G1277" s="19" t="s">
        <v>28</v>
      </c>
      <c r="H1277" s="19"/>
      <c r="I1277" s="21" t="s">
        <v>29</v>
      </c>
      <c r="J1277" s="21" t="s">
        <v>29</v>
      </c>
      <c r="K1277" s="22"/>
      <c r="L1277" s="56">
        <v>45063</v>
      </c>
      <c r="O1277" s="42"/>
      <c r="P1277" s="40"/>
      <c r="Q1277" s="61"/>
      <c r="R1277" s="61"/>
      <c r="S1277" s="40"/>
      <c r="T1277" s="38"/>
      <c r="U1277" s="38"/>
      <c r="V1277" s="38"/>
      <c r="W1277" s="60"/>
      <c r="AB1277" s="42"/>
      <c r="AC1277" s="35"/>
      <c r="AD1277" s="38"/>
      <c r="AE1277" s="38"/>
      <c r="AF1277" s="38"/>
      <c r="AG1277" s="38"/>
      <c r="AH1277" s="60"/>
    </row>
    <row r="1278" spans="1:34" ht="15.75" customHeight="1">
      <c r="A1278" s="35"/>
      <c r="B1278" s="18" t="s">
        <v>4549</v>
      </c>
      <c r="C1278" s="19" t="s">
        <v>24</v>
      </c>
      <c r="D1278" s="20" t="s">
        <v>4550</v>
      </c>
      <c r="E1278" s="20" t="s">
        <v>4551</v>
      </c>
      <c r="F1278" s="19" t="s">
        <v>27</v>
      </c>
      <c r="G1278" s="19" t="s">
        <v>28</v>
      </c>
      <c r="H1278" s="19" t="s">
        <v>36</v>
      </c>
      <c r="I1278" s="21" t="s">
        <v>29</v>
      </c>
      <c r="J1278" s="21" t="s">
        <v>29</v>
      </c>
      <c r="K1278" s="22" t="s">
        <v>4552</v>
      </c>
      <c r="L1278" s="56">
        <v>45063</v>
      </c>
      <c r="O1278" s="42"/>
      <c r="P1278" s="40"/>
      <c r="Q1278" s="61"/>
      <c r="R1278" s="61"/>
      <c r="S1278" s="40"/>
      <c r="T1278" s="38"/>
      <c r="U1278" s="38"/>
      <c r="V1278" s="38"/>
      <c r="W1278" s="60"/>
      <c r="AB1278" s="42"/>
      <c r="AC1278" s="35"/>
      <c r="AD1278" s="38"/>
      <c r="AE1278" s="38"/>
      <c r="AF1278" s="38"/>
      <c r="AG1278" s="38"/>
      <c r="AH1278" s="60"/>
    </row>
    <row r="1279" spans="1:34" ht="15.75" customHeight="1">
      <c r="A1279" s="35"/>
      <c r="B1279" s="34" t="s">
        <v>4553</v>
      </c>
      <c r="C1279" s="19" t="s">
        <v>87</v>
      </c>
      <c r="D1279" s="20" t="s">
        <v>4554</v>
      </c>
      <c r="E1279" s="20" t="s">
        <v>4555</v>
      </c>
      <c r="F1279" s="37" t="s">
        <v>49</v>
      </c>
      <c r="G1279" s="19" t="s">
        <v>50</v>
      </c>
      <c r="H1279" s="19" t="s">
        <v>36</v>
      </c>
      <c r="I1279" s="21" t="s">
        <v>29</v>
      </c>
      <c r="J1279" s="21" t="s">
        <v>29</v>
      </c>
      <c r="K1279" s="22" t="s">
        <v>4556</v>
      </c>
      <c r="L1279" s="56">
        <v>45063</v>
      </c>
      <c r="O1279" s="42"/>
      <c r="P1279" s="40"/>
      <c r="Q1279" s="61"/>
      <c r="R1279" s="61"/>
      <c r="S1279" s="40"/>
      <c r="T1279" s="38"/>
      <c r="U1279" s="38"/>
      <c r="V1279" s="38"/>
      <c r="W1279" s="60"/>
      <c r="AB1279" s="42"/>
      <c r="AC1279" s="35"/>
      <c r="AD1279" s="38"/>
      <c r="AE1279" s="38"/>
      <c r="AF1279" s="38"/>
      <c r="AG1279" s="38"/>
      <c r="AH1279" s="60"/>
    </row>
    <row r="1280" spans="1:34" ht="15.75" customHeight="1">
      <c r="A1280" s="35"/>
      <c r="B1280" s="18" t="s">
        <v>4557</v>
      </c>
      <c r="C1280" s="19" t="s">
        <v>46</v>
      </c>
      <c r="D1280" s="20" t="s">
        <v>4558</v>
      </c>
      <c r="E1280" s="20" t="s">
        <v>4559</v>
      </c>
      <c r="F1280" s="37" t="s">
        <v>49</v>
      </c>
      <c r="G1280" s="19" t="s">
        <v>50</v>
      </c>
      <c r="H1280" s="19" t="s">
        <v>36</v>
      </c>
      <c r="I1280" s="21" t="s">
        <v>29</v>
      </c>
      <c r="J1280" s="21" t="s">
        <v>29</v>
      </c>
      <c r="K1280" s="22" t="s">
        <v>4560</v>
      </c>
      <c r="L1280" s="56">
        <v>45063</v>
      </c>
      <c r="O1280" s="42"/>
      <c r="P1280" s="40"/>
      <c r="Q1280" s="61"/>
      <c r="R1280" s="61"/>
      <c r="S1280" s="40"/>
      <c r="T1280" s="38"/>
      <c r="U1280" s="38"/>
      <c r="V1280" s="38"/>
      <c r="W1280" s="60"/>
      <c r="AB1280" s="42"/>
      <c r="AC1280" s="35"/>
      <c r="AD1280" s="38"/>
      <c r="AE1280" s="38"/>
      <c r="AF1280" s="38"/>
      <c r="AG1280" s="38"/>
      <c r="AH1280" s="60"/>
    </row>
    <row r="1281" spans="1:34" ht="15.75" customHeight="1">
      <c r="A1281" s="35"/>
      <c r="B1281" s="18" t="s">
        <v>4561</v>
      </c>
      <c r="C1281" s="19" t="s">
        <v>24</v>
      </c>
      <c r="D1281" s="20" t="s">
        <v>4562</v>
      </c>
      <c r="E1281" s="20" t="s">
        <v>4563</v>
      </c>
      <c r="F1281" s="19" t="s">
        <v>27</v>
      </c>
      <c r="G1281" s="19" t="s">
        <v>28</v>
      </c>
      <c r="H1281" s="19"/>
      <c r="I1281" s="21" t="s">
        <v>29</v>
      </c>
      <c r="J1281" s="21" t="s">
        <v>29</v>
      </c>
      <c r="K1281" s="22" t="s">
        <v>4564</v>
      </c>
      <c r="L1281" s="56">
        <v>45063</v>
      </c>
      <c r="O1281" s="42"/>
      <c r="P1281" s="40"/>
      <c r="Q1281" s="61"/>
      <c r="R1281" s="61"/>
      <c r="S1281" s="40"/>
      <c r="T1281" s="38"/>
      <c r="U1281" s="38"/>
      <c r="V1281" s="38"/>
      <c r="W1281" s="60"/>
      <c r="AB1281" s="42"/>
      <c r="AC1281" s="35"/>
      <c r="AD1281" s="38"/>
      <c r="AE1281" s="38"/>
      <c r="AF1281" s="38"/>
      <c r="AG1281" s="38"/>
      <c r="AH1281" s="60"/>
    </row>
    <row r="1282" spans="1:34" ht="15.75" customHeight="1">
      <c r="A1282" s="35"/>
      <c r="B1282" s="36" t="s">
        <v>4565</v>
      </c>
      <c r="C1282" s="19" t="s">
        <v>121</v>
      </c>
      <c r="D1282" s="20" t="s">
        <v>4566</v>
      </c>
      <c r="E1282" s="20"/>
      <c r="F1282" s="19" t="s">
        <v>414</v>
      </c>
      <c r="G1282" s="37" t="s">
        <v>452</v>
      </c>
      <c r="H1282" s="37"/>
      <c r="I1282" s="21" t="s">
        <v>233</v>
      </c>
      <c r="J1282" s="21" t="s">
        <v>452</v>
      </c>
      <c r="K1282" s="22"/>
      <c r="L1282" s="56">
        <v>45063</v>
      </c>
      <c r="O1282" s="42"/>
      <c r="P1282" s="40"/>
      <c r="Q1282" s="61"/>
      <c r="R1282" s="61"/>
      <c r="S1282" s="40"/>
      <c r="T1282" s="38"/>
      <c r="U1282" s="38"/>
      <c r="V1282" s="38"/>
      <c r="W1282" s="60"/>
      <c r="AB1282" s="42"/>
      <c r="AC1282" s="35"/>
      <c r="AD1282" s="38"/>
      <c r="AE1282" s="38"/>
      <c r="AF1282" s="38"/>
      <c r="AG1282" s="38"/>
      <c r="AH1282" s="60"/>
    </row>
    <row r="1283" spans="1:34" ht="15.75" customHeight="1">
      <c r="A1283" s="35"/>
      <c r="B1283" s="18" t="s">
        <v>4567</v>
      </c>
      <c r="C1283" s="19" t="s">
        <v>24</v>
      </c>
      <c r="D1283" s="20" t="s">
        <v>4568</v>
      </c>
      <c r="E1283" s="20" t="s">
        <v>4569</v>
      </c>
      <c r="F1283" s="19" t="s">
        <v>27</v>
      </c>
      <c r="G1283" s="19" t="s">
        <v>28</v>
      </c>
      <c r="H1283" s="19" t="s">
        <v>36</v>
      </c>
      <c r="I1283" s="21" t="s">
        <v>29</v>
      </c>
      <c r="J1283" s="21" t="s">
        <v>29</v>
      </c>
      <c r="K1283" s="22" t="s">
        <v>4570</v>
      </c>
      <c r="L1283" s="56">
        <v>45063</v>
      </c>
      <c r="O1283" s="42"/>
      <c r="P1283" s="40"/>
      <c r="Q1283" s="61"/>
      <c r="R1283" s="61"/>
      <c r="S1283" s="40"/>
      <c r="T1283" s="38"/>
      <c r="U1283" s="38"/>
      <c r="V1283" s="38"/>
      <c r="W1283" s="60"/>
      <c r="AB1283" s="42"/>
      <c r="AC1283" s="35"/>
      <c r="AD1283" s="38"/>
      <c r="AE1283" s="38"/>
      <c r="AF1283" s="38"/>
      <c r="AG1283" s="38"/>
      <c r="AH1283" s="60"/>
    </row>
    <row r="1284" spans="1:34" ht="15.75" customHeight="1">
      <c r="A1284" s="35"/>
      <c r="B1284" s="38"/>
      <c r="C1284" s="37"/>
      <c r="D1284" s="20"/>
      <c r="E1284" s="20"/>
      <c r="F1284" s="37"/>
      <c r="G1284" s="37"/>
      <c r="H1284" s="37"/>
      <c r="I1284" s="21"/>
      <c r="J1284" s="21"/>
      <c r="K1284" s="22"/>
      <c r="L1284" s="39"/>
      <c r="O1284" s="42"/>
      <c r="P1284" s="40"/>
      <c r="Q1284" s="61"/>
      <c r="R1284" s="61"/>
      <c r="S1284" s="40"/>
      <c r="T1284" s="38"/>
      <c r="U1284" s="38"/>
      <c r="V1284" s="38"/>
      <c r="W1284" s="60"/>
      <c r="AB1284" s="42"/>
      <c r="AC1284" s="35"/>
      <c r="AD1284" s="38"/>
      <c r="AE1284" s="38"/>
      <c r="AF1284" s="38"/>
      <c r="AG1284" s="38"/>
      <c r="AH1284" s="60"/>
    </row>
    <row r="1285" spans="1:34" ht="15.75" customHeight="1">
      <c r="A1285" s="35" t="s">
        <v>4571</v>
      </c>
      <c r="B1285" s="72" t="s">
        <v>4572</v>
      </c>
      <c r="C1285" s="37" t="s">
        <v>24</v>
      </c>
      <c r="D1285" s="20" t="s">
        <v>4573</v>
      </c>
      <c r="E1285" s="20" t="s">
        <v>4574</v>
      </c>
      <c r="F1285" s="19" t="s">
        <v>27</v>
      </c>
      <c r="G1285" s="19" t="s">
        <v>28</v>
      </c>
      <c r="H1285" s="19" t="s">
        <v>36</v>
      </c>
      <c r="I1285" s="21" t="s">
        <v>29</v>
      </c>
      <c r="J1285" s="21" t="s">
        <v>29</v>
      </c>
      <c r="K1285" s="22" t="s">
        <v>4575</v>
      </c>
      <c r="L1285" s="56">
        <v>45083</v>
      </c>
      <c r="M1285" s="40"/>
      <c r="N1285" s="40"/>
      <c r="O1285" s="42"/>
      <c r="P1285" s="40"/>
      <c r="Q1285" s="61"/>
      <c r="R1285" s="61"/>
      <c r="S1285" s="40"/>
      <c r="T1285" s="38"/>
      <c r="U1285" s="38"/>
      <c r="V1285" s="38"/>
      <c r="W1285" s="60"/>
      <c r="AB1285" s="42"/>
      <c r="AC1285" s="35"/>
      <c r="AD1285" s="38"/>
      <c r="AE1285" s="38"/>
      <c r="AF1285" s="38"/>
      <c r="AG1285" s="38"/>
      <c r="AH1285" s="60"/>
    </row>
    <row r="1286" spans="1:34" ht="15.75" customHeight="1">
      <c r="A1286" s="54" t="s">
        <v>2714</v>
      </c>
      <c r="B1286" s="18" t="s">
        <v>4576</v>
      </c>
      <c r="C1286" s="19" t="s">
        <v>87</v>
      </c>
      <c r="D1286" s="20" t="s">
        <v>4577</v>
      </c>
      <c r="E1286" s="20" t="s">
        <v>4578</v>
      </c>
      <c r="F1286" s="19" t="s">
        <v>90</v>
      </c>
      <c r="G1286" s="19" t="s">
        <v>91</v>
      </c>
      <c r="H1286" s="19" t="s">
        <v>36</v>
      </c>
      <c r="I1286" s="21" t="s">
        <v>29</v>
      </c>
      <c r="J1286" s="21" t="s">
        <v>29</v>
      </c>
      <c r="K1286" s="22" t="s">
        <v>4579</v>
      </c>
      <c r="L1286" s="56">
        <v>45083</v>
      </c>
      <c r="O1286" s="42"/>
      <c r="P1286" s="40"/>
      <c r="Q1286" s="61"/>
      <c r="R1286" s="61"/>
      <c r="S1286" s="40"/>
      <c r="T1286" s="38"/>
      <c r="U1286" s="38"/>
      <c r="V1286" s="38"/>
      <c r="W1286" s="60"/>
      <c r="AB1286" s="42"/>
      <c r="AC1286" s="35"/>
      <c r="AD1286" s="38"/>
      <c r="AE1286" s="38"/>
      <c r="AF1286" s="38"/>
      <c r="AG1286" s="38"/>
      <c r="AH1286" s="60"/>
    </row>
    <row r="1287" spans="1:34" ht="15.75" customHeight="1">
      <c r="A1287" s="50" t="s">
        <v>39</v>
      </c>
      <c r="B1287" s="34" t="s">
        <v>4580</v>
      </c>
      <c r="C1287" s="19" t="s">
        <v>24</v>
      </c>
      <c r="D1287" s="20" t="s">
        <v>4581</v>
      </c>
      <c r="E1287" s="20" t="s">
        <v>4582</v>
      </c>
      <c r="F1287" s="19" t="s">
        <v>90</v>
      </c>
      <c r="G1287" s="19" t="s">
        <v>91</v>
      </c>
      <c r="H1287" s="19" t="s">
        <v>36</v>
      </c>
      <c r="I1287" s="21" t="s">
        <v>29</v>
      </c>
      <c r="J1287" s="21" t="s">
        <v>29</v>
      </c>
      <c r="K1287" s="22" t="s">
        <v>4583</v>
      </c>
      <c r="L1287" s="56">
        <v>45083</v>
      </c>
      <c r="O1287" s="42"/>
      <c r="P1287" s="40"/>
      <c r="Q1287" s="61"/>
      <c r="R1287" s="61"/>
      <c r="S1287" s="40"/>
      <c r="T1287" s="38"/>
      <c r="U1287" s="38"/>
      <c r="V1287" s="38"/>
      <c r="W1287" s="60"/>
      <c r="AB1287" s="42"/>
      <c r="AC1287" s="35"/>
      <c r="AD1287" s="38"/>
      <c r="AE1287" s="38"/>
      <c r="AF1287" s="38"/>
      <c r="AG1287" s="38"/>
      <c r="AH1287" s="60"/>
    </row>
    <row r="1288" spans="1:34" ht="15.75" customHeight="1">
      <c r="A1288" s="35" t="s">
        <v>3898</v>
      </c>
      <c r="B1288" s="18" t="s">
        <v>4584</v>
      </c>
      <c r="C1288" s="19" t="s">
        <v>46</v>
      </c>
      <c r="D1288" s="20" t="s">
        <v>4585</v>
      </c>
      <c r="E1288" s="20" t="s">
        <v>4586</v>
      </c>
      <c r="F1288" s="37" t="s">
        <v>49</v>
      </c>
      <c r="G1288" s="19" t="s">
        <v>50</v>
      </c>
      <c r="H1288" s="19"/>
      <c r="I1288" s="21" t="s">
        <v>29</v>
      </c>
      <c r="J1288" s="21" t="s">
        <v>29</v>
      </c>
      <c r="K1288" s="22" t="s">
        <v>4587</v>
      </c>
      <c r="L1288" s="56">
        <v>45083</v>
      </c>
      <c r="O1288" s="42"/>
      <c r="P1288" s="40"/>
      <c r="Q1288" s="61"/>
      <c r="R1288" s="61"/>
      <c r="S1288" s="40"/>
      <c r="T1288" s="38"/>
      <c r="U1288" s="38"/>
      <c r="V1288" s="38"/>
      <c r="W1288" s="60"/>
      <c r="AB1288" s="42"/>
      <c r="AC1288" s="35"/>
      <c r="AD1288" s="38"/>
      <c r="AE1288" s="38"/>
      <c r="AF1288" s="38"/>
      <c r="AG1288" s="38"/>
      <c r="AH1288" s="60"/>
    </row>
    <row r="1289" spans="1:34" ht="15.75" customHeight="1">
      <c r="A1289" s="35" t="s">
        <v>4588</v>
      </c>
      <c r="B1289" s="18" t="s">
        <v>4589</v>
      </c>
      <c r="C1289" s="19" t="s">
        <v>87</v>
      </c>
      <c r="D1289" s="20" t="s">
        <v>4590</v>
      </c>
      <c r="E1289" s="20" t="s">
        <v>4591</v>
      </c>
      <c r="F1289" s="19" t="s">
        <v>90</v>
      </c>
      <c r="G1289" s="19" t="s">
        <v>91</v>
      </c>
      <c r="H1289" s="19"/>
      <c r="I1289" s="21" t="s">
        <v>29</v>
      </c>
      <c r="J1289" s="21" t="s">
        <v>29</v>
      </c>
      <c r="K1289" s="22" t="s">
        <v>4592</v>
      </c>
      <c r="L1289" s="56">
        <v>45083</v>
      </c>
      <c r="O1289" s="42"/>
      <c r="P1289" s="40"/>
      <c r="Q1289" s="61"/>
      <c r="R1289" s="61"/>
      <c r="S1289" s="40"/>
      <c r="T1289" s="38"/>
      <c r="U1289" s="38"/>
      <c r="V1289" s="38"/>
      <c r="W1289" s="60"/>
      <c r="AB1289" s="42"/>
      <c r="AC1289" s="35"/>
      <c r="AD1289" s="38"/>
      <c r="AE1289" s="38"/>
      <c r="AF1289" s="38"/>
      <c r="AG1289" s="38"/>
      <c r="AH1289" s="60"/>
    </row>
    <row r="1290" spans="1:34" ht="15.75" customHeight="1">
      <c r="A1290" s="31" t="s">
        <v>56</v>
      </c>
      <c r="B1290" s="18" t="s">
        <v>4593</v>
      </c>
      <c r="C1290" s="19" t="s">
        <v>24</v>
      </c>
      <c r="D1290" s="20" t="s">
        <v>4594</v>
      </c>
      <c r="E1290" s="20" t="s">
        <v>4595</v>
      </c>
      <c r="F1290" s="19" t="s">
        <v>27</v>
      </c>
      <c r="G1290" s="19" t="s">
        <v>28</v>
      </c>
      <c r="H1290" s="19"/>
      <c r="I1290" s="21" t="s">
        <v>29</v>
      </c>
      <c r="J1290" s="21" t="s">
        <v>29</v>
      </c>
      <c r="K1290" s="22" t="s">
        <v>4596</v>
      </c>
      <c r="L1290" s="56">
        <v>45083</v>
      </c>
      <c r="O1290" s="42"/>
      <c r="P1290" s="40"/>
      <c r="Q1290" s="61"/>
      <c r="R1290" s="61"/>
      <c r="S1290" s="40"/>
      <c r="T1290" s="38"/>
      <c r="U1290" s="38"/>
      <c r="V1290" s="38"/>
      <c r="W1290" s="60"/>
      <c r="AB1290" s="42"/>
      <c r="AC1290" s="35"/>
      <c r="AD1290" s="38"/>
      <c r="AE1290" s="38"/>
      <c r="AF1290" s="38"/>
      <c r="AG1290" s="38"/>
      <c r="AH1290" s="60"/>
    </row>
    <row r="1291" spans="1:34" ht="15.75" customHeight="1">
      <c r="A1291" s="17">
        <v>71</v>
      </c>
      <c r="B1291" s="18" t="s">
        <v>4597</v>
      </c>
      <c r="C1291" s="19" t="s">
        <v>87</v>
      </c>
      <c r="D1291" s="20" t="s">
        <v>4598</v>
      </c>
      <c r="E1291" s="20" t="s">
        <v>4599</v>
      </c>
      <c r="F1291" s="19" t="s">
        <v>90</v>
      </c>
      <c r="G1291" s="19" t="s">
        <v>91</v>
      </c>
      <c r="H1291" s="19" t="s">
        <v>36</v>
      </c>
      <c r="I1291" s="21" t="s">
        <v>29</v>
      </c>
      <c r="J1291" s="21" t="s">
        <v>29</v>
      </c>
      <c r="K1291" s="22" t="s">
        <v>4600</v>
      </c>
      <c r="L1291" s="56">
        <v>45083</v>
      </c>
      <c r="O1291" s="42"/>
      <c r="P1291" s="40"/>
      <c r="Q1291" s="61"/>
      <c r="R1291" s="61"/>
      <c r="S1291" s="40"/>
      <c r="T1291" s="38"/>
      <c r="U1291" s="38"/>
      <c r="V1291" s="38"/>
      <c r="W1291" s="60"/>
      <c r="AB1291" s="42"/>
      <c r="AC1291" s="35"/>
      <c r="AD1291" s="38"/>
      <c r="AE1291" s="38"/>
      <c r="AF1291" s="38"/>
      <c r="AG1291" s="38"/>
      <c r="AH1291" s="60"/>
    </row>
    <row r="1292" spans="1:34" ht="15.75" customHeight="1">
      <c r="A1292" s="31" t="s">
        <v>64</v>
      </c>
      <c r="B1292" s="18" t="s">
        <v>4601</v>
      </c>
      <c r="C1292" s="19" t="s">
        <v>24</v>
      </c>
      <c r="D1292" s="20" t="s">
        <v>4602</v>
      </c>
      <c r="E1292" s="20" t="s">
        <v>4603</v>
      </c>
      <c r="F1292" s="19" t="s">
        <v>27</v>
      </c>
      <c r="G1292" s="19" t="s">
        <v>28</v>
      </c>
      <c r="H1292" s="19"/>
      <c r="I1292" s="21" t="s">
        <v>29</v>
      </c>
      <c r="J1292" s="21" t="s">
        <v>29</v>
      </c>
      <c r="K1292" s="22" t="s">
        <v>4604</v>
      </c>
      <c r="L1292" s="56">
        <v>45083</v>
      </c>
      <c r="O1292" s="42"/>
      <c r="P1292" s="40"/>
      <c r="Q1292" s="61"/>
      <c r="R1292" s="61"/>
      <c r="S1292" s="40"/>
      <c r="T1292" s="38"/>
      <c r="U1292" s="38"/>
      <c r="V1292" s="38"/>
      <c r="W1292" s="60"/>
      <c r="AB1292" s="42"/>
      <c r="AC1292" s="35"/>
      <c r="AD1292" s="38"/>
      <c r="AE1292" s="38"/>
      <c r="AF1292" s="38"/>
      <c r="AG1292" s="38"/>
      <c r="AH1292" s="60"/>
    </row>
    <row r="1293" spans="1:34" ht="15.75" customHeight="1">
      <c r="A1293" s="17">
        <v>3.9</v>
      </c>
      <c r="B1293" s="18" t="s">
        <v>4605</v>
      </c>
      <c r="C1293" s="19" t="s">
        <v>87</v>
      </c>
      <c r="D1293" s="20" t="s">
        <v>4606</v>
      </c>
      <c r="E1293" s="20" t="s">
        <v>4607</v>
      </c>
      <c r="F1293" s="19" t="s">
        <v>90</v>
      </c>
      <c r="G1293" s="19" t="s">
        <v>91</v>
      </c>
      <c r="H1293" s="19"/>
      <c r="I1293" s="21" t="s">
        <v>29</v>
      </c>
      <c r="J1293" s="21" t="s">
        <v>29</v>
      </c>
      <c r="K1293" s="22" t="s">
        <v>4608</v>
      </c>
      <c r="L1293" s="56">
        <v>45083</v>
      </c>
      <c r="O1293" s="42"/>
      <c r="P1293" s="40"/>
      <c r="Q1293" s="61"/>
      <c r="R1293" s="61"/>
      <c r="S1293" s="40"/>
      <c r="T1293" s="38"/>
      <c r="U1293" s="38"/>
      <c r="V1293" s="38"/>
      <c r="W1293" s="60"/>
      <c r="AB1293" s="42"/>
      <c r="AC1293" s="35"/>
      <c r="AD1293" s="38"/>
      <c r="AE1293" s="38"/>
      <c r="AF1293" s="38"/>
      <c r="AG1293" s="38"/>
      <c r="AH1293" s="60"/>
    </row>
    <row r="1294" spans="1:34" ht="15.75" customHeight="1">
      <c r="A1294" s="31" t="s">
        <v>73</v>
      </c>
      <c r="B1294" s="18" t="s">
        <v>4609</v>
      </c>
      <c r="C1294" s="19" t="s">
        <v>24</v>
      </c>
      <c r="D1294" s="20" t="s">
        <v>4610</v>
      </c>
      <c r="E1294" s="20" t="s">
        <v>4611</v>
      </c>
      <c r="F1294" s="19" t="s">
        <v>27</v>
      </c>
      <c r="G1294" s="19" t="s">
        <v>28</v>
      </c>
      <c r="H1294" s="19" t="s">
        <v>36</v>
      </c>
      <c r="I1294" s="21" t="s">
        <v>29</v>
      </c>
      <c r="J1294" s="21" t="s">
        <v>29</v>
      </c>
      <c r="K1294" s="22" t="s">
        <v>4612</v>
      </c>
      <c r="L1294" s="56">
        <v>45083</v>
      </c>
      <c r="O1294" s="42"/>
      <c r="P1294" s="40"/>
      <c r="Q1294" s="61"/>
      <c r="R1294" s="61"/>
      <c r="S1294" s="40"/>
      <c r="T1294" s="38"/>
      <c r="U1294" s="38"/>
      <c r="V1294" s="38"/>
      <c r="W1294" s="60"/>
      <c r="AB1294" s="42"/>
      <c r="AC1294" s="35"/>
      <c r="AD1294" s="38"/>
      <c r="AE1294" s="38"/>
      <c r="AF1294" s="38"/>
      <c r="AG1294" s="38"/>
      <c r="AH1294" s="60"/>
    </row>
    <row r="1295" spans="1:34" ht="15.75" customHeight="1">
      <c r="A1295" s="17">
        <v>3.9</v>
      </c>
      <c r="B1295" s="34" t="s">
        <v>4613</v>
      </c>
      <c r="C1295" s="19" t="s">
        <v>87</v>
      </c>
      <c r="D1295" s="20" t="s">
        <v>4614</v>
      </c>
      <c r="E1295" s="20" t="s">
        <v>4615</v>
      </c>
      <c r="F1295" s="37" t="s">
        <v>49</v>
      </c>
      <c r="G1295" s="19" t="s">
        <v>50</v>
      </c>
      <c r="H1295" s="19"/>
      <c r="I1295" s="21" t="s">
        <v>29</v>
      </c>
      <c r="J1295" s="21" t="s">
        <v>29</v>
      </c>
      <c r="K1295" s="22" t="s">
        <v>4616</v>
      </c>
      <c r="L1295" s="56">
        <v>45083</v>
      </c>
      <c r="O1295" s="42"/>
      <c r="P1295" s="40"/>
      <c r="Q1295" s="61"/>
      <c r="R1295" s="61"/>
      <c r="S1295" s="40"/>
      <c r="T1295" s="38"/>
      <c r="U1295" s="38"/>
      <c r="V1295" s="38"/>
      <c r="W1295" s="60"/>
      <c r="AB1295" s="42"/>
      <c r="AC1295" s="35"/>
      <c r="AD1295" s="38"/>
      <c r="AE1295" s="38"/>
      <c r="AF1295" s="38"/>
      <c r="AG1295" s="38"/>
      <c r="AH1295" s="60"/>
    </row>
    <row r="1296" spans="1:34" ht="15.75" customHeight="1">
      <c r="A1296" s="50" t="s">
        <v>82</v>
      </c>
      <c r="B1296" s="18" t="s">
        <v>4617</v>
      </c>
      <c r="C1296" s="19" t="s">
        <v>87</v>
      </c>
      <c r="D1296" s="20" t="s">
        <v>4618</v>
      </c>
      <c r="E1296" s="20" t="s">
        <v>4619</v>
      </c>
      <c r="F1296" s="19" t="s">
        <v>90</v>
      </c>
      <c r="G1296" s="19" t="s">
        <v>91</v>
      </c>
      <c r="H1296" s="19" t="s">
        <v>36</v>
      </c>
      <c r="I1296" s="21" t="s">
        <v>29</v>
      </c>
      <c r="J1296" s="21" t="s">
        <v>29</v>
      </c>
      <c r="K1296" s="22" t="s">
        <v>4620</v>
      </c>
      <c r="L1296" s="56">
        <v>45083</v>
      </c>
      <c r="O1296" s="42"/>
      <c r="P1296" s="40"/>
      <c r="Q1296" s="61"/>
      <c r="R1296" s="61"/>
      <c r="S1296" s="40"/>
      <c r="T1296" s="38"/>
      <c r="U1296" s="38"/>
      <c r="V1296" s="38"/>
      <c r="W1296" s="60"/>
      <c r="AB1296" s="42"/>
      <c r="AC1296" s="35"/>
      <c r="AD1296" s="38"/>
      <c r="AE1296" s="38"/>
      <c r="AF1296" s="38"/>
      <c r="AG1296" s="38"/>
      <c r="AH1296" s="60"/>
    </row>
    <row r="1297" spans="1:34" ht="15.75" customHeight="1">
      <c r="A1297" s="35" t="s">
        <v>4621</v>
      </c>
      <c r="B1297" s="18" t="s">
        <v>4622</v>
      </c>
      <c r="C1297" s="19" t="s">
        <v>24</v>
      </c>
      <c r="D1297" s="20" t="s">
        <v>4623</v>
      </c>
      <c r="E1297" s="20" t="s">
        <v>4624</v>
      </c>
      <c r="F1297" s="19" t="s">
        <v>27</v>
      </c>
      <c r="G1297" s="19" t="s">
        <v>28</v>
      </c>
      <c r="H1297" s="19" t="s">
        <v>36</v>
      </c>
      <c r="I1297" s="21" t="s">
        <v>29</v>
      </c>
      <c r="J1297" s="21" t="s">
        <v>29</v>
      </c>
      <c r="K1297" s="22" t="s">
        <v>4625</v>
      </c>
      <c r="L1297" s="56">
        <v>45083</v>
      </c>
      <c r="O1297" s="42"/>
      <c r="P1297" s="40"/>
      <c r="Q1297" s="61"/>
      <c r="R1297" s="61"/>
      <c r="S1297" s="40"/>
      <c r="T1297" s="38"/>
      <c r="U1297" s="38"/>
      <c r="V1297" s="38"/>
      <c r="W1297" s="60"/>
      <c r="AB1297" s="42"/>
      <c r="AC1297" s="35"/>
      <c r="AD1297" s="38"/>
      <c r="AE1297" s="38"/>
      <c r="AF1297" s="38"/>
      <c r="AG1297" s="38"/>
      <c r="AH1297" s="60"/>
    </row>
    <row r="1298" spans="1:34" ht="15.75" customHeight="1">
      <c r="A1298" s="31" t="s">
        <v>92</v>
      </c>
      <c r="B1298" s="34" t="s">
        <v>4626</v>
      </c>
      <c r="C1298" s="19" t="s">
        <v>87</v>
      </c>
      <c r="D1298" s="20" t="s">
        <v>4627</v>
      </c>
      <c r="E1298" s="20" t="s">
        <v>4628</v>
      </c>
      <c r="F1298" s="37" t="s">
        <v>49</v>
      </c>
      <c r="G1298" s="19" t="s">
        <v>50</v>
      </c>
      <c r="H1298" s="19"/>
      <c r="I1298" s="21" t="s">
        <v>29</v>
      </c>
      <c r="J1298" s="21" t="s">
        <v>29</v>
      </c>
      <c r="K1298" s="22" t="s">
        <v>4629</v>
      </c>
      <c r="L1298" s="56">
        <v>45083</v>
      </c>
      <c r="O1298" s="42"/>
      <c r="P1298" s="40"/>
      <c r="Q1298" s="61"/>
      <c r="R1298" s="61"/>
      <c r="S1298" s="40"/>
      <c r="T1298" s="38"/>
      <c r="U1298" s="38"/>
      <c r="V1298" s="38"/>
      <c r="W1298" s="60"/>
      <c r="AB1298" s="42"/>
      <c r="AC1298" s="35"/>
      <c r="AD1298" s="38"/>
      <c r="AE1298" s="38"/>
      <c r="AF1298" s="38"/>
      <c r="AG1298" s="38"/>
      <c r="AH1298" s="60"/>
    </row>
    <row r="1299" spans="1:34" ht="15.75" customHeight="1">
      <c r="A1299" s="33">
        <v>1574</v>
      </c>
      <c r="B1299" s="18" t="s">
        <v>4630</v>
      </c>
      <c r="C1299" s="19" t="s">
        <v>46</v>
      </c>
      <c r="D1299" s="20" t="s">
        <v>4631</v>
      </c>
      <c r="E1299" s="20" t="s">
        <v>4632</v>
      </c>
      <c r="F1299" s="37" t="s">
        <v>49</v>
      </c>
      <c r="G1299" s="19" t="s">
        <v>50</v>
      </c>
      <c r="H1299" s="19"/>
      <c r="I1299" s="21" t="s">
        <v>29</v>
      </c>
      <c r="J1299" s="21" t="s">
        <v>29</v>
      </c>
      <c r="K1299" s="22" t="s">
        <v>4633</v>
      </c>
      <c r="L1299" s="56">
        <v>45083</v>
      </c>
      <c r="O1299" s="42"/>
      <c r="P1299" s="40"/>
      <c r="Q1299" s="61"/>
      <c r="R1299" s="61"/>
      <c r="S1299" s="40"/>
      <c r="T1299" s="38"/>
      <c r="U1299" s="38"/>
      <c r="V1299" s="38"/>
      <c r="W1299" s="60"/>
      <c r="AB1299" s="42"/>
      <c r="AC1299" s="35"/>
      <c r="AD1299" s="38"/>
      <c r="AE1299" s="38"/>
      <c r="AF1299" s="38"/>
      <c r="AG1299" s="38"/>
      <c r="AH1299" s="60"/>
    </row>
    <row r="1300" spans="1:34" ht="15.75" customHeight="1">
      <c r="A1300" s="31" t="s">
        <v>100</v>
      </c>
      <c r="B1300" s="18" t="s">
        <v>4634</v>
      </c>
      <c r="C1300" s="19" t="s">
        <v>24</v>
      </c>
      <c r="D1300" s="20" t="s">
        <v>4635</v>
      </c>
      <c r="E1300" s="20" t="s">
        <v>4636</v>
      </c>
      <c r="F1300" s="19" t="s">
        <v>90</v>
      </c>
      <c r="G1300" s="19" t="s">
        <v>28</v>
      </c>
      <c r="H1300" s="19" t="s">
        <v>36</v>
      </c>
      <c r="I1300" s="21" t="s">
        <v>29</v>
      </c>
      <c r="J1300" s="21" t="s">
        <v>29</v>
      </c>
      <c r="K1300" s="22" t="s">
        <v>4637</v>
      </c>
      <c r="L1300" s="56">
        <v>45083</v>
      </c>
      <c r="O1300" s="42"/>
      <c r="P1300" s="40"/>
      <c r="Q1300" s="61"/>
      <c r="R1300" s="61"/>
      <c r="S1300" s="40"/>
      <c r="T1300" s="38"/>
      <c r="U1300" s="38"/>
      <c r="V1300" s="38"/>
      <c r="W1300" s="60"/>
      <c r="AB1300" s="42"/>
      <c r="AC1300" s="35"/>
      <c r="AD1300" s="38"/>
      <c r="AE1300" s="38"/>
      <c r="AF1300" s="38"/>
      <c r="AG1300" s="38"/>
      <c r="AH1300" s="60"/>
    </row>
    <row r="1301" spans="1:34" ht="15.75" customHeight="1">
      <c r="A1301" s="17">
        <v>166</v>
      </c>
      <c r="B1301" s="18" t="s">
        <v>4638</v>
      </c>
      <c r="C1301" s="19" t="s">
        <v>87</v>
      </c>
      <c r="D1301" s="20" t="s">
        <v>4639</v>
      </c>
      <c r="E1301" s="20" t="s">
        <v>4640</v>
      </c>
      <c r="F1301" s="19" t="s">
        <v>90</v>
      </c>
      <c r="G1301" s="19" t="s">
        <v>91</v>
      </c>
      <c r="H1301" s="19"/>
      <c r="I1301" s="21" t="s">
        <v>29</v>
      </c>
      <c r="J1301" s="21" t="s">
        <v>29</v>
      </c>
      <c r="K1301" s="22" t="s">
        <v>4641</v>
      </c>
      <c r="L1301" s="56">
        <v>45083</v>
      </c>
      <c r="O1301" s="42"/>
      <c r="P1301" s="40"/>
      <c r="Q1301" s="61"/>
      <c r="R1301" s="61"/>
      <c r="S1301" s="40"/>
      <c r="T1301" s="38"/>
      <c r="U1301" s="38"/>
      <c r="V1301" s="38"/>
      <c r="W1301" s="60"/>
      <c r="AB1301" s="42"/>
      <c r="AC1301" s="35"/>
      <c r="AD1301" s="38"/>
      <c r="AE1301" s="38"/>
      <c r="AF1301" s="38"/>
      <c r="AG1301" s="38"/>
      <c r="AH1301" s="60"/>
    </row>
    <row r="1302" spans="1:34" ht="15.75" customHeight="1">
      <c r="A1302" s="35"/>
      <c r="B1302" s="18" t="s">
        <v>3547</v>
      </c>
      <c r="C1302" s="19" t="s">
        <v>87</v>
      </c>
      <c r="D1302" s="20" t="s">
        <v>4642</v>
      </c>
      <c r="E1302" s="20" t="s">
        <v>4643</v>
      </c>
      <c r="F1302" s="19" t="s">
        <v>90</v>
      </c>
      <c r="G1302" s="19" t="s">
        <v>91</v>
      </c>
      <c r="H1302" s="19"/>
      <c r="I1302" s="21" t="s">
        <v>29</v>
      </c>
      <c r="J1302" s="21" t="s">
        <v>29</v>
      </c>
      <c r="K1302" s="22" t="s">
        <v>4644</v>
      </c>
      <c r="L1302" s="56">
        <v>45083</v>
      </c>
      <c r="O1302" s="42"/>
      <c r="P1302" s="40"/>
      <c r="Q1302" s="61"/>
      <c r="R1302" s="61"/>
      <c r="S1302" s="40"/>
      <c r="T1302" s="38"/>
      <c r="U1302" s="38"/>
      <c r="V1302" s="38"/>
      <c r="W1302" s="60"/>
      <c r="AB1302" s="42"/>
      <c r="AC1302" s="35"/>
      <c r="AD1302" s="38"/>
      <c r="AE1302" s="38"/>
      <c r="AF1302" s="38"/>
      <c r="AG1302" s="38"/>
      <c r="AH1302" s="60"/>
    </row>
    <row r="1303" spans="1:34" ht="15.75" customHeight="1">
      <c r="A1303" s="38"/>
      <c r="B1303" s="18" t="s">
        <v>4645</v>
      </c>
      <c r="C1303" s="19" t="s">
        <v>46</v>
      </c>
      <c r="D1303" s="20" t="s">
        <v>4646</v>
      </c>
      <c r="E1303" s="20" t="s">
        <v>4647</v>
      </c>
      <c r="F1303" s="37" t="s">
        <v>49</v>
      </c>
      <c r="G1303" s="19" t="s">
        <v>50</v>
      </c>
      <c r="H1303" s="19"/>
      <c r="I1303" s="21" t="s">
        <v>29</v>
      </c>
      <c r="J1303" s="21" t="s">
        <v>29</v>
      </c>
      <c r="K1303" s="22" t="s">
        <v>4648</v>
      </c>
      <c r="L1303" s="56">
        <v>45083</v>
      </c>
      <c r="P1303" s="40"/>
      <c r="Q1303" s="61"/>
      <c r="R1303" s="61"/>
      <c r="S1303" s="40"/>
      <c r="T1303" s="38"/>
      <c r="U1303" s="38"/>
      <c r="V1303" s="38"/>
      <c r="W1303" s="60"/>
      <c r="AB1303" s="42"/>
      <c r="AC1303" s="35"/>
      <c r="AD1303" s="38"/>
      <c r="AE1303" s="38"/>
      <c r="AF1303" s="38"/>
      <c r="AG1303" s="38"/>
      <c r="AH1303" s="60"/>
    </row>
    <row r="1304" spans="1:34" ht="15.75" customHeight="1">
      <c r="A1304" s="38"/>
      <c r="B1304" s="18" t="s">
        <v>4649</v>
      </c>
      <c r="C1304" s="19" t="s">
        <v>46</v>
      </c>
      <c r="D1304" s="20" t="s">
        <v>4650</v>
      </c>
      <c r="E1304" s="20" t="s">
        <v>4651</v>
      </c>
      <c r="F1304" s="37" t="s">
        <v>49</v>
      </c>
      <c r="G1304" s="19" t="s">
        <v>50</v>
      </c>
      <c r="H1304" s="19"/>
      <c r="I1304" s="21" t="s">
        <v>29</v>
      </c>
      <c r="J1304" s="21" t="s">
        <v>29</v>
      </c>
      <c r="K1304" s="22" t="s">
        <v>4652</v>
      </c>
      <c r="L1304" s="56">
        <v>45083</v>
      </c>
      <c r="O1304" s="42"/>
      <c r="P1304" s="40"/>
      <c r="Q1304" s="61"/>
      <c r="R1304" s="61"/>
      <c r="S1304" s="40"/>
      <c r="T1304" s="38"/>
      <c r="U1304" s="38"/>
      <c r="V1304" s="38"/>
      <c r="W1304" s="60"/>
      <c r="AB1304" s="42"/>
      <c r="AC1304" s="35"/>
      <c r="AD1304" s="38"/>
      <c r="AE1304" s="38"/>
      <c r="AF1304" s="38"/>
      <c r="AG1304" s="38"/>
      <c r="AH1304" s="60"/>
    </row>
    <row r="1305" spans="1:34" ht="15.75" customHeight="1">
      <c r="A1305" s="38"/>
      <c r="B1305" s="18" t="s">
        <v>4653</v>
      </c>
      <c r="C1305" s="19" t="s">
        <v>87</v>
      </c>
      <c r="D1305" s="20" t="s">
        <v>4654</v>
      </c>
      <c r="E1305" s="20" t="s">
        <v>4655</v>
      </c>
      <c r="F1305" s="19" t="s">
        <v>90</v>
      </c>
      <c r="G1305" s="19" t="s">
        <v>91</v>
      </c>
      <c r="H1305" s="19"/>
      <c r="I1305" s="21" t="s">
        <v>29</v>
      </c>
      <c r="J1305" s="21" t="s">
        <v>29</v>
      </c>
      <c r="K1305" s="22" t="s">
        <v>4656</v>
      </c>
      <c r="L1305" s="56">
        <v>45083</v>
      </c>
      <c r="O1305" s="42"/>
      <c r="P1305" s="40"/>
      <c r="Q1305" s="61"/>
      <c r="R1305" s="61"/>
      <c r="S1305" s="40"/>
      <c r="T1305" s="38"/>
      <c r="U1305" s="38"/>
      <c r="V1305" s="38"/>
      <c r="W1305" s="60"/>
      <c r="AB1305" s="42"/>
      <c r="AC1305" s="35"/>
      <c r="AD1305" s="38"/>
      <c r="AE1305" s="38"/>
      <c r="AF1305" s="38"/>
      <c r="AG1305" s="38"/>
      <c r="AH1305" s="60"/>
    </row>
    <row r="1306" spans="1:34" ht="15.75" customHeight="1">
      <c r="A1306" s="38"/>
      <c r="B1306" s="18" t="s">
        <v>4657</v>
      </c>
      <c r="C1306" s="19" t="s">
        <v>87</v>
      </c>
      <c r="D1306" s="20" t="s">
        <v>4658</v>
      </c>
      <c r="E1306" s="20" t="s">
        <v>4659</v>
      </c>
      <c r="F1306" s="19" t="s">
        <v>90</v>
      </c>
      <c r="G1306" s="19" t="s">
        <v>91</v>
      </c>
      <c r="H1306" s="19"/>
      <c r="I1306" s="21" t="s">
        <v>29</v>
      </c>
      <c r="J1306" s="21" t="s">
        <v>29</v>
      </c>
      <c r="K1306" s="22" t="s">
        <v>4660</v>
      </c>
      <c r="L1306" s="56">
        <v>45083</v>
      </c>
      <c r="O1306" s="42"/>
      <c r="P1306" s="40"/>
      <c r="Q1306" s="61"/>
      <c r="R1306" s="61"/>
      <c r="S1306" s="40"/>
      <c r="T1306" s="38"/>
      <c r="U1306" s="38"/>
      <c r="V1306" s="38"/>
      <c r="W1306" s="60"/>
      <c r="AB1306" s="42"/>
      <c r="AC1306" s="35"/>
      <c r="AD1306" s="38"/>
      <c r="AE1306" s="38"/>
      <c r="AF1306" s="38"/>
      <c r="AG1306" s="38"/>
      <c r="AH1306" s="60"/>
    </row>
    <row r="1307" spans="1:34" ht="15.75" customHeight="1">
      <c r="A1307" s="38"/>
      <c r="B1307" s="18" t="s">
        <v>4661</v>
      </c>
      <c r="C1307" s="19" t="s">
        <v>24</v>
      </c>
      <c r="D1307" s="20" t="s">
        <v>4662</v>
      </c>
      <c r="E1307" s="20" t="s">
        <v>4663</v>
      </c>
      <c r="F1307" s="19" t="s">
        <v>27</v>
      </c>
      <c r="G1307" s="19" t="s">
        <v>28</v>
      </c>
      <c r="H1307" s="19" t="s">
        <v>36</v>
      </c>
      <c r="I1307" s="21" t="s">
        <v>29</v>
      </c>
      <c r="J1307" s="21" t="s">
        <v>29</v>
      </c>
      <c r="K1307" s="22" t="s">
        <v>4664</v>
      </c>
      <c r="L1307" s="56">
        <v>45083</v>
      </c>
      <c r="O1307" s="42"/>
      <c r="P1307" s="40"/>
      <c r="Q1307" s="61"/>
      <c r="R1307" s="61"/>
      <c r="S1307" s="40"/>
      <c r="T1307" s="38"/>
      <c r="U1307" s="38"/>
      <c r="V1307" s="38"/>
      <c r="W1307" s="60"/>
      <c r="AB1307" s="42"/>
      <c r="AC1307" s="35"/>
      <c r="AD1307" s="38"/>
      <c r="AE1307" s="38"/>
      <c r="AF1307" s="38"/>
      <c r="AG1307" s="38"/>
      <c r="AH1307" s="60"/>
    </row>
    <row r="1308" spans="1:34" ht="15.75" customHeight="1">
      <c r="A1308" s="38"/>
      <c r="B1308" s="18" t="s">
        <v>4665</v>
      </c>
      <c r="C1308" s="19" t="s">
        <v>24</v>
      </c>
      <c r="D1308" s="20" t="s">
        <v>4666</v>
      </c>
      <c r="E1308" s="20"/>
      <c r="F1308" s="19" t="s">
        <v>27</v>
      </c>
      <c r="G1308" s="19" t="s">
        <v>28</v>
      </c>
      <c r="H1308" s="19" t="s">
        <v>36</v>
      </c>
      <c r="I1308" s="21" t="s">
        <v>29</v>
      </c>
      <c r="J1308" s="21" t="s">
        <v>29</v>
      </c>
      <c r="K1308" s="22"/>
      <c r="L1308" s="56">
        <v>45083</v>
      </c>
      <c r="O1308" s="42"/>
      <c r="P1308" s="40"/>
      <c r="Q1308" s="61"/>
      <c r="R1308" s="61"/>
      <c r="S1308" s="40"/>
      <c r="T1308" s="38"/>
      <c r="U1308" s="38"/>
      <c r="V1308" s="38"/>
      <c r="W1308" s="60"/>
      <c r="AB1308" s="42"/>
      <c r="AC1308" s="35"/>
      <c r="AD1308" s="38"/>
      <c r="AE1308" s="38"/>
      <c r="AF1308" s="38"/>
      <c r="AG1308" s="38"/>
      <c r="AH1308" s="60"/>
    </row>
    <row r="1309" spans="1:34" ht="15.75" customHeight="1">
      <c r="A1309" s="38"/>
      <c r="B1309" s="18" t="s">
        <v>4667</v>
      </c>
      <c r="C1309" s="19" t="s">
        <v>87</v>
      </c>
      <c r="D1309" s="20" t="s">
        <v>4668</v>
      </c>
      <c r="E1309" s="20" t="s">
        <v>4669</v>
      </c>
      <c r="F1309" s="19" t="s">
        <v>90</v>
      </c>
      <c r="G1309" s="19" t="s">
        <v>91</v>
      </c>
      <c r="H1309" s="19"/>
      <c r="I1309" s="21" t="s">
        <v>29</v>
      </c>
      <c r="J1309" s="21" t="s">
        <v>29</v>
      </c>
      <c r="K1309" s="22" t="s">
        <v>4670</v>
      </c>
      <c r="L1309" s="56">
        <v>45083</v>
      </c>
      <c r="O1309" s="42"/>
      <c r="P1309" s="40"/>
      <c r="Q1309" s="61"/>
      <c r="R1309" s="61"/>
      <c r="S1309" s="40"/>
      <c r="T1309" s="38"/>
      <c r="U1309" s="38"/>
      <c r="V1309" s="38"/>
      <c r="W1309" s="60"/>
      <c r="AB1309" s="42"/>
      <c r="AC1309" s="35"/>
      <c r="AD1309" s="38"/>
      <c r="AE1309" s="38"/>
      <c r="AF1309" s="38"/>
      <c r="AG1309" s="38"/>
      <c r="AH1309" s="60"/>
    </row>
    <row r="1310" spans="1:34" ht="15.75" customHeight="1">
      <c r="A1310" s="38"/>
      <c r="B1310" s="18" t="s">
        <v>4671</v>
      </c>
      <c r="C1310" s="19" t="s">
        <v>24</v>
      </c>
      <c r="D1310" s="20" t="s">
        <v>4672</v>
      </c>
      <c r="E1310" s="20" t="s">
        <v>4673</v>
      </c>
      <c r="F1310" s="19" t="s">
        <v>27</v>
      </c>
      <c r="G1310" s="19" t="s">
        <v>28</v>
      </c>
      <c r="H1310" s="19" t="s">
        <v>36</v>
      </c>
      <c r="I1310" s="21" t="s">
        <v>29</v>
      </c>
      <c r="J1310" s="21" t="s">
        <v>29</v>
      </c>
      <c r="K1310" s="22" t="s">
        <v>4674</v>
      </c>
      <c r="L1310" s="56">
        <v>45083</v>
      </c>
      <c r="O1310" s="42"/>
      <c r="P1310" s="40"/>
      <c r="Q1310" s="61"/>
      <c r="R1310" s="61"/>
      <c r="S1310" s="40"/>
      <c r="T1310" s="38"/>
      <c r="U1310" s="38"/>
      <c r="V1310" s="38"/>
      <c r="W1310" s="60"/>
      <c r="AB1310" s="42"/>
      <c r="AC1310" s="35"/>
      <c r="AD1310" s="38"/>
      <c r="AE1310" s="38"/>
      <c r="AF1310" s="38"/>
      <c r="AG1310" s="38"/>
      <c r="AH1310" s="60"/>
    </row>
    <row r="1311" spans="1:34" ht="15.75" customHeight="1">
      <c r="A1311" s="38"/>
      <c r="B1311" s="18" t="s">
        <v>4675</v>
      </c>
      <c r="C1311" s="19" t="s">
        <v>87</v>
      </c>
      <c r="D1311" s="20" t="s">
        <v>4676</v>
      </c>
      <c r="E1311" s="20" t="s">
        <v>4677</v>
      </c>
      <c r="F1311" s="19" t="s">
        <v>90</v>
      </c>
      <c r="G1311" s="19" t="s">
        <v>91</v>
      </c>
      <c r="H1311" s="19"/>
      <c r="I1311" s="21" t="s">
        <v>29</v>
      </c>
      <c r="J1311" s="21" t="s">
        <v>29</v>
      </c>
      <c r="K1311" s="22" t="s">
        <v>4678</v>
      </c>
      <c r="L1311" s="56">
        <v>45083</v>
      </c>
      <c r="O1311" s="42"/>
      <c r="P1311" s="40"/>
      <c r="Q1311" s="61"/>
      <c r="R1311" s="61"/>
      <c r="S1311" s="40"/>
      <c r="T1311" s="38"/>
      <c r="U1311" s="38"/>
      <c r="V1311" s="38"/>
      <c r="W1311" s="60"/>
      <c r="AB1311" s="42"/>
      <c r="AC1311" s="35"/>
      <c r="AD1311" s="38"/>
      <c r="AE1311" s="38"/>
      <c r="AF1311" s="38"/>
      <c r="AG1311" s="38"/>
      <c r="AH1311" s="60"/>
    </row>
    <row r="1312" spans="1:34" ht="15.75" customHeight="1">
      <c r="A1312" s="38"/>
      <c r="B1312" s="18" t="s">
        <v>4679</v>
      </c>
      <c r="C1312" s="19" t="s">
        <v>24</v>
      </c>
      <c r="D1312" s="20" t="s">
        <v>4680</v>
      </c>
      <c r="E1312" s="20" t="s">
        <v>4681</v>
      </c>
      <c r="F1312" s="19" t="s">
        <v>27</v>
      </c>
      <c r="G1312" s="19" t="s">
        <v>28</v>
      </c>
      <c r="H1312" s="19"/>
      <c r="I1312" s="21" t="s">
        <v>29</v>
      </c>
      <c r="J1312" s="21" t="s">
        <v>29</v>
      </c>
      <c r="K1312" s="22" t="s">
        <v>4682</v>
      </c>
      <c r="L1312" s="56">
        <v>45083</v>
      </c>
      <c r="O1312" s="42"/>
      <c r="P1312" s="40"/>
      <c r="Q1312" s="61"/>
      <c r="R1312" s="61"/>
      <c r="S1312" s="40"/>
      <c r="T1312" s="38"/>
      <c r="U1312" s="38"/>
      <c r="V1312" s="38"/>
      <c r="W1312" s="60"/>
      <c r="AB1312" s="42"/>
      <c r="AC1312" s="35"/>
      <c r="AD1312" s="38"/>
      <c r="AE1312" s="38"/>
      <c r="AF1312" s="38"/>
      <c r="AG1312" s="38"/>
      <c r="AH1312" s="60"/>
    </row>
    <row r="1313" spans="1:34" ht="15.75" customHeight="1">
      <c r="A1313" s="38"/>
      <c r="B1313" s="18" t="s">
        <v>4683</v>
      </c>
      <c r="C1313" s="19" t="s">
        <v>24</v>
      </c>
      <c r="D1313" s="20" t="s">
        <v>4684</v>
      </c>
      <c r="E1313" s="20" t="s">
        <v>4685</v>
      </c>
      <c r="F1313" s="19" t="s">
        <v>27</v>
      </c>
      <c r="G1313" s="19" t="s">
        <v>28</v>
      </c>
      <c r="H1313" s="19"/>
      <c r="I1313" s="21" t="s">
        <v>29</v>
      </c>
      <c r="J1313" s="21" t="s">
        <v>29</v>
      </c>
      <c r="K1313" s="22" t="s">
        <v>4686</v>
      </c>
      <c r="L1313" s="56">
        <v>45083</v>
      </c>
      <c r="O1313" s="42"/>
      <c r="P1313" s="40"/>
      <c r="Q1313" s="61"/>
      <c r="R1313" s="61"/>
      <c r="S1313" s="40"/>
      <c r="T1313" s="38"/>
      <c r="U1313" s="38"/>
      <c r="V1313" s="38"/>
      <c r="W1313" s="60"/>
      <c r="AB1313" s="42"/>
      <c r="AC1313" s="35"/>
      <c r="AD1313" s="38"/>
      <c r="AE1313" s="38"/>
      <c r="AF1313" s="38"/>
      <c r="AG1313" s="38"/>
      <c r="AH1313" s="60"/>
    </row>
    <row r="1314" spans="1:34" ht="15.75" customHeight="1">
      <c r="A1314" s="38"/>
      <c r="B1314" s="18" t="s">
        <v>4687</v>
      </c>
      <c r="C1314" s="19" t="s">
        <v>87</v>
      </c>
      <c r="D1314" s="20" t="s">
        <v>4688</v>
      </c>
      <c r="E1314" s="20"/>
      <c r="F1314" s="19" t="s">
        <v>90</v>
      </c>
      <c r="G1314" s="19" t="s">
        <v>91</v>
      </c>
      <c r="H1314" s="19" t="s">
        <v>36</v>
      </c>
      <c r="I1314" s="21" t="s">
        <v>29</v>
      </c>
      <c r="J1314" s="21" t="s">
        <v>29</v>
      </c>
      <c r="K1314" s="22"/>
      <c r="L1314" s="56">
        <v>45083</v>
      </c>
      <c r="O1314" s="42"/>
      <c r="P1314" s="40"/>
      <c r="Q1314" s="61"/>
      <c r="R1314" s="61"/>
      <c r="S1314" s="40"/>
      <c r="T1314" s="38"/>
      <c r="U1314" s="38"/>
      <c r="V1314" s="38"/>
      <c r="W1314" s="60"/>
      <c r="AB1314" s="42"/>
      <c r="AC1314" s="35"/>
      <c r="AD1314" s="38"/>
      <c r="AE1314" s="38"/>
      <c r="AF1314" s="38"/>
      <c r="AG1314" s="38"/>
      <c r="AH1314" s="60"/>
    </row>
    <row r="1315" spans="1:34" ht="15.75" customHeight="1">
      <c r="A1315" s="38"/>
      <c r="B1315" s="34" t="s">
        <v>4689</v>
      </c>
      <c r="C1315" s="19" t="s">
        <v>24</v>
      </c>
      <c r="D1315" s="20" t="s">
        <v>4690</v>
      </c>
      <c r="E1315" s="20" t="s">
        <v>4691</v>
      </c>
      <c r="F1315" s="19" t="s">
        <v>90</v>
      </c>
      <c r="G1315" s="19" t="s">
        <v>91</v>
      </c>
      <c r="H1315" s="19" t="s">
        <v>36</v>
      </c>
      <c r="I1315" s="21" t="s">
        <v>29</v>
      </c>
      <c r="J1315" s="21" t="s">
        <v>29</v>
      </c>
      <c r="K1315" s="22" t="s">
        <v>4692</v>
      </c>
      <c r="L1315" s="56">
        <v>45083</v>
      </c>
      <c r="O1315" s="42"/>
      <c r="P1315" s="40"/>
      <c r="Q1315" s="61"/>
      <c r="R1315" s="61"/>
      <c r="S1315" s="40"/>
      <c r="T1315" s="38"/>
      <c r="U1315" s="38"/>
      <c r="V1315" s="38"/>
      <c r="W1315" s="60"/>
      <c r="AB1315" s="42"/>
      <c r="AC1315" s="35"/>
      <c r="AD1315" s="38"/>
      <c r="AE1315" s="38"/>
      <c r="AF1315" s="38"/>
      <c r="AG1315" s="38"/>
      <c r="AH1315" s="60"/>
    </row>
    <row r="1316" spans="1:34" ht="15.75" customHeight="1">
      <c r="A1316" s="38"/>
      <c r="B1316" s="18" t="s">
        <v>4693</v>
      </c>
      <c r="C1316" s="19" t="s">
        <v>24</v>
      </c>
      <c r="D1316" s="20" t="s">
        <v>4694</v>
      </c>
      <c r="E1316" s="20" t="s">
        <v>4695</v>
      </c>
      <c r="F1316" s="19" t="s">
        <v>27</v>
      </c>
      <c r="G1316" s="19" t="s">
        <v>28</v>
      </c>
      <c r="H1316" s="19" t="s">
        <v>36</v>
      </c>
      <c r="I1316" s="21" t="s">
        <v>29</v>
      </c>
      <c r="J1316" s="21" t="s">
        <v>29</v>
      </c>
      <c r="K1316" s="22" t="s">
        <v>4696</v>
      </c>
      <c r="L1316" s="56">
        <v>45083</v>
      </c>
      <c r="O1316" s="42"/>
      <c r="P1316" s="40"/>
      <c r="Q1316" s="61"/>
      <c r="R1316" s="61"/>
      <c r="S1316" s="40"/>
      <c r="T1316" s="38"/>
      <c r="U1316" s="38"/>
      <c r="V1316" s="38"/>
      <c r="W1316" s="60"/>
      <c r="AB1316" s="42"/>
      <c r="AC1316" s="35"/>
      <c r="AD1316" s="38"/>
      <c r="AE1316" s="38"/>
      <c r="AF1316" s="38"/>
      <c r="AG1316" s="38"/>
      <c r="AH1316" s="60"/>
    </row>
    <row r="1317" spans="1:34" ht="15.75" customHeight="1">
      <c r="A1317" s="38"/>
      <c r="B1317" s="18" t="s">
        <v>4697</v>
      </c>
      <c r="C1317" s="19" t="s">
        <v>24</v>
      </c>
      <c r="D1317" s="20" t="s">
        <v>4698</v>
      </c>
      <c r="E1317" s="20" t="s">
        <v>4699</v>
      </c>
      <c r="F1317" s="19" t="s">
        <v>27</v>
      </c>
      <c r="G1317" s="19" t="s">
        <v>28</v>
      </c>
      <c r="H1317" s="19"/>
      <c r="I1317" s="21" t="s">
        <v>29</v>
      </c>
      <c r="J1317" s="21" t="s">
        <v>29</v>
      </c>
      <c r="K1317" s="22" t="s">
        <v>4700</v>
      </c>
      <c r="L1317" s="56">
        <v>45083</v>
      </c>
      <c r="O1317" s="42"/>
      <c r="P1317" s="40"/>
      <c r="Q1317" s="61"/>
      <c r="R1317" s="61"/>
      <c r="S1317" s="40"/>
      <c r="T1317" s="38"/>
      <c r="U1317" s="38"/>
      <c r="V1317" s="38"/>
      <c r="W1317" s="60"/>
      <c r="AB1317" s="42"/>
      <c r="AC1317" s="35"/>
      <c r="AD1317" s="38"/>
      <c r="AE1317" s="38"/>
      <c r="AF1317" s="38"/>
      <c r="AG1317" s="38"/>
      <c r="AH1317" s="60"/>
    </row>
    <row r="1318" spans="1:34" ht="15.75" customHeight="1">
      <c r="A1318" s="38"/>
      <c r="B1318" s="34" t="s">
        <v>4701</v>
      </c>
      <c r="C1318" s="19" t="s">
        <v>24</v>
      </c>
      <c r="D1318" s="20" t="s">
        <v>4702</v>
      </c>
      <c r="E1318" s="20" t="s">
        <v>4703</v>
      </c>
      <c r="F1318" s="19" t="s">
        <v>90</v>
      </c>
      <c r="G1318" s="19" t="s">
        <v>91</v>
      </c>
      <c r="H1318" s="19"/>
      <c r="I1318" s="21" t="s">
        <v>29</v>
      </c>
      <c r="J1318" s="21" t="s">
        <v>29</v>
      </c>
      <c r="K1318" s="22" t="s">
        <v>4704</v>
      </c>
      <c r="L1318" s="56">
        <v>45083</v>
      </c>
      <c r="O1318" s="42"/>
      <c r="P1318" s="40"/>
      <c r="Q1318" s="61"/>
      <c r="R1318" s="61"/>
      <c r="S1318" s="40"/>
      <c r="T1318" s="38"/>
      <c r="U1318" s="38"/>
      <c r="V1318" s="38"/>
      <c r="W1318" s="60"/>
      <c r="AB1318" s="42"/>
      <c r="AC1318" s="35"/>
      <c r="AD1318" s="38"/>
      <c r="AE1318" s="38"/>
      <c r="AF1318" s="38"/>
      <c r="AG1318" s="38"/>
      <c r="AH1318" s="60"/>
    </row>
    <row r="1319" spans="1:34" ht="15.75" customHeight="1">
      <c r="A1319" s="38"/>
      <c r="B1319" s="18" t="s">
        <v>4705</v>
      </c>
      <c r="C1319" s="19" t="s">
        <v>46</v>
      </c>
      <c r="D1319" s="20" t="s">
        <v>4706</v>
      </c>
      <c r="E1319" s="20" t="s">
        <v>4707</v>
      </c>
      <c r="F1319" s="37" t="s">
        <v>49</v>
      </c>
      <c r="G1319" s="19" t="s">
        <v>50</v>
      </c>
      <c r="H1319" s="19"/>
      <c r="I1319" s="21" t="s">
        <v>29</v>
      </c>
      <c r="J1319" s="21" t="s">
        <v>29</v>
      </c>
      <c r="K1319" s="22" t="s">
        <v>4708</v>
      </c>
      <c r="L1319" s="56">
        <v>45083</v>
      </c>
      <c r="O1319" s="42"/>
      <c r="P1319" s="40"/>
      <c r="Q1319" s="61"/>
      <c r="R1319" s="61"/>
      <c r="S1319" s="40"/>
      <c r="T1319" s="38"/>
      <c r="U1319" s="38"/>
      <c r="V1319" s="38"/>
      <c r="W1319" s="60"/>
      <c r="AB1319" s="42"/>
      <c r="AC1319" s="35"/>
      <c r="AD1319" s="38"/>
      <c r="AE1319" s="38"/>
      <c r="AF1319" s="38"/>
      <c r="AG1319" s="38"/>
      <c r="AH1319" s="60"/>
    </row>
    <row r="1320" spans="1:34" ht="15.75" customHeight="1">
      <c r="A1320" s="38"/>
      <c r="B1320" s="18" t="s">
        <v>4709</v>
      </c>
      <c r="C1320" s="19" t="s">
        <v>24</v>
      </c>
      <c r="D1320" s="20" t="s">
        <v>4710</v>
      </c>
      <c r="E1320" s="20" t="s">
        <v>4711</v>
      </c>
      <c r="F1320" s="19" t="s">
        <v>27</v>
      </c>
      <c r="G1320" s="19" t="s">
        <v>28</v>
      </c>
      <c r="H1320" s="19" t="s">
        <v>36</v>
      </c>
      <c r="I1320" s="21" t="s">
        <v>29</v>
      </c>
      <c r="J1320" s="21" t="s">
        <v>29</v>
      </c>
      <c r="K1320" s="22" t="s">
        <v>4712</v>
      </c>
      <c r="L1320" s="56">
        <v>45083</v>
      </c>
      <c r="O1320" s="42"/>
      <c r="P1320" s="40"/>
      <c r="Q1320" s="61"/>
      <c r="R1320" s="61"/>
      <c r="S1320" s="40"/>
      <c r="T1320" s="38"/>
      <c r="U1320" s="38"/>
      <c r="V1320" s="38"/>
      <c r="W1320" s="60"/>
      <c r="AB1320" s="42"/>
      <c r="AC1320" s="35"/>
      <c r="AD1320" s="38"/>
      <c r="AE1320" s="38"/>
      <c r="AF1320" s="38"/>
      <c r="AG1320" s="38"/>
      <c r="AH1320" s="60"/>
    </row>
    <row r="1321" spans="1:34" ht="15.75" customHeight="1">
      <c r="A1321" s="38"/>
      <c r="B1321" s="34" t="s">
        <v>4713</v>
      </c>
      <c r="C1321" s="19" t="s">
        <v>87</v>
      </c>
      <c r="D1321" s="20" t="s">
        <v>4714</v>
      </c>
      <c r="E1321" s="20" t="s">
        <v>4715</v>
      </c>
      <c r="F1321" s="37" t="s">
        <v>49</v>
      </c>
      <c r="G1321" s="19" t="s">
        <v>50</v>
      </c>
      <c r="H1321" s="19"/>
      <c r="I1321" s="21" t="s">
        <v>29</v>
      </c>
      <c r="J1321" s="21" t="s">
        <v>29</v>
      </c>
      <c r="K1321" s="22" t="s">
        <v>4716</v>
      </c>
      <c r="L1321" s="56">
        <v>45083</v>
      </c>
      <c r="O1321" s="42"/>
      <c r="P1321" s="40"/>
      <c r="Q1321" s="61"/>
      <c r="R1321" s="61"/>
      <c r="S1321" s="40"/>
      <c r="T1321" s="38"/>
      <c r="U1321" s="38"/>
      <c r="V1321" s="38"/>
      <c r="W1321" s="60"/>
      <c r="AB1321" s="42"/>
      <c r="AC1321" s="35"/>
      <c r="AD1321" s="38"/>
      <c r="AE1321" s="38"/>
      <c r="AF1321" s="38"/>
      <c r="AG1321" s="38"/>
      <c r="AH1321" s="60"/>
    </row>
    <row r="1322" spans="1:34" ht="15.75" customHeight="1">
      <c r="A1322" s="38"/>
      <c r="B1322" s="18" t="s">
        <v>4717</v>
      </c>
      <c r="C1322" s="19" t="s">
        <v>46</v>
      </c>
      <c r="D1322" s="20" t="s">
        <v>4718</v>
      </c>
      <c r="E1322" s="20" t="s">
        <v>4719</v>
      </c>
      <c r="F1322" s="37" t="s">
        <v>49</v>
      </c>
      <c r="G1322" s="19" t="s">
        <v>50</v>
      </c>
      <c r="H1322" s="19"/>
      <c r="I1322" s="21" t="s">
        <v>29</v>
      </c>
      <c r="J1322" s="21" t="s">
        <v>29</v>
      </c>
      <c r="K1322" s="22" t="s">
        <v>4720</v>
      </c>
      <c r="L1322" s="56">
        <v>45083</v>
      </c>
      <c r="O1322" s="42"/>
      <c r="P1322" s="40"/>
      <c r="Q1322" s="61"/>
      <c r="R1322" s="61"/>
      <c r="S1322" s="40"/>
      <c r="T1322" s="38"/>
      <c r="U1322" s="38"/>
      <c r="V1322" s="38"/>
      <c r="W1322" s="60"/>
      <c r="AB1322" s="42"/>
      <c r="AC1322" s="35"/>
      <c r="AD1322" s="38"/>
      <c r="AE1322" s="38"/>
      <c r="AF1322" s="38"/>
      <c r="AG1322" s="38"/>
      <c r="AH1322" s="60"/>
    </row>
    <row r="1323" spans="1:34" ht="15.75" customHeight="1">
      <c r="A1323" s="38"/>
      <c r="B1323" s="29" t="s">
        <v>4721</v>
      </c>
      <c r="C1323" s="19" t="s">
        <v>24</v>
      </c>
      <c r="D1323" s="20" t="s">
        <v>4722</v>
      </c>
      <c r="E1323" s="20" t="s">
        <v>4723</v>
      </c>
      <c r="F1323" s="19" t="s">
        <v>27</v>
      </c>
      <c r="G1323" s="19" t="s">
        <v>28</v>
      </c>
      <c r="H1323" s="19"/>
      <c r="I1323" s="21" t="s">
        <v>29</v>
      </c>
      <c r="J1323" s="21" t="s">
        <v>29</v>
      </c>
      <c r="K1323" s="22" t="s">
        <v>4724</v>
      </c>
      <c r="L1323" s="56">
        <v>45083</v>
      </c>
      <c r="O1323" s="42"/>
      <c r="P1323" s="40"/>
      <c r="Q1323" s="61"/>
      <c r="R1323" s="61"/>
      <c r="S1323" s="40"/>
      <c r="T1323" s="38"/>
      <c r="U1323" s="38"/>
      <c r="V1323" s="38"/>
      <c r="W1323" s="60"/>
      <c r="AB1323" s="42"/>
      <c r="AC1323" s="35"/>
      <c r="AD1323" s="38"/>
      <c r="AE1323" s="38"/>
      <c r="AF1323" s="38"/>
      <c r="AG1323" s="38"/>
      <c r="AH1323" s="60"/>
    </row>
    <row r="1324" spans="1:34" ht="15.75" customHeight="1">
      <c r="A1324" s="38"/>
      <c r="B1324" s="18" t="s">
        <v>4725</v>
      </c>
      <c r="C1324" s="19" t="s">
        <v>24</v>
      </c>
      <c r="D1324" s="20" t="s">
        <v>4726</v>
      </c>
      <c r="E1324" s="20" t="s">
        <v>4727</v>
      </c>
      <c r="F1324" s="19" t="s">
        <v>27</v>
      </c>
      <c r="G1324" s="19" t="s">
        <v>28</v>
      </c>
      <c r="H1324" s="19" t="s">
        <v>36</v>
      </c>
      <c r="I1324" s="21" t="s">
        <v>29</v>
      </c>
      <c r="J1324" s="21" t="s">
        <v>29</v>
      </c>
      <c r="K1324" s="22" t="s">
        <v>4728</v>
      </c>
      <c r="L1324" s="56">
        <v>45083</v>
      </c>
      <c r="O1324" s="42"/>
      <c r="P1324" s="40"/>
      <c r="Q1324" s="61"/>
      <c r="R1324" s="61"/>
      <c r="S1324" s="40"/>
      <c r="T1324" s="38"/>
      <c r="U1324" s="38"/>
      <c r="V1324" s="38"/>
      <c r="W1324" s="60"/>
      <c r="AB1324" s="42"/>
      <c r="AC1324" s="35"/>
      <c r="AD1324" s="38"/>
      <c r="AE1324" s="38"/>
      <c r="AF1324" s="38"/>
      <c r="AG1324" s="38"/>
      <c r="AH1324" s="60"/>
    </row>
    <row r="1325" spans="1:34" ht="15.75" customHeight="1">
      <c r="A1325" s="38"/>
      <c r="B1325" s="18" t="s">
        <v>4729</v>
      </c>
      <c r="C1325" s="19" t="s">
        <v>46</v>
      </c>
      <c r="D1325" s="20" t="s">
        <v>4730</v>
      </c>
      <c r="E1325" s="20" t="s">
        <v>4731</v>
      </c>
      <c r="F1325" s="37" t="s">
        <v>49</v>
      </c>
      <c r="G1325" s="19" t="s">
        <v>50</v>
      </c>
      <c r="H1325" s="19"/>
      <c r="I1325" s="21" t="s">
        <v>29</v>
      </c>
      <c r="J1325" s="21" t="s">
        <v>29</v>
      </c>
      <c r="K1325" s="22" t="s">
        <v>4732</v>
      </c>
      <c r="L1325" s="56">
        <v>45083</v>
      </c>
      <c r="O1325" s="42"/>
      <c r="P1325" s="40"/>
      <c r="Q1325" s="61"/>
      <c r="R1325" s="61"/>
      <c r="S1325" s="40"/>
      <c r="T1325" s="38"/>
      <c r="U1325" s="38"/>
      <c r="V1325" s="38"/>
      <c r="W1325" s="60"/>
      <c r="AB1325" s="42"/>
      <c r="AC1325" s="35"/>
      <c r="AD1325" s="38"/>
      <c r="AE1325" s="38"/>
      <c r="AF1325" s="38"/>
      <c r="AG1325" s="38"/>
      <c r="AH1325" s="60"/>
    </row>
    <row r="1326" spans="1:34" ht="15.75" customHeight="1">
      <c r="A1326" s="38"/>
      <c r="B1326" s="34" t="s">
        <v>4733</v>
      </c>
      <c r="C1326" s="19" t="s">
        <v>87</v>
      </c>
      <c r="D1326" s="20" t="s">
        <v>4734</v>
      </c>
      <c r="E1326" s="20" t="s">
        <v>4735</v>
      </c>
      <c r="F1326" s="37" t="s">
        <v>49</v>
      </c>
      <c r="G1326" s="19" t="s">
        <v>50</v>
      </c>
      <c r="H1326" s="19"/>
      <c r="I1326" s="21" t="s">
        <v>29</v>
      </c>
      <c r="J1326" s="21" t="s">
        <v>29</v>
      </c>
      <c r="K1326" s="22" t="s">
        <v>4736</v>
      </c>
      <c r="L1326" s="56">
        <v>45083</v>
      </c>
      <c r="O1326" s="42"/>
      <c r="P1326" s="40"/>
      <c r="Q1326" s="61"/>
      <c r="R1326" s="61"/>
      <c r="S1326" s="40"/>
      <c r="T1326" s="38"/>
      <c r="U1326" s="38"/>
      <c r="V1326" s="38"/>
      <c r="W1326" s="60"/>
      <c r="AB1326" s="42"/>
      <c r="AC1326" s="35"/>
      <c r="AD1326" s="38"/>
      <c r="AE1326" s="38"/>
      <c r="AF1326" s="38"/>
      <c r="AG1326" s="38"/>
      <c r="AH1326" s="60"/>
    </row>
    <row r="1327" spans="1:34" ht="15.75" customHeight="1">
      <c r="A1327" s="38"/>
      <c r="B1327" s="18" t="s">
        <v>4737</v>
      </c>
      <c r="C1327" s="19" t="s">
        <v>46</v>
      </c>
      <c r="D1327" s="20" t="s">
        <v>4738</v>
      </c>
      <c r="E1327" s="20" t="s">
        <v>4739</v>
      </c>
      <c r="F1327" s="37" t="s">
        <v>49</v>
      </c>
      <c r="G1327" s="19" t="s">
        <v>50</v>
      </c>
      <c r="H1327" s="19"/>
      <c r="I1327" s="21" t="s">
        <v>29</v>
      </c>
      <c r="J1327" s="21" t="s">
        <v>29</v>
      </c>
      <c r="K1327" s="22" t="s">
        <v>4740</v>
      </c>
      <c r="L1327" s="56">
        <v>45083</v>
      </c>
      <c r="O1327" s="42"/>
      <c r="P1327" s="40"/>
      <c r="Q1327" s="61"/>
      <c r="R1327" s="61"/>
      <c r="S1327" s="40"/>
      <c r="T1327" s="38"/>
      <c r="U1327" s="38"/>
      <c r="V1327" s="38"/>
      <c r="W1327" s="60"/>
      <c r="AB1327" s="42"/>
      <c r="AC1327" s="35"/>
      <c r="AD1327" s="38"/>
      <c r="AE1327" s="38"/>
      <c r="AF1327" s="38"/>
      <c r="AG1327" s="38"/>
      <c r="AH1327" s="60"/>
    </row>
    <row r="1328" spans="1:34" ht="15.75" customHeight="1">
      <c r="A1328" s="38"/>
      <c r="B1328" s="18" t="s">
        <v>4741</v>
      </c>
      <c r="C1328" s="19" t="s">
        <v>24</v>
      </c>
      <c r="D1328" s="20" t="s">
        <v>4742</v>
      </c>
      <c r="E1328" s="20" t="s">
        <v>4743</v>
      </c>
      <c r="F1328" s="19" t="s">
        <v>27</v>
      </c>
      <c r="G1328" s="19" t="s">
        <v>28</v>
      </c>
      <c r="H1328" s="19"/>
      <c r="I1328" s="21" t="s">
        <v>29</v>
      </c>
      <c r="J1328" s="21" t="s">
        <v>29</v>
      </c>
      <c r="K1328" s="22" t="s">
        <v>4744</v>
      </c>
      <c r="L1328" s="56">
        <v>45083</v>
      </c>
      <c r="O1328" s="42"/>
      <c r="P1328" s="40"/>
      <c r="Q1328" s="61"/>
      <c r="R1328" s="61"/>
      <c r="S1328" s="40"/>
      <c r="T1328" s="38"/>
      <c r="U1328" s="38"/>
      <c r="V1328" s="38"/>
      <c r="W1328" s="60"/>
      <c r="AB1328" s="42"/>
      <c r="AC1328" s="35"/>
      <c r="AD1328" s="38"/>
      <c r="AE1328" s="38"/>
      <c r="AF1328" s="38"/>
      <c r="AG1328" s="38"/>
      <c r="AH1328" s="60"/>
    </row>
    <row r="1329" spans="1:34" ht="15.75" customHeight="1">
      <c r="A1329" s="38"/>
      <c r="B1329" s="18" t="s">
        <v>4745</v>
      </c>
      <c r="C1329" s="19" t="s">
        <v>24</v>
      </c>
      <c r="D1329" s="20" t="s">
        <v>4746</v>
      </c>
      <c r="E1329" s="20" t="s">
        <v>4747</v>
      </c>
      <c r="F1329" s="19" t="s">
        <v>27</v>
      </c>
      <c r="G1329" s="19" t="s">
        <v>28</v>
      </c>
      <c r="H1329" s="19" t="s">
        <v>36</v>
      </c>
      <c r="I1329" s="21" t="s">
        <v>29</v>
      </c>
      <c r="J1329" s="21" t="s">
        <v>29</v>
      </c>
      <c r="K1329" s="22" t="s">
        <v>4748</v>
      </c>
      <c r="L1329" s="56">
        <v>45083</v>
      </c>
      <c r="O1329" s="42"/>
      <c r="P1329" s="40"/>
      <c r="Q1329" s="61"/>
      <c r="R1329" s="61"/>
      <c r="S1329" s="40"/>
      <c r="T1329" s="38"/>
      <c r="U1329" s="38"/>
      <c r="V1329" s="38"/>
      <c r="W1329" s="60"/>
      <c r="AB1329" s="42"/>
      <c r="AC1329" s="35"/>
      <c r="AD1329" s="38"/>
      <c r="AE1329" s="38"/>
      <c r="AF1329" s="38"/>
      <c r="AG1329" s="38"/>
      <c r="AH1329" s="60"/>
    </row>
    <row r="1330" spans="1:34" ht="15.75" customHeight="1">
      <c r="A1330" s="38"/>
      <c r="B1330" s="18" t="s">
        <v>4749</v>
      </c>
      <c r="C1330" s="19" t="s">
        <v>46</v>
      </c>
      <c r="D1330" s="20" t="s">
        <v>4750</v>
      </c>
      <c r="E1330" s="20" t="s">
        <v>4751</v>
      </c>
      <c r="F1330" s="37" t="s">
        <v>49</v>
      </c>
      <c r="G1330" s="19" t="s">
        <v>50</v>
      </c>
      <c r="H1330" s="19"/>
      <c r="I1330" s="21" t="s">
        <v>29</v>
      </c>
      <c r="J1330" s="21" t="s">
        <v>29</v>
      </c>
      <c r="K1330" s="22" t="s">
        <v>4752</v>
      </c>
      <c r="L1330" s="56">
        <v>45083</v>
      </c>
      <c r="O1330" s="42"/>
      <c r="P1330" s="40"/>
      <c r="Q1330" s="61"/>
      <c r="R1330" s="61"/>
      <c r="S1330" s="40"/>
      <c r="T1330" s="38"/>
      <c r="U1330" s="38"/>
      <c r="V1330" s="38"/>
      <c r="W1330" s="60"/>
      <c r="AB1330" s="42"/>
      <c r="AC1330" s="35"/>
      <c r="AD1330" s="38"/>
      <c r="AE1330" s="38"/>
      <c r="AF1330" s="38"/>
      <c r="AG1330" s="38"/>
      <c r="AH1330" s="60"/>
    </row>
    <row r="1331" spans="1:34" ht="15.75" customHeight="1">
      <c r="A1331" s="38"/>
      <c r="B1331" s="18" t="s">
        <v>4753</v>
      </c>
      <c r="C1331" s="19" t="s">
        <v>24</v>
      </c>
      <c r="D1331" s="20" t="s">
        <v>4754</v>
      </c>
      <c r="E1331" s="20" t="s">
        <v>4755</v>
      </c>
      <c r="F1331" s="19" t="s">
        <v>27</v>
      </c>
      <c r="G1331" s="19" t="s">
        <v>28</v>
      </c>
      <c r="H1331" s="19"/>
      <c r="I1331" s="21" t="s">
        <v>29</v>
      </c>
      <c r="J1331" s="21" t="s">
        <v>29</v>
      </c>
      <c r="K1331" s="22" t="s">
        <v>4756</v>
      </c>
      <c r="L1331" s="56">
        <v>45083</v>
      </c>
      <c r="O1331" s="42"/>
      <c r="P1331" s="40"/>
      <c r="Q1331" s="61"/>
      <c r="R1331" s="61"/>
      <c r="S1331" s="40"/>
      <c r="T1331" s="38"/>
      <c r="U1331" s="38"/>
      <c r="V1331" s="38"/>
      <c r="W1331" s="60"/>
      <c r="AB1331" s="42"/>
      <c r="AC1331" s="35"/>
      <c r="AD1331" s="38"/>
      <c r="AE1331" s="38"/>
      <c r="AF1331" s="38"/>
      <c r="AG1331" s="38"/>
      <c r="AH1331" s="60"/>
    </row>
    <row r="1332" spans="1:34" ht="15.75" customHeight="1">
      <c r="A1332" s="38"/>
      <c r="B1332" s="36" t="s">
        <v>4757</v>
      </c>
      <c r="C1332" s="19" t="s">
        <v>121</v>
      </c>
      <c r="D1332" s="20" t="s">
        <v>4758</v>
      </c>
      <c r="E1332" s="20" t="s">
        <v>4759</v>
      </c>
      <c r="F1332" s="37" t="s">
        <v>49</v>
      </c>
      <c r="G1332" s="19" t="s">
        <v>50</v>
      </c>
      <c r="H1332" s="19"/>
      <c r="I1332" s="21" t="s">
        <v>29</v>
      </c>
      <c r="J1332" s="21" t="s">
        <v>29</v>
      </c>
      <c r="K1332" s="22" t="s">
        <v>4760</v>
      </c>
      <c r="L1332" s="56">
        <v>45083</v>
      </c>
      <c r="O1332" s="42"/>
      <c r="P1332" s="40"/>
      <c r="Q1332" s="61"/>
      <c r="R1332" s="61"/>
      <c r="S1332" s="40"/>
      <c r="T1332" s="38"/>
      <c r="U1332" s="38"/>
      <c r="V1332" s="38"/>
      <c r="W1332" s="60"/>
      <c r="AB1332" s="42"/>
      <c r="AC1332" s="35"/>
      <c r="AD1332" s="38"/>
      <c r="AE1332" s="38"/>
      <c r="AF1332" s="38"/>
      <c r="AG1332" s="38"/>
      <c r="AH1332" s="60"/>
    </row>
    <row r="1333" spans="1:34" ht="15.75" customHeight="1">
      <c r="A1333" s="38"/>
      <c r="B1333" s="18" t="s">
        <v>4761</v>
      </c>
      <c r="C1333" s="19" t="s">
        <v>46</v>
      </c>
      <c r="D1333" s="20" t="s">
        <v>4762</v>
      </c>
      <c r="E1333" s="20" t="s">
        <v>4763</v>
      </c>
      <c r="F1333" s="37" t="s">
        <v>49</v>
      </c>
      <c r="G1333" s="19" t="s">
        <v>50</v>
      </c>
      <c r="H1333" s="19"/>
      <c r="I1333" s="21" t="s">
        <v>29</v>
      </c>
      <c r="J1333" s="21" t="s">
        <v>29</v>
      </c>
      <c r="K1333" s="22" t="s">
        <v>4764</v>
      </c>
      <c r="L1333" s="56">
        <v>45083</v>
      </c>
      <c r="O1333" s="42"/>
      <c r="P1333" s="40"/>
      <c r="Q1333" s="61"/>
      <c r="R1333" s="61"/>
      <c r="S1333" s="40"/>
      <c r="T1333" s="38"/>
      <c r="U1333" s="38"/>
      <c r="V1333" s="38"/>
      <c r="W1333" s="60"/>
      <c r="AB1333" s="42"/>
      <c r="AC1333" s="35"/>
      <c r="AD1333" s="38"/>
      <c r="AE1333" s="38"/>
      <c r="AF1333" s="38"/>
      <c r="AG1333" s="38"/>
      <c r="AH1333" s="60"/>
    </row>
    <row r="1334" spans="1:34" ht="15.75" customHeight="1">
      <c r="A1334" s="38"/>
      <c r="B1334" s="18" t="s">
        <v>4765</v>
      </c>
      <c r="C1334" s="19" t="s">
        <v>46</v>
      </c>
      <c r="D1334" s="20" t="s">
        <v>4766</v>
      </c>
      <c r="E1334" s="20" t="s">
        <v>4767</v>
      </c>
      <c r="F1334" s="37" t="s">
        <v>49</v>
      </c>
      <c r="G1334" s="19" t="s">
        <v>50</v>
      </c>
      <c r="H1334" s="19"/>
      <c r="I1334" s="21" t="s">
        <v>29</v>
      </c>
      <c r="J1334" s="21" t="s">
        <v>29</v>
      </c>
      <c r="K1334" s="22" t="s">
        <v>4768</v>
      </c>
      <c r="L1334" s="56">
        <v>45083</v>
      </c>
      <c r="O1334" s="42"/>
      <c r="P1334" s="40"/>
      <c r="Q1334" s="61"/>
      <c r="R1334" s="61"/>
      <c r="S1334" s="40"/>
      <c r="T1334" s="38"/>
      <c r="U1334" s="38"/>
      <c r="V1334" s="38"/>
      <c r="W1334" s="60"/>
      <c r="AB1334" s="42"/>
      <c r="AC1334" s="35"/>
      <c r="AD1334" s="38"/>
      <c r="AE1334" s="38"/>
      <c r="AF1334" s="38"/>
      <c r="AG1334" s="38"/>
      <c r="AH1334" s="60"/>
    </row>
    <row r="1335" spans="1:34" ht="15.75" customHeight="1">
      <c r="A1335" s="38"/>
      <c r="B1335" s="18" t="s">
        <v>4769</v>
      </c>
      <c r="C1335" s="19" t="s">
        <v>46</v>
      </c>
      <c r="D1335" s="20" t="s">
        <v>4770</v>
      </c>
      <c r="E1335" s="20" t="s">
        <v>4771</v>
      </c>
      <c r="F1335" s="37" t="s">
        <v>49</v>
      </c>
      <c r="G1335" s="19" t="s">
        <v>50</v>
      </c>
      <c r="H1335" s="19"/>
      <c r="I1335" s="21" t="s">
        <v>29</v>
      </c>
      <c r="J1335" s="21" t="s">
        <v>29</v>
      </c>
      <c r="K1335" s="22" t="s">
        <v>4772</v>
      </c>
      <c r="L1335" s="56">
        <v>45083</v>
      </c>
      <c r="O1335" s="42"/>
      <c r="P1335" s="40"/>
      <c r="Q1335" s="61"/>
      <c r="R1335" s="61"/>
      <c r="S1335" s="40"/>
      <c r="T1335" s="38"/>
      <c r="U1335" s="38"/>
      <c r="V1335" s="38"/>
      <c r="W1335" s="60"/>
      <c r="AB1335" s="42"/>
      <c r="AC1335" s="35"/>
      <c r="AD1335" s="38"/>
      <c r="AE1335" s="38"/>
      <c r="AF1335" s="38"/>
      <c r="AG1335" s="38"/>
      <c r="AH1335" s="60"/>
    </row>
    <row r="1336" spans="1:34" ht="15.75" customHeight="1">
      <c r="A1336" s="38"/>
      <c r="B1336" s="18" t="s">
        <v>3054</v>
      </c>
      <c r="C1336" s="19" t="s">
        <v>46</v>
      </c>
      <c r="D1336" s="20" t="s">
        <v>4773</v>
      </c>
      <c r="E1336" s="20" t="s">
        <v>4774</v>
      </c>
      <c r="F1336" s="37" t="s">
        <v>49</v>
      </c>
      <c r="G1336" s="19" t="s">
        <v>50</v>
      </c>
      <c r="H1336" s="19"/>
      <c r="I1336" s="21" t="s">
        <v>29</v>
      </c>
      <c r="J1336" s="21" t="s">
        <v>29</v>
      </c>
      <c r="K1336" s="22" t="s">
        <v>3057</v>
      </c>
      <c r="L1336" s="56">
        <v>45083</v>
      </c>
      <c r="O1336" s="42"/>
      <c r="P1336" s="40"/>
      <c r="Q1336" s="61"/>
      <c r="R1336" s="61"/>
      <c r="S1336" s="40"/>
      <c r="T1336" s="38"/>
      <c r="U1336" s="38"/>
      <c r="V1336" s="38"/>
      <c r="W1336" s="60"/>
      <c r="AB1336" s="42"/>
      <c r="AC1336" s="35"/>
      <c r="AD1336" s="38"/>
      <c r="AE1336" s="38"/>
      <c r="AF1336" s="38"/>
      <c r="AG1336" s="38"/>
      <c r="AH1336" s="60"/>
    </row>
    <row r="1337" spans="1:34" ht="15.75" customHeight="1">
      <c r="A1337" s="38"/>
      <c r="B1337" s="34" t="s">
        <v>4775</v>
      </c>
      <c r="C1337" s="19" t="s">
        <v>24</v>
      </c>
      <c r="D1337" s="20" t="s">
        <v>4776</v>
      </c>
      <c r="E1337" s="20" t="s">
        <v>4777</v>
      </c>
      <c r="F1337" s="19" t="s">
        <v>90</v>
      </c>
      <c r="G1337" s="19" t="s">
        <v>91</v>
      </c>
      <c r="H1337" s="19"/>
      <c r="I1337" s="21" t="s">
        <v>29</v>
      </c>
      <c r="J1337" s="21" t="s">
        <v>29</v>
      </c>
      <c r="K1337" s="22" t="s">
        <v>4778</v>
      </c>
      <c r="L1337" s="56">
        <v>45083</v>
      </c>
      <c r="O1337" s="42"/>
      <c r="P1337" s="40"/>
      <c r="Q1337" s="61"/>
      <c r="R1337" s="61"/>
      <c r="S1337" s="40"/>
      <c r="T1337" s="38"/>
      <c r="U1337" s="38"/>
      <c r="V1337" s="38"/>
      <c r="W1337" s="60"/>
      <c r="AB1337" s="42"/>
      <c r="AC1337" s="35"/>
      <c r="AD1337" s="38"/>
      <c r="AE1337" s="38"/>
      <c r="AF1337" s="38"/>
      <c r="AG1337" s="38"/>
      <c r="AH1337" s="60"/>
    </row>
    <row r="1338" spans="1:34" ht="15.75" customHeight="1">
      <c r="A1338" s="38"/>
      <c r="B1338" s="29" t="s">
        <v>4779</v>
      </c>
      <c r="C1338" s="19" t="s">
        <v>1430</v>
      </c>
      <c r="D1338" s="20" t="s">
        <v>4780</v>
      </c>
      <c r="E1338" s="20" t="s">
        <v>4781</v>
      </c>
      <c r="F1338" s="37" t="s">
        <v>49</v>
      </c>
      <c r="G1338" s="19" t="s">
        <v>50</v>
      </c>
      <c r="H1338" s="19"/>
      <c r="I1338" s="21" t="s">
        <v>233</v>
      </c>
      <c r="J1338" s="21" t="s">
        <v>233</v>
      </c>
      <c r="K1338" s="22" t="s">
        <v>4782</v>
      </c>
      <c r="L1338" s="56">
        <v>45083</v>
      </c>
      <c r="O1338" s="42"/>
      <c r="P1338" s="40"/>
      <c r="Q1338" s="61"/>
      <c r="R1338" s="61"/>
      <c r="S1338" s="40"/>
      <c r="T1338" s="38"/>
      <c r="U1338" s="38"/>
      <c r="V1338" s="38"/>
      <c r="W1338" s="60"/>
      <c r="AB1338" s="42"/>
      <c r="AC1338" s="35"/>
      <c r="AD1338" s="38"/>
      <c r="AE1338" s="38"/>
      <c r="AF1338" s="38"/>
      <c r="AG1338" s="38"/>
      <c r="AH1338" s="60"/>
    </row>
    <row r="1339" spans="1:34" ht="15.75" customHeight="1">
      <c r="A1339" s="38"/>
      <c r="B1339" s="18" t="s">
        <v>4783</v>
      </c>
      <c r="C1339" s="19" t="s">
        <v>1430</v>
      </c>
      <c r="D1339" s="20" t="s">
        <v>4784</v>
      </c>
      <c r="E1339" s="20"/>
      <c r="F1339" s="37" t="s">
        <v>49</v>
      </c>
      <c r="G1339" s="19" t="s">
        <v>50</v>
      </c>
      <c r="H1339" s="19"/>
      <c r="I1339" s="21" t="s">
        <v>233</v>
      </c>
      <c r="J1339" s="21" t="s">
        <v>233</v>
      </c>
      <c r="K1339" s="22"/>
      <c r="L1339" s="56">
        <v>45083</v>
      </c>
      <c r="O1339" s="42"/>
      <c r="P1339" s="40"/>
      <c r="Q1339" s="61"/>
      <c r="R1339" s="61"/>
      <c r="S1339" s="40"/>
      <c r="T1339" s="38"/>
      <c r="U1339" s="38"/>
      <c r="V1339" s="38"/>
      <c r="W1339" s="60"/>
      <c r="AB1339" s="42"/>
      <c r="AC1339" s="35"/>
      <c r="AD1339" s="38"/>
      <c r="AE1339" s="38"/>
      <c r="AF1339" s="38"/>
      <c r="AG1339" s="38"/>
      <c r="AH1339" s="60"/>
    </row>
    <row r="1340" spans="1:34" ht="15.75" customHeight="1">
      <c r="A1340" s="38"/>
      <c r="B1340" s="18" t="s">
        <v>4785</v>
      </c>
      <c r="C1340" s="19" t="s">
        <v>1470</v>
      </c>
      <c r="D1340" s="20" t="s">
        <v>4786</v>
      </c>
      <c r="E1340" s="20"/>
      <c r="F1340" s="19" t="s">
        <v>3286</v>
      </c>
      <c r="G1340" s="19" t="s">
        <v>1461</v>
      </c>
      <c r="H1340" s="19"/>
      <c r="I1340" s="21" t="s">
        <v>233</v>
      </c>
      <c r="J1340" s="21" t="s">
        <v>233</v>
      </c>
      <c r="K1340" s="22"/>
      <c r="L1340" s="56">
        <v>45083</v>
      </c>
      <c r="O1340" s="42"/>
      <c r="P1340" s="40"/>
      <c r="Q1340" s="61"/>
      <c r="R1340" s="61"/>
      <c r="S1340" s="40"/>
      <c r="T1340" s="38"/>
      <c r="U1340" s="38"/>
      <c r="V1340" s="38"/>
      <c r="W1340" s="60"/>
      <c r="AB1340" s="42"/>
      <c r="AC1340" s="35"/>
      <c r="AD1340" s="38"/>
      <c r="AE1340" s="38"/>
      <c r="AF1340" s="38"/>
      <c r="AG1340" s="38"/>
      <c r="AH1340" s="60"/>
    </row>
    <row r="1341" spans="1:34" ht="15.75" customHeight="1">
      <c r="A1341" s="38"/>
      <c r="B1341" s="18" t="s">
        <v>4787</v>
      </c>
      <c r="C1341" s="37" t="s">
        <v>412</v>
      </c>
      <c r="D1341" s="20" t="s">
        <v>4788</v>
      </c>
      <c r="E1341" s="20" t="s">
        <v>4789</v>
      </c>
      <c r="F1341" s="19" t="s">
        <v>414</v>
      </c>
      <c r="G1341" s="37" t="s">
        <v>415</v>
      </c>
      <c r="H1341" s="37"/>
      <c r="I1341" s="21" t="s">
        <v>233</v>
      </c>
      <c r="J1341" s="21" t="s">
        <v>233</v>
      </c>
      <c r="K1341" s="22" t="s">
        <v>4790</v>
      </c>
      <c r="L1341" s="56">
        <v>45083</v>
      </c>
      <c r="O1341" s="42"/>
      <c r="P1341" s="40"/>
      <c r="Q1341" s="61"/>
      <c r="R1341" s="61"/>
      <c r="S1341" s="40"/>
      <c r="T1341" s="38"/>
      <c r="U1341" s="38"/>
      <c r="V1341" s="38"/>
      <c r="W1341" s="60"/>
      <c r="AB1341" s="42"/>
      <c r="AC1341" s="35"/>
      <c r="AD1341" s="38"/>
      <c r="AE1341" s="38"/>
      <c r="AF1341" s="38"/>
      <c r="AG1341" s="38"/>
      <c r="AH1341" s="60"/>
    </row>
    <row r="1342" spans="1:34" ht="15.75" customHeight="1">
      <c r="A1342" s="38"/>
      <c r="B1342" s="18" t="s">
        <v>4791</v>
      </c>
      <c r="C1342" s="37" t="s">
        <v>412</v>
      </c>
      <c r="D1342" s="20" t="s">
        <v>4792</v>
      </c>
      <c r="E1342" s="20"/>
      <c r="F1342" s="19" t="s">
        <v>414</v>
      </c>
      <c r="G1342" s="19" t="s">
        <v>415</v>
      </c>
      <c r="H1342" s="37"/>
      <c r="I1342" s="21" t="s">
        <v>233</v>
      </c>
      <c r="J1342" s="21" t="s">
        <v>233</v>
      </c>
      <c r="K1342" s="22"/>
      <c r="L1342" s="56">
        <v>45083</v>
      </c>
      <c r="O1342" s="42"/>
      <c r="P1342" s="40"/>
      <c r="Q1342" s="61"/>
      <c r="R1342" s="61"/>
      <c r="S1342" s="40"/>
      <c r="T1342" s="38"/>
      <c r="U1342" s="38"/>
      <c r="V1342" s="38"/>
      <c r="W1342" s="60"/>
      <c r="AB1342" s="42"/>
      <c r="AC1342" s="35"/>
      <c r="AD1342" s="38"/>
      <c r="AE1342" s="38"/>
      <c r="AF1342" s="38"/>
      <c r="AG1342" s="38"/>
      <c r="AH1342" s="60"/>
    </row>
    <row r="1343" spans="1:34" ht="15.75" customHeight="1">
      <c r="A1343" s="38"/>
      <c r="B1343" s="18" t="s">
        <v>4793</v>
      </c>
      <c r="C1343" s="37" t="s">
        <v>412</v>
      </c>
      <c r="D1343" s="20" t="s">
        <v>4794</v>
      </c>
      <c r="E1343" s="20" t="s">
        <v>4795</v>
      </c>
      <c r="F1343" s="19" t="s">
        <v>414</v>
      </c>
      <c r="G1343" s="37" t="s">
        <v>415</v>
      </c>
      <c r="H1343" s="37"/>
      <c r="I1343" s="21" t="s">
        <v>233</v>
      </c>
      <c r="J1343" s="21" t="s">
        <v>233</v>
      </c>
      <c r="K1343" s="22" t="s">
        <v>4796</v>
      </c>
      <c r="L1343" s="56">
        <v>45083</v>
      </c>
      <c r="O1343" s="42"/>
      <c r="P1343" s="40"/>
      <c r="Q1343" s="61"/>
      <c r="R1343" s="61"/>
      <c r="S1343" s="40"/>
      <c r="T1343" s="38"/>
      <c r="U1343" s="38"/>
      <c r="V1343" s="38"/>
      <c r="W1343" s="60"/>
      <c r="AB1343" s="42"/>
      <c r="AC1343" s="35"/>
      <c r="AD1343" s="38"/>
      <c r="AE1343" s="38"/>
      <c r="AF1343" s="38"/>
      <c r="AG1343" s="38"/>
      <c r="AH1343" s="60"/>
    </row>
    <row r="1344" spans="1:34" ht="15.75" customHeight="1">
      <c r="A1344" s="38"/>
      <c r="B1344" s="18" t="s">
        <v>4797</v>
      </c>
      <c r="C1344" s="37" t="s">
        <v>412</v>
      </c>
      <c r="D1344" s="20" t="s">
        <v>4798</v>
      </c>
      <c r="E1344" s="20"/>
      <c r="F1344" s="19" t="s">
        <v>414</v>
      </c>
      <c r="G1344" s="19" t="s">
        <v>415</v>
      </c>
      <c r="H1344" s="37"/>
      <c r="I1344" s="21" t="s">
        <v>233</v>
      </c>
      <c r="J1344" s="21" t="s">
        <v>233</v>
      </c>
      <c r="K1344" s="22"/>
      <c r="L1344" s="56">
        <v>45083</v>
      </c>
      <c r="O1344" s="42"/>
      <c r="P1344" s="40"/>
      <c r="Q1344" s="61"/>
      <c r="R1344" s="61"/>
      <c r="S1344" s="40"/>
      <c r="T1344" s="38"/>
      <c r="U1344" s="38"/>
      <c r="V1344" s="38"/>
      <c r="W1344" s="60"/>
      <c r="AB1344" s="42"/>
      <c r="AC1344" s="35"/>
      <c r="AD1344" s="38"/>
      <c r="AE1344" s="38"/>
      <c r="AF1344" s="38"/>
      <c r="AG1344" s="38"/>
      <c r="AH1344" s="60"/>
    </row>
    <row r="1345" spans="1:34" ht="15.75" customHeight="1">
      <c r="A1345" s="38"/>
      <c r="B1345" s="29" t="s">
        <v>4799</v>
      </c>
      <c r="C1345" s="37" t="s">
        <v>46</v>
      </c>
      <c r="D1345" s="20" t="s">
        <v>4800</v>
      </c>
      <c r="E1345" s="73" t="s">
        <v>4801</v>
      </c>
      <c r="F1345" s="37" t="s">
        <v>286</v>
      </c>
      <c r="G1345" s="19" t="s">
        <v>50</v>
      </c>
      <c r="H1345" s="37"/>
      <c r="I1345" s="21" t="s">
        <v>286</v>
      </c>
      <c r="J1345" s="21" t="s">
        <v>29</v>
      </c>
      <c r="K1345" s="74" t="s">
        <v>4802</v>
      </c>
      <c r="L1345" s="39"/>
      <c r="O1345" s="42"/>
      <c r="P1345" s="40"/>
      <c r="Q1345" s="61"/>
      <c r="R1345" s="61"/>
      <c r="S1345" s="40"/>
      <c r="T1345" s="38"/>
      <c r="U1345" s="38"/>
      <c r="V1345" s="38"/>
      <c r="W1345" s="60"/>
      <c r="AB1345" s="42"/>
      <c r="AC1345" s="35"/>
      <c r="AD1345" s="38"/>
      <c r="AE1345" s="38"/>
      <c r="AF1345" s="38"/>
      <c r="AG1345" s="38"/>
      <c r="AH1345" s="60"/>
    </row>
    <row r="1346" spans="1:34" ht="15.75" customHeight="1">
      <c r="A1346" s="38"/>
      <c r="B1346" s="38"/>
      <c r="C1346" s="37"/>
      <c r="D1346" s="20"/>
      <c r="E1346" s="20"/>
      <c r="F1346" s="37"/>
      <c r="G1346" s="37"/>
      <c r="H1346" s="37"/>
      <c r="I1346" s="21"/>
      <c r="J1346" s="21"/>
      <c r="K1346" s="22"/>
      <c r="L1346" s="39"/>
      <c r="O1346" s="42"/>
      <c r="P1346" s="40"/>
      <c r="Q1346" s="61"/>
      <c r="R1346" s="61"/>
      <c r="S1346" s="40"/>
      <c r="T1346" s="38"/>
      <c r="U1346" s="38"/>
      <c r="V1346" s="38"/>
      <c r="W1346" s="60"/>
      <c r="AB1346" s="42"/>
      <c r="AC1346" s="35"/>
      <c r="AD1346" s="38"/>
      <c r="AE1346" s="38"/>
      <c r="AF1346" s="38"/>
      <c r="AG1346" s="38"/>
      <c r="AH1346" s="60"/>
    </row>
    <row r="1347" spans="1:34" ht="15.75" customHeight="1">
      <c r="A1347" s="35" t="s">
        <v>4803</v>
      </c>
      <c r="B1347" s="34" t="s">
        <v>4804</v>
      </c>
      <c r="C1347" s="19" t="s">
        <v>87</v>
      </c>
      <c r="D1347" s="20" t="s">
        <v>4805</v>
      </c>
      <c r="E1347" s="20" t="s">
        <v>4806</v>
      </c>
      <c r="F1347" s="37" t="s">
        <v>49</v>
      </c>
      <c r="G1347" s="19" t="s">
        <v>50</v>
      </c>
      <c r="H1347" s="19"/>
      <c r="I1347" s="21" t="s">
        <v>29</v>
      </c>
      <c r="J1347" s="21" t="s">
        <v>29</v>
      </c>
      <c r="K1347" s="22" t="s">
        <v>4807</v>
      </c>
      <c r="L1347" s="56">
        <v>45083</v>
      </c>
      <c r="M1347" s="40"/>
      <c r="N1347" s="40"/>
      <c r="O1347" s="42"/>
      <c r="P1347" s="40"/>
      <c r="Q1347" s="61"/>
      <c r="R1347" s="61"/>
      <c r="S1347" s="40"/>
      <c r="T1347" s="38"/>
      <c r="U1347" s="38"/>
      <c r="V1347" s="38"/>
      <c r="W1347" s="60"/>
      <c r="AB1347" s="42"/>
      <c r="AC1347" s="35"/>
      <c r="AD1347" s="38"/>
      <c r="AE1347" s="38"/>
      <c r="AF1347" s="38"/>
      <c r="AG1347" s="38"/>
      <c r="AH1347" s="60"/>
    </row>
    <row r="1348" spans="1:34" ht="15.75" customHeight="1">
      <c r="A1348" s="71" t="s">
        <v>2714</v>
      </c>
      <c r="B1348" s="72" t="s">
        <v>4808</v>
      </c>
      <c r="C1348" s="37" t="s">
        <v>24</v>
      </c>
      <c r="D1348" s="20" t="s">
        <v>4809</v>
      </c>
      <c r="E1348" s="20" t="s">
        <v>4810</v>
      </c>
      <c r="F1348" s="19" t="s">
        <v>27</v>
      </c>
      <c r="G1348" s="19" t="s">
        <v>28</v>
      </c>
      <c r="H1348" s="37"/>
      <c r="I1348" s="21" t="s">
        <v>29</v>
      </c>
      <c r="J1348" s="21" t="s">
        <v>29</v>
      </c>
      <c r="K1348" s="22" t="s">
        <v>4811</v>
      </c>
      <c r="L1348" s="56">
        <v>45083</v>
      </c>
      <c r="O1348" s="42"/>
      <c r="P1348" s="40"/>
      <c r="Q1348" s="61"/>
      <c r="R1348" s="61"/>
      <c r="S1348" s="40"/>
      <c r="T1348" s="38"/>
      <c r="U1348" s="38"/>
      <c r="V1348" s="38"/>
      <c r="W1348" s="60"/>
      <c r="AB1348" s="42"/>
      <c r="AC1348" s="35"/>
      <c r="AD1348" s="38"/>
      <c r="AE1348" s="38"/>
      <c r="AF1348" s="38"/>
      <c r="AG1348" s="38"/>
      <c r="AH1348" s="60"/>
    </row>
    <row r="1349" spans="1:34" ht="15.75" customHeight="1">
      <c r="A1349" s="50" t="s">
        <v>39</v>
      </c>
      <c r="B1349" s="18" t="s">
        <v>4812</v>
      </c>
      <c r="C1349" s="19" t="s">
        <v>87</v>
      </c>
      <c r="D1349" s="20" t="s">
        <v>4813</v>
      </c>
      <c r="E1349" s="20" t="s">
        <v>4814</v>
      </c>
      <c r="F1349" s="37" t="s">
        <v>49</v>
      </c>
      <c r="G1349" s="19" t="s">
        <v>91</v>
      </c>
      <c r="H1349" s="19"/>
      <c r="I1349" s="21" t="s">
        <v>29</v>
      </c>
      <c r="J1349" s="21" t="s">
        <v>29</v>
      </c>
      <c r="K1349" s="22" t="s">
        <v>4815</v>
      </c>
      <c r="L1349" s="56">
        <v>45083</v>
      </c>
      <c r="O1349" s="42"/>
      <c r="P1349" s="40"/>
      <c r="Q1349" s="61"/>
      <c r="R1349" s="61"/>
      <c r="S1349" s="40"/>
      <c r="T1349" s="38"/>
      <c r="U1349" s="38"/>
      <c r="V1349" s="38"/>
      <c r="W1349" s="60"/>
      <c r="AB1349" s="42"/>
      <c r="AC1349" s="35"/>
      <c r="AD1349" s="38"/>
      <c r="AE1349" s="38"/>
      <c r="AF1349" s="38"/>
      <c r="AG1349" s="38"/>
      <c r="AH1349" s="60"/>
    </row>
    <row r="1350" spans="1:34" ht="15.75" customHeight="1">
      <c r="A1350" s="35" t="s">
        <v>3898</v>
      </c>
      <c r="B1350" s="18" t="s">
        <v>4816</v>
      </c>
      <c r="C1350" s="19" t="s">
        <v>87</v>
      </c>
      <c r="D1350" s="20" t="s">
        <v>4817</v>
      </c>
      <c r="E1350" s="20" t="s">
        <v>4818</v>
      </c>
      <c r="F1350" s="19" t="s">
        <v>90</v>
      </c>
      <c r="G1350" s="19" t="s">
        <v>91</v>
      </c>
      <c r="H1350" s="19"/>
      <c r="I1350" s="21" t="s">
        <v>29</v>
      </c>
      <c r="J1350" s="21" t="s">
        <v>29</v>
      </c>
      <c r="K1350" s="22" t="s">
        <v>4819</v>
      </c>
      <c r="L1350" s="56">
        <v>45083</v>
      </c>
      <c r="O1350" s="42"/>
      <c r="P1350" s="40"/>
      <c r="Q1350" s="61"/>
      <c r="R1350" s="61"/>
      <c r="S1350" s="40"/>
      <c r="T1350" s="38"/>
      <c r="U1350" s="38"/>
      <c r="V1350" s="38"/>
      <c r="W1350" s="60"/>
      <c r="AB1350" s="42"/>
      <c r="AC1350" s="35"/>
      <c r="AD1350" s="38"/>
      <c r="AE1350" s="38"/>
      <c r="AF1350" s="38"/>
      <c r="AG1350" s="38"/>
      <c r="AH1350" s="60"/>
    </row>
    <row r="1351" spans="1:34" ht="15.75" customHeight="1">
      <c r="A1351" s="35" t="s">
        <v>4820</v>
      </c>
      <c r="B1351" s="18" t="s">
        <v>4821</v>
      </c>
      <c r="C1351" s="19" t="s">
        <v>87</v>
      </c>
      <c r="D1351" s="20" t="s">
        <v>4822</v>
      </c>
      <c r="E1351" s="20" t="s">
        <v>4823</v>
      </c>
      <c r="F1351" s="19" t="s">
        <v>90</v>
      </c>
      <c r="G1351" s="19" t="s">
        <v>91</v>
      </c>
      <c r="H1351" s="19"/>
      <c r="I1351" s="21" t="s">
        <v>29</v>
      </c>
      <c r="J1351" s="21" t="s">
        <v>29</v>
      </c>
      <c r="K1351" s="22" t="s">
        <v>4824</v>
      </c>
      <c r="L1351" s="56">
        <v>45083</v>
      </c>
      <c r="O1351" s="42"/>
      <c r="P1351" s="40"/>
      <c r="Q1351" s="61"/>
      <c r="R1351" s="61"/>
      <c r="S1351" s="40"/>
      <c r="T1351" s="38"/>
      <c r="U1351" s="38"/>
      <c r="V1351" s="38"/>
      <c r="W1351" s="60"/>
      <c r="AB1351" s="42"/>
      <c r="AC1351" s="35"/>
      <c r="AD1351" s="38"/>
      <c r="AE1351" s="38"/>
      <c r="AF1351" s="38"/>
      <c r="AG1351" s="38"/>
      <c r="AH1351" s="60"/>
    </row>
    <row r="1352" spans="1:34" ht="15.75" customHeight="1">
      <c r="A1352" s="31" t="s">
        <v>56</v>
      </c>
      <c r="B1352" s="18" t="s">
        <v>4825</v>
      </c>
      <c r="C1352" s="19" t="s">
        <v>87</v>
      </c>
      <c r="D1352" s="20" t="s">
        <v>4826</v>
      </c>
      <c r="E1352" s="20" t="s">
        <v>4827</v>
      </c>
      <c r="F1352" s="37" t="s">
        <v>49</v>
      </c>
      <c r="G1352" s="19" t="s">
        <v>91</v>
      </c>
      <c r="H1352" s="19"/>
      <c r="I1352" s="21" t="s">
        <v>29</v>
      </c>
      <c r="J1352" s="21" t="s">
        <v>29</v>
      </c>
      <c r="K1352" s="22" t="s">
        <v>4828</v>
      </c>
      <c r="L1352" s="56">
        <v>45083</v>
      </c>
      <c r="O1352" s="42"/>
      <c r="P1352" s="40"/>
      <c r="Q1352" s="61"/>
      <c r="R1352" s="61"/>
      <c r="S1352" s="40"/>
      <c r="T1352" s="38"/>
      <c r="U1352" s="38"/>
      <c r="V1352" s="38"/>
      <c r="W1352" s="60"/>
      <c r="AB1352" s="42"/>
      <c r="AC1352" s="35"/>
      <c r="AD1352" s="38"/>
      <c r="AE1352" s="38"/>
      <c r="AF1352" s="38"/>
      <c r="AG1352" s="38"/>
      <c r="AH1352" s="60"/>
    </row>
    <row r="1353" spans="1:34" ht="15.75" customHeight="1">
      <c r="A1353" s="17">
        <v>70</v>
      </c>
      <c r="B1353" s="34" t="s">
        <v>4829</v>
      </c>
      <c r="C1353" s="19" t="s">
        <v>24</v>
      </c>
      <c r="D1353" s="20" t="s">
        <v>4830</v>
      </c>
      <c r="E1353" s="20" t="s">
        <v>4831</v>
      </c>
      <c r="F1353" s="19" t="s">
        <v>90</v>
      </c>
      <c r="G1353" s="19" t="s">
        <v>91</v>
      </c>
      <c r="H1353" s="19"/>
      <c r="I1353" s="21" t="s">
        <v>29</v>
      </c>
      <c r="J1353" s="21" t="s">
        <v>29</v>
      </c>
      <c r="K1353" s="22" t="s">
        <v>4831</v>
      </c>
      <c r="L1353" s="56">
        <v>45083</v>
      </c>
      <c r="O1353" s="42"/>
      <c r="P1353" s="40"/>
      <c r="Q1353" s="61"/>
      <c r="R1353" s="61"/>
      <c r="S1353" s="40"/>
      <c r="T1353" s="38"/>
      <c r="U1353" s="38"/>
      <c r="V1353" s="38"/>
      <c r="W1353" s="60"/>
      <c r="AB1353" s="42"/>
      <c r="AC1353" s="35"/>
      <c r="AD1353" s="38"/>
      <c r="AE1353" s="38"/>
      <c r="AF1353" s="38"/>
      <c r="AG1353" s="38"/>
      <c r="AH1353" s="60"/>
    </row>
    <row r="1354" spans="1:34" ht="15.75" customHeight="1">
      <c r="A1354" s="31" t="s">
        <v>64</v>
      </c>
      <c r="B1354" s="18" t="s">
        <v>4832</v>
      </c>
      <c r="C1354" s="19" t="s">
        <v>24</v>
      </c>
      <c r="D1354" s="20" t="s">
        <v>4833</v>
      </c>
      <c r="E1354" s="20" t="s">
        <v>4834</v>
      </c>
      <c r="F1354" s="19" t="s">
        <v>27</v>
      </c>
      <c r="G1354" s="19" t="s">
        <v>28</v>
      </c>
      <c r="H1354" s="19"/>
      <c r="I1354" s="21" t="s">
        <v>29</v>
      </c>
      <c r="J1354" s="21" t="s">
        <v>29</v>
      </c>
      <c r="K1354" s="22" t="s">
        <v>4835</v>
      </c>
      <c r="L1354" s="56">
        <v>45083</v>
      </c>
      <c r="O1354" s="42"/>
      <c r="P1354" s="40"/>
      <c r="Q1354" s="61"/>
      <c r="R1354" s="61"/>
      <c r="S1354" s="40"/>
      <c r="T1354" s="38"/>
      <c r="U1354" s="38"/>
      <c r="V1354" s="38"/>
      <c r="W1354" s="60"/>
      <c r="AB1354" s="42"/>
      <c r="AC1354" s="35"/>
      <c r="AD1354" s="38"/>
      <c r="AE1354" s="38"/>
      <c r="AF1354" s="38"/>
      <c r="AG1354" s="38"/>
      <c r="AH1354" s="60"/>
    </row>
    <row r="1355" spans="1:34" ht="15.75" customHeight="1">
      <c r="A1355" s="17">
        <v>3.8</v>
      </c>
      <c r="B1355" s="18" t="s">
        <v>4836</v>
      </c>
      <c r="C1355" s="19" t="s">
        <v>87</v>
      </c>
      <c r="D1355" s="20" t="s">
        <v>4837</v>
      </c>
      <c r="E1355" s="20" t="s">
        <v>4838</v>
      </c>
      <c r="F1355" s="19" t="s">
        <v>90</v>
      </c>
      <c r="G1355" s="19" t="s">
        <v>91</v>
      </c>
      <c r="H1355" s="19"/>
      <c r="I1355" s="21" t="s">
        <v>29</v>
      </c>
      <c r="J1355" s="21" t="s">
        <v>29</v>
      </c>
      <c r="K1355" s="22" t="s">
        <v>4839</v>
      </c>
      <c r="L1355" s="56">
        <v>45083</v>
      </c>
      <c r="O1355" s="42"/>
      <c r="P1355" s="40"/>
      <c r="Q1355" s="61"/>
      <c r="R1355" s="61"/>
      <c r="S1355" s="40"/>
      <c r="T1355" s="38"/>
      <c r="U1355" s="38"/>
      <c r="V1355" s="38"/>
      <c r="W1355" s="60"/>
      <c r="AB1355" s="42"/>
      <c r="AC1355" s="35"/>
      <c r="AD1355" s="38"/>
      <c r="AE1355" s="38"/>
      <c r="AF1355" s="38"/>
      <c r="AG1355" s="38"/>
      <c r="AH1355" s="60"/>
    </row>
    <row r="1356" spans="1:34" ht="15.75" customHeight="1">
      <c r="A1356" s="31" t="s">
        <v>73</v>
      </c>
      <c r="B1356" s="18" t="s">
        <v>4840</v>
      </c>
      <c r="C1356" s="19" t="s">
        <v>87</v>
      </c>
      <c r="D1356" s="20" t="s">
        <v>4841</v>
      </c>
      <c r="E1356" s="20" t="s">
        <v>4842</v>
      </c>
      <c r="F1356" s="19" t="s">
        <v>90</v>
      </c>
      <c r="G1356" s="19" t="s">
        <v>91</v>
      </c>
      <c r="H1356" s="19"/>
      <c r="I1356" s="21" t="s">
        <v>29</v>
      </c>
      <c r="J1356" s="21" t="s">
        <v>29</v>
      </c>
      <c r="K1356" s="22" t="s">
        <v>4843</v>
      </c>
      <c r="L1356" s="56">
        <v>45083</v>
      </c>
      <c r="O1356" s="42"/>
      <c r="P1356" s="40"/>
      <c r="Q1356" s="61"/>
      <c r="R1356" s="61"/>
      <c r="S1356" s="40"/>
      <c r="T1356" s="38"/>
      <c r="U1356" s="38"/>
      <c r="V1356" s="38"/>
      <c r="W1356" s="60"/>
      <c r="AB1356" s="42"/>
      <c r="AC1356" s="35"/>
      <c r="AD1356" s="38"/>
      <c r="AE1356" s="38"/>
      <c r="AF1356" s="38"/>
      <c r="AG1356" s="38"/>
      <c r="AH1356" s="60"/>
    </row>
    <row r="1357" spans="1:34" ht="15.75" customHeight="1">
      <c r="A1357" s="17">
        <v>4.0999999999999996</v>
      </c>
      <c r="B1357" s="18" t="s">
        <v>4844</v>
      </c>
      <c r="C1357" s="19" t="s">
        <v>87</v>
      </c>
      <c r="D1357" s="20" t="s">
        <v>4845</v>
      </c>
      <c r="E1357" s="20" t="s">
        <v>4846</v>
      </c>
      <c r="F1357" s="19" t="s">
        <v>90</v>
      </c>
      <c r="G1357" s="19" t="s">
        <v>91</v>
      </c>
      <c r="H1357" s="19"/>
      <c r="I1357" s="21" t="s">
        <v>29</v>
      </c>
      <c r="J1357" s="21" t="s">
        <v>29</v>
      </c>
      <c r="K1357" s="22" t="s">
        <v>4847</v>
      </c>
      <c r="L1357" s="56">
        <v>45083</v>
      </c>
      <c r="O1357" s="42"/>
      <c r="P1357" s="40"/>
      <c r="Q1357" s="61"/>
      <c r="R1357" s="61"/>
      <c r="S1357" s="40"/>
      <c r="T1357" s="38"/>
      <c r="U1357" s="38"/>
      <c r="V1357" s="38"/>
      <c r="W1357" s="60"/>
      <c r="AB1357" s="42"/>
      <c r="AC1357" s="35"/>
      <c r="AD1357" s="38"/>
      <c r="AE1357" s="38"/>
      <c r="AF1357" s="38"/>
      <c r="AG1357" s="38"/>
      <c r="AH1357" s="60"/>
    </row>
    <row r="1358" spans="1:34" ht="15.75" customHeight="1">
      <c r="A1358" s="50" t="s">
        <v>82</v>
      </c>
      <c r="B1358" s="18" t="s">
        <v>4848</v>
      </c>
      <c r="C1358" s="19" t="s">
        <v>24</v>
      </c>
      <c r="D1358" s="20" t="s">
        <v>4849</v>
      </c>
      <c r="E1358" s="20" t="s">
        <v>4850</v>
      </c>
      <c r="F1358" s="19" t="s">
        <v>27</v>
      </c>
      <c r="G1358" s="19" t="s">
        <v>28</v>
      </c>
      <c r="H1358" s="19"/>
      <c r="I1358" s="21" t="s">
        <v>29</v>
      </c>
      <c r="J1358" s="21" t="s">
        <v>29</v>
      </c>
      <c r="K1358" s="22" t="s">
        <v>4851</v>
      </c>
      <c r="L1358" s="56">
        <v>45083</v>
      </c>
      <c r="O1358" s="42"/>
      <c r="P1358" s="40"/>
      <c r="Q1358" s="61"/>
      <c r="R1358" s="61"/>
      <c r="S1358" s="40"/>
      <c r="T1358" s="38"/>
      <c r="U1358" s="38"/>
      <c r="V1358" s="38"/>
      <c r="W1358" s="60"/>
      <c r="AB1358" s="42"/>
      <c r="AC1358" s="35"/>
      <c r="AD1358" s="38"/>
      <c r="AE1358" s="38"/>
      <c r="AF1358" s="38"/>
      <c r="AG1358" s="38"/>
      <c r="AH1358" s="60"/>
    </row>
    <row r="1359" spans="1:34" ht="15.75" customHeight="1">
      <c r="A1359" s="35" t="s">
        <v>4852</v>
      </c>
      <c r="B1359" s="36" t="s">
        <v>4853</v>
      </c>
      <c r="C1359" s="19" t="s">
        <v>121</v>
      </c>
      <c r="D1359" s="20" t="s">
        <v>4854</v>
      </c>
      <c r="E1359" s="20"/>
      <c r="F1359" s="19" t="s">
        <v>90</v>
      </c>
      <c r="G1359" s="19" t="s">
        <v>452</v>
      </c>
      <c r="H1359" s="19"/>
      <c r="I1359" s="21" t="s">
        <v>29</v>
      </c>
      <c r="J1359" s="21" t="s">
        <v>452</v>
      </c>
      <c r="K1359" s="22"/>
      <c r="L1359" s="56">
        <v>45083</v>
      </c>
      <c r="O1359" s="42"/>
      <c r="P1359" s="40"/>
      <c r="Q1359" s="61"/>
      <c r="R1359" s="61"/>
      <c r="S1359" s="40"/>
      <c r="T1359" s="38"/>
      <c r="U1359" s="38"/>
      <c r="V1359" s="38"/>
      <c r="W1359" s="60"/>
      <c r="AB1359" s="42"/>
      <c r="AC1359" s="35"/>
      <c r="AD1359" s="38"/>
      <c r="AE1359" s="38"/>
      <c r="AF1359" s="38"/>
      <c r="AG1359" s="38"/>
      <c r="AH1359" s="60"/>
    </row>
    <row r="1360" spans="1:34" ht="15.75" customHeight="1">
      <c r="A1360" s="31" t="s">
        <v>92</v>
      </c>
      <c r="B1360" s="18" t="s">
        <v>4855</v>
      </c>
      <c r="C1360" s="19" t="s">
        <v>24</v>
      </c>
      <c r="D1360" s="20" t="s">
        <v>4856</v>
      </c>
      <c r="E1360" s="20" t="s">
        <v>4857</v>
      </c>
      <c r="F1360" s="19" t="s">
        <v>27</v>
      </c>
      <c r="G1360" s="19" t="s">
        <v>28</v>
      </c>
      <c r="H1360" s="19"/>
      <c r="I1360" s="21" t="s">
        <v>29</v>
      </c>
      <c r="J1360" s="21" t="s">
        <v>29</v>
      </c>
      <c r="K1360" s="22" t="s">
        <v>4858</v>
      </c>
      <c r="L1360" s="56">
        <v>45083</v>
      </c>
      <c r="O1360" s="42"/>
      <c r="P1360" s="40"/>
      <c r="Q1360" s="61"/>
      <c r="R1360" s="61"/>
      <c r="S1360" s="40"/>
      <c r="T1360" s="38"/>
      <c r="U1360" s="38"/>
      <c r="V1360" s="38"/>
      <c r="W1360" s="60"/>
      <c r="AB1360" s="42"/>
      <c r="AC1360" s="35"/>
      <c r="AD1360" s="38"/>
      <c r="AE1360" s="38"/>
      <c r="AF1360" s="38"/>
      <c r="AG1360" s="38"/>
      <c r="AH1360" s="60"/>
    </row>
    <row r="1361" spans="1:34" ht="15.75" customHeight="1">
      <c r="A1361" s="33">
        <v>2411</v>
      </c>
      <c r="B1361" s="18" t="s">
        <v>4859</v>
      </c>
      <c r="C1361" s="19" t="s">
        <v>87</v>
      </c>
      <c r="D1361" s="20" t="s">
        <v>4860</v>
      </c>
      <c r="E1361" s="20" t="s">
        <v>4861</v>
      </c>
      <c r="F1361" s="19" t="s">
        <v>90</v>
      </c>
      <c r="G1361" s="19" t="s">
        <v>91</v>
      </c>
      <c r="H1361" s="19"/>
      <c r="I1361" s="21" t="s">
        <v>29</v>
      </c>
      <c r="J1361" s="21" t="s">
        <v>29</v>
      </c>
      <c r="K1361" s="22" t="s">
        <v>4862</v>
      </c>
      <c r="L1361" s="56">
        <v>45083</v>
      </c>
      <c r="O1361" s="42"/>
      <c r="P1361" s="40"/>
      <c r="Q1361" s="61"/>
      <c r="R1361" s="61"/>
      <c r="S1361" s="40"/>
      <c r="T1361" s="38"/>
      <c r="U1361" s="38"/>
      <c r="V1361" s="38"/>
      <c r="W1361" s="60"/>
      <c r="AB1361" s="42"/>
      <c r="AC1361" s="35"/>
      <c r="AD1361" s="38"/>
      <c r="AE1361" s="38"/>
      <c r="AF1361" s="38"/>
      <c r="AG1361" s="38"/>
      <c r="AH1361" s="60"/>
    </row>
    <row r="1362" spans="1:34" ht="15.75" customHeight="1">
      <c r="A1362" s="31" t="s">
        <v>100</v>
      </c>
      <c r="B1362" s="18" t="s">
        <v>4863</v>
      </c>
      <c r="C1362" s="37" t="s">
        <v>1603</v>
      </c>
      <c r="D1362" s="20" t="s">
        <v>4864</v>
      </c>
      <c r="E1362" s="20" t="s">
        <v>4865</v>
      </c>
      <c r="F1362" s="19" t="s">
        <v>27</v>
      </c>
      <c r="G1362" s="19" t="s">
        <v>1606</v>
      </c>
      <c r="H1362" s="37"/>
      <c r="I1362" s="21" t="s">
        <v>29</v>
      </c>
      <c r="J1362" s="21" t="s">
        <v>233</v>
      </c>
      <c r="K1362" s="22" t="s">
        <v>4866</v>
      </c>
      <c r="L1362" s="56">
        <v>45083</v>
      </c>
      <c r="O1362" s="42"/>
      <c r="P1362" s="40"/>
      <c r="Q1362" s="61"/>
      <c r="R1362" s="61"/>
      <c r="S1362" s="40"/>
      <c r="T1362" s="38"/>
      <c r="U1362" s="38"/>
      <c r="V1362" s="38"/>
      <c r="W1362" s="60"/>
      <c r="AB1362" s="42"/>
      <c r="AC1362" s="35"/>
      <c r="AD1362" s="38"/>
      <c r="AE1362" s="38"/>
      <c r="AF1362" s="38"/>
      <c r="AG1362" s="38"/>
      <c r="AH1362" s="60"/>
    </row>
    <row r="1363" spans="1:34" ht="15.75" customHeight="1">
      <c r="A1363" s="17">
        <v>163</v>
      </c>
      <c r="B1363" s="18" t="s">
        <v>4867</v>
      </c>
      <c r="C1363" s="19" t="s">
        <v>87</v>
      </c>
      <c r="D1363" s="20" t="s">
        <v>4868</v>
      </c>
      <c r="E1363" s="20" t="s">
        <v>4869</v>
      </c>
      <c r="F1363" s="19" t="s">
        <v>90</v>
      </c>
      <c r="G1363" s="19" t="s">
        <v>91</v>
      </c>
      <c r="H1363" s="19"/>
      <c r="I1363" s="21" t="s">
        <v>29</v>
      </c>
      <c r="J1363" s="21" t="s">
        <v>29</v>
      </c>
      <c r="K1363" s="22" t="s">
        <v>4870</v>
      </c>
      <c r="L1363" s="56">
        <v>45083</v>
      </c>
      <c r="O1363" s="42"/>
      <c r="P1363" s="40"/>
      <c r="Q1363" s="61"/>
      <c r="R1363" s="61"/>
      <c r="S1363" s="40"/>
      <c r="T1363" s="38"/>
      <c r="U1363" s="38"/>
      <c r="V1363" s="38"/>
      <c r="W1363" s="60"/>
      <c r="AB1363" s="42"/>
      <c r="AC1363" s="35"/>
      <c r="AD1363" s="38"/>
      <c r="AE1363" s="38"/>
      <c r="AF1363" s="38"/>
      <c r="AG1363" s="38"/>
      <c r="AH1363" s="60"/>
    </row>
    <row r="1364" spans="1:34" ht="15.75" customHeight="1">
      <c r="A1364" s="75"/>
      <c r="B1364" s="18" t="s">
        <v>4871</v>
      </c>
      <c r="C1364" s="19" t="s">
        <v>24</v>
      </c>
      <c r="D1364" s="20" t="s">
        <v>4872</v>
      </c>
      <c r="E1364" s="20" t="s">
        <v>4873</v>
      </c>
      <c r="F1364" s="19" t="s">
        <v>27</v>
      </c>
      <c r="G1364" s="19" t="s">
        <v>28</v>
      </c>
      <c r="H1364" s="19"/>
      <c r="I1364" s="21" t="s">
        <v>29</v>
      </c>
      <c r="J1364" s="21" t="s">
        <v>29</v>
      </c>
      <c r="K1364" s="22" t="s">
        <v>4874</v>
      </c>
      <c r="L1364" s="56">
        <v>45083</v>
      </c>
      <c r="O1364" s="42"/>
      <c r="P1364" s="40"/>
      <c r="Q1364" s="61"/>
      <c r="R1364" s="61"/>
      <c r="S1364" s="40"/>
      <c r="T1364" s="38"/>
      <c r="U1364" s="38"/>
      <c r="V1364" s="38"/>
      <c r="W1364" s="60"/>
      <c r="AB1364" s="42"/>
      <c r="AC1364" s="35"/>
      <c r="AD1364" s="38"/>
      <c r="AE1364" s="38"/>
      <c r="AF1364" s="38"/>
      <c r="AG1364" s="38"/>
      <c r="AH1364" s="60"/>
    </row>
    <row r="1365" spans="1:34" ht="15.75" customHeight="1">
      <c r="A1365" s="75"/>
      <c r="B1365" s="18" t="s">
        <v>4875</v>
      </c>
      <c r="C1365" s="19" t="s">
        <v>87</v>
      </c>
      <c r="D1365" s="20" t="s">
        <v>4876</v>
      </c>
      <c r="E1365" s="20" t="s">
        <v>55</v>
      </c>
      <c r="F1365" s="19" t="s">
        <v>90</v>
      </c>
      <c r="G1365" s="19" t="s">
        <v>91</v>
      </c>
      <c r="H1365" s="19"/>
      <c r="I1365" s="21" t="s">
        <v>29</v>
      </c>
      <c r="J1365" s="21" t="s">
        <v>29</v>
      </c>
      <c r="K1365" s="22" t="s">
        <v>55</v>
      </c>
      <c r="L1365" s="56">
        <v>45083</v>
      </c>
      <c r="O1365" s="42"/>
      <c r="P1365" s="40"/>
      <c r="Q1365" s="61"/>
      <c r="R1365" s="61"/>
      <c r="S1365" s="40"/>
      <c r="T1365" s="38"/>
      <c r="U1365" s="38"/>
      <c r="V1365" s="38"/>
      <c r="W1365" s="60"/>
      <c r="AB1365" s="42"/>
      <c r="AC1365" s="35"/>
      <c r="AD1365" s="38"/>
      <c r="AE1365" s="38"/>
      <c r="AF1365" s="38"/>
      <c r="AG1365" s="38"/>
      <c r="AH1365" s="60"/>
    </row>
    <row r="1366" spans="1:34" ht="15.75" customHeight="1">
      <c r="A1366" s="75"/>
      <c r="B1366" s="18" t="s">
        <v>4877</v>
      </c>
      <c r="C1366" s="19" t="s">
        <v>24</v>
      </c>
      <c r="D1366" s="20" t="s">
        <v>4878</v>
      </c>
      <c r="E1366" s="20" t="s">
        <v>4879</v>
      </c>
      <c r="F1366" s="19" t="s">
        <v>27</v>
      </c>
      <c r="G1366" s="19" t="s">
        <v>28</v>
      </c>
      <c r="H1366" s="19" t="s">
        <v>36</v>
      </c>
      <c r="I1366" s="21" t="s">
        <v>29</v>
      </c>
      <c r="J1366" s="21" t="s">
        <v>29</v>
      </c>
      <c r="K1366" s="22" t="s">
        <v>4880</v>
      </c>
      <c r="L1366" s="56">
        <v>45083</v>
      </c>
      <c r="O1366" s="42"/>
      <c r="P1366" s="40"/>
      <c r="Q1366" s="61"/>
      <c r="R1366" s="61"/>
      <c r="S1366" s="40"/>
      <c r="T1366" s="38"/>
      <c r="U1366" s="38"/>
      <c r="V1366" s="38"/>
      <c r="W1366" s="60"/>
      <c r="AB1366" s="42"/>
      <c r="AC1366" s="35"/>
      <c r="AD1366" s="38"/>
      <c r="AE1366" s="38"/>
      <c r="AF1366" s="38"/>
      <c r="AG1366" s="38"/>
      <c r="AH1366" s="60"/>
    </row>
    <row r="1367" spans="1:34" ht="15.75" customHeight="1">
      <c r="A1367" s="75"/>
      <c r="B1367" s="36" t="s">
        <v>4881</v>
      </c>
      <c r="C1367" s="19" t="s">
        <v>121</v>
      </c>
      <c r="D1367" s="20" t="s">
        <v>4882</v>
      </c>
      <c r="E1367" s="20" t="s">
        <v>4883</v>
      </c>
      <c r="F1367" s="19" t="s">
        <v>90</v>
      </c>
      <c r="G1367" s="19" t="s">
        <v>91</v>
      </c>
      <c r="H1367" s="19"/>
      <c r="I1367" s="21" t="s">
        <v>29</v>
      </c>
      <c r="J1367" s="21" t="s">
        <v>29</v>
      </c>
      <c r="K1367" s="22" t="s">
        <v>4884</v>
      </c>
      <c r="L1367" s="56">
        <v>45083</v>
      </c>
      <c r="O1367" s="42"/>
      <c r="P1367" s="40"/>
      <c r="Q1367" s="61"/>
      <c r="R1367" s="61"/>
      <c r="S1367" s="40"/>
      <c r="T1367" s="38"/>
      <c r="U1367" s="38"/>
      <c r="V1367" s="38"/>
      <c r="W1367" s="60"/>
      <c r="AB1367" s="42"/>
      <c r="AC1367" s="35"/>
      <c r="AD1367" s="38"/>
      <c r="AE1367" s="38"/>
      <c r="AF1367" s="38"/>
      <c r="AG1367" s="38"/>
      <c r="AH1367" s="60"/>
    </row>
    <row r="1368" spans="1:34" ht="15.75" customHeight="1">
      <c r="A1368" s="75"/>
      <c r="B1368" s="36" t="s">
        <v>4885</v>
      </c>
      <c r="C1368" s="19" t="s">
        <v>121</v>
      </c>
      <c r="D1368" s="20" t="s">
        <v>4886</v>
      </c>
      <c r="E1368" s="20" t="s">
        <v>4887</v>
      </c>
      <c r="F1368" s="19" t="s">
        <v>90</v>
      </c>
      <c r="G1368" s="19" t="s">
        <v>452</v>
      </c>
      <c r="H1368" s="19"/>
      <c r="I1368" s="21" t="s">
        <v>29</v>
      </c>
      <c r="J1368" s="21" t="s">
        <v>452</v>
      </c>
      <c r="K1368" s="22" t="s">
        <v>4888</v>
      </c>
      <c r="L1368" s="56">
        <v>45083</v>
      </c>
      <c r="O1368" s="42"/>
      <c r="P1368" s="40"/>
      <c r="Q1368" s="61"/>
      <c r="R1368" s="61"/>
      <c r="S1368" s="40"/>
      <c r="T1368" s="38"/>
      <c r="U1368" s="38"/>
      <c r="V1368" s="38"/>
      <c r="W1368" s="60"/>
      <c r="AB1368" s="42"/>
      <c r="AC1368" s="35"/>
      <c r="AD1368" s="38"/>
      <c r="AE1368" s="38"/>
      <c r="AF1368" s="38"/>
      <c r="AG1368" s="38"/>
      <c r="AH1368" s="60"/>
    </row>
    <row r="1369" spans="1:34" ht="15.75" customHeight="1">
      <c r="A1369" s="75"/>
      <c r="B1369" s="29" t="s">
        <v>4889</v>
      </c>
      <c r="C1369" s="19" t="s">
        <v>87</v>
      </c>
      <c r="D1369" s="20" t="s">
        <v>4890</v>
      </c>
      <c r="E1369" s="20" t="s">
        <v>4891</v>
      </c>
      <c r="F1369" s="19" t="s">
        <v>90</v>
      </c>
      <c r="G1369" s="19" t="s">
        <v>91</v>
      </c>
      <c r="H1369" s="19"/>
      <c r="I1369" s="21" t="s">
        <v>29</v>
      </c>
      <c r="J1369" s="21" t="s">
        <v>29</v>
      </c>
      <c r="K1369" s="22" t="s">
        <v>4892</v>
      </c>
      <c r="L1369" s="56">
        <v>45083</v>
      </c>
      <c r="O1369" s="42"/>
      <c r="P1369" s="40"/>
      <c r="Q1369" s="61"/>
      <c r="R1369" s="61"/>
      <c r="S1369" s="40"/>
      <c r="T1369" s="38"/>
      <c r="U1369" s="38"/>
      <c r="V1369" s="38"/>
      <c r="W1369" s="60"/>
      <c r="AB1369" s="42"/>
      <c r="AC1369" s="35"/>
      <c r="AD1369" s="38"/>
      <c r="AE1369" s="38"/>
      <c r="AF1369" s="38"/>
      <c r="AG1369" s="38"/>
      <c r="AH1369" s="60"/>
    </row>
    <row r="1370" spans="1:34" ht="15.75" customHeight="1">
      <c r="A1370" s="75"/>
      <c r="B1370" s="18" t="s">
        <v>4893</v>
      </c>
      <c r="C1370" s="19" t="s">
        <v>46</v>
      </c>
      <c r="D1370" s="20" t="s">
        <v>4894</v>
      </c>
      <c r="E1370" s="20" t="s">
        <v>4895</v>
      </c>
      <c r="F1370" s="37" t="s">
        <v>49</v>
      </c>
      <c r="G1370" s="19" t="s">
        <v>50</v>
      </c>
      <c r="H1370" s="19"/>
      <c r="I1370" s="21" t="s">
        <v>29</v>
      </c>
      <c r="J1370" s="21" t="s">
        <v>29</v>
      </c>
      <c r="K1370" s="22" t="s">
        <v>4896</v>
      </c>
      <c r="L1370" s="56">
        <v>45083</v>
      </c>
      <c r="O1370" s="42"/>
      <c r="P1370" s="40"/>
      <c r="Q1370" s="61"/>
      <c r="R1370" s="61"/>
      <c r="S1370" s="40"/>
      <c r="T1370" s="38"/>
      <c r="U1370" s="38"/>
      <c r="V1370" s="38"/>
      <c r="W1370" s="60"/>
      <c r="AB1370" s="42"/>
      <c r="AC1370" s="35"/>
      <c r="AD1370" s="38"/>
      <c r="AE1370" s="38"/>
      <c r="AF1370" s="38"/>
      <c r="AG1370" s="38"/>
      <c r="AH1370" s="60"/>
    </row>
    <row r="1371" spans="1:34" ht="15.75" customHeight="1">
      <c r="A1371" s="75"/>
      <c r="B1371" s="18" t="s">
        <v>4897</v>
      </c>
      <c r="C1371" s="19" t="s">
        <v>87</v>
      </c>
      <c r="D1371" s="20" t="s">
        <v>4898</v>
      </c>
      <c r="E1371" s="20" t="s">
        <v>4899</v>
      </c>
      <c r="F1371" s="19" t="s">
        <v>90</v>
      </c>
      <c r="G1371" s="19" t="s">
        <v>91</v>
      </c>
      <c r="H1371" s="19"/>
      <c r="I1371" s="21" t="s">
        <v>29</v>
      </c>
      <c r="J1371" s="21" t="s">
        <v>29</v>
      </c>
      <c r="K1371" s="22" t="s">
        <v>4900</v>
      </c>
      <c r="L1371" s="56">
        <v>45083</v>
      </c>
      <c r="O1371" s="42"/>
      <c r="P1371" s="40"/>
      <c r="Q1371" s="61"/>
      <c r="R1371" s="61"/>
      <c r="S1371" s="40"/>
      <c r="T1371" s="38"/>
      <c r="U1371" s="38"/>
      <c r="V1371" s="38"/>
      <c r="W1371" s="60"/>
      <c r="AB1371" s="42"/>
      <c r="AC1371" s="35"/>
      <c r="AD1371" s="38"/>
      <c r="AE1371" s="38"/>
      <c r="AF1371" s="38"/>
      <c r="AG1371" s="38"/>
      <c r="AH1371" s="60"/>
    </row>
    <row r="1372" spans="1:34" ht="15.75" customHeight="1">
      <c r="A1372" s="75"/>
      <c r="B1372" s="18" t="s">
        <v>4901</v>
      </c>
      <c r="C1372" s="19" t="s">
        <v>24</v>
      </c>
      <c r="D1372" s="20" t="s">
        <v>4902</v>
      </c>
      <c r="E1372" s="20" t="s">
        <v>4903</v>
      </c>
      <c r="F1372" s="19" t="s">
        <v>90</v>
      </c>
      <c r="G1372" s="19" t="s">
        <v>28</v>
      </c>
      <c r="H1372" s="19"/>
      <c r="I1372" s="21" t="s">
        <v>29</v>
      </c>
      <c r="J1372" s="21" t="s">
        <v>29</v>
      </c>
      <c r="K1372" s="22" t="s">
        <v>4904</v>
      </c>
      <c r="L1372" s="56">
        <v>45083</v>
      </c>
      <c r="O1372" s="42"/>
      <c r="P1372" s="40"/>
      <c r="Q1372" s="61"/>
      <c r="R1372" s="61"/>
      <c r="S1372" s="40"/>
      <c r="T1372" s="38"/>
      <c r="U1372" s="38"/>
      <c r="V1372" s="38"/>
      <c r="W1372" s="60"/>
      <c r="AB1372" s="42"/>
      <c r="AC1372" s="35"/>
      <c r="AD1372" s="38"/>
      <c r="AE1372" s="38"/>
      <c r="AF1372" s="38"/>
      <c r="AG1372" s="38"/>
      <c r="AH1372" s="60"/>
    </row>
    <row r="1373" spans="1:34" ht="15.75" customHeight="1">
      <c r="A1373" s="75"/>
      <c r="B1373" s="18" t="s">
        <v>4905</v>
      </c>
      <c r="C1373" s="19" t="s">
        <v>46</v>
      </c>
      <c r="D1373" s="20" t="s">
        <v>4906</v>
      </c>
      <c r="E1373" s="20" t="s">
        <v>4907</v>
      </c>
      <c r="F1373" s="37" t="s">
        <v>49</v>
      </c>
      <c r="G1373" s="19" t="s">
        <v>50</v>
      </c>
      <c r="H1373" s="19"/>
      <c r="I1373" s="21" t="s">
        <v>29</v>
      </c>
      <c r="J1373" s="21" t="s">
        <v>29</v>
      </c>
      <c r="K1373" s="22" t="s">
        <v>4908</v>
      </c>
      <c r="L1373" s="56">
        <v>45083</v>
      </c>
      <c r="O1373" s="42"/>
      <c r="P1373" s="40"/>
      <c r="Q1373" s="61"/>
      <c r="R1373" s="61"/>
      <c r="S1373" s="40"/>
      <c r="T1373" s="38"/>
      <c r="U1373" s="38"/>
      <c r="V1373" s="38"/>
      <c r="W1373" s="60"/>
      <c r="AB1373" s="42"/>
      <c r="AC1373" s="35"/>
      <c r="AD1373" s="38"/>
      <c r="AE1373" s="38"/>
      <c r="AF1373" s="38"/>
      <c r="AG1373" s="38"/>
      <c r="AH1373" s="60"/>
    </row>
    <row r="1374" spans="1:34" ht="15.75" customHeight="1">
      <c r="A1374" s="75"/>
      <c r="B1374" s="18" t="s">
        <v>4909</v>
      </c>
      <c r="C1374" s="19" t="s">
        <v>24</v>
      </c>
      <c r="D1374" s="20" t="s">
        <v>4910</v>
      </c>
      <c r="E1374" s="20"/>
      <c r="F1374" s="19" t="s">
        <v>27</v>
      </c>
      <c r="G1374" s="19" t="s">
        <v>28</v>
      </c>
      <c r="H1374" s="19"/>
      <c r="I1374" s="21" t="s">
        <v>29</v>
      </c>
      <c r="J1374" s="21" t="s">
        <v>29</v>
      </c>
      <c r="K1374" s="22"/>
      <c r="L1374" s="56">
        <v>45083</v>
      </c>
      <c r="O1374" s="42"/>
      <c r="P1374" s="40"/>
      <c r="Q1374" s="61"/>
      <c r="R1374" s="61"/>
      <c r="S1374" s="40"/>
      <c r="T1374" s="38"/>
      <c r="U1374" s="38"/>
      <c r="V1374" s="38"/>
      <c r="W1374" s="60"/>
      <c r="AB1374" s="42"/>
      <c r="AC1374" s="35"/>
      <c r="AD1374" s="38"/>
      <c r="AE1374" s="38"/>
      <c r="AF1374" s="38"/>
      <c r="AG1374" s="38"/>
      <c r="AH1374" s="60"/>
    </row>
    <row r="1375" spans="1:34" ht="15.75" customHeight="1">
      <c r="A1375" s="75"/>
      <c r="B1375" s="29" t="s">
        <v>4911</v>
      </c>
      <c r="C1375" s="19" t="s">
        <v>24</v>
      </c>
      <c r="D1375" s="20" t="s">
        <v>4912</v>
      </c>
      <c r="E1375" s="20" t="s">
        <v>4913</v>
      </c>
      <c r="F1375" s="19" t="s">
        <v>27</v>
      </c>
      <c r="G1375" s="19" t="s">
        <v>28</v>
      </c>
      <c r="H1375" s="19"/>
      <c r="I1375" s="21" t="s">
        <v>29</v>
      </c>
      <c r="J1375" s="21" t="s">
        <v>29</v>
      </c>
      <c r="K1375" s="22" t="s">
        <v>4914</v>
      </c>
      <c r="L1375" s="56">
        <v>45083</v>
      </c>
      <c r="O1375" s="42"/>
      <c r="P1375" s="40"/>
      <c r="Q1375" s="61"/>
      <c r="R1375" s="61"/>
      <c r="S1375" s="40"/>
      <c r="T1375" s="38"/>
      <c r="U1375" s="38"/>
      <c r="V1375" s="38"/>
      <c r="W1375" s="60"/>
      <c r="AB1375" s="42"/>
      <c r="AC1375" s="35"/>
      <c r="AD1375" s="38"/>
      <c r="AE1375" s="38"/>
      <c r="AF1375" s="38"/>
      <c r="AG1375" s="38"/>
      <c r="AH1375" s="60"/>
    </row>
    <row r="1376" spans="1:34" ht="15.75" customHeight="1">
      <c r="A1376" s="75"/>
      <c r="B1376" s="18" t="s">
        <v>4915</v>
      </c>
      <c r="C1376" s="19" t="s">
        <v>24</v>
      </c>
      <c r="D1376" s="20" t="s">
        <v>4916</v>
      </c>
      <c r="E1376" s="20" t="s">
        <v>4917</v>
      </c>
      <c r="F1376" s="19" t="s">
        <v>27</v>
      </c>
      <c r="G1376" s="19" t="s">
        <v>28</v>
      </c>
      <c r="H1376" s="19"/>
      <c r="I1376" s="21" t="s">
        <v>29</v>
      </c>
      <c r="J1376" s="21" t="s">
        <v>29</v>
      </c>
      <c r="K1376" s="22" t="s">
        <v>4918</v>
      </c>
      <c r="L1376" s="56">
        <v>45083</v>
      </c>
      <c r="O1376" s="42"/>
      <c r="P1376" s="40"/>
      <c r="Q1376" s="61"/>
      <c r="R1376" s="61"/>
      <c r="S1376" s="40"/>
      <c r="T1376" s="38"/>
      <c r="U1376" s="38"/>
      <c r="V1376" s="38"/>
      <c r="W1376" s="60"/>
      <c r="AB1376" s="42"/>
      <c r="AC1376" s="35"/>
      <c r="AD1376" s="38"/>
      <c r="AE1376" s="38"/>
      <c r="AF1376" s="38"/>
      <c r="AG1376" s="38"/>
      <c r="AH1376" s="60"/>
    </row>
    <row r="1377" spans="1:34" ht="15.75" customHeight="1">
      <c r="A1377" s="75"/>
      <c r="B1377" s="18" t="s">
        <v>4919</v>
      </c>
      <c r="C1377" s="19" t="s">
        <v>1638</v>
      </c>
      <c r="D1377" s="20" t="s">
        <v>4920</v>
      </c>
      <c r="E1377" s="20" t="s">
        <v>4921</v>
      </c>
      <c r="F1377" s="37" t="s">
        <v>1399</v>
      </c>
      <c r="G1377" s="19" t="s">
        <v>1641</v>
      </c>
      <c r="H1377" s="19"/>
      <c r="I1377" s="21" t="s">
        <v>1371</v>
      </c>
      <c r="J1377" s="21" t="s">
        <v>1371</v>
      </c>
      <c r="K1377" s="22" t="s">
        <v>4922</v>
      </c>
      <c r="L1377" s="56">
        <v>45083</v>
      </c>
      <c r="O1377" s="42"/>
      <c r="P1377" s="40"/>
      <c r="Q1377" s="61"/>
      <c r="R1377" s="61"/>
      <c r="S1377" s="40"/>
      <c r="T1377" s="38"/>
      <c r="U1377" s="38"/>
      <c r="V1377" s="38"/>
      <c r="W1377" s="60"/>
      <c r="AB1377" s="42"/>
      <c r="AC1377" s="35"/>
      <c r="AD1377" s="38"/>
      <c r="AE1377" s="38"/>
      <c r="AF1377" s="38"/>
      <c r="AG1377" s="38"/>
      <c r="AH1377" s="60"/>
    </row>
    <row r="1378" spans="1:34" ht="15.75" customHeight="1">
      <c r="A1378" s="75"/>
      <c r="B1378" s="36" t="s">
        <v>4923</v>
      </c>
      <c r="C1378" s="19" t="s">
        <v>121</v>
      </c>
      <c r="D1378" s="20" t="s">
        <v>4924</v>
      </c>
      <c r="E1378" s="20" t="s">
        <v>4925</v>
      </c>
      <c r="F1378" s="37" t="s">
        <v>49</v>
      </c>
      <c r="G1378" s="19" t="s">
        <v>91</v>
      </c>
      <c r="H1378" s="19"/>
      <c r="I1378" s="21" t="s">
        <v>29</v>
      </c>
      <c r="J1378" s="21" t="s">
        <v>29</v>
      </c>
      <c r="K1378" s="22" t="s">
        <v>4926</v>
      </c>
      <c r="L1378" s="56">
        <v>45083</v>
      </c>
      <c r="O1378" s="42"/>
      <c r="P1378" s="40"/>
      <c r="Q1378" s="61"/>
      <c r="R1378" s="61"/>
      <c r="S1378" s="40"/>
      <c r="T1378" s="38"/>
      <c r="U1378" s="38"/>
      <c r="V1378" s="38"/>
      <c r="W1378" s="60"/>
      <c r="AB1378" s="42"/>
      <c r="AC1378" s="35"/>
      <c r="AD1378" s="38"/>
      <c r="AE1378" s="38"/>
      <c r="AF1378" s="38"/>
      <c r="AG1378" s="38"/>
      <c r="AH1378" s="60"/>
    </row>
    <row r="1379" spans="1:34" ht="15.75" customHeight="1">
      <c r="A1379" s="75"/>
      <c r="B1379" s="18" t="s">
        <v>4927</v>
      </c>
      <c r="C1379" s="19" t="s">
        <v>87</v>
      </c>
      <c r="D1379" s="20"/>
      <c r="E1379" s="20" t="s">
        <v>4928</v>
      </c>
      <c r="F1379" s="19" t="s">
        <v>90</v>
      </c>
      <c r="G1379" s="19" t="s">
        <v>91</v>
      </c>
      <c r="H1379" s="19"/>
      <c r="I1379" s="21" t="s">
        <v>29</v>
      </c>
      <c r="J1379" s="21" t="s">
        <v>29</v>
      </c>
      <c r="K1379" s="22" t="s">
        <v>4928</v>
      </c>
      <c r="L1379" s="56">
        <v>45083</v>
      </c>
      <c r="O1379" s="42"/>
      <c r="P1379" s="40"/>
      <c r="Q1379" s="61"/>
      <c r="R1379" s="61"/>
      <c r="S1379" s="40"/>
      <c r="T1379" s="38"/>
      <c r="U1379" s="38"/>
      <c r="V1379" s="38"/>
      <c r="W1379" s="60"/>
      <c r="AB1379" s="42"/>
      <c r="AC1379" s="35"/>
      <c r="AD1379" s="38"/>
      <c r="AE1379" s="38"/>
      <c r="AF1379" s="38"/>
      <c r="AG1379" s="38"/>
      <c r="AH1379" s="60"/>
    </row>
    <row r="1380" spans="1:34" ht="15.75" customHeight="1">
      <c r="A1380" s="75"/>
      <c r="B1380" s="36" t="s">
        <v>4929</v>
      </c>
      <c r="C1380" s="19" t="s">
        <v>121</v>
      </c>
      <c r="D1380" s="20" t="s">
        <v>4930</v>
      </c>
      <c r="E1380" s="20" t="s">
        <v>4931</v>
      </c>
      <c r="F1380" s="19" t="s">
        <v>90</v>
      </c>
      <c r="G1380" s="19" t="s">
        <v>91</v>
      </c>
      <c r="H1380" s="19"/>
      <c r="I1380" s="21" t="s">
        <v>29</v>
      </c>
      <c r="J1380" s="21" t="s">
        <v>29</v>
      </c>
      <c r="K1380" s="22" t="s">
        <v>4932</v>
      </c>
      <c r="L1380" s="56">
        <v>45083</v>
      </c>
      <c r="O1380" s="42"/>
      <c r="P1380" s="40"/>
      <c r="Q1380" s="61"/>
      <c r="R1380" s="61"/>
      <c r="S1380" s="40"/>
      <c r="T1380" s="38"/>
      <c r="U1380" s="38"/>
      <c r="V1380" s="38"/>
      <c r="W1380" s="60"/>
      <c r="AB1380" s="42"/>
      <c r="AC1380" s="35"/>
      <c r="AD1380" s="38"/>
      <c r="AE1380" s="38"/>
      <c r="AF1380" s="38"/>
      <c r="AG1380" s="38"/>
      <c r="AH1380" s="60"/>
    </row>
    <row r="1381" spans="1:34" ht="15.75" customHeight="1">
      <c r="A1381" s="75"/>
      <c r="B1381" s="18" t="s">
        <v>4933</v>
      </c>
      <c r="C1381" s="19" t="s">
        <v>87</v>
      </c>
      <c r="D1381" s="20" t="s">
        <v>4934</v>
      </c>
      <c r="E1381" s="20" t="s">
        <v>4935</v>
      </c>
      <c r="F1381" s="19" t="s">
        <v>90</v>
      </c>
      <c r="G1381" s="19" t="s">
        <v>91</v>
      </c>
      <c r="H1381" s="19"/>
      <c r="I1381" s="21" t="s">
        <v>29</v>
      </c>
      <c r="J1381" s="21" t="s">
        <v>29</v>
      </c>
      <c r="K1381" s="22" t="s">
        <v>4936</v>
      </c>
      <c r="L1381" s="56">
        <v>45083</v>
      </c>
      <c r="O1381" s="42"/>
      <c r="P1381" s="40"/>
      <c r="Q1381" s="61"/>
      <c r="R1381" s="61"/>
      <c r="S1381" s="40"/>
      <c r="T1381" s="38"/>
      <c r="U1381" s="38"/>
      <c r="V1381" s="38"/>
      <c r="W1381" s="60"/>
      <c r="AB1381" s="42"/>
      <c r="AC1381" s="35"/>
      <c r="AD1381" s="38"/>
      <c r="AE1381" s="38"/>
      <c r="AF1381" s="38"/>
      <c r="AG1381" s="38"/>
      <c r="AH1381" s="60"/>
    </row>
    <row r="1382" spans="1:34" ht="15.75" customHeight="1">
      <c r="A1382" s="75"/>
      <c r="B1382" s="18" t="s">
        <v>4937</v>
      </c>
      <c r="C1382" s="19" t="s">
        <v>46</v>
      </c>
      <c r="D1382" s="20" t="s">
        <v>4938</v>
      </c>
      <c r="E1382" s="20" t="s">
        <v>4939</v>
      </c>
      <c r="F1382" s="37" t="s">
        <v>49</v>
      </c>
      <c r="G1382" s="19" t="s">
        <v>50</v>
      </c>
      <c r="H1382" s="19"/>
      <c r="I1382" s="21" t="s">
        <v>29</v>
      </c>
      <c r="J1382" s="21" t="s">
        <v>29</v>
      </c>
      <c r="K1382" s="22" t="s">
        <v>4939</v>
      </c>
      <c r="L1382" s="56">
        <v>45083</v>
      </c>
      <c r="O1382" s="42"/>
      <c r="P1382" s="40"/>
      <c r="Q1382" s="61"/>
      <c r="R1382" s="61"/>
      <c r="S1382" s="40"/>
      <c r="T1382" s="38"/>
      <c r="U1382" s="38"/>
      <c r="V1382" s="38"/>
      <c r="W1382" s="60"/>
      <c r="AB1382" s="42"/>
      <c r="AC1382" s="35"/>
      <c r="AD1382" s="38"/>
      <c r="AE1382" s="38"/>
      <c r="AF1382" s="38"/>
      <c r="AG1382" s="38"/>
      <c r="AH1382" s="60"/>
    </row>
    <row r="1383" spans="1:34" ht="15.75" customHeight="1">
      <c r="A1383" s="75"/>
      <c r="B1383" s="18" t="s">
        <v>4940</v>
      </c>
      <c r="C1383" s="19" t="s">
        <v>46</v>
      </c>
      <c r="D1383" s="20" t="s">
        <v>4941</v>
      </c>
      <c r="E1383" s="20" t="s">
        <v>4942</v>
      </c>
      <c r="F1383" s="37" t="s">
        <v>49</v>
      </c>
      <c r="G1383" s="19" t="s">
        <v>50</v>
      </c>
      <c r="H1383" s="19"/>
      <c r="I1383" s="21" t="s">
        <v>29</v>
      </c>
      <c r="J1383" s="21" t="s">
        <v>29</v>
      </c>
      <c r="K1383" s="22" t="s">
        <v>4942</v>
      </c>
      <c r="L1383" s="56">
        <v>45083</v>
      </c>
      <c r="O1383" s="42"/>
      <c r="P1383" s="40"/>
      <c r="Q1383" s="61"/>
      <c r="R1383" s="61"/>
      <c r="S1383" s="40"/>
      <c r="T1383" s="38"/>
      <c r="U1383" s="38"/>
      <c r="V1383" s="38"/>
      <c r="W1383" s="60"/>
      <c r="AB1383" s="42"/>
      <c r="AC1383" s="35"/>
      <c r="AD1383" s="38"/>
      <c r="AE1383" s="38"/>
      <c r="AF1383" s="38"/>
      <c r="AG1383" s="38"/>
      <c r="AH1383" s="60"/>
    </row>
    <row r="1384" spans="1:34" ht="15.75" customHeight="1">
      <c r="A1384" s="75"/>
      <c r="B1384" s="18" t="s">
        <v>4943</v>
      </c>
      <c r="C1384" s="19" t="s">
        <v>24</v>
      </c>
      <c r="D1384" s="20" t="s">
        <v>4944</v>
      </c>
      <c r="E1384" s="20" t="s">
        <v>4945</v>
      </c>
      <c r="F1384" s="19" t="s">
        <v>27</v>
      </c>
      <c r="G1384" s="19" t="s">
        <v>28</v>
      </c>
      <c r="H1384" s="19" t="s">
        <v>36</v>
      </c>
      <c r="I1384" s="21" t="s">
        <v>29</v>
      </c>
      <c r="J1384" s="21" t="s">
        <v>29</v>
      </c>
      <c r="K1384" s="22" t="s">
        <v>4946</v>
      </c>
      <c r="L1384" s="56">
        <v>45083</v>
      </c>
      <c r="O1384" s="42"/>
      <c r="P1384" s="40"/>
      <c r="Q1384" s="61"/>
      <c r="R1384" s="61"/>
      <c r="S1384" s="40"/>
      <c r="T1384" s="38"/>
      <c r="U1384" s="38"/>
      <c r="V1384" s="38"/>
      <c r="W1384" s="60"/>
      <c r="AB1384" s="42"/>
      <c r="AC1384" s="35"/>
      <c r="AD1384" s="38"/>
      <c r="AE1384" s="38"/>
      <c r="AF1384" s="38"/>
      <c r="AG1384" s="38"/>
      <c r="AH1384" s="60"/>
    </row>
    <row r="1385" spans="1:34" ht="15.75" customHeight="1">
      <c r="A1385" s="75"/>
      <c r="B1385" s="34" t="s">
        <v>4947</v>
      </c>
      <c r="C1385" s="19" t="s">
        <v>24</v>
      </c>
      <c r="D1385" s="20" t="s">
        <v>4948</v>
      </c>
      <c r="E1385" s="20" t="s">
        <v>4949</v>
      </c>
      <c r="F1385" s="19" t="s">
        <v>90</v>
      </c>
      <c r="G1385" s="19" t="s">
        <v>91</v>
      </c>
      <c r="H1385" s="19"/>
      <c r="I1385" s="21" t="s">
        <v>29</v>
      </c>
      <c r="J1385" s="21" t="s">
        <v>29</v>
      </c>
      <c r="K1385" s="22" t="s">
        <v>4950</v>
      </c>
      <c r="L1385" s="56">
        <v>45083</v>
      </c>
      <c r="O1385" s="42"/>
      <c r="P1385" s="40"/>
      <c r="Q1385" s="61"/>
      <c r="R1385" s="61"/>
      <c r="S1385" s="40"/>
      <c r="T1385" s="38"/>
      <c r="U1385" s="38"/>
      <c r="V1385" s="38"/>
      <c r="W1385" s="60"/>
      <c r="AB1385" s="42"/>
      <c r="AC1385" s="35"/>
      <c r="AD1385" s="38"/>
      <c r="AE1385" s="38"/>
      <c r="AF1385" s="38"/>
      <c r="AG1385" s="38"/>
      <c r="AH1385" s="60"/>
    </row>
    <row r="1386" spans="1:34" ht="15.75" customHeight="1">
      <c r="A1386" s="75"/>
      <c r="B1386" s="29" t="s">
        <v>4951</v>
      </c>
      <c r="C1386" s="19" t="s">
        <v>46</v>
      </c>
      <c r="D1386" s="20" t="s">
        <v>4952</v>
      </c>
      <c r="E1386" s="20" t="s">
        <v>4953</v>
      </c>
      <c r="F1386" s="19" t="s">
        <v>286</v>
      </c>
      <c r="G1386" s="19" t="s">
        <v>50</v>
      </c>
      <c r="H1386" s="19"/>
      <c r="I1386" s="21" t="s">
        <v>286</v>
      </c>
      <c r="J1386" s="21" t="s">
        <v>29</v>
      </c>
      <c r="K1386" s="22" t="s">
        <v>4954</v>
      </c>
      <c r="L1386" s="56"/>
      <c r="O1386" s="42"/>
      <c r="P1386" s="40"/>
      <c r="Q1386" s="61"/>
      <c r="R1386" s="61"/>
      <c r="S1386" s="40"/>
      <c r="T1386" s="38"/>
      <c r="U1386" s="38"/>
      <c r="V1386" s="38"/>
      <c r="W1386" s="60"/>
      <c r="AB1386" s="42"/>
      <c r="AC1386" s="35"/>
      <c r="AD1386" s="38"/>
      <c r="AE1386" s="38"/>
      <c r="AF1386" s="38"/>
      <c r="AG1386" s="38"/>
      <c r="AH1386" s="60"/>
    </row>
    <row r="1387" spans="1:34" ht="15.75" customHeight="1">
      <c r="A1387" s="75"/>
      <c r="B1387" s="18" t="s">
        <v>4955</v>
      </c>
      <c r="C1387" s="19" t="s">
        <v>24</v>
      </c>
      <c r="D1387" s="20" t="s">
        <v>4956</v>
      </c>
      <c r="E1387" s="20" t="s">
        <v>4957</v>
      </c>
      <c r="F1387" s="19" t="s">
        <v>27</v>
      </c>
      <c r="G1387" s="19" t="s">
        <v>28</v>
      </c>
      <c r="H1387" s="37" t="s">
        <v>762</v>
      </c>
      <c r="I1387" s="21" t="s">
        <v>29</v>
      </c>
      <c r="J1387" s="21" t="s">
        <v>29</v>
      </c>
      <c r="K1387" s="22" t="s">
        <v>4958</v>
      </c>
      <c r="L1387" s="56">
        <v>45083</v>
      </c>
      <c r="O1387" s="42"/>
      <c r="P1387" s="40"/>
      <c r="Q1387" s="61"/>
      <c r="R1387" s="61"/>
      <c r="S1387" s="40"/>
      <c r="T1387" s="38"/>
      <c r="U1387" s="38"/>
      <c r="V1387" s="38"/>
      <c r="W1387" s="60"/>
      <c r="AB1387" s="42"/>
      <c r="AC1387" s="35"/>
      <c r="AD1387" s="38"/>
      <c r="AE1387" s="38"/>
      <c r="AF1387" s="38"/>
      <c r="AG1387" s="38"/>
      <c r="AH1387" s="60"/>
    </row>
    <row r="1388" spans="1:34" ht="15.75" customHeight="1">
      <c r="A1388" s="75"/>
      <c r="B1388" s="29" t="s">
        <v>4959</v>
      </c>
      <c r="C1388" s="19" t="s">
        <v>87</v>
      </c>
      <c r="D1388" s="20" t="s">
        <v>4960</v>
      </c>
      <c r="E1388" s="20" t="s">
        <v>4961</v>
      </c>
      <c r="F1388" s="19" t="s">
        <v>90</v>
      </c>
      <c r="G1388" s="19" t="s">
        <v>91</v>
      </c>
      <c r="H1388" s="19"/>
      <c r="I1388" s="21" t="s">
        <v>29</v>
      </c>
      <c r="J1388" s="21" t="s">
        <v>29</v>
      </c>
      <c r="K1388" s="22" t="s">
        <v>4962</v>
      </c>
      <c r="L1388" s="56">
        <v>45083</v>
      </c>
      <c r="O1388" s="42"/>
      <c r="P1388" s="40"/>
      <c r="Q1388" s="61"/>
      <c r="R1388" s="61"/>
      <c r="S1388" s="40"/>
      <c r="T1388" s="38"/>
      <c r="U1388" s="38"/>
      <c r="V1388" s="38"/>
      <c r="W1388" s="60"/>
      <c r="AB1388" s="42"/>
      <c r="AC1388" s="35"/>
      <c r="AD1388" s="38"/>
      <c r="AE1388" s="38"/>
      <c r="AF1388" s="38"/>
      <c r="AG1388" s="38"/>
      <c r="AH1388" s="60"/>
    </row>
    <row r="1389" spans="1:34" ht="15.75" customHeight="1">
      <c r="A1389" s="75"/>
      <c r="B1389" s="18" t="s">
        <v>4963</v>
      </c>
      <c r="C1389" s="19" t="s">
        <v>46</v>
      </c>
      <c r="D1389" s="20" t="s">
        <v>4964</v>
      </c>
      <c r="E1389" s="20" t="s">
        <v>4965</v>
      </c>
      <c r="F1389" s="37" t="s">
        <v>49</v>
      </c>
      <c r="G1389" s="19" t="s">
        <v>50</v>
      </c>
      <c r="H1389" s="19"/>
      <c r="I1389" s="21" t="s">
        <v>29</v>
      </c>
      <c r="J1389" s="21" t="s">
        <v>29</v>
      </c>
      <c r="K1389" s="22" t="s">
        <v>4965</v>
      </c>
      <c r="L1389" s="56">
        <v>45083</v>
      </c>
      <c r="O1389" s="42"/>
      <c r="P1389" s="40"/>
      <c r="Q1389" s="61"/>
      <c r="R1389" s="61"/>
      <c r="S1389" s="40"/>
      <c r="T1389" s="38"/>
      <c r="U1389" s="38"/>
      <c r="V1389" s="38"/>
      <c r="W1389" s="60"/>
      <c r="AB1389" s="42"/>
      <c r="AC1389" s="35"/>
      <c r="AD1389" s="38"/>
      <c r="AE1389" s="38"/>
      <c r="AF1389" s="38"/>
      <c r="AG1389" s="38"/>
      <c r="AH1389" s="60"/>
    </row>
    <row r="1390" spans="1:34" ht="15.75" customHeight="1">
      <c r="A1390" s="75"/>
      <c r="B1390" s="18" t="s">
        <v>4966</v>
      </c>
      <c r="C1390" s="19" t="s">
        <v>24</v>
      </c>
      <c r="D1390" s="20" t="s">
        <v>4967</v>
      </c>
      <c r="E1390" s="20" t="s">
        <v>4968</v>
      </c>
      <c r="F1390" s="19" t="s">
        <v>27</v>
      </c>
      <c r="G1390" s="19" t="s">
        <v>28</v>
      </c>
      <c r="H1390" s="19"/>
      <c r="I1390" s="21" t="s">
        <v>29</v>
      </c>
      <c r="J1390" s="21" t="s">
        <v>29</v>
      </c>
      <c r="K1390" s="22" t="s">
        <v>4969</v>
      </c>
      <c r="L1390" s="56">
        <v>45083</v>
      </c>
      <c r="O1390" s="42"/>
      <c r="P1390" s="40"/>
      <c r="Q1390" s="61"/>
      <c r="R1390" s="61"/>
      <c r="S1390" s="40"/>
      <c r="T1390" s="38"/>
      <c r="U1390" s="38"/>
      <c r="V1390" s="38"/>
      <c r="W1390" s="60"/>
      <c r="AB1390" s="42"/>
      <c r="AC1390" s="35"/>
      <c r="AD1390" s="38"/>
      <c r="AE1390" s="38"/>
      <c r="AF1390" s="38"/>
      <c r="AG1390" s="38"/>
      <c r="AH1390" s="60"/>
    </row>
    <row r="1391" spans="1:34" ht="15.75" customHeight="1">
      <c r="A1391" s="75"/>
      <c r="B1391" s="18" t="s">
        <v>4970</v>
      </c>
      <c r="C1391" s="19" t="s">
        <v>24</v>
      </c>
      <c r="D1391" s="20" t="s">
        <v>4971</v>
      </c>
      <c r="E1391" s="20" t="s">
        <v>4972</v>
      </c>
      <c r="F1391" s="19" t="s">
        <v>27</v>
      </c>
      <c r="G1391" s="19" t="s">
        <v>28</v>
      </c>
      <c r="H1391" s="19" t="s">
        <v>36</v>
      </c>
      <c r="I1391" s="21" t="s">
        <v>29</v>
      </c>
      <c r="J1391" s="21" t="s">
        <v>29</v>
      </c>
      <c r="K1391" s="22" t="s">
        <v>4973</v>
      </c>
      <c r="L1391" s="56">
        <v>45083</v>
      </c>
      <c r="O1391" s="42"/>
      <c r="P1391" s="40"/>
      <c r="Q1391" s="61"/>
      <c r="R1391" s="61"/>
      <c r="S1391" s="40"/>
      <c r="T1391" s="38"/>
      <c r="U1391" s="38"/>
      <c r="V1391" s="38"/>
      <c r="W1391" s="60"/>
      <c r="AB1391" s="42"/>
      <c r="AC1391" s="35"/>
      <c r="AD1391" s="38"/>
      <c r="AE1391" s="38"/>
      <c r="AF1391" s="38"/>
      <c r="AG1391" s="38"/>
      <c r="AH1391" s="60"/>
    </row>
    <row r="1392" spans="1:34" ht="15.75" customHeight="1">
      <c r="A1392" s="75"/>
      <c r="B1392" s="18" t="s">
        <v>4974</v>
      </c>
      <c r="C1392" s="19" t="s">
        <v>24</v>
      </c>
      <c r="D1392" s="20" t="s">
        <v>4975</v>
      </c>
      <c r="E1392" s="20" t="s">
        <v>4976</v>
      </c>
      <c r="F1392" s="19" t="s">
        <v>27</v>
      </c>
      <c r="G1392" s="19" t="s">
        <v>28</v>
      </c>
      <c r="H1392" s="19"/>
      <c r="I1392" s="21" t="s">
        <v>29</v>
      </c>
      <c r="J1392" s="21" t="s">
        <v>29</v>
      </c>
      <c r="K1392" s="22" t="s">
        <v>4977</v>
      </c>
      <c r="L1392" s="56">
        <v>45083</v>
      </c>
      <c r="O1392" s="42"/>
      <c r="P1392" s="40"/>
      <c r="Q1392" s="61"/>
      <c r="R1392" s="61"/>
      <c r="S1392" s="40"/>
      <c r="T1392" s="38"/>
      <c r="U1392" s="38"/>
      <c r="V1392" s="38"/>
      <c r="W1392" s="60"/>
      <c r="AB1392" s="42"/>
      <c r="AC1392" s="35"/>
      <c r="AD1392" s="38"/>
      <c r="AE1392" s="38"/>
      <c r="AF1392" s="38"/>
      <c r="AG1392" s="38"/>
      <c r="AH1392" s="60"/>
    </row>
    <row r="1393" spans="1:34" ht="15.75" customHeight="1">
      <c r="A1393" s="75"/>
      <c r="B1393" s="18" t="s">
        <v>4978</v>
      </c>
      <c r="C1393" s="19" t="s">
        <v>24</v>
      </c>
      <c r="D1393" s="20" t="s">
        <v>4979</v>
      </c>
      <c r="E1393" s="20" t="s">
        <v>4980</v>
      </c>
      <c r="F1393" s="19" t="s">
        <v>27</v>
      </c>
      <c r="G1393" s="19" t="s">
        <v>28</v>
      </c>
      <c r="H1393" s="19"/>
      <c r="I1393" s="21" t="s">
        <v>29</v>
      </c>
      <c r="J1393" s="21" t="s">
        <v>29</v>
      </c>
      <c r="K1393" s="22" t="s">
        <v>4981</v>
      </c>
      <c r="L1393" s="56">
        <v>45083</v>
      </c>
      <c r="O1393" s="42"/>
      <c r="P1393" s="40"/>
      <c r="Q1393" s="61"/>
      <c r="R1393" s="61"/>
      <c r="S1393" s="40"/>
      <c r="T1393" s="38"/>
      <c r="U1393" s="38"/>
      <c r="V1393" s="38"/>
      <c r="W1393" s="60"/>
      <c r="AB1393" s="42"/>
      <c r="AC1393" s="35"/>
      <c r="AD1393" s="38"/>
      <c r="AE1393" s="38"/>
      <c r="AF1393" s="38"/>
      <c r="AG1393" s="38"/>
      <c r="AH1393" s="60"/>
    </row>
    <row r="1394" spans="1:34" ht="15.75" customHeight="1">
      <c r="A1394" s="75"/>
      <c r="B1394" s="18" t="s">
        <v>4982</v>
      </c>
      <c r="C1394" s="19" t="s">
        <v>24</v>
      </c>
      <c r="D1394" s="20" t="s">
        <v>4983</v>
      </c>
      <c r="E1394" s="20" t="s">
        <v>4984</v>
      </c>
      <c r="F1394" s="19" t="s">
        <v>27</v>
      </c>
      <c r="G1394" s="19" t="s">
        <v>28</v>
      </c>
      <c r="H1394" s="19" t="s">
        <v>36</v>
      </c>
      <c r="I1394" s="21" t="s">
        <v>29</v>
      </c>
      <c r="J1394" s="21" t="s">
        <v>29</v>
      </c>
      <c r="K1394" s="22" t="s">
        <v>4985</v>
      </c>
      <c r="L1394" s="56">
        <v>45083</v>
      </c>
      <c r="O1394" s="42"/>
      <c r="P1394" s="40"/>
      <c r="Q1394" s="61"/>
      <c r="R1394" s="61"/>
      <c r="S1394" s="40"/>
      <c r="T1394" s="38"/>
      <c r="U1394" s="38"/>
      <c r="V1394" s="38"/>
      <c r="W1394" s="60"/>
      <c r="AB1394" s="42"/>
      <c r="AC1394" s="35"/>
      <c r="AD1394" s="38"/>
      <c r="AE1394" s="38"/>
      <c r="AF1394" s="38"/>
      <c r="AG1394" s="38"/>
      <c r="AH1394" s="60"/>
    </row>
    <row r="1395" spans="1:34" ht="15.75" customHeight="1">
      <c r="A1395" s="75"/>
      <c r="B1395" s="18" t="s">
        <v>4986</v>
      </c>
      <c r="C1395" s="19" t="s">
        <v>46</v>
      </c>
      <c r="D1395" s="20" t="s">
        <v>4987</v>
      </c>
      <c r="E1395" s="20" t="s">
        <v>4988</v>
      </c>
      <c r="F1395" s="37" t="s">
        <v>49</v>
      </c>
      <c r="G1395" s="19" t="s">
        <v>50</v>
      </c>
      <c r="H1395" s="19"/>
      <c r="I1395" s="21" t="s">
        <v>29</v>
      </c>
      <c r="J1395" s="21" t="s">
        <v>29</v>
      </c>
      <c r="K1395" s="22" t="s">
        <v>4989</v>
      </c>
      <c r="L1395" s="56">
        <v>45083</v>
      </c>
      <c r="O1395" s="42"/>
      <c r="P1395" s="40"/>
      <c r="Q1395" s="61"/>
      <c r="R1395" s="61"/>
      <c r="S1395" s="40"/>
      <c r="T1395" s="38"/>
      <c r="U1395" s="38"/>
      <c r="V1395" s="38"/>
      <c r="W1395" s="60"/>
      <c r="AB1395" s="42"/>
      <c r="AC1395" s="35"/>
      <c r="AD1395" s="38"/>
      <c r="AE1395" s="38"/>
      <c r="AF1395" s="38"/>
      <c r="AG1395" s="38"/>
      <c r="AH1395" s="60"/>
    </row>
    <row r="1396" spans="1:34" ht="15.75" customHeight="1">
      <c r="A1396" s="75"/>
      <c r="B1396" s="18" t="s">
        <v>4990</v>
      </c>
      <c r="C1396" s="19" t="s">
        <v>87</v>
      </c>
      <c r="D1396" s="20" t="s">
        <v>4991</v>
      </c>
      <c r="E1396" s="20" t="s">
        <v>4992</v>
      </c>
      <c r="F1396" s="19" t="s">
        <v>90</v>
      </c>
      <c r="G1396" s="19" t="s">
        <v>91</v>
      </c>
      <c r="H1396" s="19"/>
      <c r="I1396" s="21" t="s">
        <v>29</v>
      </c>
      <c r="J1396" s="21" t="s">
        <v>29</v>
      </c>
      <c r="K1396" s="22" t="s">
        <v>4993</v>
      </c>
      <c r="L1396" s="56">
        <v>45083</v>
      </c>
      <c r="O1396" s="42"/>
      <c r="P1396" s="40"/>
      <c r="Q1396" s="61"/>
      <c r="R1396" s="61"/>
      <c r="S1396" s="40"/>
      <c r="T1396" s="38"/>
      <c r="U1396" s="38"/>
      <c r="V1396" s="38"/>
      <c r="W1396" s="60"/>
      <c r="AB1396" s="42"/>
      <c r="AC1396" s="35"/>
      <c r="AD1396" s="38"/>
      <c r="AE1396" s="38"/>
      <c r="AF1396" s="38"/>
      <c r="AG1396" s="38"/>
      <c r="AH1396" s="60"/>
    </row>
    <row r="1397" spans="1:34" ht="15.75" customHeight="1">
      <c r="A1397" s="75"/>
      <c r="B1397" s="18" t="s">
        <v>4994</v>
      </c>
      <c r="C1397" s="19" t="s">
        <v>24</v>
      </c>
      <c r="D1397" s="20" t="s">
        <v>4995</v>
      </c>
      <c r="E1397" s="20" t="s">
        <v>4996</v>
      </c>
      <c r="F1397" s="19" t="s">
        <v>27</v>
      </c>
      <c r="G1397" s="19" t="s">
        <v>28</v>
      </c>
      <c r="H1397" s="19" t="s">
        <v>36</v>
      </c>
      <c r="I1397" s="21" t="s">
        <v>29</v>
      </c>
      <c r="J1397" s="21" t="s">
        <v>29</v>
      </c>
      <c r="K1397" s="22" t="s">
        <v>4997</v>
      </c>
      <c r="L1397" s="56">
        <v>45083</v>
      </c>
      <c r="O1397" s="42"/>
      <c r="P1397" s="40"/>
      <c r="Q1397" s="61"/>
      <c r="R1397" s="61"/>
      <c r="S1397" s="40"/>
      <c r="T1397" s="38"/>
      <c r="U1397" s="38"/>
      <c r="V1397" s="38"/>
      <c r="W1397" s="60"/>
      <c r="AB1397" s="42"/>
      <c r="AC1397" s="35"/>
      <c r="AD1397" s="38"/>
      <c r="AE1397" s="38"/>
      <c r="AF1397" s="38"/>
      <c r="AG1397" s="38"/>
      <c r="AH1397" s="60"/>
    </row>
    <row r="1398" spans="1:34" ht="15.75" customHeight="1">
      <c r="A1398" s="75"/>
      <c r="B1398" s="18" t="s">
        <v>4998</v>
      </c>
      <c r="C1398" s="19" t="s">
        <v>87</v>
      </c>
      <c r="D1398" s="20" t="s">
        <v>4999</v>
      </c>
      <c r="E1398" s="20" t="s">
        <v>5000</v>
      </c>
      <c r="F1398" s="19" t="s">
        <v>90</v>
      </c>
      <c r="G1398" s="19" t="s">
        <v>91</v>
      </c>
      <c r="H1398" s="19"/>
      <c r="I1398" s="21" t="s">
        <v>29</v>
      </c>
      <c r="J1398" s="21" t="s">
        <v>29</v>
      </c>
      <c r="K1398" s="22" t="s">
        <v>5001</v>
      </c>
      <c r="L1398" s="56">
        <v>45083</v>
      </c>
      <c r="O1398" s="42"/>
      <c r="P1398" s="40"/>
      <c r="Q1398" s="61"/>
      <c r="R1398" s="61"/>
      <c r="S1398" s="40"/>
      <c r="T1398" s="38"/>
      <c r="U1398" s="38"/>
      <c r="V1398" s="38"/>
      <c r="W1398" s="60"/>
      <c r="AB1398" s="42"/>
      <c r="AC1398" s="35"/>
      <c r="AD1398" s="38"/>
      <c r="AE1398" s="38"/>
      <c r="AF1398" s="38"/>
      <c r="AG1398" s="38"/>
      <c r="AH1398" s="60"/>
    </row>
    <row r="1399" spans="1:34" ht="15.75" customHeight="1">
      <c r="A1399" s="75"/>
      <c r="B1399" s="18" t="s">
        <v>5002</v>
      </c>
      <c r="C1399" s="19" t="s">
        <v>24</v>
      </c>
      <c r="D1399" s="20" t="s">
        <v>5003</v>
      </c>
      <c r="E1399" s="20" t="s">
        <v>5004</v>
      </c>
      <c r="F1399" s="19" t="s">
        <v>27</v>
      </c>
      <c r="G1399" s="19" t="s">
        <v>28</v>
      </c>
      <c r="H1399" s="19" t="s">
        <v>36</v>
      </c>
      <c r="I1399" s="21" t="s">
        <v>29</v>
      </c>
      <c r="J1399" s="21" t="s">
        <v>29</v>
      </c>
      <c r="K1399" s="22" t="s">
        <v>5005</v>
      </c>
      <c r="L1399" s="56">
        <v>45083</v>
      </c>
      <c r="O1399" s="42"/>
      <c r="P1399" s="40"/>
      <c r="Q1399" s="61"/>
      <c r="R1399" s="61"/>
      <c r="S1399" s="40"/>
      <c r="T1399" s="38"/>
      <c r="U1399" s="38"/>
      <c r="V1399" s="38"/>
      <c r="W1399" s="60"/>
      <c r="AB1399" s="42"/>
      <c r="AC1399" s="35"/>
      <c r="AD1399" s="38"/>
      <c r="AE1399" s="38"/>
      <c r="AF1399" s="38"/>
      <c r="AG1399" s="38"/>
      <c r="AH1399" s="60"/>
    </row>
    <row r="1400" spans="1:34" ht="15.75" customHeight="1">
      <c r="A1400" s="75"/>
      <c r="B1400" s="18" t="s">
        <v>5006</v>
      </c>
      <c r="C1400" s="19" t="s">
        <v>24</v>
      </c>
      <c r="D1400" s="20" t="s">
        <v>5007</v>
      </c>
      <c r="E1400" s="20" t="s">
        <v>5008</v>
      </c>
      <c r="F1400" s="19" t="s">
        <v>27</v>
      </c>
      <c r="G1400" s="19" t="s">
        <v>28</v>
      </c>
      <c r="H1400" s="19"/>
      <c r="I1400" s="21" t="s">
        <v>29</v>
      </c>
      <c r="J1400" s="21" t="s">
        <v>29</v>
      </c>
      <c r="K1400" s="22" t="s">
        <v>5009</v>
      </c>
      <c r="L1400" s="56">
        <v>45083</v>
      </c>
      <c r="O1400" s="42"/>
      <c r="P1400" s="40"/>
      <c r="Q1400" s="61"/>
      <c r="R1400" s="61"/>
      <c r="S1400" s="40"/>
      <c r="T1400" s="38"/>
      <c r="U1400" s="38"/>
      <c r="V1400" s="38"/>
      <c r="W1400" s="60"/>
      <c r="AB1400" s="42"/>
      <c r="AC1400" s="35"/>
      <c r="AD1400" s="38"/>
      <c r="AE1400" s="38"/>
      <c r="AF1400" s="38"/>
      <c r="AG1400" s="38"/>
      <c r="AH1400" s="60"/>
    </row>
    <row r="1401" spans="1:34" ht="15.75" customHeight="1">
      <c r="A1401" s="75"/>
      <c r="B1401" s="18" t="s">
        <v>5010</v>
      </c>
      <c r="C1401" s="19" t="s">
        <v>46</v>
      </c>
      <c r="D1401" s="20" t="s">
        <v>5011</v>
      </c>
      <c r="E1401" s="20" t="s">
        <v>5012</v>
      </c>
      <c r="F1401" s="37" t="s">
        <v>49</v>
      </c>
      <c r="G1401" s="19" t="s">
        <v>50</v>
      </c>
      <c r="H1401" s="19"/>
      <c r="I1401" s="21" t="s">
        <v>29</v>
      </c>
      <c r="J1401" s="21" t="s">
        <v>29</v>
      </c>
      <c r="K1401" s="22" t="s">
        <v>5013</v>
      </c>
      <c r="L1401" s="56">
        <v>45083</v>
      </c>
      <c r="O1401" s="42"/>
      <c r="P1401" s="40"/>
      <c r="Q1401" s="61"/>
      <c r="R1401" s="61"/>
      <c r="S1401" s="40"/>
      <c r="T1401" s="38"/>
      <c r="U1401" s="38"/>
      <c r="V1401" s="38"/>
      <c r="W1401" s="60"/>
      <c r="AB1401" s="42"/>
      <c r="AC1401" s="35"/>
      <c r="AD1401" s="38"/>
      <c r="AE1401" s="38"/>
      <c r="AF1401" s="38"/>
      <c r="AG1401" s="38"/>
      <c r="AH1401" s="60"/>
    </row>
    <row r="1402" spans="1:34" ht="15.75" customHeight="1">
      <c r="A1402" s="75"/>
      <c r="B1402" s="18" t="s">
        <v>5014</v>
      </c>
      <c r="C1402" s="19" t="s">
        <v>87</v>
      </c>
      <c r="D1402" s="20" t="s">
        <v>5015</v>
      </c>
      <c r="E1402" s="20" t="s">
        <v>5016</v>
      </c>
      <c r="F1402" s="19" t="s">
        <v>90</v>
      </c>
      <c r="G1402" s="19" t="s">
        <v>91</v>
      </c>
      <c r="H1402" s="19"/>
      <c r="I1402" s="21" t="s">
        <v>29</v>
      </c>
      <c r="J1402" s="21" t="s">
        <v>29</v>
      </c>
      <c r="K1402" s="22" t="s">
        <v>5017</v>
      </c>
      <c r="L1402" s="56">
        <v>45083</v>
      </c>
      <c r="O1402" s="42"/>
      <c r="P1402" s="40"/>
      <c r="Q1402" s="61"/>
      <c r="R1402" s="61"/>
      <c r="S1402" s="40"/>
      <c r="T1402" s="38"/>
      <c r="U1402" s="38"/>
      <c r="V1402" s="38"/>
      <c r="W1402" s="60"/>
      <c r="AB1402" s="42"/>
      <c r="AC1402" s="35"/>
      <c r="AD1402" s="38"/>
      <c r="AE1402" s="38"/>
      <c r="AF1402" s="38"/>
      <c r="AG1402" s="38"/>
      <c r="AH1402" s="60"/>
    </row>
    <row r="1403" spans="1:34" ht="15.75" customHeight="1">
      <c r="A1403" s="75"/>
      <c r="B1403" s="18" t="s">
        <v>5018</v>
      </c>
      <c r="C1403" s="19" t="s">
        <v>24</v>
      </c>
      <c r="D1403" s="20" t="s">
        <v>5019</v>
      </c>
      <c r="E1403" s="20" t="s">
        <v>5020</v>
      </c>
      <c r="F1403" s="19" t="s">
        <v>27</v>
      </c>
      <c r="G1403" s="19" t="s">
        <v>28</v>
      </c>
      <c r="H1403" s="19" t="s">
        <v>36</v>
      </c>
      <c r="I1403" s="21" t="s">
        <v>29</v>
      </c>
      <c r="J1403" s="21" t="s">
        <v>29</v>
      </c>
      <c r="K1403" s="22" t="s">
        <v>5021</v>
      </c>
      <c r="L1403" s="56">
        <v>45083</v>
      </c>
      <c r="O1403" s="42"/>
      <c r="P1403" s="40"/>
      <c r="Q1403" s="61"/>
      <c r="R1403" s="61"/>
      <c r="S1403" s="40"/>
      <c r="T1403" s="38"/>
      <c r="U1403" s="38"/>
      <c r="V1403" s="38"/>
      <c r="W1403" s="60"/>
      <c r="AB1403" s="42"/>
      <c r="AC1403" s="35"/>
      <c r="AD1403" s="38"/>
      <c r="AE1403" s="38"/>
      <c r="AF1403" s="38"/>
      <c r="AG1403" s="38"/>
      <c r="AH1403" s="60"/>
    </row>
    <row r="1404" spans="1:34" ht="15.75" customHeight="1">
      <c r="A1404" s="75"/>
      <c r="B1404" s="18" t="s">
        <v>5022</v>
      </c>
      <c r="C1404" s="19" t="s">
        <v>87</v>
      </c>
      <c r="D1404" s="20" t="s">
        <v>5023</v>
      </c>
      <c r="E1404" s="20" t="s">
        <v>5024</v>
      </c>
      <c r="F1404" s="19" t="s">
        <v>90</v>
      </c>
      <c r="G1404" s="19" t="s">
        <v>91</v>
      </c>
      <c r="H1404" s="19"/>
      <c r="I1404" s="21" t="s">
        <v>29</v>
      </c>
      <c r="J1404" s="21" t="s">
        <v>29</v>
      </c>
      <c r="K1404" s="22" t="s">
        <v>5025</v>
      </c>
      <c r="L1404" s="56">
        <v>45083</v>
      </c>
      <c r="O1404" s="42"/>
      <c r="P1404" s="40"/>
      <c r="Q1404" s="61"/>
      <c r="R1404" s="61"/>
      <c r="S1404" s="40"/>
      <c r="T1404" s="38"/>
      <c r="U1404" s="38"/>
      <c r="V1404" s="38"/>
      <c r="W1404" s="60"/>
      <c r="AB1404" s="42"/>
      <c r="AC1404" s="35"/>
      <c r="AD1404" s="38"/>
      <c r="AE1404" s="38"/>
      <c r="AF1404" s="38"/>
      <c r="AG1404" s="38"/>
      <c r="AH1404" s="60"/>
    </row>
    <row r="1405" spans="1:34" ht="15.75" customHeight="1">
      <c r="A1405" s="75"/>
      <c r="B1405" s="18" t="s">
        <v>5026</v>
      </c>
      <c r="C1405" s="19" t="s">
        <v>87</v>
      </c>
      <c r="D1405" s="20" t="s">
        <v>5027</v>
      </c>
      <c r="E1405" s="20"/>
      <c r="F1405" s="19" t="s">
        <v>90</v>
      </c>
      <c r="G1405" s="19" t="s">
        <v>91</v>
      </c>
      <c r="H1405" s="19"/>
      <c r="I1405" s="21" t="s">
        <v>29</v>
      </c>
      <c r="J1405" s="21" t="s">
        <v>29</v>
      </c>
      <c r="K1405" s="22"/>
      <c r="L1405" s="56">
        <v>45083</v>
      </c>
      <c r="O1405" s="42"/>
      <c r="P1405" s="40"/>
      <c r="Q1405" s="61"/>
      <c r="R1405" s="61"/>
      <c r="S1405" s="40"/>
      <c r="T1405" s="38"/>
      <c r="U1405" s="38"/>
      <c r="V1405" s="38"/>
      <c r="W1405" s="60"/>
      <c r="AB1405" s="42"/>
      <c r="AC1405" s="35"/>
      <c r="AD1405" s="38"/>
      <c r="AE1405" s="38"/>
      <c r="AF1405" s="38"/>
      <c r="AG1405" s="38"/>
      <c r="AH1405" s="60"/>
    </row>
    <row r="1406" spans="1:34" ht="15.75" customHeight="1">
      <c r="A1406" s="75"/>
      <c r="B1406" s="18" t="s">
        <v>5028</v>
      </c>
      <c r="C1406" s="19" t="s">
        <v>87</v>
      </c>
      <c r="D1406" s="20" t="s">
        <v>5029</v>
      </c>
      <c r="E1406" s="20" t="s">
        <v>5030</v>
      </c>
      <c r="F1406" s="19" t="s">
        <v>90</v>
      </c>
      <c r="G1406" s="19" t="s">
        <v>91</v>
      </c>
      <c r="H1406" s="19"/>
      <c r="I1406" s="21" t="s">
        <v>29</v>
      </c>
      <c r="J1406" s="21" t="s">
        <v>29</v>
      </c>
      <c r="K1406" s="22" t="s">
        <v>5031</v>
      </c>
      <c r="L1406" s="56">
        <v>45083</v>
      </c>
      <c r="O1406" s="42"/>
      <c r="P1406" s="40"/>
      <c r="Q1406" s="61"/>
      <c r="R1406" s="61"/>
      <c r="S1406" s="40"/>
      <c r="T1406" s="38"/>
      <c r="U1406" s="38"/>
      <c r="V1406" s="38"/>
      <c r="W1406" s="60"/>
      <c r="AB1406" s="42"/>
      <c r="AC1406" s="35"/>
      <c r="AD1406" s="38"/>
      <c r="AE1406" s="38"/>
      <c r="AF1406" s="38"/>
      <c r="AG1406" s="38"/>
      <c r="AH1406" s="60"/>
    </row>
    <row r="1407" spans="1:34" ht="15.75" customHeight="1">
      <c r="A1407" s="75"/>
      <c r="B1407" s="18" t="s">
        <v>5032</v>
      </c>
      <c r="C1407" s="19" t="s">
        <v>24</v>
      </c>
      <c r="D1407" s="20" t="s">
        <v>5033</v>
      </c>
      <c r="E1407" s="20" t="s">
        <v>5034</v>
      </c>
      <c r="F1407" s="19" t="s">
        <v>27</v>
      </c>
      <c r="G1407" s="19" t="s">
        <v>28</v>
      </c>
      <c r="H1407" s="19" t="s">
        <v>36</v>
      </c>
      <c r="I1407" s="21" t="s">
        <v>29</v>
      </c>
      <c r="J1407" s="21" t="s">
        <v>29</v>
      </c>
      <c r="K1407" s="22" t="s">
        <v>5035</v>
      </c>
      <c r="L1407" s="56">
        <v>45083</v>
      </c>
      <c r="O1407" s="42"/>
      <c r="P1407" s="40"/>
      <c r="Q1407" s="61"/>
      <c r="R1407" s="61"/>
      <c r="S1407" s="40"/>
      <c r="T1407" s="38"/>
      <c r="U1407" s="38"/>
      <c r="V1407" s="38"/>
      <c r="W1407" s="60"/>
      <c r="AB1407" s="42"/>
      <c r="AC1407" s="35"/>
      <c r="AD1407" s="38"/>
      <c r="AE1407" s="38"/>
      <c r="AF1407" s="38"/>
      <c r="AG1407" s="38"/>
      <c r="AH1407" s="60"/>
    </row>
    <row r="1408" spans="1:34" ht="15.75" customHeight="1">
      <c r="A1408" s="75"/>
      <c r="B1408" s="18" t="s">
        <v>5036</v>
      </c>
      <c r="C1408" s="19" t="s">
        <v>24</v>
      </c>
      <c r="D1408" s="20" t="s">
        <v>5037</v>
      </c>
      <c r="E1408" s="20" t="s">
        <v>5038</v>
      </c>
      <c r="F1408" s="19" t="s">
        <v>27</v>
      </c>
      <c r="G1408" s="19" t="s">
        <v>28</v>
      </c>
      <c r="H1408" s="19"/>
      <c r="I1408" s="21" t="s">
        <v>29</v>
      </c>
      <c r="J1408" s="21" t="s">
        <v>29</v>
      </c>
      <c r="K1408" s="22" t="s">
        <v>5039</v>
      </c>
      <c r="L1408" s="56">
        <v>45083</v>
      </c>
      <c r="O1408" s="42"/>
      <c r="P1408" s="40"/>
      <c r="Q1408" s="61"/>
      <c r="R1408" s="61"/>
      <c r="S1408" s="40"/>
      <c r="T1408" s="38"/>
      <c r="U1408" s="38"/>
      <c r="V1408" s="38"/>
      <c r="W1408" s="60"/>
      <c r="AB1408" s="42"/>
      <c r="AC1408" s="35"/>
      <c r="AD1408" s="38"/>
      <c r="AE1408" s="38"/>
      <c r="AF1408" s="38"/>
      <c r="AG1408" s="38"/>
      <c r="AH1408" s="60"/>
    </row>
    <row r="1409" spans="1:34" ht="15.75" customHeight="1">
      <c r="A1409" s="75"/>
      <c r="B1409" s="18" t="s">
        <v>5040</v>
      </c>
      <c r="C1409" s="19" t="s">
        <v>412</v>
      </c>
      <c r="D1409" s="20" t="s">
        <v>5041</v>
      </c>
      <c r="E1409" s="20"/>
      <c r="F1409" s="19" t="s">
        <v>414</v>
      </c>
      <c r="G1409" s="37" t="s">
        <v>415</v>
      </c>
      <c r="H1409" s="19"/>
      <c r="I1409" s="21" t="s">
        <v>233</v>
      </c>
      <c r="J1409" s="21" t="s">
        <v>233</v>
      </c>
      <c r="K1409" s="22"/>
      <c r="L1409" s="56">
        <v>45083</v>
      </c>
      <c r="O1409" s="42"/>
      <c r="P1409" s="40"/>
      <c r="Q1409" s="61"/>
      <c r="R1409" s="61"/>
      <c r="S1409" s="40"/>
      <c r="T1409" s="38"/>
      <c r="U1409" s="38"/>
      <c r="V1409" s="38"/>
      <c r="W1409" s="60"/>
      <c r="AB1409" s="42"/>
      <c r="AC1409" s="35"/>
      <c r="AD1409" s="38"/>
      <c r="AE1409" s="38"/>
      <c r="AF1409" s="38"/>
      <c r="AG1409" s="38"/>
      <c r="AH1409" s="60"/>
    </row>
    <row r="1410" spans="1:34" ht="15.75" customHeight="1">
      <c r="A1410" s="75"/>
      <c r="B1410" s="18" t="s">
        <v>5042</v>
      </c>
      <c r="C1410" s="19" t="s">
        <v>412</v>
      </c>
      <c r="D1410" s="20" t="s">
        <v>5043</v>
      </c>
      <c r="E1410" s="20"/>
      <c r="F1410" s="19" t="s">
        <v>414</v>
      </c>
      <c r="G1410" s="19" t="s">
        <v>415</v>
      </c>
      <c r="H1410" s="19"/>
      <c r="I1410" s="21" t="s">
        <v>233</v>
      </c>
      <c r="J1410" s="21" t="s">
        <v>233</v>
      </c>
      <c r="K1410" s="22"/>
      <c r="L1410" s="56">
        <v>45083</v>
      </c>
      <c r="O1410" s="42"/>
      <c r="P1410" s="40"/>
      <c r="Q1410" s="61"/>
      <c r="R1410" s="61"/>
      <c r="S1410" s="40"/>
      <c r="T1410" s="38"/>
      <c r="U1410" s="38"/>
      <c r="V1410" s="38"/>
      <c r="W1410" s="60"/>
      <c r="AB1410" s="42"/>
      <c r="AC1410" s="35"/>
      <c r="AD1410" s="38"/>
      <c r="AE1410" s="38"/>
      <c r="AF1410" s="38"/>
      <c r="AG1410" s="38"/>
      <c r="AH1410" s="60"/>
    </row>
    <row r="1411" spans="1:34" ht="15.75" customHeight="1">
      <c r="A1411" s="75"/>
      <c r="B1411" s="38"/>
      <c r="C1411" s="19"/>
      <c r="D1411" s="20"/>
      <c r="E1411" s="20"/>
      <c r="F1411" s="19"/>
      <c r="G1411" s="19"/>
      <c r="H1411" s="37"/>
      <c r="I1411" s="21"/>
      <c r="J1411" s="21"/>
      <c r="K1411" s="22"/>
      <c r="L1411" s="39"/>
      <c r="O1411" s="42"/>
      <c r="P1411" s="40"/>
      <c r="Q1411" s="61"/>
      <c r="R1411" s="61"/>
      <c r="S1411" s="40"/>
      <c r="T1411" s="38"/>
      <c r="U1411" s="38"/>
      <c r="V1411" s="38"/>
      <c r="W1411" s="60"/>
      <c r="AB1411" s="42"/>
      <c r="AC1411" s="35"/>
      <c r="AD1411" s="38"/>
      <c r="AE1411" s="38"/>
      <c r="AF1411" s="38"/>
      <c r="AG1411" s="38"/>
      <c r="AH1411" s="60"/>
    </row>
    <row r="1412" spans="1:34" ht="15.75" customHeight="1">
      <c r="A1412" s="35" t="s">
        <v>5044</v>
      </c>
      <c r="B1412" s="18" t="s">
        <v>5045</v>
      </c>
      <c r="C1412" s="19" t="s">
        <v>24</v>
      </c>
      <c r="D1412" s="20" t="s">
        <v>5046</v>
      </c>
      <c r="E1412" s="20" t="s">
        <v>5047</v>
      </c>
      <c r="F1412" s="19" t="s">
        <v>27</v>
      </c>
      <c r="G1412" s="19" t="s">
        <v>28</v>
      </c>
      <c r="H1412" s="19"/>
      <c r="I1412" s="21" t="s">
        <v>29</v>
      </c>
      <c r="J1412" s="21" t="s">
        <v>29</v>
      </c>
      <c r="K1412" s="22" t="s">
        <v>5048</v>
      </c>
      <c r="L1412" s="56">
        <v>45083</v>
      </c>
      <c r="M1412" s="40"/>
      <c r="N1412" s="40"/>
      <c r="O1412" s="42"/>
      <c r="P1412" s="40"/>
      <c r="Q1412" s="61"/>
      <c r="R1412" s="61"/>
      <c r="S1412" s="40"/>
      <c r="T1412" s="38"/>
      <c r="U1412" s="38"/>
      <c r="V1412" s="38"/>
      <c r="W1412" s="60"/>
      <c r="AB1412" s="42"/>
      <c r="AC1412" s="35"/>
      <c r="AD1412" s="38"/>
      <c r="AE1412" s="38"/>
      <c r="AF1412" s="38"/>
      <c r="AG1412" s="38"/>
      <c r="AH1412" s="60"/>
    </row>
    <row r="1413" spans="1:34" ht="15.75" customHeight="1">
      <c r="A1413" s="54" t="s">
        <v>5049</v>
      </c>
      <c r="B1413" s="29" t="s">
        <v>5050</v>
      </c>
      <c r="C1413" s="19" t="s">
        <v>24</v>
      </c>
      <c r="D1413" s="20" t="s">
        <v>5051</v>
      </c>
      <c r="E1413" s="20" t="s">
        <v>5052</v>
      </c>
      <c r="F1413" s="19" t="s">
        <v>27</v>
      </c>
      <c r="G1413" s="19" t="s">
        <v>28</v>
      </c>
      <c r="H1413" s="37"/>
      <c r="I1413" s="21" t="s">
        <v>29</v>
      </c>
      <c r="J1413" s="21" t="s">
        <v>29</v>
      </c>
      <c r="K1413" s="22" t="s">
        <v>5048</v>
      </c>
      <c r="L1413" s="56">
        <v>45083</v>
      </c>
      <c r="O1413" s="42"/>
      <c r="P1413" s="40"/>
      <c r="Q1413" s="61"/>
      <c r="R1413" s="61"/>
      <c r="S1413" s="40"/>
      <c r="T1413" s="38"/>
      <c r="U1413" s="38"/>
      <c r="V1413" s="38"/>
      <c r="W1413" s="60"/>
      <c r="AB1413" s="42"/>
      <c r="AC1413" s="35"/>
      <c r="AD1413" s="38"/>
      <c r="AE1413" s="38"/>
      <c r="AF1413" s="38"/>
      <c r="AG1413" s="38"/>
      <c r="AH1413" s="60"/>
    </row>
    <row r="1414" spans="1:34" ht="15.75" customHeight="1">
      <c r="A1414" s="50" t="s">
        <v>39</v>
      </c>
      <c r="B1414" s="18" t="s">
        <v>5053</v>
      </c>
      <c r="C1414" s="19" t="s">
        <v>24</v>
      </c>
      <c r="D1414" s="20" t="s">
        <v>5054</v>
      </c>
      <c r="E1414" s="20" t="s">
        <v>5055</v>
      </c>
      <c r="F1414" s="19" t="s">
        <v>27</v>
      </c>
      <c r="G1414" s="19" t="s">
        <v>28</v>
      </c>
      <c r="H1414" s="19"/>
      <c r="I1414" s="21" t="s">
        <v>29</v>
      </c>
      <c r="J1414" s="21" t="s">
        <v>29</v>
      </c>
      <c r="K1414" s="22" t="s">
        <v>5048</v>
      </c>
      <c r="L1414" s="56">
        <v>45083</v>
      </c>
      <c r="O1414" s="42"/>
      <c r="P1414" s="40"/>
      <c r="Q1414" s="61"/>
      <c r="R1414" s="61"/>
      <c r="S1414" s="40"/>
      <c r="T1414" s="38"/>
      <c r="U1414" s="38"/>
      <c r="V1414" s="38"/>
      <c r="W1414" s="60"/>
      <c r="AB1414" s="42"/>
      <c r="AC1414" s="35"/>
      <c r="AD1414" s="38"/>
      <c r="AE1414" s="38"/>
      <c r="AF1414" s="38"/>
      <c r="AG1414" s="38"/>
      <c r="AH1414" s="60"/>
    </row>
    <row r="1415" spans="1:34" ht="15.75" customHeight="1">
      <c r="A1415" s="35" t="s">
        <v>5056</v>
      </c>
      <c r="B1415" s="18" t="s">
        <v>5057</v>
      </c>
      <c r="C1415" s="19" t="s">
        <v>24</v>
      </c>
      <c r="D1415" s="20" t="s">
        <v>5058</v>
      </c>
      <c r="E1415" s="20" t="s">
        <v>5059</v>
      </c>
      <c r="F1415" s="19" t="s">
        <v>27</v>
      </c>
      <c r="G1415" s="19" t="s">
        <v>28</v>
      </c>
      <c r="H1415" s="19"/>
      <c r="I1415" s="21" t="s">
        <v>29</v>
      </c>
      <c r="J1415" s="21" t="s">
        <v>29</v>
      </c>
      <c r="K1415" s="22" t="s">
        <v>5048</v>
      </c>
      <c r="L1415" s="56">
        <v>45083</v>
      </c>
      <c r="O1415" s="42"/>
      <c r="P1415" s="40"/>
      <c r="Q1415" s="61"/>
      <c r="R1415" s="61"/>
      <c r="S1415" s="40"/>
      <c r="T1415" s="38"/>
      <c r="U1415" s="38"/>
      <c r="V1415" s="38"/>
      <c r="W1415" s="60"/>
      <c r="AB1415" s="42"/>
      <c r="AC1415" s="35"/>
      <c r="AD1415" s="38"/>
      <c r="AE1415" s="38"/>
      <c r="AF1415" s="38"/>
      <c r="AG1415" s="38"/>
      <c r="AH1415" s="60"/>
    </row>
    <row r="1416" spans="1:34" ht="15.75" customHeight="1">
      <c r="A1416" s="35" t="s">
        <v>2638</v>
      </c>
      <c r="B1416" s="18" t="s">
        <v>5060</v>
      </c>
      <c r="C1416" s="19" t="s">
        <v>24</v>
      </c>
      <c r="D1416" s="20" t="s">
        <v>5061</v>
      </c>
      <c r="E1416" s="20" t="s">
        <v>5062</v>
      </c>
      <c r="F1416" s="19" t="s">
        <v>27</v>
      </c>
      <c r="G1416" s="19" t="s">
        <v>28</v>
      </c>
      <c r="H1416" s="19"/>
      <c r="I1416" s="21" t="s">
        <v>29</v>
      </c>
      <c r="J1416" s="21" t="s">
        <v>29</v>
      </c>
      <c r="K1416" s="22" t="s">
        <v>5048</v>
      </c>
      <c r="L1416" s="56">
        <v>45083</v>
      </c>
      <c r="O1416" s="42"/>
      <c r="P1416" s="40"/>
      <c r="Q1416" s="61"/>
      <c r="R1416" s="61"/>
      <c r="S1416" s="40"/>
      <c r="T1416" s="38"/>
      <c r="U1416" s="38"/>
      <c r="V1416" s="38"/>
      <c r="W1416" s="60"/>
      <c r="AB1416" s="42"/>
      <c r="AC1416" s="35"/>
      <c r="AD1416" s="38"/>
      <c r="AE1416" s="38"/>
      <c r="AF1416" s="38"/>
      <c r="AG1416" s="38"/>
      <c r="AH1416" s="60"/>
    </row>
    <row r="1417" spans="1:34" ht="15.75" customHeight="1">
      <c r="A1417" s="31" t="s">
        <v>56</v>
      </c>
      <c r="B1417" s="36" t="s">
        <v>5063</v>
      </c>
      <c r="C1417" s="19" t="s">
        <v>121</v>
      </c>
      <c r="D1417" s="20" t="s">
        <v>5064</v>
      </c>
      <c r="E1417" s="20" t="s">
        <v>5065</v>
      </c>
      <c r="F1417" s="19" t="s">
        <v>27</v>
      </c>
      <c r="G1417" s="19" t="s">
        <v>359</v>
      </c>
      <c r="H1417" s="19"/>
      <c r="I1417" s="21" t="s">
        <v>29</v>
      </c>
      <c r="J1417" s="21" t="s">
        <v>29</v>
      </c>
      <c r="K1417" s="22" t="s">
        <v>5048</v>
      </c>
      <c r="L1417" s="56">
        <v>45083</v>
      </c>
      <c r="O1417" s="42"/>
      <c r="P1417" s="40"/>
      <c r="Q1417" s="61"/>
      <c r="R1417" s="61"/>
      <c r="S1417" s="40"/>
      <c r="T1417" s="38"/>
      <c r="U1417" s="38"/>
      <c r="V1417" s="38"/>
      <c r="W1417" s="60"/>
      <c r="AB1417" s="42"/>
      <c r="AC1417" s="35"/>
      <c r="AD1417" s="38"/>
      <c r="AE1417" s="38"/>
      <c r="AF1417" s="38"/>
      <c r="AG1417" s="38"/>
      <c r="AH1417" s="60"/>
    </row>
    <row r="1418" spans="1:34" ht="15.75" customHeight="1">
      <c r="A1418" s="17">
        <v>74</v>
      </c>
      <c r="B1418" s="36" t="s">
        <v>5066</v>
      </c>
      <c r="C1418" s="19" t="s">
        <v>121</v>
      </c>
      <c r="D1418" s="20" t="s">
        <v>5067</v>
      </c>
      <c r="E1418" s="20" t="s">
        <v>5068</v>
      </c>
      <c r="F1418" s="19" t="s">
        <v>27</v>
      </c>
      <c r="G1418" s="19" t="s">
        <v>359</v>
      </c>
      <c r="H1418" s="19"/>
      <c r="I1418" s="21" t="s">
        <v>29</v>
      </c>
      <c r="J1418" s="21" t="s">
        <v>29</v>
      </c>
      <c r="K1418" s="22" t="s">
        <v>5048</v>
      </c>
      <c r="L1418" s="56">
        <v>45083</v>
      </c>
      <c r="O1418" s="42"/>
      <c r="P1418" s="40"/>
      <c r="Q1418" s="61"/>
      <c r="R1418" s="61"/>
      <c r="S1418" s="40"/>
      <c r="T1418" s="38"/>
      <c r="U1418" s="38"/>
      <c r="V1418" s="38"/>
      <c r="W1418" s="60"/>
      <c r="AB1418" s="42"/>
      <c r="AC1418" s="35"/>
      <c r="AD1418" s="38"/>
      <c r="AE1418" s="38"/>
      <c r="AF1418" s="38"/>
      <c r="AG1418" s="38"/>
      <c r="AH1418" s="60"/>
    </row>
    <row r="1419" spans="1:34" ht="15.75" customHeight="1">
      <c r="A1419" s="31" t="s">
        <v>64</v>
      </c>
      <c r="B1419" s="18" t="s">
        <v>5069</v>
      </c>
      <c r="C1419" s="19" t="s">
        <v>24</v>
      </c>
      <c r="D1419" s="20"/>
      <c r="E1419" s="20" t="s">
        <v>5070</v>
      </c>
      <c r="F1419" s="19" t="s">
        <v>27</v>
      </c>
      <c r="G1419" s="19" t="s">
        <v>28</v>
      </c>
      <c r="H1419" s="19"/>
      <c r="I1419" s="21" t="s">
        <v>29</v>
      </c>
      <c r="J1419" s="21" t="s">
        <v>29</v>
      </c>
      <c r="K1419" s="22" t="s">
        <v>5048</v>
      </c>
      <c r="L1419" s="56">
        <v>45083</v>
      </c>
      <c r="O1419" s="42"/>
      <c r="P1419" s="40"/>
      <c r="Q1419" s="61"/>
      <c r="R1419" s="61"/>
      <c r="S1419" s="40"/>
      <c r="T1419" s="38"/>
      <c r="U1419" s="38"/>
      <c r="V1419" s="38"/>
      <c r="W1419" s="60"/>
      <c r="AB1419" s="42"/>
      <c r="AC1419" s="35"/>
      <c r="AD1419" s="38"/>
      <c r="AE1419" s="38"/>
      <c r="AF1419" s="38"/>
      <c r="AG1419" s="38"/>
      <c r="AH1419" s="60"/>
    </row>
    <row r="1420" spans="1:34" ht="15.75" customHeight="1">
      <c r="A1420" s="17">
        <v>3.6</v>
      </c>
      <c r="B1420" s="18" t="s">
        <v>5071</v>
      </c>
      <c r="C1420" s="19" t="s">
        <v>24</v>
      </c>
      <c r="D1420" s="20" t="s">
        <v>5072</v>
      </c>
      <c r="E1420" s="20" t="s">
        <v>5073</v>
      </c>
      <c r="F1420" s="19" t="s">
        <v>27</v>
      </c>
      <c r="G1420" s="19" t="s">
        <v>28</v>
      </c>
      <c r="H1420" s="19"/>
      <c r="I1420" s="21" t="s">
        <v>29</v>
      </c>
      <c r="J1420" s="21" t="s">
        <v>29</v>
      </c>
      <c r="K1420" s="22" t="s">
        <v>5048</v>
      </c>
      <c r="L1420" s="56">
        <v>45083</v>
      </c>
      <c r="O1420" s="42"/>
      <c r="P1420" s="40"/>
      <c r="Q1420" s="61"/>
      <c r="R1420" s="61"/>
      <c r="S1420" s="40"/>
      <c r="T1420" s="38"/>
      <c r="U1420" s="38"/>
      <c r="V1420" s="38"/>
      <c r="W1420" s="60"/>
      <c r="AB1420" s="42"/>
      <c r="AC1420" s="35"/>
      <c r="AD1420" s="38"/>
      <c r="AE1420" s="38"/>
      <c r="AF1420" s="38"/>
      <c r="AG1420" s="38"/>
      <c r="AH1420" s="60"/>
    </row>
    <row r="1421" spans="1:34" ht="15.75" customHeight="1">
      <c r="A1421" s="31" t="s">
        <v>73</v>
      </c>
      <c r="B1421" s="34" t="s">
        <v>5074</v>
      </c>
      <c r="C1421" s="19" t="s">
        <v>24</v>
      </c>
      <c r="D1421" s="20" t="s">
        <v>5075</v>
      </c>
      <c r="E1421" s="20" t="s">
        <v>5076</v>
      </c>
      <c r="F1421" s="19" t="s">
        <v>90</v>
      </c>
      <c r="G1421" s="19" t="s">
        <v>91</v>
      </c>
      <c r="H1421" s="19"/>
      <c r="I1421" s="21" t="s">
        <v>29</v>
      </c>
      <c r="J1421" s="21" t="s">
        <v>29</v>
      </c>
      <c r="K1421" s="22" t="s">
        <v>5048</v>
      </c>
      <c r="L1421" s="56">
        <v>45083</v>
      </c>
      <c r="O1421" s="42"/>
      <c r="P1421" s="40"/>
      <c r="Q1421" s="61"/>
      <c r="R1421" s="61"/>
      <c r="S1421" s="40"/>
      <c r="T1421" s="38"/>
      <c r="U1421" s="38"/>
      <c r="V1421" s="38"/>
      <c r="W1421" s="60"/>
      <c r="AB1421" s="42"/>
      <c r="AC1421" s="35"/>
      <c r="AD1421" s="38"/>
      <c r="AE1421" s="38"/>
      <c r="AF1421" s="38"/>
      <c r="AG1421" s="38"/>
      <c r="AH1421" s="60"/>
    </row>
    <row r="1422" spans="1:34" ht="15.75" customHeight="1">
      <c r="A1422" s="17">
        <v>4.0999999999999996</v>
      </c>
      <c r="B1422" s="18" t="s">
        <v>5077</v>
      </c>
      <c r="C1422" s="19" t="s">
        <v>24</v>
      </c>
      <c r="D1422" s="20" t="s">
        <v>5078</v>
      </c>
      <c r="E1422" s="20" t="s">
        <v>5079</v>
      </c>
      <c r="F1422" s="19" t="s">
        <v>27</v>
      </c>
      <c r="G1422" s="19" t="s">
        <v>28</v>
      </c>
      <c r="H1422" s="19"/>
      <c r="I1422" s="21" t="s">
        <v>29</v>
      </c>
      <c r="J1422" s="21" t="s">
        <v>29</v>
      </c>
      <c r="K1422" s="22" t="s">
        <v>5048</v>
      </c>
      <c r="L1422" s="56">
        <v>45083</v>
      </c>
      <c r="O1422" s="42"/>
      <c r="P1422" s="40"/>
      <c r="Q1422" s="61"/>
      <c r="R1422" s="61"/>
      <c r="S1422" s="40"/>
      <c r="T1422" s="38"/>
      <c r="U1422" s="38"/>
      <c r="V1422" s="38"/>
      <c r="W1422" s="60"/>
      <c r="AB1422" s="42"/>
      <c r="AC1422" s="35"/>
      <c r="AD1422" s="38"/>
      <c r="AE1422" s="38"/>
      <c r="AF1422" s="38"/>
      <c r="AG1422" s="38"/>
      <c r="AH1422" s="60"/>
    </row>
    <row r="1423" spans="1:34" ht="15.75" customHeight="1">
      <c r="A1423" s="50" t="s">
        <v>82</v>
      </c>
      <c r="B1423" s="18" t="s">
        <v>5080</v>
      </c>
      <c r="C1423" s="19" t="s">
        <v>24</v>
      </c>
      <c r="D1423" s="20" t="s">
        <v>5081</v>
      </c>
      <c r="E1423" s="20" t="s">
        <v>5082</v>
      </c>
      <c r="F1423" s="19" t="s">
        <v>27</v>
      </c>
      <c r="G1423" s="19" t="s">
        <v>28</v>
      </c>
      <c r="H1423" s="19"/>
      <c r="I1423" s="21" t="s">
        <v>29</v>
      </c>
      <c r="J1423" s="21" t="s">
        <v>29</v>
      </c>
      <c r="K1423" s="22" t="s">
        <v>5048</v>
      </c>
      <c r="L1423" s="56">
        <v>45083</v>
      </c>
      <c r="O1423" s="42"/>
      <c r="P1423" s="40"/>
      <c r="Q1423" s="61"/>
      <c r="R1423" s="61"/>
      <c r="S1423" s="40"/>
      <c r="T1423" s="38"/>
      <c r="U1423" s="38"/>
      <c r="V1423" s="38"/>
      <c r="W1423" s="60"/>
      <c r="AB1423" s="42"/>
      <c r="AC1423" s="35"/>
      <c r="AD1423" s="38"/>
      <c r="AE1423" s="38"/>
      <c r="AF1423" s="38"/>
      <c r="AG1423" s="38"/>
      <c r="AH1423" s="60"/>
    </row>
    <row r="1424" spans="1:34" ht="15.75" customHeight="1">
      <c r="A1424" s="35" t="s">
        <v>5083</v>
      </c>
      <c r="B1424" s="18" t="s">
        <v>5084</v>
      </c>
      <c r="C1424" s="19" t="s">
        <v>24</v>
      </c>
      <c r="D1424" s="20" t="s">
        <v>5085</v>
      </c>
      <c r="E1424" s="20" t="s">
        <v>5086</v>
      </c>
      <c r="F1424" s="19" t="s">
        <v>27</v>
      </c>
      <c r="G1424" s="19" t="s">
        <v>28</v>
      </c>
      <c r="H1424" s="19"/>
      <c r="I1424" s="21" t="s">
        <v>29</v>
      </c>
      <c r="J1424" s="21" t="s">
        <v>29</v>
      </c>
      <c r="K1424" s="22" t="s">
        <v>5048</v>
      </c>
      <c r="L1424" s="56">
        <v>45083</v>
      </c>
      <c r="O1424" s="42"/>
      <c r="P1424" s="40"/>
      <c r="Q1424" s="61"/>
      <c r="R1424" s="61"/>
      <c r="S1424" s="40"/>
      <c r="T1424" s="38"/>
      <c r="U1424" s="38"/>
      <c r="V1424" s="38"/>
      <c r="W1424" s="60"/>
      <c r="AB1424" s="42"/>
      <c r="AC1424" s="35"/>
      <c r="AD1424" s="38"/>
      <c r="AE1424" s="38"/>
      <c r="AF1424" s="38"/>
      <c r="AG1424" s="38"/>
      <c r="AH1424" s="60"/>
    </row>
    <row r="1425" spans="1:34" ht="15.75" customHeight="1">
      <c r="A1425" s="31" t="s">
        <v>92</v>
      </c>
      <c r="B1425" s="18" t="s">
        <v>5087</v>
      </c>
      <c r="C1425" s="37" t="s">
        <v>24</v>
      </c>
      <c r="D1425" s="20" t="s">
        <v>5088</v>
      </c>
      <c r="E1425" s="20" t="s">
        <v>5089</v>
      </c>
      <c r="F1425" s="19" t="s">
        <v>27</v>
      </c>
      <c r="G1425" s="19" t="s">
        <v>28</v>
      </c>
      <c r="H1425" s="19"/>
      <c r="I1425" s="21" t="s">
        <v>29</v>
      </c>
      <c r="J1425" s="21" t="s">
        <v>29</v>
      </c>
      <c r="K1425" s="22" t="s">
        <v>5048</v>
      </c>
      <c r="L1425" s="56">
        <v>45083</v>
      </c>
      <c r="O1425" s="42"/>
      <c r="P1425" s="40"/>
      <c r="Q1425" s="61"/>
      <c r="R1425" s="61"/>
      <c r="S1425" s="40"/>
      <c r="T1425" s="38"/>
      <c r="U1425" s="38"/>
      <c r="V1425" s="38"/>
      <c r="W1425" s="60"/>
      <c r="AB1425" s="42"/>
      <c r="AC1425" s="35"/>
      <c r="AD1425" s="38"/>
      <c r="AE1425" s="38"/>
      <c r="AF1425" s="38"/>
      <c r="AG1425" s="38"/>
      <c r="AH1425" s="60"/>
    </row>
    <row r="1426" spans="1:34" ht="15.75" customHeight="1">
      <c r="A1426" s="33">
        <v>782</v>
      </c>
      <c r="B1426" s="18" t="s">
        <v>5090</v>
      </c>
      <c r="C1426" s="19" t="s">
        <v>24</v>
      </c>
      <c r="D1426" s="20"/>
      <c r="E1426" s="20" t="s">
        <v>5091</v>
      </c>
      <c r="F1426" s="19" t="s">
        <v>27</v>
      </c>
      <c r="G1426" s="19" t="s">
        <v>28</v>
      </c>
      <c r="H1426" s="19"/>
      <c r="I1426" s="21" t="s">
        <v>29</v>
      </c>
      <c r="J1426" s="21" t="s">
        <v>29</v>
      </c>
      <c r="K1426" s="22" t="s">
        <v>5048</v>
      </c>
      <c r="L1426" s="56">
        <v>45083</v>
      </c>
      <c r="O1426" s="42"/>
      <c r="P1426" s="40"/>
      <c r="Q1426" s="61"/>
      <c r="R1426" s="61"/>
      <c r="S1426" s="40"/>
      <c r="T1426" s="38"/>
      <c r="U1426" s="38"/>
      <c r="V1426" s="38"/>
      <c r="W1426" s="60"/>
      <c r="AB1426" s="42"/>
      <c r="AC1426" s="35"/>
      <c r="AD1426" s="38"/>
      <c r="AE1426" s="38"/>
      <c r="AF1426" s="38"/>
      <c r="AG1426" s="38"/>
      <c r="AH1426" s="60"/>
    </row>
    <row r="1427" spans="1:34" ht="15.75" customHeight="1">
      <c r="A1427" s="31" t="s">
        <v>100</v>
      </c>
      <c r="B1427" s="18" t="s">
        <v>5092</v>
      </c>
      <c r="C1427" s="19" t="s">
        <v>24</v>
      </c>
      <c r="D1427" s="20"/>
      <c r="E1427" s="20" t="s">
        <v>5093</v>
      </c>
      <c r="F1427" s="19" t="s">
        <v>27</v>
      </c>
      <c r="G1427" s="19" t="s">
        <v>28</v>
      </c>
      <c r="H1427" s="19"/>
      <c r="I1427" s="21" t="s">
        <v>29</v>
      </c>
      <c r="J1427" s="21" t="s">
        <v>29</v>
      </c>
      <c r="K1427" s="22" t="s">
        <v>5048</v>
      </c>
      <c r="L1427" s="56">
        <v>45083</v>
      </c>
      <c r="O1427" s="42"/>
      <c r="P1427" s="40"/>
      <c r="Q1427" s="61"/>
      <c r="R1427" s="61"/>
      <c r="S1427" s="40"/>
      <c r="T1427" s="38"/>
      <c r="U1427" s="38"/>
      <c r="V1427" s="38"/>
      <c r="W1427" s="60"/>
      <c r="AB1427" s="42"/>
      <c r="AC1427" s="35"/>
      <c r="AD1427" s="38"/>
      <c r="AE1427" s="38"/>
      <c r="AF1427" s="38"/>
      <c r="AG1427" s="38"/>
      <c r="AH1427" s="60"/>
    </row>
    <row r="1428" spans="1:34" ht="15.75" customHeight="1">
      <c r="A1428" s="17" t="s">
        <v>55</v>
      </c>
      <c r="B1428" s="18" t="s">
        <v>5094</v>
      </c>
      <c r="C1428" s="19" t="s">
        <v>24</v>
      </c>
      <c r="D1428" s="20" t="s">
        <v>5095</v>
      </c>
      <c r="E1428" s="20" t="s">
        <v>5096</v>
      </c>
      <c r="F1428" s="19" t="s">
        <v>27</v>
      </c>
      <c r="G1428" s="19" t="s">
        <v>28</v>
      </c>
      <c r="H1428" s="19"/>
      <c r="I1428" s="21" t="s">
        <v>29</v>
      </c>
      <c r="J1428" s="21" t="s">
        <v>29</v>
      </c>
      <c r="K1428" s="22" t="s">
        <v>5048</v>
      </c>
      <c r="L1428" s="56">
        <v>45083</v>
      </c>
      <c r="O1428" s="42"/>
      <c r="P1428" s="40"/>
      <c r="Q1428" s="61"/>
      <c r="R1428" s="61"/>
      <c r="S1428" s="40"/>
      <c r="T1428" s="38"/>
      <c r="U1428" s="38"/>
      <c r="V1428" s="38"/>
      <c r="W1428" s="60"/>
      <c r="AB1428" s="42"/>
      <c r="AC1428" s="35"/>
      <c r="AD1428" s="38"/>
      <c r="AE1428" s="38"/>
      <c r="AF1428" s="38"/>
      <c r="AG1428" s="38"/>
      <c r="AH1428" s="60"/>
    </row>
    <row r="1429" spans="1:34" ht="15.75" customHeight="1">
      <c r="A1429" s="38"/>
      <c r="B1429" s="38"/>
      <c r="C1429" s="37"/>
      <c r="D1429" s="20"/>
      <c r="E1429" s="20"/>
      <c r="F1429" s="37"/>
      <c r="G1429" s="19"/>
      <c r="H1429" s="19"/>
      <c r="I1429" s="21"/>
      <c r="J1429" s="21"/>
      <c r="K1429" s="22"/>
      <c r="L1429" s="39"/>
      <c r="O1429" s="42"/>
      <c r="P1429" s="40"/>
      <c r="Q1429" s="61"/>
      <c r="R1429" s="61"/>
      <c r="S1429" s="40"/>
      <c r="T1429" s="38"/>
      <c r="U1429" s="38"/>
      <c r="V1429" s="38"/>
      <c r="W1429" s="60"/>
      <c r="AB1429" s="42"/>
      <c r="AC1429" s="35"/>
      <c r="AD1429" s="38"/>
      <c r="AE1429" s="38"/>
      <c r="AF1429" s="38"/>
      <c r="AG1429" s="38"/>
      <c r="AH1429" s="60"/>
    </row>
    <row r="1430" spans="1:34" ht="15.75" customHeight="1">
      <c r="A1430" s="35" t="s">
        <v>5097</v>
      </c>
      <c r="B1430" s="76" t="s">
        <v>5098</v>
      </c>
      <c r="C1430" s="37" t="s">
        <v>46</v>
      </c>
      <c r="D1430" s="20" t="s">
        <v>5099</v>
      </c>
      <c r="E1430" s="20" t="s">
        <v>5100</v>
      </c>
      <c r="F1430" s="37" t="s">
        <v>286</v>
      </c>
      <c r="G1430" s="19" t="s">
        <v>50</v>
      </c>
      <c r="H1430" s="19"/>
      <c r="I1430" s="21" t="s">
        <v>286</v>
      </c>
      <c r="J1430" s="21" t="s">
        <v>29</v>
      </c>
      <c r="K1430" s="22" t="s">
        <v>5100</v>
      </c>
      <c r="L1430" s="56"/>
      <c r="M1430" s="40"/>
      <c r="N1430" s="40"/>
      <c r="O1430" s="42"/>
      <c r="P1430" s="40"/>
      <c r="Q1430" s="61"/>
      <c r="R1430" s="61"/>
      <c r="S1430" s="40"/>
      <c r="T1430" s="38"/>
      <c r="U1430" s="38"/>
      <c r="V1430" s="38"/>
      <c r="W1430" s="60"/>
      <c r="AB1430" s="42"/>
      <c r="AC1430" s="35"/>
      <c r="AD1430" s="38"/>
      <c r="AE1430" s="38"/>
      <c r="AF1430" s="38"/>
      <c r="AG1430" s="38"/>
      <c r="AH1430" s="60"/>
    </row>
    <row r="1431" spans="1:34" ht="15.75" customHeight="1">
      <c r="A1431" s="77" t="s">
        <v>2628</v>
      </c>
      <c r="B1431" s="78" t="s">
        <v>5101</v>
      </c>
      <c r="C1431" s="37" t="s">
        <v>1470</v>
      </c>
      <c r="D1431" s="20" t="s">
        <v>5102</v>
      </c>
      <c r="E1431" s="20" t="s">
        <v>5103</v>
      </c>
      <c r="F1431" s="19" t="s">
        <v>3286</v>
      </c>
      <c r="G1431" s="37" t="s">
        <v>1461</v>
      </c>
      <c r="H1431" s="19"/>
      <c r="I1431" s="21" t="s">
        <v>233</v>
      </c>
      <c r="J1431" s="21" t="s">
        <v>233</v>
      </c>
      <c r="K1431" s="22" t="s">
        <v>5104</v>
      </c>
      <c r="L1431" s="56">
        <v>45083</v>
      </c>
      <c r="M1431" s="40"/>
      <c r="N1431" s="40"/>
      <c r="O1431" s="42"/>
      <c r="P1431" s="40"/>
      <c r="Q1431" s="61"/>
      <c r="R1431" s="61"/>
      <c r="S1431" s="40"/>
      <c r="T1431" s="38"/>
      <c r="U1431" s="38"/>
      <c r="V1431" s="38"/>
      <c r="W1431" s="60"/>
      <c r="AB1431" s="42"/>
      <c r="AC1431" s="35"/>
      <c r="AD1431" s="38"/>
      <c r="AE1431" s="38"/>
      <c r="AF1431" s="38"/>
      <c r="AG1431" s="38"/>
      <c r="AH1431" s="60"/>
    </row>
    <row r="1432" spans="1:34" ht="15.75" customHeight="1">
      <c r="A1432" s="50" t="s">
        <v>39</v>
      </c>
      <c r="B1432" s="78" t="s">
        <v>5105</v>
      </c>
      <c r="C1432" s="37" t="s">
        <v>24</v>
      </c>
      <c r="D1432" s="20" t="s">
        <v>5106</v>
      </c>
      <c r="E1432" s="20" t="s">
        <v>5107</v>
      </c>
      <c r="F1432" s="19" t="s">
        <v>90</v>
      </c>
      <c r="G1432" s="19" t="s">
        <v>28</v>
      </c>
      <c r="H1432" s="19"/>
      <c r="I1432" s="21" t="s">
        <v>29</v>
      </c>
      <c r="J1432" s="21" t="s">
        <v>29</v>
      </c>
      <c r="K1432" s="22" t="s">
        <v>5108</v>
      </c>
      <c r="L1432" s="56">
        <v>45083</v>
      </c>
      <c r="O1432" s="42"/>
      <c r="P1432" s="40"/>
      <c r="Q1432" s="61"/>
      <c r="R1432" s="61"/>
      <c r="S1432" s="40"/>
      <c r="T1432" s="38"/>
      <c r="U1432" s="38"/>
      <c r="V1432" s="38"/>
      <c r="W1432" s="60"/>
      <c r="AB1432" s="42"/>
      <c r="AC1432" s="35"/>
      <c r="AD1432" s="38"/>
      <c r="AE1432" s="38"/>
      <c r="AF1432" s="38"/>
      <c r="AG1432" s="38"/>
      <c r="AH1432" s="60"/>
    </row>
    <row r="1433" spans="1:34" ht="15.75" customHeight="1">
      <c r="A1433" s="35" t="s">
        <v>5056</v>
      </c>
      <c r="B1433" s="78" t="s">
        <v>5109</v>
      </c>
      <c r="C1433" s="37" t="s">
        <v>24</v>
      </c>
      <c r="D1433" s="20" t="s">
        <v>5110</v>
      </c>
      <c r="E1433" s="20" t="s">
        <v>5111</v>
      </c>
      <c r="F1433" s="19" t="s">
        <v>27</v>
      </c>
      <c r="G1433" s="19" t="s">
        <v>28</v>
      </c>
      <c r="H1433" s="19"/>
      <c r="I1433" s="21" t="s">
        <v>29</v>
      </c>
      <c r="J1433" s="21" t="s">
        <v>29</v>
      </c>
      <c r="K1433" s="22" t="s">
        <v>5112</v>
      </c>
      <c r="L1433" s="56">
        <v>45083</v>
      </c>
      <c r="O1433" s="42"/>
      <c r="P1433" s="40"/>
      <c r="Q1433" s="61"/>
      <c r="R1433" s="61"/>
      <c r="S1433" s="40"/>
      <c r="T1433" s="38"/>
      <c r="U1433" s="38"/>
      <c r="V1433" s="38"/>
      <c r="W1433" s="60"/>
      <c r="AB1433" s="42"/>
      <c r="AC1433" s="35"/>
      <c r="AD1433" s="38"/>
      <c r="AE1433" s="38"/>
      <c r="AF1433" s="38"/>
      <c r="AG1433" s="38"/>
      <c r="AH1433" s="60"/>
    </row>
    <row r="1434" spans="1:34" ht="15.75" customHeight="1">
      <c r="A1434" s="35" t="s">
        <v>5113</v>
      </c>
      <c r="B1434" s="78" t="s">
        <v>5114</v>
      </c>
      <c r="C1434" s="37" t="s">
        <v>228</v>
      </c>
      <c r="D1434" s="20" t="s">
        <v>5115</v>
      </c>
      <c r="E1434" s="20" t="s">
        <v>5116</v>
      </c>
      <c r="F1434" s="19" t="s">
        <v>231</v>
      </c>
      <c r="G1434" s="19" t="s">
        <v>232</v>
      </c>
      <c r="H1434" s="19"/>
      <c r="I1434" s="21" t="s">
        <v>233</v>
      </c>
      <c r="J1434" s="21" t="s">
        <v>233</v>
      </c>
      <c r="K1434" s="22" t="s">
        <v>5116</v>
      </c>
      <c r="L1434" s="56">
        <v>45083</v>
      </c>
      <c r="O1434" s="42"/>
      <c r="P1434" s="40"/>
      <c r="Q1434" s="61"/>
      <c r="R1434" s="61"/>
      <c r="S1434" s="40"/>
      <c r="T1434" s="38"/>
      <c r="U1434" s="38"/>
      <c r="V1434" s="38"/>
      <c r="W1434" s="60"/>
      <c r="AB1434" s="42"/>
      <c r="AC1434" s="35"/>
      <c r="AD1434" s="38"/>
      <c r="AE1434" s="38"/>
      <c r="AF1434" s="38"/>
      <c r="AG1434" s="38"/>
      <c r="AH1434" s="60"/>
    </row>
    <row r="1435" spans="1:34" ht="15.75" customHeight="1">
      <c r="A1435" s="50" t="s">
        <v>56</v>
      </c>
      <c r="B1435" s="78" t="s">
        <v>5117</v>
      </c>
      <c r="C1435" s="37" t="s">
        <v>24</v>
      </c>
      <c r="D1435" s="20" t="s">
        <v>5118</v>
      </c>
      <c r="E1435" s="20" t="s">
        <v>5119</v>
      </c>
      <c r="F1435" s="19" t="s">
        <v>27</v>
      </c>
      <c r="G1435" s="19" t="s">
        <v>28</v>
      </c>
      <c r="H1435" s="19"/>
      <c r="I1435" s="21" t="s">
        <v>29</v>
      </c>
      <c r="J1435" s="21" t="s">
        <v>29</v>
      </c>
      <c r="K1435" s="22" t="s">
        <v>5120</v>
      </c>
      <c r="L1435" s="56">
        <v>45083</v>
      </c>
      <c r="O1435" s="42"/>
      <c r="P1435" s="40"/>
      <c r="Q1435" s="61"/>
      <c r="R1435" s="61"/>
      <c r="S1435" s="40"/>
      <c r="T1435" s="38"/>
      <c r="U1435" s="38"/>
      <c r="V1435" s="38"/>
      <c r="W1435" s="60"/>
      <c r="AB1435" s="42"/>
      <c r="AC1435" s="35"/>
      <c r="AD1435" s="38"/>
      <c r="AE1435" s="38"/>
      <c r="AF1435" s="38"/>
      <c r="AG1435" s="38"/>
      <c r="AH1435" s="60"/>
    </row>
    <row r="1436" spans="1:34" ht="15.75" customHeight="1">
      <c r="A1436" s="35">
        <v>83</v>
      </c>
      <c r="B1436" s="78" t="s">
        <v>5121</v>
      </c>
      <c r="C1436" s="37" t="s">
        <v>24</v>
      </c>
      <c r="D1436" s="20" t="s">
        <v>5122</v>
      </c>
      <c r="E1436" s="20" t="s">
        <v>5123</v>
      </c>
      <c r="F1436" s="19" t="s">
        <v>27</v>
      </c>
      <c r="G1436" s="19" t="s">
        <v>28</v>
      </c>
      <c r="H1436" s="19"/>
      <c r="I1436" s="21" t="s">
        <v>29</v>
      </c>
      <c r="J1436" s="21" t="s">
        <v>29</v>
      </c>
      <c r="K1436" s="22" t="s">
        <v>5124</v>
      </c>
      <c r="L1436" s="56">
        <v>45083</v>
      </c>
      <c r="O1436" s="42"/>
      <c r="P1436" s="40"/>
      <c r="Q1436" s="61"/>
      <c r="R1436" s="61"/>
      <c r="S1436" s="40"/>
      <c r="T1436" s="38"/>
      <c r="U1436" s="38"/>
      <c r="V1436" s="38"/>
      <c r="W1436" s="60"/>
      <c r="AB1436" s="42"/>
      <c r="AC1436" s="35"/>
      <c r="AD1436" s="38"/>
      <c r="AE1436" s="38"/>
      <c r="AF1436" s="38"/>
      <c r="AG1436" s="38"/>
      <c r="AH1436" s="60"/>
    </row>
    <row r="1437" spans="1:34" ht="15.75" customHeight="1">
      <c r="A1437" s="50" t="s">
        <v>64</v>
      </c>
      <c r="B1437" s="78" t="s">
        <v>5125</v>
      </c>
      <c r="C1437" s="37" t="s">
        <v>24</v>
      </c>
      <c r="D1437" s="20" t="s">
        <v>5126</v>
      </c>
      <c r="E1437" s="20" t="s">
        <v>5127</v>
      </c>
      <c r="F1437" s="19" t="s">
        <v>27</v>
      </c>
      <c r="G1437" s="19" t="s">
        <v>28</v>
      </c>
      <c r="H1437" s="37" t="s">
        <v>813</v>
      </c>
      <c r="I1437" s="21" t="s">
        <v>29</v>
      </c>
      <c r="J1437" s="21" t="s">
        <v>29</v>
      </c>
      <c r="K1437" s="22" t="s">
        <v>5128</v>
      </c>
      <c r="L1437" s="56">
        <v>45083</v>
      </c>
      <c r="O1437" s="42"/>
      <c r="P1437" s="40"/>
      <c r="Q1437" s="61"/>
      <c r="R1437" s="61"/>
      <c r="S1437" s="40"/>
      <c r="T1437" s="38"/>
      <c r="U1437" s="38"/>
      <c r="V1437" s="38"/>
      <c r="W1437" s="60"/>
      <c r="AB1437" s="42"/>
      <c r="AC1437" s="35"/>
      <c r="AD1437" s="38"/>
      <c r="AE1437" s="38"/>
      <c r="AF1437" s="38"/>
      <c r="AG1437" s="38"/>
      <c r="AH1437" s="60"/>
    </row>
    <row r="1438" spans="1:34" ht="15.75" customHeight="1">
      <c r="A1438" s="35">
        <v>3.8</v>
      </c>
      <c r="B1438" s="78" t="s">
        <v>5129</v>
      </c>
      <c r="C1438" s="37" t="s">
        <v>87</v>
      </c>
      <c r="D1438" s="20" t="s">
        <v>5130</v>
      </c>
      <c r="E1438" s="20" t="s">
        <v>5131</v>
      </c>
      <c r="F1438" s="19" t="s">
        <v>90</v>
      </c>
      <c r="G1438" s="19" t="s">
        <v>91</v>
      </c>
      <c r="H1438" s="19"/>
      <c r="I1438" s="21" t="s">
        <v>29</v>
      </c>
      <c r="J1438" s="21" t="s">
        <v>29</v>
      </c>
      <c r="K1438" s="22" t="s">
        <v>5132</v>
      </c>
      <c r="L1438" s="56">
        <v>45083</v>
      </c>
      <c r="O1438" s="42"/>
      <c r="P1438" s="40"/>
      <c r="Q1438" s="61"/>
      <c r="R1438" s="61"/>
      <c r="S1438" s="40"/>
      <c r="T1438" s="38"/>
      <c r="U1438" s="38"/>
      <c r="V1438" s="38"/>
      <c r="W1438" s="60"/>
      <c r="AB1438" s="42"/>
      <c r="AC1438" s="35"/>
      <c r="AD1438" s="38"/>
      <c r="AE1438" s="38"/>
      <c r="AF1438" s="38"/>
      <c r="AG1438" s="38"/>
      <c r="AH1438" s="60"/>
    </row>
    <row r="1439" spans="1:34" ht="15.75" customHeight="1">
      <c r="A1439" s="50" t="s">
        <v>73</v>
      </c>
      <c r="B1439" s="78" t="s">
        <v>5133</v>
      </c>
      <c r="C1439" s="37" t="s">
        <v>24</v>
      </c>
      <c r="D1439" s="20" t="s">
        <v>5134</v>
      </c>
      <c r="E1439" s="20" t="s">
        <v>5135</v>
      </c>
      <c r="F1439" s="19" t="s">
        <v>90</v>
      </c>
      <c r="G1439" s="19" t="s">
        <v>28</v>
      </c>
      <c r="H1439" s="19"/>
      <c r="I1439" s="21" t="s">
        <v>29</v>
      </c>
      <c r="J1439" s="21" t="s">
        <v>29</v>
      </c>
      <c r="K1439" s="22" t="s">
        <v>5136</v>
      </c>
      <c r="L1439" s="56">
        <v>45083</v>
      </c>
      <c r="O1439" s="42"/>
      <c r="P1439" s="40"/>
      <c r="Q1439" s="61"/>
      <c r="R1439" s="61"/>
      <c r="S1439" s="40"/>
      <c r="T1439" s="38"/>
      <c r="U1439" s="38"/>
      <c r="V1439" s="38"/>
      <c r="W1439" s="60"/>
      <c r="AB1439" s="42"/>
      <c r="AC1439" s="35"/>
      <c r="AD1439" s="38"/>
      <c r="AE1439" s="38"/>
      <c r="AF1439" s="38"/>
      <c r="AG1439" s="38"/>
      <c r="AH1439" s="60"/>
    </row>
    <row r="1440" spans="1:34" ht="15.75" customHeight="1">
      <c r="A1440" s="35">
        <v>4</v>
      </c>
      <c r="B1440" s="78" t="s">
        <v>5137</v>
      </c>
      <c r="C1440" s="37" t="s">
        <v>24</v>
      </c>
      <c r="D1440" s="20" t="s">
        <v>5138</v>
      </c>
      <c r="E1440" s="20" t="s">
        <v>5139</v>
      </c>
      <c r="F1440" s="19" t="s">
        <v>27</v>
      </c>
      <c r="G1440" s="19" t="s">
        <v>28</v>
      </c>
      <c r="H1440" s="37" t="s">
        <v>762</v>
      </c>
      <c r="I1440" s="21" t="s">
        <v>29</v>
      </c>
      <c r="J1440" s="21" t="s">
        <v>29</v>
      </c>
      <c r="K1440" s="22" t="s">
        <v>5140</v>
      </c>
      <c r="L1440" s="56">
        <v>45083</v>
      </c>
      <c r="O1440" s="42"/>
      <c r="P1440" s="40"/>
      <c r="Q1440" s="61"/>
      <c r="R1440" s="61"/>
      <c r="S1440" s="40"/>
      <c r="T1440" s="38"/>
      <c r="U1440" s="38"/>
      <c r="V1440" s="38"/>
      <c r="W1440" s="60"/>
      <c r="AB1440" s="42"/>
      <c r="AC1440" s="35"/>
      <c r="AD1440" s="38"/>
      <c r="AE1440" s="38"/>
      <c r="AF1440" s="38"/>
      <c r="AG1440" s="38"/>
      <c r="AH1440" s="60"/>
    </row>
    <row r="1441" spans="1:34" ht="15.75" customHeight="1">
      <c r="A1441" s="50" t="s">
        <v>82</v>
      </c>
      <c r="B1441" s="78" t="s">
        <v>5141</v>
      </c>
      <c r="C1441" s="37" t="s">
        <v>24</v>
      </c>
      <c r="D1441" s="20" t="s">
        <v>5142</v>
      </c>
      <c r="E1441" s="20" t="s">
        <v>5143</v>
      </c>
      <c r="F1441" s="19" t="s">
        <v>90</v>
      </c>
      <c r="G1441" s="19" t="s">
        <v>28</v>
      </c>
      <c r="H1441" s="19"/>
      <c r="I1441" s="21" t="s">
        <v>29</v>
      </c>
      <c r="J1441" s="21" t="s">
        <v>29</v>
      </c>
      <c r="K1441" s="22" t="s">
        <v>5144</v>
      </c>
      <c r="L1441" s="56">
        <v>45083</v>
      </c>
      <c r="O1441" s="42"/>
      <c r="P1441" s="40"/>
      <c r="Q1441" s="61"/>
      <c r="R1441" s="61"/>
      <c r="S1441" s="40"/>
      <c r="T1441" s="38"/>
      <c r="U1441" s="38"/>
      <c r="V1441" s="38"/>
      <c r="W1441" s="60"/>
      <c r="AB1441" s="42"/>
      <c r="AC1441" s="35"/>
      <c r="AD1441" s="38"/>
      <c r="AE1441" s="38"/>
      <c r="AF1441" s="38"/>
      <c r="AG1441" s="38"/>
      <c r="AH1441" s="60"/>
    </row>
    <row r="1442" spans="1:34" ht="15.75" customHeight="1">
      <c r="A1442" s="35" t="s">
        <v>801</v>
      </c>
      <c r="B1442" s="78" t="s">
        <v>5145</v>
      </c>
      <c r="C1442" s="37" t="s">
        <v>24</v>
      </c>
      <c r="D1442" s="20" t="s">
        <v>5146</v>
      </c>
      <c r="E1442" s="20" t="s">
        <v>5147</v>
      </c>
      <c r="F1442" s="19" t="s">
        <v>27</v>
      </c>
      <c r="G1442" s="19" t="s">
        <v>28</v>
      </c>
      <c r="H1442" s="19" t="s">
        <v>36</v>
      </c>
      <c r="I1442" s="21" t="s">
        <v>29</v>
      </c>
      <c r="J1442" s="21" t="s">
        <v>29</v>
      </c>
      <c r="K1442" s="22" t="s">
        <v>5148</v>
      </c>
      <c r="L1442" s="56">
        <v>45083</v>
      </c>
      <c r="O1442" s="42"/>
      <c r="P1442" s="40"/>
      <c r="Q1442" s="61"/>
      <c r="R1442" s="61"/>
      <c r="S1442" s="40"/>
      <c r="T1442" s="38"/>
      <c r="U1442" s="38"/>
      <c r="V1442" s="38"/>
      <c r="W1442" s="60"/>
      <c r="AB1442" s="42"/>
      <c r="AC1442" s="35"/>
      <c r="AD1442" s="38"/>
      <c r="AE1442" s="38"/>
      <c r="AF1442" s="38"/>
      <c r="AG1442" s="38"/>
      <c r="AH1442" s="60"/>
    </row>
    <row r="1443" spans="1:34" ht="15.75" customHeight="1">
      <c r="A1443" s="50" t="s">
        <v>92</v>
      </c>
      <c r="B1443" s="78" t="s">
        <v>5149</v>
      </c>
      <c r="C1443" s="37" t="s">
        <v>24</v>
      </c>
      <c r="D1443" s="20" t="s">
        <v>5150</v>
      </c>
      <c r="E1443" s="20" t="s">
        <v>5151</v>
      </c>
      <c r="F1443" s="19" t="s">
        <v>27</v>
      </c>
      <c r="G1443" s="19" t="s">
        <v>28</v>
      </c>
      <c r="H1443" s="19" t="s">
        <v>36</v>
      </c>
      <c r="I1443" s="21" t="s">
        <v>29</v>
      </c>
      <c r="J1443" s="21" t="s">
        <v>29</v>
      </c>
      <c r="K1443" s="22" t="s">
        <v>5152</v>
      </c>
      <c r="L1443" s="56">
        <v>45083</v>
      </c>
      <c r="O1443" s="42"/>
      <c r="P1443" s="40"/>
      <c r="Q1443" s="61"/>
      <c r="R1443" s="61"/>
      <c r="S1443" s="40"/>
      <c r="T1443" s="38"/>
      <c r="U1443" s="38"/>
      <c r="V1443" s="38"/>
      <c r="W1443" s="60"/>
      <c r="AB1443" s="42"/>
      <c r="AC1443" s="35"/>
      <c r="AD1443" s="38"/>
      <c r="AE1443" s="38"/>
      <c r="AF1443" s="38"/>
      <c r="AG1443" s="38"/>
      <c r="AH1443" s="60"/>
    </row>
    <row r="1444" spans="1:34" ht="15.75" customHeight="1">
      <c r="A1444" s="79">
        <v>3565</v>
      </c>
      <c r="B1444" s="78" t="s">
        <v>5153</v>
      </c>
      <c r="C1444" s="37" t="s">
        <v>46</v>
      </c>
      <c r="D1444" s="20" t="s">
        <v>5154</v>
      </c>
      <c r="E1444" s="20" t="s">
        <v>5155</v>
      </c>
      <c r="F1444" s="37" t="s">
        <v>49</v>
      </c>
      <c r="G1444" s="19" t="s">
        <v>50</v>
      </c>
      <c r="H1444" s="19"/>
      <c r="I1444" s="21" t="s">
        <v>29</v>
      </c>
      <c r="J1444" s="21" t="s">
        <v>29</v>
      </c>
      <c r="K1444" s="22" t="s">
        <v>5156</v>
      </c>
      <c r="L1444" s="56">
        <v>45083</v>
      </c>
      <c r="O1444" s="42"/>
      <c r="P1444" s="40"/>
      <c r="Q1444" s="61"/>
      <c r="R1444" s="61"/>
      <c r="S1444" s="40"/>
      <c r="T1444" s="38"/>
      <c r="U1444" s="38"/>
      <c r="V1444" s="38"/>
      <c r="W1444" s="60"/>
      <c r="AB1444" s="42"/>
      <c r="AC1444" s="35"/>
      <c r="AD1444" s="38"/>
      <c r="AE1444" s="38"/>
      <c r="AF1444" s="38"/>
      <c r="AG1444" s="38"/>
      <c r="AH1444" s="60"/>
    </row>
    <row r="1445" spans="1:34" ht="15.75" customHeight="1">
      <c r="A1445" s="50" t="s">
        <v>100</v>
      </c>
      <c r="B1445" s="78" t="s">
        <v>5157</v>
      </c>
      <c r="C1445" s="37" t="s">
        <v>24</v>
      </c>
      <c r="D1445" s="20" t="s">
        <v>5158</v>
      </c>
      <c r="E1445" s="20" t="s">
        <v>5159</v>
      </c>
      <c r="F1445" s="19" t="s">
        <v>27</v>
      </c>
      <c r="G1445" s="19" t="s">
        <v>28</v>
      </c>
      <c r="H1445" s="19"/>
      <c r="I1445" s="21" t="s">
        <v>29</v>
      </c>
      <c r="J1445" s="21" t="s">
        <v>29</v>
      </c>
      <c r="K1445" s="22" t="s">
        <v>5160</v>
      </c>
      <c r="L1445" s="56">
        <v>45083</v>
      </c>
      <c r="O1445" s="42"/>
      <c r="P1445" s="40"/>
      <c r="Q1445" s="61"/>
      <c r="R1445" s="61"/>
      <c r="S1445" s="40"/>
      <c r="T1445" s="38"/>
      <c r="U1445" s="38"/>
      <c r="V1445" s="38"/>
      <c r="W1445" s="60"/>
      <c r="AB1445" s="42"/>
      <c r="AC1445" s="35"/>
      <c r="AD1445" s="38"/>
      <c r="AE1445" s="38"/>
      <c r="AF1445" s="38"/>
      <c r="AG1445" s="38"/>
      <c r="AH1445" s="60"/>
    </row>
    <row r="1446" spans="1:34" ht="15.75" customHeight="1">
      <c r="A1446" s="35">
        <v>167</v>
      </c>
      <c r="B1446" s="78" t="s">
        <v>5161</v>
      </c>
      <c r="C1446" s="37" t="s">
        <v>228</v>
      </c>
      <c r="D1446" s="20" t="s">
        <v>5162</v>
      </c>
      <c r="E1446" s="20" t="s">
        <v>5163</v>
      </c>
      <c r="F1446" s="19" t="s">
        <v>231</v>
      </c>
      <c r="G1446" s="19" t="s">
        <v>232</v>
      </c>
      <c r="H1446" s="19"/>
      <c r="I1446" s="21" t="s">
        <v>233</v>
      </c>
      <c r="J1446" s="21" t="s">
        <v>233</v>
      </c>
      <c r="K1446" s="22" t="s">
        <v>5164</v>
      </c>
      <c r="L1446" s="56">
        <v>45083</v>
      </c>
      <c r="O1446" s="42"/>
      <c r="P1446" s="40"/>
      <c r="Q1446" s="61"/>
      <c r="R1446" s="61"/>
      <c r="S1446" s="40"/>
      <c r="T1446" s="38"/>
      <c r="U1446" s="38"/>
      <c r="V1446" s="38"/>
      <c r="W1446" s="60"/>
      <c r="AB1446" s="42"/>
      <c r="AC1446" s="35"/>
      <c r="AD1446" s="38"/>
      <c r="AE1446" s="38"/>
      <c r="AF1446" s="38"/>
      <c r="AG1446" s="38"/>
      <c r="AH1446" s="60"/>
    </row>
    <row r="1447" spans="1:34" ht="15.75" customHeight="1">
      <c r="A1447" s="35"/>
      <c r="B1447" s="80" t="s">
        <v>5165</v>
      </c>
      <c r="C1447" s="37" t="s">
        <v>87</v>
      </c>
      <c r="D1447" s="20" t="s">
        <v>5166</v>
      </c>
      <c r="E1447" s="20" t="s">
        <v>5167</v>
      </c>
      <c r="F1447" s="37" t="s">
        <v>49</v>
      </c>
      <c r="G1447" s="19" t="s">
        <v>50</v>
      </c>
      <c r="H1447" s="19"/>
      <c r="I1447" s="21" t="s">
        <v>29</v>
      </c>
      <c r="J1447" s="21" t="s">
        <v>29</v>
      </c>
      <c r="K1447" s="22" t="s">
        <v>5167</v>
      </c>
      <c r="L1447" s="56">
        <v>45083</v>
      </c>
      <c r="O1447" s="42"/>
      <c r="P1447" s="40"/>
      <c r="Q1447" s="61"/>
      <c r="R1447" s="61"/>
      <c r="S1447" s="40"/>
      <c r="T1447" s="38"/>
      <c r="U1447" s="38"/>
      <c r="V1447" s="38"/>
      <c r="W1447" s="60"/>
      <c r="AB1447" s="42"/>
      <c r="AC1447" s="35"/>
      <c r="AD1447" s="38"/>
      <c r="AE1447" s="38"/>
      <c r="AF1447" s="38"/>
      <c r="AG1447" s="38"/>
      <c r="AH1447" s="60"/>
    </row>
    <row r="1448" spans="1:34" ht="15.75" customHeight="1">
      <c r="A1448" s="35"/>
      <c r="B1448" s="80" t="s">
        <v>5168</v>
      </c>
      <c r="C1448" s="37" t="s">
        <v>87</v>
      </c>
      <c r="D1448" s="20" t="s">
        <v>5169</v>
      </c>
      <c r="E1448" s="20" t="s">
        <v>5170</v>
      </c>
      <c r="F1448" s="37" t="s">
        <v>49</v>
      </c>
      <c r="G1448" s="19" t="s">
        <v>50</v>
      </c>
      <c r="H1448" s="19"/>
      <c r="I1448" s="21" t="s">
        <v>29</v>
      </c>
      <c r="J1448" s="21" t="s">
        <v>29</v>
      </c>
      <c r="K1448" s="22" t="s">
        <v>5170</v>
      </c>
      <c r="L1448" s="56">
        <v>45083</v>
      </c>
      <c r="O1448" s="42"/>
      <c r="P1448" s="40"/>
      <c r="Q1448" s="61"/>
      <c r="R1448" s="61"/>
      <c r="S1448" s="40"/>
      <c r="T1448" s="38"/>
      <c r="U1448" s="38"/>
      <c r="V1448" s="38"/>
      <c r="W1448" s="60"/>
      <c r="AB1448" s="42"/>
      <c r="AC1448" s="35"/>
      <c r="AD1448" s="38"/>
      <c r="AE1448" s="38"/>
      <c r="AF1448" s="38"/>
      <c r="AG1448" s="38"/>
      <c r="AH1448" s="60"/>
    </row>
    <row r="1449" spans="1:34" ht="15.75" customHeight="1">
      <c r="A1449" s="35"/>
      <c r="B1449" s="78" t="s">
        <v>5171</v>
      </c>
      <c r="C1449" s="37" t="s">
        <v>24</v>
      </c>
      <c r="D1449" s="20" t="s">
        <v>5172</v>
      </c>
      <c r="E1449" s="20" t="s">
        <v>5173</v>
      </c>
      <c r="F1449" s="19" t="s">
        <v>27</v>
      </c>
      <c r="G1449" s="19" t="s">
        <v>28</v>
      </c>
      <c r="H1449" s="19" t="s">
        <v>36</v>
      </c>
      <c r="I1449" s="21" t="s">
        <v>29</v>
      </c>
      <c r="J1449" s="21" t="s">
        <v>29</v>
      </c>
      <c r="K1449" s="22" t="s">
        <v>5174</v>
      </c>
      <c r="L1449" s="56">
        <v>45083</v>
      </c>
      <c r="O1449" s="42"/>
      <c r="P1449" s="40"/>
      <c r="Q1449" s="61"/>
      <c r="R1449" s="61"/>
      <c r="S1449" s="40"/>
      <c r="T1449" s="38"/>
      <c r="U1449" s="38"/>
      <c r="V1449" s="38"/>
      <c r="W1449" s="60"/>
      <c r="AB1449" s="42"/>
      <c r="AC1449" s="35"/>
      <c r="AD1449" s="38"/>
      <c r="AE1449" s="38"/>
      <c r="AF1449" s="38"/>
      <c r="AG1449" s="38"/>
      <c r="AH1449" s="60"/>
    </row>
    <row r="1450" spans="1:34" ht="15.75" customHeight="1">
      <c r="A1450" s="35"/>
      <c r="B1450" s="78" t="s">
        <v>5175</v>
      </c>
      <c r="C1450" s="37" t="s">
        <v>24</v>
      </c>
      <c r="D1450" s="20" t="s">
        <v>5176</v>
      </c>
      <c r="E1450" s="20" t="s">
        <v>5177</v>
      </c>
      <c r="F1450" s="19" t="s">
        <v>27</v>
      </c>
      <c r="G1450" s="19" t="s">
        <v>28</v>
      </c>
      <c r="H1450" s="19"/>
      <c r="I1450" s="21" t="s">
        <v>29</v>
      </c>
      <c r="J1450" s="21" t="s">
        <v>29</v>
      </c>
      <c r="K1450" s="22" t="s">
        <v>5177</v>
      </c>
      <c r="L1450" s="56">
        <v>45083</v>
      </c>
      <c r="O1450" s="42"/>
      <c r="P1450" s="40"/>
      <c r="Q1450" s="61"/>
      <c r="R1450" s="61"/>
      <c r="S1450" s="40"/>
      <c r="T1450" s="38"/>
      <c r="U1450" s="38"/>
      <c r="V1450" s="38"/>
      <c r="W1450" s="60"/>
      <c r="AB1450" s="42"/>
      <c r="AC1450" s="35"/>
      <c r="AD1450" s="38"/>
      <c r="AE1450" s="38"/>
      <c r="AF1450" s="38"/>
      <c r="AG1450" s="38"/>
      <c r="AH1450" s="60"/>
    </row>
    <row r="1451" spans="1:34" ht="15.75" customHeight="1">
      <c r="A1451" s="35"/>
      <c r="B1451" s="78" t="s">
        <v>5178</v>
      </c>
      <c r="C1451" s="37" t="s">
        <v>24</v>
      </c>
      <c r="D1451" s="20" t="s">
        <v>5179</v>
      </c>
      <c r="E1451" s="20" t="s">
        <v>5180</v>
      </c>
      <c r="F1451" s="19" t="s">
        <v>27</v>
      </c>
      <c r="G1451" s="19" t="s">
        <v>28</v>
      </c>
      <c r="H1451" s="19"/>
      <c r="I1451" s="21" t="s">
        <v>29</v>
      </c>
      <c r="J1451" s="21" t="s">
        <v>29</v>
      </c>
      <c r="K1451" s="22" t="s">
        <v>5181</v>
      </c>
      <c r="L1451" s="56">
        <v>45083</v>
      </c>
      <c r="O1451" s="42"/>
      <c r="P1451" s="40"/>
      <c r="Q1451" s="61"/>
      <c r="R1451" s="61"/>
      <c r="S1451" s="40"/>
      <c r="T1451" s="38"/>
      <c r="U1451" s="38"/>
      <c r="V1451" s="38"/>
      <c r="W1451" s="60"/>
      <c r="AB1451" s="42"/>
      <c r="AC1451" s="35"/>
      <c r="AD1451" s="38"/>
      <c r="AE1451" s="38"/>
      <c r="AF1451" s="38"/>
      <c r="AG1451" s="38"/>
      <c r="AH1451" s="60"/>
    </row>
    <row r="1452" spans="1:34" ht="15.75" customHeight="1">
      <c r="A1452" s="35"/>
      <c r="B1452" s="78" t="s">
        <v>5182</v>
      </c>
      <c r="C1452" s="37" t="s">
        <v>24</v>
      </c>
      <c r="D1452" s="20" t="s">
        <v>5183</v>
      </c>
      <c r="E1452" s="20" t="s">
        <v>5184</v>
      </c>
      <c r="F1452" s="19" t="s">
        <v>27</v>
      </c>
      <c r="G1452" s="19" t="s">
        <v>28</v>
      </c>
      <c r="H1452" s="19"/>
      <c r="I1452" s="21" t="s">
        <v>29</v>
      </c>
      <c r="J1452" s="21" t="s">
        <v>29</v>
      </c>
      <c r="K1452" s="22" t="s">
        <v>5185</v>
      </c>
      <c r="L1452" s="56">
        <v>45083</v>
      </c>
      <c r="O1452" s="42"/>
      <c r="P1452" s="40"/>
      <c r="Q1452" s="61"/>
      <c r="R1452" s="61"/>
      <c r="S1452" s="40"/>
      <c r="T1452" s="38"/>
      <c r="U1452" s="38"/>
      <c r="V1452" s="38"/>
      <c r="W1452" s="60"/>
      <c r="AB1452" s="42"/>
      <c r="AC1452" s="35"/>
      <c r="AD1452" s="38"/>
      <c r="AE1452" s="38"/>
      <c r="AF1452" s="38"/>
      <c r="AG1452" s="38"/>
      <c r="AH1452" s="60"/>
    </row>
    <row r="1453" spans="1:34" ht="15.75" customHeight="1">
      <c r="A1453" s="35"/>
      <c r="B1453" s="78" t="s">
        <v>5186</v>
      </c>
      <c r="C1453" s="37" t="s">
        <v>87</v>
      </c>
      <c r="D1453" s="20" t="s">
        <v>5187</v>
      </c>
      <c r="E1453" s="20" t="s">
        <v>5188</v>
      </c>
      <c r="F1453" s="37" t="s">
        <v>49</v>
      </c>
      <c r="G1453" s="19" t="s">
        <v>91</v>
      </c>
      <c r="H1453" s="19"/>
      <c r="I1453" s="21" t="s">
        <v>29</v>
      </c>
      <c r="J1453" s="21" t="s">
        <v>29</v>
      </c>
      <c r="K1453" s="22" t="s">
        <v>5189</v>
      </c>
      <c r="L1453" s="56">
        <v>45083</v>
      </c>
      <c r="O1453" s="42"/>
      <c r="P1453" s="40"/>
      <c r="Q1453" s="61"/>
      <c r="R1453" s="61"/>
      <c r="S1453" s="40"/>
      <c r="T1453" s="38"/>
      <c r="U1453" s="38"/>
      <c r="V1453" s="38"/>
      <c r="W1453" s="60"/>
      <c r="AB1453" s="42"/>
      <c r="AC1453" s="35"/>
      <c r="AD1453" s="38"/>
      <c r="AE1453" s="38"/>
      <c r="AF1453" s="38"/>
      <c r="AG1453" s="38"/>
      <c r="AH1453" s="60"/>
    </row>
    <row r="1454" spans="1:34" ht="15.75" customHeight="1">
      <c r="A1454" s="35"/>
      <c r="B1454" s="78" t="s">
        <v>5190</v>
      </c>
      <c r="C1454" s="37" t="s">
        <v>46</v>
      </c>
      <c r="D1454" s="20" t="s">
        <v>5191</v>
      </c>
      <c r="E1454" s="20" t="s">
        <v>5192</v>
      </c>
      <c r="F1454" s="37" t="s">
        <v>49</v>
      </c>
      <c r="G1454" s="19" t="s">
        <v>50</v>
      </c>
      <c r="H1454" s="19"/>
      <c r="I1454" s="21" t="s">
        <v>29</v>
      </c>
      <c r="J1454" s="21" t="s">
        <v>29</v>
      </c>
      <c r="K1454" s="22" t="s">
        <v>5192</v>
      </c>
      <c r="L1454" s="56">
        <v>45083</v>
      </c>
      <c r="O1454" s="42"/>
      <c r="P1454" s="40"/>
      <c r="Q1454" s="61"/>
      <c r="R1454" s="61"/>
      <c r="S1454" s="40"/>
      <c r="T1454" s="38"/>
      <c r="U1454" s="38"/>
      <c r="V1454" s="38"/>
      <c r="W1454" s="60"/>
      <c r="AB1454" s="42"/>
      <c r="AC1454" s="35"/>
      <c r="AD1454" s="38"/>
      <c r="AE1454" s="38"/>
      <c r="AF1454" s="38"/>
      <c r="AG1454" s="38"/>
      <c r="AH1454" s="60"/>
    </row>
    <row r="1455" spans="1:34" ht="15.75" customHeight="1">
      <c r="A1455" s="35"/>
      <c r="B1455" s="78" t="s">
        <v>5193</v>
      </c>
      <c r="C1455" s="37" t="s">
        <v>46</v>
      </c>
      <c r="D1455" s="20" t="s">
        <v>5194</v>
      </c>
      <c r="E1455" s="20"/>
      <c r="F1455" s="37" t="s">
        <v>49</v>
      </c>
      <c r="G1455" s="19" t="s">
        <v>50</v>
      </c>
      <c r="H1455" s="19"/>
      <c r="I1455" s="21" t="s">
        <v>29</v>
      </c>
      <c r="J1455" s="21" t="s">
        <v>29</v>
      </c>
      <c r="K1455" s="22"/>
      <c r="L1455" s="56">
        <v>45083</v>
      </c>
      <c r="O1455" s="42"/>
      <c r="P1455" s="40"/>
      <c r="Q1455" s="61"/>
      <c r="R1455" s="61"/>
      <c r="S1455" s="40"/>
      <c r="T1455" s="38"/>
      <c r="U1455" s="38"/>
      <c r="V1455" s="38"/>
      <c r="W1455" s="60"/>
      <c r="AB1455" s="42"/>
      <c r="AC1455" s="35"/>
      <c r="AD1455" s="38"/>
      <c r="AE1455" s="38"/>
      <c r="AF1455" s="38"/>
      <c r="AG1455" s="38"/>
      <c r="AH1455" s="60"/>
    </row>
    <row r="1456" spans="1:34" ht="15.75" customHeight="1">
      <c r="A1456" s="35"/>
      <c r="B1456" s="78" t="s">
        <v>5195</v>
      </c>
      <c r="C1456" s="37" t="s">
        <v>46</v>
      </c>
      <c r="D1456" s="20" t="s">
        <v>5196</v>
      </c>
      <c r="E1456" s="20" t="s">
        <v>5197</v>
      </c>
      <c r="F1456" s="37" t="s">
        <v>49</v>
      </c>
      <c r="G1456" s="19" t="s">
        <v>50</v>
      </c>
      <c r="H1456" s="19"/>
      <c r="I1456" s="21" t="s">
        <v>29</v>
      </c>
      <c r="J1456" s="21" t="s">
        <v>29</v>
      </c>
      <c r="K1456" s="22" t="s">
        <v>5197</v>
      </c>
      <c r="L1456" s="56">
        <v>45083</v>
      </c>
      <c r="O1456" s="42"/>
      <c r="P1456" s="40"/>
      <c r="Q1456" s="61"/>
      <c r="R1456" s="61"/>
      <c r="S1456" s="40"/>
      <c r="T1456" s="38"/>
      <c r="U1456" s="38"/>
      <c r="V1456" s="38"/>
      <c r="W1456" s="60"/>
      <c r="AB1456" s="42"/>
      <c r="AC1456" s="35"/>
      <c r="AD1456" s="38"/>
      <c r="AE1456" s="38"/>
      <c r="AF1456" s="38"/>
      <c r="AG1456" s="38"/>
      <c r="AH1456" s="60"/>
    </row>
    <row r="1457" spans="1:34" ht="15.75" customHeight="1">
      <c r="A1457" s="35"/>
      <c r="B1457" s="80" t="s">
        <v>5198</v>
      </c>
      <c r="C1457" s="37" t="s">
        <v>87</v>
      </c>
      <c r="D1457" s="20" t="s">
        <v>5199</v>
      </c>
      <c r="E1457" s="20" t="s">
        <v>5200</v>
      </c>
      <c r="F1457" s="37" t="s">
        <v>49</v>
      </c>
      <c r="G1457" s="19" t="s">
        <v>50</v>
      </c>
      <c r="H1457" s="19"/>
      <c r="I1457" s="21" t="s">
        <v>29</v>
      </c>
      <c r="J1457" s="21" t="s">
        <v>29</v>
      </c>
      <c r="K1457" s="22" t="s">
        <v>5200</v>
      </c>
      <c r="L1457" s="56">
        <v>45083</v>
      </c>
      <c r="O1457" s="42"/>
      <c r="P1457" s="40"/>
      <c r="Q1457" s="61"/>
      <c r="R1457" s="61"/>
      <c r="S1457" s="40"/>
      <c r="T1457" s="38"/>
      <c r="U1457" s="38"/>
      <c r="V1457" s="38"/>
      <c r="W1457" s="60"/>
      <c r="AB1457" s="42"/>
      <c r="AC1457" s="35"/>
      <c r="AD1457" s="38"/>
      <c r="AE1457" s="38"/>
      <c r="AF1457" s="38"/>
      <c r="AG1457" s="38"/>
      <c r="AH1457" s="60"/>
    </row>
    <row r="1458" spans="1:34" ht="15.75" customHeight="1">
      <c r="A1458" s="35"/>
      <c r="B1458" s="78" t="s">
        <v>5201</v>
      </c>
      <c r="C1458" s="37" t="s">
        <v>46</v>
      </c>
      <c r="D1458" s="20" t="s">
        <v>5202</v>
      </c>
      <c r="E1458" s="20" t="s">
        <v>5203</v>
      </c>
      <c r="F1458" s="37" t="s">
        <v>49</v>
      </c>
      <c r="G1458" s="19" t="s">
        <v>50</v>
      </c>
      <c r="H1458" s="19"/>
      <c r="I1458" s="21" t="s">
        <v>29</v>
      </c>
      <c r="J1458" s="21" t="s">
        <v>29</v>
      </c>
      <c r="K1458" s="22" t="s">
        <v>5203</v>
      </c>
      <c r="L1458" s="56">
        <v>45083</v>
      </c>
      <c r="O1458" s="42"/>
      <c r="P1458" s="40"/>
      <c r="Q1458" s="61"/>
      <c r="R1458" s="61"/>
      <c r="S1458" s="40"/>
      <c r="T1458" s="38"/>
      <c r="U1458" s="38"/>
      <c r="V1458" s="38"/>
      <c r="W1458" s="60"/>
      <c r="AB1458" s="42"/>
      <c r="AC1458" s="35"/>
      <c r="AD1458" s="38"/>
      <c r="AE1458" s="38"/>
      <c r="AF1458" s="38"/>
      <c r="AG1458" s="38"/>
      <c r="AH1458" s="60"/>
    </row>
    <row r="1459" spans="1:34" ht="15.75" customHeight="1">
      <c r="A1459" s="35"/>
      <c r="B1459" s="78" t="s">
        <v>5204</v>
      </c>
      <c r="C1459" s="37" t="s">
        <v>24</v>
      </c>
      <c r="D1459" s="20" t="s">
        <v>5205</v>
      </c>
      <c r="E1459" s="20" t="s">
        <v>5206</v>
      </c>
      <c r="F1459" s="19" t="s">
        <v>27</v>
      </c>
      <c r="G1459" s="19" t="s">
        <v>28</v>
      </c>
      <c r="H1459" s="19"/>
      <c r="I1459" s="21" t="s">
        <v>29</v>
      </c>
      <c r="J1459" s="21" t="s">
        <v>29</v>
      </c>
      <c r="K1459" s="22" t="s">
        <v>5207</v>
      </c>
      <c r="L1459" s="56">
        <v>45083</v>
      </c>
      <c r="O1459" s="42"/>
      <c r="P1459" s="40"/>
      <c r="Q1459" s="61"/>
      <c r="R1459" s="61"/>
      <c r="S1459" s="40"/>
      <c r="T1459" s="38"/>
      <c r="U1459" s="38"/>
      <c r="V1459" s="38"/>
      <c r="W1459" s="60"/>
      <c r="AB1459" s="42"/>
      <c r="AC1459" s="35"/>
      <c r="AD1459" s="38"/>
      <c r="AE1459" s="38"/>
      <c r="AF1459" s="38"/>
      <c r="AG1459" s="38"/>
      <c r="AH1459" s="60"/>
    </row>
    <row r="1460" spans="1:34" ht="15.75" customHeight="1">
      <c r="A1460" s="35"/>
      <c r="B1460" s="78" t="s">
        <v>5208</v>
      </c>
      <c r="C1460" s="37" t="s">
        <v>24</v>
      </c>
      <c r="D1460" s="20" t="s">
        <v>5209</v>
      </c>
      <c r="E1460" s="20" t="s">
        <v>5210</v>
      </c>
      <c r="F1460" s="19" t="s">
        <v>27</v>
      </c>
      <c r="G1460" s="19" t="s">
        <v>28</v>
      </c>
      <c r="H1460" s="19"/>
      <c r="I1460" s="21" t="s">
        <v>29</v>
      </c>
      <c r="J1460" s="21" t="s">
        <v>29</v>
      </c>
      <c r="K1460" s="22" t="s">
        <v>5211</v>
      </c>
      <c r="L1460" s="56">
        <v>45083</v>
      </c>
      <c r="O1460" s="42"/>
      <c r="P1460" s="40"/>
      <c r="Q1460" s="61"/>
      <c r="R1460" s="61"/>
      <c r="S1460" s="40"/>
      <c r="T1460" s="38"/>
      <c r="U1460" s="38"/>
      <c r="V1460" s="38"/>
      <c r="W1460" s="60"/>
      <c r="AB1460" s="42"/>
      <c r="AC1460" s="35"/>
      <c r="AD1460" s="38"/>
      <c r="AE1460" s="38"/>
      <c r="AF1460" s="38"/>
      <c r="AG1460" s="38"/>
      <c r="AH1460" s="60"/>
    </row>
    <row r="1461" spans="1:34" ht="15.75" customHeight="1">
      <c r="A1461" s="35"/>
      <c r="B1461" s="78" t="s">
        <v>5212</v>
      </c>
      <c r="C1461" s="37" t="s">
        <v>24</v>
      </c>
      <c r="D1461" s="20" t="s">
        <v>5213</v>
      </c>
      <c r="E1461" s="20" t="s">
        <v>5214</v>
      </c>
      <c r="F1461" s="19" t="s">
        <v>27</v>
      </c>
      <c r="G1461" s="19" t="s">
        <v>28</v>
      </c>
      <c r="H1461" s="19"/>
      <c r="I1461" s="21" t="s">
        <v>29</v>
      </c>
      <c r="J1461" s="21" t="s">
        <v>29</v>
      </c>
      <c r="K1461" s="22" t="s">
        <v>5215</v>
      </c>
      <c r="L1461" s="56">
        <v>45083</v>
      </c>
      <c r="O1461" s="42"/>
      <c r="P1461" s="40"/>
      <c r="Q1461" s="61"/>
      <c r="R1461" s="61"/>
      <c r="S1461" s="40"/>
      <c r="T1461" s="38"/>
      <c r="U1461" s="38"/>
      <c r="V1461" s="38"/>
      <c r="W1461" s="60"/>
      <c r="AB1461" s="42"/>
      <c r="AC1461" s="35"/>
      <c r="AD1461" s="38"/>
      <c r="AE1461" s="38"/>
      <c r="AF1461" s="38"/>
      <c r="AG1461" s="38"/>
      <c r="AH1461" s="60"/>
    </row>
    <row r="1462" spans="1:34" ht="15.75" customHeight="1">
      <c r="A1462" s="35"/>
      <c r="B1462" s="78" t="s">
        <v>5216</v>
      </c>
      <c r="C1462" s="37" t="s">
        <v>46</v>
      </c>
      <c r="D1462" s="20" t="s">
        <v>5217</v>
      </c>
      <c r="E1462" s="20" t="s">
        <v>5218</v>
      </c>
      <c r="F1462" s="37" t="s">
        <v>49</v>
      </c>
      <c r="G1462" s="19" t="s">
        <v>50</v>
      </c>
      <c r="H1462" s="19"/>
      <c r="I1462" s="21" t="s">
        <v>29</v>
      </c>
      <c r="J1462" s="21" t="s">
        <v>29</v>
      </c>
      <c r="K1462" s="22" t="s">
        <v>5219</v>
      </c>
      <c r="L1462" s="56">
        <v>45083</v>
      </c>
      <c r="O1462" s="42"/>
      <c r="P1462" s="40"/>
      <c r="Q1462" s="61"/>
      <c r="R1462" s="61"/>
      <c r="S1462" s="40"/>
      <c r="T1462" s="38"/>
      <c r="U1462" s="38"/>
      <c r="V1462" s="38"/>
      <c r="W1462" s="60"/>
      <c r="AB1462" s="42"/>
      <c r="AC1462" s="35"/>
      <c r="AD1462" s="38"/>
      <c r="AE1462" s="38"/>
      <c r="AF1462" s="38"/>
      <c r="AG1462" s="38"/>
      <c r="AH1462" s="60"/>
    </row>
    <row r="1463" spans="1:34" ht="15.75" customHeight="1">
      <c r="A1463" s="35"/>
      <c r="B1463" s="78" t="s">
        <v>5220</v>
      </c>
      <c r="C1463" s="37" t="s">
        <v>24</v>
      </c>
      <c r="D1463" s="20" t="s">
        <v>5221</v>
      </c>
      <c r="E1463" s="20" t="s">
        <v>5222</v>
      </c>
      <c r="F1463" s="19" t="s">
        <v>27</v>
      </c>
      <c r="G1463" s="19" t="s">
        <v>28</v>
      </c>
      <c r="H1463" s="19"/>
      <c r="I1463" s="21" t="s">
        <v>29</v>
      </c>
      <c r="J1463" s="21" t="s">
        <v>29</v>
      </c>
      <c r="K1463" s="22" t="s">
        <v>5223</v>
      </c>
      <c r="L1463" s="56">
        <v>45083</v>
      </c>
      <c r="O1463" s="42"/>
      <c r="P1463" s="40"/>
      <c r="Q1463" s="61"/>
      <c r="R1463" s="61"/>
      <c r="S1463" s="40"/>
      <c r="T1463" s="38"/>
      <c r="U1463" s="38"/>
      <c r="V1463" s="38"/>
      <c r="W1463" s="60"/>
      <c r="AB1463" s="42"/>
      <c r="AC1463" s="35"/>
      <c r="AD1463" s="38"/>
      <c r="AE1463" s="38"/>
      <c r="AF1463" s="38"/>
      <c r="AG1463" s="38"/>
      <c r="AH1463" s="60"/>
    </row>
    <row r="1464" spans="1:34" ht="15.75" customHeight="1">
      <c r="A1464" s="35"/>
      <c r="B1464" s="78" t="s">
        <v>5224</v>
      </c>
      <c r="C1464" s="37" t="s">
        <v>24</v>
      </c>
      <c r="D1464" s="20" t="s">
        <v>5225</v>
      </c>
      <c r="E1464" s="20" t="s">
        <v>5226</v>
      </c>
      <c r="F1464" s="19" t="s">
        <v>27</v>
      </c>
      <c r="G1464" s="19" t="s">
        <v>28</v>
      </c>
      <c r="H1464" s="37" t="s">
        <v>762</v>
      </c>
      <c r="I1464" s="21" t="s">
        <v>29</v>
      </c>
      <c r="J1464" s="21" t="s">
        <v>29</v>
      </c>
      <c r="K1464" s="22" t="s">
        <v>5227</v>
      </c>
      <c r="L1464" s="56">
        <v>45083</v>
      </c>
      <c r="O1464" s="42"/>
      <c r="P1464" s="40"/>
      <c r="Q1464" s="61"/>
      <c r="R1464" s="61"/>
      <c r="S1464" s="40"/>
      <c r="T1464" s="38"/>
      <c r="U1464" s="38"/>
      <c r="V1464" s="38"/>
      <c r="W1464" s="60"/>
      <c r="AB1464" s="42"/>
      <c r="AC1464" s="35"/>
      <c r="AD1464" s="38"/>
      <c r="AE1464" s="38"/>
      <c r="AF1464" s="38"/>
      <c r="AG1464" s="38"/>
      <c r="AH1464" s="60"/>
    </row>
    <row r="1465" spans="1:34" ht="15.75" customHeight="1">
      <c r="A1465" s="35"/>
      <c r="B1465" s="78" t="s">
        <v>5228</v>
      </c>
      <c r="C1465" s="37" t="s">
        <v>24</v>
      </c>
      <c r="D1465" s="20" t="s">
        <v>5229</v>
      </c>
      <c r="E1465" s="20" t="s">
        <v>5230</v>
      </c>
      <c r="F1465" s="19" t="s">
        <v>27</v>
      </c>
      <c r="G1465" s="19" t="s">
        <v>28</v>
      </c>
      <c r="H1465" s="19"/>
      <c r="I1465" s="21" t="s">
        <v>29</v>
      </c>
      <c r="J1465" s="21" t="s">
        <v>29</v>
      </c>
      <c r="K1465" s="22" t="s">
        <v>5231</v>
      </c>
      <c r="L1465" s="56">
        <v>45083</v>
      </c>
      <c r="O1465" s="42"/>
      <c r="P1465" s="40"/>
      <c r="Q1465" s="61"/>
      <c r="R1465" s="61"/>
      <c r="S1465" s="40"/>
      <c r="T1465" s="38"/>
      <c r="U1465" s="38"/>
      <c r="V1465" s="38"/>
      <c r="W1465" s="60"/>
      <c r="AB1465" s="42"/>
      <c r="AC1465" s="35"/>
      <c r="AD1465" s="38"/>
      <c r="AE1465" s="38"/>
      <c r="AF1465" s="38"/>
      <c r="AG1465" s="38"/>
      <c r="AH1465" s="60"/>
    </row>
    <row r="1466" spans="1:34" ht="15.75" customHeight="1">
      <c r="A1466" s="35"/>
      <c r="B1466" s="81" t="s">
        <v>5232</v>
      </c>
      <c r="C1466" s="37" t="s">
        <v>46</v>
      </c>
      <c r="D1466" s="20" t="s">
        <v>55</v>
      </c>
      <c r="E1466" s="20" t="s">
        <v>5233</v>
      </c>
      <c r="F1466" s="37" t="s">
        <v>49</v>
      </c>
      <c r="G1466" s="19" t="s">
        <v>50</v>
      </c>
      <c r="H1466" s="19"/>
      <c r="I1466" s="21" t="s">
        <v>29</v>
      </c>
      <c r="J1466" s="21" t="s">
        <v>29</v>
      </c>
      <c r="K1466" s="22"/>
      <c r="L1466" s="56">
        <v>45083</v>
      </c>
      <c r="O1466" s="42"/>
      <c r="P1466" s="40"/>
      <c r="Q1466" s="61"/>
      <c r="R1466" s="61"/>
      <c r="S1466" s="40"/>
      <c r="T1466" s="38"/>
      <c r="U1466" s="38"/>
      <c r="V1466" s="38"/>
      <c r="W1466" s="60"/>
      <c r="AB1466" s="42"/>
      <c r="AC1466" s="35"/>
      <c r="AD1466" s="38"/>
      <c r="AE1466" s="38"/>
      <c r="AF1466" s="38"/>
      <c r="AG1466" s="38"/>
      <c r="AH1466" s="60"/>
    </row>
    <row r="1467" spans="1:34" ht="15.75" customHeight="1">
      <c r="A1467" s="35"/>
      <c r="B1467" s="82" t="s">
        <v>5234</v>
      </c>
      <c r="C1467" s="37" t="s">
        <v>24</v>
      </c>
      <c r="D1467" s="20" t="s">
        <v>5235</v>
      </c>
      <c r="E1467" s="20" t="s">
        <v>5236</v>
      </c>
      <c r="F1467" s="19" t="s">
        <v>27</v>
      </c>
      <c r="G1467" s="19" t="s">
        <v>28</v>
      </c>
      <c r="H1467" s="19"/>
      <c r="I1467" s="21" t="s">
        <v>29</v>
      </c>
      <c r="J1467" s="21" t="s">
        <v>29</v>
      </c>
      <c r="K1467" s="22" t="s">
        <v>5237</v>
      </c>
      <c r="L1467" s="56">
        <v>45083</v>
      </c>
      <c r="O1467" s="42"/>
      <c r="P1467" s="40"/>
      <c r="Q1467" s="61"/>
      <c r="R1467" s="61"/>
      <c r="S1467" s="40"/>
      <c r="T1467" s="38"/>
      <c r="U1467" s="38"/>
      <c r="V1467" s="38"/>
      <c r="W1467" s="60"/>
      <c r="AB1467" s="42"/>
      <c r="AC1467" s="35"/>
      <c r="AD1467" s="38"/>
      <c r="AE1467" s="38"/>
      <c r="AF1467" s="38"/>
      <c r="AG1467" s="38"/>
      <c r="AH1467" s="60"/>
    </row>
    <row r="1468" spans="1:34" ht="15.75" customHeight="1">
      <c r="A1468" s="35"/>
      <c r="B1468" s="78" t="s">
        <v>5238</v>
      </c>
      <c r="C1468" s="37" t="s">
        <v>87</v>
      </c>
      <c r="D1468" s="20" t="s">
        <v>5239</v>
      </c>
      <c r="E1468" s="20" t="s">
        <v>5240</v>
      </c>
      <c r="F1468" s="37" t="s">
        <v>49</v>
      </c>
      <c r="G1468" s="19" t="s">
        <v>91</v>
      </c>
      <c r="H1468" s="19"/>
      <c r="I1468" s="21" t="s">
        <v>29</v>
      </c>
      <c r="J1468" s="21" t="s">
        <v>29</v>
      </c>
      <c r="K1468" s="22" t="s">
        <v>5241</v>
      </c>
      <c r="L1468" s="56">
        <v>45083</v>
      </c>
      <c r="O1468" s="42"/>
      <c r="P1468" s="40"/>
      <c r="Q1468" s="61"/>
      <c r="R1468" s="61"/>
      <c r="S1468" s="40"/>
      <c r="T1468" s="38"/>
      <c r="U1468" s="38"/>
      <c r="V1468" s="38"/>
      <c r="W1468" s="60"/>
      <c r="AB1468" s="42"/>
      <c r="AC1468" s="35"/>
      <c r="AD1468" s="38"/>
      <c r="AE1468" s="38"/>
      <c r="AF1468" s="38"/>
      <c r="AG1468" s="38"/>
      <c r="AH1468" s="60"/>
    </row>
    <row r="1469" spans="1:34" ht="15.75" customHeight="1">
      <c r="A1469" s="35"/>
      <c r="B1469" s="83" t="s">
        <v>5242</v>
      </c>
      <c r="C1469" s="19" t="s">
        <v>121</v>
      </c>
      <c r="D1469" s="20" t="s">
        <v>5243</v>
      </c>
      <c r="E1469" s="20" t="s">
        <v>5244</v>
      </c>
      <c r="F1469" s="19" t="s">
        <v>27</v>
      </c>
      <c r="G1469" s="84" t="s">
        <v>359</v>
      </c>
      <c r="H1469" s="19"/>
      <c r="I1469" s="21" t="s">
        <v>29</v>
      </c>
      <c r="J1469" s="84" t="s">
        <v>359</v>
      </c>
      <c r="K1469" s="22" t="s">
        <v>5245</v>
      </c>
      <c r="L1469" s="56">
        <v>45083</v>
      </c>
      <c r="O1469" s="42"/>
      <c r="P1469" s="40"/>
      <c r="Q1469" s="61"/>
      <c r="R1469" s="61"/>
      <c r="S1469" s="40"/>
      <c r="T1469" s="38"/>
      <c r="U1469" s="38"/>
      <c r="V1469" s="38"/>
      <c r="W1469" s="60"/>
      <c r="AB1469" s="42"/>
      <c r="AC1469" s="35"/>
      <c r="AD1469" s="38"/>
      <c r="AE1469" s="38"/>
      <c r="AF1469" s="38"/>
      <c r="AG1469" s="38"/>
      <c r="AH1469" s="60"/>
    </row>
    <row r="1470" spans="1:34" ht="15.75" customHeight="1">
      <c r="A1470" s="35"/>
      <c r="B1470" s="81" t="s">
        <v>5246</v>
      </c>
      <c r="C1470" s="37" t="s">
        <v>46</v>
      </c>
      <c r="D1470" s="20" t="s">
        <v>5247</v>
      </c>
      <c r="E1470" s="20"/>
      <c r="F1470" s="37" t="s">
        <v>286</v>
      </c>
      <c r="G1470" s="19" t="s">
        <v>50</v>
      </c>
      <c r="H1470" s="19"/>
      <c r="I1470" s="21" t="s">
        <v>286</v>
      </c>
      <c r="J1470" s="21" t="s">
        <v>29</v>
      </c>
      <c r="K1470" s="22"/>
      <c r="L1470" s="56"/>
      <c r="O1470" s="42"/>
      <c r="P1470" s="40"/>
      <c r="Q1470" s="61"/>
      <c r="R1470" s="61"/>
      <c r="S1470" s="40"/>
      <c r="T1470" s="38"/>
      <c r="U1470" s="38"/>
      <c r="V1470" s="38"/>
      <c r="W1470" s="60"/>
      <c r="AB1470" s="42"/>
      <c r="AC1470" s="35"/>
      <c r="AD1470" s="38"/>
      <c r="AE1470" s="38"/>
      <c r="AF1470" s="38"/>
      <c r="AG1470" s="38"/>
      <c r="AH1470" s="60"/>
    </row>
    <row r="1471" spans="1:34" ht="15.75" customHeight="1">
      <c r="A1471" s="35"/>
      <c r="B1471" s="78" t="s">
        <v>5248</v>
      </c>
      <c r="C1471" s="37" t="s">
        <v>24</v>
      </c>
      <c r="D1471" s="20" t="s">
        <v>5249</v>
      </c>
      <c r="E1471" s="20" t="s">
        <v>5250</v>
      </c>
      <c r="F1471" s="19" t="s">
        <v>27</v>
      </c>
      <c r="G1471" s="19" t="s">
        <v>28</v>
      </c>
      <c r="H1471" s="19"/>
      <c r="I1471" s="21" t="s">
        <v>29</v>
      </c>
      <c r="J1471" s="21" t="s">
        <v>29</v>
      </c>
      <c r="K1471" s="22" t="s">
        <v>5251</v>
      </c>
      <c r="L1471" s="56">
        <v>45083</v>
      </c>
      <c r="O1471" s="42"/>
      <c r="P1471" s="40"/>
      <c r="Q1471" s="61"/>
      <c r="R1471" s="61"/>
      <c r="S1471" s="40"/>
      <c r="T1471" s="38"/>
      <c r="U1471" s="38"/>
      <c r="V1471" s="38"/>
      <c r="W1471" s="60"/>
      <c r="AB1471" s="42"/>
      <c r="AC1471" s="35"/>
      <c r="AD1471" s="38"/>
      <c r="AE1471" s="38"/>
      <c r="AF1471" s="38"/>
      <c r="AG1471" s="38"/>
      <c r="AH1471" s="60"/>
    </row>
    <row r="1472" spans="1:34" ht="15.75" customHeight="1">
      <c r="A1472" s="35"/>
      <c r="B1472" s="78" t="s">
        <v>5252</v>
      </c>
      <c r="C1472" s="37" t="s">
        <v>24</v>
      </c>
      <c r="D1472" s="20" t="s">
        <v>5253</v>
      </c>
      <c r="E1472" s="20" t="s">
        <v>5254</v>
      </c>
      <c r="F1472" s="19" t="s">
        <v>27</v>
      </c>
      <c r="G1472" s="19" t="s">
        <v>28</v>
      </c>
      <c r="H1472" s="19"/>
      <c r="I1472" s="21" t="s">
        <v>29</v>
      </c>
      <c r="J1472" s="21" t="s">
        <v>29</v>
      </c>
      <c r="K1472" s="22" t="s">
        <v>5255</v>
      </c>
      <c r="L1472" s="56">
        <v>45083</v>
      </c>
      <c r="O1472" s="42"/>
      <c r="P1472" s="40"/>
      <c r="Q1472" s="61"/>
      <c r="R1472" s="61"/>
      <c r="S1472" s="40"/>
      <c r="T1472" s="38"/>
      <c r="U1472" s="38"/>
      <c r="V1472" s="38"/>
      <c r="W1472" s="60"/>
      <c r="AB1472" s="42"/>
      <c r="AC1472" s="35"/>
      <c r="AD1472" s="38"/>
      <c r="AE1472" s="38"/>
      <c r="AF1472" s="38"/>
      <c r="AG1472" s="38"/>
      <c r="AH1472" s="60"/>
    </row>
    <row r="1473" spans="1:34" ht="15.75" customHeight="1">
      <c r="A1473" s="35"/>
      <c r="B1473" s="78" t="s">
        <v>5256</v>
      </c>
      <c r="C1473" s="37" t="s">
        <v>24</v>
      </c>
      <c r="D1473" s="20" t="s">
        <v>5257</v>
      </c>
      <c r="E1473" s="20" t="s">
        <v>5258</v>
      </c>
      <c r="F1473" s="19" t="s">
        <v>27</v>
      </c>
      <c r="G1473" s="19" t="s">
        <v>28</v>
      </c>
      <c r="H1473" s="19"/>
      <c r="I1473" s="21" t="s">
        <v>29</v>
      </c>
      <c r="J1473" s="21" t="s">
        <v>29</v>
      </c>
      <c r="K1473" s="22" t="s">
        <v>5259</v>
      </c>
      <c r="L1473" s="56">
        <v>45083</v>
      </c>
      <c r="O1473" s="42"/>
      <c r="P1473" s="40"/>
      <c r="Q1473" s="61"/>
      <c r="R1473" s="61"/>
      <c r="S1473" s="40"/>
      <c r="T1473" s="38"/>
      <c r="U1473" s="38"/>
      <c r="V1473" s="38"/>
      <c r="W1473" s="60"/>
      <c r="AB1473" s="42"/>
      <c r="AC1473" s="35"/>
      <c r="AD1473" s="38"/>
      <c r="AE1473" s="38"/>
      <c r="AF1473" s="38"/>
      <c r="AG1473" s="38"/>
      <c r="AH1473" s="60"/>
    </row>
    <row r="1474" spans="1:34" ht="15.75" customHeight="1">
      <c r="A1474" s="35"/>
      <c r="B1474" s="80" t="s">
        <v>5260</v>
      </c>
      <c r="C1474" s="37" t="s">
        <v>87</v>
      </c>
      <c r="D1474" s="20" t="s">
        <v>5261</v>
      </c>
      <c r="E1474" s="20" t="s">
        <v>5262</v>
      </c>
      <c r="F1474" s="37" t="s">
        <v>49</v>
      </c>
      <c r="G1474" s="19" t="s">
        <v>50</v>
      </c>
      <c r="H1474" s="19"/>
      <c r="I1474" s="21" t="s">
        <v>29</v>
      </c>
      <c r="J1474" s="21" t="s">
        <v>29</v>
      </c>
      <c r="K1474" s="22" t="s">
        <v>5263</v>
      </c>
      <c r="L1474" s="56">
        <v>45083</v>
      </c>
      <c r="O1474" s="42"/>
      <c r="P1474" s="40"/>
      <c r="Q1474" s="61"/>
      <c r="R1474" s="61"/>
      <c r="S1474" s="40"/>
      <c r="T1474" s="38"/>
      <c r="U1474" s="38"/>
      <c r="V1474" s="38"/>
      <c r="W1474" s="60"/>
      <c r="AB1474" s="42"/>
      <c r="AC1474" s="35"/>
      <c r="AD1474" s="38"/>
      <c r="AE1474" s="38"/>
      <c r="AF1474" s="38"/>
      <c r="AG1474" s="38"/>
      <c r="AH1474" s="60"/>
    </row>
    <row r="1475" spans="1:34" ht="15.75" customHeight="1">
      <c r="A1475" s="35"/>
      <c r="B1475" s="83" t="s">
        <v>5264</v>
      </c>
      <c r="C1475" s="19" t="s">
        <v>121</v>
      </c>
      <c r="D1475" s="20" t="s">
        <v>5265</v>
      </c>
      <c r="E1475" s="20" t="s">
        <v>5266</v>
      </c>
      <c r="F1475" s="19" t="s">
        <v>27</v>
      </c>
      <c r="G1475" s="84" t="s">
        <v>359</v>
      </c>
      <c r="H1475" s="19"/>
      <c r="I1475" s="21" t="s">
        <v>29</v>
      </c>
      <c r="J1475" s="84" t="s">
        <v>359</v>
      </c>
      <c r="K1475" s="22" t="s">
        <v>5267</v>
      </c>
      <c r="L1475" s="56">
        <v>45083</v>
      </c>
      <c r="O1475" s="42"/>
      <c r="P1475" s="40"/>
      <c r="Q1475" s="61"/>
      <c r="R1475" s="61"/>
      <c r="S1475" s="40"/>
      <c r="T1475" s="38"/>
      <c r="U1475" s="38"/>
      <c r="V1475" s="38"/>
      <c r="W1475" s="60"/>
      <c r="AB1475" s="42"/>
      <c r="AC1475" s="35"/>
      <c r="AD1475" s="38"/>
      <c r="AE1475" s="38"/>
      <c r="AF1475" s="38"/>
      <c r="AG1475" s="38"/>
      <c r="AH1475" s="60"/>
    </row>
    <row r="1476" spans="1:34" ht="15.75" customHeight="1">
      <c r="A1476" s="35"/>
      <c r="B1476" s="78" t="s">
        <v>5268</v>
      </c>
      <c r="C1476" s="37" t="s">
        <v>24</v>
      </c>
      <c r="D1476" s="20" t="s">
        <v>5269</v>
      </c>
      <c r="E1476" s="20" t="s">
        <v>5270</v>
      </c>
      <c r="F1476" s="19" t="s">
        <v>27</v>
      </c>
      <c r="G1476" s="19" t="s">
        <v>28</v>
      </c>
      <c r="H1476" s="19"/>
      <c r="I1476" s="21" t="s">
        <v>29</v>
      </c>
      <c r="J1476" s="21" t="s">
        <v>29</v>
      </c>
      <c r="K1476" s="22" t="s">
        <v>5271</v>
      </c>
      <c r="L1476" s="56">
        <v>45083</v>
      </c>
      <c r="O1476" s="42"/>
      <c r="P1476" s="40"/>
      <c r="Q1476" s="61"/>
      <c r="R1476" s="61"/>
      <c r="S1476" s="40"/>
      <c r="T1476" s="38"/>
      <c r="U1476" s="38"/>
      <c r="V1476" s="38"/>
      <c r="W1476" s="60"/>
      <c r="AB1476" s="42"/>
      <c r="AC1476" s="35"/>
      <c r="AD1476" s="38"/>
      <c r="AE1476" s="38"/>
      <c r="AF1476" s="38"/>
      <c r="AG1476" s="38"/>
      <c r="AH1476" s="60"/>
    </row>
    <row r="1477" spans="1:34" ht="15.75" customHeight="1">
      <c r="A1477" s="35"/>
      <c r="B1477" s="78" t="s">
        <v>5272</v>
      </c>
      <c r="C1477" s="37" t="s">
        <v>24</v>
      </c>
      <c r="D1477" s="20" t="s">
        <v>5273</v>
      </c>
      <c r="E1477" s="20" t="s">
        <v>5274</v>
      </c>
      <c r="F1477" s="19" t="s">
        <v>27</v>
      </c>
      <c r="G1477" s="19" t="s">
        <v>28</v>
      </c>
      <c r="H1477" s="19"/>
      <c r="I1477" s="21" t="s">
        <v>29</v>
      </c>
      <c r="J1477" s="21" t="s">
        <v>29</v>
      </c>
      <c r="K1477" s="22" t="s">
        <v>5275</v>
      </c>
      <c r="L1477" s="56">
        <v>45083</v>
      </c>
      <c r="O1477" s="42"/>
      <c r="P1477" s="40"/>
      <c r="Q1477" s="61"/>
      <c r="R1477" s="61"/>
      <c r="S1477" s="40"/>
      <c r="T1477" s="38"/>
      <c r="U1477" s="38"/>
      <c r="V1477" s="38"/>
      <c r="W1477" s="60"/>
      <c r="AB1477" s="42"/>
      <c r="AC1477" s="35"/>
      <c r="AD1477" s="38"/>
      <c r="AE1477" s="38"/>
      <c r="AF1477" s="38"/>
      <c r="AG1477" s="38"/>
      <c r="AH1477" s="60"/>
    </row>
    <row r="1478" spans="1:34" ht="15.75" customHeight="1">
      <c r="A1478" s="35"/>
      <c r="B1478" s="78" t="s">
        <v>5276</v>
      </c>
      <c r="C1478" s="37" t="s">
        <v>46</v>
      </c>
      <c r="D1478" s="20" t="s">
        <v>5277</v>
      </c>
      <c r="E1478" s="20"/>
      <c r="F1478" s="37" t="s">
        <v>49</v>
      </c>
      <c r="G1478" s="19" t="s">
        <v>50</v>
      </c>
      <c r="H1478" s="19"/>
      <c r="I1478" s="21" t="s">
        <v>29</v>
      </c>
      <c r="J1478" s="21" t="s">
        <v>29</v>
      </c>
      <c r="K1478" s="22"/>
      <c r="L1478" s="56">
        <v>45083</v>
      </c>
      <c r="O1478" s="42"/>
      <c r="P1478" s="40"/>
      <c r="Q1478" s="61"/>
      <c r="R1478" s="61"/>
      <c r="S1478" s="40"/>
      <c r="T1478" s="38"/>
      <c r="U1478" s="38"/>
      <c r="V1478" s="38"/>
      <c r="W1478" s="60"/>
      <c r="AB1478" s="42"/>
      <c r="AC1478" s="35"/>
      <c r="AD1478" s="38"/>
      <c r="AE1478" s="38"/>
      <c r="AF1478" s="38"/>
      <c r="AG1478" s="38"/>
      <c r="AH1478" s="60"/>
    </row>
    <row r="1479" spans="1:34" ht="15.75" customHeight="1">
      <c r="A1479" s="35"/>
      <c r="B1479" s="78" t="s">
        <v>5278</v>
      </c>
      <c r="C1479" s="37" t="s">
        <v>46</v>
      </c>
      <c r="D1479" s="20" t="s">
        <v>5279</v>
      </c>
      <c r="E1479" s="20" t="s">
        <v>5280</v>
      </c>
      <c r="F1479" s="37" t="s">
        <v>49</v>
      </c>
      <c r="G1479" s="19" t="s">
        <v>50</v>
      </c>
      <c r="H1479" s="19"/>
      <c r="I1479" s="21" t="s">
        <v>29</v>
      </c>
      <c r="J1479" s="21" t="s">
        <v>29</v>
      </c>
      <c r="K1479" s="22" t="s">
        <v>5280</v>
      </c>
      <c r="L1479" s="56">
        <v>45083</v>
      </c>
      <c r="O1479" s="42"/>
      <c r="P1479" s="40"/>
      <c r="Q1479" s="61"/>
      <c r="R1479" s="61"/>
      <c r="S1479" s="40"/>
      <c r="T1479" s="38"/>
      <c r="U1479" s="38"/>
      <c r="V1479" s="38"/>
      <c r="W1479" s="60"/>
      <c r="AB1479" s="42"/>
      <c r="AC1479" s="35"/>
      <c r="AD1479" s="38"/>
      <c r="AE1479" s="38"/>
      <c r="AF1479" s="38"/>
      <c r="AG1479" s="38"/>
      <c r="AH1479" s="60"/>
    </row>
    <row r="1480" spans="1:34" ht="15.75" customHeight="1">
      <c r="A1480" s="35"/>
      <c r="B1480" s="78" t="s">
        <v>5281</v>
      </c>
      <c r="C1480" s="37" t="s">
        <v>24</v>
      </c>
      <c r="D1480" s="20" t="s">
        <v>5282</v>
      </c>
      <c r="E1480" s="20" t="s">
        <v>5283</v>
      </c>
      <c r="F1480" s="19" t="s">
        <v>27</v>
      </c>
      <c r="G1480" s="19" t="s">
        <v>28</v>
      </c>
      <c r="H1480" s="19"/>
      <c r="I1480" s="21" t="s">
        <v>29</v>
      </c>
      <c r="J1480" s="21" t="s">
        <v>29</v>
      </c>
      <c r="K1480" s="22" t="s">
        <v>5284</v>
      </c>
      <c r="L1480" s="56">
        <v>45083</v>
      </c>
      <c r="O1480" s="42"/>
      <c r="P1480" s="40"/>
      <c r="Q1480" s="61"/>
      <c r="R1480" s="61"/>
      <c r="S1480" s="40"/>
      <c r="T1480" s="38"/>
      <c r="U1480" s="38"/>
      <c r="V1480" s="38"/>
      <c r="W1480" s="60"/>
      <c r="AB1480" s="42"/>
      <c r="AC1480" s="35"/>
      <c r="AD1480" s="38"/>
      <c r="AE1480" s="38"/>
      <c r="AF1480" s="38"/>
      <c r="AG1480" s="38"/>
      <c r="AH1480" s="60"/>
    </row>
    <row r="1481" spans="1:34" ht="15.75" customHeight="1">
      <c r="A1481" s="35"/>
      <c r="B1481" s="78" t="s">
        <v>5285</v>
      </c>
      <c r="C1481" s="37" t="s">
        <v>46</v>
      </c>
      <c r="D1481" s="20" t="s">
        <v>5286</v>
      </c>
      <c r="E1481" s="20" t="s">
        <v>5287</v>
      </c>
      <c r="F1481" s="37" t="s">
        <v>49</v>
      </c>
      <c r="G1481" s="19" t="s">
        <v>50</v>
      </c>
      <c r="H1481" s="19"/>
      <c r="I1481" s="21" t="s">
        <v>29</v>
      </c>
      <c r="J1481" s="21" t="s">
        <v>29</v>
      </c>
      <c r="K1481" s="22" t="s">
        <v>5288</v>
      </c>
      <c r="L1481" s="56">
        <v>45083</v>
      </c>
      <c r="O1481" s="42"/>
      <c r="P1481" s="40"/>
      <c r="Q1481" s="61"/>
      <c r="R1481" s="61"/>
      <c r="S1481" s="40"/>
      <c r="T1481" s="38"/>
      <c r="U1481" s="38"/>
      <c r="V1481" s="38"/>
      <c r="W1481" s="60"/>
      <c r="AB1481" s="42"/>
      <c r="AC1481" s="35"/>
      <c r="AD1481" s="38"/>
      <c r="AE1481" s="38"/>
      <c r="AF1481" s="38"/>
      <c r="AG1481" s="38"/>
      <c r="AH1481" s="60"/>
    </row>
    <row r="1482" spans="1:34" ht="15.75" customHeight="1">
      <c r="A1482" s="35"/>
      <c r="B1482" s="80" t="s">
        <v>5289</v>
      </c>
      <c r="C1482" s="37" t="s">
        <v>87</v>
      </c>
      <c r="D1482" s="20" t="s">
        <v>5290</v>
      </c>
      <c r="E1482" s="20" t="s">
        <v>5291</v>
      </c>
      <c r="F1482" s="37" t="s">
        <v>49</v>
      </c>
      <c r="G1482" s="19" t="s">
        <v>50</v>
      </c>
      <c r="H1482" s="19"/>
      <c r="I1482" s="21" t="s">
        <v>29</v>
      </c>
      <c r="J1482" s="21" t="s">
        <v>29</v>
      </c>
      <c r="K1482" s="22" t="s">
        <v>5291</v>
      </c>
      <c r="L1482" s="56">
        <v>45083</v>
      </c>
      <c r="O1482" s="42"/>
      <c r="P1482" s="40"/>
      <c r="Q1482" s="61"/>
      <c r="R1482" s="61"/>
      <c r="S1482" s="40"/>
      <c r="T1482" s="38"/>
      <c r="U1482" s="38"/>
      <c r="V1482" s="38"/>
      <c r="W1482" s="60"/>
      <c r="AB1482" s="42"/>
      <c r="AC1482" s="35"/>
      <c r="AD1482" s="38"/>
      <c r="AE1482" s="38"/>
      <c r="AF1482" s="38"/>
      <c r="AG1482" s="38"/>
      <c r="AH1482" s="60"/>
    </row>
    <row r="1483" spans="1:34" ht="15.75" customHeight="1">
      <c r="A1483" s="35"/>
      <c r="B1483" s="78" t="s">
        <v>5292</v>
      </c>
      <c r="C1483" s="37" t="s">
        <v>24</v>
      </c>
      <c r="D1483" s="20" t="s">
        <v>5293</v>
      </c>
      <c r="E1483" s="20" t="s">
        <v>5294</v>
      </c>
      <c r="F1483" s="19" t="s">
        <v>27</v>
      </c>
      <c r="G1483" s="19" t="s">
        <v>28</v>
      </c>
      <c r="H1483" s="19"/>
      <c r="I1483" s="21" t="s">
        <v>29</v>
      </c>
      <c r="J1483" s="21" t="s">
        <v>29</v>
      </c>
      <c r="K1483" s="22" t="s">
        <v>5295</v>
      </c>
      <c r="L1483" s="56">
        <v>45083</v>
      </c>
      <c r="O1483" s="42"/>
      <c r="P1483" s="40"/>
      <c r="Q1483" s="61"/>
      <c r="R1483" s="61"/>
      <c r="S1483" s="40"/>
      <c r="T1483" s="38"/>
      <c r="U1483" s="38"/>
      <c r="V1483" s="38"/>
      <c r="W1483" s="60"/>
      <c r="AB1483" s="42"/>
      <c r="AC1483" s="35"/>
      <c r="AD1483" s="38"/>
      <c r="AE1483" s="38"/>
      <c r="AF1483" s="38"/>
      <c r="AG1483" s="38"/>
      <c r="AH1483" s="60"/>
    </row>
    <row r="1484" spans="1:34" ht="15.75" customHeight="1">
      <c r="A1484" s="35"/>
      <c r="B1484" s="78" t="s">
        <v>5296</v>
      </c>
      <c r="C1484" s="37" t="s">
        <v>24</v>
      </c>
      <c r="D1484" s="20" t="s">
        <v>5297</v>
      </c>
      <c r="E1484" s="20" t="s">
        <v>5298</v>
      </c>
      <c r="F1484" s="19" t="s">
        <v>27</v>
      </c>
      <c r="G1484" s="19" t="s">
        <v>28</v>
      </c>
      <c r="H1484" s="19"/>
      <c r="I1484" s="21" t="s">
        <v>29</v>
      </c>
      <c r="J1484" s="21" t="s">
        <v>29</v>
      </c>
      <c r="K1484" s="22" t="s">
        <v>5299</v>
      </c>
      <c r="L1484" s="56">
        <v>45083</v>
      </c>
      <c r="O1484" s="42"/>
      <c r="P1484" s="40"/>
      <c r="Q1484" s="61"/>
      <c r="R1484" s="61"/>
      <c r="S1484" s="40"/>
      <c r="T1484" s="38"/>
      <c r="U1484" s="38"/>
      <c r="V1484" s="38"/>
      <c r="W1484" s="60"/>
      <c r="AB1484" s="42"/>
      <c r="AC1484" s="35"/>
      <c r="AD1484" s="38"/>
      <c r="AE1484" s="38"/>
      <c r="AF1484" s="38"/>
      <c r="AG1484" s="38"/>
      <c r="AH1484" s="60"/>
    </row>
    <row r="1485" spans="1:34" ht="15.75" customHeight="1">
      <c r="A1485" s="35"/>
      <c r="B1485" s="78" t="s">
        <v>5300</v>
      </c>
      <c r="C1485" s="37" t="s">
        <v>24</v>
      </c>
      <c r="D1485" s="20" t="s">
        <v>5301</v>
      </c>
      <c r="E1485" s="20" t="s">
        <v>5302</v>
      </c>
      <c r="F1485" s="19" t="s">
        <v>27</v>
      </c>
      <c r="G1485" s="19" t="s">
        <v>28</v>
      </c>
      <c r="H1485" s="37" t="s">
        <v>762</v>
      </c>
      <c r="I1485" s="21" t="s">
        <v>29</v>
      </c>
      <c r="J1485" s="21" t="s">
        <v>29</v>
      </c>
      <c r="K1485" s="22" t="s">
        <v>5302</v>
      </c>
      <c r="L1485" s="56">
        <v>45083</v>
      </c>
      <c r="O1485" s="42"/>
      <c r="P1485" s="40"/>
      <c r="Q1485" s="61"/>
      <c r="R1485" s="61"/>
      <c r="S1485" s="40"/>
      <c r="T1485" s="38"/>
      <c r="U1485" s="38"/>
      <c r="V1485" s="38"/>
      <c r="W1485" s="60"/>
      <c r="AB1485" s="42"/>
      <c r="AC1485" s="35"/>
      <c r="AD1485" s="38"/>
      <c r="AE1485" s="38"/>
      <c r="AF1485" s="38"/>
      <c r="AG1485" s="38"/>
      <c r="AH1485" s="60"/>
    </row>
    <row r="1486" spans="1:34" ht="15.75" customHeight="1">
      <c r="A1486" s="35"/>
      <c r="B1486" s="78" t="s">
        <v>5303</v>
      </c>
      <c r="C1486" s="37" t="s">
        <v>87</v>
      </c>
      <c r="D1486" s="20" t="s">
        <v>5304</v>
      </c>
      <c r="E1486" s="20" t="s">
        <v>5305</v>
      </c>
      <c r="F1486" s="37" t="s">
        <v>49</v>
      </c>
      <c r="G1486" s="19" t="s">
        <v>91</v>
      </c>
      <c r="H1486" s="19"/>
      <c r="I1486" s="21" t="s">
        <v>29</v>
      </c>
      <c r="J1486" s="21" t="s">
        <v>29</v>
      </c>
      <c r="K1486" s="22" t="s">
        <v>5306</v>
      </c>
      <c r="L1486" s="56">
        <v>45083</v>
      </c>
      <c r="O1486" s="42"/>
      <c r="P1486" s="40"/>
      <c r="Q1486" s="61"/>
      <c r="R1486" s="61"/>
      <c r="S1486" s="40"/>
      <c r="T1486" s="38"/>
      <c r="U1486" s="38"/>
      <c r="V1486" s="38"/>
      <c r="W1486" s="60"/>
      <c r="AB1486" s="42"/>
      <c r="AC1486" s="35"/>
      <c r="AD1486" s="38"/>
      <c r="AE1486" s="38"/>
      <c r="AF1486" s="38"/>
      <c r="AG1486" s="38"/>
      <c r="AH1486" s="60"/>
    </row>
    <row r="1487" spans="1:34" ht="15.75" customHeight="1">
      <c r="A1487" s="35"/>
      <c r="B1487" s="78" t="s">
        <v>5307</v>
      </c>
      <c r="C1487" s="37" t="s">
        <v>24</v>
      </c>
      <c r="D1487" s="20" t="s">
        <v>5308</v>
      </c>
      <c r="E1487" s="20" t="s">
        <v>5309</v>
      </c>
      <c r="F1487" s="19" t="s">
        <v>27</v>
      </c>
      <c r="G1487" s="19" t="s">
        <v>28</v>
      </c>
      <c r="H1487" s="19"/>
      <c r="I1487" s="21" t="s">
        <v>29</v>
      </c>
      <c r="J1487" s="21" t="s">
        <v>29</v>
      </c>
      <c r="K1487" s="22" t="s">
        <v>5310</v>
      </c>
      <c r="L1487" s="56">
        <v>45083</v>
      </c>
      <c r="O1487" s="42"/>
      <c r="P1487" s="40"/>
      <c r="Q1487" s="61"/>
      <c r="R1487" s="61"/>
      <c r="S1487" s="40"/>
      <c r="T1487" s="38"/>
      <c r="U1487" s="38"/>
      <c r="V1487" s="38"/>
      <c r="W1487" s="60"/>
      <c r="AB1487" s="42"/>
      <c r="AC1487" s="35"/>
      <c r="AD1487" s="38"/>
      <c r="AE1487" s="38"/>
      <c r="AF1487" s="38"/>
      <c r="AG1487" s="38"/>
      <c r="AH1487" s="60"/>
    </row>
    <row r="1488" spans="1:34" ht="15.75" customHeight="1">
      <c r="A1488" s="35"/>
      <c r="B1488" s="83" t="s">
        <v>5311</v>
      </c>
      <c r="C1488" s="19" t="s">
        <v>121</v>
      </c>
      <c r="D1488" s="20" t="s">
        <v>5312</v>
      </c>
      <c r="E1488" s="20" t="s">
        <v>5313</v>
      </c>
      <c r="F1488" s="19" t="s">
        <v>27</v>
      </c>
      <c r="G1488" s="84" t="s">
        <v>359</v>
      </c>
      <c r="H1488" s="19"/>
      <c r="I1488" s="21" t="s">
        <v>29</v>
      </c>
      <c r="J1488" s="84" t="s">
        <v>359</v>
      </c>
      <c r="K1488" s="22" t="s">
        <v>5314</v>
      </c>
      <c r="L1488" s="56">
        <v>45083</v>
      </c>
      <c r="O1488" s="42"/>
      <c r="P1488" s="40"/>
      <c r="Q1488" s="61"/>
      <c r="R1488" s="61"/>
      <c r="S1488" s="40"/>
      <c r="T1488" s="38"/>
      <c r="U1488" s="38"/>
      <c r="V1488" s="38"/>
      <c r="W1488" s="60"/>
      <c r="AB1488" s="42"/>
      <c r="AC1488" s="35"/>
      <c r="AD1488" s="38"/>
      <c r="AE1488" s="38"/>
      <c r="AF1488" s="38"/>
      <c r="AG1488" s="38"/>
      <c r="AH1488" s="60"/>
    </row>
    <row r="1489" spans="1:34" ht="15.75" customHeight="1">
      <c r="A1489" s="35"/>
      <c r="B1489" s="80" t="s">
        <v>5315</v>
      </c>
      <c r="C1489" s="37" t="s">
        <v>24</v>
      </c>
      <c r="D1489" s="20" t="s">
        <v>5316</v>
      </c>
      <c r="E1489" s="20" t="s">
        <v>5317</v>
      </c>
      <c r="F1489" s="19" t="s">
        <v>90</v>
      </c>
      <c r="G1489" s="19" t="s">
        <v>91</v>
      </c>
      <c r="H1489" s="19"/>
      <c r="I1489" s="21" t="s">
        <v>29</v>
      </c>
      <c r="J1489" s="21" t="s">
        <v>29</v>
      </c>
      <c r="K1489" s="22" t="s">
        <v>5318</v>
      </c>
      <c r="L1489" s="56">
        <v>45083</v>
      </c>
      <c r="O1489" s="42"/>
      <c r="P1489" s="40"/>
      <c r="Q1489" s="61"/>
      <c r="R1489" s="61"/>
      <c r="S1489" s="40"/>
      <c r="T1489" s="38"/>
      <c r="U1489" s="38"/>
      <c r="V1489" s="38"/>
      <c r="W1489" s="60"/>
      <c r="AB1489" s="42"/>
      <c r="AC1489" s="35"/>
      <c r="AD1489" s="38"/>
      <c r="AE1489" s="38"/>
      <c r="AF1489" s="38"/>
      <c r="AG1489" s="38"/>
      <c r="AH1489" s="60"/>
    </row>
    <row r="1490" spans="1:34" ht="15.75" customHeight="1">
      <c r="A1490" s="35"/>
      <c r="B1490" s="78" t="s">
        <v>5319</v>
      </c>
      <c r="C1490" s="37" t="s">
        <v>24</v>
      </c>
      <c r="D1490" s="20" t="s">
        <v>5320</v>
      </c>
      <c r="E1490" s="20" t="s">
        <v>5321</v>
      </c>
      <c r="F1490" s="19" t="s">
        <v>27</v>
      </c>
      <c r="G1490" s="19" t="s">
        <v>28</v>
      </c>
      <c r="H1490" s="37" t="s">
        <v>813</v>
      </c>
      <c r="I1490" s="21" t="s">
        <v>29</v>
      </c>
      <c r="J1490" s="21" t="s">
        <v>29</v>
      </c>
      <c r="K1490" s="22" t="s">
        <v>5322</v>
      </c>
      <c r="L1490" s="56">
        <v>45083</v>
      </c>
      <c r="O1490" s="42"/>
      <c r="P1490" s="40"/>
      <c r="Q1490" s="61"/>
      <c r="R1490" s="61"/>
      <c r="S1490" s="40"/>
      <c r="T1490" s="38"/>
      <c r="U1490" s="38"/>
      <c r="V1490" s="38"/>
      <c r="W1490" s="60"/>
      <c r="AB1490" s="42"/>
      <c r="AC1490" s="35"/>
      <c r="AD1490" s="38"/>
      <c r="AE1490" s="38"/>
      <c r="AF1490" s="38"/>
      <c r="AG1490" s="38"/>
      <c r="AH1490" s="60"/>
    </row>
    <row r="1491" spans="1:34" ht="15.75" customHeight="1">
      <c r="A1491" s="35"/>
      <c r="B1491" s="78" t="s">
        <v>5323</v>
      </c>
      <c r="C1491" s="37" t="s">
        <v>87</v>
      </c>
      <c r="D1491" s="20" t="s">
        <v>5324</v>
      </c>
      <c r="E1491" s="20" t="s">
        <v>5325</v>
      </c>
      <c r="F1491" s="37" t="s">
        <v>49</v>
      </c>
      <c r="G1491" s="19" t="s">
        <v>91</v>
      </c>
      <c r="H1491" s="19"/>
      <c r="I1491" s="21" t="s">
        <v>29</v>
      </c>
      <c r="J1491" s="21" t="s">
        <v>29</v>
      </c>
      <c r="K1491" s="22" t="s">
        <v>5326</v>
      </c>
      <c r="L1491" s="56">
        <v>45083</v>
      </c>
      <c r="O1491" s="42"/>
      <c r="P1491" s="40"/>
      <c r="Q1491" s="61"/>
      <c r="R1491" s="61"/>
      <c r="S1491" s="40"/>
      <c r="T1491" s="38"/>
      <c r="U1491" s="38"/>
      <c r="V1491" s="38"/>
      <c r="W1491" s="60"/>
      <c r="AB1491" s="42"/>
      <c r="AC1491" s="35"/>
      <c r="AD1491" s="38"/>
      <c r="AE1491" s="38"/>
      <c r="AF1491" s="38"/>
      <c r="AG1491" s="38"/>
      <c r="AH1491" s="60"/>
    </row>
    <row r="1492" spans="1:34" ht="15.75" customHeight="1">
      <c r="A1492" s="35"/>
      <c r="B1492" s="78" t="s">
        <v>5327</v>
      </c>
      <c r="C1492" s="37" t="s">
        <v>24</v>
      </c>
      <c r="D1492" s="20" t="s">
        <v>5328</v>
      </c>
      <c r="E1492" s="20"/>
      <c r="F1492" s="19" t="s">
        <v>27</v>
      </c>
      <c r="G1492" s="19" t="s">
        <v>28</v>
      </c>
      <c r="H1492" s="19"/>
      <c r="I1492" s="21" t="s">
        <v>29</v>
      </c>
      <c r="J1492" s="21" t="s">
        <v>29</v>
      </c>
      <c r="K1492" s="22"/>
      <c r="L1492" s="56">
        <v>45083</v>
      </c>
      <c r="O1492" s="42"/>
      <c r="P1492" s="40"/>
      <c r="Q1492" s="61"/>
      <c r="R1492" s="61"/>
      <c r="S1492" s="40"/>
      <c r="T1492" s="38"/>
      <c r="U1492" s="38"/>
      <c r="V1492" s="38"/>
      <c r="W1492" s="60"/>
      <c r="AB1492" s="42"/>
      <c r="AC1492" s="35"/>
      <c r="AD1492" s="38"/>
      <c r="AE1492" s="38"/>
      <c r="AF1492" s="38"/>
      <c r="AG1492" s="38"/>
      <c r="AH1492" s="60"/>
    </row>
    <row r="1493" spans="1:34" ht="15.75" customHeight="1">
      <c r="A1493" s="35"/>
      <c r="B1493" s="38"/>
      <c r="C1493" s="37"/>
      <c r="D1493" s="20"/>
      <c r="E1493" s="20"/>
      <c r="F1493" s="37"/>
      <c r="G1493" s="37"/>
      <c r="H1493" s="37"/>
      <c r="I1493" s="21"/>
      <c r="J1493" s="21"/>
      <c r="K1493" s="22"/>
      <c r="L1493" s="39"/>
      <c r="O1493" s="42"/>
      <c r="P1493" s="40"/>
      <c r="Q1493" s="61"/>
      <c r="R1493" s="61"/>
      <c r="S1493" s="40"/>
      <c r="T1493" s="38"/>
      <c r="U1493" s="38"/>
      <c r="V1493" s="38"/>
      <c r="W1493" s="60"/>
      <c r="AB1493" s="42"/>
      <c r="AC1493" s="35"/>
      <c r="AD1493" s="38"/>
      <c r="AE1493" s="38"/>
      <c r="AF1493" s="38"/>
      <c r="AG1493" s="38"/>
      <c r="AH1493" s="60"/>
    </row>
    <row r="1494" spans="1:34" ht="15.75" customHeight="1">
      <c r="A1494" s="85" t="s">
        <v>5329</v>
      </c>
      <c r="B1494" s="78" t="s">
        <v>5330</v>
      </c>
      <c r="C1494" s="37" t="s">
        <v>24</v>
      </c>
      <c r="D1494" s="20" t="s">
        <v>5331</v>
      </c>
      <c r="E1494" s="20" t="s">
        <v>5332</v>
      </c>
      <c r="F1494" s="19" t="s">
        <v>27</v>
      </c>
      <c r="G1494" s="19" t="s">
        <v>28</v>
      </c>
      <c r="H1494" s="37" t="s">
        <v>813</v>
      </c>
      <c r="I1494" s="21" t="s">
        <v>29</v>
      </c>
      <c r="J1494" s="21" t="s">
        <v>29</v>
      </c>
      <c r="K1494" s="22" t="s">
        <v>5333</v>
      </c>
      <c r="L1494" s="56">
        <v>45293</v>
      </c>
      <c r="M1494" s="40"/>
      <c r="N1494" s="40"/>
      <c r="O1494" s="42"/>
      <c r="P1494" s="40"/>
      <c r="Q1494" s="61"/>
      <c r="R1494" s="61"/>
      <c r="S1494" s="40"/>
      <c r="T1494" s="38"/>
      <c r="U1494" s="38"/>
      <c r="V1494" s="38"/>
      <c r="W1494" s="60"/>
      <c r="AB1494" s="42"/>
      <c r="AC1494" s="35"/>
      <c r="AD1494" s="38"/>
      <c r="AE1494" s="38"/>
      <c r="AF1494" s="38"/>
      <c r="AG1494" s="38"/>
      <c r="AH1494" s="60"/>
    </row>
    <row r="1495" spans="1:34" ht="15.75" customHeight="1">
      <c r="A1495" s="86" t="s">
        <v>5334</v>
      </c>
      <c r="B1495" s="78" t="s">
        <v>5335</v>
      </c>
      <c r="C1495" s="55" t="s">
        <v>24</v>
      </c>
      <c r="D1495" s="20" t="s">
        <v>5336</v>
      </c>
      <c r="E1495" s="20" t="s">
        <v>5337</v>
      </c>
      <c r="F1495" s="19" t="s">
        <v>27</v>
      </c>
      <c r="G1495" s="19" t="s">
        <v>28</v>
      </c>
      <c r="H1495" s="55"/>
      <c r="I1495" s="21" t="s">
        <v>29</v>
      </c>
      <c r="J1495" s="21" t="s">
        <v>29</v>
      </c>
      <c r="K1495" s="22" t="s">
        <v>5338</v>
      </c>
      <c r="L1495" s="56">
        <v>45293</v>
      </c>
      <c r="O1495" s="42"/>
      <c r="P1495" s="40"/>
      <c r="Q1495" s="61"/>
      <c r="R1495" s="61"/>
      <c r="S1495" s="40"/>
      <c r="T1495" s="38"/>
      <c r="U1495" s="38"/>
      <c r="V1495" s="38"/>
      <c r="W1495" s="60"/>
      <c r="AB1495" s="42"/>
      <c r="AC1495" s="35"/>
      <c r="AD1495" s="38"/>
      <c r="AE1495" s="38"/>
      <c r="AF1495" s="38"/>
      <c r="AG1495" s="38"/>
      <c r="AH1495" s="60"/>
    </row>
    <row r="1496" spans="1:34" ht="15.75" customHeight="1">
      <c r="A1496" s="50" t="s">
        <v>39</v>
      </c>
      <c r="B1496" s="78" t="s">
        <v>5339</v>
      </c>
      <c r="C1496" s="55" t="s">
        <v>24</v>
      </c>
      <c r="D1496" s="20" t="s">
        <v>5340</v>
      </c>
      <c r="E1496" s="20" t="s">
        <v>5341</v>
      </c>
      <c r="F1496" s="19" t="s">
        <v>27</v>
      </c>
      <c r="G1496" s="19" t="s">
        <v>28</v>
      </c>
      <c r="H1496" s="55"/>
      <c r="I1496" s="21" t="s">
        <v>29</v>
      </c>
      <c r="J1496" s="21" t="s">
        <v>29</v>
      </c>
      <c r="K1496" s="22" t="s">
        <v>5342</v>
      </c>
      <c r="L1496" s="56">
        <v>45293</v>
      </c>
      <c r="O1496" s="42"/>
      <c r="P1496" s="40"/>
      <c r="Q1496" s="61"/>
      <c r="R1496" s="61"/>
      <c r="S1496" s="40"/>
      <c r="T1496" s="38"/>
      <c r="U1496" s="38"/>
      <c r="V1496" s="38"/>
      <c r="W1496" s="60"/>
      <c r="AB1496" s="42"/>
      <c r="AC1496" s="35"/>
      <c r="AD1496" s="38"/>
      <c r="AE1496" s="38"/>
      <c r="AF1496" s="38"/>
      <c r="AG1496" s="38"/>
      <c r="AH1496" s="60"/>
    </row>
    <row r="1497" spans="1:34" ht="15.75" customHeight="1">
      <c r="A1497" s="35" t="s">
        <v>5343</v>
      </c>
      <c r="B1497" s="78" t="s">
        <v>5344</v>
      </c>
      <c r="C1497" s="55" t="s">
        <v>24</v>
      </c>
      <c r="D1497" s="20" t="s">
        <v>5345</v>
      </c>
      <c r="E1497" s="20" t="s">
        <v>5346</v>
      </c>
      <c r="F1497" s="19" t="s">
        <v>27</v>
      </c>
      <c r="G1497" s="19" t="s">
        <v>28</v>
      </c>
      <c r="H1497" s="55"/>
      <c r="I1497" s="21" t="s">
        <v>29</v>
      </c>
      <c r="J1497" s="21" t="s">
        <v>29</v>
      </c>
      <c r="K1497" s="22" t="s">
        <v>5347</v>
      </c>
      <c r="L1497" s="56">
        <v>45293</v>
      </c>
      <c r="O1497" s="42"/>
      <c r="P1497" s="40"/>
      <c r="Q1497" s="61"/>
      <c r="R1497" s="61"/>
      <c r="S1497" s="40"/>
      <c r="T1497" s="38"/>
      <c r="U1497" s="38"/>
      <c r="V1497" s="38"/>
      <c r="W1497" s="60"/>
      <c r="AB1497" s="42"/>
      <c r="AC1497" s="35"/>
      <c r="AD1497" s="38"/>
      <c r="AE1497" s="38"/>
      <c r="AF1497" s="38"/>
      <c r="AG1497" s="38"/>
      <c r="AH1497" s="60"/>
    </row>
    <row r="1498" spans="1:34" ht="15.75" customHeight="1">
      <c r="A1498" s="35" t="s">
        <v>5348</v>
      </c>
      <c r="B1498" s="78" t="s">
        <v>5349</v>
      </c>
      <c r="C1498" s="37" t="s">
        <v>24</v>
      </c>
      <c r="D1498" s="20" t="s">
        <v>5350</v>
      </c>
      <c r="E1498" s="20" t="s">
        <v>5351</v>
      </c>
      <c r="F1498" s="19" t="s">
        <v>27</v>
      </c>
      <c r="G1498" s="19" t="s">
        <v>28</v>
      </c>
      <c r="H1498" s="37" t="s">
        <v>813</v>
      </c>
      <c r="I1498" s="21" t="s">
        <v>29</v>
      </c>
      <c r="J1498" s="21" t="s">
        <v>29</v>
      </c>
      <c r="K1498" s="22" t="s">
        <v>5352</v>
      </c>
      <c r="L1498" s="56">
        <v>45293</v>
      </c>
      <c r="O1498" s="42"/>
      <c r="P1498" s="40"/>
      <c r="Q1498" s="61"/>
      <c r="R1498" s="61"/>
      <c r="S1498" s="40"/>
      <c r="T1498" s="38"/>
      <c r="U1498" s="38"/>
      <c r="V1498" s="38"/>
      <c r="W1498" s="60"/>
      <c r="AB1498" s="42"/>
      <c r="AC1498" s="35"/>
      <c r="AD1498" s="38"/>
      <c r="AE1498" s="38"/>
      <c r="AF1498" s="38"/>
      <c r="AG1498" s="38"/>
      <c r="AH1498" s="60"/>
    </row>
    <row r="1499" spans="1:34" ht="15.75" customHeight="1">
      <c r="A1499" s="50" t="s">
        <v>56</v>
      </c>
      <c r="B1499" s="78" t="s">
        <v>5353</v>
      </c>
      <c r="C1499" s="37" t="s">
        <v>24</v>
      </c>
      <c r="D1499" s="20" t="s">
        <v>5354</v>
      </c>
      <c r="E1499" s="20"/>
      <c r="F1499" s="19" t="s">
        <v>27</v>
      </c>
      <c r="G1499" s="19" t="s">
        <v>28</v>
      </c>
      <c r="H1499" s="37" t="s">
        <v>813</v>
      </c>
      <c r="I1499" s="21" t="s">
        <v>29</v>
      </c>
      <c r="J1499" s="21" t="s">
        <v>29</v>
      </c>
      <c r="K1499" s="22"/>
      <c r="L1499" s="56">
        <v>45293</v>
      </c>
      <c r="O1499" s="42"/>
      <c r="P1499" s="40"/>
      <c r="Q1499" s="61"/>
      <c r="R1499" s="61"/>
      <c r="S1499" s="40"/>
      <c r="T1499" s="38"/>
      <c r="U1499" s="38"/>
      <c r="V1499" s="38"/>
      <c r="W1499" s="60"/>
      <c r="AB1499" s="42"/>
      <c r="AC1499" s="35"/>
      <c r="AD1499" s="38"/>
      <c r="AE1499" s="38"/>
      <c r="AF1499" s="38"/>
      <c r="AG1499" s="38"/>
      <c r="AH1499" s="60"/>
    </row>
    <row r="1500" spans="1:34" ht="15.75" customHeight="1">
      <c r="A1500" s="35">
        <v>75</v>
      </c>
      <c r="B1500" s="78" t="s">
        <v>5355</v>
      </c>
      <c r="C1500" s="55" t="s">
        <v>87</v>
      </c>
      <c r="D1500" s="20" t="s">
        <v>5356</v>
      </c>
      <c r="E1500" s="20" t="s">
        <v>5357</v>
      </c>
      <c r="F1500" s="19" t="s">
        <v>90</v>
      </c>
      <c r="G1500" s="19" t="s">
        <v>91</v>
      </c>
      <c r="H1500" s="55"/>
      <c r="I1500" s="21" t="s">
        <v>29</v>
      </c>
      <c r="J1500" s="21" t="s">
        <v>29</v>
      </c>
      <c r="K1500" s="22" t="s">
        <v>5358</v>
      </c>
      <c r="L1500" s="56">
        <v>45293</v>
      </c>
      <c r="O1500" s="42"/>
      <c r="P1500" s="40"/>
      <c r="Q1500" s="61"/>
      <c r="R1500" s="61"/>
      <c r="S1500" s="40"/>
      <c r="T1500" s="38"/>
      <c r="U1500" s="38"/>
      <c r="V1500" s="38"/>
      <c r="W1500" s="60"/>
      <c r="AB1500" s="42"/>
      <c r="AC1500" s="35"/>
      <c r="AD1500" s="38"/>
      <c r="AE1500" s="38"/>
      <c r="AF1500" s="38"/>
      <c r="AG1500" s="38"/>
      <c r="AH1500" s="60"/>
    </row>
    <row r="1501" spans="1:34" ht="15.75" customHeight="1">
      <c r="A1501" s="50" t="s">
        <v>64</v>
      </c>
      <c r="B1501" s="78" t="s">
        <v>5359</v>
      </c>
      <c r="C1501" s="55" t="s">
        <v>87</v>
      </c>
      <c r="D1501" s="20" t="s">
        <v>5360</v>
      </c>
      <c r="E1501" s="20" t="s">
        <v>5361</v>
      </c>
      <c r="F1501" s="19" t="s">
        <v>90</v>
      </c>
      <c r="G1501" s="19" t="s">
        <v>91</v>
      </c>
      <c r="H1501" s="55"/>
      <c r="I1501" s="21" t="s">
        <v>29</v>
      </c>
      <c r="J1501" s="21" t="s">
        <v>29</v>
      </c>
      <c r="K1501" s="22" t="s">
        <v>5362</v>
      </c>
      <c r="L1501" s="56">
        <v>45293</v>
      </c>
      <c r="O1501" s="42"/>
      <c r="P1501" s="40"/>
      <c r="Q1501" s="61"/>
      <c r="R1501" s="61"/>
      <c r="S1501" s="40"/>
      <c r="T1501" s="38"/>
      <c r="U1501" s="38"/>
      <c r="V1501" s="38"/>
      <c r="W1501" s="60"/>
      <c r="AB1501" s="42"/>
      <c r="AC1501" s="35"/>
      <c r="AD1501" s="38"/>
      <c r="AE1501" s="38"/>
      <c r="AF1501" s="38"/>
      <c r="AG1501" s="38"/>
      <c r="AH1501" s="60"/>
    </row>
    <row r="1502" spans="1:34" ht="15.75" customHeight="1">
      <c r="A1502" s="35">
        <v>3.7</v>
      </c>
      <c r="B1502" s="78" t="s">
        <v>5363</v>
      </c>
      <c r="C1502" s="37" t="s">
        <v>46</v>
      </c>
      <c r="D1502" s="20" t="s">
        <v>5364</v>
      </c>
      <c r="E1502" s="20" t="s">
        <v>5365</v>
      </c>
      <c r="F1502" s="37" t="s">
        <v>49</v>
      </c>
      <c r="G1502" s="19" t="s">
        <v>50</v>
      </c>
      <c r="H1502" s="37"/>
      <c r="I1502" s="21" t="s">
        <v>29</v>
      </c>
      <c r="J1502" s="21" t="s">
        <v>29</v>
      </c>
      <c r="K1502" s="22" t="s">
        <v>5366</v>
      </c>
      <c r="L1502" s="56">
        <v>45293</v>
      </c>
      <c r="O1502" s="42"/>
      <c r="P1502" s="40"/>
      <c r="Q1502" s="61"/>
      <c r="R1502" s="61"/>
      <c r="S1502" s="40"/>
      <c r="T1502" s="38"/>
      <c r="U1502" s="38"/>
      <c r="V1502" s="38"/>
      <c r="W1502" s="60"/>
      <c r="AB1502" s="42"/>
      <c r="AC1502" s="35"/>
      <c r="AD1502" s="38"/>
      <c r="AE1502" s="38"/>
      <c r="AF1502" s="38"/>
      <c r="AG1502" s="38"/>
      <c r="AH1502" s="60"/>
    </row>
    <row r="1503" spans="1:34" ht="15.75" customHeight="1">
      <c r="A1503" s="50" t="s">
        <v>73</v>
      </c>
      <c r="B1503" s="78" t="s">
        <v>5367</v>
      </c>
      <c r="C1503" s="37" t="s">
        <v>46</v>
      </c>
      <c r="D1503" s="20" t="s">
        <v>5368</v>
      </c>
      <c r="E1503" s="20" t="s">
        <v>5369</v>
      </c>
      <c r="F1503" s="37" t="s">
        <v>49</v>
      </c>
      <c r="G1503" s="19" t="s">
        <v>50</v>
      </c>
      <c r="H1503" s="37"/>
      <c r="I1503" s="21" t="s">
        <v>29</v>
      </c>
      <c r="J1503" s="21" t="s">
        <v>29</v>
      </c>
      <c r="K1503" s="22" t="s">
        <v>5370</v>
      </c>
      <c r="L1503" s="56">
        <v>45293</v>
      </c>
      <c r="O1503" s="42"/>
      <c r="P1503" s="40"/>
      <c r="Q1503" s="61"/>
      <c r="R1503" s="61"/>
      <c r="S1503" s="40"/>
      <c r="T1503" s="38"/>
      <c r="U1503" s="38"/>
      <c r="V1503" s="38"/>
      <c r="W1503" s="60"/>
      <c r="AB1503" s="42"/>
      <c r="AC1503" s="35"/>
      <c r="AD1503" s="38"/>
      <c r="AE1503" s="38"/>
      <c r="AF1503" s="38"/>
      <c r="AG1503" s="38"/>
      <c r="AH1503" s="60"/>
    </row>
    <row r="1504" spans="1:34" ht="15.75" customHeight="1">
      <c r="A1504" s="35">
        <v>4</v>
      </c>
      <c r="B1504" s="78" t="s">
        <v>5371</v>
      </c>
      <c r="C1504" s="55" t="s">
        <v>87</v>
      </c>
      <c r="D1504" s="20" t="s">
        <v>5372</v>
      </c>
      <c r="E1504" s="20" t="s">
        <v>5373</v>
      </c>
      <c r="F1504" s="19" t="s">
        <v>90</v>
      </c>
      <c r="G1504" s="19" t="s">
        <v>91</v>
      </c>
      <c r="H1504" s="55"/>
      <c r="I1504" s="21" t="s">
        <v>29</v>
      </c>
      <c r="J1504" s="21" t="s">
        <v>29</v>
      </c>
      <c r="K1504" s="22" t="s">
        <v>5374</v>
      </c>
      <c r="L1504" s="56">
        <v>45293</v>
      </c>
      <c r="O1504" s="42"/>
      <c r="P1504" s="40"/>
      <c r="Q1504" s="61"/>
      <c r="R1504" s="61"/>
      <c r="S1504" s="40"/>
      <c r="T1504" s="38"/>
      <c r="U1504" s="38"/>
      <c r="V1504" s="38"/>
      <c r="W1504" s="60"/>
      <c r="AB1504" s="42"/>
      <c r="AC1504" s="35"/>
      <c r="AD1504" s="38"/>
      <c r="AE1504" s="38"/>
      <c r="AF1504" s="38"/>
      <c r="AG1504" s="38"/>
      <c r="AH1504" s="60"/>
    </row>
    <row r="1505" spans="1:34" ht="15.75" customHeight="1">
      <c r="A1505" s="50" t="s">
        <v>82</v>
      </c>
      <c r="B1505" s="78" t="s">
        <v>5375</v>
      </c>
      <c r="C1505" s="55" t="s">
        <v>24</v>
      </c>
      <c r="D1505" s="20" t="s">
        <v>5376</v>
      </c>
      <c r="E1505" s="20"/>
      <c r="F1505" s="19" t="s">
        <v>27</v>
      </c>
      <c r="G1505" s="19" t="s">
        <v>28</v>
      </c>
      <c r="H1505" s="55"/>
      <c r="I1505" s="21" t="s">
        <v>29</v>
      </c>
      <c r="J1505" s="21" t="s">
        <v>29</v>
      </c>
      <c r="K1505" s="22"/>
      <c r="L1505" s="56">
        <v>45293</v>
      </c>
      <c r="O1505" s="42"/>
      <c r="P1505" s="40"/>
      <c r="Q1505" s="61"/>
      <c r="R1505" s="61"/>
      <c r="S1505" s="40"/>
      <c r="T1505" s="38"/>
      <c r="U1505" s="38"/>
      <c r="V1505" s="38"/>
      <c r="W1505" s="60"/>
      <c r="AB1505" s="42"/>
      <c r="AC1505" s="35"/>
      <c r="AD1505" s="38"/>
      <c r="AE1505" s="38"/>
      <c r="AF1505" s="38"/>
      <c r="AG1505" s="38"/>
      <c r="AH1505" s="60"/>
    </row>
    <row r="1506" spans="1:34" ht="15.75" customHeight="1">
      <c r="A1506" s="35" t="s">
        <v>5377</v>
      </c>
      <c r="B1506" s="78" t="s">
        <v>5378</v>
      </c>
      <c r="C1506" s="37" t="s">
        <v>24</v>
      </c>
      <c r="D1506" s="20"/>
      <c r="E1506" s="20" t="s">
        <v>5379</v>
      </c>
      <c r="F1506" s="19" t="s">
        <v>27</v>
      </c>
      <c r="G1506" s="19" t="s">
        <v>28</v>
      </c>
      <c r="H1506" s="37" t="s">
        <v>762</v>
      </c>
      <c r="I1506" s="21" t="s">
        <v>29</v>
      </c>
      <c r="J1506" s="21" t="s">
        <v>29</v>
      </c>
      <c r="K1506" s="22" t="s">
        <v>5380</v>
      </c>
      <c r="L1506" s="56">
        <v>45293</v>
      </c>
      <c r="O1506" s="42"/>
      <c r="P1506" s="40"/>
      <c r="Q1506" s="61"/>
      <c r="R1506" s="61"/>
      <c r="S1506" s="40"/>
      <c r="T1506" s="38"/>
      <c r="U1506" s="38"/>
      <c r="V1506" s="38"/>
      <c r="W1506" s="60"/>
      <c r="AB1506" s="42"/>
      <c r="AC1506" s="35"/>
      <c r="AD1506" s="38"/>
      <c r="AE1506" s="38"/>
      <c r="AF1506" s="38"/>
      <c r="AG1506" s="38"/>
      <c r="AH1506" s="60"/>
    </row>
    <row r="1507" spans="1:34" ht="15.75" customHeight="1">
      <c r="A1507" s="50" t="s">
        <v>92</v>
      </c>
      <c r="B1507" s="78" t="s">
        <v>5381</v>
      </c>
      <c r="C1507" s="55" t="s">
        <v>87</v>
      </c>
      <c r="D1507" s="20" t="s">
        <v>5382</v>
      </c>
      <c r="E1507" s="20" t="s">
        <v>5383</v>
      </c>
      <c r="F1507" s="19" t="s">
        <v>90</v>
      </c>
      <c r="G1507" s="19" t="s">
        <v>91</v>
      </c>
      <c r="H1507" s="55"/>
      <c r="I1507" s="21" t="s">
        <v>29</v>
      </c>
      <c r="J1507" s="21" t="s">
        <v>29</v>
      </c>
      <c r="K1507" s="22" t="s">
        <v>5384</v>
      </c>
      <c r="L1507" s="56">
        <v>45293</v>
      </c>
      <c r="O1507" s="42"/>
      <c r="P1507" s="40"/>
      <c r="Q1507" s="61"/>
      <c r="R1507" s="61"/>
      <c r="S1507" s="40"/>
      <c r="T1507" s="38"/>
      <c r="U1507" s="38"/>
      <c r="V1507" s="38"/>
      <c r="W1507" s="60"/>
      <c r="AB1507" s="42"/>
      <c r="AC1507" s="35"/>
      <c r="AD1507" s="38"/>
      <c r="AE1507" s="38"/>
      <c r="AF1507" s="38"/>
      <c r="AG1507" s="38"/>
      <c r="AH1507" s="60"/>
    </row>
    <row r="1508" spans="1:34" ht="15.75" customHeight="1">
      <c r="A1508" s="79">
        <v>2018</v>
      </c>
      <c r="B1508" s="81" t="s">
        <v>5385</v>
      </c>
      <c r="C1508" s="55" t="s">
        <v>24</v>
      </c>
      <c r="D1508" s="20" t="s">
        <v>5386</v>
      </c>
      <c r="E1508" s="20" t="s">
        <v>5387</v>
      </c>
      <c r="F1508" s="19" t="s">
        <v>27</v>
      </c>
      <c r="G1508" s="19" t="s">
        <v>28</v>
      </c>
      <c r="H1508" s="55"/>
      <c r="I1508" s="21" t="s">
        <v>29</v>
      </c>
      <c r="J1508" s="21" t="s">
        <v>29</v>
      </c>
      <c r="K1508" s="22" t="s">
        <v>5388</v>
      </c>
      <c r="L1508" s="56">
        <v>45293</v>
      </c>
      <c r="O1508" s="42"/>
      <c r="P1508" s="40"/>
      <c r="Q1508" s="61"/>
      <c r="R1508" s="61"/>
      <c r="S1508" s="40"/>
      <c r="T1508" s="38"/>
      <c r="U1508" s="38"/>
      <c r="V1508" s="38"/>
      <c r="W1508" s="60"/>
      <c r="AB1508" s="42"/>
      <c r="AC1508" s="35"/>
      <c r="AD1508" s="38"/>
      <c r="AE1508" s="38"/>
      <c r="AF1508" s="38"/>
      <c r="AG1508" s="38"/>
      <c r="AH1508" s="60"/>
    </row>
    <row r="1509" spans="1:34" ht="15.75" customHeight="1">
      <c r="A1509" s="50" t="s">
        <v>100</v>
      </c>
      <c r="B1509" s="78" t="s">
        <v>5389</v>
      </c>
      <c r="C1509" s="37" t="s">
        <v>24</v>
      </c>
      <c r="D1509" s="20" t="s">
        <v>5390</v>
      </c>
      <c r="E1509" s="20" t="s">
        <v>5391</v>
      </c>
      <c r="F1509" s="19" t="s">
        <v>27</v>
      </c>
      <c r="G1509" s="19" t="s">
        <v>28</v>
      </c>
      <c r="H1509" s="37" t="s">
        <v>762</v>
      </c>
      <c r="I1509" s="21" t="s">
        <v>29</v>
      </c>
      <c r="J1509" s="21" t="s">
        <v>29</v>
      </c>
      <c r="K1509" s="22" t="s">
        <v>5392</v>
      </c>
      <c r="L1509" s="56">
        <v>45293</v>
      </c>
      <c r="O1509" s="42"/>
      <c r="P1509" s="40"/>
      <c r="Q1509" s="61"/>
      <c r="R1509" s="61"/>
      <c r="S1509" s="40"/>
      <c r="T1509" s="38"/>
      <c r="U1509" s="38"/>
      <c r="V1509" s="38"/>
      <c r="W1509" s="60"/>
      <c r="AB1509" s="42"/>
      <c r="AC1509" s="35"/>
      <c r="AD1509" s="38"/>
      <c r="AE1509" s="38"/>
      <c r="AF1509" s="38"/>
      <c r="AG1509" s="38"/>
      <c r="AH1509" s="60"/>
    </row>
    <row r="1510" spans="1:34" ht="15.75" customHeight="1">
      <c r="A1510" s="35">
        <v>167</v>
      </c>
      <c r="B1510" s="81" t="s">
        <v>5393</v>
      </c>
      <c r="C1510" s="55" t="s">
        <v>46</v>
      </c>
      <c r="D1510" s="20" t="s">
        <v>5394</v>
      </c>
      <c r="E1510" s="20" t="s">
        <v>5395</v>
      </c>
      <c r="F1510" s="55" t="s">
        <v>286</v>
      </c>
      <c r="G1510" s="19" t="s">
        <v>50</v>
      </c>
      <c r="H1510" s="55"/>
      <c r="I1510" s="21" t="s">
        <v>286</v>
      </c>
      <c r="J1510" s="21" t="s">
        <v>233</v>
      </c>
      <c r="K1510" s="22" t="s">
        <v>5396</v>
      </c>
      <c r="L1510" s="56">
        <v>45293</v>
      </c>
      <c r="O1510" s="42"/>
      <c r="P1510" s="40"/>
      <c r="Q1510" s="61"/>
      <c r="R1510" s="61"/>
      <c r="S1510" s="40"/>
      <c r="T1510" s="38"/>
      <c r="U1510" s="38"/>
      <c r="V1510" s="38"/>
      <c r="W1510" s="60"/>
      <c r="AB1510" s="42"/>
      <c r="AC1510" s="35"/>
      <c r="AD1510" s="38"/>
      <c r="AE1510" s="38"/>
      <c r="AF1510" s="38"/>
      <c r="AG1510" s="38"/>
      <c r="AH1510" s="60"/>
    </row>
    <row r="1511" spans="1:34" ht="15.75" customHeight="1">
      <c r="A1511" s="35"/>
      <c r="B1511" s="78" t="s">
        <v>5397</v>
      </c>
      <c r="C1511" s="55" t="s">
        <v>24</v>
      </c>
      <c r="D1511" s="20" t="s">
        <v>5398</v>
      </c>
      <c r="E1511" s="20" t="s">
        <v>5399</v>
      </c>
      <c r="F1511" s="19" t="s">
        <v>27</v>
      </c>
      <c r="G1511" s="19" t="s">
        <v>28</v>
      </c>
      <c r="H1511" s="55"/>
      <c r="I1511" s="21" t="s">
        <v>29</v>
      </c>
      <c r="J1511" s="21" t="s">
        <v>29</v>
      </c>
      <c r="K1511" s="22" t="s">
        <v>5400</v>
      </c>
      <c r="L1511" s="56">
        <v>45293</v>
      </c>
      <c r="O1511" s="42"/>
      <c r="P1511" s="40"/>
      <c r="Q1511" s="61"/>
      <c r="R1511" s="61"/>
      <c r="S1511" s="40"/>
      <c r="T1511" s="38"/>
      <c r="U1511" s="38"/>
      <c r="V1511" s="38"/>
      <c r="W1511" s="60"/>
      <c r="AB1511" s="42"/>
      <c r="AC1511" s="35"/>
      <c r="AD1511" s="38"/>
      <c r="AE1511" s="38"/>
      <c r="AF1511" s="38"/>
      <c r="AG1511" s="38"/>
      <c r="AH1511" s="60"/>
    </row>
    <row r="1512" spans="1:34" ht="15.75" customHeight="1">
      <c r="A1512" s="87"/>
      <c r="B1512" s="78" t="s">
        <v>5401</v>
      </c>
      <c r="C1512" s="37" t="s">
        <v>24</v>
      </c>
      <c r="D1512" s="20" t="s">
        <v>5402</v>
      </c>
      <c r="E1512" s="20" t="s">
        <v>5403</v>
      </c>
      <c r="F1512" s="19" t="s">
        <v>27</v>
      </c>
      <c r="G1512" s="19" t="s">
        <v>28</v>
      </c>
      <c r="H1512" s="37" t="s">
        <v>762</v>
      </c>
      <c r="I1512" s="21" t="s">
        <v>29</v>
      </c>
      <c r="J1512" s="21" t="s">
        <v>29</v>
      </c>
      <c r="K1512" s="22" t="s">
        <v>5404</v>
      </c>
      <c r="L1512" s="56">
        <v>45293</v>
      </c>
      <c r="O1512" s="42"/>
      <c r="P1512" s="40"/>
      <c r="Q1512" s="61"/>
      <c r="R1512" s="61"/>
      <c r="S1512" s="40"/>
      <c r="T1512" s="38"/>
      <c r="U1512" s="38"/>
      <c r="V1512" s="38"/>
      <c r="W1512" s="60"/>
      <c r="AB1512" s="42"/>
      <c r="AC1512" s="35"/>
      <c r="AD1512" s="38"/>
      <c r="AE1512" s="38"/>
      <c r="AF1512" s="38"/>
      <c r="AG1512" s="38"/>
      <c r="AH1512" s="60"/>
    </row>
    <row r="1513" spans="1:34" ht="15.75" customHeight="1">
      <c r="A1513" s="87"/>
      <c r="B1513" s="78" t="s">
        <v>5405</v>
      </c>
      <c r="C1513" s="55" t="s">
        <v>24</v>
      </c>
      <c r="D1513" s="20" t="s">
        <v>5406</v>
      </c>
      <c r="E1513" s="20"/>
      <c r="F1513" s="19" t="s">
        <v>27</v>
      </c>
      <c r="G1513" s="19" t="s">
        <v>28</v>
      </c>
      <c r="H1513" s="55"/>
      <c r="I1513" s="21" t="s">
        <v>29</v>
      </c>
      <c r="J1513" s="21" t="s">
        <v>29</v>
      </c>
      <c r="K1513" s="22"/>
      <c r="L1513" s="56">
        <v>45293</v>
      </c>
      <c r="O1513" s="42"/>
      <c r="P1513" s="40"/>
      <c r="Q1513" s="61"/>
      <c r="R1513" s="61"/>
      <c r="S1513" s="40"/>
      <c r="T1513" s="38"/>
      <c r="U1513" s="38"/>
      <c r="V1513" s="38"/>
      <c r="W1513" s="60"/>
      <c r="AB1513" s="42"/>
      <c r="AC1513" s="35"/>
      <c r="AD1513" s="38"/>
      <c r="AE1513" s="38"/>
      <c r="AF1513" s="38"/>
      <c r="AG1513" s="38"/>
      <c r="AH1513" s="60"/>
    </row>
    <row r="1514" spans="1:34" ht="15.75" customHeight="1">
      <c r="A1514" s="87"/>
      <c r="B1514" s="78" t="s">
        <v>5407</v>
      </c>
      <c r="C1514" s="37" t="s">
        <v>24</v>
      </c>
      <c r="D1514" s="20" t="s">
        <v>5408</v>
      </c>
      <c r="E1514" s="20" t="s">
        <v>5409</v>
      </c>
      <c r="F1514" s="19" t="s">
        <v>27</v>
      </c>
      <c r="G1514" s="19" t="s">
        <v>28</v>
      </c>
      <c r="H1514" s="37" t="s">
        <v>762</v>
      </c>
      <c r="I1514" s="21" t="s">
        <v>29</v>
      </c>
      <c r="J1514" s="21" t="s">
        <v>29</v>
      </c>
      <c r="K1514" s="22" t="s">
        <v>5410</v>
      </c>
      <c r="L1514" s="56">
        <v>45293</v>
      </c>
      <c r="O1514" s="42"/>
      <c r="P1514" s="40"/>
      <c r="Q1514" s="61"/>
      <c r="R1514" s="61"/>
      <c r="S1514" s="40"/>
      <c r="T1514" s="38"/>
      <c r="U1514" s="38"/>
      <c r="V1514" s="38"/>
      <c r="W1514" s="60"/>
      <c r="AB1514" s="42"/>
      <c r="AC1514" s="35"/>
      <c r="AD1514" s="38"/>
      <c r="AE1514" s="38"/>
      <c r="AF1514" s="38"/>
      <c r="AG1514" s="38"/>
      <c r="AH1514" s="60"/>
    </row>
    <row r="1515" spans="1:34" ht="15.75" customHeight="1">
      <c r="A1515" s="87"/>
      <c r="B1515" s="78" t="s">
        <v>5411</v>
      </c>
      <c r="C1515" s="55" t="s">
        <v>87</v>
      </c>
      <c r="D1515" s="20" t="s">
        <v>5412</v>
      </c>
      <c r="E1515" s="20" t="s">
        <v>5413</v>
      </c>
      <c r="F1515" s="19" t="s">
        <v>90</v>
      </c>
      <c r="G1515" s="19" t="s">
        <v>91</v>
      </c>
      <c r="H1515" s="55"/>
      <c r="I1515" s="21" t="s">
        <v>29</v>
      </c>
      <c r="J1515" s="21" t="s">
        <v>29</v>
      </c>
      <c r="K1515" s="22" t="s">
        <v>5414</v>
      </c>
      <c r="L1515" s="56">
        <v>45293</v>
      </c>
      <c r="O1515" s="42"/>
      <c r="P1515" s="40"/>
      <c r="Q1515" s="61"/>
      <c r="R1515" s="61"/>
      <c r="S1515" s="40"/>
      <c r="T1515" s="38"/>
      <c r="U1515" s="38"/>
      <c r="V1515" s="38"/>
      <c r="W1515" s="60"/>
      <c r="AB1515" s="42"/>
      <c r="AC1515" s="35"/>
      <c r="AD1515" s="38"/>
      <c r="AE1515" s="38"/>
      <c r="AF1515" s="38"/>
      <c r="AG1515" s="38"/>
      <c r="AH1515" s="60"/>
    </row>
    <row r="1516" spans="1:34" ht="15.75" customHeight="1">
      <c r="A1516" s="87"/>
      <c r="B1516" s="78" t="s">
        <v>5415</v>
      </c>
      <c r="C1516" s="55" t="s">
        <v>24</v>
      </c>
      <c r="D1516" s="20" t="s">
        <v>5416</v>
      </c>
      <c r="E1516" s="20" t="s">
        <v>5417</v>
      </c>
      <c r="F1516" s="19" t="s">
        <v>27</v>
      </c>
      <c r="G1516" s="19" t="s">
        <v>28</v>
      </c>
      <c r="H1516" s="55"/>
      <c r="I1516" s="21" t="s">
        <v>29</v>
      </c>
      <c r="J1516" s="21" t="s">
        <v>29</v>
      </c>
      <c r="K1516" s="22" t="s">
        <v>5418</v>
      </c>
      <c r="L1516" s="56">
        <v>45293</v>
      </c>
      <c r="O1516" s="42"/>
      <c r="P1516" s="40"/>
      <c r="Q1516" s="61"/>
      <c r="R1516" s="61"/>
      <c r="S1516" s="40"/>
      <c r="T1516" s="38"/>
      <c r="U1516" s="38"/>
      <c r="V1516" s="38"/>
      <c r="W1516" s="60"/>
      <c r="AB1516" s="42"/>
      <c r="AC1516" s="35"/>
      <c r="AD1516" s="38"/>
      <c r="AE1516" s="38"/>
      <c r="AF1516" s="38"/>
      <c r="AG1516" s="38"/>
      <c r="AH1516" s="60"/>
    </row>
    <row r="1517" spans="1:34" ht="15.75" customHeight="1">
      <c r="A1517" s="87"/>
      <c r="B1517" s="78" t="s">
        <v>5419</v>
      </c>
      <c r="C1517" s="55" t="s">
        <v>24</v>
      </c>
      <c r="D1517" s="20" t="s">
        <v>5420</v>
      </c>
      <c r="E1517" s="20" t="s">
        <v>5421</v>
      </c>
      <c r="F1517" s="19" t="s">
        <v>27</v>
      </c>
      <c r="G1517" s="19" t="s">
        <v>28</v>
      </c>
      <c r="H1517" s="37" t="s">
        <v>813</v>
      </c>
      <c r="I1517" s="21" t="s">
        <v>29</v>
      </c>
      <c r="J1517" s="21" t="s">
        <v>29</v>
      </c>
      <c r="K1517" s="22" t="s">
        <v>5422</v>
      </c>
      <c r="L1517" s="56">
        <v>45293</v>
      </c>
      <c r="O1517" s="42"/>
      <c r="P1517" s="40"/>
      <c r="Q1517" s="61"/>
      <c r="R1517" s="61"/>
      <c r="S1517" s="40"/>
      <c r="T1517" s="38"/>
      <c r="U1517" s="38"/>
      <c r="V1517" s="38"/>
      <c r="W1517" s="60"/>
      <c r="AB1517" s="42"/>
      <c r="AC1517" s="35"/>
      <c r="AD1517" s="38"/>
      <c r="AE1517" s="38"/>
      <c r="AF1517" s="38"/>
      <c r="AG1517" s="38"/>
      <c r="AH1517" s="60"/>
    </row>
    <row r="1518" spans="1:34" ht="15.75" customHeight="1">
      <c r="A1518" s="87"/>
      <c r="B1518" s="78" t="s">
        <v>5423</v>
      </c>
      <c r="C1518" s="37" t="s">
        <v>24</v>
      </c>
      <c r="D1518" s="20" t="s">
        <v>5424</v>
      </c>
      <c r="E1518" s="20" t="s">
        <v>5425</v>
      </c>
      <c r="F1518" s="19" t="s">
        <v>27</v>
      </c>
      <c r="G1518" s="19" t="s">
        <v>28</v>
      </c>
      <c r="H1518" s="55"/>
      <c r="I1518" s="21" t="s">
        <v>29</v>
      </c>
      <c r="J1518" s="21" t="s">
        <v>29</v>
      </c>
      <c r="K1518" s="22" t="s">
        <v>5426</v>
      </c>
      <c r="L1518" s="56">
        <v>45293</v>
      </c>
      <c r="O1518" s="42"/>
      <c r="P1518" s="40"/>
      <c r="Q1518" s="61"/>
      <c r="R1518" s="61"/>
      <c r="S1518" s="40"/>
      <c r="T1518" s="38"/>
      <c r="U1518" s="38"/>
      <c r="V1518" s="38"/>
      <c r="W1518" s="60"/>
      <c r="AB1518" s="42"/>
      <c r="AC1518" s="35"/>
      <c r="AD1518" s="38"/>
      <c r="AE1518" s="38"/>
      <c r="AF1518" s="38"/>
      <c r="AG1518" s="38"/>
      <c r="AH1518" s="60"/>
    </row>
    <row r="1519" spans="1:34" ht="15.75" customHeight="1">
      <c r="A1519" s="87"/>
      <c r="B1519" s="83" t="s">
        <v>5427</v>
      </c>
      <c r="C1519" s="19" t="s">
        <v>121</v>
      </c>
      <c r="D1519" s="20" t="s">
        <v>5428</v>
      </c>
      <c r="E1519" s="20" t="s">
        <v>5429</v>
      </c>
      <c r="F1519" s="19" t="s">
        <v>27</v>
      </c>
      <c r="G1519" s="55" t="s">
        <v>359</v>
      </c>
      <c r="H1519" s="55"/>
      <c r="I1519" s="21" t="s">
        <v>29</v>
      </c>
      <c r="J1519" s="21" t="s">
        <v>359</v>
      </c>
      <c r="K1519" s="22" t="s">
        <v>5430</v>
      </c>
      <c r="L1519" s="56">
        <v>45293</v>
      </c>
      <c r="O1519" s="42"/>
      <c r="P1519" s="40"/>
      <c r="Q1519" s="61"/>
      <c r="R1519" s="61"/>
      <c r="S1519" s="40"/>
      <c r="T1519" s="38"/>
      <c r="U1519" s="38"/>
      <c r="V1519" s="38"/>
      <c r="W1519" s="60"/>
      <c r="AB1519" s="42"/>
      <c r="AC1519" s="35"/>
      <c r="AD1519" s="38"/>
      <c r="AE1519" s="38"/>
      <c r="AF1519" s="38"/>
      <c r="AG1519" s="38"/>
      <c r="AH1519" s="60"/>
    </row>
    <row r="1520" spans="1:34" ht="15.75" customHeight="1">
      <c r="A1520" s="87"/>
      <c r="B1520" s="78" t="s">
        <v>5431</v>
      </c>
      <c r="C1520" s="55" t="s">
        <v>46</v>
      </c>
      <c r="D1520" s="20" t="s">
        <v>5432</v>
      </c>
      <c r="E1520" s="20" t="s">
        <v>5433</v>
      </c>
      <c r="F1520" s="37" t="s">
        <v>49</v>
      </c>
      <c r="G1520" s="19" t="s">
        <v>50</v>
      </c>
      <c r="H1520" s="55"/>
      <c r="I1520" s="21" t="s">
        <v>29</v>
      </c>
      <c r="J1520" s="21" t="s">
        <v>29</v>
      </c>
      <c r="K1520" s="22" t="s">
        <v>5434</v>
      </c>
      <c r="L1520" s="56">
        <v>45293</v>
      </c>
      <c r="O1520" s="42"/>
      <c r="P1520" s="40"/>
      <c r="Q1520" s="61"/>
      <c r="R1520" s="61"/>
      <c r="S1520" s="40"/>
      <c r="T1520" s="38"/>
      <c r="U1520" s="38"/>
      <c r="V1520" s="38"/>
      <c r="W1520" s="60"/>
      <c r="AB1520" s="42"/>
      <c r="AC1520" s="35"/>
      <c r="AD1520" s="38"/>
      <c r="AE1520" s="38"/>
      <c r="AF1520" s="38"/>
      <c r="AG1520" s="38"/>
      <c r="AH1520" s="60"/>
    </row>
    <row r="1521" spans="1:34" ht="15.75" customHeight="1">
      <c r="A1521" s="87"/>
      <c r="B1521" s="78" t="s">
        <v>5435</v>
      </c>
      <c r="C1521" s="55" t="s">
        <v>24</v>
      </c>
      <c r="D1521" s="20" t="s">
        <v>5436</v>
      </c>
      <c r="E1521" s="20" t="s">
        <v>5437</v>
      </c>
      <c r="F1521" s="19" t="s">
        <v>27</v>
      </c>
      <c r="G1521" s="19" t="s">
        <v>28</v>
      </c>
      <c r="H1521" s="37" t="s">
        <v>813</v>
      </c>
      <c r="I1521" s="21" t="s">
        <v>29</v>
      </c>
      <c r="J1521" s="21" t="s">
        <v>29</v>
      </c>
      <c r="K1521" s="22" t="s">
        <v>5438</v>
      </c>
      <c r="L1521" s="56">
        <v>45293</v>
      </c>
      <c r="O1521" s="42"/>
      <c r="P1521" s="40"/>
      <c r="Q1521" s="61"/>
      <c r="R1521" s="61"/>
      <c r="S1521" s="40"/>
      <c r="T1521" s="38"/>
      <c r="U1521" s="38"/>
      <c r="V1521" s="38"/>
      <c r="W1521" s="60"/>
      <c r="AB1521" s="42"/>
      <c r="AC1521" s="35"/>
      <c r="AD1521" s="38"/>
      <c r="AE1521" s="38"/>
      <c r="AF1521" s="38"/>
      <c r="AG1521" s="38"/>
      <c r="AH1521" s="60"/>
    </row>
    <row r="1522" spans="1:34" ht="15.75" customHeight="1">
      <c r="A1522" s="87"/>
      <c r="B1522" s="78" t="s">
        <v>5439</v>
      </c>
      <c r="C1522" s="37" t="s">
        <v>24</v>
      </c>
      <c r="D1522" s="20" t="s">
        <v>5440</v>
      </c>
      <c r="E1522" s="20" t="s">
        <v>5441</v>
      </c>
      <c r="F1522" s="19" t="s">
        <v>27</v>
      </c>
      <c r="G1522" s="19" t="s">
        <v>28</v>
      </c>
      <c r="H1522" s="37" t="s">
        <v>813</v>
      </c>
      <c r="I1522" s="21" t="s">
        <v>29</v>
      </c>
      <c r="J1522" s="21" t="s">
        <v>29</v>
      </c>
      <c r="K1522" s="22" t="s">
        <v>5442</v>
      </c>
      <c r="L1522" s="56">
        <v>45293</v>
      </c>
      <c r="O1522" s="42"/>
      <c r="P1522" s="40"/>
      <c r="Q1522" s="61"/>
      <c r="R1522" s="61"/>
      <c r="S1522" s="40"/>
      <c r="T1522" s="38"/>
      <c r="U1522" s="38"/>
      <c r="V1522" s="38"/>
      <c r="W1522" s="60"/>
      <c r="AB1522" s="42"/>
      <c r="AC1522" s="35"/>
      <c r="AD1522" s="38"/>
      <c r="AE1522" s="38"/>
      <c r="AF1522" s="38"/>
      <c r="AG1522" s="38"/>
      <c r="AH1522" s="60"/>
    </row>
    <row r="1523" spans="1:34" ht="15.75" customHeight="1">
      <c r="A1523" s="35"/>
      <c r="B1523" s="78" t="s">
        <v>5443</v>
      </c>
      <c r="C1523" s="55" t="s">
        <v>24</v>
      </c>
      <c r="D1523" s="20" t="s">
        <v>5444</v>
      </c>
      <c r="E1523" s="20" t="s">
        <v>5445</v>
      </c>
      <c r="F1523" s="19" t="s">
        <v>27</v>
      </c>
      <c r="G1523" s="19" t="s">
        <v>28</v>
      </c>
      <c r="H1523" s="55"/>
      <c r="I1523" s="21" t="s">
        <v>29</v>
      </c>
      <c r="J1523" s="21" t="s">
        <v>29</v>
      </c>
      <c r="K1523" s="22" t="s">
        <v>5446</v>
      </c>
      <c r="L1523" s="56">
        <v>45293</v>
      </c>
      <c r="O1523" s="42"/>
      <c r="P1523" s="40"/>
      <c r="Q1523" s="61"/>
      <c r="R1523" s="61"/>
      <c r="S1523" s="40"/>
      <c r="T1523" s="38"/>
      <c r="U1523" s="38"/>
      <c r="V1523" s="38"/>
      <c r="W1523" s="60"/>
      <c r="AB1523" s="42"/>
      <c r="AC1523" s="35"/>
      <c r="AD1523" s="38"/>
      <c r="AE1523" s="38"/>
      <c r="AF1523" s="38"/>
      <c r="AG1523" s="38"/>
      <c r="AH1523" s="60"/>
    </row>
    <row r="1524" spans="1:34" ht="15.75" customHeight="1">
      <c r="A1524" s="87"/>
      <c r="B1524" s="78" t="s">
        <v>5447</v>
      </c>
      <c r="C1524" s="55" t="s">
        <v>24</v>
      </c>
      <c r="D1524" s="20" t="s">
        <v>5448</v>
      </c>
      <c r="E1524" s="20" t="s">
        <v>5449</v>
      </c>
      <c r="F1524" s="19" t="s">
        <v>27</v>
      </c>
      <c r="G1524" s="19" t="s">
        <v>28</v>
      </c>
      <c r="H1524" s="55"/>
      <c r="I1524" s="21" t="s">
        <v>29</v>
      </c>
      <c r="J1524" s="21" t="s">
        <v>29</v>
      </c>
      <c r="K1524" s="22" t="s">
        <v>5450</v>
      </c>
      <c r="L1524" s="56">
        <v>45293</v>
      </c>
      <c r="O1524" s="42"/>
      <c r="P1524" s="40"/>
      <c r="Q1524" s="61"/>
      <c r="R1524" s="61"/>
      <c r="S1524" s="40"/>
      <c r="T1524" s="38"/>
      <c r="U1524" s="38"/>
      <c r="V1524" s="38"/>
      <c r="W1524" s="60"/>
      <c r="AB1524" s="42"/>
      <c r="AC1524" s="35"/>
      <c r="AD1524" s="38"/>
      <c r="AE1524" s="38"/>
      <c r="AF1524" s="38"/>
      <c r="AG1524" s="38"/>
      <c r="AH1524" s="60"/>
    </row>
    <row r="1525" spans="1:34" ht="15.75" customHeight="1">
      <c r="A1525" s="87"/>
      <c r="B1525" s="78" t="s">
        <v>5451</v>
      </c>
      <c r="C1525" s="55" t="s">
        <v>24</v>
      </c>
      <c r="D1525" s="20" t="s">
        <v>5452</v>
      </c>
      <c r="E1525" s="20" t="s">
        <v>5453</v>
      </c>
      <c r="F1525" s="19" t="s">
        <v>27</v>
      </c>
      <c r="G1525" s="19" t="s">
        <v>28</v>
      </c>
      <c r="H1525" s="37"/>
      <c r="I1525" s="21" t="s">
        <v>29</v>
      </c>
      <c r="J1525" s="21" t="s">
        <v>29</v>
      </c>
      <c r="K1525" s="22" t="s">
        <v>5454</v>
      </c>
      <c r="L1525" s="56">
        <v>45293</v>
      </c>
      <c r="O1525" s="42"/>
      <c r="P1525" s="40"/>
      <c r="Q1525" s="61"/>
      <c r="R1525" s="61"/>
      <c r="S1525" s="40"/>
      <c r="T1525" s="38"/>
      <c r="U1525" s="38"/>
      <c r="V1525" s="38"/>
      <c r="W1525" s="60"/>
      <c r="AB1525" s="42"/>
      <c r="AC1525" s="35"/>
      <c r="AD1525" s="38"/>
      <c r="AE1525" s="38"/>
      <c r="AF1525" s="38"/>
      <c r="AG1525" s="38"/>
      <c r="AH1525" s="60"/>
    </row>
    <row r="1526" spans="1:34" ht="15.75" customHeight="1">
      <c r="A1526" s="87"/>
      <c r="B1526" s="78" t="s">
        <v>5455</v>
      </c>
      <c r="C1526" s="55" t="s">
        <v>24</v>
      </c>
      <c r="D1526" s="20" t="s">
        <v>5456</v>
      </c>
      <c r="E1526" s="20" t="s">
        <v>5457</v>
      </c>
      <c r="F1526" s="19" t="s">
        <v>27</v>
      </c>
      <c r="G1526" s="19" t="s">
        <v>28</v>
      </c>
      <c r="H1526" s="37"/>
      <c r="I1526" s="21" t="s">
        <v>29</v>
      </c>
      <c r="J1526" s="21" t="s">
        <v>29</v>
      </c>
      <c r="K1526" s="22" t="s">
        <v>5458</v>
      </c>
      <c r="L1526" s="56">
        <v>45293</v>
      </c>
      <c r="O1526" s="42"/>
      <c r="P1526" s="40"/>
      <c r="Q1526" s="61"/>
      <c r="R1526" s="61"/>
      <c r="S1526" s="40"/>
      <c r="T1526" s="38"/>
      <c r="U1526" s="38"/>
      <c r="V1526" s="38"/>
      <c r="W1526" s="60"/>
      <c r="AB1526" s="42"/>
      <c r="AC1526" s="35"/>
      <c r="AD1526" s="38"/>
      <c r="AE1526" s="38"/>
      <c r="AF1526" s="38"/>
      <c r="AG1526" s="38"/>
      <c r="AH1526" s="60"/>
    </row>
    <row r="1527" spans="1:34" ht="15.75" customHeight="1">
      <c r="A1527" s="87"/>
      <c r="B1527" s="78" t="s">
        <v>5459</v>
      </c>
      <c r="C1527" s="55" t="s">
        <v>1603</v>
      </c>
      <c r="D1527" s="20" t="s">
        <v>5460</v>
      </c>
      <c r="E1527" s="20" t="s">
        <v>5461</v>
      </c>
      <c r="F1527" s="19" t="s">
        <v>90</v>
      </c>
      <c r="G1527" s="37" t="s">
        <v>1606</v>
      </c>
      <c r="H1527" s="55"/>
      <c r="I1527" s="21" t="s">
        <v>29</v>
      </c>
      <c r="J1527" s="21" t="s">
        <v>233</v>
      </c>
      <c r="K1527" s="22" t="s">
        <v>5462</v>
      </c>
      <c r="L1527" s="56">
        <v>45293</v>
      </c>
      <c r="O1527" s="42"/>
      <c r="P1527" s="40"/>
      <c r="Q1527" s="61"/>
      <c r="R1527" s="61"/>
      <c r="S1527" s="40"/>
      <c r="T1527" s="38"/>
      <c r="U1527" s="38"/>
      <c r="V1527" s="38"/>
      <c r="W1527" s="60"/>
      <c r="AB1527" s="42"/>
      <c r="AC1527" s="35"/>
      <c r="AD1527" s="38"/>
      <c r="AE1527" s="38"/>
      <c r="AF1527" s="38"/>
      <c r="AG1527" s="38"/>
      <c r="AH1527" s="60"/>
    </row>
    <row r="1528" spans="1:34" ht="15.75" customHeight="1">
      <c r="A1528" s="87"/>
      <c r="B1528" s="78" t="s">
        <v>5463</v>
      </c>
      <c r="C1528" s="55" t="s">
        <v>24</v>
      </c>
      <c r="D1528" s="20" t="s">
        <v>5464</v>
      </c>
      <c r="E1528" s="20"/>
      <c r="F1528" s="19" t="s">
        <v>27</v>
      </c>
      <c r="G1528" s="19" t="s">
        <v>28</v>
      </c>
      <c r="H1528" s="55"/>
      <c r="I1528" s="21" t="s">
        <v>29</v>
      </c>
      <c r="J1528" s="21" t="s">
        <v>29</v>
      </c>
      <c r="K1528" s="22"/>
      <c r="L1528" s="56">
        <v>45293</v>
      </c>
      <c r="O1528" s="42"/>
      <c r="P1528" s="40"/>
      <c r="Q1528" s="61"/>
      <c r="R1528" s="61"/>
      <c r="S1528" s="40"/>
      <c r="T1528" s="38"/>
      <c r="U1528" s="38"/>
      <c r="V1528" s="38"/>
      <c r="W1528" s="60"/>
      <c r="AB1528" s="42"/>
      <c r="AC1528" s="35"/>
      <c r="AD1528" s="38"/>
      <c r="AE1528" s="38"/>
      <c r="AF1528" s="38"/>
      <c r="AG1528" s="38"/>
      <c r="AH1528" s="60"/>
    </row>
    <row r="1529" spans="1:34" ht="15.75" customHeight="1">
      <c r="A1529" s="87"/>
      <c r="B1529" s="78" t="s">
        <v>5465</v>
      </c>
      <c r="C1529" s="55" t="s">
        <v>24</v>
      </c>
      <c r="D1529" s="20"/>
      <c r="E1529" s="20" t="s">
        <v>5466</v>
      </c>
      <c r="F1529" s="19" t="s">
        <v>27</v>
      </c>
      <c r="G1529" s="19" t="s">
        <v>28</v>
      </c>
      <c r="H1529" s="37" t="s">
        <v>762</v>
      </c>
      <c r="I1529" s="21" t="s">
        <v>29</v>
      </c>
      <c r="J1529" s="21" t="s">
        <v>29</v>
      </c>
      <c r="K1529" s="22" t="s">
        <v>5467</v>
      </c>
      <c r="L1529" s="56">
        <v>45293</v>
      </c>
      <c r="O1529" s="42"/>
      <c r="P1529" s="40"/>
      <c r="Q1529" s="61"/>
      <c r="R1529" s="61"/>
      <c r="S1529" s="40"/>
      <c r="T1529" s="38"/>
      <c r="U1529" s="38"/>
      <c r="V1529" s="38"/>
      <c r="W1529" s="60"/>
      <c r="AB1529" s="42"/>
      <c r="AC1529" s="35"/>
      <c r="AD1529" s="38"/>
      <c r="AE1529" s="38"/>
      <c r="AF1529" s="38"/>
      <c r="AG1529" s="38"/>
      <c r="AH1529" s="60"/>
    </row>
    <row r="1530" spans="1:34" ht="15.75" customHeight="1">
      <c r="A1530" s="87"/>
      <c r="B1530" s="78" t="s">
        <v>5468</v>
      </c>
      <c r="C1530" s="55" t="s">
        <v>24</v>
      </c>
      <c r="D1530" s="20" t="s">
        <v>5469</v>
      </c>
      <c r="E1530" s="20" t="s">
        <v>5470</v>
      </c>
      <c r="F1530" s="19" t="s">
        <v>27</v>
      </c>
      <c r="G1530" s="19" t="s">
        <v>28</v>
      </c>
      <c r="H1530" s="55"/>
      <c r="I1530" s="21" t="s">
        <v>29</v>
      </c>
      <c r="J1530" s="21" t="s">
        <v>29</v>
      </c>
      <c r="K1530" s="22" t="s">
        <v>5471</v>
      </c>
      <c r="L1530" s="56">
        <v>45293</v>
      </c>
      <c r="O1530" s="42"/>
      <c r="P1530" s="40"/>
      <c r="Q1530" s="61"/>
      <c r="R1530" s="61"/>
      <c r="S1530" s="40"/>
      <c r="T1530" s="38"/>
      <c r="U1530" s="38"/>
      <c r="V1530" s="38"/>
      <c r="W1530" s="60"/>
      <c r="AB1530" s="42"/>
      <c r="AC1530" s="35"/>
      <c r="AD1530" s="38"/>
      <c r="AE1530" s="38"/>
      <c r="AF1530" s="38"/>
      <c r="AG1530" s="38"/>
      <c r="AH1530" s="60"/>
    </row>
    <row r="1531" spans="1:34" ht="15.75" customHeight="1">
      <c r="A1531" s="87"/>
      <c r="B1531" s="78" t="s">
        <v>5472</v>
      </c>
      <c r="C1531" s="55" t="s">
        <v>87</v>
      </c>
      <c r="D1531" s="20" t="s">
        <v>5473</v>
      </c>
      <c r="E1531" s="20" t="s">
        <v>5474</v>
      </c>
      <c r="F1531" s="37" t="s">
        <v>49</v>
      </c>
      <c r="G1531" s="19" t="s">
        <v>91</v>
      </c>
      <c r="H1531" s="55"/>
      <c r="I1531" s="21" t="s">
        <v>29</v>
      </c>
      <c r="J1531" s="21" t="s">
        <v>29</v>
      </c>
      <c r="K1531" s="22" t="s">
        <v>5475</v>
      </c>
      <c r="L1531" s="56">
        <v>45293</v>
      </c>
      <c r="O1531" s="42"/>
      <c r="P1531" s="40"/>
      <c r="Q1531" s="61"/>
      <c r="R1531" s="61"/>
      <c r="S1531" s="40"/>
      <c r="T1531" s="38"/>
      <c r="U1531" s="38"/>
      <c r="V1531" s="38"/>
      <c r="W1531" s="60"/>
      <c r="AB1531" s="42"/>
      <c r="AC1531" s="35"/>
      <c r="AD1531" s="38"/>
      <c r="AE1531" s="38"/>
      <c r="AF1531" s="38"/>
      <c r="AG1531" s="38"/>
      <c r="AH1531" s="60"/>
    </row>
    <row r="1532" spans="1:34" ht="15.75" customHeight="1">
      <c r="A1532" s="87"/>
      <c r="B1532" s="80" t="s">
        <v>5476</v>
      </c>
      <c r="C1532" s="55" t="s">
        <v>87</v>
      </c>
      <c r="D1532" s="20" t="s">
        <v>5477</v>
      </c>
      <c r="E1532" s="20" t="s">
        <v>5478</v>
      </c>
      <c r="F1532" s="37" t="s">
        <v>49</v>
      </c>
      <c r="G1532" s="19" t="s">
        <v>50</v>
      </c>
      <c r="H1532" s="37" t="s">
        <v>762</v>
      </c>
      <c r="I1532" s="21" t="s">
        <v>29</v>
      </c>
      <c r="J1532" s="21" t="s">
        <v>29</v>
      </c>
      <c r="K1532" s="22" t="s">
        <v>5479</v>
      </c>
      <c r="L1532" s="56">
        <v>45293</v>
      </c>
      <c r="O1532" s="42"/>
      <c r="P1532" s="40"/>
      <c r="Q1532" s="61"/>
      <c r="R1532" s="61"/>
      <c r="S1532" s="40"/>
      <c r="T1532" s="38"/>
      <c r="U1532" s="38"/>
      <c r="V1532" s="38"/>
      <c r="W1532" s="60"/>
      <c r="AB1532" s="42"/>
      <c r="AC1532" s="35"/>
      <c r="AD1532" s="38"/>
      <c r="AE1532" s="38"/>
      <c r="AF1532" s="38"/>
      <c r="AG1532" s="38"/>
      <c r="AH1532" s="60"/>
    </row>
    <row r="1533" spans="1:34" ht="15.75" customHeight="1">
      <c r="A1533" s="87"/>
      <c r="B1533" s="83" t="s">
        <v>5480</v>
      </c>
      <c r="C1533" s="19" t="s">
        <v>121</v>
      </c>
      <c r="D1533" s="20" t="s">
        <v>5481</v>
      </c>
      <c r="E1533" s="20" t="s">
        <v>5482</v>
      </c>
      <c r="F1533" s="19" t="s">
        <v>27</v>
      </c>
      <c r="G1533" s="55" t="s">
        <v>359</v>
      </c>
      <c r="H1533" s="55"/>
      <c r="I1533" s="21" t="s">
        <v>29</v>
      </c>
      <c r="J1533" s="21" t="s">
        <v>359</v>
      </c>
      <c r="K1533" s="22" t="s">
        <v>5483</v>
      </c>
      <c r="L1533" s="56">
        <v>45293</v>
      </c>
      <c r="O1533" s="42"/>
      <c r="P1533" s="40"/>
      <c r="Q1533" s="61"/>
      <c r="R1533" s="61"/>
      <c r="S1533" s="40"/>
      <c r="T1533" s="38"/>
      <c r="U1533" s="38"/>
      <c r="V1533" s="38"/>
      <c r="W1533" s="60"/>
      <c r="AB1533" s="42"/>
      <c r="AC1533" s="35"/>
      <c r="AD1533" s="38"/>
      <c r="AE1533" s="38"/>
      <c r="AF1533" s="38"/>
      <c r="AG1533" s="38"/>
      <c r="AH1533" s="60"/>
    </row>
    <row r="1534" spans="1:34" ht="15.75" customHeight="1">
      <c r="A1534" s="87"/>
      <c r="B1534" s="78" t="s">
        <v>5484</v>
      </c>
      <c r="C1534" s="55" t="s">
        <v>46</v>
      </c>
      <c r="D1534" s="20" t="s">
        <v>5485</v>
      </c>
      <c r="E1534" s="20" t="s">
        <v>5486</v>
      </c>
      <c r="F1534" s="37" t="s">
        <v>49</v>
      </c>
      <c r="G1534" s="19" t="s">
        <v>50</v>
      </c>
      <c r="H1534" s="37" t="s">
        <v>762</v>
      </c>
      <c r="I1534" s="21" t="s">
        <v>29</v>
      </c>
      <c r="J1534" s="21" t="s">
        <v>29</v>
      </c>
      <c r="K1534" s="22" t="s">
        <v>5487</v>
      </c>
      <c r="L1534" s="56">
        <v>45293</v>
      </c>
      <c r="O1534" s="42"/>
      <c r="P1534" s="40"/>
      <c r="Q1534" s="61"/>
      <c r="R1534" s="61"/>
      <c r="S1534" s="40"/>
      <c r="T1534" s="38"/>
      <c r="U1534" s="38"/>
      <c r="V1534" s="38"/>
      <c r="W1534" s="60"/>
      <c r="AB1534" s="42"/>
      <c r="AC1534" s="35"/>
      <c r="AD1534" s="38"/>
      <c r="AE1534" s="38"/>
      <c r="AF1534" s="38"/>
      <c r="AG1534" s="38"/>
      <c r="AH1534" s="60"/>
    </row>
    <row r="1535" spans="1:34" ht="15.75" customHeight="1">
      <c r="A1535" s="87"/>
      <c r="B1535" s="78" t="s">
        <v>5488</v>
      </c>
      <c r="C1535" s="55" t="s">
        <v>24</v>
      </c>
      <c r="D1535" s="20" t="s">
        <v>5489</v>
      </c>
      <c r="E1535" s="20"/>
      <c r="F1535" s="19" t="s">
        <v>27</v>
      </c>
      <c r="G1535" s="19" t="s">
        <v>28</v>
      </c>
      <c r="H1535" s="55"/>
      <c r="I1535" s="21" t="s">
        <v>29</v>
      </c>
      <c r="J1535" s="21" t="s">
        <v>29</v>
      </c>
      <c r="K1535" s="22"/>
      <c r="L1535" s="56">
        <v>45293</v>
      </c>
      <c r="O1535" s="42"/>
      <c r="P1535" s="40"/>
      <c r="Q1535" s="61"/>
      <c r="R1535" s="61"/>
      <c r="S1535" s="40"/>
      <c r="T1535" s="38"/>
      <c r="U1535" s="38"/>
      <c r="V1535" s="38"/>
      <c r="W1535" s="60"/>
      <c r="AB1535" s="42"/>
      <c r="AC1535" s="35"/>
      <c r="AD1535" s="38"/>
      <c r="AE1535" s="38"/>
      <c r="AF1535" s="38"/>
      <c r="AG1535" s="38"/>
      <c r="AH1535" s="60"/>
    </row>
    <row r="1536" spans="1:34" ht="15.75" customHeight="1">
      <c r="A1536" s="87"/>
      <c r="B1536" s="80" t="s">
        <v>5490</v>
      </c>
      <c r="C1536" s="55" t="s">
        <v>24</v>
      </c>
      <c r="D1536" s="20" t="s">
        <v>5491</v>
      </c>
      <c r="E1536" s="20" t="s">
        <v>5492</v>
      </c>
      <c r="F1536" s="19" t="s">
        <v>90</v>
      </c>
      <c r="G1536" s="19" t="s">
        <v>91</v>
      </c>
      <c r="H1536" s="55"/>
      <c r="I1536" s="21" t="s">
        <v>29</v>
      </c>
      <c r="J1536" s="21" t="s">
        <v>29</v>
      </c>
      <c r="K1536" s="22" t="s">
        <v>5493</v>
      </c>
      <c r="L1536" s="56">
        <v>45293</v>
      </c>
      <c r="O1536" s="42"/>
      <c r="P1536" s="40"/>
      <c r="Q1536" s="61"/>
      <c r="R1536" s="61"/>
      <c r="S1536" s="40"/>
      <c r="T1536" s="38"/>
      <c r="U1536" s="38"/>
      <c r="V1536" s="38"/>
      <c r="W1536" s="60"/>
      <c r="AB1536" s="42"/>
      <c r="AC1536" s="35"/>
      <c r="AD1536" s="38"/>
      <c r="AE1536" s="38"/>
      <c r="AF1536" s="38"/>
      <c r="AG1536" s="38"/>
      <c r="AH1536" s="60"/>
    </row>
    <row r="1537" spans="1:34" ht="15.75" customHeight="1">
      <c r="A1537" s="87"/>
      <c r="B1537" s="80" t="s">
        <v>5494</v>
      </c>
      <c r="C1537" s="55" t="s">
        <v>87</v>
      </c>
      <c r="D1537" s="20" t="s">
        <v>5495</v>
      </c>
      <c r="E1537" s="20" t="s">
        <v>5496</v>
      </c>
      <c r="F1537" s="37" t="s">
        <v>49</v>
      </c>
      <c r="G1537" s="19" t="s">
        <v>50</v>
      </c>
      <c r="H1537" s="37" t="s">
        <v>813</v>
      </c>
      <c r="I1537" s="21" t="s">
        <v>29</v>
      </c>
      <c r="J1537" s="21" t="s">
        <v>29</v>
      </c>
      <c r="K1537" s="22" t="s">
        <v>5497</v>
      </c>
      <c r="L1537" s="56">
        <v>45293</v>
      </c>
      <c r="O1537" s="42"/>
      <c r="P1537" s="40"/>
      <c r="Q1537" s="61"/>
      <c r="R1537" s="61"/>
      <c r="S1537" s="40"/>
      <c r="T1537" s="38"/>
      <c r="U1537" s="38"/>
      <c r="V1537" s="38"/>
      <c r="W1537" s="60"/>
      <c r="AB1537" s="42"/>
      <c r="AC1537" s="35"/>
      <c r="AD1537" s="38"/>
      <c r="AE1537" s="38"/>
      <c r="AF1537" s="38"/>
      <c r="AG1537" s="38"/>
      <c r="AH1537" s="60"/>
    </row>
    <row r="1538" spans="1:34" ht="15.75" customHeight="1">
      <c r="A1538" s="87"/>
      <c r="B1538" s="78" t="s">
        <v>5498</v>
      </c>
      <c r="C1538" s="55" t="s">
        <v>24</v>
      </c>
      <c r="D1538" s="20" t="s">
        <v>5499</v>
      </c>
      <c r="E1538" s="20" t="s">
        <v>5500</v>
      </c>
      <c r="F1538" s="19" t="s">
        <v>27</v>
      </c>
      <c r="G1538" s="19" t="s">
        <v>28</v>
      </c>
      <c r="H1538" s="55"/>
      <c r="I1538" s="21" t="s">
        <v>29</v>
      </c>
      <c r="J1538" s="21" t="s">
        <v>29</v>
      </c>
      <c r="K1538" s="22" t="s">
        <v>5501</v>
      </c>
      <c r="L1538" s="56">
        <v>45293</v>
      </c>
      <c r="O1538" s="42"/>
      <c r="P1538" s="40"/>
      <c r="Q1538" s="61"/>
      <c r="R1538" s="61"/>
      <c r="S1538" s="40"/>
      <c r="T1538" s="38"/>
      <c r="U1538" s="38"/>
      <c r="V1538" s="38"/>
      <c r="W1538" s="60"/>
      <c r="AB1538" s="42"/>
      <c r="AC1538" s="35"/>
      <c r="AD1538" s="38"/>
      <c r="AE1538" s="38"/>
      <c r="AF1538" s="38"/>
      <c r="AG1538" s="38"/>
      <c r="AH1538" s="60"/>
    </row>
    <row r="1539" spans="1:34" ht="15.75" customHeight="1">
      <c r="A1539" s="87"/>
      <c r="B1539" s="78" t="s">
        <v>5502</v>
      </c>
      <c r="C1539" s="55" t="s">
        <v>24</v>
      </c>
      <c r="D1539" s="20" t="s">
        <v>5503</v>
      </c>
      <c r="E1539" s="20" t="s">
        <v>5504</v>
      </c>
      <c r="F1539" s="19" t="s">
        <v>27</v>
      </c>
      <c r="G1539" s="19" t="s">
        <v>28</v>
      </c>
      <c r="H1539" s="55"/>
      <c r="I1539" s="21" t="s">
        <v>29</v>
      </c>
      <c r="J1539" s="21" t="s">
        <v>29</v>
      </c>
      <c r="K1539" s="22" t="s">
        <v>5505</v>
      </c>
      <c r="L1539" s="56">
        <v>45293</v>
      </c>
      <c r="O1539" s="42"/>
      <c r="P1539" s="40"/>
      <c r="Q1539" s="61"/>
      <c r="R1539" s="61"/>
      <c r="S1539" s="40"/>
      <c r="T1539" s="38"/>
      <c r="U1539" s="38"/>
      <c r="V1539" s="38"/>
      <c r="W1539" s="60"/>
      <c r="AB1539" s="42"/>
      <c r="AC1539" s="35"/>
      <c r="AD1539" s="38"/>
      <c r="AE1539" s="38"/>
      <c r="AF1539" s="38"/>
      <c r="AG1539" s="38"/>
      <c r="AH1539" s="60"/>
    </row>
    <row r="1540" spans="1:34" ht="15.75" customHeight="1">
      <c r="A1540" s="87"/>
      <c r="B1540" s="78" t="s">
        <v>5506</v>
      </c>
      <c r="C1540" s="55" t="s">
        <v>87</v>
      </c>
      <c r="D1540" s="20" t="s">
        <v>5507</v>
      </c>
      <c r="E1540" s="20" t="s">
        <v>5508</v>
      </c>
      <c r="F1540" s="19" t="s">
        <v>90</v>
      </c>
      <c r="G1540" s="19" t="s">
        <v>91</v>
      </c>
      <c r="H1540" s="55"/>
      <c r="I1540" s="21" t="s">
        <v>29</v>
      </c>
      <c r="J1540" s="21" t="s">
        <v>29</v>
      </c>
      <c r="K1540" s="22" t="s">
        <v>5509</v>
      </c>
      <c r="L1540" s="56">
        <v>45293</v>
      </c>
      <c r="O1540" s="42"/>
      <c r="P1540" s="40"/>
      <c r="Q1540" s="61"/>
      <c r="R1540" s="61"/>
      <c r="S1540" s="40"/>
      <c r="T1540" s="38"/>
      <c r="U1540" s="38"/>
      <c r="V1540" s="38"/>
      <c r="W1540" s="60"/>
      <c r="AB1540" s="42"/>
      <c r="AC1540" s="35"/>
      <c r="AD1540" s="38"/>
      <c r="AE1540" s="38"/>
      <c r="AF1540" s="38"/>
      <c r="AG1540" s="38"/>
      <c r="AH1540" s="60"/>
    </row>
    <row r="1541" spans="1:34" ht="15.75" customHeight="1">
      <c r="A1541" s="87"/>
      <c r="B1541" s="78" t="s">
        <v>5510</v>
      </c>
      <c r="C1541" s="55" t="s">
        <v>24</v>
      </c>
      <c r="D1541" s="20" t="s">
        <v>5511</v>
      </c>
      <c r="E1541" s="20"/>
      <c r="F1541" s="19" t="s">
        <v>27</v>
      </c>
      <c r="G1541" s="19" t="s">
        <v>28</v>
      </c>
      <c r="H1541" s="37" t="s">
        <v>813</v>
      </c>
      <c r="I1541" s="21" t="s">
        <v>29</v>
      </c>
      <c r="J1541" s="21" t="s">
        <v>29</v>
      </c>
      <c r="K1541" s="22"/>
      <c r="L1541" s="56">
        <v>45293</v>
      </c>
      <c r="O1541" s="42"/>
      <c r="P1541" s="40"/>
      <c r="Q1541" s="61"/>
      <c r="R1541" s="61"/>
      <c r="S1541" s="40"/>
      <c r="T1541" s="38"/>
      <c r="U1541" s="38"/>
      <c r="V1541" s="38"/>
      <c r="W1541" s="60"/>
      <c r="AB1541" s="42"/>
      <c r="AC1541" s="35"/>
      <c r="AD1541" s="38"/>
      <c r="AE1541" s="38"/>
      <c r="AF1541" s="38"/>
      <c r="AG1541" s="38"/>
      <c r="AH1541" s="60"/>
    </row>
    <row r="1542" spans="1:34" ht="15.75" customHeight="1">
      <c r="A1542" s="87"/>
      <c r="B1542" s="78" t="s">
        <v>5512</v>
      </c>
      <c r="C1542" s="55" t="s">
        <v>24</v>
      </c>
      <c r="D1542" s="20" t="s">
        <v>5513</v>
      </c>
      <c r="E1542" s="20"/>
      <c r="F1542" s="19" t="s">
        <v>27</v>
      </c>
      <c r="G1542" s="19" t="s">
        <v>28</v>
      </c>
      <c r="H1542" s="37" t="s">
        <v>813</v>
      </c>
      <c r="I1542" s="21" t="s">
        <v>29</v>
      </c>
      <c r="J1542" s="21" t="s">
        <v>29</v>
      </c>
      <c r="K1542" s="22"/>
      <c r="L1542" s="56">
        <v>45293</v>
      </c>
      <c r="O1542" s="42"/>
      <c r="P1542" s="40"/>
      <c r="Q1542" s="61"/>
      <c r="R1542" s="61"/>
      <c r="S1542" s="40"/>
      <c r="T1542" s="38"/>
      <c r="U1542" s="38"/>
      <c r="V1542" s="38"/>
      <c r="W1542" s="60"/>
      <c r="AB1542" s="42"/>
      <c r="AC1542" s="35"/>
      <c r="AD1542" s="38"/>
      <c r="AE1542" s="38"/>
      <c r="AF1542" s="38"/>
      <c r="AG1542" s="38"/>
      <c r="AH1542" s="60"/>
    </row>
    <row r="1543" spans="1:34" ht="15.75" customHeight="1">
      <c r="A1543" s="87"/>
      <c r="B1543" s="78" t="s">
        <v>5514</v>
      </c>
      <c r="C1543" s="55" t="s">
        <v>87</v>
      </c>
      <c r="D1543" s="20" t="s">
        <v>5515</v>
      </c>
      <c r="E1543" s="20"/>
      <c r="F1543" s="19" t="s">
        <v>90</v>
      </c>
      <c r="G1543" s="19" t="s">
        <v>91</v>
      </c>
      <c r="H1543" s="55"/>
      <c r="I1543" s="21" t="s">
        <v>29</v>
      </c>
      <c r="J1543" s="21" t="s">
        <v>29</v>
      </c>
      <c r="K1543" s="22"/>
      <c r="L1543" s="56">
        <v>45293</v>
      </c>
      <c r="O1543" s="42"/>
      <c r="P1543" s="40"/>
      <c r="Q1543" s="61"/>
      <c r="R1543" s="61"/>
      <c r="S1543" s="40"/>
      <c r="T1543" s="38"/>
      <c r="U1543" s="38"/>
      <c r="V1543" s="38"/>
      <c r="W1543" s="60"/>
      <c r="AB1543" s="42"/>
      <c r="AC1543" s="35"/>
      <c r="AD1543" s="38"/>
      <c r="AE1543" s="38"/>
      <c r="AF1543" s="38"/>
      <c r="AG1543" s="38"/>
      <c r="AH1543" s="60"/>
    </row>
    <row r="1544" spans="1:34" ht="15.75" customHeight="1">
      <c r="A1544" s="87"/>
      <c r="B1544" s="38"/>
      <c r="C1544" s="37"/>
      <c r="D1544" s="20"/>
      <c r="E1544" s="20"/>
      <c r="F1544" s="37"/>
      <c r="G1544" s="37"/>
      <c r="H1544" s="37"/>
      <c r="I1544" s="21"/>
      <c r="J1544" s="21"/>
      <c r="K1544" s="22"/>
      <c r="L1544" s="56"/>
      <c r="O1544" s="42"/>
      <c r="P1544" s="40"/>
      <c r="Q1544" s="61"/>
      <c r="R1544" s="61"/>
      <c r="S1544" s="40"/>
      <c r="T1544" s="38"/>
      <c r="U1544" s="38"/>
      <c r="V1544" s="38"/>
      <c r="W1544" s="60"/>
      <c r="AB1544" s="42"/>
      <c r="AC1544" s="35"/>
      <c r="AD1544" s="38"/>
      <c r="AE1544" s="38"/>
      <c r="AF1544" s="38"/>
      <c r="AG1544" s="38"/>
      <c r="AH1544" s="60"/>
    </row>
    <row r="1545" spans="1:34" ht="15.75" customHeight="1">
      <c r="A1545" s="35" t="s">
        <v>5516</v>
      </c>
      <c r="B1545" s="78" t="s">
        <v>5517</v>
      </c>
      <c r="C1545" s="37" t="s">
        <v>1470</v>
      </c>
      <c r="D1545" s="20" t="s">
        <v>5518</v>
      </c>
      <c r="E1545" s="20" t="s">
        <v>5519</v>
      </c>
      <c r="F1545" s="37" t="s">
        <v>49</v>
      </c>
      <c r="G1545" s="19" t="s">
        <v>91</v>
      </c>
      <c r="H1545" s="37"/>
      <c r="I1545" s="21" t="s">
        <v>233</v>
      </c>
      <c r="J1545" s="21" t="s">
        <v>233</v>
      </c>
      <c r="K1545" s="22" t="s">
        <v>5520</v>
      </c>
      <c r="L1545" s="56">
        <v>45293</v>
      </c>
      <c r="M1545" s="40"/>
      <c r="N1545" s="40"/>
      <c r="O1545" s="42"/>
      <c r="P1545" s="40"/>
      <c r="Q1545" s="61"/>
      <c r="R1545" s="61"/>
      <c r="S1545" s="40"/>
      <c r="T1545" s="38"/>
      <c r="U1545" s="38"/>
      <c r="V1545" s="38"/>
      <c r="W1545" s="60"/>
      <c r="AB1545" s="42"/>
      <c r="AC1545" s="35"/>
      <c r="AD1545" s="38"/>
      <c r="AE1545" s="38"/>
      <c r="AF1545" s="38"/>
      <c r="AG1545" s="38"/>
      <c r="AH1545" s="60"/>
    </row>
    <row r="1546" spans="1:34" ht="15.75" customHeight="1">
      <c r="A1546" s="86" t="s">
        <v>2628</v>
      </c>
      <c r="B1546" s="81" t="s">
        <v>5521</v>
      </c>
      <c r="C1546" s="37" t="s">
        <v>24</v>
      </c>
      <c r="D1546" s="20" t="s">
        <v>5522</v>
      </c>
      <c r="E1546" s="20" t="s">
        <v>5523</v>
      </c>
      <c r="F1546" s="19" t="s">
        <v>27</v>
      </c>
      <c r="G1546" s="19" t="s">
        <v>28</v>
      </c>
      <c r="H1546" s="19" t="s">
        <v>36</v>
      </c>
      <c r="I1546" s="21" t="s">
        <v>29</v>
      </c>
      <c r="J1546" s="21" t="s">
        <v>29</v>
      </c>
      <c r="K1546" s="22" t="s">
        <v>5524</v>
      </c>
      <c r="L1546" s="56">
        <v>45293</v>
      </c>
      <c r="O1546" s="42"/>
      <c r="P1546" s="40"/>
      <c r="Q1546" s="61"/>
      <c r="R1546" s="61"/>
      <c r="S1546" s="40"/>
      <c r="T1546" s="38"/>
      <c r="U1546" s="38"/>
      <c r="V1546" s="38"/>
      <c r="W1546" s="60"/>
      <c r="AB1546" s="42"/>
      <c r="AC1546" s="35"/>
      <c r="AD1546" s="38"/>
      <c r="AE1546" s="38"/>
      <c r="AF1546" s="38"/>
      <c r="AG1546" s="38"/>
      <c r="AH1546" s="60"/>
    </row>
    <row r="1547" spans="1:34" ht="15.75" customHeight="1">
      <c r="A1547" s="50" t="s">
        <v>39</v>
      </c>
      <c r="B1547" s="78" t="s">
        <v>5525</v>
      </c>
      <c r="C1547" s="37" t="s">
        <v>24</v>
      </c>
      <c r="D1547" s="20" t="s">
        <v>5526</v>
      </c>
      <c r="E1547" s="20" t="s">
        <v>5527</v>
      </c>
      <c r="F1547" s="19" t="s">
        <v>27</v>
      </c>
      <c r="G1547" s="19" t="s">
        <v>28</v>
      </c>
      <c r="H1547" s="37"/>
      <c r="I1547" s="21" t="s">
        <v>29</v>
      </c>
      <c r="J1547" s="21" t="s">
        <v>29</v>
      </c>
      <c r="K1547" s="22" t="s">
        <v>5528</v>
      </c>
      <c r="L1547" s="56">
        <v>45293</v>
      </c>
      <c r="O1547" s="42"/>
      <c r="P1547" s="40"/>
      <c r="Q1547" s="61"/>
      <c r="R1547" s="61"/>
      <c r="S1547" s="40"/>
      <c r="T1547" s="38"/>
      <c r="U1547" s="38"/>
      <c r="V1547" s="38"/>
      <c r="W1547" s="60"/>
      <c r="AB1547" s="42"/>
      <c r="AC1547" s="35"/>
      <c r="AD1547" s="38"/>
      <c r="AE1547" s="38"/>
      <c r="AF1547" s="38"/>
      <c r="AG1547" s="38"/>
      <c r="AH1547" s="60"/>
    </row>
    <row r="1548" spans="1:34" ht="15.75" customHeight="1">
      <c r="A1548" s="35" t="s">
        <v>5343</v>
      </c>
      <c r="B1548" s="78" t="s">
        <v>5529</v>
      </c>
      <c r="C1548" s="37" t="s">
        <v>46</v>
      </c>
      <c r="D1548" s="20" t="s">
        <v>5530</v>
      </c>
      <c r="E1548" s="20" t="s">
        <v>5531</v>
      </c>
      <c r="F1548" s="37" t="s">
        <v>49</v>
      </c>
      <c r="G1548" s="19" t="s">
        <v>50</v>
      </c>
      <c r="H1548" s="37"/>
      <c r="I1548" s="21" t="s">
        <v>29</v>
      </c>
      <c r="J1548" s="21" t="s">
        <v>29</v>
      </c>
      <c r="K1548" s="22" t="s">
        <v>5532</v>
      </c>
      <c r="L1548" s="56">
        <v>45293</v>
      </c>
      <c r="O1548" s="42"/>
      <c r="P1548" s="40"/>
      <c r="Q1548" s="61"/>
      <c r="R1548" s="61"/>
      <c r="S1548" s="40"/>
      <c r="T1548" s="38"/>
      <c r="U1548" s="38"/>
      <c r="V1548" s="38"/>
      <c r="W1548" s="60"/>
      <c r="AB1548" s="42"/>
      <c r="AC1548" s="35"/>
      <c r="AD1548" s="38"/>
      <c r="AE1548" s="38"/>
      <c r="AF1548" s="38"/>
      <c r="AG1548" s="38"/>
      <c r="AH1548" s="60"/>
    </row>
    <row r="1549" spans="1:34" ht="15.75" customHeight="1">
      <c r="A1549" s="35" t="s">
        <v>4588</v>
      </c>
      <c r="B1549" s="78" t="s">
        <v>5533</v>
      </c>
      <c r="C1549" s="37" t="s">
        <v>1366</v>
      </c>
      <c r="D1549" s="20" t="s">
        <v>5534</v>
      </c>
      <c r="E1549" s="20" t="s">
        <v>5535</v>
      </c>
      <c r="F1549" s="55" t="s">
        <v>1369</v>
      </c>
      <c r="G1549" s="55" t="s">
        <v>1370</v>
      </c>
      <c r="H1549" s="37"/>
      <c r="I1549" s="21" t="s">
        <v>1371</v>
      </c>
      <c r="J1549" s="21" t="s">
        <v>1371</v>
      </c>
      <c r="K1549" s="22" t="s">
        <v>5536</v>
      </c>
      <c r="L1549" s="56">
        <v>45293</v>
      </c>
      <c r="O1549" s="42"/>
      <c r="P1549" s="40"/>
      <c r="Q1549" s="61"/>
      <c r="R1549" s="61"/>
      <c r="S1549" s="40"/>
      <c r="T1549" s="38"/>
      <c r="U1549" s="38"/>
      <c r="V1549" s="38"/>
      <c r="W1549" s="60"/>
      <c r="AB1549" s="42"/>
      <c r="AC1549" s="35"/>
      <c r="AD1549" s="38"/>
      <c r="AE1549" s="38"/>
      <c r="AF1549" s="38"/>
      <c r="AG1549" s="38"/>
      <c r="AH1549" s="60"/>
    </row>
    <row r="1550" spans="1:34" ht="15.75" customHeight="1">
      <c r="A1550" s="50" t="s">
        <v>56</v>
      </c>
      <c r="B1550" s="78" t="s">
        <v>5537</v>
      </c>
      <c r="C1550" s="37" t="s">
        <v>24</v>
      </c>
      <c r="D1550" s="20" t="s">
        <v>5538</v>
      </c>
      <c r="E1550" s="20" t="s">
        <v>5539</v>
      </c>
      <c r="F1550" s="19" t="s">
        <v>27</v>
      </c>
      <c r="G1550" s="19" t="s">
        <v>28</v>
      </c>
      <c r="H1550" s="37"/>
      <c r="I1550" s="21" t="s">
        <v>29</v>
      </c>
      <c r="J1550" s="21" t="s">
        <v>29</v>
      </c>
      <c r="K1550" s="22" t="s">
        <v>5540</v>
      </c>
      <c r="L1550" s="56">
        <v>45293</v>
      </c>
      <c r="O1550" s="42"/>
      <c r="P1550" s="40"/>
      <c r="Q1550" s="61"/>
      <c r="R1550" s="61"/>
      <c r="S1550" s="40"/>
      <c r="T1550" s="38"/>
      <c r="U1550" s="38"/>
      <c r="V1550" s="38"/>
      <c r="W1550" s="60"/>
      <c r="AB1550" s="42"/>
      <c r="AC1550" s="35"/>
      <c r="AD1550" s="38"/>
      <c r="AE1550" s="38"/>
      <c r="AF1550" s="38"/>
      <c r="AG1550" s="38"/>
      <c r="AH1550" s="60"/>
    </row>
    <row r="1551" spans="1:34" ht="15.75" customHeight="1">
      <c r="A1551" s="35">
        <v>71</v>
      </c>
      <c r="B1551" s="78" t="s">
        <v>5541</v>
      </c>
      <c r="C1551" s="37" t="s">
        <v>24</v>
      </c>
      <c r="D1551" s="20" t="s">
        <v>5542</v>
      </c>
      <c r="E1551" s="20" t="s">
        <v>5543</v>
      </c>
      <c r="F1551" s="19" t="s">
        <v>27</v>
      </c>
      <c r="G1551" s="19" t="s">
        <v>28</v>
      </c>
      <c r="H1551" s="37"/>
      <c r="I1551" s="21" t="s">
        <v>29</v>
      </c>
      <c r="J1551" s="21" t="s">
        <v>29</v>
      </c>
      <c r="K1551" s="22" t="s">
        <v>5544</v>
      </c>
      <c r="L1551" s="56">
        <v>45293</v>
      </c>
      <c r="O1551" s="42"/>
      <c r="P1551" s="40"/>
      <c r="Q1551" s="61"/>
      <c r="R1551" s="61"/>
      <c r="S1551" s="40"/>
      <c r="T1551" s="38"/>
      <c r="U1551" s="38"/>
      <c r="V1551" s="38"/>
      <c r="W1551" s="60"/>
      <c r="AB1551" s="42"/>
      <c r="AC1551" s="35"/>
      <c r="AD1551" s="38"/>
      <c r="AE1551" s="38"/>
      <c r="AF1551" s="38"/>
      <c r="AG1551" s="38"/>
      <c r="AH1551" s="60"/>
    </row>
    <row r="1552" spans="1:34" ht="15.75" customHeight="1">
      <c r="A1552" s="50" t="s">
        <v>64</v>
      </c>
      <c r="B1552" s="78" t="s">
        <v>5545</v>
      </c>
      <c r="C1552" s="37" t="s">
        <v>24</v>
      </c>
      <c r="D1552" s="20" t="s">
        <v>5546</v>
      </c>
      <c r="E1552" s="20" t="s">
        <v>5547</v>
      </c>
      <c r="F1552" s="19" t="s">
        <v>27</v>
      </c>
      <c r="G1552" s="19" t="s">
        <v>28</v>
      </c>
      <c r="H1552" s="37"/>
      <c r="I1552" s="21" t="s">
        <v>29</v>
      </c>
      <c r="J1552" s="21" t="s">
        <v>29</v>
      </c>
      <c r="K1552" s="22" t="s">
        <v>5548</v>
      </c>
      <c r="L1552" s="56">
        <v>45293</v>
      </c>
      <c r="O1552" s="42"/>
      <c r="P1552" s="40"/>
      <c r="Q1552" s="61"/>
      <c r="R1552" s="61"/>
      <c r="S1552" s="40"/>
      <c r="T1552" s="38"/>
      <c r="U1552" s="38"/>
      <c r="V1552" s="38"/>
      <c r="W1552" s="60"/>
      <c r="AB1552" s="42"/>
      <c r="AC1552" s="35"/>
      <c r="AD1552" s="38"/>
      <c r="AE1552" s="38"/>
      <c r="AF1552" s="38"/>
      <c r="AG1552" s="38"/>
      <c r="AH1552" s="60"/>
    </row>
    <row r="1553" spans="1:34" ht="15.75" customHeight="1">
      <c r="A1553" s="35">
        <v>3.7</v>
      </c>
      <c r="B1553" s="78" t="s">
        <v>5549</v>
      </c>
      <c r="C1553" s="37" t="s">
        <v>24</v>
      </c>
      <c r="D1553" s="20" t="s">
        <v>5550</v>
      </c>
      <c r="E1553" s="20" t="s">
        <v>5551</v>
      </c>
      <c r="F1553" s="19" t="s">
        <v>27</v>
      </c>
      <c r="G1553" s="19" t="s">
        <v>28</v>
      </c>
      <c r="H1553" s="37"/>
      <c r="I1553" s="21" t="s">
        <v>29</v>
      </c>
      <c r="J1553" s="21" t="s">
        <v>29</v>
      </c>
      <c r="K1553" s="22" t="s">
        <v>5552</v>
      </c>
      <c r="L1553" s="56">
        <v>45293</v>
      </c>
      <c r="O1553" s="42"/>
      <c r="P1553" s="40"/>
      <c r="Q1553" s="61"/>
      <c r="R1553" s="61"/>
      <c r="S1553" s="40"/>
      <c r="T1553" s="38"/>
      <c r="U1553" s="38"/>
      <c r="V1553" s="38"/>
      <c r="W1553" s="60"/>
      <c r="AB1553" s="42"/>
      <c r="AC1553" s="35"/>
      <c r="AD1553" s="38"/>
      <c r="AE1553" s="38"/>
      <c r="AF1553" s="38"/>
      <c r="AG1553" s="38"/>
      <c r="AH1553" s="60"/>
    </row>
    <row r="1554" spans="1:34" ht="15.75" customHeight="1">
      <c r="A1554" s="50" t="s">
        <v>73</v>
      </c>
      <c r="B1554" s="78" t="s">
        <v>5553</v>
      </c>
      <c r="C1554" s="37" t="s">
        <v>24</v>
      </c>
      <c r="D1554" s="20" t="s">
        <v>5554</v>
      </c>
      <c r="E1554" s="20" t="s">
        <v>5555</v>
      </c>
      <c r="F1554" s="19" t="s">
        <v>27</v>
      </c>
      <c r="G1554" s="19" t="s">
        <v>28</v>
      </c>
      <c r="H1554" s="37"/>
      <c r="I1554" s="21" t="s">
        <v>29</v>
      </c>
      <c r="J1554" s="21" t="s">
        <v>29</v>
      </c>
      <c r="K1554" s="22" t="s">
        <v>5556</v>
      </c>
      <c r="L1554" s="56">
        <v>45293</v>
      </c>
      <c r="O1554" s="42"/>
      <c r="P1554" s="40"/>
      <c r="Q1554" s="61"/>
      <c r="R1554" s="61"/>
      <c r="S1554" s="40"/>
      <c r="T1554" s="38"/>
      <c r="U1554" s="38"/>
      <c r="V1554" s="38"/>
      <c r="W1554" s="60"/>
      <c r="AB1554" s="42"/>
      <c r="AC1554" s="35"/>
      <c r="AD1554" s="38"/>
      <c r="AE1554" s="38"/>
      <c r="AF1554" s="38"/>
      <c r="AG1554" s="38"/>
      <c r="AH1554" s="60"/>
    </row>
    <row r="1555" spans="1:34" ht="15.75" customHeight="1">
      <c r="A1555" s="35">
        <v>3.8</v>
      </c>
      <c r="B1555" s="78" t="s">
        <v>5557</v>
      </c>
      <c r="C1555" s="37" t="s">
        <v>24</v>
      </c>
      <c r="D1555" s="20" t="s">
        <v>5558</v>
      </c>
      <c r="E1555" s="20"/>
      <c r="F1555" s="19" t="s">
        <v>27</v>
      </c>
      <c r="G1555" s="19" t="s">
        <v>28</v>
      </c>
      <c r="H1555" s="37"/>
      <c r="I1555" s="21" t="s">
        <v>29</v>
      </c>
      <c r="J1555" s="21" t="s">
        <v>29</v>
      </c>
      <c r="K1555" s="22"/>
      <c r="L1555" s="56">
        <v>45293</v>
      </c>
      <c r="O1555" s="42"/>
      <c r="P1555" s="40"/>
      <c r="Q1555" s="61"/>
      <c r="R1555" s="61"/>
      <c r="S1555" s="40"/>
      <c r="T1555" s="38"/>
      <c r="U1555" s="38"/>
      <c r="V1555" s="38"/>
      <c r="W1555" s="60"/>
      <c r="AB1555" s="42"/>
      <c r="AC1555" s="35"/>
      <c r="AD1555" s="38"/>
      <c r="AE1555" s="38"/>
      <c r="AF1555" s="38"/>
      <c r="AG1555" s="38"/>
      <c r="AH1555" s="60"/>
    </row>
    <row r="1556" spans="1:34" ht="15.75" customHeight="1">
      <c r="A1556" s="50" t="s">
        <v>82</v>
      </c>
      <c r="B1556" s="78" t="s">
        <v>5559</v>
      </c>
      <c r="C1556" s="37" t="s">
        <v>87</v>
      </c>
      <c r="D1556" s="20" t="s">
        <v>5560</v>
      </c>
      <c r="E1556" s="20" t="s">
        <v>5561</v>
      </c>
      <c r="F1556" s="19" t="s">
        <v>90</v>
      </c>
      <c r="G1556" s="19" t="s">
        <v>91</v>
      </c>
      <c r="H1556" s="37"/>
      <c r="I1556" s="21" t="s">
        <v>29</v>
      </c>
      <c r="J1556" s="21" t="s">
        <v>29</v>
      </c>
      <c r="K1556" s="22" t="s">
        <v>5562</v>
      </c>
      <c r="L1556" s="56">
        <v>45293</v>
      </c>
      <c r="O1556" s="42"/>
      <c r="P1556" s="40"/>
      <c r="Q1556" s="61"/>
      <c r="R1556" s="61"/>
      <c r="S1556" s="40"/>
      <c r="T1556" s="38"/>
      <c r="U1556" s="38"/>
      <c r="V1556" s="38"/>
      <c r="W1556" s="60"/>
      <c r="AB1556" s="42"/>
      <c r="AC1556" s="35"/>
      <c r="AD1556" s="38"/>
      <c r="AE1556" s="38"/>
      <c r="AF1556" s="38"/>
      <c r="AG1556" s="38"/>
      <c r="AH1556" s="60"/>
    </row>
    <row r="1557" spans="1:34" ht="15.75" customHeight="1">
      <c r="A1557" s="35" t="s">
        <v>5563</v>
      </c>
      <c r="B1557" s="78" t="s">
        <v>5564</v>
      </c>
      <c r="C1557" s="37" t="s">
        <v>1638</v>
      </c>
      <c r="D1557" s="20" t="s">
        <v>5565</v>
      </c>
      <c r="E1557" s="20" t="s">
        <v>5566</v>
      </c>
      <c r="F1557" s="37" t="s">
        <v>1399</v>
      </c>
      <c r="G1557" s="19" t="s">
        <v>1641</v>
      </c>
      <c r="H1557" s="37"/>
      <c r="I1557" s="21" t="s">
        <v>233</v>
      </c>
      <c r="J1557" s="21" t="s">
        <v>233</v>
      </c>
      <c r="K1557" s="22" t="s">
        <v>5567</v>
      </c>
      <c r="L1557" s="56">
        <v>45293</v>
      </c>
      <c r="O1557" s="42"/>
      <c r="P1557" s="40"/>
      <c r="Q1557" s="61"/>
      <c r="R1557" s="61"/>
      <c r="S1557" s="40"/>
      <c r="T1557" s="38"/>
      <c r="U1557" s="38"/>
      <c r="V1557" s="38"/>
      <c r="W1557" s="60"/>
      <c r="AB1557" s="42"/>
      <c r="AC1557" s="35"/>
      <c r="AD1557" s="38"/>
      <c r="AE1557" s="38"/>
      <c r="AF1557" s="38"/>
      <c r="AG1557" s="38"/>
      <c r="AH1557" s="60"/>
    </row>
    <row r="1558" spans="1:34" ht="15.75" customHeight="1">
      <c r="A1558" s="50" t="s">
        <v>92</v>
      </c>
      <c r="B1558" s="78" t="s">
        <v>5568</v>
      </c>
      <c r="C1558" s="37" t="s">
        <v>87</v>
      </c>
      <c r="D1558" s="20" t="s">
        <v>5569</v>
      </c>
      <c r="E1558" s="20" t="s">
        <v>5570</v>
      </c>
      <c r="F1558" s="19" t="s">
        <v>90</v>
      </c>
      <c r="G1558" s="19" t="s">
        <v>91</v>
      </c>
      <c r="H1558" s="37"/>
      <c r="I1558" s="21" t="s">
        <v>29</v>
      </c>
      <c r="J1558" s="21" t="s">
        <v>29</v>
      </c>
      <c r="K1558" s="22" t="s">
        <v>5571</v>
      </c>
      <c r="L1558" s="56">
        <v>45293</v>
      </c>
      <c r="O1558" s="42"/>
      <c r="P1558" s="40"/>
      <c r="Q1558" s="61"/>
      <c r="R1558" s="61"/>
      <c r="S1558" s="40"/>
      <c r="T1558" s="38"/>
      <c r="U1558" s="38"/>
      <c r="V1558" s="38"/>
      <c r="W1558" s="60"/>
      <c r="AB1558" s="42"/>
      <c r="AC1558" s="35"/>
      <c r="AD1558" s="38"/>
      <c r="AE1558" s="38"/>
      <c r="AF1558" s="38"/>
      <c r="AG1558" s="38"/>
      <c r="AH1558" s="60"/>
    </row>
    <row r="1559" spans="1:34" ht="15.75" customHeight="1">
      <c r="A1559" s="79">
        <v>1473</v>
      </c>
      <c r="B1559" s="78" t="s">
        <v>5572</v>
      </c>
      <c r="C1559" s="37" t="s">
        <v>24</v>
      </c>
      <c r="D1559" s="20" t="s">
        <v>5573</v>
      </c>
      <c r="E1559" s="20" t="s">
        <v>5574</v>
      </c>
      <c r="F1559" s="19" t="s">
        <v>27</v>
      </c>
      <c r="G1559" s="19" t="s">
        <v>28</v>
      </c>
      <c r="H1559" s="37"/>
      <c r="I1559" s="21" t="s">
        <v>29</v>
      </c>
      <c r="J1559" s="21" t="s">
        <v>29</v>
      </c>
      <c r="K1559" s="22" t="s">
        <v>5575</v>
      </c>
      <c r="L1559" s="56">
        <v>45293</v>
      </c>
      <c r="O1559" s="42"/>
      <c r="P1559" s="40"/>
      <c r="Q1559" s="61"/>
      <c r="R1559" s="61"/>
      <c r="S1559" s="40"/>
      <c r="T1559" s="38"/>
      <c r="U1559" s="38"/>
      <c r="V1559" s="38"/>
      <c r="W1559" s="60"/>
      <c r="AB1559" s="42"/>
      <c r="AC1559" s="35"/>
      <c r="AD1559" s="38"/>
      <c r="AE1559" s="38"/>
      <c r="AF1559" s="38"/>
      <c r="AG1559" s="38"/>
      <c r="AH1559" s="60"/>
    </row>
    <row r="1560" spans="1:34" ht="15.75" customHeight="1">
      <c r="A1560" s="50" t="s">
        <v>100</v>
      </c>
      <c r="B1560" s="78" t="s">
        <v>5576</v>
      </c>
      <c r="C1560" s="37" t="s">
        <v>24</v>
      </c>
      <c r="D1560" s="20" t="s">
        <v>5577</v>
      </c>
      <c r="E1560" s="20" t="s">
        <v>5578</v>
      </c>
      <c r="F1560" s="19" t="s">
        <v>27</v>
      </c>
      <c r="G1560" s="19" t="s">
        <v>28</v>
      </c>
      <c r="H1560" s="37"/>
      <c r="I1560" s="21" t="s">
        <v>29</v>
      </c>
      <c r="J1560" s="21" t="s">
        <v>29</v>
      </c>
      <c r="K1560" s="22" t="s">
        <v>5579</v>
      </c>
      <c r="L1560" s="56">
        <v>45293</v>
      </c>
      <c r="O1560" s="42"/>
      <c r="P1560" s="40"/>
      <c r="Q1560" s="61"/>
      <c r="R1560" s="61"/>
      <c r="S1560" s="40"/>
      <c r="T1560" s="38"/>
      <c r="U1560" s="38"/>
      <c r="V1560" s="38"/>
      <c r="W1560" s="60"/>
      <c r="AB1560" s="42"/>
      <c r="AC1560" s="35"/>
      <c r="AD1560" s="38"/>
      <c r="AE1560" s="38"/>
      <c r="AF1560" s="38"/>
      <c r="AG1560" s="38"/>
      <c r="AH1560" s="60"/>
    </row>
    <row r="1561" spans="1:34" ht="15.75" customHeight="1">
      <c r="A1561" s="35">
        <v>163</v>
      </c>
      <c r="B1561" s="78" t="s">
        <v>5580</v>
      </c>
      <c r="C1561" s="37" t="s">
        <v>24</v>
      </c>
      <c r="D1561" s="20" t="s">
        <v>5581</v>
      </c>
      <c r="E1561" s="20" t="s">
        <v>5582</v>
      </c>
      <c r="F1561" s="19" t="s">
        <v>27</v>
      </c>
      <c r="G1561" s="19" t="s">
        <v>28</v>
      </c>
      <c r="H1561" s="37"/>
      <c r="I1561" s="21" t="s">
        <v>29</v>
      </c>
      <c r="J1561" s="21" t="s">
        <v>29</v>
      </c>
      <c r="K1561" s="22" t="s">
        <v>5583</v>
      </c>
      <c r="L1561" s="56">
        <v>45293</v>
      </c>
      <c r="O1561" s="42"/>
      <c r="P1561" s="40"/>
      <c r="Q1561" s="61"/>
      <c r="R1561" s="61"/>
      <c r="S1561" s="40"/>
      <c r="T1561" s="38"/>
      <c r="U1561" s="38"/>
      <c r="V1561" s="38"/>
      <c r="W1561" s="60"/>
      <c r="AB1561" s="42"/>
      <c r="AC1561" s="35"/>
      <c r="AD1561" s="38"/>
      <c r="AE1561" s="38"/>
      <c r="AF1561" s="38"/>
      <c r="AG1561" s="38"/>
      <c r="AH1561" s="60"/>
    </row>
    <row r="1562" spans="1:34" ht="15.75" customHeight="1">
      <c r="A1562" s="35"/>
      <c r="B1562" s="78" t="s">
        <v>5584</v>
      </c>
      <c r="C1562" s="37" t="s">
        <v>46</v>
      </c>
      <c r="D1562" s="20" t="s">
        <v>5585</v>
      </c>
      <c r="E1562" s="20" t="s">
        <v>5586</v>
      </c>
      <c r="F1562" s="37" t="s">
        <v>49</v>
      </c>
      <c r="G1562" s="19" t="s">
        <v>50</v>
      </c>
      <c r="H1562" s="37"/>
      <c r="I1562" s="21" t="s">
        <v>29</v>
      </c>
      <c r="J1562" s="21" t="s">
        <v>29</v>
      </c>
      <c r="K1562" s="22" t="s">
        <v>5587</v>
      </c>
      <c r="L1562" s="56">
        <v>45293</v>
      </c>
      <c r="O1562" s="42"/>
      <c r="P1562" s="40"/>
      <c r="Q1562" s="61"/>
      <c r="R1562" s="61"/>
      <c r="S1562" s="40"/>
      <c r="T1562" s="38"/>
      <c r="U1562" s="38"/>
      <c r="V1562" s="38"/>
      <c r="W1562" s="60"/>
      <c r="AB1562" s="42"/>
      <c r="AC1562" s="35"/>
      <c r="AD1562" s="38"/>
      <c r="AE1562" s="38"/>
      <c r="AF1562" s="38"/>
      <c r="AG1562" s="38"/>
      <c r="AH1562" s="60"/>
    </row>
    <row r="1563" spans="1:34" ht="15.75" customHeight="1">
      <c r="A1563" s="35"/>
      <c r="B1563" s="78" t="s">
        <v>5588</v>
      </c>
      <c r="C1563" s="37" t="s">
        <v>24</v>
      </c>
      <c r="D1563" s="20" t="s">
        <v>5589</v>
      </c>
      <c r="E1563" s="20" t="s">
        <v>5590</v>
      </c>
      <c r="F1563" s="19" t="s">
        <v>27</v>
      </c>
      <c r="G1563" s="19" t="s">
        <v>28</v>
      </c>
      <c r="H1563" s="37"/>
      <c r="I1563" s="21" t="s">
        <v>29</v>
      </c>
      <c r="J1563" s="21" t="s">
        <v>29</v>
      </c>
      <c r="K1563" s="22" t="s">
        <v>5591</v>
      </c>
      <c r="L1563" s="56">
        <v>45293</v>
      </c>
      <c r="O1563" s="42"/>
      <c r="P1563" s="40"/>
      <c r="Q1563" s="61"/>
      <c r="R1563" s="61"/>
      <c r="S1563" s="40"/>
      <c r="T1563" s="38"/>
      <c r="U1563" s="38"/>
      <c r="V1563" s="38"/>
      <c r="W1563" s="60"/>
      <c r="AB1563" s="42"/>
      <c r="AC1563" s="35"/>
      <c r="AD1563" s="38"/>
      <c r="AE1563" s="38"/>
      <c r="AF1563" s="38"/>
      <c r="AG1563" s="38"/>
      <c r="AH1563" s="60"/>
    </row>
    <row r="1564" spans="1:34" ht="15.75" customHeight="1">
      <c r="A1564" s="35"/>
      <c r="B1564" s="78" t="s">
        <v>5592</v>
      </c>
      <c r="C1564" s="37" t="s">
        <v>24</v>
      </c>
      <c r="D1564" s="20" t="s">
        <v>5593</v>
      </c>
      <c r="E1564" s="20" t="s">
        <v>5535</v>
      </c>
      <c r="F1564" s="19" t="s">
        <v>27</v>
      </c>
      <c r="G1564" s="19" t="s">
        <v>28</v>
      </c>
      <c r="H1564" s="37"/>
      <c r="I1564" s="21" t="s">
        <v>29</v>
      </c>
      <c r="J1564" s="21" t="s">
        <v>29</v>
      </c>
      <c r="K1564" s="22" t="s">
        <v>5536</v>
      </c>
      <c r="L1564" s="56">
        <v>45293</v>
      </c>
      <c r="O1564" s="42"/>
      <c r="P1564" s="40"/>
      <c r="Q1564" s="61"/>
      <c r="R1564" s="61"/>
      <c r="S1564" s="40"/>
      <c r="T1564" s="38"/>
      <c r="U1564" s="38"/>
      <c r="V1564" s="38"/>
      <c r="W1564" s="60"/>
      <c r="AB1564" s="42"/>
      <c r="AC1564" s="35"/>
      <c r="AD1564" s="38"/>
      <c r="AE1564" s="38"/>
      <c r="AF1564" s="38"/>
      <c r="AG1564" s="38"/>
      <c r="AH1564" s="60"/>
    </row>
    <row r="1565" spans="1:34" ht="15.75" customHeight="1">
      <c r="A1565" s="35"/>
      <c r="B1565" s="78" t="s">
        <v>5594</v>
      </c>
      <c r="C1565" s="37" t="s">
        <v>1638</v>
      </c>
      <c r="D1565" s="20" t="s">
        <v>5595</v>
      </c>
      <c r="E1565" s="20" t="s">
        <v>5596</v>
      </c>
      <c r="F1565" s="37" t="s">
        <v>1399</v>
      </c>
      <c r="G1565" s="19" t="s">
        <v>1641</v>
      </c>
      <c r="H1565" s="37"/>
      <c r="I1565" s="21" t="s">
        <v>233</v>
      </c>
      <c r="J1565" s="21" t="s">
        <v>233</v>
      </c>
      <c r="K1565" s="22" t="s">
        <v>5597</v>
      </c>
      <c r="L1565" s="56">
        <v>45293</v>
      </c>
      <c r="O1565" s="42"/>
      <c r="P1565" s="40"/>
      <c r="Q1565" s="61"/>
      <c r="R1565" s="61"/>
      <c r="S1565" s="40"/>
      <c r="T1565" s="38"/>
      <c r="U1565" s="38"/>
      <c r="V1565" s="38"/>
      <c r="W1565" s="60"/>
      <c r="AB1565" s="42"/>
      <c r="AC1565" s="35"/>
      <c r="AD1565" s="38"/>
      <c r="AE1565" s="38"/>
      <c r="AF1565" s="38"/>
      <c r="AG1565" s="38"/>
      <c r="AH1565" s="60"/>
    </row>
    <row r="1566" spans="1:34" ht="15.75" customHeight="1">
      <c r="A1566" s="35"/>
      <c r="B1566" s="78" t="s">
        <v>5598</v>
      </c>
      <c r="C1566" s="37" t="s">
        <v>46</v>
      </c>
      <c r="D1566" s="20" t="s">
        <v>5599</v>
      </c>
      <c r="E1566" s="20" t="s">
        <v>5600</v>
      </c>
      <c r="F1566" s="37" t="s">
        <v>49</v>
      </c>
      <c r="G1566" s="19" t="s">
        <v>50</v>
      </c>
      <c r="H1566" s="37"/>
      <c r="I1566" s="21" t="s">
        <v>29</v>
      </c>
      <c r="J1566" s="21" t="s">
        <v>29</v>
      </c>
      <c r="K1566" s="22" t="s">
        <v>5601</v>
      </c>
      <c r="L1566" s="56">
        <v>45293</v>
      </c>
      <c r="O1566" s="42"/>
      <c r="P1566" s="40"/>
      <c r="Q1566" s="61"/>
      <c r="R1566" s="61"/>
      <c r="S1566" s="40"/>
      <c r="T1566" s="38"/>
      <c r="U1566" s="38"/>
      <c r="V1566" s="38"/>
      <c r="W1566" s="60"/>
      <c r="AB1566" s="42"/>
      <c r="AC1566" s="35"/>
      <c r="AD1566" s="38"/>
      <c r="AE1566" s="38"/>
      <c r="AF1566" s="38"/>
      <c r="AG1566" s="38"/>
      <c r="AH1566" s="60"/>
    </row>
    <row r="1567" spans="1:34" ht="15.75" customHeight="1">
      <c r="A1567" s="35"/>
      <c r="B1567" s="78" t="s">
        <v>5602</v>
      </c>
      <c r="C1567" s="37" t="s">
        <v>24</v>
      </c>
      <c r="D1567" s="20" t="s">
        <v>5603</v>
      </c>
      <c r="E1567" s="20" t="s">
        <v>5604</v>
      </c>
      <c r="F1567" s="19" t="s">
        <v>27</v>
      </c>
      <c r="G1567" s="19" t="s">
        <v>28</v>
      </c>
      <c r="H1567" s="37"/>
      <c r="I1567" s="21" t="s">
        <v>29</v>
      </c>
      <c r="J1567" s="21" t="s">
        <v>29</v>
      </c>
      <c r="K1567" s="22" t="s">
        <v>5605</v>
      </c>
      <c r="L1567" s="56">
        <v>45293</v>
      </c>
      <c r="O1567" s="42"/>
      <c r="P1567" s="40"/>
      <c r="Q1567" s="61"/>
      <c r="R1567" s="61"/>
      <c r="S1567" s="40"/>
      <c r="T1567" s="38"/>
      <c r="U1567" s="38"/>
      <c r="V1567" s="38"/>
      <c r="W1567" s="60"/>
      <c r="AB1567" s="42"/>
      <c r="AC1567" s="35"/>
      <c r="AD1567" s="38"/>
      <c r="AE1567" s="38"/>
      <c r="AF1567" s="38"/>
      <c r="AG1567" s="38"/>
      <c r="AH1567" s="60"/>
    </row>
    <row r="1568" spans="1:34" ht="15.75" customHeight="1">
      <c r="A1568" s="35"/>
      <c r="B1568" s="78" t="s">
        <v>5606</v>
      </c>
      <c r="C1568" s="37" t="s">
        <v>87</v>
      </c>
      <c r="D1568" s="20" t="s">
        <v>5607</v>
      </c>
      <c r="E1568" s="20" t="s">
        <v>5608</v>
      </c>
      <c r="F1568" s="19" t="s">
        <v>90</v>
      </c>
      <c r="G1568" s="19" t="s">
        <v>91</v>
      </c>
      <c r="H1568" s="37"/>
      <c r="I1568" s="21" t="s">
        <v>29</v>
      </c>
      <c r="J1568" s="21" t="s">
        <v>29</v>
      </c>
      <c r="K1568" s="22" t="s">
        <v>5609</v>
      </c>
      <c r="L1568" s="56">
        <v>45293</v>
      </c>
      <c r="O1568" s="42"/>
      <c r="P1568" s="40"/>
      <c r="Q1568" s="61"/>
      <c r="R1568" s="61"/>
      <c r="S1568" s="40"/>
      <c r="T1568" s="38"/>
      <c r="U1568" s="38"/>
      <c r="V1568" s="38"/>
      <c r="W1568" s="60"/>
      <c r="AB1568" s="42"/>
      <c r="AC1568" s="35"/>
      <c r="AD1568" s="38"/>
      <c r="AE1568" s="38"/>
      <c r="AF1568" s="38"/>
      <c r="AG1568" s="38"/>
      <c r="AH1568" s="60"/>
    </row>
    <row r="1569" spans="1:34" ht="15.75" customHeight="1">
      <c r="A1569" s="35"/>
      <c r="B1569" s="78" t="s">
        <v>5610</v>
      </c>
      <c r="C1569" s="37" t="s">
        <v>1638</v>
      </c>
      <c r="D1569" s="20" t="s">
        <v>5611</v>
      </c>
      <c r="E1569" s="20" t="s">
        <v>5612</v>
      </c>
      <c r="F1569" s="37" t="s">
        <v>1399</v>
      </c>
      <c r="G1569" s="19" t="s">
        <v>1641</v>
      </c>
      <c r="H1569" s="37"/>
      <c r="I1569" s="21" t="s">
        <v>233</v>
      </c>
      <c r="J1569" s="21" t="s">
        <v>233</v>
      </c>
      <c r="K1569" s="22" t="s">
        <v>5613</v>
      </c>
      <c r="L1569" s="56">
        <v>45293</v>
      </c>
      <c r="O1569" s="42"/>
      <c r="P1569" s="40"/>
      <c r="Q1569" s="61"/>
      <c r="R1569" s="61"/>
      <c r="S1569" s="40"/>
      <c r="T1569" s="38"/>
      <c r="U1569" s="38"/>
      <c r="V1569" s="38"/>
      <c r="W1569" s="60"/>
      <c r="AB1569" s="42"/>
      <c r="AC1569" s="35"/>
      <c r="AD1569" s="38"/>
      <c r="AE1569" s="38"/>
      <c r="AF1569" s="38"/>
      <c r="AG1569" s="38"/>
      <c r="AH1569" s="60"/>
    </row>
    <row r="1570" spans="1:34" ht="15.75" customHeight="1">
      <c r="A1570" s="35"/>
      <c r="B1570" s="78" t="s">
        <v>5614</v>
      </c>
      <c r="C1570" s="37" t="s">
        <v>24</v>
      </c>
      <c r="D1570" s="20" t="s">
        <v>5615</v>
      </c>
      <c r="E1570" s="20" t="s">
        <v>5616</v>
      </c>
      <c r="F1570" s="19" t="s">
        <v>27</v>
      </c>
      <c r="G1570" s="19" t="s">
        <v>28</v>
      </c>
      <c r="H1570" s="37"/>
      <c r="I1570" s="21" t="s">
        <v>29</v>
      </c>
      <c r="J1570" s="21" t="s">
        <v>29</v>
      </c>
      <c r="K1570" s="22" t="s">
        <v>5617</v>
      </c>
      <c r="L1570" s="56">
        <v>45293</v>
      </c>
      <c r="O1570" s="42"/>
      <c r="P1570" s="40"/>
      <c r="Q1570" s="61"/>
      <c r="R1570" s="61"/>
      <c r="S1570" s="40"/>
      <c r="T1570" s="38"/>
      <c r="U1570" s="38"/>
      <c r="V1570" s="38"/>
      <c r="W1570" s="60"/>
      <c r="AB1570" s="42"/>
      <c r="AC1570" s="35"/>
      <c r="AD1570" s="38"/>
      <c r="AE1570" s="38"/>
      <c r="AF1570" s="38"/>
      <c r="AG1570" s="38"/>
      <c r="AH1570" s="60"/>
    </row>
    <row r="1571" spans="1:34" ht="15.75" customHeight="1">
      <c r="A1571" s="35"/>
      <c r="B1571" s="78" t="s">
        <v>5618</v>
      </c>
      <c r="C1571" s="37" t="s">
        <v>24</v>
      </c>
      <c r="D1571" s="20" t="s">
        <v>5619</v>
      </c>
      <c r="E1571" s="20" t="s">
        <v>5620</v>
      </c>
      <c r="F1571" s="19" t="s">
        <v>27</v>
      </c>
      <c r="G1571" s="19" t="s">
        <v>28</v>
      </c>
      <c r="H1571" s="37" t="s">
        <v>762</v>
      </c>
      <c r="I1571" s="21" t="s">
        <v>29</v>
      </c>
      <c r="J1571" s="21" t="s">
        <v>29</v>
      </c>
      <c r="K1571" s="22" t="s">
        <v>5621</v>
      </c>
      <c r="L1571" s="56">
        <v>45293</v>
      </c>
      <c r="O1571" s="42"/>
      <c r="P1571" s="40"/>
      <c r="Q1571" s="61"/>
      <c r="R1571" s="61"/>
      <c r="S1571" s="40"/>
      <c r="T1571" s="38"/>
      <c r="U1571" s="38"/>
      <c r="V1571" s="38"/>
      <c r="W1571" s="60"/>
      <c r="AB1571" s="42"/>
      <c r="AC1571" s="35"/>
      <c r="AD1571" s="38"/>
      <c r="AE1571" s="38"/>
      <c r="AF1571" s="38"/>
      <c r="AG1571" s="38"/>
      <c r="AH1571" s="60"/>
    </row>
    <row r="1572" spans="1:34" ht="15.75" customHeight="1">
      <c r="A1572" s="35"/>
      <c r="B1572" s="78" t="s">
        <v>5622</v>
      </c>
      <c r="C1572" s="37" t="s">
        <v>1638</v>
      </c>
      <c r="D1572" s="20" t="s">
        <v>5623</v>
      </c>
      <c r="E1572" s="20" t="s">
        <v>5624</v>
      </c>
      <c r="F1572" s="37" t="s">
        <v>1399</v>
      </c>
      <c r="G1572" s="19" t="s">
        <v>1641</v>
      </c>
      <c r="H1572" s="37"/>
      <c r="I1572" s="21" t="s">
        <v>233</v>
      </c>
      <c r="J1572" s="21" t="s">
        <v>233</v>
      </c>
      <c r="K1572" s="22" t="s">
        <v>5625</v>
      </c>
      <c r="L1572" s="56">
        <v>45293</v>
      </c>
      <c r="O1572" s="42"/>
      <c r="P1572" s="40"/>
      <c r="Q1572" s="61"/>
      <c r="R1572" s="61"/>
      <c r="S1572" s="40"/>
      <c r="T1572" s="38"/>
      <c r="U1572" s="38"/>
      <c r="V1572" s="38"/>
      <c r="W1572" s="60"/>
      <c r="AB1572" s="42"/>
      <c r="AC1572" s="35"/>
      <c r="AD1572" s="38"/>
      <c r="AE1572" s="38"/>
      <c r="AF1572" s="38"/>
      <c r="AG1572" s="38"/>
      <c r="AH1572" s="60"/>
    </row>
    <row r="1573" spans="1:34" ht="15.75" customHeight="1">
      <c r="A1573" s="35"/>
      <c r="B1573" s="78" t="s">
        <v>5626</v>
      </c>
      <c r="C1573" s="37" t="s">
        <v>24</v>
      </c>
      <c r="D1573" s="20" t="s">
        <v>5627</v>
      </c>
      <c r="E1573" s="20" t="s">
        <v>5628</v>
      </c>
      <c r="F1573" s="19" t="s">
        <v>27</v>
      </c>
      <c r="G1573" s="19" t="s">
        <v>28</v>
      </c>
      <c r="H1573" s="37"/>
      <c r="I1573" s="21" t="s">
        <v>29</v>
      </c>
      <c r="J1573" s="21" t="s">
        <v>29</v>
      </c>
      <c r="K1573" s="22" t="s">
        <v>5629</v>
      </c>
      <c r="L1573" s="56">
        <v>45293</v>
      </c>
      <c r="O1573" s="42"/>
      <c r="P1573" s="40"/>
      <c r="Q1573" s="61"/>
      <c r="R1573" s="61"/>
      <c r="S1573" s="40"/>
      <c r="T1573" s="38"/>
      <c r="U1573" s="38"/>
      <c r="V1573" s="38"/>
      <c r="W1573" s="60"/>
      <c r="AB1573" s="42"/>
      <c r="AC1573" s="35"/>
      <c r="AD1573" s="38"/>
      <c r="AE1573" s="38"/>
      <c r="AF1573" s="38"/>
      <c r="AG1573" s="38"/>
      <c r="AH1573" s="60"/>
    </row>
    <row r="1574" spans="1:34" ht="15.75" customHeight="1">
      <c r="A1574" s="35"/>
      <c r="B1574" s="78" t="s">
        <v>5630</v>
      </c>
      <c r="C1574" s="37" t="s">
        <v>87</v>
      </c>
      <c r="D1574" s="20" t="s">
        <v>5631</v>
      </c>
      <c r="E1574" s="20" t="s">
        <v>5632</v>
      </c>
      <c r="F1574" s="19" t="s">
        <v>90</v>
      </c>
      <c r="G1574" s="19" t="s">
        <v>91</v>
      </c>
      <c r="H1574" s="37"/>
      <c r="I1574" s="21" t="s">
        <v>29</v>
      </c>
      <c r="J1574" s="21" t="s">
        <v>29</v>
      </c>
      <c r="K1574" s="22" t="s">
        <v>5633</v>
      </c>
      <c r="L1574" s="56">
        <v>45293</v>
      </c>
      <c r="O1574" s="42"/>
      <c r="P1574" s="40"/>
      <c r="Q1574" s="61"/>
      <c r="R1574" s="61"/>
      <c r="S1574" s="40"/>
      <c r="T1574" s="38"/>
      <c r="U1574" s="38"/>
      <c r="V1574" s="38"/>
      <c r="W1574" s="60"/>
      <c r="AB1574" s="42"/>
      <c r="AC1574" s="35"/>
      <c r="AD1574" s="38"/>
      <c r="AE1574" s="38"/>
      <c r="AF1574" s="38"/>
      <c r="AG1574" s="38"/>
      <c r="AH1574" s="60"/>
    </row>
    <row r="1575" spans="1:34" ht="15.75" customHeight="1">
      <c r="A1575" s="35"/>
      <c r="B1575" s="78" t="s">
        <v>5634</v>
      </c>
      <c r="C1575" s="37" t="s">
        <v>87</v>
      </c>
      <c r="D1575" s="20" t="s">
        <v>5635</v>
      </c>
      <c r="E1575" s="20" t="s">
        <v>5636</v>
      </c>
      <c r="F1575" s="37" t="s">
        <v>49</v>
      </c>
      <c r="G1575" s="19" t="s">
        <v>91</v>
      </c>
      <c r="H1575" s="37"/>
      <c r="I1575" s="21" t="s">
        <v>29</v>
      </c>
      <c r="J1575" s="21" t="s">
        <v>29</v>
      </c>
      <c r="K1575" s="22" t="s">
        <v>5637</v>
      </c>
      <c r="L1575" s="56">
        <v>45293</v>
      </c>
      <c r="O1575" s="42"/>
      <c r="P1575" s="40"/>
      <c r="Q1575" s="61"/>
      <c r="R1575" s="61"/>
      <c r="S1575" s="40"/>
      <c r="T1575" s="38"/>
      <c r="U1575" s="38"/>
      <c r="V1575" s="38"/>
      <c r="W1575" s="60"/>
      <c r="AB1575" s="42"/>
      <c r="AC1575" s="35"/>
      <c r="AD1575" s="38"/>
      <c r="AE1575" s="38"/>
      <c r="AF1575" s="38"/>
      <c r="AG1575" s="38"/>
      <c r="AH1575" s="60"/>
    </row>
    <row r="1576" spans="1:34" ht="15.75" customHeight="1">
      <c r="A1576" s="35"/>
      <c r="B1576" s="78" t="s">
        <v>5638</v>
      </c>
      <c r="C1576" s="37" t="s">
        <v>87</v>
      </c>
      <c r="D1576" s="20" t="s">
        <v>5639</v>
      </c>
      <c r="E1576" s="20" t="s">
        <v>5640</v>
      </c>
      <c r="F1576" s="19" t="s">
        <v>90</v>
      </c>
      <c r="G1576" s="19" t="s">
        <v>91</v>
      </c>
      <c r="H1576" s="37"/>
      <c r="I1576" s="21" t="s">
        <v>29</v>
      </c>
      <c r="J1576" s="21" t="s">
        <v>29</v>
      </c>
      <c r="K1576" s="22" t="s">
        <v>5641</v>
      </c>
      <c r="L1576" s="56">
        <v>45293</v>
      </c>
      <c r="O1576" s="42"/>
      <c r="P1576" s="40"/>
      <c r="Q1576" s="61"/>
      <c r="R1576" s="61"/>
      <c r="S1576" s="40"/>
      <c r="T1576" s="38"/>
      <c r="U1576" s="38"/>
      <c r="V1576" s="38"/>
      <c r="W1576" s="60"/>
      <c r="AB1576" s="42"/>
      <c r="AC1576" s="35"/>
      <c r="AD1576" s="38"/>
      <c r="AE1576" s="38"/>
      <c r="AF1576" s="38"/>
      <c r="AG1576" s="38"/>
      <c r="AH1576" s="60"/>
    </row>
    <row r="1577" spans="1:34" ht="15.75" customHeight="1">
      <c r="A1577" s="35"/>
      <c r="B1577" s="78" t="s">
        <v>5642</v>
      </c>
      <c r="C1577" s="37" t="s">
        <v>24</v>
      </c>
      <c r="D1577" s="20" t="s">
        <v>5643</v>
      </c>
      <c r="E1577" s="20" t="s">
        <v>5644</v>
      </c>
      <c r="F1577" s="19" t="s">
        <v>90</v>
      </c>
      <c r="G1577" s="19" t="s">
        <v>28</v>
      </c>
      <c r="H1577" s="37"/>
      <c r="I1577" s="21" t="s">
        <v>29</v>
      </c>
      <c r="J1577" s="21" t="s">
        <v>29</v>
      </c>
      <c r="K1577" s="22" t="s">
        <v>5645</v>
      </c>
      <c r="L1577" s="56">
        <v>45293</v>
      </c>
      <c r="O1577" s="42"/>
      <c r="P1577" s="40"/>
      <c r="Q1577" s="61"/>
      <c r="R1577" s="61"/>
      <c r="S1577" s="40"/>
      <c r="T1577" s="38"/>
      <c r="U1577" s="38"/>
      <c r="V1577" s="38"/>
      <c r="W1577" s="60"/>
      <c r="AB1577" s="42"/>
      <c r="AC1577" s="35"/>
      <c r="AD1577" s="38"/>
      <c r="AE1577" s="38"/>
      <c r="AF1577" s="38"/>
      <c r="AG1577" s="38"/>
      <c r="AH1577" s="60"/>
    </row>
    <row r="1578" spans="1:34" ht="15.75" customHeight="1">
      <c r="A1578" s="35"/>
      <c r="B1578" s="78" t="s">
        <v>5646</v>
      </c>
      <c r="C1578" s="37" t="s">
        <v>87</v>
      </c>
      <c r="D1578" s="20" t="s">
        <v>5647</v>
      </c>
      <c r="E1578" s="20" t="s">
        <v>5648</v>
      </c>
      <c r="F1578" s="19" t="s">
        <v>90</v>
      </c>
      <c r="G1578" s="19" t="s">
        <v>91</v>
      </c>
      <c r="H1578" s="37"/>
      <c r="I1578" s="21" t="s">
        <v>29</v>
      </c>
      <c r="J1578" s="21" t="s">
        <v>29</v>
      </c>
      <c r="K1578" s="22" t="s">
        <v>5649</v>
      </c>
      <c r="L1578" s="56">
        <v>45293</v>
      </c>
      <c r="O1578" s="42"/>
      <c r="P1578" s="40"/>
      <c r="Q1578" s="61"/>
      <c r="R1578" s="61"/>
      <c r="S1578" s="40"/>
      <c r="T1578" s="38"/>
      <c r="U1578" s="38"/>
      <c r="V1578" s="38"/>
      <c r="W1578" s="60"/>
      <c r="AB1578" s="42"/>
      <c r="AC1578" s="35"/>
      <c r="AD1578" s="38"/>
      <c r="AE1578" s="38"/>
      <c r="AF1578" s="38"/>
      <c r="AG1578" s="38"/>
      <c r="AH1578" s="60"/>
    </row>
    <row r="1579" spans="1:34" ht="15.75" customHeight="1">
      <c r="A1579" s="35"/>
      <c r="B1579" s="78" t="s">
        <v>5650</v>
      </c>
      <c r="C1579" s="37" t="s">
        <v>87</v>
      </c>
      <c r="D1579" s="20" t="s">
        <v>5651</v>
      </c>
      <c r="E1579" s="20" t="s">
        <v>5652</v>
      </c>
      <c r="F1579" s="19" t="s">
        <v>90</v>
      </c>
      <c r="G1579" s="19" t="s">
        <v>91</v>
      </c>
      <c r="H1579" s="37"/>
      <c r="I1579" s="21" t="s">
        <v>29</v>
      </c>
      <c r="J1579" s="21" t="s">
        <v>29</v>
      </c>
      <c r="K1579" s="22" t="s">
        <v>5652</v>
      </c>
      <c r="L1579" s="56">
        <v>45293</v>
      </c>
      <c r="O1579" s="42"/>
      <c r="P1579" s="40"/>
      <c r="Q1579" s="61"/>
      <c r="R1579" s="61"/>
      <c r="S1579" s="40"/>
      <c r="T1579" s="38"/>
      <c r="U1579" s="38"/>
      <c r="V1579" s="38"/>
      <c r="W1579" s="60"/>
      <c r="AB1579" s="42"/>
      <c r="AC1579" s="35"/>
      <c r="AD1579" s="38"/>
      <c r="AE1579" s="38"/>
      <c r="AF1579" s="38"/>
      <c r="AG1579" s="38"/>
      <c r="AH1579" s="60"/>
    </row>
    <row r="1580" spans="1:34" ht="15.75" customHeight="1">
      <c r="A1580" s="35"/>
      <c r="B1580" s="78" t="s">
        <v>5653</v>
      </c>
      <c r="C1580" s="37" t="s">
        <v>24</v>
      </c>
      <c r="D1580" s="20" t="s">
        <v>5654</v>
      </c>
      <c r="E1580" s="20" t="s">
        <v>5655</v>
      </c>
      <c r="F1580" s="19" t="s">
        <v>27</v>
      </c>
      <c r="G1580" s="19" t="s">
        <v>28</v>
      </c>
      <c r="H1580" s="37"/>
      <c r="I1580" s="21" t="s">
        <v>29</v>
      </c>
      <c r="J1580" s="21" t="s">
        <v>29</v>
      </c>
      <c r="K1580" s="22" t="s">
        <v>5656</v>
      </c>
      <c r="L1580" s="56">
        <v>45293</v>
      </c>
      <c r="O1580" s="42"/>
      <c r="P1580" s="40"/>
      <c r="Q1580" s="61"/>
      <c r="R1580" s="61"/>
      <c r="S1580" s="40"/>
      <c r="T1580" s="38"/>
      <c r="U1580" s="38"/>
      <c r="V1580" s="38"/>
      <c r="W1580" s="60"/>
      <c r="AB1580" s="42"/>
      <c r="AC1580" s="35"/>
      <c r="AD1580" s="38"/>
      <c r="AE1580" s="38"/>
      <c r="AF1580" s="38"/>
      <c r="AG1580" s="38"/>
      <c r="AH1580" s="60"/>
    </row>
    <row r="1581" spans="1:34" ht="15.75" customHeight="1">
      <c r="A1581" s="35"/>
      <c r="B1581" s="78" t="s">
        <v>5657</v>
      </c>
      <c r="C1581" s="37" t="s">
        <v>1638</v>
      </c>
      <c r="D1581" s="20" t="s">
        <v>5658</v>
      </c>
      <c r="E1581" s="20" t="s">
        <v>5659</v>
      </c>
      <c r="F1581" s="37" t="s">
        <v>1399</v>
      </c>
      <c r="G1581" s="19" t="s">
        <v>1641</v>
      </c>
      <c r="H1581" s="37"/>
      <c r="I1581" s="21" t="s">
        <v>233</v>
      </c>
      <c r="J1581" s="21" t="s">
        <v>233</v>
      </c>
      <c r="K1581" s="22" t="s">
        <v>5660</v>
      </c>
      <c r="L1581" s="56">
        <v>45293</v>
      </c>
      <c r="O1581" s="42"/>
      <c r="P1581" s="40"/>
      <c r="Q1581" s="61"/>
      <c r="R1581" s="61"/>
      <c r="S1581" s="40"/>
      <c r="T1581" s="38"/>
      <c r="U1581" s="38"/>
      <c r="V1581" s="38"/>
      <c r="W1581" s="60"/>
      <c r="AB1581" s="42"/>
      <c r="AC1581" s="35"/>
      <c r="AD1581" s="38"/>
      <c r="AE1581" s="38"/>
      <c r="AF1581" s="38"/>
      <c r="AG1581" s="38"/>
      <c r="AH1581" s="60"/>
    </row>
    <row r="1582" spans="1:34" ht="15.75" customHeight="1">
      <c r="A1582" s="35"/>
      <c r="B1582" s="78" t="s">
        <v>5661</v>
      </c>
      <c r="C1582" s="37" t="s">
        <v>24</v>
      </c>
      <c r="D1582" s="20" t="s">
        <v>5662</v>
      </c>
      <c r="E1582" s="20" t="s">
        <v>5663</v>
      </c>
      <c r="F1582" s="19" t="s">
        <v>27</v>
      </c>
      <c r="G1582" s="19" t="s">
        <v>28</v>
      </c>
      <c r="H1582" s="37"/>
      <c r="I1582" s="21" t="s">
        <v>29</v>
      </c>
      <c r="J1582" s="21" t="s">
        <v>29</v>
      </c>
      <c r="K1582" s="22" t="s">
        <v>5664</v>
      </c>
      <c r="L1582" s="56">
        <v>45293</v>
      </c>
      <c r="O1582" s="42"/>
      <c r="P1582" s="40"/>
      <c r="Q1582" s="61"/>
      <c r="R1582" s="61"/>
      <c r="S1582" s="40"/>
      <c r="T1582" s="38"/>
      <c r="U1582" s="38"/>
      <c r="V1582" s="38"/>
      <c r="W1582" s="60"/>
      <c r="AB1582" s="42"/>
      <c r="AC1582" s="35"/>
      <c r="AD1582" s="38"/>
      <c r="AE1582" s="38"/>
      <c r="AF1582" s="38"/>
      <c r="AG1582" s="38"/>
      <c r="AH1582" s="60"/>
    </row>
    <row r="1583" spans="1:34" ht="15.75" customHeight="1">
      <c r="A1583" s="35"/>
      <c r="B1583" s="81" t="s">
        <v>5665</v>
      </c>
      <c r="C1583" s="37" t="s">
        <v>24</v>
      </c>
      <c r="D1583" s="20" t="s">
        <v>5666</v>
      </c>
      <c r="E1583" s="20" t="s">
        <v>5667</v>
      </c>
      <c r="F1583" s="37" t="s">
        <v>286</v>
      </c>
      <c r="G1583" s="19" t="s">
        <v>28</v>
      </c>
      <c r="H1583" s="37"/>
      <c r="I1583" s="21" t="s">
        <v>233</v>
      </c>
      <c r="J1583" s="21" t="s">
        <v>29</v>
      </c>
      <c r="K1583" s="22" t="s">
        <v>5668</v>
      </c>
      <c r="L1583" s="56">
        <v>45293</v>
      </c>
      <c r="O1583" s="42"/>
      <c r="P1583" s="40"/>
      <c r="Q1583" s="61"/>
      <c r="R1583" s="61"/>
      <c r="S1583" s="40"/>
      <c r="T1583" s="38"/>
      <c r="U1583" s="38"/>
      <c r="V1583" s="38"/>
      <c r="W1583" s="60"/>
      <c r="AB1583" s="42"/>
      <c r="AC1583" s="35"/>
      <c r="AD1583" s="38"/>
      <c r="AE1583" s="38"/>
      <c r="AF1583" s="38"/>
      <c r="AG1583" s="38"/>
      <c r="AH1583" s="60"/>
    </row>
    <row r="1584" spans="1:34" ht="15.75" customHeight="1">
      <c r="A1584" s="35"/>
      <c r="B1584" s="80" t="s">
        <v>5669</v>
      </c>
      <c r="C1584" s="37" t="s">
        <v>24</v>
      </c>
      <c r="D1584" s="20" t="s">
        <v>5670</v>
      </c>
      <c r="E1584" s="20" t="s">
        <v>5671</v>
      </c>
      <c r="F1584" s="19" t="s">
        <v>90</v>
      </c>
      <c r="G1584" s="19" t="s">
        <v>91</v>
      </c>
      <c r="H1584" s="37"/>
      <c r="I1584" s="21" t="s">
        <v>29</v>
      </c>
      <c r="J1584" s="21" t="s">
        <v>29</v>
      </c>
      <c r="K1584" s="22" t="s">
        <v>5672</v>
      </c>
      <c r="L1584" s="56">
        <v>45293</v>
      </c>
      <c r="O1584" s="42"/>
      <c r="P1584" s="40"/>
      <c r="Q1584" s="61"/>
      <c r="R1584" s="61"/>
      <c r="S1584" s="40"/>
      <c r="T1584" s="38"/>
      <c r="U1584" s="38"/>
      <c r="V1584" s="38"/>
      <c r="W1584" s="60"/>
      <c r="AB1584" s="42"/>
      <c r="AC1584" s="35"/>
      <c r="AD1584" s="38"/>
      <c r="AE1584" s="38"/>
      <c r="AF1584" s="38"/>
      <c r="AG1584" s="38"/>
      <c r="AH1584" s="60"/>
    </row>
    <row r="1585" spans="1:34" ht="15.75" customHeight="1">
      <c r="A1585" s="35"/>
      <c r="B1585" s="78" t="s">
        <v>5673</v>
      </c>
      <c r="C1585" s="37" t="s">
        <v>1638</v>
      </c>
      <c r="D1585" s="20" t="s">
        <v>5674</v>
      </c>
      <c r="E1585" s="20"/>
      <c r="F1585" s="37" t="s">
        <v>1399</v>
      </c>
      <c r="G1585" s="19" t="s">
        <v>1641</v>
      </c>
      <c r="H1585" s="37"/>
      <c r="I1585" s="21" t="s">
        <v>29</v>
      </c>
      <c r="J1585" s="21" t="s">
        <v>29</v>
      </c>
      <c r="K1585" s="22"/>
      <c r="L1585" s="56">
        <v>45293</v>
      </c>
      <c r="O1585" s="42"/>
      <c r="P1585" s="40"/>
      <c r="Q1585" s="61"/>
      <c r="R1585" s="61"/>
      <c r="S1585" s="40"/>
      <c r="T1585" s="38"/>
      <c r="U1585" s="38"/>
      <c r="V1585" s="38"/>
      <c r="W1585" s="60"/>
      <c r="AB1585" s="42"/>
      <c r="AC1585" s="35"/>
      <c r="AD1585" s="38"/>
      <c r="AE1585" s="38"/>
      <c r="AF1585" s="38"/>
      <c r="AG1585" s="38"/>
      <c r="AH1585" s="60"/>
    </row>
    <row r="1586" spans="1:34" ht="15.75" customHeight="1">
      <c r="A1586" s="35"/>
      <c r="B1586" s="78" t="s">
        <v>5675</v>
      </c>
      <c r="C1586" s="37" t="s">
        <v>24</v>
      </c>
      <c r="D1586" s="20" t="s">
        <v>5676</v>
      </c>
      <c r="E1586" s="20" t="s">
        <v>5677</v>
      </c>
      <c r="F1586" s="19" t="s">
        <v>27</v>
      </c>
      <c r="G1586" s="19" t="s">
        <v>28</v>
      </c>
      <c r="H1586" s="37"/>
      <c r="I1586" s="21" t="s">
        <v>29</v>
      </c>
      <c r="J1586" s="21" t="s">
        <v>29</v>
      </c>
      <c r="K1586" s="22" t="s">
        <v>5678</v>
      </c>
      <c r="L1586" s="56">
        <v>45293</v>
      </c>
      <c r="O1586" s="42"/>
      <c r="P1586" s="40"/>
      <c r="Q1586" s="61"/>
      <c r="R1586" s="61"/>
      <c r="S1586" s="40"/>
      <c r="T1586" s="38"/>
      <c r="U1586" s="38"/>
      <c r="V1586" s="38"/>
      <c r="W1586" s="60"/>
      <c r="AB1586" s="42"/>
      <c r="AC1586" s="35"/>
      <c r="AD1586" s="38"/>
      <c r="AE1586" s="38"/>
      <c r="AF1586" s="38"/>
      <c r="AG1586" s="38"/>
      <c r="AH1586" s="60"/>
    </row>
    <row r="1587" spans="1:34" ht="15.75" customHeight="1">
      <c r="A1587" s="35"/>
      <c r="B1587" s="80" t="s">
        <v>5679</v>
      </c>
      <c r="C1587" s="37" t="s">
        <v>24</v>
      </c>
      <c r="D1587" s="20" t="s">
        <v>5680</v>
      </c>
      <c r="E1587" s="20"/>
      <c r="F1587" s="19" t="s">
        <v>90</v>
      </c>
      <c r="G1587" s="19" t="s">
        <v>91</v>
      </c>
      <c r="H1587" s="37"/>
      <c r="I1587" s="21" t="s">
        <v>29</v>
      </c>
      <c r="J1587" s="21" t="s">
        <v>29</v>
      </c>
      <c r="K1587" s="22"/>
      <c r="L1587" s="56">
        <v>45293</v>
      </c>
      <c r="O1587" s="42"/>
      <c r="P1587" s="40"/>
      <c r="Q1587" s="61"/>
      <c r="R1587" s="61"/>
      <c r="S1587" s="40"/>
      <c r="T1587" s="38"/>
      <c r="U1587" s="38"/>
      <c r="V1587" s="38"/>
      <c r="W1587" s="60"/>
      <c r="AB1587" s="42"/>
      <c r="AC1587" s="35"/>
      <c r="AD1587" s="38"/>
      <c r="AE1587" s="38"/>
      <c r="AF1587" s="38"/>
      <c r="AG1587" s="38"/>
      <c r="AH1587" s="60"/>
    </row>
    <row r="1588" spans="1:34" ht="15.75" customHeight="1">
      <c r="A1588" s="35"/>
      <c r="B1588" s="78" t="s">
        <v>5681</v>
      </c>
      <c r="C1588" s="37" t="s">
        <v>1486</v>
      </c>
      <c r="D1588" s="20" t="s">
        <v>5682</v>
      </c>
      <c r="E1588" s="20" t="s">
        <v>5683</v>
      </c>
      <c r="F1588" s="37" t="s">
        <v>1489</v>
      </c>
      <c r="G1588" s="37" t="s">
        <v>1490</v>
      </c>
      <c r="H1588" s="37"/>
      <c r="I1588" s="21" t="s">
        <v>29</v>
      </c>
      <c r="J1588" s="21" t="s">
        <v>29</v>
      </c>
      <c r="K1588" s="22" t="s">
        <v>5684</v>
      </c>
      <c r="L1588" s="56">
        <v>45293</v>
      </c>
      <c r="O1588" s="42"/>
      <c r="P1588" s="40"/>
      <c r="Q1588" s="61"/>
      <c r="R1588" s="61"/>
      <c r="S1588" s="40"/>
      <c r="T1588" s="38"/>
      <c r="U1588" s="38"/>
      <c r="V1588" s="38"/>
      <c r="W1588" s="60"/>
      <c r="AB1588" s="42"/>
      <c r="AC1588" s="35"/>
      <c r="AD1588" s="38"/>
      <c r="AE1588" s="38"/>
      <c r="AF1588" s="38"/>
      <c r="AG1588" s="38"/>
      <c r="AH1588" s="60"/>
    </row>
    <row r="1589" spans="1:34" ht="15.75" customHeight="1">
      <c r="A1589" s="35"/>
      <c r="B1589" s="78" t="s">
        <v>5685</v>
      </c>
      <c r="C1589" s="37" t="s">
        <v>24</v>
      </c>
      <c r="D1589" s="20" t="s">
        <v>5686</v>
      </c>
      <c r="E1589" s="20" t="s">
        <v>5687</v>
      </c>
      <c r="F1589" s="19" t="s">
        <v>27</v>
      </c>
      <c r="G1589" s="19" t="s">
        <v>28</v>
      </c>
      <c r="H1589" s="37"/>
      <c r="I1589" s="21" t="s">
        <v>29</v>
      </c>
      <c r="J1589" s="21" t="s">
        <v>29</v>
      </c>
      <c r="K1589" s="22" t="s">
        <v>5688</v>
      </c>
      <c r="L1589" s="56">
        <v>45293</v>
      </c>
      <c r="O1589" s="42"/>
      <c r="P1589" s="40"/>
      <c r="Q1589" s="61"/>
      <c r="R1589" s="61"/>
      <c r="S1589" s="40"/>
      <c r="T1589" s="38"/>
      <c r="U1589" s="38"/>
      <c r="V1589" s="38"/>
      <c r="W1589" s="60"/>
      <c r="AB1589" s="42"/>
      <c r="AC1589" s="35"/>
      <c r="AD1589" s="38"/>
      <c r="AE1589" s="38"/>
      <c r="AF1589" s="38"/>
      <c r="AG1589" s="38"/>
      <c r="AH1589" s="60"/>
    </row>
    <row r="1590" spans="1:34" ht="15.75" customHeight="1">
      <c r="A1590" s="35"/>
      <c r="B1590" s="78" t="s">
        <v>5689</v>
      </c>
      <c r="C1590" s="37" t="s">
        <v>24</v>
      </c>
      <c r="D1590" s="20" t="s">
        <v>5690</v>
      </c>
      <c r="E1590" s="20" t="s">
        <v>5691</v>
      </c>
      <c r="F1590" s="19" t="s">
        <v>27</v>
      </c>
      <c r="G1590" s="19" t="s">
        <v>28</v>
      </c>
      <c r="H1590" s="19" t="s">
        <v>36</v>
      </c>
      <c r="I1590" s="21" t="s">
        <v>29</v>
      </c>
      <c r="J1590" s="21" t="s">
        <v>29</v>
      </c>
      <c r="K1590" s="22" t="s">
        <v>5692</v>
      </c>
      <c r="L1590" s="56">
        <v>45293</v>
      </c>
      <c r="O1590" s="42"/>
      <c r="P1590" s="40"/>
      <c r="Q1590" s="61"/>
      <c r="R1590" s="61"/>
      <c r="S1590" s="40"/>
      <c r="T1590" s="38"/>
      <c r="U1590" s="38"/>
      <c r="V1590" s="38"/>
      <c r="W1590" s="60"/>
      <c r="AB1590" s="42"/>
      <c r="AC1590" s="35"/>
      <c r="AD1590" s="38"/>
      <c r="AE1590" s="38"/>
      <c r="AF1590" s="38"/>
      <c r="AG1590" s="38"/>
      <c r="AH1590" s="60"/>
    </row>
    <row r="1591" spans="1:34" ht="15.75" customHeight="1">
      <c r="A1591" s="35"/>
      <c r="B1591" s="78" t="s">
        <v>5693</v>
      </c>
      <c r="C1591" s="37" t="s">
        <v>24</v>
      </c>
      <c r="D1591" s="20" t="s">
        <v>5694</v>
      </c>
      <c r="E1591" s="20" t="s">
        <v>5695</v>
      </c>
      <c r="F1591" s="19" t="s">
        <v>27</v>
      </c>
      <c r="G1591" s="19" t="s">
        <v>28</v>
      </c>
      <c r="H1591" s="37"/>
      <c r="I1591" s="21" t="s">
        <v>29</v>
      </c>
      <c r="J1591" s="21" t="s">
        <v>29</v>
      </c>
      <c r="K1591" s="22" t="s">
        <v>5696</v>
      </c>
      <c r="L1591" s="56">
        <v>45293</v>
      </c>
      <c r="O1591" s="42"/>
      <c r="P1591" s="40"/>
      <c r="Q1591" s="61"/>
      <c r="R1591" s="61"/>
      <c r="S1591" s="40"/>
      <c r="T1591" s="38"/>
      <c r="U1591" s="38"/>
      <c r="V1591" s="38"/>
      <c r="W1591" s="60"/>
      <c r="AB1591" s="42"/>
      <c r="AC1591" s="35"/>
      <c r="AD1591" s="38"/>
      <c r="AE1591" s="38"/>
      <c r="AF1591" s="38"/>
      <c r="AG1591" s="38"/>
      <c r="AH1591" s="60"/>
    </row>
    <row r="1592" spans="1:34" ht="15.75" customHeight="1">
      <c r="A1592" s="35"/>
      <c r="B1592" s="78" t="s">
        <v>5697</v>
      </c>
      <c r="C1592" s="37" t="s">
        <v>24</v>
      </c>
      <c r="D1592" s="20" t="s">
        <v>5698</v>
      </c>
      <c r="E1592" s="20" t="s">
        <v>5699</v>
      </c>
      <c r="F1592" s="19" t="s">
        <v>27</v>
      </c>
      <c r="G1592" s="19" t="s">
        <v>28</v>
      </c>
      <c r="H1592" s="37"/>
      <c r="I1592" s="21" t="s">
        <v>29</v>
      </c>
      <c r="J1592" s="21" t="s">
        <v>29</v>
      </c>
      <c r="K1592" s="22" t="s">
        <v>5700</v>
      </c>
      <c r="L1592" s="56">
        <v>45293</v>
      </c>
      <c r="O1592" s="42"/>
      <c r="P1592" s="40"/>
      <c r="Q1592" s="61"/>
      <c r="R1592" s="61"/>
      <c r="S1592" s="40"/>
      <c r="T1592" s="38"/>
      <c r="U1592" s="38"/>
      <c r="V1592" s="38"/>
      <c r="W1592" s="60"/>
      <c r="AB1592" s="42"/>
      <c r="AC1592" s="35"/>
      <c r="AD1592" s="38"/>
      <c r="AE1592" s="38"/>
      <c r="AF1592" s="38"/>
      <c r="AG1592" s="38"/>
      <c r="AH1592" s="60"/>
    </row>
    <row r="1593" spans="1:34" ht="15.75" customHeight="1">
      <c r="A1593" s="35"/>
      <c r="B1593" s="78" t="s">
        <v>5701</v>
      </c>
      <c r="C1593" s="37" t="s">
        <v>24</v>
      </c>
      <c r="D1593" s="20" t="s">
        <v>5702</v>
      </c>
      <c r="E1593" s="20" t="s">
        <v>5703</v>
      </c>
      <c r="F1593" s="19" t="s">
        <v>90</v>
      </c>
      <c r="G1593" s="19" t="s">
        <v>28</v>
      </c>
      <c r="H1593" s="37"/>
      <c r="I1593" s="21" t="s">
        <v>29</v>
      </c>
      <c r="J1593" s="21" t="s">
        <v>29</v>
      </c>
      <c r="K1593" s="22" t="s">
        <v>5704</v>
      </c>
      <c r="L1593" s="56">
        <v>45293</v>
      </c>
      <c r="O1593" s="42"/>
      <c r="P1593" s="40"/>
      <c r="Q1593" s="61"/>
      <c r="R1593" s="61"/>
      <c r="S1593" s="40"/>
      <c r="T1593" s="38"/>
      <c r="U1593" s="38"/>
      <c r="V1593" s="38"/>
      <c r="W1593" s="60"/>
      <c r="AB1593" s="42"/>
      <c r="AC1593" s="35"/>
      <c r="AD1593" s="38"/>
      <c r="AE1593" s="38"/>
      <c r="AF1593" s="38"/>
      <c r="AG1593" s="38"/>
      <c r="AH1593" s="60"/>
    </row>
    <row r="1594" spans="1:34" ht="15.75" customHeight="1">
      <c r="A1594" s="35"/>
      <c r="B1594" s="78" t="s">
        <v>5705</v>
      </c>
      <c r="C1594" s="37" t="s">
        <v>87</v>
      </c>
      <c r="D1594" s="20" t="s">
        <v>5706</v>
      </c>
      <c r="E1594" s="20" t="s">
        <v>5707</v>
      </c>
      <c r="F1594" s="19" t="s">
        <v>90</v>
      </c>
      <c r="G1594" s="19" t="s">
        <v>91</v>
      </c>
      <c r="H1594" s="37"/>
      <c r="I1594" s="21" t="s">
        <v>29</v>
      </c>
      <c r="J1594" s="21" t="s">
        <v>29</v>
      </c>
      <c r="K1594" s="22" t="s">
        <v>5708</v>
      </c>
      <c r="L1594" s="56">
        <v>45293</v>
      </c>
      <c r="O1594" s="42"/>
      <c r="P1594" s="40"/>
      <c r="Q1594" s="61"/>
      <c r="R1594" s="61"/>
      <c r="S1594" s="40"/>
      <c r="T1594" s="38"/>
      <c r="U1594" s="38"/>
      <c r="V1594" s="38"/>
      <c r="W1594" s="60"/>
      <c r="AB1594" s="42"/>
      <c r="AC1594" s="35"/>
      <c r="AD1594" s="38"/>
      <c r="AE1594" s="38"/>
      <c r="AF1594" s="38"/>
      <c r="AG1594" s="38"/>
      <c r="AH1594" s="60"/>
    </row>
    <row r="1595" spans="1:34" ht="15.75" customHeight="1">
      <c r="A1595" s="35"/>
      <c r="B1595" s="78" t="s">
        <v>5709</v>
      </c>
      <c r="C1595" s="37" t="s">
        <v>87</v>
      </c>
      <c r="D1595" s="20" t="s">
        <v>5710</v>
      </c>
      <c r="E1595" s="20" t="s">
        <v>5711</v>
      </c>
      <c r="F1595" s="19" t="s">
        <v>90</v>
      </c>
      <c r="G1595" s="19" t="s">
        <v>91</v>
      </c>
      <c r="H1595" s="37"/>
      <c r="I1595" s="21" t="s">
        <v>29</v>
      </c>
      <c r="J1595" s="21" t="s">
        <v>29</v>
      </c>
      <c r="K1595" s="22" t="s">
        <v>5711</v>
      </c>
      <c r="L1595" s="56">
        <v>45293</v>
      </c>
      <c r="O1595" s="42"/>
      <c r="P1595" s="40"/>
      <c r="Q1595" s="61"/>
      <c r="R1595" s="61"/>
      <c r="S1595" s="40"/>
      <c r="T1595" s="38"/>
      <c r="U1595" s="38"/>
      <c r="V1595" s="38"/>
      <c r="W1595" s="60"/>
      <c r="AB1595" s="42"/>
      <c r="AC1595" s="35"/>
      <c r="AD1595" s="38"/>
      <c r="AE1595" s="38"/>
      <c r="AF1595" s="38"/>
      <c r="AG1595" s="38"/>
      <c r="AH1595" s="60"/>
    </row>
    <row r="1596" spans="1:34" ht="15.75" customHeight="1">
      <c r="A1596" s="35"/>
      <c r="B1596" s="78" t="s">
        <v>5712</v>
      </c>
      <c r="C1596" s="37" t="s">
        <v>46</v>
      </c>
      <c r="D1596" s="20" t="s">
        <v>5713</v>
      </c>
      <c r="E1596" s="20" t="s">
        <v>5714</v>
      </c>
      <c r="F1596" s="37" t="s">
        <v>49</v>
      </c>
      <c r="G1596" s="19" t="s">
        <v>50</v>
      </c>
      <c r="H1596" s="37"/>
      <c r="I1596" s="21" t="s">
        <v>29</v>
      </c>
      <c r="J1596" s="21" t="s">
        <v>29</v>
      </c>
      <c r="K1596" s="22" t="s">
        <v>5715</v>
      </c>
      <c r="L1596" s="56">
        <v>45293</v>
      </c>
      <c r="O1596" s="42"/>
      <c r="P1596" s="40"/>
      <c r="Q1596" s="61"/>
      <c r="R1596" s="61"/>
      <c r="S1596" s="40"/>
      <c r="T1596" s="38"/>
      <c r="U1596" s="38"/>
      <c r="V1596" s="38"/>
      <c r="W1596" s="60"/>
      <c r="AB1596" s="42"/>
      <c r="AC1596" s="35"/>
      <c r="AD1596" s="38"/>
      <c r="AE1596" s="38"/>
      <c r="AF1596" s="38"/>
      <c r="AG1596" s="38"/>
      <c r="AH1596" s="60"/>
    </row>
    <row r="1597" spans="1:34" ht="15.75" customHeight="1">
      <c r="A1597" s="35"/>
      <c r="B1597" s="78" t="s">
        <v>5716</v>
      </c>
      <c r="C1597" s="37" t="s">
        <v>24</v>
      </c>
      <c r="D1597" s="20" t="s">
        <v>5717</v>
      </c>
      <c r="E1597" s="20" t="s">
        <v>5718</v>
      </c>
      <c r="F1597" s="19" t="s">
        <v>27</v>
      </c>
      <c r="G1597" s="19" t="s">
        <v>28</v>
      </c>
      <c r="H1597" s="37"/>
      <c r="I1597" s="21" t="s">
        <v>29</v>
      </c>
      <c r="J1597" s="21" t="s">
        <v>29</v>
      </c>
      <c r="K1597" s="22" t="s">
        <v>5719</v>
      </c>
      <c r="L1597" s="56">
        <v>45293</v>
      </c>
      <c r="O1597" s="42"/>
      <c r="P1597" s="40"/>
      <c r="Q1597" s="61"/>
      <c r="R1597" s="61"/>
      <c r="S1597" s="40"/>
      <c r="T1597" s="38"/>
      <c r="U1597" s="38"/>
      <c r="V1597" s="38"/>
      <c r="W1597" s="60"/>
      <c r="AB1597" s="42"/>
      <c r="AC1597" s="35"/>
      <c r="AD1597" s="38"/>
      <c r="AE1597" s="38"/>
      <c r="AF1597" s="38"/>
      <c r="AG1597" s="38"/>
      <c r="AH1597" s="60"/>
    </row>
    <row r="1598" spans="1:34" ht="15.75" customHeight="1">
      <c r="A1598" s="35"/>
      <c r="B1598" s="78" t="s">
        <v>5720</v>
      </c>
      <c r="C1598" s="37" t="s">
        <v>46</v>
      </c>
      <c r="D1598" s="20" t="s">
        <v>5721</v>
      </c>
      <c r="E1598" s="20" t="s">
        <v>5722</v>
      </c>
      <c r="F1598" s="37" t="s">
        <v>49</v>
      </c>
      <c r="G1598" s="19" t="s">
        <v>50</v>
      </c>
      <c r="H1598" s="37"/>
      <c r="I1598" s="21" t="s">
        <v>29</v>
      </c>
      <c r="J1598" s="21" t="s">
        <v>29</v>
      </c>
      <c r="K1598" s="22" t="s">
        <v>5723</v>
      </c>
      <c r="L1598" s="56">
        <v>45293</v>
      </c>
      <c r="O1598" s="42"/>
      <c r="P1598" s="40"/>
      <c r="Q1598" s="61"/>
      <c r="R1598" s="61"/>
      <c r="S1598" s="40"/>
      <c r="T1598" s="38"/>
      <c r="U1598" s="38"/>
      <c r="V1598" s="38"/>
      <c r="W1598" s="60"/>
      <c r="AB1598" s="42"/>
      <c r="AC1598" s="35"/>
      <c r="AD1598" s="38"/>
      <c r="AE1598" s="38"/>
      <c r="AF1598" s="38"/>
      <c r="AG1598" s="38"/>
      <c r="AH1598" s="60"/>
    </row>
    <row r="1599" spans="1:34" ht="15.75" customHeight="1">
      <c r="A1599" s="35"/>
      <c r="B1599" s="78" t="s">
        <v>5724</v>
      </c>
      <c r="C1599" s="37" t="s">
        <v>24</v>
      </c>
      <c r="D1599" s="20" t="s">
        <v>5725</v>
      </c>
      <c r="E1599" s="20" t="s">
        <v>5726</v>
      </c>
      <c r="F1599" s="19" t="s">
        <v>27</v>
      </c>
      <c r="G1599" s="19" t="s">
        <v>28</v>
      </c>
      <c r="H1599" s="37"/>
      <c r="I1599" s="21" t="s">
        <v>29</v>
      </c>
      <c r="J1599" s="21" t="s">
        <v>29</v>
      </c>
      <c r="K1599" s="22" t="s">
        <v>5727</v>
      </c>
      <c r="L1599" s="56">
        <v>45293</v>
      </c>
      <c r="O1599" s="42"/>
      <c r="P1599" s="40"/>
      <c r="Q1599" s="61"/>
      <c r="R1599" s="61"/>
      <c r="S1599" s="40"/>
      <c r="T1599" s="38"/>
      <c r="U1599" s="38"/>
      <c r="V1599" s="38"/>
      <c r="W1599" s="60"/>
      <c r="AB1599" s="42"/>
      <c r="AC1599" s="35"/>
      <c r="AD1599" s="38"/>
      <c r="AE1599" s="38"/>
      <c r="AF1599" s="38"/>
      <c r="AG1599" s="38"/>
      <c r="AH1599" s="60"/>
    </row>
    <row r="1600" spans="1:34" ht="15.75" customHeight="1">
      <c r="A1600" s="35"/>
      <c r="B1600" s="78" t="s">
        <v>5728</v>
      </c>
      <c r="C1600" s="37" t="s">
        <v>46</v>
      </c>
      <c r="D1600" s="20" t="s">
        <v>5729</v>
      </c>
      <c r="E1600" s="20" t="s">
        <v>5730</v>
      </c>
      <c r="F1600" s="37" t="s">
        <v>49</v>
      </c>
      <c r="G1600" s="19" t="s">
        <v>50</v>
      </c>
      <c r="H1600" s="37"/>
      <c r="I1600" s="21" t="s">
        <v>29</v>
      </c>
      <c r="J1600" s="21" t="s">
        <v>29</v>
      </c>
      <c r="K1600" s="22" t="s">
        <v>5731</v>
      </c>
      <c r="L1600" s="56">
        <v>45293</v>
      </c>
      <c r="O1600" s="42"/>
      <c r="P1600" s="40"/>
      <c r="Q1600" s="61"/>
      <c r="R1600" s="61"/>
      <c r="S1600" s="40"/>
      <c r="T1600" s="38"/>
      <c r="U1600" s="38"/>
      <c r="V1600" s="38"/>
      <c r="W1600" s="60"/>
      <c r="AB1600" s="42"/>
      <c r="AC1600" s="35"/>
      <c r="AD1600" s="38"/>
      <c r="AE1600" s="38"/>
      <c r="AF1600" s="38"/>
      <c r="AG1600" s="38"/>
      <c r="AH1600" s="60"/>
    </row>
    <row r="1601" spans="1:34" ht="15.75" customHeight="1">
      <c r="A1601" s="35"/>
      <c r="B1601" s="83" t="s">
        <v>5732</v>
      </c>
      <c r="C1601" s="37" t="s">
        <v>121</v>
      </c>
      <c r="D1601" s="20" t="s">
        <v>5733</v>
      </c>
      <c r="E1601" s="20" t="s">
        <v>5734</v>
      </c>
      <c r="F1601" s="37" t="s">
        <v>49</v>
      </c>
      <c r="G1601" s="19" t="s">
        <v>50</v>
      </c>
      <c r="H1601" s="37"/>
      <c r="I1601" s="21" t="s">
        <v>29</v>
      </c>
      <c r="J1601" s="21" t="s">
        <v>29</v>
      </c>
      <c r="K1601" s="22" t="s">
        <v>5735</v>
      </c>
      <c r="L1601" s="56">
        <v>45293</v>
      </c>
      <c r="O1601" s="42"/>
      <c r="P1601" s="40"/>
      <c r="Q1601" s="61"/>
      <c r="R1601" s="61"/>
      <c r="S1601" s="40"/>
      <c r="T1601" s="38"/>
      <c r="U1601" s="38"/>
      <c r="V1601" s="38"/>
      <c r="W1601" s="60"/>
      <c r="AB1601" s="42"/>
      <c r="AC1601" s="35"/>
      <c r="AD1601" s="38"/>
      <c r="AE1601" s="38"/>
      <c r="AF1601" s="38"/>
      <c r="AG1601" s="38"/>
      <c r="AH1601" s="60"/>
    </row>
    <row r="1602" spans="1:34" ht="15.75" customHeight="1">
      <c r="A1602" s="35"/>
      <c r="B1602" s="78" t="s">
        <v>5736</v>
      </c>
      <c r="C1602" s="37" t="s">
        <v>46</v>
      </c>
      <c r="D1602" s="20" t="s">
        <v>5737</v>
      </c>
      <c r="E1602" s="20" t="s">
        <v>5738</v>
      </c>
      <c r="F1602" s="37" t="s">
        <v>49</v>
      </c>
      <c r="G1602" s="19" t="s">
        <v>50</v>
      </c>
      <c r="H1602" s="37"/>
      <c r="I1602" s="21" t="s">
        <v>29</v>
      </c>
      <c r="J1602" s="21" t="s">
        <v>29</v>
      </c>
      <c r="K1602" s="22" t="s">
        <v>5739</v>
      </c>
      <c r="L1602" s="56">
        <v>45293</v>
      </c>
      <c r="O1602" s="42"/>
      <c r="P1602" s="40"/>
      <c r="Q1602" s="61"/>
      <c r="R1602" s="61"/>
      <c r="S1602" s="40"/>
      <c r="T1602" s="38"/>
      <c r="U1602" s="38"/>
      <c r="V1602" s="38"/>
      <c r="W1602" s="60"/>
      <c r="AB1602" s="42"/>
      <c r="AC1602" s="35"/>
      <c r="AD1602" s="38"/>
      <c r="AE1602" s="38"/>
      <c r="AF1602" s="38"/>
      <c r="AG1602" s="38"/>
      <c r="AH1602" s="60"/>
    </row>
    <row r="1603" spans="1:34" ht="15.75" customHeight="1">
      <c r="A1603" s="35"/>
      <c r="B1603" s="78" t="s">
        <v>5740</v>
      </c>
      <c r="C1603" s="37" t="s">
        <v>87</v>
      </c>
      <c r="D1603" s="20" t="s">
        <v>5741</v>
      </c>
      <c r="E1603" s="20" t="s">
        <v>5742</v>
      </c>
      <c r="F1603" s="19" t="s">
        <v>90</v>
      </c>
      <c r="G1603" s="19" t="s">
        <v>91</v>
      </c>
      <c r="H1603" s="37"/>
      <c r="I1603" s="21" t="s">
        <v>29</v>
      </c>
      <c r="J1603" s="21" t="s">
        <v>29</v>
      </c>
      <c r="K1603" s="22" t="s">
        <v>5743</v>
      </c>
      <c r="L1603" s="56">
        <v>45293</v>
      </c>
      <c r="O1603" s="42"/>
      <c r="P1603" s="40"/>
      <c r="Q1603" s="61"/>
      <c r="R1603" s="61"/>
      <c r="S1603" s="40"/>
      <c r="T1603" s="38"/>
      <c r="U1603" s="38"/>
      <c r="V1603" s="38"/>
      <c r="W1603" s="60"/>
      <c r="AB1603" s="42"/>
      <c r="AC1603" s="35"/>
      <c r="AD1603" s="38"/>
      <c r="AE1603" s="38"/>
      <c r="AF1603" s="38"/>
      <c r="AG1603" s="38"/>
      <c r="AH1603" s="60"/>
    </row>
    <row r="1604" spans="1:34" ht="15.75" customHeight="1">
      <c r="A1604" s="35"/>
      <c r="B1604" s="83" t="s">
        <v>5744</v>
      </c>
      <c r="C1604" s="19" t="s">
        <v>121</v>
      </c>
      <c r="D1604" s="20" t="s">
        <v>5745</v>
      </c>
      <c r="E1604" s="20" t="s">
        <v>5746</v>
      </c>
      <c r="F1604" s="37" t="s">
        <v>1399</v>
      </c>
      <c r="G1604" s="37" t="s">
        <v>452</v>
      </c>
      <c r="H1604" s="37"/>
      <c r="I1604" s="21" t="s">
        <v>29</v>
      </c>
      <c r="J1604" s="21" t="s">
        <v>452</v>
      </c>
      <c r="K1604" s="22" t="s">
        <v>5747</v>
      </c>
      <c r="L1604" s="56">
        <v>45293</v>
      </c>
      <c r="O1604" s="42"/>
      <c r="P1604" s="40"/>
      <c r="Q1604" s="61"/>
      <c r="R1604" s="61"/>
      <c r="S1604" s="40"/>
      <c r="T1604" s="38"/>
      <c r="U1604" s="38"/>
      <c r="V1604" s="38"/>
      <c r="W1604" s="60"/>
      <c r="AB1604" s="42"/>
      <c r="AC1604" s="35"/>
      <c r="AD1604" s="38"/>
      <c r="AE1604" s="38"/>
      <c r="AF1604" s="38"/>
      <c r="AG1604" s="38"/>
      <c r="AH1604" s="60"/>
    </row>
    <row r="1605" spans="1:34" ht="15.75" customHeight="1">
      <c r="A1605" s="35"/>
      <c r="B1605" s="81" t="s">
        <v>5748</v>
      </c>
      <c r="C1605" s="37" t="s">
        <v>1638</v>
      </c>
      <c r="D1605" s="20" t="s">
        <v>5749</v>
      </c>
      <c r="E1605" s="20" t="s">
        <v>5750</v>
      </c>
      <c r="F1605" s="37" t="s">
        <v>286</v>
      </c>
      <c r="G1605" s="19" t="s">
        <v>50</v>
      </c>
      <c r="H1605" s="37"/>
      <c r="I1605" s="21" t="s">
        <v>286</v>
      </c>
      <c r="J1605" s="21" t="s">
        <v>233</v>
      </c>
      <c r="K1605" s="22" t="s">
        <v>5751</v>
      </c>
      <c r="L1605" s="56">
        <v>45293</v>
      </c>
      <c r="O1605" s="42"/>
      <c r="P1605" s="40"/>
      <c r="Q1605" s="61"/>
      <c r="R1605" s="61"/>
      <c r="S1605" s="40"/>
      <c r="T1605" s="38"/>
      <c r="U1605" s="38"/>
      <c r="V1605" s="38"/>
      <c r="W1605" s="60"/>
      <c r="AB1605" s="42"/>
      <c r="AC1605" s="35"/>
      <c r="AD1605" s="38"/>
      <c r="AE1605" s="38"/>
      <c r="AF1605" s="38"/>
      <c r="AG1605" s="38"/>
      <c r="AH1605" s="60"/>
    </row>
    <row r="1606" spans="1:34" ht="15.75" customHeight="1">
      <c r="A1606" s="35"/>
      <c r="B1606" s="81" t="s">
        <v>5752</v>
      </c>
      <c r="C1606" s="37" t="s">
        <v>24</v>
      </c>
      <c r="D1606" s="20" t="s">
        <v>5753</v>
      </c>
      <c r="E1606" s="20" t="s">
        <v>5754</v>
      </c>
      <c r="F1606" s="37" t="s">
        <v>286</v>
      </c>
      <c r="G1606" s="19" t="s">
        <v>28</v>
      </c>
      <c r="H1606" s="37"/>
      <c r="I1606" s="21" t="s">
        <v>233</v>
      </c>
      <c r="J1606" s="21" t="s">
        <v>29</v>
      </c>
      <c r="K1606" s="22" t="s">
        <v>5755</v>
      </c>
      <c r="L1606" s="56">
        <v>45293</v>
      </c>
      <c r="O1606" s="42"/>
      <c r="P1606" s="40"/>
      <c r="Q1606" s="61"/>
      <c r="R1606" s="61"/>
      <c r="S1606" s="40"/>
      <c r="T1606" s="38"/>
      <c r="U1606" s="38"/>
      <c r="V1606" s="38"/>
      <c r="W1606" s="60"/>
      <c r="AB1606" s="42"/>
      <c r="AC1606" s="35"/>
      <c r="AD1606" s="38"/>
      <c r="AE1606" s="38"/>
      <c r="AF1606" s="38"/>
      <c r="AG1606" s="38"/>
      <c r="AH1606" s="60"/>
    </row>
    <row r="1607" spans="1:34" ht="15.75" customHeight="1">
      <c r="A1607" s="35"/>
      <c r="B1607" s="78" t="s">
        <v>5756</v>
      </c>
      <c r="C1607" s="37" t="s">
        <v>1430</v>
      </c>
      <c r="D1607" s="20" t="s">
        <v>5757</v>
      </c>
      <c r="E1607" s="20"/>
      <c r="F1607" s="37" t="s">
        <v>49</v>
      </c>
      <c r="G1607" s="19" t="s">
        <v>50</v>
      </c>
      <c r="H1607" s="37"/>
      <c r="I1607" s="21" t="s">
        <v>233</v>
      </c>
      <c r="J1607" s="21" t="s">
        <v>233</v>
      </c>
      <c r="K1607" s="22"/>
      <c r="L1607" s="56">
        <v>45293</v>
      </c>
      <c r="O1607" s="42"/>
      <c r="P1607" s="40"/>
      <c r="Q1607" s="61"/>
      <c r="R1607" s="61"/>
      <c r="S1607" s="40"/>
      <c r="T1607" s="38"/>
      <c r="U1607" s="38"/>
      <c r="V1607" s="38"/>
      <c r="W1607" s="60"/>
      <c r="AB1607" s="42"/>
      <c r="AC1607" s="35"/>
      <c r="AD1607" s="38"/>
      <c r="AE1607" s="38"/>
      <c r="AF1607" s="38"/>
      <c r="AG1607" s="38"/>
      <c r="AH1607" s="60"/>
    </row>
    <row r="1608" spans="1:34" ht="15.75" customHeight="1">
      <c r="A1608" s="35"/>
      <c r="B1608" s="78" t="s">
        <v>5758</v>
      </c>
      <c r="C1608" s="37" t="s">
        <v>46</v>
      </c>
      <c r="D1608" s="20" t="s">
        <v>5759</v>
      </c>
      <c r="E1608" s="20" t="s">
        <v>5760</v>
      </c>
      <c r="F1608" s="37" t="s">
        <v>49</v>
      </c>
      <c r="G1608" s="19" t="s">
        <v>50</v>
      </c>
      <c r="H1608" s="37"/>
      <c r="I1608" s="21" t="s">
        <v>29</v>
      </c>
      <c r="J1608" s="21" t="s">
        <v>29</v>
      </c>
      <c r="K1608" s="22" t="s">
        <v>5761</v>
      </c>
      <c r="L1608" s="56">
        <v>45293</v>
      </c>
      <c r="O1608" s="42"/>
      <c r="P1608" s="40"/>
      <c r="Q1608" s="61"/>
      <c r="R1608" s="61"/>
      <c r="S1608" s="40"/>
      <c r="T1608" s="38"/>
      <c r="U1608" s="38"/>
      <c r="V1608" s="38"/>
      <c r="W1608" s="60"/>
      <c r="AB1608" s="42"/>
      <c r="AC1608" s="35"/>
      <c r="AD1608" s="38"/>
      <c r="AE1608" s="38"/>
      <c r="AF1608" s="38"/>
      <c r="AG1608" s="38"/>
      <c r="AH1608" s="60"/>
    </row>
    <row r="1609" spans="1:34" ht="15.75" customHeight="1">
      <c r="A1609" s="35"/>
      <c r="B1609" s="78" t="s">
        <v>5762</v>
      </c>
      <c r="C1609" s="37" t="s">
        <v>46</v>
      </c>
      <c r="D1609" s="20" t="s">
        <v>5763</v>
      </c>
      <c r="E1609" s="20" t="s">
        <v>5764</v>
      </c>
      <c r="F1609" s="37" t="s">
        <v>49</v>
      </c>
      <c r="G1609" s="19" t="s">
        <v>50</v>
      </c>
      <c r="H1609" s="37"/>
      <c r="I1609" s="21" t="s">
        <v>29</v>
      </c>
      <c r="J1609" s="21" t="s">
        <v>29</v>
      </c>
      <c r="K1609" s="22" t="s">
        <v>5765</v>
      </c>
      <c r="L1609" s="56">
        <v>45293</v>
      </c>
      <c r="O1609" s="42"/>
      <c r="P1609" s="40"/>
      <c r="Q1609" s="61"/>
      <c r="R1609" s="61"/>
      <c r="S1609" s="40"/>
      <c r="T1609" s="38"/>
      <c r="U1609" s="38"/>
      <c r="V1609" s="38"/>
      <c r="W1609" s="60"/>
      <c r="AB1609" s="42"/>
      <c r="AC1609" s="35"/>
      <c r="AD1609" s="38"/>
      <c r="AE1609" s="38"/>
      <c r="AF1609" s="38"/>
      <c r="AG1609" s="38"/>
      <c r="AH1609" s="60"/>
    </row>
    <row r="1610" spans="1:34" ht="15.75" customHeight="1">
      <c r="A1610" s="35"/>
      <c r="B1610" s="78" t="s">
        <v>5766</v>
      </c>
      <c r="C1610" s="37" t="s">
        <v>24</v>
      </c>
      <c r="D1610" s="20" t="s">
        <v>5767</v>
      </c>
      <c r="E1610" s="20" t="s">
        <v>5768</v>
      </c>
      <c r="F1610" s="19" t="s">
        <v>27</v>
      </c>
      <c r="G1610" s="19" t="s">
        <v>28</v>
      </c>
      <c r="H1610" s="37"/>
      <c r="I1610" s="21" t="s">
        <v>29</v>
      </c>
      <c r="J1610" s="21" t="s">
        <v>29</v>
      </c>
      <c r="K1610" s="22" t="s">
        <v>5769</v>
      </c>
      <c r="L1610" s="56">
        <v>45293</v>
      </c>
      <c r="O1610" s="42"/>
      <c r="P1610" s="40"/>
      <c r="Q1610" s="61"/>
      <c r="R1610" s="61"/>
      <c r="S1610" s="40"/>
      <c r="T1610" s="38"/>
      <c r="U1610" s="38"/>
      <c r="V1610" s="38"/>
      <c r="W1610" s="60"/>
      <c r="AB1610" s="42"/>
      <c r="AC1610" s="35"/>
      <c r="AD1610" s="38"/>
      <c r="AE1610" s="38"/>
      <c r="AF1610" s="38"/>
      <c r="AG1610" s="38"/>
      <c r="AH1610" s="60"/>
    </row>
    <row r="1611" spans="1:34" ht="15.75" customHeight="1">
      <c r="A1611" s="35"/>
      <c r="B1611" s="78" t="s">
        <v>5770</v>
      </c>
      <c r="C1611" s="37" t="s">
        <v>412</v>
      </c>
      <c r="D1611" s="20" t="s">
        <v>5771</v>
      </c>
      <c r="E1611" s="20"/>
      <c r="F1611" s="19" t="s">
        <v>414</v>
      </c>
      <c r="G1611" s="37" t="s">
        <v>415</v>
      </c>
      <c r="H1611" s="37"/>
      <c r="I1611" s="21" t="s">
        <v>233</v>
      </c>
      <c r="J1611" s="21" t="s">
        <v>233</v>
      </c>
      <c r="K1611" s="22"/>
      <c r="L1611" s="56">
        <v>45293</v>
      </c>
      <c r="O1611" s="42"/>
      <c r="P1611" s="40"/>
      <c r="Q1611" s="61"/>
      <c r="R1611" s="61"/>
      <c r="S1611" s="40"/>
      <c r="T1611" s="38"/>
      <c r="U1611" s="38"/>
      <c r="V1611" s="38"/>
      <c r="W1611" s="60"/>
      <c r="AB1611" s="42"/>
      <c r="AC1611" s="35"/>
      <c r="AD1611" s="38"/>
      <c r="AE1611" s="38"/>
      <c r="AF1611" s="38"/>
      <c r="AG1611" s="38"/>
      <c r="AH1611" s="60"/>
    </row>
    <row r="1612" spans="1:34" ht="15.75" customHeight="1">
      <c r="A1612" s="35"/>
      <c r="B1612" s="38"/>
      <c r="C1612" s="37"/>
      <c r="D1612" s="25"/>
      <c r="E1612" s="25"/>
      <c r="F1612" s="37"/>
      <c r="G1612" s="37"/>
      <c r="H1612" s="37"/>
      <c r="I1612" s="37"/>
      <c r="J1612" s="37"/>
      <c r="K1612" s="22"/>
      <c r="L1612" s="56">
        <v>45293</v>
      </c>
      <c r="O1612" s="42"/>
      <c r="P1612" s="40"/>
      <c r="Q1612" s="61"/>
      <c r="R1612" s="61"/>
      <c r="S1612" s="40"/>
      <c r="T1612" s="38"/>
      <c r="U1612" s="38"/>
      <c r="V1612" s="38"/>
      <c r="W1612" s="60"/>
      <c r="AB1612" s="42"/>
      <c r="AC1612" s="35"/>
      <c r="AD1612" s="38"/>
      <c r="AE1612" s="38"/>
      <c r="AF1612" s="38"/>
      <c r="AG1612" s="38"/>
      <c r="AH1612" s="60"/>
    </row>
    <row r="1613" spans="1:34" ht="15.75" customHeight="1">
      <c r="A1613" s="35"/>
      <c r="B1613" s="38"/>
      <c r="C1613" s="37"/>
      <c r="D1613" s="25"/>
      <c r="E1613" s="25"/>
      <c r="F1613" s="37"/>
      <c r="G1613" s="37"/>
      <c r="H1613" s="37"/>
      <c r="I1613" s="37"/>
      <c r="J1613" s="37"/>
      <c r="K1613" s="22"/>
      <c r="L1613" s="56">
        <v>45293</v>
      </c>
      <c r="O1613" s="42"/>
      <c r="P1613" s="40"/>
      <c r="Q1613" s="61"/>
      <c r="R1613" s="61"/>
      <c r="S1613" s="40"/>
      <c r="T1613" s="38"/>
      <c r="U1613" s="38"/>
      <c r="V1613" s="38"/>
      <c r="W1613" s="60"/>
      <c r="AB1613" s="42"/>
      <c r="AC1613" s="35"/>
      <c r="AD1613" s="38"/>
      <c r="AE1613" s="38"/>
      <c r="AF1613" s="38"/>
      <c r="AG1613" s="38"/>
      <c r="AH1613" s="60"/>
    </row>
    <row r="1614" spans="1:34" ht="15.75" customHeight="1">
      <c r="A1614" s="35"/>
      <c r="B1614" s="38"/>
      <c r="C1614" s="37"/>
      <c r="D1614" s="25"/>
      <c r="E1614" s="25"/>
      <c r="F1614" s="37"/>
      <c r="G1614" s="37"/>
      <c r="H1614" s="37"/>
      <c r="I1614" s="37"/>
      <c r="J1614" s="37"/>
      <c r="K1614" s="22"/>
      <c r="L1614" s="56">
        <v>45293</v>
      </c>
      <c r="O1614" s="42"/>
      <c r="P1614" s="40"/>
      <c r="Q1614" s="61"/>
      <c r="R1614" s="61"/>
      <c r="S1614" s="40"/>
      <c r="T1614" s="38"/>
      <c r="U1614" s="38"/>
      <c r="V1614" s="38"/>
      <c r="W1614" s="60"/>
      <c r="AB1614" s="42"/>
      <c r="AC1614" s="35"/>
      <c r="AD1614" s="38"/>
      <c r="AE1614" s="38"/>
      <c r="AF1614" s="38"/>
      <c r="AG1614" s="38"/>
      <c r="AH1614" s="60"/>
    </row>
    <row r="1615" spans="1:34" ht="15.75" customHeight="1">
      <c r="A1615" s="35"/>
      <c r="B1615" s="38"/>
      <c r="C1615" s="37"/>
      <c r="D1615" s="20"/>
      <c r="E1615" s="20"/>
      <c r="F1615" s="37"/>
      <c r="G1615" s="37"/>
      <c r="H1615" s="37"/>
      <c r="I1615" s="21"/>
      <c r="J1615" s="21"/>
      <c r="K1615" s="22"/>
      <c r="L1615" s="56"/>
      <c r="O1615" s="42"/>
      <c r="P1615" s="40"/>
      <c r="Q1615" s="61"/>
      <c r="R1615" s="61"/>
      <c r="S1615" s="40"/>
      <c r="T1615" s="38"/>
      <c r="U1615" s="38"/>
      <c r="V1615" s="38"/>
      <c r="W1615" s="60"/>
      <c r="AB1615" s="42"/>
      <c r="AC1615" s="35"/>
      <c r="AD1615" s="38"/>
      <c r="AE1615" s="38"/>
      <c r="AF1615" s="38"/>
      <c r="AG1615" s="38"/>
      <c r="AH1615" s="60"/>
    </row>
    <row r="1616" spans="1:34" ht="15.75" customHeight="1">
      <c r="A1616" s="85" t="s">
        <v>5772</v>
      </c>
      <c r="B1616" s="78" t="s">
        <v>5773</v>
      </c>
      <c r="C1616" s="37" t="s">
        <v>24</v>
      </c>
      <c r="D1616" s="20" t="s">
        <v>5774</v>
      </c>
      <c r="E1616" s="20" t="s">
        <v>5775</v>
      </c>
      <c r="F1616" s="19" t="s">
        <v>27</v>
      </c>
      <c r="G1616" s="19" t="s">
        <v>28</v>
      </c>
      <c r="H1616" s="37"/>
      <c r="I1616" s="21" t="s">
        <v>29</v>
      </c>
      <c r="J1616" s="21" t="s">
        <v>29</v>
      </c>
      <c r="K1616" s="22" t="s">
        <v>5775</v>
      </c>
      <c r="L1616" s="56">
        <v>45293</v>
      </c>
      <c r="M1616" s="40"/>
      <c r="N1616" s="40"/>
      <c r="O1616" s="42"/>
      <c r="P1616" s="40"/>
      <c r="Q1616" s="61"/>
      <c r="R1616" s="61"/>
      <c r="S1616" s="40"/>
      <c r="T1616" s="38"/>
      <c r="U1616" s="38"/>
      <c r="V1616" s="38"/>
      <c r="W1616" s="60"/>
      <c r="AB1616" s="42"/>
      <c r="AC1616" s="35"/>
      <c r="AD1616" s="38"/>
      <c r="AE1616" s="38"/>
      <c r="AF1616" s="38"/>
      <c r="AG1616" s="38"/>
      <c r="AH1616" s="60"/>
    </row>
    <row r="1617" spans="1:34" ht="15.75" customHeight="1">
      <c r="A1617" s="86" t="s">
        <v>2714</v>
      </c>
      <c r="B1617" s="81" t="s">
        <v>5776</v>
      </c>
      <c r="C1617" s="37" t="s">
        <v>46</v>
      </c>
      <c r="D1617" s="20" t="s">
        <v>5777</v>
      </c>
      <c r="E1617" s="20" t="s">
        <v>5778</v>
      </c>
      <c r="F1617" s="37" t="s">
        <v>286</v>
      </c>
      <c r="G1617" s="19" t="s">
        <v>50</v>
      </c>
      <c r="H1617" s="37"/>
      <c r="I1617" s="21" t="s">
        <v>286</v>
      </c>
      <c r="J1617" s="21" t="s">
        <v>29</v>
      </c>
      <c r="K1617" s="22" t="s">
        <v>5779</v>
      </c>
      <c r="L1617" s="56">
        <v>45293</v>
      </c>
      <c r="O1617" s="42"/>
      <c r="P1617" s="40"/>
      <c r="Q1617" s="61"/>
      <c r="R1617" s="61"/>
      <c r="S1617" s="40"/>
      <c r="T1617" s="38"/>
      <c r="U1617" s="38"/>
      <c r="V1617" s="38"/>
      <c r="W1617" s="60"/>
      <c r="AB1617" s="42"/>
      <c r="AC1617" s="35"/>
      <c r="AD1617" s="38"/>
      <c r="AE1617" s="38"/>
      <c r="AF1617" s="38"/>
      <c r="AG1617" s="38"/>
      <c r="AH1617" s="60"/>
    </row>
    <row r="1618" spans="1:34" ht="15.75" customHeight="1">
      <c r="A1618" s="50" t="s">
        <v>39</v>
      </c>
      <c r="B1618" s="78" t="s">
        <v>5780</v>
      </c>
      <c r="C1618" s="37" t="s">
        <v>24</v>
      </c>
      <c r="D1618" s="20" t="s">
        <v>5781</v>
      </c>
      <c r="E1618" s="20" t="s">
        <v>5782</v>
      </c>
      <c r="F1618" s="19" t="s">
        <v>27</v>
      </c>
      <c r="G1618" s="19" t="s">
        <v>28</v>
      </c>
      <c r="H1618" s="19" t="s">
        <v>36</v>
      </c>
      <c r="I1618" s="21" t="s">
        <v>29</v>
      </c>
      <c r="J1618" s="21" t="s">
        <v>29</v>
      </c>
      <c r="K1618" s="22" t="s">
        <v>5783</v>
      </c>
      <c r="L1618" s="56">
        <v>45293</v>
      </c>
      <c r="O1618" s="42"/>
      <c r="P1618" s="40"/>
      <c r="Q1618" s="61"/>
      <c r="R1618" s="61"/>
      <c r="S1618" s="40"/>
      <c r="T1618" s="38"/>
      <c r="U1618" s="38"/>
      <c r="V1618" s="38"/>
      <c r="W1618" s="60"/>
      <c r="AB1618" s="42"/>
      <c r="AC1618" s="35"/>
      <c r="AD1618" s="38"/>
      <c r="AE1618" s="38"/>
      <c r="AF1618" s="38"/>
      <c r="AG1618" s="38"/>
      <c r="AH1618" s="60"/>
    </row>
    <row r="1619" spans="1:34" ht="15.75" customHeight="1">
      <c r="A1619" s="35" t="s">
        <v>5343</v>
      </c>
      <c r="B1619" s="78" t="s">
        <v>5784</v>
      </c>
      <c r="C1619" s="37" t="s">
        <v>87</v>
      </c>
      <c r="D1619" s="20" t="s">
        <v>5785</v>
      </c>
      <c r="E1619" s="20" t="s">
        <v>5786</v>
      </c>
      <c r="F1619" s="19" t="s">
        <v>90</v>
      </c>
      <c r="G1619" s="19" t="s">
        <v>91</v>
      </c>
      <c r="H1619" s="37"/>
      <c r="I1619" s="21" t="s">
        <v>29</v>
      </c>
      <c r="J1619" s="21" t="s">
        <v>29</v>
      </c>
      <c r="K1619" s="22" t="s">
        <v>5787</v>
      </c>
      <c r="L1619" s="56">
        <v>45293</v>
      </c>
      <c r="O1619" s="42"/>
      <c r="P1619" s="40"/>
      <c r="Q1619" s="61"/>
      <c r="R1619" s="61"/>
      <c r="S1619" s="40"/>
      <c r="T1619" s="38"/>
      <c r="U1619" s="38"/>
      <c r="V1619" s="38"/>
      <c r="W1619" s="60"/>
      <c r="AB1619" s="42"/>
      <c r="AC1619" s="35"/>
      <c r="AD1619" s="38"/>
      <c r="AE1619" s="38"/>
      <c r="AF1619" s="38"/>
      <c r="AG1619" s="38"/>
      <c r="AH1619" s="60"/>
    </row>
    <row r="1620" spans="1:34" ht="15.75" customHeight="1">
      <c r="A1620" s="35" t="s">
        <v>4820</v>
      </c>
      <c r="B1620" s="78" t="s">
        <v>5788</v>
      </c>
      <c r="C1620" s="37" t="s">
        <v>412</v>
      </c>
      <c r="D1620" s="20" t="s">
        <v>5789</v>
      </c>
      <c r="E1620" s="20"/>
      <c r="F1620" s="19" t="s">
        <v>414</v>
      </c>
      <c r="G1620" s="19" t="s">
        <v>415</v>
      </c>
      <c r="H1620" s="37"/>
      <c r="I1620" s="21" t="s">
        <v>233</v>
      </c>
      <c r="J1620" s="21" t="s">
        <v>233</v>
      </c>
      <c r="K1620" s="22"/>
      <c r="L1620" s="56">
        <v>45293</v>
      </c>
      <c r="O1620" s="42"/>
      <c r="P1620" s="40"/>
      <c r="Q1620" s="61"/>
      <c r="R1620" s="61"/>
      <c r="S1620" s="40"/>
      <c r="T1620" s="38"/>
      <c r="U1620" s="38"/>
      <c r="V1620" s="38"/>
      <c r="W1620" s="60"/>
      <c r="AB1620" s="42"/>
      <c r="AC1620" s="35"/>
      <c r="AD1620" s="38"/>
      <c r="AE1620" s="38"/>
      <c r="AF1620" s="38"/>
      <c r="AG1620" s="38"/>
      <c r="AH1620" s="60"/>
    </row>
    <row r="1621" spans="1:34" ht="15.75" customHeight="1">
      <c r="A1621" s="50" t="s">
        <v>56</v>
      </c>
      <c r="B1621" s="78" t="s">
        <v>5790</v>
      </c>
      <c r="C1621" s="37" t="s">
        <v>24</v>
      </c>
      <c r="D1621" s="20" t="s">
        <v>5791</v>
      </c>
      <c r="E1621" s="20" t="s">
        <v>5792</v>
      </c>
      <c r="F1621" s="19" t="s">
        <v>27</v>
      </c>
      <c r="G1621" s="19" t="s">
        <v>28</v>
      </c>
      <c r="H1621" s="37"/>
      <c r="I1621" s="21" t="s">
        <v>29</v>
      </c>
      <c r="J1621" s="21" t="s">
        <v>29</v>
      </c>
      <c r="K1621" s="22" t="s">
        <v>5793</v>
      </c>
      <c r="L1621" s="56">
        <v>45293</v>
      </c>
      <c r="O1621" s="42"/>
      <c r="P1621" s="40"/>
      <c r="Q1621" s="61"/>
      <c r="R1621" s="61"/>
      <c r="S1621" s="40"/>
      <c r="T1621" s="38"/>
      <c r="U1621" s="38"/>
      <c r="V1621" s="38"/>
      <c r="W1621" s="60"/>
      <c r="AB1621" s="42"/>
      <c r="AC1621" s="35"/>
      <c r="AD1621" s="38"/>
      <c r="AE1621" s="38"/>
      <c r="AF1621" s="38"/>
      <c r="AG1621" s="38"/>
      <c r="AH1621" s="60"/>
    </row>
    <row r="1622" spans="1:34" ht="15.75" customHeight="1">
      <c r="A1622" s="35">
        <v>70</v>
      </c>
      <c r="B1622" s="78" t="s">
        <v>5794</v>
      </c>
      <c r="C1622" s="37" t="s">
        <v>24</v>
      </c>
      <c r="D1622" s="20" t="s">
        <v>5795</v>
      </c>
      <c r="E1622" s="20" t="s">
        <v>5796</v>
      </c>
      <c r="F1622" s="19" t="s">
        <v>27</v>
      </c>
      <c r="G1622" s="19" t="s">
        <v>28</v>
      </c>
      <c r="H1622" s="37"/>
      <c r="I1622" s="21" t="s">
        <v>29</v>
      </c>
      <c r="J1622" s="21" t="s">
        <v>29</v>
      </c>
      <c r="K1622" s="22" t="s">
        <v>5797</v>
      </c>
      <c r="L1622" s="56">
        <v>45293</v>
      </c>
      <c r="O1622" s="42"/>
      <c r="P1622" s="40"/>
      <c r="Q1622" s="61"/>
      <c r="R1622" s="61"/>
      <c r="S1622" s="40"/>
      <c r="T1622" s="38"/>
      <c r="U1622" s="38"/>
      <c r="V1622" s="38"/>
      <c r="W1622" s="60"/>
      <c r="AB1622" s="42"/>
      <c r="AC1622" s="35"/>
      <c r="AD1622" s="38"/>
      <c r="AE1622" s="38"/>
      <c r="AF1622" s="38"/>
      <c r="AG1622" s="38"/>
      <c r="AH1622" s="60"/>
    </row>
    <row r="1623" spans="1:34" ht="15.75" customHeight="1">
      <c r="A1623" s="50" t="s">
        <v>64</v>
      </c>
      <c r="B1623" s="78" t="s">
        <v>5798</v>
      </c>
      <c r="C1623" s="37" t="s">
        <v>5799</v>
      </c>
      <c r="D1623" s="20" t="s">
        <v>5800</v>
      </c>
      <c r="E1623" s="20" t="s">
        <v>5801</v>
      </c>
      <c r="F1623" s="37" t="s">
        <v>49</v>
      </c>
      <c r="G1623" s="19" t="s">
        <v>91</v>
      </c>
      <c r="H1623" s="37"/>
      <c r="I1623" s="21" t="s">
        <v>233</v>
      </c>
      <c r="J1623" s="21" t="s">
        <v>233</v>
      </c>
      <c r="K1623" s="22" t="s">
        <v>5802</v>
      </c>
      <c r="L1623" s="56">
        <v>45293</v>
      </c>
      <c r="O1623" s="42"/>
      <c r="P1623" s="40"/>
      <c r="Q1623" s="61"/>
      <c r="R1623" s="61"/>
      <c r="S1623" s="40"/>
      <c r="T1623" s="38"/>
      <c r="U1623" s="38"/>
      <c r="V1623" s="38"/>
      <c r="W1623" s="60"/>
      <c r="AB1623" s="42"/>
      <c r="AC1623" s="35"/>
      <c r="AD1623" s="38"/>
      <c r="AE1623" s="38"/>
      <c r="AF1623" s="38"/>
      <c r="AG1623" s="38"/>
      <c r="AH1623" s="60"/>
    </row>
    <row r="1624" spans="1:34" ht="15.75" customHeight="1">
      <c r="A1624" s="35">
        <v>3.7</v>
      </c>
      <c r="B1624" s="78" t="s">
        <v>5803</v>
      </c>
      <c r="C1624" s="37" t="s">
        <v>24</v>
      </c>
      <c r="D1624" s="20" t="s">
        <v>5804</v>
      </c>
      <c r="E1624" s="20" t="s">
        <v>5805</v>
      </c>
      <c r="F1624" s="19" t="s">
        <v>27</v>
      </c>
      <c r="G1624" s="19" t="s">
        <v>28</v>
      </c>
      <c r="H1624" s="19" t="s">
        <v>36</v>
      </c>
      <c r="I1624" s="21" t="s">
        <v>29</v>
      </c>
      <c r="J1624" s="21" t="s">
        <v>29</v>
      </c>
      <c r="K1624" s="22" t="s">
        <v>5806</v>
      </c>
      <c r="L1624" s="56">
        <v>45293</v>
      </c>
      <c r="O1624" s="42"/>
      <c r="P1624" s="40"/>
      <c r="Q1624" s="61"/>
      <c r="R1624" s="61"/>
      <c r="S1624" s="40"/>
      <c r="T1624" s="38"/>
      <c r="U1624" s="38"/>
      <c r="V1624" s="38"/>
      <c r="W1624" s="60"/>
      <c r="AB1624" s="42"/>
      <c r="AC1624" s="35"/>
      <c r="AD1624" s="38"/>
      <c r="AE1624" s="38"/>
      <c r="AF1624" s="38"/>
      <c r="AG1624" s="38"/>
      <c r="AH1624" s="60"/>
    </row>
    <row r="1625" spans="1:34" ht="15.75" customHeight="1">
      <c r="A1625" s="50" t="s">
        <v>73</v>
      </c>
      <c r="B1625" s="78" t="s">
        <v>5807</v>
      </c>
      <c r="C1625" s="37" t="s">
        <v>87</v>
      </c>
      <c r="D1625" s="20" t="s">
        <v>5808</v>
      </c>
      <c r="E1625" s="20" t="s">
        <v>5809</v>
      </c>
      <c r="F1625" s="19" t="s">
        <v>90</v>
      </c>
      <c r="G1625" s="19" t="s">
        <v>91</v>
      </c>
      <c r="H1625" s="19" t="s">
        <v>36</v>
      </c>
      <c r="I1625" s="21" t="s">
        <v>29</v>
      </c>
      <c r="J1625" s="21" t="s">
        <v>29</v>
      </c>
      <c r="K1625" s="22" t="s">
        <v>5810</v>
      </c>
      <c r="L1625" s="56">
        <v>45293</v>
      </c>
      <c r="O1625" s="42"/>
      <c r="P1625" s="40"/>
      <c r="Q1625" s="61"/>
      <c r="R1625" s="61"/>
      <c r="S1625" s="40"/>
      <c r="T1625" s="38"/>
      <c r="U1625" s="38"/>
      <c r="V1625" s="38"/>
      <c r="W1625" s="60"/>
      <c r="AB1625" s="42"/>
      <c r="AC1625" s="35"/>
      <c r="AD1625" s="38"/>
      <c r="AE1625" s="38"/>
      <c r="AF1625" s="38"/>
      <c r="AG1625" s="38"/>
      <c r="AH1625" s="60"/>
    </row>
    <row r="1626" spans="1:34" ht="15.75" customHeight="1">
      <c r="A1626" s="35">
        <v>3.9</v>
      </c>
      <c r="B1626" s="83" t="s">
        <v>5811</v>
      </c>
      <c r="C1626" s="19" t="s">
        <v>121</v>
      </c>
      <c r="D1626" s="20" t="s">
        <v>5812</v>
      </c>
      <c r="E1626" s="20" t="s">
        <v>5813</v>
      </c>
      <c r="F1626" s="19" t="s">
        <v>27</v>
      </c>
      <c r="G1626" s="37" t="s">
        <v>4455</v>
      </c>
      <c r="H1626" s="37"/>
      <c r="I1626" s="21" t="s">
        <v>29</v>
      </c>
      <c r="J1626" s="37" t="s">
        <v>4455</v>
      </c>
      <c r="K1626" s="22" t="s">
        <v>5814</v>
      </c>
      <c r="L1626" s="56">
        <v>45293</v>
      </c>
      <c r="O1626" s="42"/>
      <c r="P1626" s="40"/>
      <c r="Q1626" s="61"/>
      <c r="R1626" s="61"/>
      <c r="S1626" s="40"/>
      <c r="T1626" s="38"/>
      <c r="U1626" s="38"/>
      <c r="V1626" s="38"/>
      <c r="W1626" s="60"/>
      <c r="AB1626" s="42"/>
      <c r="AC1626" s="35"/>
      <c r="AD1626" s="38"/>
      <c r="AE1626" s="38"/>
      <c r="AF1626" s="38"/>
      <c r="AG1626" s="38"/>
      <c r="AH1626" s="60"/>
    </row>
    <row r="1627" spans="1:34" ht="15.75" customHeight="1">
      <c r="A1627" s="50" t="s">
        <v>82</v>
      </c>
      <c r="B1627" s="81" t="s">
        <v>5815</v>
      </c>
      <c r="C1627" s="37" t="s">
        <v>24</v>
      </c>
      <c r="D1627" s="20" t="s">
        <v>5816</v>
      </c>
      <c r="E1627" s="20" t="s">
        <v>5817</v>
      </c>
      <c r="F1627" s="19" t="s">
        <v>27</v>
      </c>
      <c r="G1627" s="19" t="s">
        <v>28</v>
      </c>
      <c r="H1627" s="19" t="s">
        <v>36</v>
      </c>
      <c r="I1627" s="21" t="s">
        <v>29</v>
      </c>
      <c r="J1627" s="21" t="s">
        <v>29</v>
      </c>
      <c r="K1627" s="22" t="s">
        <v>5818</v>
      </c>
      <c r="L1627" s="56">
        <v>45293</v>
      </c>
      <c r="O1627" s="42"/>
      <c r="P1627" s="40"/>
      <c r="Q1627" s="61"/>
      <c r="R1627" s="61"/>
      <c r="S1627" s="40"/>
      <c r="T1627" s="38"/>
      <c r="U1627" s="38"/>
      <c r="V1627" s="38"/>
      <c r="W1627" s="60"/>
      <c r="AB1627" s="42"/>
      <c r="AC1627" s="35"/>
      <c r="AD1627" s="38"/>
      <c r="AE1627" s="38"/>
      <c r="AF1627" s="38"/>
      <c r="AG1627" s="38"/>
      <c r="AH1627" s="60"/>
    </row>
    <row r="1628" spans="1:34" ht="15.75" customHeight="1">
      <c r="A1628" s="35" t="s">
        <v>5819</v>
      </c>
      <c r="B1628" s="78" t="s">
        <v>5820</v>
      </c>
      <c r="C1628" s="37" t="s">
        <v>46</v>
      </c>
      <c r="D1628" s="20" t="s">
        <v>5821</v>
      </c>
      <c r="E1628" s="20" t="s">
        <v>5822</v>
      </c>
      <c r="F1628" s="37" t="s">
        <v>49</v>
      </c>
      <c r="G1628" s="19" t="s">
        <v>50</v>
      </c>
      <c r="H1628" s="37"/>
      <c r="I1628" s="21" t="s">
        <v>29</v>
      </c>
      <c r="J1628" s="21" t="s">
        <v>29</v>
      </c>
      <c r="K1628" s="22" t="s">
        <v>5823</v>
      </c>
      <c r="L1628" s="56">
        <v>45293</v>
      </c>
      <c r="O1628" s="42"/>
      <c r="P1628" s="40"/>
      <c r="Q1628" s="61"/>
      <c r="R1628" s="61"/>
      <c r="S1628" s="40"/>
      <c r="T1628" s="38"/>
      <c r="U1628" s="38"/>
      <c r="V1628" s="38"/>
      <c r="W1628" s="60"/>
      <c r="AB1628" s="42"/>
      <c r="AC1628" s="35"/>
      <c r="AD1628" s="38"/>
      <c r="AE1628" s="38"/>
      <c r="AF1628" s="38"/>
      <c r="AG1628" s="38"/>
      <c r="AH1628" s="60"/>
    </row>
    <row r="1629" spans="1:34" ht="15.75" customHeight="1">
      <c r="A1629" s="50" t="s">
        <v>92</v>
      </c>
      <c r="B1629" s="81" t="s">
        <v>5824</v>
      </c>
      <c r="C1629" s="37" t="s">
        <v>46</v>
      </c>
      <c r="D1629" s="20" t="s">
        <v>5825</v>
      </c>
      <c r="E1629" s="20" t="s">
        <v>5826</v>
      </c>
      <c r="F1629" s="37" t="s">
        <v>286</v>
      </c>
      <c r="G1629" s="19" t="s">
        <v>50</v>
      </c>
      <c r="H1629" s="37"/>
      <c r="I1629" s="21" t="s">
        <v>286</v>
      </c>
      <c r="J1629" s="21" t="s">
        <v>29</v>
      </c>
      <c r="K1629" s="22" t="s">
        <v>5826</v>
      </c>
      <c r="L1629" s="56">
        <v>45293</v>
      </c>
      <c r="O1629" s="42"/>
      <c r="P1629" s="40"/>
      <c r="Q1629" s="61"/>
      <c r="R1629" s="61"/>
      <c r="S1629" s="40"/>
      <c r="T1629" s="38"/>
      <c r="U1629" s="38"/>
      <c r="V1629" s="38"/>
      <c r="W1629" s="60"/>
      <c r="AB1629" s="42"/>
      <c r="AC1629" s="35"/>
      <c r="AD1629" s="38"/>
      <c r="AE1629" s="38"/>
      <c r="AF1629" s="38"/>
      <c r="AG1629" s="38"/>
      <c r="AH1629" s="60"/>
    </row>
    <row r="1630" spans="1:34" ht="15.75" customHeight="1">
      <c r="A1630" s="79">
        <v>1273</v>
      </c>
      <c r="B1630" s="78" t="s">
        <v>5827</v>
      </c>
      <c r="C1630" s="37" t="s">
        <v>24</v>
      </c>
      <c r="D1630" s="20" t="s">
        <v>5828</v>
      </c>
      <c r="E1630" s="20" t="s">
        <v>5829</v>
      </c>
      <c r="F1630" s="19" t="s">
        <v>27</v>
      </c>
      <c r="G1630" s="19" t="s">
        <v>28</v>
      </c>
      <c r="H1630" s="19" t="s">
        <v>36</v>
      </c>
      <c r="I1630" s="21" t="s">
        <v>29</v>
      </c>
      <c r="J1630" s="21" t="s">
        <v>29</v>
      </c>
      <c r="K1630" s="22" t="s">
        <v>5830</v>
      </c>
      <c r="L1630" s="56">
        <v>45293</v>
      </c>
      <c r="O1630" s="42"/>
      <c r="P1630" s="40"/>
      <c r="Q1630" s="61"/>
      <c r="R1630" s="61"/>
      <c r="S1630" s="40"/>
      <c r="T1630" s="38"/>
      <c r="U1630" s="38"/>
      <c r="V1630" s="38"/>
      <c r="W1630" s="60"/>
      <c r="AB1630" s="42"/>
      <c r="AC1630" s="35"/>
      <c r="AD1630" s="38"/>
      <c r="AE1630" s="38"/>
      <c r="AF1630" s="38"/>
      <c r="AG1630" s="38"/>
      <c r="AH1630" s="60"/>
    </row>
    <row r="1631" spans="1:34" ht="15.75" customHeight="1">
      <c r="A1631" s="50" t="s">
        <v>100</v>
      </c>
      <c r="B1631" s="78" t="s">
        <v>5831</v>
      </c>
      <c r="C1631" s="37" t="s">
        <v>24</v>
      </c>
      <c r="D1631" s="20" t="s">
        <v>5832</v>
      </c>
      <c r="E1631" s="20" t="s">
        <v>5833</v>
      </c>
      <c r="F1631" s="19" t="s">
        <v>27</v>
      </c>
      <c r="G1631" s="19" t="s">
        <v>28</v>
      </c>
      <c r="H1631" s="19" t="s">
        <v>36</v>
      </c>
      <c r="I1631" s="21" t="s">
        <v>29</v>
      </c>
      <c r="J1631" s="21" t="s">
        <v>29</v>
      </c>
      <c r="K1631" s="22" t="s">
        <v>5834</v>
      </c>
      <c r="L1631" s="56">
        <v>45293</v>
      </c>
      <c r="O1631" s="42"/>
      <c r="P1631" s="40"/>
      <c r="Q1631" s="61"/>
      <c r="R1631" s="61"/>
      <c r="S1631" s="40"/>
      <c r="T1631" s="38"/>
      <c r="U1631" s="38"/>
      <c r="V1631" s="38"/>
      <c r="W1631" s="60"/>
      <c r="AB1631" s="42"/>
      <c r="AC1631" s="35"/>
      <c r="AD1631" s="38"/>
      <c r="AE1631" s="38"/>
      <c r="AF1631" s="38"/>
      <c r="AG1631" s="38"/>
      <c r="AH1631" s="60"/>
    </row>
    <row r="1632" spans="1:34" ht="15.75" customHeight="1">
      <c r="A1632" s="35">
        <v>168</v>
      </c>
      <c r="B1632" s="78" t="s">
        <v>5835</v>
      </c>
      <c r="C1632" s="37" t="s">
        <v>24</v>
      </c>
      <c r="D1632" s="20" t="s">
        <v>5836</v>
      </c>
      <c r="E1632" s="20" t="s">
        <v>5837</v>
      </c>
      <c r="F1632" s="19" t="s">
        <v>27</v>
      </c>
      <c r="G1632" s="19" t="s">
        <v>28</v>
      </c>
      <c r="H1632" s="19" t="s">
        <v>36</v>
      </c>
      <c r="I1632" s="21" t="s">
        <v>29</v>
      </c>
      <c r="J1632" s="21" t="s">
        <v>29</v>
      </c>
      <c r="K1632" s="22" t="s">
        <v>5838</v>
      </c>
      <c r="L1632" s="56">
        <v>45293</v>
      </c>
      <c r="O1632" s="42"/>
      <c r="P1632" s="40"/>
      <c r="Q1632" s="61"/>
      <c r="R1632" s="61"/>
      <c r="S1632" s="40"/>
      <c r="T1632" s="38"/>
      <c r="U1632" s="38"/>
      <c r="V1632" s="38"/>
      <c r="W1632" s="60"/>
      <c r="AB1632" s="42"/>
      <c r="AC1632" s="35"/>
      <c r="AD1632" s="38"/>
      <c r="AE1632" s="38"/>
      <c r="AF1632" s="38"/>
      <c r="AG1632" s="38"/>
      <c r="AH1632" s="60"/>
    </row>
    <row r="1633" spans="1:34" ht="15.75" customHeight="1">
      <c r="A1633" s="35"/>
      <c r="B1633" s="78" t="s">
        <v>5839</v>
      </c>
      <c r="C1633" s="37" t="s">
        <v>412</v>
      </c>
      <c r="D1633" s="20" t="s">
        <v>5840</v>
      </c>
      <c r="E1633" s="20"/>
      <c r="F1633" s="19" t="s">
        <v>414</v>
      </c>
      <c r="G1633" s="37" t="s">
        <v>415</v>
      </c>
      <c r="H1633" s="37"/>
      <c r="I1633" s="21" t="s">
        <v>233</v>
      </c>
      <c r="J1633" s="21" t="s">
        <v>233</v>
      </c>
      <c r="K1633" s="22"/>
      <c r="L1633" s="56">
        <v>45293</v>
      </c>
      <c r="O1633" s="42"/>
      <c r="P1633" s="40"/>
      <c r="Q1633" s="61"/>
      <c r="R1633" s="61"/>
      <c r="S1633" s="40"/>
      <c r="T1633" s="38"/>
      <c r="U1633" s="38"/>
      <c r="V1633" s="38"/>
      <c r="W1633" s="60"/>
      <c r="AB1633" s="42"/>
      <c r="AC1633" s="35"/>
      <c r="AD1633" s="38"/>
      <c r="AE1633" s="38"/>
      <c r="AF1633" s="38"/>
      <c r="AG1633" s="38"/>
      <c r="AH1633" s="60"/>
    </row>
    <row r="1634" spans="1:34" ht="15.75" customHeight="1">
      <c r="A1634" s="35"/>
      <c r="B1634" s="78" t="s">
        <v>5841</v>
      </c>
      <c r="C1634" s="37" t="s">
        <v>46</v>
      </c>
      <c r="D1634" s="20" t="s">
        <v>5842</v>
      </c>
      <c r="E1634" s="20" t="s">
        <v>5843</v>
      </c>
      <c r="F1634" s="37" t="s">
        <v>49</v>
      </c>
      <c r="G1634" s="19" t="s">
        <v>50</v>
      </c>
      <c r="H1634" s="37"/>
      <c r="I1634" s="21" t="s">
        <v>29</v>
      </c>
      <c r="J1634" s="21" t="s">
        <v>29</v>
      </c>
      <c r="K1634" s="22" t="s">
        <v>5844</v>
      </c>
      <c r="L1634" s="56">
        <v>45293</v>
      </c>
      <c r="O1634" s="42"/>
      <c r="P1634" s="40"/>
      <c r="Q1634" s="61"/>
      <c r="R1634" s="61"/>
      <c r="S1634" s="40"/>
      <c r="T1634" s="38"/>
      <c r="U1634" s="38"/>
      <c r="V1634" s="38"/>
      <c r="W1634" s="60"/>
      <c r="AB1634" s="42"/>
      <c r="AC1634" s="35"/>
      <c r="AD1634" s="38"/>
      <c r="AE1634" s="38"/>
      <c r="AF1634" s="38"/>
      <c r="AG1634" s="38"/>
      <c r="AH1634" s="60"/>
    </row>
    <row r="1635" spans="1:34" ht="15.75" customHeight="1">
      <c r="A1635" s="35"/>
      <c r="B1635" s="38"/>
      <c r="C1635" s="37"/>
      <c r="D1635" s="20"/>
      <c r="E1635" s="20"/>
      <c r="F1635" s="37"/>
      <c r="G1635" s="37"/>
      <c r="H1635" s="37"/>
      <c r="I1635" s="21"/>
      <c r="J1635" s="21"/>
      <c r="K1635" s="22"/>
      <c r="L1635" s="56"/>
      <c r="O1635" s="42"/>
      <c r="P1635" s="40"/>
      <c r="Q1635" s="61"/>
      <c r="R1635" s="61"/>
      <c r="S1635" s="40"/>
      <c r="T1635" s="38"/>
      <c r="U1635" s="38"/>
      <c r="V1635" s="38"/>
      <c r="W1635" s="60"/>
      <c r="AB1635" s="42"/>
      <c r="AC1635" s="35"/>
      <c r="AD1635" s="38"/>
      <c r="AE1635" s="38"/>
      <c r="AF1635" s="38"/>
      <c r="AG1635" s="38"/>
      <c r="AH1635" s="60"/>
    </row>
    <row r="1636" spans="1:34" ht="15.75" customHeight="1">
      <c r="A1636" s="85" t="s">
        <v>5845</v>
      </c>
      <c r="B1636" s="78" t="s">
        <v>5846</v>
      </c>
      <c r="C1636" s="55" t="s">
        <v>24</v>
      </c>
      <c r="D1636" s="20" t="s">
        <v>5847</v>
      </c>
      <c r="E1636" s="20" t="s">
        <v>5848</v>
      </c>
      <c r="F1636" s="19" t="s">
        <v>27</v>
      </c>
      <c r="G1636" s="19" t="s">
        <v>28</v>
      </c>
      <c r="H1636" s="55"/>
      <c r="I1636" s="21" t="s">
        <v>29</v>
      </c>
      <c r="J1636" s="21" t="s">
        <v>29</v>
      </c>
      <c r="K1636" s="22" t="s">
        <v>5848</v>
      </c>
      <c r="L1636" s="56">
        <v>45293</v>
      </c>
      <c r="M1636" s="40"/>
      <c r="N1636" s="40"/>
      <c r="O1636" s="42"/>
      <c r="P1636" s="40"/>
      <c r="Q1636" s="61"/>
      <c r="R1636" s="61"/>
      <c r="S1636" s="40"/>
      <c r="T1636" s="38"/>
      <c r="U1636" s="38"/>
      <c r="V1636" s="38"/>
      <c r="W1636" s="60"/>
      <c r="AB1636" s="42"/>
      <c r="AC1636" s="35"/>
      <c r="AD1636" s="38"/>
      <c r="AE1636" s="38"/>
      <c r="AF1636" s="38"/>
      <c r="AG1636" s="38"/>
      <c r="AH1636" s="60"/>
    </row>
    <row r="1637" spans="1:34" ht="15.75" customHeight="1">
      <c r="A1637" s="77" t="s">
        <v>2714</v>
      </c>
      <c r="B1637" s="78" t="s">
        <v>5849</v>
      </c>
      <c r="C1637" s="55" t="s">
        <v>24</v>
      </c>
      <c r="D1637" s="20" t="s">
        <v>5850</v>
      </c>
      <c r="E1637" s="20" t="s">
        <v>5851</v>
      </c>
      <c r="F1637" s="19" t="s">
        <v>27</v>
      </c>
      <c r="G1637" s="19" t="s">
        <v>28</v>
      </c>
      <c r="H1637" s="19" t="s">
        <v>36</v>
      </c>
      <c r="I1637" s="21" t="s">
        <v>29</v>
      </c>
      <c r="J1637" s="21" t="s">
        <v>29</v>
      </c>
      <c r="K1637" s="22" t="s">
        <v>5852</v>
      </c>
      <c r="L1637" s="56">
        <v>45293</v>
      </c>
      <c r="O1637" s="42"/>
      <c r="P1637" s="40"/>
      <c r="Q1637" s="61"/>
      <c r="R1637" s="61"/>
      <c r="S1637" s="40"/>
      <c r="T1637" s="38"/>
      <c r="U1637" s="38"/>
      <c r="V1637" s="38"/>
      <c r="W1637" s="60"/>
      <c r="AB1637" s="42"/>
      <c r="AC1637" s="35"/>
      <c r="AD1637" s="38"/>
      <c r="AE1637" s="38"/>
      <c r="AF1637" s="38"/>
      <c r="AG1637" s="38"/>
      <c r="AH1637" s="60"/>
    </row>
    <row r="1638" spans="1:34" ht="15.75" customHeight="1">
      <c r="A1638" s="50" t="s">
        <v>39</v>
      </c>
      <c r="B1638" s="78" t="s">
        <v>5853</v>
      </c>
      <c r="C1638" s="55" t="s">
        <v>24</v>
      </c>
      <c r="D1638" s="20" t="s">
        <v>5854</v>
      </c>
      <c r="E1638" s="20" t="s">
        <v>5855</v>
      </c>
      <c r="F1638" s="19" t="s">
        <v>27</v>
      </c>
      <c r="G1638" s="19" t="s">
        <v>28</v>
      </c>
      <c r="H1638" s="55"/>
      <c r="I1638" s="21" t="s">
        <v>29</v>
      </c>
      <c r="J1638" s="21" t="s">
        <v>29</v>
      </c>
      <c r="K1638" s="22" t="s">
        <v>5856</v>
      </c>
      <c r="L1638" s="56">
        <v>45293</v>
      </c>
      <c r="O1638" s="42"/>
      <c r="P1638" s="40"/>
      <c r="Q1638" s="61"/>
      <c r="R1638" s="61"/>
      <c r="S1638" s="40"/>
      <c r="T1638" s="38"/>
      <c r="U1638" s="38"/>
      <c r="V1638" s="38"/>
      <c r="W1638" s="60"/>
      <c r="AB1638" s="42"/>
      <c r="AC1638" s="35"/>
      <c r="AD1638" s="38"/>
      <c r="AE1638" s="38"/>
      <c r="AF1638" s="38"/>
      <c r="AG1638" s="38"/>
      <c r="AH1638" s="60"/>
    </row>
    <row r="1639" spans="1:34" ht="15.75" customHeight="1">
      <c r="A1639" s="35" t="s">
        <v>5857</v>
      </c>
      <c r="B1639" s="78" t="s">
        <v>5858</v>
      </c>
      <c r="C1639" s="37" t="s">
        <v>87</v>
      </c>
      <c r="D1639" s="20" t="s">
        <v>5859</v>
      </c>
      <c r="E1639" s="20" t="s">
        <v>5860</v>
      </c>
      <c r="F1639" s="19" t="s">
        <v>90</v>
      </c>
      <c r="G1639" s="19" t="s">
        <v>91</v>
      </c>
      <c r="H1639" s="37"/>
      <c r="I1639" s="21" t="s">
        <v>29</v>
      </c>
      <c r="J1639" s="21" t="s">
        <v>29</v>
      </c>
      <c r="K1639" s="22" t="s">
        <v>5860</v>
      </c>
      <c r="L1639" s="56">
        <v>45293</v>
      </c>
      <c r="O1639" s="42"/>
      <c r="P1639" s="40"/>
      <c r="Q1639" s="61"/>
      <c r="R1639" s="61"/>
      <c r="S1639" s="40"/>
      <c r="T1639" s="38"/>
      <c r="U1639" s="38"/>
      <c r="V1639" s="38"/>
      <c r="W1639" s="60"/>
      <c r="AB1639" s="42"/>
      <c r="AC1639" s="35"/>
      <c r="AD1639" s="38"/>
      <c r="AE1639" s="38"/>
      <c r="AF1639" s="38"/>
      <c r="AG1639" s="38"/>
      <c r="AH1639" s="60"/>
    </row>
    <row r="1640" spans="1:34" ht="15.75" customHeight="1">
      <c r="A1640" s="35" t="s">
        <v>3076</v>
      </c>
      <c r="B1640" s="78" t="s">
        <v>5861</v>
      </c>
      <c r="C1640" s="37" t="s">
        <v>87</v>
      </c>
      <c r="D1640" s="20" t="s">
        <v>5862</v>
      </c>
      <c r="E1640" s="20" t="s">
        <v>5863</v>
      </c>
      <c r="F1640" s="19" t="s">
        <v>90</v>
      </c>
      <c r="G1640" s="19" t="s">
        <v>91</v>
      </c>
      <c r="H1640" s="37"/>
      <c r="I1640" s="21" t="s">
        <v>29</v>
      </c>
      <c r="J1640" s="21" t="s">
        <v>29</v>
      </c>
      <c r="K1640" s="22" t="s">
        <v>5864</v>
      </c>
      <c r="L1640" s="56">
        <v>45293</v>
      </c>
      <c r="O1640" s="42"/>
      <c r="P1640" s="40"/>
      <c r="Q1640" s="61"/>
      <c r="R1640" s="61"/>
      <c r="S1640" s="40"/>
      <c r="T1640" s="38"/>
      <c r="U1640" s="38"/>
      <c r="V1640" s="38"/>
      <c r="W1640" s="60"/>
      <c r="AB1640" s="42"/>
      <c r="AC1640" s="35"/>
      <c r="AD1640" s="38"/>
      <c r="AE1640" s="38"/>
      <c r="AF1640" s="38"/>
      <c r="AG1640" s="38"/>
      <c r="AH1640" s="60"/>
    </row>
    <row r="1641" spans="1:34" ht="15.75" customHeight="1">
      <c r="A1641" s="50" t="s">
        <v>56</v>
      </c>
      <c r="B1641" s="78" t="s">
        <v>5865</v>
      </c>
      <c r="C1641" s="55" t="s">
        <v>24</v>
      </c>
      <c r="D1641" s="20" t="s">
        <v>5866</v>
      </c>
      <c r="E1641" s="20" t="s">
        <v>5867</v>
      </c>
      <c r="F1641" s="19" t="s">
        <v>27</v>
      </c>
      <c r="G1641" s="19" t="s">
        <v>28</v>
      </c>
      <c r="H1641" s="19" t="s">
        <v>36</v>
      </c>
      <c r="I1641" s="21" t="s">
        <v>29</v>
      </c>
      <c r="J1641" s="21" t="s">
        <v>29</v>
      </c>
      <c r="K1641" s="22" t="s">
        <v>5867</v>
      </c>
      <c r="L1641" s="56">
        <v>45293</v>
      </c>
      <c r="O1641" s="42"/>
      <c r="P1641" s="40"/>
      <c r="Q1641" s="61"/>
      <c r="R1641" s="61"/>
      <c r="S1641" s="40"/>
      <c r="T1641" s="38"/>
      <c r="U1641" s="38"/>
      <c r="V1641" s="38"/>
      <c r="W1641" s="60"/>
      <c r="AB1641" s="42"/>
      <c r="AC1641" s="35"/>
      <c r="AD1641" s="38"/>
      <c r="AE1641" s="38"/>
      <c r="AF1641" s="38"/>
      <c r="AG1641" s="38"/>
      <c r="AH1641" s="60"/>
    </row>
    <row r="1642" spans="1:34" ht="15.75" customHeight="1">
      <c r="A1642" s="35">
        <v>77</v>
      </c>
      <c r="B1642" s="78" t="s">
        <v>5868</v>
      </c>
      <c r="C1642" s="37" t="s">
        <v>46</v>
      </c>
      <c r="D1642" s="20" t="s">
        <v>5869</v>
      </c>
      <c r="E1642" s="20" t="s">
        <v>5870</v>
      </c>
      <c r="F1642" s="37" t="s">
        <v>49</v>
      </c>
      <c r="G1642" s="19" t="s">
        <v>50</v>
      </c>
      <c r="H1642" s="37"/>
      <c r="I1642" s="21" t="s">
        <v>29</v>
      </c>
      <c r="J1642" s="21" t="s">
        <v>29</v>
      </c>
      <c r="K1642" s="22" t="s">
        <v>5871</v>
      </c>
      <c r="L1642" s="56">
        <v>45293</v>
      </c>
      <c r="O1642" s="42"/>
      <c r="P1642" s="40"/>
      <c r="Q1642" s="61"/>
      <c r="R1642" s="61"/>
      <c r="S1642" s="40"/>
      <c r="T1642" s="38"/>
      <c r="U1642" s="38"/>
      <c r="V1642" s="38"/>
      <c r="W1642" s="60"/>
      <c r="AB1642" s="42"/>
      <c r="AC1642" s="35"/>
      <c r="AD1642" s="38"/>
      <c r="AE1642" s="38"/>
      <c r="AF1642" s="38"/>
      <c r="AG1642" s="38"/>
      <c r="AH1642" s="60"/>
    </row>
    <row r="1643" spans="1:34" ht="15.75" customHeight="1">
      <c r="A1643" s="50" t="s">
        <v>64</v>
      </c>
      <c r="B1643" s="78" t="s">
        <v>5872</v>
      </c>
      <c r="C1643" s="37" t="s">
        <v>87</v>
      </c>
      <c r="D1643" s="20" t="s">
        <v>5873</v>
      </c>
      <c r="E1643" s="20" t="s">
        <v>5874</v>
      </c>
      <c r="F1643" s="19" t="s">
        <v>90</v>
      </c>
      <c r="G1643" s="19" t="s">
        <v>91</v>
      </c>
      <c r="H1643" s="37"/>
      <c r="I1643" s="21" t="s">
        <v>29</v>
      </c>
      <c r="J1643" s="21" t="s">
        <v>29</v>
      </c>
      <c r="K1643" s="22" t="s">
        <v>5875</v>
      </c>
      <c r="L1643" s="56">
        <v>45293</v>
      </c>
      <c r="O1643" s="42"/>
      <c r="P1643" s="40"/>
      <c r="Q1643" s="61"/>
      <c r="R1643" s="61"/>
      <c r="S1643" s="40"/>
      <c r="T1643" s="38"/>
      <c r="U1643" s="38"/>
      <c r="V1643" s="38"/>
      <c r="W1643" s="60"/>
      <c r="AB1643" s="42"/>
      <c r="AC1643" s="35"/>
      <c r="AD1643" s="38"/>
      <c r="AE1643" s="38"/>
      <c r="AF1643" s="38"/>
      <c r="AG1643" s="38"/>
      <c r="AH1643" s="60"/>
    </row>
    <row r="1644" spans="1:34" ht="15.75" customHeight="1">
      <c r="A1644" s="35">
        <v>3.8</v>
      </c>
      <c r="B1644" s="78" t="s">
        <v>5876</v>
      </c>
      <c r="C1644" s="55" t="s">
        <v>24</v>
      </c>
      <c r="D1644" s="20" t="s">
        <v>5877</v>
      </c>
      <c r="E1644" s="20" t="s">
        <v>5878</v>
      </c>
      <c r="F1644" s="19" t="s">
        <v>27</v>
      </c>
      <c r="G1644" s="19" t="s">
        <v>28</v>
      </c>
      <c r="H1644" s="55"/>
      <c r="I1644" s="21" t="s">
        <v>29</v>
      </c>
      <c r="J1644" s="21" t="s">
        <v>29</v>
      </c>
      <c r="K1644" s="22" t="s">
        <v>5879</v>
      </c>
      <c r="L1644" s="56">
        <v>45293</v>
      </c>
      <c r="O1644" s="42"/>
      <c r="P1644" s="40"/>
      <c r="Q1644" s="61"/>
      <c r="R1644" s="61"/>
      <c r="S1644" s="40"/>
      <c r="T1644" s="38"/>
      <c r="U1644" s="38"/>
      <c r="V1644" s="38"/>
      <c r="W1644" s="60"/>
      <c r="AB1644" s="42"/>
      <c r="AC1644" s="35"/>
      <c r="AD1644" s="38"/>
      <c r="AE1644" s="38"/>
      <c r="AF1644" s="38"/>
      <c r="AG1644" s="38"/>
      <c r="AH1644" s="60"/>
    </row>
    <row r="1645" spans="1:34" ht="15.75" customHeight="1">
      <c r="A1645" s="50" t="s">
        <v>73</v>
      </c>
      <c r="B1645" s="78" t="s">
        <v>5880</v>
      </c>
      <c r="C1645" s="37" t="s">
        <v>24</v>
      </c>
      <c r="D1645" s="20" t="s">
        <v>5881</v>
      </c>
      <c r="E1645" s="20" t="s">
        <v>5882</v>
      </c>
      <c r="F1645" s="19" t="s">
        <v>27</v>
      </c>
      <c r="G1645" s="19" t="s">
        <v>28</v>
      </c>
      <c r="H1645" s="37"/>
      <c r="I1645" s="21" t="s">
        <v>29</v>
      </c>
      <c r="J1645" s="21" t="s">
        <v>29</v>
      </c>
      <c r="K1645" s="22" t="s">
        <v>5883</v>
      </c>
      <c r="L1645" s="56">
        <v>45293</v>
      </c>
      <c r="O1645" s="42"/>
      <c r="P1645" s="40"/>
      <c r="Q1645" s="61"/>
      <c r="R1645" s="61"/>
      <c r="S1645" s="40"/>
      <c r="T1645" s="38"/>
      <c r="U1645" s="38"/>
      <c r="V1645" s="38"/>
      <c r="W1645" s="60"/>
      <c r="AB1645" s="42"/>
      <c r="AC1645" s="35"/>
      <c r="AD1645" s="38"/>
      <c r="AE1645" s="38"/>
      <c r="AF1645" s="38"/>
      <c r="AG1645" s="38"/>
      <c r="AH1645" s="60"/>
    </row>
    <row r="1646" spans="1:34" ht="15.75" customHeight="1">
      <c r="A1646" s="35">
        <v>4</v>
      </c>
      <c r="B1646" s="78" t="s">
        <v>5884</v>
      </c>
      <c r="C1646" s="55" t="s">
        <v>24</v>
      </c>
      <c r="D1646" s="20" t="s">
        <v>5885</v>
      </c>
      <c r="E1646" s="20" t="s">
        <v>5886</v>
      </c>
      <c r="F1646" s="19" t="s">
        <v>27</v>
      </c>
      <c r="G1646" s="19" t="s">
        <v>28</v>
      </c>
      <c r="H1646" s="19" t="s">
        <v>36</v>
      </c>
      <c r="I1646" s="21" t="s">
        <v>29</v>
      </c>
      <c r="J1646" s="21" t="s">
        <v>29</v>
      </c>
      <c r="K1646" s="22" t="s">
        <v>5886</v>
      </c>
      <c r="L1646" s="56">
        <v>45293</v>
      </c>
      <c r="O1646" s="42"/>
      <c r="P1646" s="40"/>
      <c r="Q1646" s="61"/>
      <c r="R1646" s="61"/>
      <c r="S1646" s="40"/>
      <c r="T1646" s="38"/>
      <c r="U1646" s="38"/>
      <c r="V1646" s="38"/>
      <c r="W1646" s="60"/>
      <c r="AB1646" s="42"/>
      <c r="AC1646" s="35"/>
      <c r="AD1646" s="38"/>
      <c r="AE1646" s="38"/>
      <c r="AF1646" s="38"/>
      <c r="AG1646" s="38"/>
      <c r="AH1646" s="60"/>
    </row>
    <row r="1647" spans="1:34" ht="15.75" customHeight="1">
      <c r="A1647" s="50" t="s">
        <v>82</v>
      </c>
      <c r="B1647" s="78" t="s">
        <v>5887</v>
      </c>
      <c r="C1647" s="55" t="s">
        <v>24</v>
      </c>
      <c r="D1647" s="20" t="s">
        <v>5888</v>
      </c>
      <c r="E1647" s="20" t="s">
        <v>5889</v>
      </c>
      <c r="F1647" s="19" t="s">
        <v>27</v>
      </c>
      <c r="G1647" s="19" t="s">
        <v>28</v>
      </c>
      <c r="H1647" s="55"/>
      <c r="I1647" s="21" t="s">
        <v>29</v>
      </c>
      <c r="J1647" s="21" t="s">
        <v>29</v>
      </c>
      <c r="K1647" s="22" t="s">
        <v>5890</v>
      </c>
      <c r="L1647" s="56">
        <v>45293</v>
      </c>
      <c r="O1647" s="42"/>
      <c r="P1647" s="40"/>
      <c r="Q1647" s="61"/>
      <c r="R1647" s="61"/>
      <c r="S1647" s="40"/>
      <c r="T1647" s="38"/>
      <c r="U1647" s="38"/>
      <c r="V1647" s="38"/>
      <c r="W1647" s="60"/>
      <c r="AB1647" s="42"/>
      <c r="AC1647" s="35"/>
      <c r="AD1647" s="38"/>
      <c r="AE1647" s="38"/>
      <c r="AF1647" s="38"/>
      <c r="AG1647" s="38"/>
      <c r="AH1647" s="60"/>
    </row>
    <row r="1648" spans="1:34" ht="15.75" customHeight="1">
      <c r="A1648" s="35" t="s">
        <v>5891</v>
      </c>
      <c r="B1648" s="78" t="s">
        <v>5892</v>
      </c>
      <c r="C1648" s="55" t="s">
        <v>24</v>
      </c>
      <c r="D1648" s="20" t="s">
        <v>5893</v>
      </c>
      <c r="E1648" s="20" t="s">
        <v>5894</v>
      </c>
      <c r="F1648" s="19" t="s">
        <v>27</v>
      </c>
      <c r="G1648" s="19" t="s">
        <v>28</v>
      </c>
      <c r="H1648" s="55"/>
      <c r="I1648" s="21" t="s">
        <v>29</v>
      </c>
      <c r="J1648" s="21" t="s">
        <v>29</v>
      </c>
      <c r="K1648" s="22" t="s">
        <v>5895</v>
      </c>
      <c r="L1648" s="56">
        <v>45293</v>
      </c>
      <c r="O1648" s="42"/>
      <c r="P1648" s="40"/>
      <c r="Q1648" s="61"/>
      <c r="R1648" s="61"/>
      <c r="S1648" s="40"/>
      <c r="T1648" s="38"/>
      <c r="U1648" s="38"/>
      <c r="V1648" s="38"/>
      <c r="W1648" s="60"/>
      <c r="AB1648" s="42"/>
      <c r="AC1648" s="35"/>
      <c r="AD1648" s="38"/>
      <c r="AE1648" s="38"/>
      <c r="AF1648" s="38"/>
      <c r="AG1648" s="38"/>
      <c r="AH1648" s="60"/>
    </row>
    <row r="1649" spans="1:34" ht="15.75" customHeight="1">
      <c r="A1649" s="50" t="s">
        <v>92</v>
      </c>
      <c r="B1649" s="78" t="s">
        <v>5896</v>
      </c>
      <c r="C1649" s="37" t="s">
        <v>87</v>
      </c>
      <c r="D1649" s="20" t="s">
        <v>5897</v>
      </c>
      <c r="E1649" s="20" t="s">
        <v>5898</v>
      </c>
      <c r="F1649" s="19" t="s">
        <v>90</v>
      </c>
      <c r="G1649" s="19" t="s">
        <v>91</v>
      </c>
      <c r="H1649" s="37"/>
      <c r="I1649" s="21" t="s">
        <v>29</v>
      </c>
      <c r="J1649" s="21" t="s">
        <v>29</v>
      </c>
      <c r="K1649" s="22" t="s">
        <v>5899</v>
      </c>
      <c r="L1649" s="56">
        <v>45293</v>
      </c>
      <c r="O1649" s="42"/>
      <c r="P1649" s="40"/>
      <c r="Q1649" s="61"/>
      <c r="R1649" s="61"/>
      <c r="S1649" s="40"/>
      <c r="T1649" s="38"/>
      <c r="U1649" s="38"/>
      <c r="V1649" s="38"/>
      <c r="W1649" s="60"/>
      <c r="AB1649" s="42"/>
      <c r="AC1649" s="35"/>
      <c r="AD1649" s="38"/>
      <c r="AE1649" s="38"/>
      <c r="AF1649" s="38"/>
      <c r="AG1649" s="38"/>
      <c r="AH1649" s="60"/>
    </row>
    <row r="1650" spans="1:34" ht="15.75" customHeight="1">
      <c r="A1650" s="79">
        <v>2921</v>
      </c>
      <c r="B1650" s="78" t="s">
        <v>5900</v>
      </c>
      <c r="C1650" s="37" t="s">
        <v>87</v>
      </c>
      <c r="D1650" s="20" t="s">
        <v>5901</v>
      </c>
      <c r="E1650" s="20" t="s">
        <v>5902</v>
      </c>
      <c r="F1650" s="19" t="s">
        <v>90</v>
      </c>
      <c r="G1650" s="19" t="s">
        <v>91</v>
      </c>
      <c r="H1650" s="37"/>
      <c r="I1650" s="21" t="s">
        <v>29</v>
      </c>
      <c r="J1650" s="21" t="s">
        <v>29</v>
      </c>
      <c r="K1650" s="22" t="s">
        <v>5903</v>
      </c>
      <c r="L1650" s="56">
        <v>45293</v>
      </c>
      <c r="O1650" s="42"/>
      <c r="P1650" s="40"/>
      <c r="Q1650" s="61"/>
      <c r="R1650" s="61"/>
      <c r="S1650" s="40"/>
      <c r="T1650" s="38"/>
      <c r="U1650" s="38"/>
      <c r="V1650" s="38"/>
      <c r="W1650" s="60"/>
      <c r="AB1650" s="42"/>
      <c r="AC1650" s="35"/>
      <c r="AD1650" s="38"/>
      <c r="AE1650" s="38"/>
      <c r="AF1650" s="38"/>
      <c r="AG1650" s="38"/>
      <c r="AH1650" s="60"/>
    </row>
    <row r="1651" spans="1:34" ht="15.75" customHeight="1">
      <c r="A1651" s="50" t="s">
        <v>100</v>
      </c>
      <c r="B1651" s="78" t="s">
        <v>5904</v>
      </c>
      <c r="C1651" s="37" t="s">
        <v>87</v>
      </c>
      <c r="D1651" s="20" t="s">
        <v>5905</v>
      </c>
      <c r="E1651" s="20" t="s">
        <v>5906</v>
      </c>
      <c r="F1651" s="19" t="s">
        <v>90</v>
      </c>
      <c r="G1651" s="19" t="s">
        <v>91</v>
      </c>
      <c r="H1651" s="37"/>
      <c r="I1651" s="21" t="s">
        <v>29</v>
      </c>
      <c r="J1651" s="21" t="s">
        <v>29</v>
      </c>
      <c r="K1651" s="22" t="s">
        <v>5906</v>
      </c>
      <c r="L1651" s="56">
        <v>45293</v>
      </c>
      <c r="O1651" s="42"/>
      <c r="P1651" s="40"/>
      <c r="Q1651" s="61"/>
      <c r="R1651" s="61"/>
      <c r="S1651" s="40"/>
      <c r="T1651" s="38"/>
      <c r="U1651" s="38"/>
      <c r="V1651" s="38"/>
      <c r="W1651" s="60"/>
      <c r="AB1651" s="42"/>
      <c r="AC1651" s="35"/>
      <c r="AD1651" s="38"/>
      <c r="AE1651" s="38"/>
      <c r="AF1651" s="38"/>
      <c r="AG1651" s="38"/>
      <c r="AH1651" s="60"/>
    </row>
    <row r="1652" spans="1:34" ht="15.75" customHeight="1">
      <c r="A1652" s="35">
        <v>168</v>
      </c>
      <c r="B1652" s="78" t="s">
        <v>5907</v>
      </c>
      <c r="C1652" s="37" t="s">
        <v>46</v>
      </c>
      <c r="D1652" s="20" t="s">
        <v>5908</v>
      </c>
      <c r="E1652" s="20" t="s">
        <v>5909</v>
      </c>
      <c r="F1652" s="37" t="s">
        <v>49</v>
      </c>
      <c r="G1652" s="19" t="s">
        <v>50</v>
      </c>
      <c r="H1652" s="37"/>
      <c r="I1652" s="21" t="s">
        <v>29</v>
      </c>
      <c r="J1652" s="21" t="s">
        <v>29</v>
      </c>
      <c r="K1652" s="22" t="s">
        <v>5909</v>
      </c>
      <c r="L1652" s="56">
        <v>45293</v>
      </c>
      <c r="O1652" s="42"/>
      <c r="P1652" s="40"/>
      <c r="Q1652" s="61"/>
      <c r="R1652" s="61"/>
      <c r="S1652" s="40"/>
      <c r="T1652" s="38"/>
      <c r="U1652" s="38"/>
      <c r="V1652" s="38"/>
      <c r="W1652" s="60"/>
      <c r="AB1652" s="42"/>
      <c r="AC1652" s="35"/>
      <c r="AD1652" s="38"/>
      <c r="AE1652" s="38"/>
      <c r="AF1652" s="38"/>
      <c r="AG1652" s="38"/>
      <c r="AH1652" s="60"/>
    </row>
    <row r="1653" spans="1:34" ht="15.75" customHeight="1">
      <c r="A1653" s="35"/>
      <c r="B1653" s="78" t="s">
        <v>5910</v>
      </c>
      <c r="C1653" s="37" t="s">
        <v>412</v>
      </c>
      <c r="D1653" s="20" t="s">
        <v>5911</v>
      </c>
      <c r="E1653" s="20" t="s">
        <v>5912</v>
      </c>
      <c r="F1653" s="19" t="s">
        <v>414</v>
      </c>
      <c r="G1653" s="19" t="s">
        <v>415</v>
      </c>
      <c r="H1653" s="37"/>
      <c r="I1653" s="21" t="s">
        <v>233</v>
      </c>
      <c r="J1653" s="21" t="s">
        <v>233</v>
      </c>
      <c r="K1653" s="22" t="s">
        <v>5913</v>
      </c>
      <c r="L1653" s="56">
        <v>45293</v>
      </c>
      <c r="O1653" s="42"/>
      <c r="P1653" s="40"/>
      <c r="Q1653" s="61"/>
      <c r="R1653" s="61"/>
      <c r="S1653" s="40"/>
      <c r="T1653" s="38"/>
      <c r="U1653" s="38"/>
      <c r="V1653" s="38"/>
      <c r="W1653" s="60"/>
      <c r="AB1653" s="42"/>
      <c r="AC1653" s="35"/>
      <c r="AD1653" s="38"/>
      <c r="AE1653" s="38"/>
      <c r="AF1653" s="38"/>
      <c r="AG1653" s="38"/>
      <c r="AH1653" s="60"/>
    </row>
    <row r="1654" spans="1:34" ht="15.75" customHeight="1">
      <c r="A1654" s="35"/>
      <c r="B1654" s="78" t="s">
        <v>5914</v>
      </c>
      <c r="C1654" s="37" t="s">
        <v>24</v>
      </c>
      <c r="D1654" s="20" t="s">
        <v>5915</v>
      </c>
      <c r="E1654" s="20" t="s">
        <v>5916</v>
      </c>
      <c r="F1654" s="19" t="s">
        <v>27</v>
      </c>
      <c r="G1654" s="19" t="s">
        <v>28</v>
      </c>
      <c r="H1654" s="37"/>
      <c r="I1654" s="21" t="s">
        <v>29</v>
      </c>
      <c r="J1654" s="21" t="s">
        <v>29</v>
      </c>
      <c r="K1654" s="22" t="s">
        <v>5916</v>
      </c>
      <c r="L1654" s="56">
        <v>45293</v>
      </c>
      <c r="O1654" s="42"/>
      <c r="P1654" s="40"/>
      <c r="Q1654" s="61"/>
      <c r="R1654" s="61"/>
      <c r="S1654" s="40"/>
      <c r="T1654" s="38"/>
      <c r="U1654" s="38"/>
      <c r="V1654" s="38"/>
      <c r="W1654" s="60"/>
      <c r="AB1654" s="42"/>
      <c r="AC1654" s="35"/>
      <c r="AD1654" s="38"/>
      <c r="AE1654" s="38"/>
      <c r="AF1654" s="38"/>
      <c r="AG1654" s="38"/>
      <c r="AH1654" s="60"/>
    </row>
    <row r="1655" spans="1:34" ht="15.75" customHeight="1">
      <c r="A1655" s="35"/>
      <c r="B1655" s="78" t="s">
        <v>5917</v>
      </c>
      <c r="C1655" s="37" t="s">
        <v>412</v>
      </c>
      <c r="D1655" s="20" t="s">
        <v>5918</v>
      </c>
      <c r="E1655" s="20"/>
      <c r="F1655" s="19" t="s">
        <v>414</v>
      </c>
      <c r="G1655" s="37" t="s">
        <v>415</v>
      </c>
      <c r="H1655" s="37"/>
      <c r="I1655" s="21" t="s">
        <v>233</v>
      </c>
      <c r="J1655" s="21" t="s">
        <v>233</v>
      </c>
      <c r="K1655" s="22"/>
      <c r="L1655" s="56">
        <v>45293</v>
      </c>
      <c r="O1655" s="42"/>
      <c r="P1655" s="40"/>
      <c r="Q1655" s="61"/>
      <c r="R1655" s="61"/>
      <c r="S1655" s="40"/>
      <c r="T1655" s="38"/>
      <c r="U1655" s="38"/>
      <c r="V1655" s="38"/>
      <c r="W1655" s="60"/>
      <c r="AB1655" s="42"/>
      <c r="AC1655" s="35"/>
      <c r="AD1655" s="38"/>
      <c r="AE1655" s="38"/>
      <c r="AF1655" s="38"/>
      <c r="AG1655" s="38"/>
      <c r="AH1655" s="60"/>
    </row>
    <row r="1656" spans="1:34" ht="15.75" customHeight="1">
      <c r="A1656" s="35"/>
      <c r="B1656" s="38"/>
      <c r="C1656" s="37"/>
      <c r="D1656" s="25"/>
      <c r="E1656" s="25"/>
      <c r="F1656" s="37"/>
      <c r="G1656" s="37"/>
      <c r="H1656" s="37"/>
      <c r="I1656" s="37"/>
      <c r="J1656" s="37"/>
      <c r="K1656" s="22"/>
      <c r="L1656" s="56">
        <v>45293</v>
      </c>
      <c r="O1656" s="42"/>
      <c r="P1656" s="40"/>
      <c r="Q1656" s="61"/>
      <c r="R1656" s="61"/>
      <c r="S1656" s="40"/>
      <c r="T1656" s="38"/>
      <c r="U1656" s="38"/>
      <c r="V1656" s="38"/>
      <c r="W1656" s="60"/>
      <c r="AB1656" s="42"/>
      <c r="AC1656" s="35"/>
      <c r="AD1656" s="38"/>
      <c r="AE1656" s="38"/>
      <c r="AF1656" s="38"/>
      <c r="AG1656" s="38"/>
      <c r="AH1656" s="60"/>
    </row>
    <row r="1657" spans="1:34" ht="15.75" customHeight="1">
      <c r="A1657" s="35"/>
      <c r="B1657" s="38"/>
      <c r="C1657" s="37"/>
      <c r="D1657" s="20"/>
      <c r="E1657" s="20"/>
      <c r="F1657" s="37"/>
      <c r="G1657" s="37"/>
      <c r="H1657" s="37"/>
      <c r="I1657" s="21"/>
      <c r="J1657" s="21"/>
      <c r="K1657" s="22"/>
      <c r="L1657" s="56"/>
      <c r="O1657" s="42"/>
      <c r="P1657" s="40"/>
      <c r="Q1657" s="61"/>
      <c r="R1657" s="61"/>
      <c r="S1657" s="40"/>
      <c r="T1657" s="38"/>
      <c r="U1657" s="38"/>
      <c r="V1657" s="38"/>
      <c r="W1657" s="60"/>
      <c r="AB1657" s="42"/>
      <c r="AC1657" s="35"/>
      <c r="AD1657" s="38"/>
      <c r="AE1657" s="38"/>
      <c r="AF1657" s="38"/>
      <c r="AG1657" s="38"/>
      <c r="AH1657" s="60"/>
    </row>
    <row r="1658" spans="1:34" ht="15.75" customHeight="1">
      <c r="A1658" s="85" t="s">
        <v>5919</v>
      </c>
      <c r="B1658" s="78" t="s">
        <v>5920</v>
      </c>
      <c r="C1658" s="37" t="s">
        <v>1430</v>
      </c>
      <c r="D1658" s="20" t="s">
        <v>5921</v>
      </c>
      <c r="E1658" s="20" t="s">
        <v>5922</v>
      </c>
      <c r="F1658" s="55" t="s">
        <v>1445</v>
      </c>
      <c r="G1658" s="55" t="s">
        <v>1432</v>
      </c>
      <c r="H1658" s="37"/>
      <c r="I1658" s="21" t="s">
        <v>233</v>
      </c>
      <c r="J1658" s="21" t="s">
        <v>233</v>
      </c>
      <c r="K1658" s="22" t="s">
        <v>5923</v>
      </c>
      <c r="L1658" s="56">
        <v>45293</v>
      </c>
      <c r="M1658" s="40"/>
      <c r="N1658" s="40"/>
      <c r="O1658" s="42"/>
      <c r="P1658" s="40"/>
      <c r="Q1658" s="61"/>
      <c r="R1658" s="61"/>
      <c r="S1658" s="40"/>
      <c r="T1658" s="38"/>
      <c r="U1658" s="38"/>
      <c r="V1658" s="38"/>
      <c r="W1658" s="60"/>
      <c r="AB1658" s="42"/>
      <c r="AC1658" s="35"/>
      <c r="AD1658" s="38"/>
      <c r="AE1658" s="38"/>
      <c r="AF1658" s="38"/>
      <c r="AG1658" s="38"/>
      <c r="AH1658" s="60"/>
    </row>
    <row r="1659" spans="1:34" ht="15.75" customHeight="1">
      <c r="A1659" s="86" t="s">
        <v>2714</v>
      </c>
      <c r="B1659" s="78" t="s">
        <v>5924</v>
      </c>
      <c r="C1659" s="37" t="s">
        <v>24</v>
      </c>
      <c r="D1659" s="20" t="s">
        <v>5925</v>
      </c>
      <c r="E1659" s="20" t="s">
        <v>5926</v>
      </c>
      <c r="F1659" s="19" t="s">
        <v>27</v>
      </c>
      <c r="G1659" s="19" t="s">
        <v>28</v>
      </c>
      <c r="H1659" s="37"/>
      <c r="I1659" s="21" t="s">
        <v>29</v>
      </c>
      <c r="J1659" s="21" t="s">
        <v>29</v>
      </c>
      <c r="K1659" s="22" t="s">
        <v>5927</v>
      </c>
      <c r="L1659" s="56">
        <v>45293</v>
      </c>
      <c r="O1659" s="42"/>
      <c r="P1659" s="40"/>
      <c r="Q1659" s="61"/>
      <c r="R1659" s="61"/>
      <c r="S1659" s="40"/>
      <c r="T1659" s="38"/>
      <c r="U1659" s="38"/>
      <c r="V1659" s="38"/>
      <c r="W1659" s="60"/>
      <c r="AB1659" s="42"/>
      <c r="AC1659" s="35"/>
      <c r="AD1659" s="38"/>
      <c r="AE1659" s="38"/>
      <c r="AF1659" s="38"/>
      <c r="AG1659" s="38"/>
      <c r="AH1659" s="60"/>
    </row>
    <row r="1660" spans="1:34" ht="15.75" customHeight="1">
      <c r="A1660" s="50" t="s">
        <v>39</v>
      </c>
      <c r="B1660" s="78" t="s">
        <v>5928</v>
      </c>
      <c r="C1660" s="37" t="s">
        <v>87</v>
      </c>
      <c r="D1660" s="20" t="s">
        <v>5929</v>
      </c>
      <c r="E1660" s="20" t="s">
        <v>5930</v>
      </c>
      <c r="F1660" s="19" t="s">
        <v>90</v>
      </c>
      <c r="G1660" s="19" t="s">
        <v>91</v>
      </c>
      <c r="H1660" s="37"/>
      <c r="I1660" s="21" t="s">
        <v>29</v>
      </c>
      <c r="J1660" s="21" t="s">
        <v>29</v>
      </c>
      <c r="K1660" s="22" t="s">
        <v>5931</v>
      </c>
      <c r="L1660" s="56">
        <v>45293</v>
      </c>
      <c r="O1660" s="42"/>
      <c r="P1660" s="40"/>
      <c r="Q1660" s="61"/>
      <c r="R1660" s="61"/>
      <c r="S1660" s="40"/>
      <c r="T1660" s="38"/>
      <c r="U1660" s="38"/>
      <c r="V1660" s="38"/>
      <c r="W1660" s="60"/>
      <c r="AB1660" s="42"/>
      <c r="AC1660" s="35"/>
      <c r="AD1660" s="38"/>
      <c r="AE1660" s="38"/>
      <c r="AF1660" s="38"/>
      <c r="AG1660" s="38"/>
      <c r="AH1660" s="60"/>
    </row>
    <row r="1661" spans="1:34" ht="15.75" customHeight="1">
      <c r="A1661" s="35" t="s">
        <v>5857</v>
      </c>
      <c r="B1661" s="78" t="s">
        <v>5932</v>
      </c>
      <c r="C1661" s="37" t="s">
        <v>24</v>
      </c>
      <c r="D1661" s="20" t="s">
        <v>5933</v>
      </c>
      <c r="E1661" s="20" t="s">
        <v>5934</v>
      </c>
      <c r="F1661" s="19" t="s">
        <v>27</v>
      </c>
      <c r="G1661" s="19" t="s">
        <v>28</v>
      </c>
      <c r="H1661" s="37"/>
      <c r="I1661" s="21" t="s">
        <v>29</v>
      </c>
      <c r="J1661" s="21" t="s">
        <v>29</v>
      </c>
      <c r="K1661" s="22" t="s">
        <v>5934</v>
      </c>
      <c r="L1661" s="56">
        <v>45293</v>
      </c>
      <c r="O1661" s="42"/>
      <c r="P1661" s="40"/>
      <c r="Q1661" s="61"/>
      <c r="R1661" s="61"/>
      <c r="S1661" s="40"/>
      <c r="T1661" s="38"/>
      <c r="U1661" s="38"/>
      <c r="V1661" s="38"/>
      <c r="W1661" s="60"/>
      <c r="AB1661" s="42"/>
      <c r="AC1661" s="35"/>
      <c r="AD1661" s="38"/>
      <c r="AE1661" s="38"/>
      <c r="AF1661" s="38"/>
      <c r="AG1661" s="38"/>
      <c r="AH1661" s="60"/>
    </row>
    <row r="1662" spans="1:34" ht="15.75" customHeight="1">
      <c r="A1662" s="35" t="s">
        <v>4083</v>
      </c>
      <c r="B1662" s="78" t="s">
        <v>5935</v>
      </c>
      <c r="C1662" s="37" t="s">
        <v>1470</v>
      </c>
      <c r="D1662" s="20" t="s">
        <v>5936</v>
      </c>
      <c r="E1662" s="20" t="s">
        <v>5937</v>
      </c>
      <c r="F1662" s="19" t="s">
        <v>3286</v>
      </c>
      <c r="G1662" s="19" t="s">
        <v>1461</v>
      </c>
      <c r="H1662" s="37"/>
      <c r="I1662" s="21" t="s">
        <v>233</v>
      </c>
      <c r="J1662" s="21" t="s">
        <v>233</v>
      </c>
      <c r="K1662" s="22" t="s">
        <v>5937</v>
      </c>
      <c r="L1662" s="56">
        <v>45293</v>
      </c>
      <c r="O1662" s="42"/>
      <c r="P1662" s="40"/>
      <c r="Q1662" s="61"/>
      <c r="R1662" s="61"/>
      <c r="S1662" s="40"/>
      <c r="T1662" s="38"/>
      <c r="U1662" s="38"/>
      <c r="V1662" s="38"/>
      <c r="W1662" s="60"/>
      <c r="AB1662" s="42"/>
      <c r="AC1662" s="35"/>
      <c r="AD1662" s="38"/>
      <c r="AE1662" s="38"/>
      <c r="AF1662" s="38"/>
      <c r="AG1662" s="38"/>
      <c r="AH1662" s="60"/>
    </row>
    <row r="1663" spans="1:34" ht="15.75" customHeight="1">
      <c r="A1663" s="50" t="s">
        <v>56</v>
      </c>
      <c r="B1663" s="78" t="s">
        <v>5938</v>
      </c>
      <c r="C1663" s="37" t="s">
        <v>24</v>
      </c>
      <c r="D1663" s="20" t="s">
        <v>5939</v>
      </c>
      <c r="E1663" s="20" t="s">
        <v>5940</v>
      </c>
      <c r="F1663" s="19" t="s">
        <v>27</v>
      </c>
      <c r="G1663" s="19" t="s">
        <v>28</v>
      </c>
      <c r="H1663" s="37"/>
      <c r="I1663" s="21" t="s">
        <v>29</v>
      </c>
      <c r="J1663" s="21" t="s">
        <v>29</v>
      </c>
      <c r="K1663" s="22" t="s">
        <v>5940</v>
      </c>
      <c r="L1663" s="56">
        <v>45293</v>
      </c>
      <c r="O1663" s="42"/>
      <c r="P1663" s="40"/>
      <c r="Q1663" s="61"/>
      <c r="R1663" s="61"/>
      <c r="S1663" s="40"/>
      <c r="T1663" s="38"/>
      <c r="U1663" s="38"/>
      <c r="V1663" s="38"/>
      <c r="W1663" s="60"/>
      <c r="AB1663" s="42"/>
      <c r="AC1663" s="35"/>
      <c r="AD1663" s="38"/>
      <c r="AE1663" s="38"/>
      <c r="AF1663" s="38"/>
      <c r="AG1663" s="38"/>
      <c r="AH1663" s="60"/>
    </row>
    <row r="1664" spans="1:34" ht="15.75" customHeight="1">
      <c r="A1664" s="35">
        <v>76</v>
      </c>
      <c r="B1664" s="78" t="s">
        <v>5941</v>
      </c>
      <c r="C1664" s="37" t="s">
        <v>46</v>
      </c>
      <c r="D1664" s="20" t="s">
        <v>5942</v>
      </c>
      <c r="E1664" s="20" t="s">
        <v>5943</v>
      </c>
      <c r="F1664" s="37" t="s">
        <v>49</v>
      </c>
      <c r="G1664" s="19" t="s">
        <v>50</v>
      </c>
      <c r="H1664" s="37"/>
      <c r="I1664" s="21" t="s">
        <v>29</v>
      </c>
      <c r="J1664" s="21" t="s">
        <v>29</v>
      </c>
      <c r="K1664" s="22" t="s">
        <v>5944</v>
      </c>
      <c r="L1664" s="56">
        <v>45293</v>
      </c>
      <c r="O1664" s="42"/>
      <c r="P1664" s="40"/>
      <c r="Q1664" s="61"/>
      <c r="R1664" s="61"/>
      <c r="S1664" s="40"/>
      <c r="T1664" s="38"/>
      <c r="U1664" s="38"/>
      <c r="V1664" s="38"/>
      <c r="W1664" s="60"/>
      <c r="AB1664" s="42"/>
      <c r="AC1664" s="35"/>
      <c r="AD1664" s="38"/>
      <c r="AE1664" s="38"/>
      <c r="AF1664" s="38"/>
      <c r="AG1664" s="38"/>
      <c r="AH1664" s="60"/>
    </row>
    <row r="1665" spans="1:34" ht="15.75" customHeight="1">
      <c r="A1665" s="50" t="s">
        <v>64</v>
      </c>
      <c r="B1665" s="78" t="s">
        <v>5945</v>
      </c>
      <c r="C1665" s="37" t="s">
        <v>24</v>
      </c>
      <c r="D1665" s="20" t="s">
        <v>5946</v>
      </c>
      <c r="E1665" s="20" t="s">
        <v>5947</v>
      </c>
      <c r="F1665" s="19" t="s">
        <v>27</v>
      </c>
      <c r="G1665" s="19" t="s">
        <v>28</v>
      </c>
      <c r="H1665" s="37"/>
      <c r="I1665" s="21" t="s">
        <v>29</v>
      </c>
      <c r="J1665" s="21" t="s">
        <v>29</v>
      </c>
      <c r="K1665" s="22" t="s">
        <v>5948</v>
      </c>
      <c r="L1665" s="56">
        <v>45293</v>
      </c>
      <c r="O1665" s="42"/>
      <c r="P1665" s="40"/>
      <c r="Q1665" s="61"/>
      <c r="R1665" s="61"/>
      <c r="S1665" s="40"/>
      <c r="T1665" s="38"/>
      <c r="U1665" s="38"/>
      <c r="V1665" s="38"/>
      <c r="W1665" s="60"/>
      <c r="AB1665" s="42"/>
      <c r="AC1665" s="35"/>
      <c r="AD1665" s="38"/>
      <c r="AE1665" s="38"/>
      <c r="AF1665" s="38"/>
      <c r="AG1665" s="38"/>
      <c r="AH1665" s="60"/>
    </row>
    <row r="1666" spans="1:34" ht="15.75" customHeight="1">
      <c r="A1666" s="35">
        <v>3.6</v>
      </c>
      <c r="B1666" s="78" t="s">
        <v>5949</v>
      </c>
      <c r="C1666" s="37" t="s">
        <v>46</v>
      </c>
      <c r="D1666" s="20" t="s">
        <v>5950</v>
      </c>
      <c r="E1666" s="20" t="s">
        <v>5951</v>
      </c>
      <c r="F1666" s="37" t="s">
        <v>49</v>
      </c>
      <c r="G1666" s="19" t="s">
        <v>50</v>
      </c>
      <c r="H1666" s="37"/>
      <c r="I1666" s="21" t="s">
        <v>29</v>
      </c>
      <c r="J1666" s="21" t="s">
        <v>29</v>
      </c>
      <c r="K1666" s="22" t="s">
        <v>5951</v>
      </c>
      <c r="L1666" s="56">
        <v>45293</v>
      </c>
      <c r="O1666" s="42"/>
      <c r="P1666" s="40"/>
      <c r="Q1666" s="61"/>
      <c r="R1666" s="61"/>
      <c r="S1666" s="40"/>
      <c r="T1666" s="38"/>
      <c r="U1666" s="38"/>
      <c r="V1666" s="38"/>
      <c r="W1666" s="60"/>
      <c r="AB1666" s="42"/>
      <c r="AC1666" s="35"/>
      <c r="AD1666" s="38"/>
      <c r="AE1666" s="38"/>
      <c r="AF1666" s="38"/>
      <c r="AG1666" s="38"/>
      <c r="AH1666" s="60"/>
    </row>
    <row r="1667" spans="1:34" ht="15.75" customHeight="1">
      <c r="A1667" s="50" t="s">
        <v>73</v>
      </c>
      <c r="B1667" s="78" t="s">
        <v>5952</v>
      </c>
      <c r="C1667" s="37" t="s">
        <v>87</v>
      </c>
      <c r="D1667" s="20" t="s">
        <v>5953</v>
      </c>
      <c r="E1667" s="20" t="s">
        <v>5954</v>
      </c>
      <c r="F1667" s="19" t="s">
        <v>90</v>
      </c>
      <c r="G1667" s="19" t="s">
        <v>91</v>
      </c>
      <c r="H1667" s="37"/>
      <c r="I1667" s="21" t="s">
        <v>29</v>
      </c>
      <c r="J1667" s="21" t="s">
        <v>29</v>
      </c>
      <c r="K1667" s="22" t="s">
        <v>5955</v>
      </c>
      <c r="L1667" s="56">
        <v>45293</v>
      </c>
      <c r="O1667" s="42"/>
      <c r="P1667" s="40"/>
      <c r="Q1667" s="61"/>
      <c r="R1667" s="61"/>
      <c r="S1667" s="40"/>
      <c r="T1667" s="38"/>
      <c r="U1667" s="38"/>
      <c r="V1667" s="38"/>
      <c r="W1667" s="60"/>
      <c r="AB1667" s="42"/>
      <c r="AC1667" s="35"/>
      <c r="AD1667" s="38"/>
      <c r="AE1667" s="38"/>
      <c r="AF1667" s="38"/>
      <c r="AG1667" s="38"/>
      <c r="AH1667" s="60"/>
    </row>
    <row r="1668" spans="1:34" ht="15.75" customHeight="1">
      <c r="A1668" s="35">
        <v>3.7</v>
      </c>
      <c r="B1668" s="78" t="s">
        <v>5956</v>
      </c>
      <c r="C1668" s="37" t="s">
        <v>1470</v>
      </c>
      <c r="D1668" s="20" t="s">
        <v>5957</v>
      </c>
      <c r="E1668" s="20" t="s">
        <v>5958</v>
      </c>
      <c r="F1668" s="19" t="s">
        <v>3286</v>
      </c>
      <c r="G1668" s="37" t="s">
        <v>1461</v>
      </c>
      <c r="H1668" s="37"/>
      <c r="I1668" s="21" t="s">
        <v>233</v>
      </c>
      <c r="J1668" s="21" t="s">
        <v>233</v>
      </c>
      <c r="K1668" s="22" t="s">
        <v>5958</v>
      </c>
      <c r="L1668" s="56">
        <v>45293</v>
      </c>
      <c r="O1668" s="42"/>
      <c r="P1668" s="40"/>
      <c r="Q1668" s="61"/>
      <c r="R1668" s="61"/>
      <c r="S1668" s="40"/>
      <c r="T1668" s="38"/>
      <c r="U1668" s="38"/>
      <c r="V1668" s="38"/>
      <c r="W1668" s="60"/>
      <c r="AB1668" s="42"/>
      <c r="AC1668" s="35"/>
      <c r="AD1668" s="38"/>
      <c r="AE1668" s="38"/>
      <c r="AF1668" s="38"/>
      <c r="AG1668" s="38"/>
      <c r="AH1668" s="60"/>
    </row>
    <row r="1669" spans="1:34" ht="15.75" customHeight="1">
      <c r="A1669" s="50" t="s">
        <v>82</v>
      </c>
      <c r="B1669" s="78" t="s">
        <v>5959</v>
      </c>
      <c r="C1669" s="37" t="s">
        <v>46</v>
      </c>
      <c r="D1669" s="20" t="s">
        <v>5960</v>
      </c>
      <c r="E1669" s="20" t="s">
        <v>5961</v>
      </c>
      <c r="F1669" s="37" t="s">
        <v>49</v>
      </c>
      <c r="G1669" s="19" t="s">
        <v>50</v>
      </c>
      <c r="H1669" s="37"/>
      <c r="I1669" s="21" t="s">
        <v>29</v>
      </c>
      <c r="J1669" s="21" t="s">
        <v>29</v>
      </c>
      <c r="K1669" s="22" t="s">
        <v>5962</v>
      </c>
      <c r="L1669" s="56">
        <v>45293</v>
      </c>
      <c r="O1669" s="42"/>
      <c r="P1669" s="40"/>
      <c r="Q1669" s="61"/>
      <c r="R1669" s="61"/>
      <c r="S1669" s="40"/>
      <c r="T1669" s="38"/>
      <c r="U1669" s="38"/>
      <c r="V1669" s="38"/>
      <c r="W1669" s="60"/>
      <c r="AB1669" s="42"/>
      <c r="AC1669" s="35"/>
      <c r="AD1669" s="38"/>
      <c r="AE1669" s="38"/>
      <c r="AF1669" s="38"/>
      <c r="AG1669" s="38"/>
      <c r="AH1669" s="60"/>
    </row>
    <row r="1670" spans="1:34" ht="15.75" customHeight="1">
      <c r="A1670" s="35" t="s">
        <v>5963</v>
      </c>
      <c r="B1670" s="78" t="s">
        <v>5964</v>
      </c>
      <c r="C1670" s="37" t="s">
        <v>1366</v>
      </c>
      <c r="D1670" s="20" t="s">
        <v>5965</v>
      </c>
      <c r="E1670" s="20" t="s">
        <v>5966</v>
      </c>
      <c r="F1670" s="55" t="s">
        <v>1369</v>
      </c>
      <c r="G1670" s="55" t="s">
        <v>1370</v>
      </c>
      <c r="H1670" s="37"/>
      <c r="I1670" s="21" t="s">
        <v>29</v>
      </c>
      <c r="J1670" s="21" t="s">
        <v>29</v>
      </c>
      <c r="K1670" s="22" t="s">
        <v>5967</v>
      </c>
      <c r="L1670" s="56">
        <v>45293</v>
      </c>
      <c r="O1670" s="42"/>
      <c r="P1670" s="40"/>
      <c r="Q1670" s="61"/>
      <c r="R1670" s="61"/>
      <c r="S1670" s="40"/>
      <c r="T1670" s="38"/>
      <c r="U1670" s="38"/>
      <c r="V1670" s="38"/>
      <c r="W1670" s="60"/>
      <c r="AB1670" s="42"/>
      <c r="AC1670" s="35"/>
      <c r="AD1670" s="38"/>
      <c r="AE1670" s="38"/>
      <c r="AF1670" s="38"/>
      <c r="AG1670" s="38"/>
      <c r="AH1670" s="60"/>
    </row>
    <row r="1671" spans="1:34" ht="15.75" customHeight="1">
      <c r="A1671" s="50" t="s">
        <v>92</v>
      </c>
      <c r="B1671" s="78" t="s">
        <v>5968</v>
      </c>
      <c r="C1671" s="37" t="s">
        <v>46</v>
      </c>
      <c r="D1671" s="20" t="s">
        <v>5969</v>
      </c>
      <c r="E1671" s="20" t="s">
        <v>5970</v>
      </c>
      <c r="F1671" s="37" t="s">
        <v>49</v>
      </c>
      <c r="G1671" s="19" t="s">
        <v>50</v>
      </c>
      <c r="H1671" s="37"/>
      <c r="I1671" s="21" t="s">
        <v>29</v>
      </c>
      <c r="J1671" s="21" t="s">
        <v>29</v>
      </c>
      <c r="K1671" s="22" t="s">
        <v>5970</v>
      </c>
      <c r="L1671" s="56">
        <v>45293</v>
      </c>
      <c r="O1671" s="42"/>
      <c r="P1671" s="40"/>
      <c r="Q1671" s="61"/>
      <c r="R1671" s="61"/>
      <c r="S1671" s="40"/>
      <c r="T1671" s="38"/>
      <c r="U1671" s="38"/>
      <c r="V1671" s="38"/>
      <c r="W1671" s="60"/>
      <c r="AB1671" s="42"/>
      <c r="AC1671" s="35"/>
      <c r="AD1671" s="38"/>
      <c r="AE1671" s="38"/>
      <c r="AF1671" s="38"/>
      <c r="AG1671" s="38"/>
      <c r="AH1671" s="60"/>
    </row>
    <row r="1672" spans="1:34" ht="15.75" customHeight="1">
      <c r="A1672" s="79">
        <v>2251</v>
      </c>
      <c r="B1672" s="78" t="s">
        <v>5971</v>
      </c>
      <c r="C1672" s="37" t="s">
        <v>24</v>
      </c>
      <c r="D1672" s="20" t="s">
        <v>5972</v>
      </c>
      <c r="E1672" s="20" t="s">
        <v>5973</v>
      </c>
      <c r="F1672" s="19" t="s">
        <v>27</v>
      </c>
      <c r="G1672" s="19" t="s">
        <v>28</v>
      </c>
      <c r="H1672" s="37"/>
      <c r="I1672" s="21" t="s">
        <v>29</v>
      </c>
      <c r="J1672" s="21" t="s">
        <v>29</v>
      </c>
      <c r="K1672" s="22" t="s">
        <v>5973</v>
      </c>
      <c r="L1672" s="56">
        <v>45293</v>
      </c>
      <c r="O1672" s="42"/>
      <c r="P1672" s="40"/>
      <c r="Q1672" s="61"/>
      <c r="R1672" s="61"/>
      <c r="S1672" s="40"/>
      <c r="T1672" s="38"/>
      <c r="U1672" s="38"/>
      <c r="V1672" s="38"/>
      <c r="W1672" s="60"/>
      <c r="AB1672" s="42"/>
      <c r="AC1672" s="35"/>
      <c r="AD1672" s="38"/>
      <c r="AE1672" s="38"/>
      <c r="AF1672" s="38"/>
      <c r="AG1672" s="38"/>
      <c r="AH1672" s="60"/>
    </row>
    <row r="1673" spans="1:34" ht="15.75" customHeight="1">
      <c r="A1673" s="50" t="s">
        <v>100</v>
      </c>
      <c r="B1673" s="78" t="s">
        <v>5974</v>
      </c>
      <c r="C1673" s="37" t="s">
        <v>24</v>
      </c>
      <c r="D1673" s="20" t="s">
        <v>5975</v>
      </c>
      <c r="E1673" s="20" t="s">
        <v>5976</v>
      </c>
      <c r="F1673" s="19" t="s">
        <v>27</v>
      </c>
      <c r="G1673" s="19" t="s">
        <v>28</v>
      </c>
      <c r="H1673" s="37"/>
      <c r="I1673" s="21" t="s">
        <v>29</v>
      </c>
      <c r="J1673" s="21" t="s">
        <v>29</v>
      </c>
      <c r="K1673" s="22" t="s">
        <v>5976</v>
      </c>
      <c r="L1673" s="56">
        <v>45293</v>
      </c>
      <c r="O1673" s="42"/>
      <c r="P1673" s="40"/>
      <c r="Q1673" s="61"/>
      <c r="R1673" s="61"/>
      <c r="S1673" s="40"/>
      <c r="T1673" s="38"/>
      <c r="U1673" s="38"/>
      <c r="V1673" s="38"/>
      <c r="W1673" s="60"/>
      <c r="AB1673" s="42"/>
      <c r="AC1673" s="35"/>
      <c r="AD1673" s="38"/>
      <c r="AE1673" s="38"/>
      <c r="AF1673" s="38"/>
      <c r="AG1673" s="38"/>
      <c r="AH1673" s="60"/>
    </row>
    <row r="1674" spans="1:34" ht="15.75" customHeight="1">
      <c r="A1674" s="35">
        <v>163</v>
      </c>
      <c r="B1674" s="82" t="s">
        <v>5977</v>
      </c>
      <c r="C1674" s="37" t="s">
        <v>24</v>
      </c>
      <c r="D1674" s="20" t="s">
        <v>5978</v>
      </c>
      <c r="E1674" s="20" t="s">
        <v>5979</v>
      </c>
      <c r="F1674" s="19" t="s">
        <v>27</v>
      </c>
      <c r="G1674" s="19" t="s">
        <v>28</v>
      </c>
      <c r="H1674" s="19" t="s">
        <v>36</v>
      </c>
      <c r="I1674" s="21" t="s">
        <v>29</v>
      </c>
      <c r="J1674" s="21" t="s">
        <v>29</v>
      </c>
      <c r="K1674" s="22" t="s">
        <v>5979</v>
      </c>
      <c r="L1674" s="56">
        <v>45293</v>
      </c>
      <c r="O1674" s="42"/>
      <c r="P1674" s="40"/>
      <c r="Q1674" s="61"/>
      <c r="R1674" s="61"/>
      <c r="S1674" s="40"/>
      <c r="T1674" s="38"/>
      <c r="U1674" s="38"/>
      <c r="V1674" s="38"/>
      <c r="W1674" s="60"/>
      <c r="AB1674" s="42"/>
      <c r="AC1674" s="35"/>
      <c r="AD1674" s="38"/>
      <c r="AE1674" s="38"/>
      <c r="AF1674" s="38"/>
      <c r="AG1674" s="38"/>
      <c r="AH1674" s="60"/>
    </row>
    <row r="1675" spans="1:34" ht="15.75" customHeight="1">
      <c r="A1675" s="35"/>
      <c r="B1675" s="78" t="s">
        <v>5980</v>
      </c>
      <c r="C1675" s="37" t="s">
        <v>24</v>
      </c>
      <c r="D1675" s="20" t="s">
        <v>5981</v>
      </c>
      <c r="E1675" s="20" t="s">
        <v>5982</v>
      </c>
      <c r="F1675" s="19" t="s">
        <v>27</v>
      </c>
      <c r="G1675" s="19" t="s">
        <v>28</v>
      </c>
      <c r="H1675" s="37"/>
      <c r="I1675" s="21" t="s">
        <v>29</v>
      </c>
      <c r="J1675" s="21" t="s">
        <v>29</v>
      </c>
      <c r="K1675" s="22" t="s">
        <v>5982</v>
      </c>
      <c r="L1675" s="56">
        <v>45293</v>
      </c>
      <c r="O1675" s="42"/>
      <c r="P1675" s="40"/>
      <c r="Q1675" s="61"/>
      <c r="R1675" s="61"/>
      <c r="S1675" s="40"/>
      <c r="T1675" s="38"/>
      <c r="U1675" s="38"/>
      <c r="V1675" s="38"/>
      <c r="W1675" s="60"/>
      <c r="AB1675" s="42"/>
      <c r="AC1675" s="35"/>
      <c r="AD1675" s="38"/>
      <c r="AE1675" s="38"/>
      <c r="AF1675" s="38"/>
      <c r="AG1675" s="38"/>
      <c r="AH1675" s="60"/>
    </row>
    <row r="1676" spans="1:34" ht="15.75" customHeight="1">
      <c r="A1676" s="87"/>
      <c r="B1676" s="78" t="s">
        <v>5983</v>
      </c>
      <c r="C1676" s="37" t="s">
        <v>24</v>
      </c>
      <c r="D1676" s="20" t="s">
        <v>5984</v>
      </c>
      <c r="E1676" s="20" t="s">
        <v>5985</v>
      </c>
      <c r="F1676" s="19" t="s">
        <v>27</v>
      </c>
      <c r="G1676" s="19" t="s">
        <v>28</v>
      </c>
      <c r="H1676" s="37"/>
      <c r="I1676" s="21" t="s">
        <v>29</v>
      </c>
      <c r="J1676" s="21" t="s">
        <v>29</v>
      </c>
      <c r="K1676" s="22" t="s">
        <v>5985</v>
      </c>
      <c r="L1676" s="56">
        <v>45293</v>
      </c>
      <c r="O1676" s="42"/>
      <c r="P1676" s="40"/>
      <c r="Q1676" s="61"/>
      <c r="R1676" s="61"/>
      <c r="S1676" s="40"/>
      <c r="T1676" s="38"/>
      <c r="U1676" s="38"/>
      <c r="V1676" s="38"/>
      <c r="W1676" s="60"/>
      <c r="AB1676" s="42"/>
      <c r="AC1676" s="35"/>
      <c r="AD1676" s="38"/>
      <c r="AE1676" s="38"/>
      <c r="AF1676" s="38"/>
      <c r="AG1676" s="38"/>
      <c r="AH1676" s="60"/>
    </row>
    <row r="1677" spans="1:34" ht="15.75" customHeight="1">
      <c r="A1677" s="87"/>
      <c r="B1677" s="78" t="s">
        <v>5986</v>
      </c>
      <c r="C1677" s="37" t="s">
        <v>24</v>
      </c>
      <c r="D1677" s="20" t="s">
        <v>5987</v>
      </c>
      <c r="E1677" s="20" t="s">
        <v>5988</v>
      </c>
      <c r="F1677" s="19" t="s">
        <v>27</v>
      </c>
      <c r="G1677" s="19" t="s">
        <v>28</v>
      </c>
      <c r="H1677" s="37"/>
      <c r="I1677" s="21" t="s">
        <v>29</v>
      </c>
      <c r="J1677" s="21" t="s">
        <v>29</v>
      </c>
      <c r="K1677" s="22" t="s">
        <v>5988</v>
      </c>
      <c r="L1677" s="56">
        <v>45293</v>
      </c>
      <c r="O1677" s="42"/>
      <c r="P1677" s="40"/>
      <c r="Q1677" s="61"/>
      <c r="R1677" s="61"/>
      <c r="S1677" s="40"/>
      <c r="T1677" s="38"/>
      <c r="U1677" s="38"/>
      <c r="V1677" s="38"/>
      <c r="W1677" s="60"/>
      <c r="AB1677" s="42"/>
      <c r="AC1677" s="35"/>
      <c r="AD1677" s="38"/>
      <c r="AE1677" s="38"/>
      <c r="AF1677" s="38"/>
      <c r="AG1677" s="38"/>
      <c r="AH1677" s="60"/>
    </row>
    <row r="1678" spans="1:34" ht="15.75" customHeight="1">
      <c r="A1678" s="87"/>
      <c r="B1678" s="78" t="s">
        <v>5989</v>
      </c>
      <c r="C1678" s="37" t="s">
        <v>24</v>
      </c>
      <c r="D1678" s="20" t="s">
        <v>5990</v>
      </c>
      <c r="E1678" s="20" t="s">
        <v>5991</v>
      </c>
      <c r="F1678" s="19" t="s">
        <v>27</v>
      </c>
      <c r="G1678" s="19" t="s">
        <v>28</v>
      </c>
      <c r="H1678" s="37"/>
      <c r="I1678" s="21" t="s">
        <v>29</v>
      </c>
      <c r="J1678" s="21" t="s">
        <v>29</v>
      </c>
      <c r="K1678" s="22" t="s">
        <v>5992</v>
      </c>
      <c r="L1678" s="56">
        <v>45293</v>
      </c>
      <c r="O1678" s="42"/>
      <c r="P1678" s="40"/>
      <c r="Q1678" s="61"/>
      <c r="R1678" s="61"/>
      <c r="S1678" s="40"/>
      <c r="T1678" s="38"/>
      <c r="U1678" s="38"/>
      <c r="V1678" s="38"/>
      <c r="W1678" s="60"/>
      <c r="AB1678" s="42"/>
      <c r="AC1678" s="35"/>
      <c r="AD1678" s="38"/>
      <c r="AE1678" s="38"/>
      <c r="AF1678" s="38"/>
      <c r="AG1678" s="38"/>
      <c r="AH1678" s="60"/>
    </row>
    <row r="1679" spans="1:34" ht="15.75" customHeight="1">
      <c r="A1679" s="87"/>
      <c r="B1679" s="78" t="s">
        <v>5993</v>
      </c>
      <c r="C1679" s="37" t="s">
        <v>46</v>
      </c>
      <c r="D1679" s="20" t="s">
        <v>5994</v>
      </c>
      <c r="E1679" s="20" t="s">
        <v>5995</v>
      </c>
      <c r="F1679" s="37" t="s">
        <v>49</v>
      </c>
      <c r="G1679" s="19" t="s">
        <v>50</v>
      </c>
      <c r="H1679" s="37"/>
      <c r="I1679" s="21" t="s">
        <v>29</v>
      </c>
      <c r="J1679" s="21" t="s">
        <v>29</v>
      </c>
      <c r="K1679" s="22" t="s">
        <v>5996</v>
      </c>
      <c r="L1679" s="56">
        <v>45293</v>
      </c>
      <c r="O1679" s="42"/>
      <c r="P1679" s="40"/>
      <c r="Q1679" s="61"/>
      <c r="R1679" s="61"/>
      <c r="S1679" s="40"/>
      <c r="T1679" s="38"/>
      <c r="U1679" s="38"/>
      <c r="V1679" s="38"/>
      <c r="W1679" s="60"/>
      <c r="AB1679" s="42"/>
      <c r="AC1679" s="35"/>
      <c r="AD1679" s="38"/>
      <c r="AE1679" s="38"/>
      <c r="AF1679" s="38"/>
      <c r="AG1679" s="38"/>
      <c r="AH1679" s="60"/>
    </row>
    <row r="1680" spans="1:34" ht="15.75" customHeight="1">
      <c r="A1680" s="87"/>
      <c r="B1680" s="78" t="s">
        <v>5997</v>
      </c>
      <c r="C1680" s="37" t="s">
        <v>1486</v>
      </c>
      <c r="D1680" s="20" t="s">
        <v>5998</v>
      </c>
      <c r="E1680" s="20" t="s">
        <v>5999</v>
      </c>
      <c r="F1680" s="37" t="s">
        <v>1489</v>
      </c>
      <c r="G1680" s="37" t="s">
        <v>1490</v>
      </c>
      <c r="H1680" s="37"/>
      <c r="I1680" s="21" t="s">
        <v>29</v>
      </c>
      <c r="J1680" s="21" t="s">
        <v>29</v>
      </c>
      <c r="K1680" s="22" t="s">
        <v>5999</v>
      </c>
      <c r="L1680" s="56">
        <v>45293</v>
      </c>
      <c r="O1680" s="42"/>
      <c r="P1680" s="40"/>
      <c r="Q1680" s="61"/>
      <c r="R1680" s="61"/>
      <c r="S1680" s="40"/>
      <c r="T1680" s="38"/>
      <c r="U1680" s="38"/>
      <c r="V1680" s="38"/>
      <c r="W1680" s="60"/>
      <c r="AB1680" s="42"/>
      <c r="AC1680" s="35"/>
      <c r="AD1680" s="38"/>
      <c r="AE1680" s="38"/>
      <c r="AF1680" s="38"/>
      <c r="AG1680" s="38"/>
      <c r="AH1680" s="60"/>
    </row>
    <row r="1681" spans="1:34" ht="15.75" customHeight="1">
      <c r="A1681" s="87"/>
      <c r="B1681" s="78" t="s">
        <v>6000</v>
      </c>
      <c r="C1681" s="37" t="s">
        <v>1486</v>
      </c>
      <c r="D1681" s="20" t="s">
        <v>6001</v>
      </c>
      <c r="E1681" s="20" t="s">
        <v>6002</v>
      </c>
      <c r="F1681" s="37" t="s">
        <v>1489</v>
      </c>
      <c r="G1681" s="37" t="s">
        <v>1490</v>
      </c>
      <c r="H1681" s="37"/>
      <c r="I1681" s="21" t="s">
        <v>29</v>
      </c>
      <c r="J1681" s="21" t="s">
        <v>29</v>
      </c>
      <c r="K1681" s="22" t="s">
        <v>6002</v>
      </c>
      <c r="L1681" s="56">
        <v>45293</v>
      </c>
      <c r="O1681" s="42"/>
      <c r="P1681" s="40"/>
      <c r="Q1681" s="61"/>
      <c r="R1681" s="61"/>
      <c r="S1681" s="40"/>
      <c r="T1681" s="38"/>
      <c r="U1681" s="38"/>
      <c r="V1681" s="38"/>
      <c r="W1681" s="60"/>
      <c r="AB1681" s="42"/>
      <c r="AC1681" s="35"/>
      <c r="AD1681" s="38"/>
      <c r="AE1681" s="38"/>
      <c r="AF1681" s="38"/>
      <c r="AG1681" s="38"/>
      <c r="AH1681" s="60"/>
    </row>
    <row r="1682" spans="1:34" ht="15.75" customHeight="1">
      <c r="A1682" s="87"/>
      <c r="B1682" s="78" t="s">
        <v>6003</v>
      </c>
      <c r="C1682" s="37" t="s">
        <v>1470</v>
      </c>
      <c r="D1682" s="20" t="s">
        <v>6004</v>
      </c>
      <c r="E1682" s="20" t="s">
        <v>6005</v>
      </c>
      <c r="F1682" s="19" t="s">
        <v>3286</v>
      </c>
      <c r="G1682" s="19" t="s">
        <v>1461</v>
      </c>
      <c r="H1682" s="37"/>
      <c r="I1682" s="21" t="s">
        <v>233</v>
      </c>
      <c r="J1682" s="21" t="s">
        <v>233</v>
      </c>
      <c r="K1682" s="22" t="s">
        <v>6005</v>
      </c>
      <c r="L1682" s="56">
        <v>45293</v>
      </c>
      <c r="O1682" s="42"/>
      <c r="P1682" s="40"/>
      <c r="Q1682" s="61"/>
      <c r="R1682" s="61"/>
      <c r="S1682" s="40"/>
      <c r="T1682" s="38"/>
      <c r="U1682" s="38"/>
      <c r="V1682" s="38"/>
      <c r="W1682" s="60"/>
      <c r="AB1682" s="42"/>
      <c r="AC1682" s="35"/>
      <c r="AD1682" s="38"/>
      <c r="AE1682" s="38"/>
      <c r="AF1682" s="38"/>
      <c r="AG1682" s="38"/>
      <c r="AH1682" s="60"/>
    </row>
    <row r="1683" spans="1:34" ht="15.75" customHeight="1">
      <c r="A1683" s="87"/>
      <c r="B1683" s="78" t="s">
        <v>6006</v>
      </c>
      <c r="C1683" s="37" t="s">
        <v>1430</v>
      </c>
      <c r="D1683" s="20" t="s">
        <v>6007</v>
      </c>
      <c r="E1683" s="20"/>
      <c r="F1683" s="55" t="s">
        <v>1445</v>
      </c>
      <c r="G1683" s="55" t="s">
        <v>1432</v>
      </c>
      <c r="H1683" s="37"/>
      <c r="I1683" s="21" t="s">
        <v>233</v>
      </c>
      <c r="J1683" s="21" t="s">
        <v>233</v>
      </c>
      <c r="K1683" s="22"/>
      <c r="L1683" s="56">
        <v>45293</v>
      </c>
      <c r="O1683" s="42"/>
      <c r="P1683" s="40"/>
      <c r="Q1683" s="61"/>
      <c r="R1683" s="61"/>
      <c r="S1683" s="40"/>
      <c r="T1683" s="38"/>
      <c r="U1683" s="38"/>
      <c r="V1683" s="38"/>
      <c r="W1683" s="60"/>
      <c r="AB1683" s="42"/>
      <c r="AC1683" s="35"/>
      <c r="AD1683" s="38"/>
      <c r="AE1683" s="38"/>
      <c r="AF1683" s="38"/>
      <c r="AG1683" s="38"/>
      <c r="AH1683" s="60"/>
    </row>
    <row r="1684" spans="1:34" ht="15.75" customHeight="1">
      <c r="A1684" s="87"/>
      <c r="B1684" s="78" t="s">
        <v>6008</v>
      </c>
      <c r="C1684" s="37" t="s">
        <v>228</v>
      </c>
      <c r="D1684" s="20" t="s">
        <v>6009</v>
      </c>
      <c r="E1684" s="20" t="s">
        <v>6010</v>
      </c>
      <c r="F1684" s="19" t="s">
        <v>231</v>
      </c>
      <c r="G1684" s="19" t="s">
        <v>232</v>
      </c>
      <c r="H1684" s="37"/>
      <c r="I1684" s="21" t="s">
        <v>233</v>
      </c>
      <c r="J1684" s="21" t="s">
        <v>233</v>
      </c>
      <c r="K1684" s="22" t="s">
        <v>6010</v>
      </c>
      <c r="L1684" s="56">
        <v>45293</v>
      </c>
      <c r="O1684" s="42"/>
      <c r="P1684" s="40"/>
      <c r="Q1684" s="61"/>
      <c r="R1684" s="61"/>
      <c r="S1684" s="40"/>
      <c r="T1684" s="38"/>
      <c r="U1684" s="38"/>
      <c r="V1684" s="38"/>
      <c r="W1684" s="60"/>
      <c r="AB1684" s="42"/>
      <c r="AC1684" s="35"/>
      <c r="AD1684" s="38"/>
      <c r="AE1684" s="38"/>
      <c r="AF1684" s="38"/>
      <c r="AG1684" s="38"/>
      <c r="AH1684" s="60"/>
    </row>
    <row r="1685" spans="1:34" ht="15.75" customHeight="1">
      <c r="A1685" s="87"/>
      <c r="B1685" s="78" t="s">
        <v>6011</v>
      </c>
      <c r="C1685" s="37" t="s">
        <v>46</v>
      </c>
      <c r="D1685" s="20" t="s">
        <v>6012</v>
      </c>
      <c r="E1685" s="20" t="s">
        <v>6013</v>
      </c>
      <c r="F1685" s="37" t="s">
        <v>49</v>
      </c>
      <c r="G1685" s="19" t="s">
        <v>50</v>
      </c>
      <c r="H1685" s="37"/>
      <c r="I1685" s="21" t="s">
        <v>29</v>
      </c>
      <c r="J1685" s="21" t="s">
        <v>29</v>
      </c>
      <c r="K1685" s="22" t="s">
        <v>6013</v>
      </c>
      <c r="L1685" s="56">
        <v>45293</v>
      </c>
      <c r="O1685" s="42"/>
      <c r="P1685" s="40"/>
      <c r="Q1685" s="61"/>
      <c r="R1685" s="61"/>
      <c r="S1685" s="40"/>
      <c r="T1685" s="38"/>
      <c r="U1685" s="38"/>
      <c r="V1685" s="38"/>
      <c r="W1685" s="60"/>
      <c r="AB1685" s="42"/>
      <c r="AC1685" s="35"/>
      <c r="AD1685" s="38"/>
      <c r="AE1685" s="38"/>
      <c r="AF1685" s="38"/>
      <c r="AG1685" s="38"/>
      <c r="AH1685" s="60"/>
    </row>
    <row r="1686" spans="1:34" ht="15.75" customHeight="1">
      <c r="A1686" s="87"/>
      <c r="B1686" s="78" t="s">
        <v>6014</v>
      </c>
      <c r="C1686" s="37" t="s">
        <v>24</v>
      </c>
      <c r="D1686" s="20" t="s">
        <v>6015</v>
      </c>
      <c r="E1686" s="20" t="s">
        <v>6016</v>
      </c>
      <c r="F1686" s="19" t="s">
        <v>27</v>
      </c>
      <c r="G1686" s="19" t="s">
        <v>28</v>
      </c>
      <c r="H1686" s="37"/>
      <c r="I1686" s="21" t="s">
        <v>29</v>
      </c>
      <c r="J1686" s="21" t="s">
        <v>29</v>
      </c>
      <c r="K1686" s="22" t="s">
        <v>6016</v>
      </c>
      <c r="L1686" s="56">
        <v>45293</v>
      </c>
      <c r="O1686" s="42"/>
      <c r="P1686" s="40"/>
      <c r="Q1686" s="61"/>
      <c r="R1686" s="61"/>
      <c r="S1686" s="40"/>
      <c r="T1686" s="38"/>
      <c r="U1686" s="38"/>
      <c r="V1686" s="38"/>
      <c r="W1686" s="60"/>
      <c r="AB1686" s="42"/>
      <c r="AC1686" s="35"/>
      <c r="AD1686" s="38"/>
      <c r="AE1686" s="38"/>
      <c r="AF1686" s="38"/>
      <c r="AG1686" s="38"/>
      <c r="AH1686" s="60"/>
    </row>
    <row r="1687" spans="1:34" ht="15.75" customHeight="1">
      <c r="A1687" s="87"/>
      <c r="B1687" s="78" t="s">
        <v>6017</v>
      </c>
      <c r="C1687" s="37" t="s">
        <v>87</v>
      </c>
      <c r="D1687" s="20" t="s">
        <v>6018</v>
      </c>
      <c r="E1687" s="20" t="s">
        <v>6019</v>
      </c>
      <c r="F1687" s="19" t="s">
        <v>90</v>
      </c>
      <c r="G1687" s="19" t="s">
        <v>91</v>
      </c>
      <c r="H1687" s="37"/>
      <c r="I1687" s="21" t="s">
        <v>29</v>
      </c>
      <c r="J1687" s="21" t="s">
        <v>29</v>
      </c>
      <c r="K1687" s="22" t="s">
        <v>6020</v>
      </c>
      <c r="L1687" s="56">
        <v>45293</v>
      </c>
      <c r="O1687" s="42"/>
      <c r="P1687" s="40"/>
      <c r="Q1687" s="61"/>
      <c r="R1687" s="61"/>
      <c r="S1687" s="40"/>
      <c r="T1687" s="38"/>
      <c r="U1687" s="38"/>
      <c r="V1687" s="38"/>
      <c r="W1687" s="60"/>
      <c r="AB1687" s="42"/>
      <c r="AC1687" s="35"/>
      <c r="AD1687" s="38"/>
      <c r="AE1687" s="38"/>
      <c r="AF1687" s="38"/>
      <c r="AG1687" s="38"/>
      <c r="AH1687" s="60"/>
    </row>
    <row r="1688" spans="1:34" ht="15.75" customHeight="1">
      <c r="A1688" s="87"/>
      <c r="B1688" s="78" t="s">
        <v>6021</v>
      </c>
      <c r="C1688" s="37" t="s">
        <v>46</v>
      </c>
      <c r="D1688" s="20" t="s">
        <v>6022</v>
      </c>
      <c r="E1688" s="20" t="s">
        <v>6023</v>
      </c>
      <c r="F1688" s="37" t="s">
        <v>49</v>
      </c>
      <c r="G1688" s="19" t="s">
        <v>50</v>
      </c>
      <c r="H1688" s="37"/>
      <c r="I1688" s="21" t="s">
        <v>29</v>
      </c>
      <c r="J1688" s="21" t="s">
        <v>29</v>
      </c>
      <c r="K1688" s="22" t="s">
        <v>6023</v>
      </c>
      <c r="L1688" s="56">
        <v>45293</v>
      </c>
      <c r="O1688" s="42"/>
      <c r="P1688" s="40"/>
      <c r="Q1688" s="61"/>
      <c r="R1688" s="61"/>
      <c r="S1688" s="40"/>
      <c r="T1688" s="38"/>
      <c r="U1688" s="38"/>
      <c r="V1688" s="38"/>
      <c r="W1688" s="60"/>
      <c r="AB1688" s="42"/>
      <c r="AC1688" s="35"/>
      <c r="AD1688" s="38"/>
      <c r="AE1688" s="38"/>
      <c r="AF1688" s="38"/>
      <c r="AG1688" s="38"/>
      <c r="AH1688" s="60"/>
    </row>
    <row r="1689" spans="1:34" ht="15.75" customHeight="1">
      <c r="A1689" s="87"/>
      <c r="B1689" s="78" t="s">
        <v>6024</v>
      </c>
      <c r="C1689" s="37" t="s">
        <v>46</v>
      </c>
      <c r="D1689" s="20" t="s">
        <v>6025</v>
      </c>
      <c r="E1689" s="20" t="s">
        <v>6026</v>
      </c>
      <c r="F1689" s="37" t="s">
        <v>49</v>
      </c>
      <c r="G1689" s="19" t="s">
        <v>50</v>
      </c>
      <c r="H1689" s="37"/>
      <c r="I1689" s="21" t="s">
        <v>29</v>
      </c>
      <c r="J1689" s="21" t="s">
        <v>29</v>
      </c>
      <c r="K1689" s="22" t="s">
        <v>6027</v>
      </c>
      <c r="L1689" s="56">
        <v>45293</v>
      </c>
      <c r="O1689" s="42"/>
      <c r="P1689" s="40"/>
      <c r="Q1689" s="61"/>
      <c r="R1689" s="61"/>
      <c r="S1689" s="40"/>
      <c r="T1689" s="38"/>
      <c r="U1689" s="38"/>
      <c r="V1689" s="38"/>
      <c r="W1689" s="60"/>
      <c r="AB1689" s="42"/>
      <c r="AC1689" s="35"/>
      <c r="AD1689" s="38"/>
      <c r="AE1689" s="38"/>
      <c r="AF1689" s="38"/>
      <c r="AG1689" s="38"/>
      <c r="AH1689" s="60"/>
    </row>
    <row r="1690" spans="1:34" ht="15.75" customHeight="1">
      <c r="A1690" s="87"/>
      <c r="B1690" s="78" t="s">
        <v>6028</v>
      </c>
      <c r="C1690" s="37" t="s">
        <v>1470</v>
      </c>
      <c r="D1690" s="20" t="s">
        <v>6029</v>
      </c>
      <c r="E1690" s="20" t="s">
        <v>6030</v>
      </c>
      <c r="F1690" s="19" t="s">
        <v>3286</v>
      </c>
      <c r="G1690" s="37" t="s">
        <v>1461</v>
      </c>
      <c r="H1690" s="37"/>
      <c r="I1690" s="21" t="s">
        <v>233</v>
      </c>
      <c r="J1690" s="21" t="s">
        <v>233</v>
      </c>
      <c r="K1690" s="22" t="s">
        <v>6030</v>
      </c>
      <c r="L1690" s="56">
        <v>45293</v>
      </c>
      <c r="O1690" s="42"/>
      <c r="P1690" s="40"/>
      <c r="Q1690" s="61"/>
      <c r="R1690" s="61"/>
      <c r="S1690" s="40"/>
      <c r="T1690" s="38"/>
      <c r="U1690" s="38"/>
      <c r="V1690" s="38"/>
      <c r="W1690" s="60"/>
      <c r="AB1690" s="42"/>
      <c r="AC1690" s="35"/>
      <c r="AD1690" s="38"/>
      <c r="AE1690" s="38"/>
      <c r="AF1690" s="38"/>
      <c r="AG1690" s="38"/>
      <c r="AH1690" s="60"/>
    </row>
    <row r="1691" spans="1:34" ht="15.75" customHeight="1">
      <c r="A1691" s="87"/>
      <c r="B1691" s="78" t="s">
        <v>6031</v>
      </c>
      <c r="C1691" s="37" t="s">
        <v>87</v>
      </c>
      <c r="D1691" s="20" t="s">
        <v>6032</v>
      </c>
      <c r="E1691" s="20" t="s">
        <v>6033</v>
      </c>
      <c r="F1691" s="19" t="s">
        <v>90</v>
      </c>
      <c r="G1691" s="19" t="s">
        <v>91</v>
      </c>
      <c r="H1691" s="37"/>
      <c r="I1691" s="21" t="s">
        <v>29</v>
      </c>
      <c r="J1691" s="21" t="s">
        <v>29</v>
      </c>
      <c r="K1691" s="22" t="s">
        <v>6033</v>
      </c>
      <c r="L1691" s="56">
        <v>45293</v>
      </c>
      <c r="O1691" s="42"/>
      <c r="P1691" s="40"/>
      <c r="Q1691" s="61"/>
      <c r="R1691" s="61"/>
      <c r="S1691" s="40"/>
      <c r="T1691" s="38"/>
      <c r="U1691" s="38"/>
      <c r="V1691" s="38"/>
      <c r="W1691" s="60"/>
      <c r="AB1691" s="42"/>
      <c r="AC1691" s="35"/>
      <c r="AD1691" s="38"/>
      <c r="AE1691" s="38"/>
      <c r="AF1691" s="38"/>
      <c r="AG1691" s="38"/>
      <c r="AH1691" s="60"/>
    </row>
    <row r="1692" spans="1:34" ht="15.75" customHeight="1">
      <c r="A1692" s="87"/>
      <c r="B1692" s="78" t="s">
        <v>6034</v>
      </c>
      <c r="C1692" s="37" t="s">
        <v>24</v>
      </c>
      <c r="D1692" s="20" t="s">
        <v>6035</v>
      </c>
      <c r="E1692" s="20" t="s">
        <v>6036</v>
      </c>
      <c r="F1692" s="19" t="s">
        <v>27</v>
      </c>
      <c r="G1692" s="19" t="s">
        <v>28</v>
      </c>
      <c r="H1692" s="37"/>
      <c r="I1692" s="21" t="s">
        <v>29</v>
      </c>
      <c r="J1692" s="21" t="s">
        <v>29</v>
      </c>
      <c r="K1692" s="22" t="s">
        <v>6037</v>
      </c>
      <c r="L1692" s="56">
        <v>45293</v>
      </c>
      <c r="O1692" s="42"/>
      <c r="P1692" s="40"/>
      <c r="Q1692" s="61"/>
      <c r="R1692" s="61"/>
      <c r="S1692" s="40"/>
      <c r="T1692" s="38"/>
      <c r="U1692" s="38"/>
      <c r="V1692" s="38"/>
      <c r="W1692" s="60"/>
      <c r="AB1692" s="42"/>
      <c r="AC1692" s="35"/>
      <c r="AD1692" s="38"/>
      <c r="AE1692" s="38"/>
      <c r="AF1692" s="38"/>
      <c r="AG1692" s="38"/>
      <c r="AH1692" s="60"/>
    </row>
    <row r="1693" spans="1:34" ht="15.75" customHeight="1">
      <c r="A1693" s="87"/>
      <c r="B1693" s="78" t="s">
        <v>6038</v>
      </c>
      <c r="C1693" s="37" t="s">
        <v>1430</v>
      </c>
      <c r="D1693" s="20" t="s">
        <v>6039</v>
      </c>
      <c r="E1693" s="20" t="s">
        <v>6040</v>
      </c>
      <c r="F1693" s="55" t="s">
        <v>1445</v>
      </c>
      <c r="G1693" s="55" t="s">
        <v>1432</v>
      </c>
      <c r="H1693" s="37"/>
      <c r="I1693" s="21" t="s">
        <v>233</v>
      </c>
      <c r="J1693" s="21" t="s">
        <v>233</v>
      </c>
      <c r="K1693" s="22" t="s">
        <v>6040</v>
      </c>
      <c r="L1693" s="56">
        <v>45293</v>
      </c>
      <c r="O1693" s="42"/>
      <c r="P1693" s="40"/>
      <c r="Q1693" s="61"/>
      <c r="R1693" s="61"/>
      <c r="S1693" s="40"/>
      <c r="T1693" s="38"/>
      <c r="U1693" s="38"/>
      <c r="V1693" s="38"/>
      <c r="W1693" s="60"/>
      <c r="AB1693" s="42"/>
      <c r="AC1693" s="35"/>
      <c r="AD1693" s="38"/>
      <c r="AE1693" s="38"/>
      <c r="AF1693" s="38"/>
      <c r="AG1693" s="38"/>
      <c r="AH1693" s="60"/>
    </row>
    <row r="1694" spans="1:34" ht="15.75" customHeight="1">
      <c r="A1694" s="87"/>
      <c r="B1694" s="78" t="s">
        <v>6041</v>
      </c>
      <c r="C1694" s="37" t="s">
        <v>1638</v>
      </c>
      <c r="D1694" s="20" t="s">
        <v>6042</v>
      </c>
      <c r="E1694" s="20" t="s">
        <v>6043</v>
      </c>
      <c r="F1694" s="37" t="s">
        <v>1399</v>
      </c>
      <c r="G1694" s="19" t="s">
        <v>1641</v>
      </c>
      <c r="H1694" s="37"/>
      <c r="I1694" s="21" t="s">
        <v>29</v>
      </c>
      <c r="J1694" s="21" t="s">
        <v>29</v>
      </c>
      <c r="K1694" s="22" t="s">
        <v>6044</v>
      </c>
      <c r="L1694" s="56">
        <v>45293</v>
      </c>
      <c r="O1694" s="42"/>
      <c r="P1694" s="40"/>
      <c r="Q1694" s="61"/>
      <c r="R1694" s="61"/>
      <c r="S1694" s="40"/>
      <c r="T1694" s="38"/>
      <c r="U1694" s="38"/>
      <c r="V1694" s="38"/>
      <c r="W1694" s="60"/>
      <c r="AB1694" s="42"/>
      <c r="AC1694" s="35"/>
      <c r="AD1694" s="38"/>
      <c r="AE1694" s="38"/>
      <c r="AF1694" s="38"/>
      <c r="AG1694" s="38"/>
      <c r="AH1694" s="60"/>
    </row>
    <row r="1695" spans="1:34" ht="15.75" customHeight="1">
      <c r="A1695" s="87"/>
      <c r="B1695" s="78" t="s">
        <v>6045</v>
      </c>
      <c r="C1695" s="37" t="s">
        <v>46</v>
      </c>
      <c r="D1695" s="20" t="s">
        <v>6046</v>
      </c>
      <c r="E1695" s="20" t="s">
        <v>6047</v>
      </c>
      <c r="F1695" s="37" t="s">
        <v>49</v>
      </c>
      <c r="G1695" s="19" t="s">
        <v>50</v>
      </c>
      <c r="H1695" s="37"/>
      <c r="I1695" s="21" t="s">
        <v>29</v>
      </c>
      <c r="J1695" s="21" t="s">
        <v>29</v>
      </c>
      <c r="K1695" s="22" t="s">
        <v>6048</v>
      </c>
      <c r="L1695" s="56">
        <v>45293</v>
      </c>
      <c r="O1695" s="42"/>
      <c r="P1695" s="40"/>
      <c r="Q1695" s="61"/>
      <c r="R1695" s="61"/>
      <c r="S1695" s="40"/>
      <c r="T1695" s="38"/>
      <c r="U1695" s="38"/>
      <c r="V1695" s="38"/>
      <c r="W1695" s="60"/>
      <c r="AB1695" s="42"/>
      <c r="AC1695" s="35"/>
      <c r="AD1695" s="38"/>
      <c r="AE1695" s="38"/>
      <c r="AF1695" s="38"/>
      <c r="AG1695" s="38"/>
      <c r="AH1695" s="60"/>
    </row>
    <row r="1696" spans="1:34" ht="15.75" customHeight="1">
      <c r="A1696" s="87"/>
      <c r="B1696" s="78" t="s">
        <v>6049</v>
      </c>
      <c r="C1696" s="37" t="s">
        <v>24</v>
      </c>
      <c r="D1696" s="20" t="s">
        <v>6050</v>
      </c>
      <c r="E1696" s="20" t="s">
        <v>6051</v>
      </c>
      <c r="F1696" s="19" t="s">
        <v>27</v>
      </c>
      <c r="G1696" s="19" t="s">
        <v>28</v>
      </c>
      <c r="H1696" s="37"/>
      <c r="I1696" s="21" t="s">
        <v>29</v>
      </c>
      <c r="J1696" s="21" t="s">
        <v>29</v>
      </c>
      <c r="K1696" s="22" t="s">
        <v>6051</v>
      </c>
      <c r="L1696" s="56">
        <v>45293</v>
      </c>
      <c r="O1696" s="42"/>
      <c r="P1696" s="40"/>
      <c r="Q1696" s="61"/>
      <c r="R1696" s="61"/>
      <c r="S1696" s="40"/>
      <c r="T1696" s="38"/>
      <c r="U1696" s="38"/>
      <c r="V1696" s="38"/>
      <c r="W1696" s="60"/>
      <c r="AB1696" s="42"/>
      <c r="AC1696" s="35"/>
      <c r="AD1696" s="38"/>
      <c r="AE1696" s="38"/>
      <c r="AF1696" s="38"/>
      <c r="AG1696" s="38"/>
      <c r="AH1696" s="60"/>
    </row>
    <row r="1697" spans="1:34" ht="15.75" customHeight="1">
      <c r="A1697" s="87"/>
      <c r="B1697" s="78" t="s">
        <v>6052</v>
      </c>
      <c r="C1697" s="37" t="s">
        <v>24</v>
      </c>
      <c r="D1697" s="20" t="s">
        <v>6053</v>
      </c>
      <c r="E1697" s="20" t="s">
        <v>6054</v>
      </c>
      <c r="F1697" s="19" t="s">
        <v>27</v>
      </c>
      <c r="G1697" s="19" t="s">
        <v>28</v>
      </c>
      <c r="H1697" s="37"/>
      <c r="I1697" s="21" t="s">
        <v>29</v>
      </c>
      <c r="J1697" s="21" t="s">
        <v>29</v>
      </c>
      <c r="K1697" s="22" t="s">
        <v>6055</v>
      </c>
      <c r="L1697" s="56">
        <v>45293</v>
      </c>
      <c r="O1697" s="42"/>
      <c r="P1697" s="40"/>
      <c r="Q1697" s="61"/>
      <c r="R1697" s="61"/>
      <c r="S1697" s="40"/>
      <c r="T1697" s="38"/>
      <c r="U1697" s="38"/>
      <c r="V1697" s="38"/>
      <c r="W1697" s="60"/>
      <c r="AB1697" s="42"/>
      <c r="AC1697" s="35"/>
      <c r="AD1697" s="38"/>
      <c r="AE1697" s="38"/>
      <c r="AF1697" s="38"/>
      <c r="AG1697" s="38"/>
      <c r="AH1697" s="60"/>
    </row>
    <row r="1698" spans="1:34" ht="15.75" customHeight="1">
      <c r="A1698" s="87"/>
      <c r="B1698" s="78" t="s">
        <v>6056</v>
      </c>
      <c r="C1698" s="37" t="s">
        <v>1366</v>
      </c>
      <c r="D1698" s="20" t="s">
        <v>6057</v>
      </c>
      <c r="E1698" s="20" t="s">
        <v>6058</v>
      </c>
      <c r="F1698" s="55" t="s">
        <v>1369</v>
      </c>
      <c r="G1698" s="55" t="s">
        <v>1370</v>
      </c>
      <c r="H1698" s="37"/>
      <c r="I1698" s="21" t="s">
        <v>29</v>
      </c>
      <c r="J1698" s="21" t="s">
        <v>29</v>
      </c>
      <c r="K1698" s="22" t="s">
        <v>6058</v>
      </c>
      <c r="L1698" s="56">
        <v>45293</v>
      </c>
      <c r="O1698" s="42"/>
      <c r="P1698" s="40"/>
      <c r="Q1698" s="61"/>
      <c r="R1698" s="61"/>
      <c r="S1698" s="40"/>
      <c r="T1698" s="38"/>
      <c r="U1698" s="38"/>
      <c r="V1698" s="38"/>
      <c r="W1698" s="60"/>
      <c r="AB1698" s="42"/>
      <c r="AC1698" s="35"/>
      <c r="AD1698" s="38"/>
      <c r="AE1698" s="38"/>
      <c r="AF1698" s="38"/>
      <c r="AG1698" s="38"/>
      <c r="AH1698" s="60"/>
    </row>
    <row r="1699" spans="1:34" ht="15.75" customHeight="1">
      <c r="A1699" s="87"/>
      <c r="B1699" s="78" t="s">
        <v>6059</v>
      </c>
      <c r="C1699" s="37" t="s">
        <v>24</v>
      </c>
      <c r="D1699" s="20" t="s">
        <v>6060</v>
      </c>
      <c r="E1699" s="20" t="s">
        <v>6061</v>
      </c>
      <c r="F1699" s="19" t="s">
        <v>27</v>
      </c>
      <c r="G1699" s="19" t="s">
        <v>28</v>
      </c>
      <c r="H1699" s="37"/>
      <c r="I1699" s="21" t="s">
        <v>29</v>
      </c>
      <c r="J1699" s="21" t="s">
        <v>29</v>
      </c>
      <c r="K1699" s="22" t="s">
        <v>6061</v>
      </c>
      <c r="L1699" s="56">
        <v>45293</v>
      </c>
      <c r="O1699" s="42"/>
      <c r="P1699" s="40"/>
      <c r="Q1699" s="61"/>
      <c r="R1699" s="61"/>
      <c r="S1699" s="40"/>
      <c r="T1699" s="38"/>
      <c r="U1699" s="38"/>
      <c r="V1699" s="38"/>
      <c r="W1699" s="60"/>
      <c r="AB1699" s="42"/>
      <c r="AC1699" s="35"/>
      <c r="AD1699" s="38"/>
      <c r="AE1699" s="38"/>
      <c r="AF1699" s="38"/>
      <c r="AG1699" s="38"/>
      <c r="AH1699" s="60"/>
    </row>
    <row r="1700" spans="1:34" ht="15.75" customHeight="1">
      <c r="A1700" s="87"/>
      <c r="B1700" s="78" t="s">
        <v>6062</v>
      </c>
      <c r="C1700" s="37" t="s">
        <v>228</v>
      </c>
      <c r="D1700" s="20" t="s">
        <v>6063</v>
      </c>
      <c r="E1700" s="20" t="s">
        <v>6064</v>
      </c>
      <c r="F1700" s="19" t="s">
        <v>231</v>
      </c>
      <c r="G1700" s="19" t="s">
        <v>232</v>
      </c>
      <c r="H1700" s="37"/>
      <c r="I1700" s="21" t="s">
        <v>233</v>
      </c>
      <c r="J1700" s="21" t="s">
        <v>233</v>
      </c>
      <c r="K1700" s="22" t="s">
        <v>6065</v>
      </c>
      <c r="L1700" s="56">
        <v>45293</v>
      </c>
      <c r="O1700" s="42"/>
      <c r="P1700" s="40"/>
      <c r="Q1700" s="61"/>
      <c r="R1700" s="61"/>
      <c r="S1700" s="40"/>
      <c r="T1700" s="38"/>
      <c r="U1700" s="38"/>
      <c r="V1700" s="38"/>
      <c r="W1700" s="60"/>
      <c r="AB1700" s="42"/>
      <c r="AC1700" s="35"/>
      <c r="AD1700" s="38"/>
      <c r="AE1700" s="38"/>
      <c r="AF1700" s="38"/>
      <c r="AG1700" s="38"/>
      <c r="AH1700" s="60"/>
    </row>
    <row r="1701" spans="1:34" ht="15.75" customHeight="1">
      <c r="A1701" s="87"/>
      <c r="B1701" s="83" t="s">
        <v>6066</v>
      </c>
      <c r="C1701" s="19" t="s">
        <v>121</v>
      </c>
      <c r="D1701" s="20" t="s">
        <v>6067</v>
      </c>
      <c r="E1701" s="20" t="s">
        <v>6068</v>
      </c>
      <c r="F1701" s="19" t="s">
        <v>3286</v>
      </c>
      <c r="G1701" s="37" t="s">
        <v>452</v>
      </c>
      <c r="H1701" s="37"/>
      <c r="I1701" s="21" t="s">
        <v>233</v>
      </c>
      <c r="J1701" s="21" t="s">
        <v>121</v>
      </c>
      <c r="K1701" s="22" t="s">
        <v>6068</v>
      </c>
      <c r="L1701" s="56">
        <v>45293</v>
      </c>
      <c r="O1701" s="42"/>
      <c r="P1701" s="40"/>
      <c r="Q1701" s="61"/>
      <c r="R1701" s="61"/>
      <c r="S1701" s="40"/>
      <c r="T1701" s="38"/>
      <c r="U1701" s="38"/>
      <c r="V1701" s="38"/>
      <c r="W1701" s="60"/>
      <c r="AB1701" s="42"/>
      <c r="AC1701" s="35"/>
      <c r="AD1701" s="38"/>
      <c r="AE1701" s="38"/>
      <c r="AF1701" s="38"/>
      <c r="AG1701" s="38"/>
      <c r="AH1701" s="60"/>
    </row>
    <row r="1702" spans="1:34" ht="15.75" customHeight="1">
      <c r="A1702" s="87"/>
      <c r="B1702" s="78" t="s">
        <v>6069</v>
      </c>
      <c r="C1702" s="37" t="s">
        <v>24</v>
      </c>
      <c r="D1702" s="20" t="s">
        <v>6070</v>
      </c>
      <c r="E1702" s="20" t="s">
        <v>6071</v>
      </c>
      <c r="F1702" s="19" t="s">
        <v>27</v>
      </c>
      <c r="G1702" s="19" t="s">
        <v>28</v>
      </c>
      <c r="H1702" s="37"/>
      <c r="I1702" s="21" t="s">
        <v>29</v>
      </c>
      <c r="J1702" s="21" t="s">
        <v>29</v>
      </c>
      <c r="K1702" s="22" t="s">
        <v>6071</v>
      </c>
      <c r="L1702" s="56">
        <v>45293</v>
      </c>
      <c r="O1702" s="42"/>
      <c r="P1702" s="40"/>
      <c r="Q1702" s="61"/>
      <c r="R1702" s="61"/>
      <c r="S1702" s="40"/>
      <c r="T1702" s="38"/>
      <c r="U1702" s="38"/>
      <c r="V1702" s="38"/>
      <c r="W1702" s="60"/>
      <c r="AB1702" s="42"/>
      <c r="AC1702" s="35"/>
      <c r="AD1702" s="38"/>
      <c r="AE1702" s="38"/>
      <c r="AF1702" s="38"/>
      <c r="AG1702" s="38"/>
      <c r="AH1702" s="60"/>
    </row>
    <row r="1703" spans="1:34" ht="15.75" customHeight="1">
      <c r="A1703" s="87"/>
      <c r="B1703" s="78" t="s">
        <v>6072</v>
      </c>
      <c r="C1703" s="37" t="s">
        <v>87</v>
      </c>
      <c r="D1703" s="20" t="s">
        <v>6073</v>
      </c>
      <c r="E1703" s="20" t="s">
        <v>6074</v>
      </c>
      <c r="F1703" s="19" t="s">
        <v>90</v>
      </c>
      <c r="G1703" s="19" t="s">
        <v>91</v>
      </c>
      <c r="H1703" s="37"/>
      <c r="I1703" s="21" t="s">
        <v>29</v>
      </c>
      <c r="J1703" s="21" t="s">
        <v>29</v>
      </c>
      <c r="K1703" s="22" t="s">
        <v>6075</v>
      </c>
      <c r="L1703" s="56">
        <v>45293</v>
      </c>
      <c r="O1703" s="42"/>
      <c r="P1703" s="40"/>
      <c r="Q1703" s="61"/>
      <c r="R1703" s="61"/>
      <c r="S1703" s="40"/>
      <c r="T1703" s="38"/>
      <c r="U1703" s="38"/>
      <c r="V1703" s="38"/>
      <c r="W1703" s="60"/>
      <c r="AB1703" s="42"/>
      <c r="AC1703" s="35"/>
      <c r="AD1703" s="38"/>
      <c r="AE1703" s="38"/>
      <c r="AF1703" s="38"/>
      <c r="AG1703" s="38"/>
      <c r="AH1703" s="60"/>
    </row>
    <row r="1704" spans="1:34" ht="15.75" customHeight="1">
      <c r="A1704" s="87"/>
      <c r="B1704" s="78" t="s">
        <v>6076</v>
      </c>
      <c r="C1704" s="37" t="s">
        <v>1470</v>
      </c>
      <c r="D1704" s="20" t="s">
        <v>6077</v>
      </c>
      <c r="E1704" s="20" t="s">
        <v>6078</v>
      </c>
      <c r="F1704" s="19" t="s">
        <v>3286</v>
      </c>
      <c r="G1704" s="19" t="s">
        <v>1461</v>
      </c>
      <c r="H1704" s="37"/>
      <c r="I1704" s="21" t="s">
        <v>233</v>
      </c>
      <c r="J1704" s="21" t="s">
        <v>233</v>
      </c>
      <c r="K1704" s="22" t="s">
        <v>6079</v>
      </c>
      <c r="L1704" s="56">
        <v>45293</v>
      </c>
      <c r="O1704" s="42"/>
      <c r="P1704" s="40"/>
      <c r="Q1704" s="61"/>
      <c r="R1704" s="61"/>
      <c r="S1704" s="40"/>
      <c r="T1704" s="38"/>
      <c r="U1704" s="38"/>
      <c r="V1704" s="38"/>
      <c r="W1704" s="60"/>
      <c r="AB1704" s="42"/>
      <c r="AC1704" s="35"/>
      <c r="AD1704" s="38"/>
      <c r="AE1704" s="38"/>
      <c r="AF1704" s="38"/>
      <c r="AG1704" s="38"/>
      <c r="AH1704" s="60"/>
    </row>
    <row r="1705" spans="1:34" ht="15.75" customHeight="1">
      <c r="A1705" s="87"/>
      <c r="B1705" s="78" t="s">
        <v>6080</v>
      </c>
      <c r="C1705" s="37" t="s">
        <v>24</v>
      </c>
      <c r="D1705" s="20" t="s">
        <v>6081</v>
      </c>
      <c r="E1705" s="20" t="s">
        <v>6082</v>
      </c>
      <c r="F1705" s="19" t="s">
        <v>27</v>
      </c>
      <c r="G1705" s="19" t="s">
        <v>28</v>
      </c>
      <c r="H1705" s="37"/>
      <c r="I1705" s="21" t="s">
        <v>29</v>
      </c>
      <c r="J1705" s="21" t="s">
        <v>29</v>
      </c>
      <c r="K1705" s="22" t="s">
        <v>6082</v>
      </c>
      <c r="L1705" s="56">
        <v>45293</v>
      </c>
      <c r="O1705" s="42"/>
      <c r="P1705" s="40"/>
      <c r="Q1705" s="61"/>
      <c r="R1705" s="61"/>
      <c r="S1705" s="40"/>
      <c r="T1705" s="38"/>
      <c r="U1705" s="38"/>
      <c r="V1705" s="38"/>
      <c r="W1705" s="60"/>
      <c r="AB1705" s="42"/>
      <c r="AC1705" s="35"/>
      <c r="AD1705" s="38"/>
      <c r="AE1705" s="38"/>
      <c r="AF1705" s="38"/>
      <c r="AG1705" s="38"/>
      <c r="AH1705" s="60"/>
    </row>
    <row r="1706" spans="1:34" ht="15.75" customHeight="1">
      <c r="A1706" s="87"/>
      <c r="B1706" s="78" t="s">
        <v>6083</v>
      </c>
      <c r="C1706" s="37" t="s">
        <v>1366</v>
      </c>
      <c r="D1706" s="20" t="s">
        <v>6084</v>
      </c>
      <c r="E1706" s="20" t="s">
        <v>6085</v>
      </c>
      <c r="F1706" s="55" t="s">
        <v>1369</v>
      </c>
      <c r="G1706" s="55" t="s">
        <v>1370</v>
      </c>
      <c r="H1706" s="37"/>
      <c r="I1706" s="21" t="s">
        <v>29</v>
      </c>
      <c r="J1706" s="21" t="s">
        <v>29</v>
      </c>
      <c r="K1706" s="22" t="s">
        <v>6085</v>
      </c>
      <c r="L1706" s="56">
        <v>45293</v>
      </c>
      <c r="O1706" s="42"/>
      <c r="P1706" s="40"/>
      <c r="Q1706" s="61"/>
      <c r="R1706" s="61"/>
      <c r="S1706" s="40"/>
      <c r="T1706" s="38"/>
      <c r="U1706" s="38"/>
      <c r="V1706" s="38"/>
      <c r="W1706" s="60"/>
      <c r="AB1706" s="42"/>
      <c r="AC1706" s="35"/>
      <c r="AD1706" s="38"/>
      <c r="AE1706" s="38"/>
      <c r="AF1706" s="38"/>
      <c r="AG1706" s="38"/>
      <c r="AH1706" s="60"/>
    </row>
    <row r="1707" spans="1:34" ht="15.75" customHeight="1">
      <c r="A1707" s="87"/>
      <c r="B1707" s="78" t="s">
        <v>6086</v>
      </c>
      <c r="C1707" s="37" t="s">
        <v>1470</v>
      </c>
      <c r="D1707" s="20" t="s">
        <v>6087</v>
      </c>
      <c r="E1707" s="20" t="s">
        <v>6088</v>
      </c>
      <c r="F1707" s="19" t="s">
        <v>3286</v>
      </c>
      <c r="G1707" s="37" t="s">
        <v>1461</v>
      </c>
      <c r="H1707" s="37"/>
      <c r="I1707" s="21" t="s">
        <v>233</v>
      </c>
      <c r="J1707" s="21" t="s">
        <v>233</v>
      </c>
      <c r="K1707" s="22" t="s">
        <v>6089</v>
      </c>
      <c r="L1707" s="56">
        <v>45293</v>
      </c>
      <c r="O1707" s="42"/>
      <c r="P1707" s="40"/>
      <c r="Q1707" s="61"/>
      <c r="R1707" s="61"/>
      <c r="S1707" s="40"/>
      <c r="T1707" s="38"/>
      <c r="U1707" s="38"/>
      <c r="V1707" s="38"/>
      <c r="W1707" s="60"/>
      <c r="AB1707" s="42"/>
      <c r="AC1707" s="35"/>
      <c r="AD1707" s="38"/>
      <c r="AE1707" s="38"/>
      <c r="AF1707" s="38"/>
      <c r="AG1707" s="38"/>
      <c r="AH1707" s="60"/>
    </row>
    <row r="1708" spans="1:34" ht="15.75" customHeight="1">
      <c r="A1708" s="87"/>
      <c r="B1708" s="78" t="s">
        <v>6090</v>
      </c>
      <c r="C1708" s="37" t="s">
        <v>87</v>
      </c>
      <c r="D1708" s="20" t="s">
        <v>6091</v>
      </c>
      <c r="E1708" s="20" t="s">
        <v>6092</v>
      </c>
      <c r="F1708" s="19" t="s">
        <v>90</v>
      </c>
      <c r="G1708" s="19" t="s">
        <v>91</v>
      </c>
      <c r="H1708" s="37"/>
      <c r="I1708" s="21" t="s">
        <v>29</v>
      </c>
      <c r="J1708" s="21" t="s">
        <v>29</v>
      </c>
      <c r="K1708" s="22" t="s">
        <v>6092</v>
      </c>
      <c r="L1708" s="56">
        <v>45293</v>
      </c>
      <c r="O1708" s="42"/>
      <c r="P1708" s="40"/>
      <c r="Q1708" s="61"/>
      <c r="R1708" s="61"/>
      <c r="S1708" s="40"/>
      <c r="T1708" s="38"/>
      <c r="U1708" s="38"/>
      <c r="V1708" s="38"/>
      <c r="W1708" s="60"/>
      <c r="AB1708" s="42"/>
      <c r="AC1708" s="35"/>
      <c r="AD1708" s="38"/>
      <c r="AE1708" s="38"/>
      <c r="AF1708" s="38"/>
      <c r="AG1708" s="38"/>
      <c r="AH1708" s="60"/>
    </row>
    <row r="1709" spans="1:34" ht="15.75" customHeight="1">
      <c r="A1709" s="87"/>
      <c r="B1709" s="78" t="s">
        <v>6093</v>
      </c>
      <c r="C1709" s="37" t="s">
        <v>1470</v>
      </c>
      <c r="D1709" s="20" t="s">
        <v>6094</v>
      </c>
      <c r="E1709" s="20" t="s">
        <v>6095</v>
      </c>
      <c r="F1709" s="19" t="s">
        <v>3286</v>
      </c>
      <c r="G1709" s="19" t="s">
        <v>1461</v>
      </c>
      <c r="H1709" s="37"/>
      <c r="I1709" s="21" t="s">
        <v>233</v>
      </c>
      <c r="J1709" s="21" t="s">
        <v>233</v>
      </c>
      <c r="K1709" s="22" t="s">
        <v>6096</v>
      </c>
      <c r="L1709" s="56">
        <v>45293</v>
      </c>
      <c r="O1709" s="42"/>
      <c r="P1709" s="40"/>
      <c r="Q1709" s="61"/>
      <c r="R1709" s="61"/>
      <c r="S1709" s="40"/>
      <c r="T1709" s="38"/>
      <c r="U1709" s="38"/>
      <c r="V1709" s="38"/>
      <c r="W1709" s="60"/>
      <c r="AB1709" s="42"/>
      <c r="AC1709" s="35"/>
      <c r="AD1709" s="38"/>
      <c r="AE1709" s="38"/>
      <c r="AF1709" s="38"/>
      <c r="AG1709" s="38"/>
      <c r="AH1709" s="60"/>
    </row>
    <row r="1710" spans="1:34" ht="15.75" customHeight="1">
      <c r="A1710" s="87"/>
      <c r="B1710" s="80" t="s">
        <v>6097</v>
      </c>
      <c r="C1710" s="37" t="s">
        <v>87</v>
      </c>
      <c r="D1710" s="20" t="s">
        <v>6098</v>
      </c>
      <c r="E1710" s="20" t="s">
        <v>6099</v>
      </c>
      <c r="F1710" s="37" t="s">
        <v>49</v>
      </c>
      <c r="G1710" s="19" t="s">
        <v>50</v>
      </c>
      <c r="H1710" s="37"/>
      <c r="I1710" s="21" t="s">
        <v>29</v>
      </c>
      <c r="J1710" s="21" t="s">
        <v>29</v>
      </c>
      <c r="K1710" s="22" t="s">
        <v>6100</v>
      </c>
      <c r="L1710" s="56">
        <v>45293</v>
      </c>
      <c r="O1710" s="42"/>
      <c r="P1710" s="40"/>
      <c r="Q1710" s="61"/>
      <c r="R1710" s="61"/>
      <c r="S1710" s="40"/>
      <c r="T1710" s="38"/>
      <c r="U1710" s="38"/>
      <c r="V1710" s="38"/>
      <c r="W1710" s="60"/>
      <c r="AB1710" s="42"/>
      <c r="AC1710" s="35"/>
      <c r="AD1710" s="38"/>
      <c r="AE1710" s="38"/>
      <c r="AF1710" s="38"/>
      <c r="AG1710" s="38"/>
      <c r="AH1710" s="60"/>
    </row>
    <row r="1711" spans="1:34" ht="15.75" customHeight="1">
      <c r="A1711" s="87"/>
      <c r="B1711" s="78" t="s">
        <v>6101</v>
      </c>
      <c r="C1711" s="37" t="s">
        <v>1430</v>
      </c>
      <c r="D1711" s="20" t="s">
        <v>6102</v>
      </c>
      <c r="E1711" s="20" t="s">
        <v>6103</v>
      </c>
      <c r="F1711" s="55" t="s">
        <v>1445</v>
      </c>
      <c r="G1711" s="55" t="s">
        <v>1432</v>
      </c>
      <c r="H1711" s="37"/>
      <c r="I1711" s="21" t="s">
        <v>233</v>
      </c>
      <c r="J1711" s="21" t="s">
        <v>233</v>
      </c>
      <c r="K1711" s="22" t="s">
        <v>6104</v>
      </c>
      <c r="L1711" s="56">
        <v>45293</v>
      </c>
      <c r="O1711" s="42"/>
      <c r="P1711" s="40"/>
      <c r="Q1711" s="61"/>
      <c r="R1711" s="61"/>
      <c r="S1711" s="40"/>
      <c r="T1711" s="38"/>
      <c r="U1711" s="38"/>
      <c r="V1711" s="38"/>
      <c r="W1711" s="60"/>
      <c r="AB1711" s="42"/>
      <c r="AC1711" s="35"/>
      <c r="AD1711" s="38"/>
      <c r="AE1711" s="38"/>
      <c r="AF1711" s="38"/>
      <c r="AG1711" s="38"/>
      <c r="AH1711" s="60"/>
    </row>
    <row r="1712" spans="1:34" ht="15.75" customHeight="1">
      <c r="A1712" s="87"/>
      <c r="B1712" s="78" t="s">
        <v>6105</v>
      </c>
      <c r="C1712" s="37" t="s">
        <v>24</v>
      </c>
      <c r="D1712" s="20" t="s">
        <v>6106</v>
      </c>
      <c r="E1712" s="20" t="s">
        <v>6107</v>
      </c>
      <c r="F1712" s="19" t="s">
        <v>27</v>
      </c>
      <c r="G1712" s="19" t="s">
        <v>28</v>
      </c>
      <c r="H1712" s="37"/>
      <c r="I1712" s="21" t="s">
        <v>29</v>
      </c>
      <c r="J1712" s="21" t="s">
        <v>29</v>
      </c>
      <c r="K1712" s="22" t="s">
        <v>6108</v>
      </c>
      <c r="L1712" s="56">
        <v>45293</v>
      </c>
      <c r="O1712" s="42"/>
      <c r="P1712" s="40"/>
      <c r="Q1712" s="61"/>
      <c r="R1712" s="61"/>
      <c r="S1712" s="40"/>
      <c r="T1712" s="38"/>
      <c r="U1712" s="38"/>
      <c r="V1712" s="38"/>
      <c r="W1712" s="60"/>
      <c r="AB1712" s="42"/>
      <c r="AC1712" s="35"/>
      <c r="AD1712" s="38"/>
      <c r="AE1712" s="38"/>
      <c r="AF1712" s="38"/>
      <c r="AG1712" s="38"/>
      <c r="AH1712" s="60"/>
    </row>
    <row r="1713" spans="1:34" ht="15.75" customHeight="1">
      <c r="A1713" s="87"/>
      <c r="B1713" s="78" t="s">
        <v>6109</v>
      </c>
      <c r="C1713" s="37" t="s">
        <v>87</v>
      </c>
      <c r="D1713" s="20" t="s">
        <v>6110</v>
      </c>
      <c r="E1713" s="20" t="s">
        <v>6111</v>
      </c>
      <c r="F1713" s="19" t="s">
        <v>90</v>
      </c>
      <c r="G1713" s="19" t="s">
        <v>91</v>
      </c>
      <c r="H1713" s="37"/>
      <c r="I1713" s="21" t="s">
        <v>29</v>
      </c>
      <c r="J1713" s="21" t="s">
        <v>29</v>
      </c>
      <c r="K1713" s="22" t="s">
        <v>6112</v>
      </c>
      <c r="L1713" s="56">
        <v>45293</v>
      </c>
      <c r="O1713" s="42"/>
      <c r="P1713" s="40"/>
      <c r="Q1713" s="61"/>
      <c r="R1713" s="61"/>
      <c r="S1713" s="40"/>
      <c r="T1713" s="38"/>
      <c r="U1713" s="38"/>
      <c r="V1713" s="38"/>
      <c r="W1713" s="60"/>
      <c r="AB1713" s="42"/>
      <c r="AC1713" s="35"/>
      <c r="AD1713" s="38"/>
      <c r="AE1713" s="38"/>
      <c r="AF1713" s="38"/>
      <c r="AG1713" s="38"/>
      <c r="AH1713" s="60"/>
    </row>
    <row r="1714" spans="1:34" ht="15.75" customHeight="1">
      <c r="A1714" s="87"/>
      <c r="B1714" s="78" t="s">
        <v>6113</v>
      </c>
      <c r="C1714" s="37" t="s">
        <v>1470</v>
      </c>
      <c r="D1714" s="20" t="s">
        <v>6114</v>
      </c>
      <c r="E1714" s="20" t="s">
        <v>6115</v>
      </c>
      <c r="F1714" s="19" t="s">
        <v>3286</v>
      </c>
      <c r="G1714" s="37" t="s">
        <v>1461</v>
      </c>
      <c r="H1714" s="37"/>
      <c r="I1714" s="21" t="s">
        <v>233</v>
      </c>
      <c r="J1714" s="21" t="s">
        <v>233</v>
      </c>
      <c r="K1714" s="22" t="s">
        <v>6116</v>
      </c>
      <c r="L1714" s="56">
        <v>45293</v>
      </c>
      <c r="O1714" s="42"/>
      <c r="P1714" s="40"/>
      <c r="Q1714" s="61"/>
      <c r="R1714" s="61"/>
      <c r="S1714" s="40"/>
      <c r="T1714" s="38"/>
      <c r="U1714" s="38"/>
      <c r="V1714" s="38"/>
      <c r="W1714" s="60"/>
      <c r="AB1714" s="42"/>
      <c r="AC1714" s="35"/>
      <c r="AD1714" s="38"/>
      <c r="AE1714" s="38"/>
      <c r="AF1714" s="38"/>
      <c r="AG1714" s="38"/>
      <c r="AH1714" s="60"/>
    </row>
    <row r="1715" spans="1:34" ht="15.75" customHeight="1">
      <c r="A1715" s="87"/>
      <c r="B1715" s="78" t="s">
        <v>6117</v>
      </c>
      <c r="C1715" s="37" t="s">
        <v>46</v>
      </c>
      <c r="D1715" s="20" t="s">
        <v>6118</v>
      </c>
      <c r="E1715" s="20" t="s">
        <v>6119</v>
      </c>
      <c r="F1715" s="37" t="s">
        <v>49</v>
      </c>
      <c r="G1715" s="19" t="s">
        <v>50</v>
      </c>
      <c r="H1715" s="37"/>
      <c r="I1715" s="21" t="s">
        <v>29</v>
      </c>
      <c r="J1715" s="21" t="s">
        <v>29</v>
      </c>
      <c r="K1715" s="22" t="s">
        <v>6119</v>
      </c>
      <c r="L1715" s="56">
        <v>45293</v>
      </c>
      <c r="O1715" s="42"/>
      <c r="P1715" s="40"/>
      <c r="Q1715" s="61"/>
      <c r="R1715" s="61"/>
      <c r="S1715" s="40"/>
      <c r="T1715" s="38"/>
      <c r="U1715" s="38"/>
      <c r="V1715" s="38"/>
      <c r="W1715" s="60"/>
      <c r="AB1715" s="42"/>
      <c r="AC1715" s="35"/>
      <c r="AD1715" s="38"/>
      <c r="AE1715" s="38"/>
      <c r="AF1715" s="38"/>
      <c r="AG1715" s="38"/>
      <c r="AH1715" s="60"/>
    </row>
    <row r="1716" spans="1:34" ht="15.75" customHeight="1">
      <c r="A1716" s="87"/>
      <c r="B1716" s="78" t="s">
        <v>6120</v>
      </c>
      <c r="C1716" s="37" t="s">
        <v>87</v>
      </c>
      <c r="D1716" s="20" t="s">
        <v>6121</v>
      </c>
      <c r="E1716" s="20" t="s">
        <v>6122</v>
      </c>
      <c r="F1716" s="19" t="s">
        <v>90</v>
      </c>
      <c r="G1716" s="19" t="s">
        <v>91</v>
      </c>
      <c r="H1716" s="37"/>
      <c r="I1716" s="21" t="s">
        <v>29</v>
      </c>
      <c r="J1716" s="21" t="s">
        <v>29</v>
      </c>
      <c r="K1716" s="22" t="s">
        <v>6123</v>
      </c>
      <c r="L1716" s="56">
        <v>45293</v>
      </c>
      <c r="O1716" s="42"/>
      <c r="P1716" s="40"/>
      <c r="Q1716" s="61"/>
      <c r="R1716" s="61"/>
      <c r="S1716" s="40"/>
      <c r="T1716" s="38"/>
      <c r="U1716" s="38"/>
      <c r="V1716" s="38"/>
      <c r="W1716" s="60"/>
      <c r="AB1716" s="42"/>
      <c r="AC1716" s="35"/>
      <c r="AD1716" s="38"/>
      <c r="AE1716" s="38"/>
      <c r="AF1716" s="38"/>
      <c r="AG1716" s="38"/>
      <c r="AH1716" s="60"/>
    </row>
    <row r="1717" spans="1:34" ht="15.75" customHeight="1">
      <c r="A1717" s="87"/>
      <c r="B1717" s="78" t="s">
        <v>6124</v>
      </c>
      <c r="C1717" s="37" t="s">
        <v>1366</v>
      </c>
      <c r="D1717" s="20" t="s">
        <v>6125</v>
      </c>
      <c r="E1717" s="20" t="s">
        <v>6126</v>
      </c>
      <c r="F1717" s="55" t="s">
        <v>1369</v>
      </c>
      <c r="G1717" s="55" t="s">
        <v>1370</v>
      </c>
      <c r="H1717" s="37"/>
      <c r="I1717" s="21" t="s">
        <v>29</v>
      </c>
      <c r="J1717" s="21" t="s">
        <v>29</v>
      </c>
      <c r="K1717" s="22" t="s">
        <v>6126</v>
      </c>
      <c r="L1717" s="56">
        <v>45293</v>
      </c>
      <c r="O1717" s="42"/>
      <c r="P1717" s="40"/>
      <c r="Q1717" s="61"/>
      <c r="R1717" s="61"/>
      <c r="S1717" s="40"/>
      <c r="T1717" s="38"/>
      <c r="U1717" s="38"/>
      <c r="V1717" s="38"/>
      <c r="W1717" s="60"/>
      <c r="AB1717" s="42"/>
      <c r="AC1717" s="35"/>
      <c r="AD1717" s="38"/>
      <c r="AE1717" s="38"/>
      <c r="AF1717" s="38"/>
      <c r="AG1717" s="38"/>
      <c r="AH1717" s="60"/>
    </row>
    <row r="1718" spans="1:34" ht="15.75" customHeight="1">
      <c r="A1718" s="87"/>
      <c r="B1718" s="78" t="s">
        <v>6127</v>
      </c>
      <c r="C1718" s="37" t="s">
        <v>87</v>
      </c>
      <c r="D1718" s="20" t="s">
        <v>6128</v>
      </c>
      <c r="E1718" s="20" t="s">
        <v>6129</v>
      </c>
      <c r="F1718" s="19" t="s">
        <v>90</v>
      </c>
      <c r="G1718" s="19" t="s">
        <v>91</v>
      </c>
      <c r="H1718" s="37"/>
      <c r="I1718" s="21" t="s">
        <v>29</v>
      </c>
      <c r="J1718" s="21" t="s">
        <v>29</v>
      </c>
      <c r="K1718" s="22" t="s">
        <v>6129</v>
      </c>
      <c r="L1718" s="56">
        <v>45293</v>
      </c>
      <c r="O1718" s="42"/>
      <c r="P1718" s="40"/>
      <c r="Q1718" s="61"/>
      <c r="R1718" s="61"/>
      <c r="S1718" s="40"/>
      <c r="T1718" s="38"/>
      <c r="U1718" s="38"/>
      <c r="V1718" s="38"/>
      <c r="W1718" s="60"/>
      <c r="AB1718" s="42"/>
      <c r="AC1718" s="35"/>
      <c r="AD1718" s="38"/>
      <c r="AE1718" s="38"/>
      <c r="AF1718" s="38"/>
      <c r="AG1718" s="38"/>
      <c r="AH1718" s="60"/>
    </row>
    <row r="1719" spans="1:34" ht="15.75" customHeight="1">
      <c r="A1719" s="87"/>
      <c r="B1719" s="78" t="s">
        <v>6130</v>
      </c>
      <c r="C1719" s="37" t="s">
        <v>46</v>
      </c>
      <c r="D1719" s="20" t="s">
        <v>6131</v>
      </c>
      <c r="E1719" s="20" t="s">
        <v>6132</v>
      </c>
      <c r="F1719" s="37" t="s">
        <v>49</v>
      </c>
      <c r="G1719" s="19" t="s">
        <v>50</v>
      </c>
      <c r="H1719" s="37"/>
      <c r="I1719" s="21" t="s">
        <v>29</v>
      </c>
      <c r="J1719" s="21" t="s">
        <v>29</v>
      </c>
      <c r="K1719" s="22" t="s">
        <v>6133</v>
      </c>
      <c r="L1719" s="56">
        <v>45293</v>
      </c>
      <c r="O1719" s="42"/>
      <c r="P1719" s="40"/>
      <c r="Q1719" s="61"/>
      <c r="R1719" s="61"/>
      <c r="S1719" s="40"/>
      <c r="T1719" s="38"/>
      <c r="U1719" s="38"/>
      <c r="V1719" s="38"/>
      <c r="W1719" s="60"/>
      <c r="AB1719" s="42"/>
      <c r="AC1719" s="35"/>
      <c r="AD1719" s="38"/>
      <c r="AE1719" s="38"/>
      <c r="AF1719" s="38"/>
      <c r="AG1719" s="38"/>
      <c r="AH1719" s="60"/>
    </row>
    <row r="1720" spans="1:34" ht="15.75" customHeight="1">
      <c r="A1720" s="87"/>
      <c r="B1720" s="38"/>
      <c r="C1720" s="37"/>
      <c r="D1720" s="20"/>
      <c r="E1720" s="20"/>
      <c r="F1720" s="37"/>
      <c r="G1720" s="37"/>
      <c r="H1720" s="37"/>
      <c r="I1720" s="21"/>
      <c r="J1720" s="21"/>
      <c r="K1720" s="22"/>
      <c r="L1720" s="56"/>
      <c r="O1720" s="42"/>
      <c r="P1720" s="40"/>
      <c r="Q1720" s="61"/>
      <c r="R1720" s="61"/>
      <c r="S1720" s="40"/>
      <c r="T1720" s="38"/>
      <c r="U1720" s="38"/>
      <c r="V1720" s="38"/>
      <c r="W1720" s="60"/>
      <c r="AB1720" s="42"/>
      <c r="AC1720" s="35"/>
      <c r="AD1720" s="38"/>
      <c r="AE1720" s="38"/>
      <c r="AF1720" s="38"/>
      <c r="AG1720" s="38"/>
      <c r="AH1720" s="60"/>
    </row>
    <row r="1721" spans="1:34" ht="15.75" customHeight="1">
      <c r="A1721" s="35" t="s">
        <v>6134</v>
      </c>
      <c r="B1721" s="78" t="s">
        <v>6135</v>
      </c>
      <c r="C1721" s="37" t="s">
        <v>24</v>
      </c>
      <c r="D1721" s="20" t="s">
        <v>6136</v>
      </c>
      <c r="E1721" s="20" t="s">
        <v>6137</v>
      </c>
      <c r="F1721" s="19" t="s">
        <v>27</v>
      </c>
      <c r="G1721" s="19" t="s">
        <v>28</v>
      </c>
      <c r="H1721" s="37"/>
      <c r="I1721" s="21" t="s">
        <v>29</v>
      </c>
      <c r="J1721" s="21" t="s">
        <v>29</v>
      </c>
      <c r="K1721" s="22" t="s">
        <v>6138</v>
      </c>
      <c r="L1721" s="56">
        <v>45293</v>
      </c>
      <c r="M1721" s="40"/>
      <c r="N1721" s="40"/>
      <c r="O1721" s="42"/>
      <c r="P1721" s="40"/>
      <c r="Q1721" s="61"/>
      <c r="R1721" s="61"/>
      <c r="S1721" s="40"/>
      <c r="T1721" s="38"/>
      <c r="U1721" s="38"/>
      <c r="V1721" s="38"/>
      <c r="W1721" s="60"/>
      <c r="AB1721" s="42"/>
      <c r="AC1721" s="35"/>
      <c r="AD1721" s="38"/>
      <c r="AE1721" s="38"/>
      <c r="AF1721" s="38"/>
      <c r="AG1721" s="38"/>
      <c r="AH1721" s="60"/>
    </row>
    <row r="1722" spans="1:34" ht="15.75" customHeight="1">
      <c r="A1722" s="86" t="s">
        <v>2628</v>
      </c>
      <c r="B1722" s="78" t="s">
        <v>6139</v>
      </c>
      <c r="C1722" s="37" t="s">
        <v>24</v>
      </c>
      <c r="D1722" s="20" t="s">
        <v>6140</v>
      </c>
      <c r="E1722" s="20"/>
      <c r="F1722" s="19" t="s">
        <v>27</v>
      </c>
      <c r="G1722" s="19" t="s">
        <v>28</v>
      </c>
      <c r="H1722" s="37" t="s">
        <v>762</v>
      </c>
      <c r="I1722" s="21" t="s">
        <v>29</v>
      </c>
      <c r="J1722" s="21" t="s">
        <v>29</v>
      </c>
      <c r="K1722" s="22"/>
      <c r="L1722" s="56">
        <v>45293</v>
      </c>
      <c r="O1722" s="42"/>
      <c r="P1722" s="40"/>
      <c r="Q1722" s="61"/>
      <c r="R1722" s="61"/>
      <c r="S1722" s="40"/>
      <c r="T1722" s="38"/>
      <c r="U1722" s="38"/>
      <c r="V1722" s="38"/>
      <c r="W1722" s="60"/>
      <c r="AB1722" s="42"/>
      <c r="AC1722" s="35"/>
      <c r="AD1722" s="38"/>
      <c r="AE1722" s="38"/>
      <c r="AF1722" s="38"/>
      <c r="AG1722" s="38"/>
      <c r="AH1722" s="60"/>
    </row>
    <row r="1723" spans="1:34" ht="15.75" customHeight="1">
      <c r="A1723" s="50" t="s">
        <v>39</v>
      </c>
      <c r="B1723" s="81" t="s">
        <v>6141</v>
      </c>
      <c r="C1723" s="37" t="s">
        <v>24</v>
      </c>
      <c r="D1723" s="20" t="s">
        <v>6142</v>
      </c>
      <c r="E1723" s="20" t="s">
        <v>6143</v>
      </c>
      <c r="F1723" s="19" t="s">
        <v>27</v>
      </c>
      <c r="G1723" s="19" t="s">
        <v>28</v>
      </c>
      <c r="H1723" s="37"/>
      <c r="I1723" s="21" t="s">
        <v>29</v>
      </c>
      <c r="J1723" s="21" t="s">
        <v>29</v>
      </c>
      <c r="K1723" s="22" t="s">
        <v>6144</v>
      </c>
      <c r="L1723" s="56">
        <v>45293</v>
      </c>
      <c r="O1723" s="42"/>
      <c r="P1723" s="40"/>
      <c r="Q1723" s="61"/>
      <c r="R1723" s="61"/>
      <c r="S1723" s="40"/>
      <c r="T1723" s="38"/>
      <c r="U1723" s="38"/>
      <c r="V1723" s="38"/>
      <c r="W1723" s="60"/>
      <c r="AB1723" s="42"/>
      <c r="AC1723" s="35"/>
      <c r="AD1723" s="38"/>
      <c r="AE1723" s="38"/>
      <c r="AF1723" s="38"/>
      <c r="AG1723" s="38"/>
      <c r="AH1723" s="60"/>
    </row>
    <row r="1724" spans="1:34" ht="15.75" customHeight="1">
      <c r="A1724" s="35" t="s">
        <v>5857</v>
      </c>
      <c r="B1724" s="78" t="s">
        <v>6145</v>
      </c>
      <c r="C1724" s="37" t="s">
        <v>24</v>
      </c>
      <c r="D1724" s="20" t="s">
        <v>6146</v>
      </c>
      <c r="E1724" s="20" t="s">
        <v>6147</v>
      </c>
      <c r="F1724" s="19" t="s">
        <v>27</v>
      </c>
      <c r="G1724" s="19" t="s">
        <v>28</v>
      </c>
      <c r="H1724" s="37"/>
      <c r="I1724" s="21" t="s">
        <v>29</v>
      </c>
      <c r="J1724" s="21" t="s">
        <v>29</v>
      </c>
      <c r="K1724" s="22" t="s">
        <v>6148</v>
      </c>
      <c r="L1724" s="56">
        <v>45293</v>
      </c>
      <c r="O1724" s="42"/>
      <c r="P1724" s="40"/>
      <c r="Q1724" s="61"/>
      <c r="R1724" s="61"/>
      <c r="S1724" s="40"/>
      <c r="T1724" s="38"/>
      <c r="U1724" s="38"/>
      <c r="V1724" s="38"/>
      <c r="W1724" s="60"/>
      <c r="AB1724" s="42"/>
      <c r="AC1724" s="35"/>
      <c r="AD1724" s="38"/>
      <c r="AE1724" s="38"/>
      <c r="AF1724" s="38"/>
      <c r="AG1724" s="38"/>
      <c r="AH1724" s="60"/>
    </row>
    <row r="1725" spans="1:34" ht="15.75" customHeight="1">
      <c r="A1725" s="35" t="s">
        <v>6149</v>
      </c>
      <c r="B1725" s="78" t="s">
        <v>6150</v>
      </c>
      <c r="C1725" s="37" t="s">
        <v>24</v>
      </c>
      <c r="D1725" s="20" t="s">
        <v>6151</v>
      </c>
      <c r="E1725" s="20" t="s">
        <v>6152</v>
      </c>
      <c r="F1725" s="19" t="s">
        <v>27</v>
      </c>
      <c r="G1725" s="19" t="s">
        <v>28</v>
      </c>
      <c r="H1725" s="37"/>
      <c r="I1725" s="21" t="s">
        <v>29</v>
      </c>
      <c r="J1725" s="21" t="s">
        <v>29</v>
      </c>
      <c r="K1725" s="22" t="s">
        <v>6153</v>
      </c>
      <c r="L1725" s="56">
        <v>45293</v>
      </c>
      <c r="O1725" s="42"/>
      <c r="P1725" s="40"/>
      <c r="Q1725" s="61"/>
      <c r="R1725" s="61"/>
      <c r="S1725" s="40"/>
      <c r="T1725" s="38"/>
      <c r="U1725" s="38"/>
      <c r="V1725" s="38"/>
      <c r="W1725" s="60"/>
      <c r="AB1725" s="42"/>
      <c r="AC1725" s="35"/>
      <c r="AD1725" s="38"/>
      <c r="AE1725" s="38"/>
      <c r="AF1725" s="38"/>
      <c r="AG1725" s="38"/>
      <c r="AH1725" s="60"/>
    </row>
    <row r="1726" spans="1:34" ht="15.75" customHeight="1">
      <c r="A1726" s="50" t="s">
        <v>56</v>
      </c>
      <c r="B1726" s="78" t="s">
        <v>6154</v>
      </c>
      <c r="C1726" s="37" t="s">
        <v>24</v>
      </c>
      <c r="D1726" s="20" t="s">
        <v>6155</v>
      </c>
      <c r="E1726" s="20" t="s">
        <v>6156</v>
      </c>
      <c r="F1726" s="19" t="s">
        <v>27</v>
      </c>
      <c r="G1726" s="19" t="s">
        <v>28</v>
      </c>
      <c r="H1726" s="37"/>
      <c r="I1726" s="21" t="s">
        <v>29</v>
      </c>
      <c r="J1726" s="21" t="s">
        <v>29</v>
      </c>
      <c r="K1726" s="22" t="s">
        <v>6157</v>
      </c>
      <c r="L1726" s="56">
        <v>45293</v>
      </c>
      <c r="O1726" s="42"/>
      <c r="P1726" s="40"/>
      <c r="Q1726" s="61"/>
      <c r="R1726" s="61"/>
      <c r="S1726" s="40"/>
      <c r="T1726" s="38"/>
      <c r="U1726" s="38"/>
      <c r="V1726" s="38"/>
      <c r="W1726" s="60"/>
      <c r="AB1726" s="42"/>
      <c r="AC1726" s="35"/>
      <c r="AD1726" s="38"/>
      <c r="AE1726" s="38"/>
      <c r="AF1726" s="38"/>
      <c r="AG1726" s="38"/>
      <c r="AH1726" s="60"/>
    </row>
    <row r="1727" spans="1:34" ht="15.75" customHeight="1">
      <c r="A1727" s="35">
        <v>63</v>
      </c>
      <c r="B1727" s="78" t="s">
        <v>6158</v>
      </c>
      <c r="C1727" s="37" t="s">
        <v>24</v>
      </c>
      <c r="D1727" s="20" t="s">
        <v>6159</v>
      </c>
      <c r="E1727" s="20" t="s">
        <v>6160</v>
      </c>
      <c r="F1727" s="19" t="s">
        <v>27</v>
      </c>
      <c r="G1727" s="19" t="s">
        <v>28</v>
      </c>
      <c r="H1727" s="37"/>
      <c r="I1727" s="21" t="s">
        <v>29</v>
      </c>
      <c r="J1727" s="21" t="s">
        <v>29</v>
      </c>
      <c r="K1727" s="22" t="s">
        <v>6161</v>
      </c>
      <c r="L1727" s="56">
        <v>45293</v>
      </c>
      <c r="O1727" s="42"/>
      <c r="P1727" s="40"/>
      <c r="Q1727" s="61"/>
      <c r="R1727" s="61"/>
      <c r="S1727" s="40"/>
      <c r="T1727" s="38"/>
      <c r="U1727" s="38"/>
      <c r="V1727" s="38"/>
      <c r="W1727" s="60"/>
      <c r="AB1727" s="42"/>
      <c r="AC1727" s="35"/>
      <c r="AD1727" s="38"/>
      <c r="AE1727" s="38"/>
      <c r="AF1727" s="38"/>
      <c r="AG1727" s="38"/>
      <c r="AH1727" s="60"/>
    </row>
    <row r="1728" spans="1:34" ht="15.75" customHeight="1">
      <c r="A1728" s="50" t="s">
        <v>64</v>
      </c>
      <c r="B1728" s="78" t="s">
        <v>6162</v>
      </c>
      <c r="C1728" s="37" t="s">
        <v>24</v>
      </c>
      <c r="D1728" s="20" t="s">
        <v>6163</v>
      </c>
      <c r="E1728" s="20" t="s">
        <v>6164</v>
      </c>
      <c r="F1728" s="19" t="s">
        <v>27</v>
      </c>
      <c r="G1728" s="19" t="s">
        <v>28</v>
      </c>
      <c r="H1728" s="37"/>
      <c r="I1728" s="21" t="s">
        <v>29</v>
      </c>
      <c r="J1728" s="21" t="s">
        <v>29</v>
      </c>
      <c r="K1728" s="22" t="s">
        <v>6165</v>
      </c>
      <c r="L1728" s="56">
        <v>45293</v>
      </c>
      <c r="O1728" s="42"/>
      <c r="P1728" s="40"/>
      <c r="Q1728" s="61"/>
      <c r="R1728" s="61"/>
      <c r="S1728" s="40"/>
      <c r="T1728" s="38"/>
      <c r="U1728" s="38"/>
      <c r="V1728" s="38"/>
      <c r="W1728" s="60"/>
      <c r="AB1728" s="42"/>
      <c r="AC1728" s="35"/>
      <c r="AD1728" s="38"/>
      <c r="AE1728" s="38"/>
      <c r="AF1728" s="38"/>
      <c r="AG1728" s="38"/>
      <c r="AH1728" s="60"/>
    </row>
    <row r="1729" spans="1:34" ht="15.75" customHeight="1">
      <c r="A1729" s="35">
        <v>3.5</v>
      </c>
      <c r="B1729" s="82" t="s">
        <v>6166</v>
      </c>
      <c r="C1729" s="37" t="s">
        <v>24</v>
      </c>
      <c r="D1729" s="20" t="s">
        <v>6167</v>
      </c>
      <c r="E1729" s="20" t="s">
        <v>6168</v>
      </c>
      <c r="F1729" s="19" t="s">
        <v>27</v>
      </c>
      <c r="G1729" s="19" t="s">
        <v>28</v>
      </c>
      <c r="H1729" s="37"/>
      <c r="I1729" s="21" t="s">
        <v>29</v>
      </c>
      <c r="J1729" s="21" t="s">
        <v>29</v>
      </c>
      <c r="K1729" s="22" t="s">
        <v>6168</v>
      </c>
      <c r="L1729" s="56">
        <v>45293</v>
      </c>
      <c r="O1729" s="42"/>
      <c r="P1729" s="40"/>
      <c r="Q1729" s="61"/>
      <c r="R1729" s="61"/>
      <c r="S1729" s="40"/>
      <c r="T1729" s="38"/>
      <c r="U1729" s="38"/>
      <c r="V1729" s="38"/>
      <c r="W1729" s="60"/>
      <c r="AB1729" s="42"/>
      <c r="AC1729" s="35"/>
      <c r="AD1729" s="38"/>
      <c r="AE1729" s="38"/>
      <c r="AF1729" s="38"/>
      <c r="AG1729" s="38"/>
      <c r="AH1729" s="60"/>
    </row>
    <row r="1730" spans="1:34" ht="15.75" customHeight="1">
      <c r="A1730" s="50" t="s">
        <v>73</v>
      </c>
      <c r="B1730" s="78" t="s">
        <v>6169</v>
      </c>
      <c r="C1730" s="37" t="s">
        <v>24</v>
      </c>
      <c r="D1730" s="20" t="s">
        <v>6170</v>
      </c>
      <c r="E1730" s="20" t="s">
        <v>6171</v>
      </c>
      <c r="F1730" s="19" t="s">
        <v>27</v>
      </c>
      <c r="G1730" s="19" t="s">
        <v>28</v>
      </c>
      <c r="H1730" s="19" t="s">
        <v>36</v>
      </c>
      <c r="I1730" s="21" t="s">
        <v>29</v>
      </c>
      <c r="J1730" s="21" t="s">
        <v>29</v>
      </c>
      <c r="K1730" s="22" t="s">
        <v>6172</v>
      </c>
      <c r="L1730" s="56">
        <v>45293</v>
      </c>
      <c r="O1730" s="42"/>
      <c r="P1730" s="40"/>
      <c r="Q1730" s="61"/>
      <c r="R1730" s="61"/>
      <c r="S1730" s="40"/>
      <c r="T1730" s="38"/>
      <c r="U1730" s="38"/>
      <c r="V1730" s="38"/>
      <c r="W1730" s="60"/>
      <c r="AB1730" s="42"/>
      <c r="AC1730" s="35"/>
      <c r="AD1730" s="38"/>
      <c r="AE1730" s="38"/>
      <c r="AF1730" s="38"/>
      <c r="AG1730" s="38"/>
      <c r="AH1730" s="60"/>
    </row>
    <row r="1731" spans="1:34" ht="15.75" customHeight="1">
      <c r="A1731" s="35">
        <v>3.7</v>
      </c>
      <c r="B1731" s="78" t="s">
        <v>6173</v>
      </c>
      <c r="C1731" s="37" t="s">
        <v>24</v>
      </c>
      <c r="D1731" s="20" t="s">
        <v>6174</v>
      </c>
      <c r="E1731" s="20" t="s">
        <v>6175</v>
      </c>
      <c r="F1731" s="19" t="s">
        <v>27</v>
      </c>
      <c r="G1731" s="19" t="s">
        <v>28</v>
      </c>
      <c r="H1731" s="37"/>
      <c r="I1731" s="21" t="s">
        <v>29</v>
      </c>
      <c r="J1731" s="21" t="s">
        <v>29</v>
      </c>
      <c r="K1731" s="22" t="s">
        <v>6176</v>
      </c>
      <c r="L1731" s="56">
        <v>45293</v>
      </c>
      <c r="O1731" s="42"/>
      <c r="P1731" s="40"/>
      <c r="Q1731" s="61"/>
      <c r="R1731" s="61"/>
      <c r="S1731" s="40"/>
      <c r="T1731" s="38"/>
      <c r="U1731" s="38"/>
      <c r="V1731" s="38"/>
      <c r="W1731" s="60"/>
      <c r="AB1731" s="42"/>
      <c r="AC1731" s="35"/>
      <c r="AD1731" s="38"/>
      <c r="AE1731" s="38"/>
      <c r="AF1731" s="38"/>
      <c r="AG1731" s="38"/>
      <c r="AH1731" s="60"/>
    </row>
    <row r="1732" spans="1:34" ht="15.75" customHeight="1">
      <c r="A1732" s="50" t="s">
        <v>82</v>
      </c>
      <c r="B1732" s="78" t="s">
        <v>6177</v>
      </c>
      <c r="C1732" s="37" t="s">
        <v>24</v>
      </c>
      <c r="D1732" s="20" t="s">
        <v>6178</v>
      </c>
      <c r="E1732" s="20" t="s">
        <v>6179</v>
      </c>
      <c r="F1732" s="19" t="s">
        <v>27</v>
      </c>
      <c r="G1732" s="19" t="s">
        <v>28</v>
      </c>
      <c r="H1732" s="37"/>
      <c r="I1732" s="21" t="s">
        <v>29</v>
      </c>
      <c r="J1732" s="21" t="s">
        <v>29</v>
      </c>
      <c r="K1732" s="22" t="s">
        <v>6180</v>
      </c>
      <c r="L1732" s="56">
        <v>45293</v>
      </c>
      <c r="O1732" s="42"/>
      <c r="P1732" s="40"/>
      <c r="Q1732" s="61"/>
      <c r="R1732" s="61"/>
      <c r="S1732" s="40"/>
      <c r="T1732" s="38"/>
      <c r="U1732" s="38"/>
      <c r="V1732" s="38"/>
      <c r="W1732" s="60"/>
      <c r="AB1732" s="42"/>
      <c r="AC1732" s="35"/>
      <c r="AD1732" s="38"/>
      <c r="AE1732" s="38"/>
      <c r="AF1732" s="38"/>
      <c r="AG1732" s="38"/>
      <c r="AH1732" s="60"/>
    </row>
    <row r="1733" spans="1:34" ht="15.75" customHeight="1">
      <c r="A1733" s="35" t="s">
        <v>6181</v>
      </c>
      <c r="B1733" s="78" t="s">
        <v>6182</v>
      </c>
      <c r="C1733" s="37" t="s">
        <v>24</v>
      </c>
      <c r="D1733" s="20" t="s">
        <v>6183</v>
      </c>
      <c r="E1733" s="20" t="s">
        <v>6184</v>
      </c>
      <c r="F1733" s="19" t="s">
        <v>27</v>
      </c>
      <c r="G1733" s="19" t="s">
        <v>28</v>
      </c>
      <c r="H1733" s="19" t="s">
        <v>36</v>
      </c>
      <c r="I1733" s="21" t="s">
        <v>29</v>
      </c>
      <c r="J1733" s="21" t="s">
        <v>29</v>
      </c>
      <c r="K1733" s="22" t="s">
        <v>6185</v>
      </c>
      <c r="L1733" s="56">
        <v>45293</v>
      </c>
      <c r="O1733" s="42"/>
      <c r="P1733" s="40"/>
      <c r="Q1733" s="61"/>
      <c r="R1733" s="61"/>
      <c r="S1733" s="40"/>
      <c r="T1733" s="38"/>
      <c r="U1733" s="38"/>
      <c r="V1733" s="38"/>
      <c r="W1733" s="60"/>
      <c r="AB1733" s="42"/>
      <c r="AC1733" s="35"/>
      <c r="AD1733" s="38"/>
      <c r="AE1733" s="38"/>
      <c r="AF1733" s="38"/>
      <c r="AG1733" s="38"/>
      <c r="AH1733" s="60"/>
    </row>
    <row r="1734" spans="1:34" ht="15.75" customHeight="1">
      <c r="A1734" s="50" t="s">
        <v>92</v>
      </c>
      <c r="B1734" s="78" t="s">
        <v>6186</v>
      </c>
      <c r="C1734" s="37" t="s">
        <v>24</v>
      </c>
      <c r="D1734" s="20" t="s">
        <v>6187</v>
      </c>
      <c r="E1734" s="20" t="s">
        <v>6188</v>
      </c>
      <c r="F1734" s="19" t="s">
        <v>27</v>
      </c>
      <c r="G1734" s="19" t="s">
        <v>28</v>
      </c>
      <c r="H1734" s="37"/>
      <c r="I1734" s="21" t="s">
        <v>29</v>
      </c>
      <c r="J1734" s="21" t="s">
        <v>29</v>
      </c>
      <c r="K1734" s="22" t="s">
        <v>6189</v>
      </c>
      <c r="L1734" s="56">
        <v>45293</v>
      </c>
      <c r="O1734" s="42"/>
      <c r="P1734" s="40"/>
      <c r="Q1734" s="61"/>
      <c r="R1734" s="61"/>
      <c r="S1734" s="40"/>
      <c r="T1734" s="38"/>
      <c r="U1734" s="38"/>
      <c r="V1734" s="38"/>
      <c r="W1734" s="60"/>
      <c r="AB1734" s="42"/>
      <c r="AC1734" s="35"/>
      <c r="AD1734" s="38"/>
      <c r="AE1734" s="38"/>
      <c r="AF1734" s="38"/>
      <c r="AG1734" s="38"/>
      <c r="AH1734" s="60"/>
    </row>
    <row r="1735" spans="1:34" ht="15.75" customHeight="1">
      <c r="A1735" s="79">
        <v>2317</v>
      </c>
      <c r="B1735" s="78" t="s">
        <v>6190</v>
      </c>
      <c r="C1735" s="37" t="s">
        <v>24</v>
      </c>
      <c r="D1735" s="20" t="s">
        <v>6191</v>
      </c>
      <c r="E1735" s="20" t="s">
        <v>6192</v>
      </c>
      <c r="F1735" s="19" t="s">
        <v>27</v>
      </c>
      <c r="G1735" s="19" t="s">
        <v>28</v>
      </c>
      <c r="H1735" s="37"/>
      <c r="I1735" s="21" t="s">
        <v>29</v>
      </c>
      <c r="J1735" s="21" t="s">
        <v>29</v>
      </c>
      <c r="K1735" s="22" t="s">
        <v>6193</v>
      </c>
      <c r="L1735" s="56">
        <v>45293</v>
      </c>
      <c r="O1735" s="42"/>
      <c r="P1735" s="40"/>
      <c r="Q1735" s="61"/>
      <c r="R1735" s="61"/>
      <c r="S1735" s="40"/>
      <c r="T1735" s="38"/>
      <c r="U1735" s="38"/>
      <c r="V1735" s="38"/>
      <c r="W1735" s="60"/>
      <c r="AB1735" s="42"/>
      <c r="AC1735" s="35"/>
      <c r="AD1735" s="38"/>
      <c r="AE1735" s="38"/>
      <c r="AF1735" s="38"/>
      <c r="AG1735" s="38"/>
      <c r="AH1735" s="60"/>
    </row>
    <row r="1736" spans="1:34" ht="15.75" customHeight="1">
      <c r="A1736" s="50" t="s">
        <v>100</v>
      </c>
      <c r="B1736" s="78" t="s">
        <v>6194</v>
      </c>
      <c r="C1736" s="37" t="s">
        <v>24</v>
      </c>
      <c r="D1736" s="20" t="s">
        <v>6195</v>
      </c>
      <c r="E1736" s="20" t="s">
        <v>6196</v>
      </c>
      <c r="F1736" s="19" t="s">
        <v>27</v>
      </c>
      <c r="G1736" s="19" t="s">
        <v>28</v>
      </c>
      <c r="H1736" s="19" t="s">
        <v>36</v>
      </c>
      <c r="I1736" s="21" t="s">
        <v>29</v>
      </c>
      <c r="J1736" s="21" t="s">
        <v>29</v>
      </c>
      <c r="K1736" s="22" t="s">
        <v>6197</v>
      </c>
      <c r="L1736" s="56">
        <v>45293</v>
      </c>
      <c r="O1736" s="42"/>
      <c r="P1736" s="40"/>
      <c r="Q1736" s="61"/>
      <c r="R1736" s="61"/>
      <c r="S1736" s="40"/>
      <c r="T1736" s="38"/>
      <c r="U1736" s="38"/>
      <c r="V1736" s="38"/>
      <c r="W1736" s="60"/>
      <c r="AB1736" s="42"/>
      <c r="AC1736" s="35"/>
      <c r="AD1736" s="38"/>
      <c r="AE1736" s="38"/>
      <c r="AF1736" s="38"/>
      <c r="AG1736" s="38"/>
      <c r="AH1736" s="60"/>
    </row>
    <row r="1737" spans="1:34" ht="15.75" customHeight="1">
      <c r="A1737" s="35">
        <v>164</v>
      </c>
      <c r="B1737" s="78" t="s">
        <v>6198</v>
      </c>
      <c r="C1737" s="37" t="s">
        <v>24</v>
      </c>
      <c r="D1737" s="20" t="s">
        <v>6199</v>
      </c>
      <c r="E1737" s="20" t="s">
        <v>6200</v>
      </c>
      <c r="F1737" s="19" t="s">
        <v>27</v>
      </c>
      <c r="G1737" s="19" t="s">
        <v>28</v>
      </c>
      <c r="H1737" s="37"/>
      <c r="I1737" s="21" t="s">
        <v>29</v>
      </c>
      <c r="J1737" s="21" t="s">
        <v>29</v>
      </c>
      <c r="K1737" s="22" t="s">
        <v>6201</v>
      </c>
      <c r="L1737" s="56">
        <v>45293</v>
      </c>
      <c r="O1737" s="42"/>
      <c r="P1737" s="40"/>
      <c r="Q1737" s="61"/>
      <c r="R1737" s="61"/>
      <c r="S1737" s="40"/>
      <c r="T1737" s="38"/>
      <c r="U1737" s="38"/>
      <c r="V1737" s="38"/>
      <c r="W1737" s="60"/>
      <c r="AB1737" s="42"/>
      <c r="AC1737" s="35"/>
      <c r="AD1737" s="38"/>
      <c r="AE1737" s="38"/>
      <c r="AF1737" s="38"/>
      <c r="AG1737" s="38"/>
      <c r="AH1737" s="60"/>
    </row>
    <row r="1738" spans="1:34" ht="15.75" customHeight="1">
      <c r="A1738" s="35"/>
      <c r="B1738" s="78" t="s">
        <v>6202</v>
      </c>
      <c r="C1738" s="37" t="s">
        <v>24</v>
      </c>
      <c r="D1738" s="20" t="s">
        <v>6203</v>
      </c>
      <c r="E1738" s="20" t="s">
        <v>6204</v>
      </c>
      <c r="F1738" s="19" t="s">
        <v>27</v>
      </c>
      <c r="G1738" s="19" t="s">
        <v>28</v>
      </c>
      <c r="H1738" s="37"/>
      <c r="I1738" s="21" t="s">
        <v>29</v>
      </c>
      <c r="J1738" s="21" t="s">
        <v>29</v>
      </c>
      <c r="K1738" s="22" t="s">
        <v>6205</v>
      </c>
      <c r="L1738" s="56">
        <v>45293</v>
      </c>
      <c r="O1738" s="42"/>
      <c r="P1738" s="40"/>
      <c r="Q1738" s="61"/>
      <c r="R1738" s="61"/>
      <c r="S1738" s="40"/>
      <c r="T1738" s="38"/>
      <c r="U1738" s="38"/>
      <c r="V1738" s="38"/>
      <c r="W1738" s="60"/>
      <c r="AB1738" s="42"/>
      <c r="AC1738" s="35"/>
      <c r="AD1738" s="38"/>
      <c r="AE1738" s="38"/>
      <c r="AF1738" s="38"/>
      <c r="AG1738" s="38"/>
      <c r="AH1738" s="60"/>
    </row>
    <row r="1739" spans="1:34" ht="15.75" customHeight="1">
      <c r="A1739" s="35"/>
      <c r="B1739" s="78" t="s">
        <v>6206</v>
      </c>
      <c r="C1739" s="37" t="s">
        <v>24</v>
      </c>
      <c r="D1739" s="20" t="s">
        <v>6207</v>
      </c>
      <c r="E1739" s="20" t="s">
        <v>6208</v>
      </c>
      <c r="F1739" s="19" t="s">
        <v>27</v>
      </c>
      <c r="G1739" s="19" t="s">
        <v>28</v>
      </c>
      <c r="H1739" s="37"/>
      <c r="I1739" s="21" t="s">
        <v>29</v>
      </c>
      <c r="J1739" s="21" t="s">
        <v>29</v>
      </c>
      <c r="K1739" s="22" t="s">
        <v>6209</v>
      </c>
      <c r="L1739" s="56">
        <v>45293</v>
      </c>
      <c r="O1739" s="42"/>
      <c r="P1739" s="40"/>
      <c r="Q1739" s="61"/>
      <c r="R1739" s="61"/>
      <c r="S1739" s="40"/>
      <c r="T1739" s="38"/>
      <c r="U1739" s="38"/>
      <c r="V1739" s="38"/>
      <c r="W1739" s="60"/>
      <c r="AB1739" s="42"/>
      <c r="AC1739" s="35"/>
      <c r="AD1739" s="38"/>
      <c r="AE1739" s="38"/>
      <c r="AF1739" s="38"/>
      <c r="AG1739" s="38"/>
      <c r="AH1739" s="60"/>
    </row>
    <row r="1740" spans="1:34" ht="15.75" customHeight="1">
      <c r="A1740" s="35"/>
      <c r="B1740" s="78" t="s">
        <v>6210</v>
      </c>
      <c r="C1740" s="37" t="s">
        <v>24</v>
      </c>
      <c r="D1740" s="20" t="s">
        <v>6211</v>
      </c>
      <c r="E1740" s="20" t="s">
        <v>6212</v>
      </c>
      <c r="F1740" s="19" t="s">
        <v>27</v>
      </c>
      <c r="G1740" s="19" t="s">
        <v>28</v>
      </c>
      <c r="H1740" s="37"/>
      <c r="I1740" s="21" t="s">
        <v>29</v>
      </c>
      <c r="J1740" s="21" t="s">
        <v>29</v>
      </c>
      <c r="K1740" s="22" t="s">
        <v>6213</v>
      </c>
      <c r="L1740" s="56">
        <v>45293</v>
      </c>
      <c r="O1740" s="42"/>
      <c r="P1740" s="40"/>
      <c r="Q1740" s="61"/>
      <c r="R1740" s="61"/>
      <c r="S1740" s="40"/>
      <c r="T1740" s="38"/>
      <c r="U1740" s="38"/>
      <c r="V1740" s="38"/>
      <c r="W1740" s="60"/>
      <c r="AB1740" s="42"/>
      <c r="AC1740" s="35"/>
      <c r="AD1740" s="38"/>
      <c r="AE1740" s="38"/>
      <c r="AF1740" s="38"/>
      <c r="AG1740" s="38"/>
      <c r="AH1740" s="60"/>
    </row>
    <row r="1741" spans="1:34" ht="15.75" customHeight="1">
      <c r="A1741" s="35"/>
      <c r="B1741" s="78" t="s">
        <v>6214</v>
      </c>
      <c r="C1741" s="37" t="s">
        <v>24</v>
      </c>
      <c r="D1741" s="20" t="s">
        <v>6215</v>
      </c>
      <c r="E1741" s="20" t="s">
        <v>6216</v>
      </c>
      <c r="F1741" s="19" t="s">
        <v>27</v>
      </c>
      <c r="G1741" s="19" t="s">
        <v>28</v>
      </c>
      <c r="H1741" s="37"/>
      <c r="I1741" s="21" t="s">
        <v>29</v>
      </c>
      <c r="J1741" s="21" t="s">
        <v>29</v>
      </c>
      <c r="K1741" s="22" t="s">
        <v>6217</v>
      </c>
      <c r="L1741" s="56">
        <v>45293</v>
      </c>
      <c r="O1741" s="42"/>
      <c r="P1741" s="40"/>
      <c r="Q1741" s="61"/>
      <c r="R1741" s="61"/>
      <c r="S1741" s="40"/>
      <c r="T1741" s="38"/>
      <c r="U1741" s="38"/>
      <c r="V1741" s="38"/>
      <c r="W1741" s="60"/>
      <c r="AB1741" s="42"/>
      <c r="AC1741" s="35"/>
      <c r="AD1741" s="38"/>
      <c r="AE1741" s="38"/>
      <c r="AF1741" s="38"/>
      <c r="AG1741" s="38"/>
      <c r="AH1741" s="60"/>
    </row>
    <row r="1742" spans="1:34" ht="15.75" customHeight="1">
      <c r="A1742" s="35"/>
      <c r="B1742" s="78" t="s">
        <v>6218</v>
      </c>
      <c r="C1742" s="37" t="s">
        <v>24</v>
      </c>
      <c r="D1742" s="20" t="s">
        <v>6219</v>
      </c>
      <c r="E1742" s="20" t="s">
        <v>6220</v>
      </c>
      <c r="F1742" s="19" t="s">
        <v>27</v>
      </c>
      <c r="G1742" s="19" t="s">
        <v>28</v>
      </c>
      <c r="H1742" s="37"/>
      <c r="I1742" s="21" t="s">
        <v>29</v>
      </c>
      <c r="J1742" s="21" t="s">
        <v>29</v>
      </c>
      <c r="K1742" s="22" t="s">
        <v>6220</v>
      </c>
      <c r="L1742" s="56">
        <v>45293</v>
      </c>
      <c r="O1742" s="42"/>
      <c r="P1742" s="40"/>
      <c r="Q1742" s="61"/>
      <c r="R1742" s="61"/>
      <c r="S1742" s="40"/>
      <c r="T1742" s="38"/>
      <c r="U1742" s="38"/>
      <c r="V1742" s="38"/>
      <c r="W1742" s="60"/>
      <c r="AB1742" s="42"/>
      <c r="AC1742" s="35"/>
      <c r="AD1742" s="38"/>
      <c r="AE1742" s="38"/>
      <c r="AF1742" s="38"/>
      <c r="AG1742" s="38"/>
      <c r="AH1742" s="60"/>
    </row>
    <row r="1743" spans="1:34" ht="15.75" customHeight="1">
      <c r="A1743" s="35"/>
      <c r="B1743" s="78" t="s">
        <v>6221</v>
      </c>
      <c r="C1743" s="37" t="s">
        <v>24</v>
      </c>
      <c r="D1743" s="20" t="s">
        <v>6222</v>
      </c>
      <c r="E1743" s="20" t="s">
        <v>6223</v>
      </c>
      <c r="F1743" s="19" t="s">
        <v>27</v>
      </c>
      <c r="G1743" s="19" t="s">
        <v>28</v>
      </c>
      <c r="H1743" s="37"/>
      <c r="I1743" s="21" t="s">
        <v>29</v>
      </c>
      <c r="J1743" s="21" t="s">
        <v>29</v>
      </c>
      <c r="K1743" s="22" t="s">
        <v>6224</v>
      </c>
      <c r="L1743" s="56">
        <v>45293</v>
      </c>
      <c r="O1743" s="42"/>
      <c r="P1743" s="40"/>
      <c r="Q1743" s="61"/>
      <c r="R1743" s="61"/>
      <c r="S1743" s="40"/>
      <c r="T1743" s="38"/>
      <c r="U1743" s="38"/>
      <c r="V1743" s="38"/>
      <c r="W1743" s="60"/>
      <c r="AB1743" s="42"/>
      <c r="AC1743" s="35"/>
      <c r="AD1743" s="38"/>
      <c r="AE1743" s="38"/>
      <c r="AF1743" s="38"/>
      <c r="AG1743" s="38"/>
      <c r="AH1743" s="60"/>
    </row>
    <row r="1744" spans="1:34" ht="15.75" customHeight="1">
      <c r="A1744" s="35"/>
      <c r="B1744" s="78" t="s">
        <v>6225</v>
      </c>
      <c r="C1744" s="37" t="s">
        <v>24</v>
      </c>
      <c r="D1744" s="20" t="s">
        <v>6226</v>
      </c>
      <c r="E1744" s="20" t="s">
        <v>6227</v>
      </c>
      <c r="F1744" s="19" t="s">
        <v>27</v>
      </c>
      <c r="G1744" s="19" t="s">
        <v>28</v>
      </c>
      <c r="H1744" s="37"/>
      <c r="I1744" s="21" t="s">
        <v>29</v>
      </c>
      <c r="J1744" s="21" t="s">
        <v>29</v>
      </c>
      <c r="K1744" s="22" t="s">
        <v>6228</v>
      </c>
      <c r="L1744" s="56">
        <v>45293</v>
      </c>
      <c r="O1744" s="42"/>
      <c r="P1744" s="40"/>
      <c r="Q1744" s="61"/>
      <c r="R1744" s="61"/>
      <c r="S1744" s="40"/>
      <c r="T1744" s="38"/>
      <c r="U1744" s="38"/>
      <c r="V1744" s="38"/>
      <c r="W1744" s="60"/>
      <c r="AB1744" s="42"/>
      <c r="AC1744" s="35"/>
      <c r="AD1744" s="38"/>
      <c r="AE1744" s="38"/>
      <c r="AF1744" s="38"/>
      <c r="AG1744" s="38"/>
      <c r="AH1744" s="60"/>
    </row>
    <row r="1745" spans="1:34" ht="15.75" customHeight="1">
      <c r="A1745" s="35"/>
      <c r="B1745" s="78" t="s">
        <v>6229</v>
      </c>
      <c r="C1745" s="37" t="s">
        <v>24</v>
      </c>
      <c r="D1745" s="20" t="s">
        <v>6230</v>
      </c>
      <c r="E1745" s="20" t="s">
        <v>6231</v>
      </c>
      <c r="F1745" s="19" t="s">
        <v>27</v>
      </c>
      <c r="G1745" s="19" t="s">
        <v>28</v>
      </c>
      <c r="H1745" s="19" t="s">
        <v>36</v>
      </c>
      <c r="I1745" s="21" t="s">
        <v>29</v>
      </c>
      <c r="J1745" s="21" t="s">
        <v>29</v>
      </c>
      <c r="K1745" s="22" t="s">
        <v>6232</v>
      </c>
      <c r="L1745" s="56">
        <v>45293</v>
      </c>
      <c r="O1745" s="42"/>
      <c r="P1745" s="40"/>
      <c r="Q1745" s="61"/>
      <c r="R1745" s="61"/>
      <c r="S1745" s="40"/>
      <c r="T1745" s="38"/>
      <c r="U1745" s="38"/>
      <c r="V1745" s="38"/>
      <c r="W1745" s="60"/>
      <c r="AB1745" s="42"/>
      <c r="AC1745" s="35"/>
      <c r="AD1745" s="38"/>
      <c r="AE1745" s="38"/>
      <c r="AF1745" s="38"/>
      <c r="AG1745" s="38"/>
      <c r="AH1745" s="60"/>
    </row>
    <row r="1746" spans="1:34" ht="15.75" customHeight="1">
      <c r="A1746" s="35"/>
      <c r="B1746" s="78" t="s">
        <v>6233</v>
      </c>
      <c r="C1746" s="37" t="s">
        <v>24</v>
      </c>
      <c r="D1746" s="20" t="s">
        <v>6234</v>
      </c>
      <c r="E1746" s="20" t="s">
        <v>6235</v>
      </c>
      <c r="F1746" s="19" t="s">
        <v>27</v>
      </c>
      <c r="G1746" s="19" t="s">
        <v>28</v>
      </c>
      <c r="H1746" s="19" t="s">
        <v>36</v>
      </c>
      <c r="I1746" s="21" t="s">
        <v>29</v>
      </c>
      <c r="J1746" s="21" t="s">
        <v>29</v>
      </c>
      <c r="K1746" s="22" t="s">
        <v>6236</v>
      </c>
      <c r="L1746" s="56">
        <v>45293</v>
      </c>
      <c r="O1746" s="42"/>
      <c r="P1746" s="40"/>
      <c r="Q1746" s="61"/>
      <c r="R1746" s="61"/>
      <c r="S1746" s="40"/>
      <c r="T1746" s="38"/>
      <c r="U1746" s="38"/>
      <c r="V1746" s="38"/>
      <c r="W1746" s="60"/>
      <c r="AB1746" s="42"/>
      <c r="AC1746" s="35"/>
      <c r="AD1746" s="38"/>
      <c r="AE1746" s="38"/>
      <c r="AF1746" s="38"/>
      <c r="AG1746" s="38"/>
      <c r="AH1746" s="60"/>
    </row>
    <row r="1747" spans="1:34" ht="15.75" customHeight="1">
      <c r="A1747" s="35"/>
      <c r="B1747" s="78" t="s">
        <v>6237</v>
      </c>
      <c r="C1747" s="37" t="s">
        <v>24</v>
      </c>
      <c r="D1747" s="20" t="s">
        <v>6238</v>
      </c>
      <c r="E1747" s="20" t="s">
        <v>6239</v>
      </c>
      <c r="F1747" s="19" t="s">
        <v>27</v>
      </c>
      <c r="G1747" s="19" t="s">
        <v>28</v>
      </c>
      <c r="H1747" s="19" t="s">
        <v>36</v>
      </c>
      <c r="I1747" s="21" t="s">
        <v>29</v>
      </c>
      <c r="J1747" s="21" t="s">
        <v>29</v>
      </c>
      <c r="K1747" s="22" t="s">
        <v>6240</v>
      </c>
      <c r="L1747" s="56">
        <v>45293</v>
      </c>
      <c r="O1747" s="42"/>
      <c r="P1747" s="40"/>
      <c r="Q1747" s="61"/>
      <c r="R1747" s="61"/>
      <c r="S1747" s="40"/>
      <c r="T1747" s="38"/>
      <c r="U1747" s="38"/>
      <c r="V1747" s="38"/>
      <c r="W1747" s="60"/>
      <c r="AB1747" s="42"/>
      <c r="AC1747" s="35"/>
      <c r="AD1747" s="38"/>
      <c r="AE1747" s="38"/>
      <c r="AF1747" s="38"/>
      <c r="AG1747" s="38"/>
      <c r="AH1747" s="60"/>
    </row>
    <row r="1748" spans="1:34" ht="15.75" customHeight="1">
      <c r="A1748" s="35"/>
      <c r="B1748" s="78" t="s">
        <v>6241</v>
      </c>
      <c r="C1748" s="37" t="s">
        <v>24</v>
      </c>
      <c r="D1748" s="20" t="s">
        <v>6242</v>
      </c>
      <c r="E1748" s="20" t="s">
        <v>6243</v>
      </c>
      <c r="F1748" s="19" t="s">
        <v>27</v>
      </c>
      <c r="G1748" s="19" t="s">
        <v>28</v>
      </c>
      <c r="H1748" s="37"/>
      <c r="I1748" s="21" t="s">
        <v>29</v>
      </c>
      <c r="J1748" s="21" t="s">
        <v>29</v>
      </c>
      <c r="K1748" s="22" t="s">
        <v>6244</v>
      </c>
      <c r="L1748" s="56">
        <v>45293</v>
      </c>
      <c r="O1748" s="42"/>
      <c r="P1748" s="40"/>
      <c r="Q1748" s="61"/>
      <c r="R1748" s="61"/>
      <c r="S1748" s="40"/>
      <c r="T1748" s="38"/>
      <c r="U1748" s="38"/>
      <c r="V1748" s="38"/>
      <c r="W1748" s="60"/>
      <c r="AB1748" s="42"/>
      <c r="AC1748" s="35"/>
      <c r="AD1748" s="38"/>
      <c r="AE1748" s="38"/>
      <c r="AF1748" s="38"/>
      <c r="AG1748" s="38"/>
      <c r="AH1748" s="60"/>
    </row>
    <row r="1749" spans="1:34" ht="15.75" customHeight="1">
      <c r="A1749" s="35"/>
      <c r="B1749" s="78" t="s">
        <v>6245</v>
      </c>
      <c r="C1749" s="37" t="s">
        <v>24</v>
      </c>
      <c r="D1749" s="20" t="s">
        <v>6246</v>
      </c>
      <c r="E1749" s="20" t="s">
        <v>6247</v>
      </c>
      <c r="F1749" s="19" t="s">
        <v>27</v>
      </c>
      <c r="G1749" s="19" t="s">
        <v>28</v>
      </c>
      <c r="H1749" s="37"/>
      <c r="I1749" s="21" t="s">
        <v>29</v>
      </c>
      <c r="J1749" s="21" t="s">
        <v>29</v>
      </c>
      <c r="K1749" s="22" t="s">
        <v>6247</v>
      </c>
      <c r="L1749" s="56">
        <v>45293</v>
      </c>
      <c r="O1749" s="42"/>
      <c r="P1749" s="40"/>
      <c r="Q1749" s="61"/>
      <c r="R1749" s="61"/>
      <c r="S1749" s="40"/>
      <c r="T1749" s="38"/>
      <c r="U1749" s="38"/>
      <c r="V1749" s="38"/>
      <c r="W1749" s="60"/>
      <c r="AB1749" s="42"/>
      <c r="AC1749" s="35"/>
      <c r="AD1749" s="38"/>
      <c r="AE1749" s="38"/>
      <c r="AF1749" s="38"/>
      <c r="AG1749" s="38"/>
      <c r="AH1749" s="60"/>
    </row>
    <row r="1750" spans="1:34" ht="15.75" customHeight="1">
      <c r="A1750" s="35"/>
      <c r="B1750" s="78" t="s">
        <v>6248</v>
      </c>
      <c r="C1750" s="88" t="s">
        <v>87</v>
      </c>
      <c r="D1750" s="20" t="s">
        <v>6249</v>
      </c>
      <c r="E1750" s="20" t="s">
        <v>6250</v>
      </c>
      <c r="F1750" s="19" t="s">
        <v>90</v>
      </c>
      <c r="G1750" s="19" t="s">
        <v>91</v>
      </c>
      <c r="H1750" s="21"/>
      <c r="I1750" s="21" t="s">
        <v>29</v>
      </c>
      <c r="J1750" s="21" t="s">
        <v>29</v>
      </c>
      <c r="K1750" s="22" t="s">
        <v>6251</v>
      </c>
      <c r="L1750" s="56">
        <v>45293</v>
      </c>
      <c r="O1750" s="42"/>
      <c r="P1750" s="40"/>
      <c r="Q1750" s="61"/>
      <c r="R1750" s="61"/>
      <c r="S1750" s="40"/>
      <c r="T1750" s="38"/>
      <c r="U1750" s="38"/>
      <c r="V1750" s="38"/>
      <c r="W1750" s="60"/>
      <c r="AB1750" s="42"/>
      <c r="AC1750" s="35"/>
      <c r="AD1750" s="38"/>
      <c r="AE1750" s="38"/>
      <c r="AF1750" s="38"/>
      <c r="AG1750" s="38"/>
      <c r="AH1750" s="60"/>
    </row>
    <row r="1751" spans="1:34" ht="15.75" customHeight="1">
      <c r="A1751" s="35"/>
      <c r="B1751" s="78" t="s">
        <v>6252</v>
      </c>
      <c r="C1751" s="88" t="s">
        <v>24</v>
      </c>
      <c r="D1751" s="20" t="s">
        <v>6253</v>
      </c>
      <c r="E1751" s="20" t="s">
        <v>6254</v>
      </c>
      <c r="F1751" s="19" t="s">
        <v>90</v>
      </c>
      <c r="G1751" s="19" t="s">
        <v>28</v>
      </c>
      <c r="H1751" s="21"/>
      <c r="I1751" s="21" t="s">
        <v>29</v>
      </c>
      <c r="J1751" s="21" t="s">
        <v>29</v>
      </c>
      <c r="K1751" s="22" t="s">
        <v>6255</v>
      </c>
      <c r="L1751" s="56">
        <v>45293</v>
      </c>
      <c r="O1751" s="42"/>
      <c r="P1751" s="40"/>
      <c r="Q1751" s="61"/>
      <c r="R1751" s="61"/>
      <c r="S1751" s="40"/>
      <c r="T1751" s="38"/>
      <c r="U1751" s="38"/>
      <c r="V1751" s="38"/>
      <c r="W1751" s="60"/>
      <c r="AB1751" s="42"/>
      <c r="AC1751" s="35"/>
      <c r="AD1751" s="38"/>
      <c r="AE1751" s="38"/>
      <c r="AF1751" s="38"/>
      <c r="AG1751" s="38"/>
      <c r="AH1751" s="60"/>
    </row>
    <row r="1752" spans="1:34" ht="15.75" customHeight="1">
      <c r="A1752" s="35"/>
      <c r="B1752" s="78" t="s">
        <v>6256</v>
      </c>
      <c r="C1752" s="88" t="s">
        <v>87</v>
      </c>
      <c r="D1752" s="20" t="s">
        <v>6257</v>
      </c>
      <c r="E1752" s="20" t="s">
        <v>6258</v>
      </c>
      <c r="F1752" s="19" t="s">
        <v>90</v>
      </c>
      <c r="G1752" s="19" t="s">
        <v>91</v>
      </c>
      <c r="H1752" s="21"/>
      <c r="I1752" s="21" t="s">
        <v>29</v>
      </c>
      <c r="J1752" s="21" t="s">
        <v>29</v>
      </c>
      <c r="K1752" s="22" t="s">
        <v>6259</v>
      </c>
      <c r="L1752" s="56">
        <v>45293</v>
      </c>
      <c r="O1752" s="42"/>
      <c r="P1752" s="40"/>
      <c r="Q1752" s="61"/>
      <c r="R1752" s="61"/>
      <c r="S1752" s="40"/>
      <c r="T1752" s="38"/>
      <c r="U1752" s="38"/>
      <c r="V1752" s="38"/>
      <c r="W1752" s="60"/>
      <c r="AB1752" s="42"/>
      <c r="AC1752" s="35"/>
      <c r="AD1752" s="38"/>
      <c r="AE1752" s="38"/>
      <c r="AF1752" s="38"/>
      <c r="AG1752" s="38"/>
      <c r="AH1752" s="60"/>
    </row>
    <row r="1753" spans="1:34" ht="15.75" customHeight="1">
      <c r="A1753" s="35"/>
      <c r="B1753" s="78" t="s">
        <v>6260</v>
      </c>
      <c r="C1753" s="88" t="s">
        <v>87</v>
      </c>
      <c r="D1753" s="20" t="s">
        <v>6261</v>
      </c>
      <c r="E1753" s="20" t="s">
        <v>6262</v>
      </c>
      <c r="F1753" s="19" t="s">
        <v>90</v>
      </c>
      <c r="G1753" s="19" t="s">
        <v>91</v>
      </c>
      <c r="H1753" s="19" t="s">
        <v>36</v>
      </c>
      <c r="I1753" s="21" t="s">
        <v>29</v>
      </c>
      <c r="J1753" s="21" t="s">
        <v>29</v>
      </c>
      <c r="K1753" s="22" t="s">
        <v>6263</v>
      </c>
      <c r="L1753" s="56">
        <v>45293</v>
      </c>
      <c r="O1753" s="42"/>
      <c r="P1753" s="40"/>
      <c r="Q1753" s="61"/>
      <c r="R1753" s="61"/>
      <c r="S1753" s="40"/>
      <c r="T1753" s="38"/>
      <c r="U1753" s="38"/>
      <c r="V1753" s="38"/>
      <c r="W1753" s="60"/>
      <c r="AB1753" s="42"/>
      <c r="AC1753" s="35"/>
      <c r="AD1753" s="38"/>
      <c r="AE1753" s="38"/>
      <c r="AF1753" s="38"/>
      <c r="AG1753" s="38"/>
      <c r="AH1753" s="60"/>
    </row>
    <row r="1754" spans="1:34" ht="15.75" customHeight="1">
      <c r="A1754" s="35"/>
      <c r="B1754" s="78" t="s">
        <v>6264</v>
      </c>
      <c r="C1754" s="88" t="s">
        <v>87</v>
      </c>
      <c r="D1754" s="20" t="s">
        <v>6265</v>
      </c>
      <c r="E1754" s="20" t="s">
        <v>6266</v>
      </c>
      <c r="F1754" s="19" t="s">
        <v>90</v>
      </c>
      <c r="G1754" s="19" t="s">
        <v>91</v>
      </c>
      <c r="H1754" s="21"/>
      <c r="I1754" s="21" t="s">
        <v>29</v>
      </c>
      <c r="J1754" s="21" t="s">
        <v>29</v>
      </c>
      <c r="K1754" s="22" t="s">
        <v>6267</v>
      </c>
      <c r="L1754" s="56">
        <v>45293</v>
      </c>
      <c r="O1754" s="42"/>
      <c r="P1754" s="40"/>
      <c r="Q1754" s="61"/>
      <c r="R1754" s="61"/>
      <c r="S1754" s="40"/>
      <c r="T1754" s="38"/>
      <c r="U1754" s="38"/>
      <c r="V1754" s="38"/>
      <c r="W1754" s="60"/>
      <c r="AB1754" s="42"/>
      <c r="AC1754" s="35"/>
      <c r="AD1754" s="38"/>
      <c r="AE1754" s="38"/>
      <c r="AF1754" s="38"/>
      <c r="AG1754" s="38"/>
      <c r="AH1754" s="60"/>
    </row>
    <row r="1755" spans="1:34" ht="15.75" customHeight="1">
      <c r="A1755" s="35"/>
      <c r="B1755" s="78" t="s">
        <v>6268</v>
      </c>
      <c r="C1755" s="88" t="s">
        <v>87</v>
      </c>
      <c r="D1755" s="20" t="s">
        <v>6269</v>
      </c>
      <c r="E1755" s="20" t="s">
        <v>6270</v>
      </c>
      <c r="F1755" s="19" t="s">
        <v>90</v>
      </c>
      <c r="G1755" s="19" t="s">
        <v>91</v>
      </c>
      <c r="H1755" s="21"/>
      <c r="I1755" s="21" t="s">
        <v>29</v>
      </c>
      <c r="J1755" s="21" t="s">
        <v>29</v>
      </c>
      <c r="K1755" s="22" t="s">
        <v>6271</v>
      </c>
      <c r="L1755" s="56">
        <v>45293</v>
      </c>
      <c r="O1755" s="42"/>
      <c r="P1755" s="40"/>
      <c r="Q1755" s="61"/>
      <c r="R1755" s="61"/>
      <c r="S1755" s="40"/>
      <c r="T1755" s="38"/>
      <c r="U1755" s="38"/>
      <c r="V1755" s="38"/>
      <c r="W1755" s="60"/>
      <c r="AB1755" s="42"/>
      <c r="AC1755" s="35"/>
      <c r="AD1755" s="38"/>
      <c r="AE1755" s="38"/>
      <c r="AF1755" s="38"/>
      <c r="AG1755" s="38"/>
      <c r="AH1755" s="60"/>
    </row>
    <row r="1756" spans="1:34" ht="15.75" customHeight="1">
      <c r="A1756" s="35"/>
      <c r="B1756" s="78" t="s">
        <v>6272</v>
      </c>
      <c r="C1756" s="88" t="s">
        <v>87</v>
      </c>
      <c r="D1756" s="20" t="s">
        <v>6273</v>
      </c>
      <c r="E1756" s="20" t="s">
        <v>6274</v>
      </c>
      <c r="F1756" s="19" t="s">
        <v>90</v>
      </c>
      <c r="G1756" s="19" t="s">
        <v>91</v>
      </c>
      <c r="H1756" s="21"/>
      <c r="I1756" s="21" t="s">
        <v>29</v>
      </c>
      <c r="J1756" s="21" t="s">
        <v>29</v>
      </c>
      <c r="K1756" s="22" t="s">
        <v>6274</v>
      </c>
      <c r="L1756" s="56">
        <v>45293</v>
      </c>
      <c r="O1756" s="42"/>
      <c r="P1756" s="40"/>
      <c r="Q1756" s="61"/>
      <c r="R1756" s="61"/>
      <c r="S1756" s="40"/>
      <c r="T1756" s="38"/>
      <c r="U1756" s="38"/>
      <c r="V1756" s="38"/>
      <c r="W1756" s="60"/>
      <c r="AB1756" s="42"/>
      <c r="AC1756" s="35"/>
      <c r="AD1756" s="38"/>
      <c r="AE1756" s="38"/>
      <c r="AF1756" s="38"/>
      <c r="AG1756" s="38"/>
      <c r="AH1756" s="60"/>
    </row>
    <row r="1757" spans="1:34" ht="15.75" customHeight="1">
      <c r="A1757" s="35"/>
      <c r="B1757" s="78" t="s">
        <v>6275</v>
      </c>
      <c r="C1757" s="88" t="s">
        <v>87</v>
      </c>
      <c r="D1757" s="20" t="s">
        <v>6276</v>
      </c>
      <c r="E1757" s="20" t="s">
        <v>6277</v>
      </c>
      <c r="F1757" s="19" t="s">
        <v>90</v>
      </c>
      <c r="G1757" s="19" t="s">
        <v>91</v>
      </c>
      <c r="H1757" s="21"/>
      <c r="I1757" s="21" t="s">
        <v>29</v>
      </c>
      <c r="J1757" s="21" t="s">
        <v>29</v>
      </c>
      <c r="K1757" s="22" t="s">
        <v>6278</v>
      </c>
      <c r="L1757" s="56">
        <v>45293</v>
      </c>
      <c r="O1757" s="42"/>
      <c r="P1757" s="40"/>
      <c r="Q1757" s="61"/>
      <c r="R1757" s="61"/>
      <c r="S1757" s="40"/>
      <c r="T1757" s="38"/>
      <c r="U1757" s="38"/>
      <c r="V1757" s="38"/>
      <c r="W1757" s="60"/>
      <c r="AB1757" s="42"/>
      <c r="AC1757" s="35"/>
      <c r="AD1757" s="38"/>
      <c r="AE1757" s="38"/>
      <c r="AF1757" s="38"/>
      <c r="AG1757" s="38"/>
      <c r="AH1757" s="60"/>
    </row>
    <row r="1758" spans="1:34" ht="15.75" customHeight="1">
      <c r="A1758" s="35"/>
      <c r="B1758" s="78" t="s">
        <v>6279</v>
      </c>
      <c r="C1758" s="88" t="s">
        <v>87</v>
      </c>
      <c r="D1758" s="20" t="s">
        <v>6280</v>
      </c>
      <c r="E1758" s="20" t="s">
        <v>6281</v>
      </c>
      <c r="F1758" s="19" t="s">
        <v>90</v>
      </c>
      <c r="G1758" s="19" t="s">
        <v>91</v>
      </c>
      <c r="H1758" s="21"/>
      <c r="I1758" s="21" t="s">
        <v>29</v>
      </c>
      <c r="J1758" s="21" t="s">
        <v>29</v>
      </c>
      <c r="K1758" s="22" t="s">
        <v>6282</v>
      </c>
      <c r="L1758" s="56">
        <v>45293</v>
      </c>
      <c r="O1758" s="42"/>
      <c r="P1758" s="40"/>
      <c r="Q1758" s="61"/>
      <c r="R1758" s="61"/>
      <c r="S1758" s="40"/>
      <c r="T1758" s="38"/>
      <c r="U1758" s="38"/>
      <c r="V1758" s="38"/>
      <c r="W1758" s="60"/>
      <c r="AB1758" s="42"/>
      <c r="AC1758" s="35"/>
      <c r="AD1758" s="38"/>
      <c r="AE1758" s="38"/>
      <c r="AF1758" s="38"/>
      <c r="AG1758" s="38"/>
      <c r="AH1758" s="60"/>
    </row>
    <row r="1759" spans="1:34" ht="15.75" customHeight="1">
      <c r="A1759" s="35"/>
      <c r="B1759" s="78" t="s">
        <v>6283</v>
      </c>
      <c r="C1759" s="88" t="s">
        <v>87</v>
      </c>
      <c r="D1759" s="20" t="s">
        <v>6284</v>
      </c>
      <c r="E1759" s="20" t="s">
        <v>6285</v>
      </c>
      <c r="F1759" s="19" t="s">
        <v>90</v>
      </c>
      <c r="G1759" s="19" t="s">
        <v>91</v>
      </c>
      <c r="H1759" s="21"/>
      <c r="I1759" s="21" t="s">
        <v>29</v>
      </c>
      <c r="J1759" s="21" t="s">
        <v>29</v>
      </c>
      <c r="K1759" s="22" t="s">
        <v>6286</v>
      </c>
      <c r="L1759" s="56">
        <v>45293</v>
      </c>
      <c r="O1759" s="42"/>
      <c r="P1759" s="40"/>
      <c r="Q1759" s="61"/>
      <c r="R1759" s="61"/>
      <c r="S1759" s="40"/>
      <c r="T1759" s="38"/>
      <c r="U1759" s="38"/>
      <c r="V1759" s="38"/>
      <c r="W1759" s="60"/>
      <c r="AB1759" s="42"/>
      <c r="AC1759" s="35"/>
      <c r="AD1759" s="38"/>
      <c r="AE1759" s="38"/>
      <c r="AF1759" s="38"/>
      <c r="AG1759" s="38"/>
      <c r="AH1759" s="60"/>
    </row>
    <row r="1760" spans="1:34" ht="15.75" customHeight="1">
      <c r="A1760" s="35"/>
      <c r="B1760" s="78" t="s">
        <v>6287</v>
      </c>
      <c r="C1760" s="88" t="s">
        <v>46</v>
      </c>
      <c r="D1760" s="20" t="s">
        <v>6288</v>
      </c>
      <c r="E1760" s="20" t="s">
        <v>6289</v>
      </c>
      <c r="F1760" s="37" t="s">
        <v>49</v>
      </c>
      <c r="G1760" s="19" t="s">
        <v>50</v>
      </c>
      <c r="H1760" s="21"/>
      <c r="I1760" s="21" t="s">
        <v>29</v>
      </c>
      <c r="J1760" s="21" t="s">
        <v>29</v>
      </c>
      <c r="K1760" s="22" t="s">
        <v>6290</v>
      </c>
      <c r="L1760" s="56">
        <v>45293</v>
      </c>
      <c r="O1760" s="42"/>
      <c r="P1760" s="40"/>
      <c r="Q1760" s="61"/>
      <c r="R1760" s="61"/>
      <c r="S1760" s="40"/>
      <c r="T1760" s="38"/>
      <c r="U1760" s="38"/>
      <c r="V1760" s="38"/>
      <c r="W1760" s="60"/>
      <c r="AB1760" s="42"/>
      <c r="AC1760" s="35"/>
      <c r="AD1760" s="38"/>
      <c r="AE1760" s="38"/>
      <c r="AF1760" s="38"/>
      <c r="AG1760" s="38"/>
      <c r="AH1760" s="60"/>
    </row>
    <row r="1761" spans="1:34" ht="15.75" customHeight="1">
      <c r="A1761" s="35"/>
      <c r="B1761" s="78" t="s">
        <v>6291</v>
      </c>
      <c r="C1761" s="88" t="s">
        <v>46</v>
      </c>
      <c r="D1761" s="20" t="s">
        <v>6292</v>
      </c>
      <c r="E1761" s="20" t="s">
        <v>6293</v>
      </c>
      <c r="F1761" s="37" t="s">
        <v>49</v>
      </c>
      <c r="G1761" s="19" t="s">
        <v>50</v>
      </c>
      <c r="H1761" s="21"/>
      <c r="I1761" s="21" t="s">
        <v>29</v>
      </c>
      <c r="J1761" s="21" t="s">
        <v>29</v>
      </c>
      <c r="K1761" s="22" t="s">
        <v>6294</v>
      </c>
      <c r="L1761" s="56">
        <v>45293</v>
      </c>
      <c r="O1761" s="42"/>
      <c r="P1761" s="40"/>
      <c r="Q1761" s="61"/>
      <c r="R1761" s="61"/>
      <c r="S1761" s="40"/>
      <c r="T1761" s="38"/>
      <c r="U1761" s="38"/>
      <c r="V1761" s="38"/>
      <c r="W1761" s="60"/>
      <c r="AB1761" s="42"/>
      <c r="AC1761" s="35"/>
      <c r="AD1761" s="38"/>
      <c r="AE1761" s="38"/>
      <c r="AF1761" s="38"/>
      <c r="AG1761" s="38"/>
      <c r="AH1761" s="60"/>
    </row>
    <row r="1762" spans="1:34" ht="15.75" customHeight="1">
      <c r="A1762" s="35"/>
      <c r="B1762" s="78" t="s">
        <v>6295</v>
      </c>
      <c r="C1762" s="88" t="s">
        <v>46</v>
      </c>
      <c r="D1762" s="20" t="s">
        <v>6296</v>
      </c>
      <c r="E1762" s="20" t="s">
        <v>6297</v>
      </c>
      <c r="F1762" s="37" t="s">
        <v>49</v>
      </c>
      <c r="G1762" s="19" t="s">
        <v>91</v>
      </c>
      <c r="H1762" s="21"/>
      <c r="I1762" s="21" t="s">
        <v>29</v>
      </c>
      <c r="J1762" s="21" t="s">
        <v>29</v>
      </c>
      <c r="K1762" s="22" t="s">
        <v>6298</v>
      </c>
      <c r="L1762" s="56">
        <v>45293</v>
      </c>
      <c r="O1762" s="42"/>
      <c r="P1762" s="40"/>
      <c r="Q1762" s="61"/>
      <c r="R1762" s="61"/>
      <c r="S1762" s="40"/>
      <c r="T1762" s="38"/>
      <c r="U1762" s="38"/>
      <c r="V1762" s="38"/>
      <c r="W1762" s="60"/>
      <c r="AB1762" s="42"/>
      <c r="AC1762" s="35"/>
      <c r="AD1762" s="38"/>
      <c r="AE1762" s="38"/>
      <c r="AF1762" s="38"/>
      <c r="AG1762" s="38"/>
      <c r="AH1762" s="60"/>
    </row>
    <row r="1763" spans="1:34" ht="15.75" customHeight="1">
      <c r="A1763" s="35"/>
      <c r="B1763" s="78" t="s">
        <v>6299</v>
      </c>
      <c r="C1763" s="88" t="s">
        <v>46</v>
      </c>
      <c r="D1763" s="20" t="s">
        <v>6300</v>
      </c>
      <c r="E1763" s="20" t="s">
        <v>6301</v>
      </c>
      <c r="F1763" s="37" t="s">
        <v>49</v>
      </c>
      <c r="G1763" s="19" t="s">
        <v>91</v>
      </c>
      <c r="H1763" s="21"/>
      <c r="I1763" s="21" t="s">
        <v>29</v>
      </c>
      <c r="J1763" s="21" t="s">
        <v>29</v>
      </c>
      <c r="K1763" s="22" t="s">
        <v>6302</v>
      </c>
      <c r="L1763" s="56">
        <v>45293</v>
      </c>
      <c r="O1763" s="42"/>
      <c r="P1763" s="40"/>
      <c r="Q1763" s="61"/>
      <c r="R1763" s="61"/>
      <c r="S1763" s="40"/>
      <c r="T1763" s="38"/>
      <c r="U1763" s="38"/>
      <c r="V1763" s="38"/>
      <c r="W1763" s="60"/>
      <c r="AB1763" s="42"/>
      <c r="AC1763" s="35"/>
      <c r="AD1763" s="38"/>
      <c r="AE1763" s="38"/>
      <c r="AF1763" s="38"/>
      <c r="AG1763" s="38"/>
      <c r="AH1763" s="60"/>
    </row>
    <row r="1764" spans="1:34" ht="15.75" customHeight="1">
      <c r="A1764" s="35"/>
      <c r="B1764" s="78" t="s">
        <v>6303</v>
      </c>
      <c r="C1764" s="88" t="s">
        <v>46</v>
      </c>
      <c r="D1764" s="20" t="s">
        <v>6304</v>
      </c>
      <c r="E1764" s="20" t="s">
        <v>6305</v>
      </c>
      <c r="F1764" s="37" t="s">
        <v>49</v>
      </c>
      <c r="G1764" s="19" t="s">
        <v>50</v>
      </c>
      <c r="H1764" s="21"/>
      <c r="I1764" s="21" t="s">
        <v>29</v>
      </c>
      <c r="J1764" s="21" t="s">
        <v>29</v>
      </c>
      <c r="K1764" s="22" t="s">
        <v>6306</v>
      </c>
      <c r="L1764" s="56">
        <v>45293</v>
      </c>
      <c r="O1764" s="42"/>
      <c r="P1764" s="40"/>
      <c r="Q1764" s="61"/>
      <c r="R1764" s="61"/>
      <c r="S1764" s="40"/>
      <c r="T1764" s="38"/>
      <c r="U1764" s="38"/>
      <c r="V1764" s="38"/>
      <c r="W1764" s="60"/>
      <c r="AB1764" s="42"/>
      <c r="AC1764" s="35"/>
      <c r="AD1764" s="38"/>
      <c r="AE1764" s="38"/>
      <c r="AF1764" s="38"/>
      <c r="AG1764" s="38"/>
      <c r="AH1764" s="60"/>
    </row>
    <row r="1765" spans="1:34" ht="15.75" customHeight="1">
      <c r="A1765" s="35"/>
      <c r="B1765" s="78" t="s">
        <v>6307</v>
      </c>
      <c r="C1765" s="88" t="s">
        <v>46</v>
      </c>
      <c r="D1765" s="20" t="s">
        <v>6308</v>
      </c>
      <c r="E1765" s="20" t="s">
        <v>6309</v>
      </c>
      <c r="F1765" s="37" t="s">
        <v>49</v>
      </c>
      <c r="G1765" s="19" t="s">
        <v>50</v>
      </c>
      <c r="H1765" s="21"/>
      <c r="I1765" s="21" t="s">
        <v>29</v>
      </c>
      <c r="J1765" s="21" t="s">
        <v>29</v>
      </c>
      <c r="K1765" s="22" t="s">
        <v>6309</v>
      </c>
      <c r="L1765" s="56">
        <v>45293</v>
      </c>
      <c r="O1765" s="42"/>
      <c r="P1765" s="40"/>
      <c r="Q1765" s="61"/>
      <c r="R1765" s="61"/>
      <c r="S1765" s="40"/>
      <c r="T1765" s="38"/>
      <c r="U1765" s="38"/>
      <c r="V1765" s="38"/>
      <c r="W1765" s="60"/>
      <c r="AB1765" s="42"/>
      <c r="AC1765" s="35"/>
      <c r="AD1765" s="38"/>
      <c r="AE1765" s="38"/>
      <c r="AF1765" s="38"/>
      <c r="AG1765" s="38"/>
      <c r="AH1765" s="60"/>
    </row>
    <row r="1766" spans="1:34" ht="15.75" customHeight="1">
      <c r="A1766" s="35"/>
      <c r="B1766" s="78" t="s">
        <v>6310</v>
      </c>
      <c r="C1766" s="88" t="s">
        <v>46</v>
      </c>
      <c r="D1766" s="20" t="s">
        <v>6311</v>
      </c>
      <c r="E1766" s="20" t="s">
        <v>6312</v>
      </c>
      <c r="F1766" s="37" t="s">
        <v>49</v>
      </c>
      <c r="G1766" s="19" t="s">
        <v>50</v>
      </c>
      <c r="H1766" s="21"/>
      <c r="I1766" s="21" t="s">
        <v>29</v>
      </c>
      <c r="J1766" s="21" t="s">
        <v>29</v>
      </c>
      <c r="K1766" s="22" t="s">
        <v>6313</v>
      </c>
      <c r="L1766" s="56">
        <v>45293</v>
      </c>
      <c r="O1766" s="42"/>
      <c r="P1766" s="40"/>
      <c r="Q1766" s="61"/>
      <c r="R1766" s="61"/>
      <c r="S1766" s="40"/>
      <c r="T1766" s="38"/>
      <c r="U1766" s="38"/>
      <c r="V1766" s="38"/>
      <c r="W1766" s="60"/>
      <c r="AB1766" s="42"/>
      <c r="AC1766" s="35"/>
      <c r="AD1766" s="38"/>
      <c r="AE1766" s="38"/>
      <c r="AF1766" s="38"/>
      <c r="AG1766" s="38"/>
      <c r="AH1766" s="60"/>
    </row>
    <row r="1767" spans="1:34" ht="15.75" customHeight="1">
      <c r="A1767" s="35"/>
      <c r="B1767" s="78" t="s">
        <v>6314</v>
      </c>
      <c r="C1767" s="88" t="s">
        <v>46</v>
      </c>
      <c r="D1767" s="20" t="s">
        <v>6315</v>
      </c>
      <c r="E1767" s="20" t="s">
        <v>6316</v>
      </c>
      <c r="F1767" s="37" t="s">
        <v>49</v>
      </c>
      <c r="G1767" s="19" t="s">
        <v>50</v>
      </c>
      <c r="H1767" s="21"/>
      <c r="I1767" s="21" t="s">
        <v>29</v>
      </c>
      <c r="J1767" s="21" t="s">
        <v>29</v>
      </c>
      <c r="K1767" s="22" t="s">
        <v>6317</v>
      </c>
      <c r="L1767" s="56">
        <v>45293</v>
      </c>
      <c r="O1767" s="42"/>
      <c r="P1767" s="40"/>
      <c r="Q1767" s="61"/>
      <c r="R1767" s="61"/>
      <c r="S1767" s="40"/>
      <c r="T1767" s="38"/>
      <c r="U1767" s="38"/>
      <c r="V1767" s="38"/>
      <c r="W1767" s="60"/>
      <c r="AB1767" s="42"/>
      <c r="AC1767" s="35"/>
      <c r="AD1767" s="38"/>
      <c r="AE1767" s="38"/>
      <c r="AF1767" s="38"/>
      <c r="AG1767" s="38"/>
      <c r="AH1767" s="60"/>
    </row>
    <row r="1768" spans="1:34" ht="15.75" customHeight="1">
      <c r="A1768" s="35"/>
      <c r="B1768" s="78" t="s">
        <v>6318</v>
      </c>
      <c r="C1768" s="88" t="s">
        <v>46</v>
      </c>
      <c r="D1768" s="20" t="s">
        <v>6319</v>
      </c>
      <c r="E1768" s="20" t="s">
        <v>6320</v>
      </c>
      <c r="F1768" s="37" t="s">
        <v>49</v>
      </c>
      <c r="G1768" s="19" t="s">
        <v>50</v>
      </c>
      <c r="H1768" s="21"/>
      <c r="I1768" s="21" t="s">
        <v>29</v>
      </c>
      <c r="J1768" s="21" t="s">
        <v>29</v>
      </c>
      <c r="K1768" s="22" t="s">
        <v>6321</v>
      </c>
      <c r="L1768" s="56">
        <v>45293</v>
      </c>
      <c r="O1768" s="42"/>
      <c r="P1768" s="40"/>
      <c r="Q1768" s="61"/>
      <c r="R1768" s="61"/>
      <c r="S1768" s="40"/>
      <c r="T1768" s="38"/>
      <c r="U1768" s="38"/>
      <c r="V1768" s="38"/>
      <c r="W1768" s="60"/>
      <c r="AB1768" s="42"/>
      <c r="AC1768" s="35"/>
      <c r="AD1768" s="38"/>
      <c r="AE1768" s="38"/>
      <c r="AF1768" s="38"/>
      <c r="AG1768" s="38"/>
      <c r="AH1768" s="60"/>
    </row>
    <row r="1769" spans="1:34" ht="15.75" customHeight="1">
      <c r="A1769" s="35"/>
      <c r="B1769" s="78" t="s">
        <v>6322</v>
      </c>
      <c r="C1769" s="88" t="s">
        <v>46</v>
      </c>
      <c r="D1769" s="20" t="s">
        <v>6323</v>
      </c>
      <c r="E1769" s="20"/>
      <c r="F1769" s="37" t="s">
        <v>49</v>
      </c>
      <c r="G1769" s="19" t="s">
        <v>50</v>
      </c>
      <c r="H1769" s="21"/>
      <c r="I1769" s="21" t="s">
        <v>29</v>
      </c>
      <c r="J1769" s="21" t="s">
        <v>29</v>
      </c>
      <c r="K1769" s="22"/>
      <c r="L1769" s="56">
        <v>45293</v>
      </c>
      <c r="O1769" s="42"/>
      <c r="P1769" s="40"/>
      <c r="Q1769" s="61"/>
      <c r="R1769" s="61"/>
      <c r="S1769" s="40"/>
      <c r="T1769" s="38"/>
      <c r="U1769" s="38"/>
      <c r="V1769" s="38"/>
      <c r="W1769" s="60"/>
      <c r="AB1769" s="42"/>
      <c r="AC1769" s="35"/>
      <c r="AD1769" s="38"/>
      <c r="AE1769" s="38"/>
      <c r="AF1769" s="38"/>
      <c r="AG1769" s="38"/>
      <c r="AH1769" s="60"/>
    </row>
    <row r="1770" spans="1:34" ht="15.75" customHeight="1">
      <c r="A1770" s="35"/>
      <c r="B1770" s="78" t="s">
        <v>6324</v>
      </c>
      <c r="C1770" s="88" t="s">
        <v>46</v>
      </c>
      <c r="D1770" s="20" t="s">
        <v>6325</v>
      </c>
      <c r="E1770" s="20" t="s">
        <v>6326</v>
      </c>
      <c r="F1770" s="37" t="s">
        <v>49</v>
      </c>
      <c r="G1770" s="19" t="s">
        <v>50</v>
      </c>
      <c r="H1770" s="21"/>
      <c r="I1770" s="21" t="s">
        <v>29</v>
      </c>
      <c r="J1770" s="21" t="s">
        <v>29</v>
      </c>
      <c r="K1770" s="22" t="s">
        <v>6327</v>
      </c>
      <c r="L1770" s="56">
        <v>45293</v>
      </c>
      <c r="O1770" s="42"/>
      <c r="P1770" s="40"/>
      <c r="Q1770" s="61"/>
      <c r="R1770" s="61"/>
      <c r="S1770" s="40"/>
      <c r="T1770" s="38"/>
      <c r="U1770" s="38"/>
      <c r="V1770" s="38"/>
      <c r="W1770" s="60"/>
      <c r="AB1770" s="42"/>
      <c r="AC1770" s="35"/>
      <c r="AD1770" s="38"/>
      <c r="AE1770" s="38"/>
      <c r="AF1770" s="38"/>
      <c r="AG1770" s="38"/>
      <c r="AH1770" s="60"/>
    </row>
    <row r="1771" spans="1:34" ht="15.75" customHeight="1">
      <c r="A1771" s="35"/>
      <c r="B1771" s="78" t="s">
        <v>6328</v>
      </c>
      <c r="C1771" s="88" t="s">
        <v>46</v>
      </c>
      <c r="D1771" s="20" t="s">
        <v>6329</v>
      </c>
      <c r="E1771" s="20" t="s">
        <v>6330</v>
      </c>
      <c r="F1771" s="37" t="s">
        <v>49</v>
      </c>
      <c r="G1771" s="19" t="s">
        <v>50</v>
      </c>
      <c r="H1771" s="21"/>
      <c r="I1771" s="21" t="s">
        <v>29</v>
      </c>
      <c r="J1771" s="21" t="s">
        <v>29</v>
      </c>
      <c r="K1771" s="22" t="s">
        <v>6331</v>
      </c>
      <c r="L1771" s="56">
        <v>45293</v>
      </c>
      <c r="O1771" s="42"/>
      <c r="P1771" s="40"/>
      <c r="Q1771" s="61"/>
      <c r="R1771" s="61"/>
      <c r="S1771" s="40"/>
      <c r="T1771" s="38"/>
      <c r="U1771" s="38"/>
      <c r="V1771" s="38"/>
      <c r="W1771" s="60"/>
      <c r="AB1771" s="42"/>
      <c r="AC1771" s="35"/>
      <c r="AD1771" s="38"/>
      <c r="AE1771" s="38"/>
      <c r="AF1771" s="38"/>
      <c r="AG1771" s="38"/>
      <c r="AH1771" s="60"/>
    </row>
    <row r="1772" spans="1:34" ht="15.75" customHeight="1">
      <c r="A1772" s="35"/>
      <c r="B1772" s="78" t="s">
        <v>6332</v>
      </c>
      <c r="C1772" s="88" t="s">
        <v>46</v>
      </c>
      <c r="D1772" s="20" t="s">
        <v>6333</v>
      </c>
      <c r="E1772" s="20"/>
      <c r="F1772" s="37" t="s">
        <v>49</v>
      </c>
      <c r="G1772" s="19" t="s">
        <v>50</v>
      </c>
      <c r="H1772" s="21"/>
      <c r="I1772" s="21" t="s">
        <v>29</v>
      </c>
      <c r="J1772" s="21" t="s">
        <v>29</v>
      </c>
      <c r="K1772" s="22"/>
      <c r="L1772" s="56">
        <v>45293</v>
      </c>
      <c r="O1772" s="42"/>
      <c r="P1772" s="40"/>
      <c r="Q1772" s="61"/>
      <c r="R1772" s="61"/>
      <c r="S1772" s="40"/>
      <c r="T1772" s="38"/>
      <c r="U1772" s="38"/>
      <c r="V1772" s="38"/>
      <c r="W1772" s="60"/>
      <c r="AB1772" s="42"/>
      <c r="AC1772" s="35"/>
      <c r="AD1772" s="38"/>
      <c r="AE1772" s="38"/>
      <c r="AF1772" s="38"/>
      <c r="AG1772" s="38"/>
      <c r="AH1772" s="60"/>
    </row>
    <row r="1773" spans="1:34" ht="15.75" customHeight="1">
      <c r="A1773" s="35"/>
      <c r="B1773" s="78" t="s">
        <v>6334</v>
      </c>
      <c r="C1773" s="37" t="s">
        <v>1470</v>
      </c>
      <c r="D1773" s="20" t="s">
        <v>6335</v>
      </c>
      <c r="E1773" s="20"/>
      <c r="F1773" s="19" t="s">
        <v>3286</v>
      </c>
      <c r="G1773" s="19" t="s">
        <v>1461</v>
      </c>
      <c r="H1773" s="37"/>
      <c r="I1773" s="21" t="s">
        <v>233</v>
      </c>
      <c r="J1773" s="21" t="s">
        <v>233</v>
      </c>
      <c r="K1773" s="22"/>
      <c r="L1773" s="56">
        <v>45293</v>
      </c>
      <c r="O1773" s="42"/>
      <c r="P1773" s="40"/>
      <c r="Q1773" s="61"/>
      <c r="R1773" s="61"/>
      <c r="S1773" s="40"/>
      <c r="T1773" s="38"/>
      <c r="U1773" s="38"/>
      <c r="V1773" s="38"/>
      <c r="W1773" s="60"/>
      <c r="AB1773" s="42"/>
      <c r="AC1773" s="35"/>
      <c r="AD1773" s="38"/>
      <c r="AE1773" s="38"/>
      <c r="AF1773" s="38"/>
      <c r="AG1773" s="38"/>
      <c r="AH1773" s="60"/>
    </row>
    <row r="1774" spans="1:34" ht="15.75" customHeight="1">
      <c r="A1774" s="35"/>
      <c r="B1774" s="78" t="s">
        <v>6336</v>
      </c>
      <c r="C1774" s="37" t="s">
        <v>1430</v>
      </c>
      <c r="D1774" s="20" t="s">
        <v>6337</v>
      </c>
      <c r="E1774" s="20"/>
      <c r="F1774" s="55" t="s">
        <v>1445</v>
      </c>
      <c r="G1774" s="55" t="s">
        <v>1432</v>
      </c>
      <c r="H1774" s="37"/>
      <c r="I1774" s="21" t="s">
        <v>233</v>
      </c>
      <c r="J1774" s="21" t="s">
        <v>233</v>
      </c>
      <c r="K1774" s="22"/>
      <c r="L1774" s="56">
        <v>45293</v>
      </c>
      <c r="O1774" s="42"/>
      <c r="P1774" s="40"/>
      <c r="Q1774" s="61"/>
      <c r="R1774" s="61"/>
      <c r="S1774" s="40"/>
      <c r="T1774" s="38"/>
      <c r="U1774" s="38"/>
      <c r="V1774" s="38"/>
      <c r="W1774" s="60"/>
      <c r="AB1774" s="42"/>
      <c r="AC1774" s="35"/>
      <c r="AD1774" s="38"/>
      <c r="AE1774" s="38"/>
      <c r="AF1774" s="38"/>
      <c r="AG1774" s="38"/>
      <c r="AH1774" s="60"/>
    </row>
    <row r="1775" spans="1:34" ht="15.75" customHeight="1">
      <c r="A1775" s="35"/>
      <c r="B1775" s="78" t="s">
        <v>6338</v>
      </c>
      <c r="C1775" s="37" t="s">
        <v>1470</v>
      </c>
      <c r="D1775" s="20" t="s">
        <v>6339</v>
      </c>
      <c r="E1775" s="20" t="s">
        <v>6340</v>
      </c>
      <c r="F1775" s="19" t="s">
        <v>3286</v>
      </c>
      <c r="G1775" s="37" t="s">
        <v>1461</v>
      </c>
      <c r="H1775" s="37"/>
      <c r="I1775" s="21" t="s">
        <v>233</v>
      </c>
      <c r="J1775" s="21" t="s">
        <v>233</v>
      </c>
      <c r="K1775" s="22" t="s">
        <v>6341</v>
      </c>
      <c r="L1775" s="56">
        <v>45293</v>
      </c>
      <c r="O1775" s="42"/>
      <c r="P1775" s="40"/>
      <c r="Q1775" s="61"/>
      <c r="R1775" s="61"/>
      <c r="S1775" s="40"/>
      <c r="T1775" s="38"/>
      <c r="U1775" s="38"/>
      <c r="V1775" s="38"/>
      <c r="W1775" s="60"/>
      <c r="AB1775" s="42"/>
      <c r="AC1775" s="35"/>
      <c r="AD1775" s="38"/>
      <c r="AE1775" s="38"/>
      <c r="AF1775" s="38"/>
      <c r="AG1775" s="38"/>
      <c r="AH1775" s="60"/>
    </row>
    <row r="1776" spans="1:34" ht="15.75" customHeight="1">
      <c r="A1776" s="35"/>
      <c r="B1776" s="78" t="s">
        <v>6342</v>
      </c>
      <c r="C1776" s="37" t="s">
        <v>1430</v>
      </c>
      <c r="D1776" s="20" t="s">
        <v>6343</v>
      </c>
      <c r="E1776" s="20" t="s">
        <v>6344</v>
      </c>
      <c r="F1776" s="55" t="s">
        <v>1445</v>
      </c>
      <c r="G1776" s="55" t="s">
        <v>1432</v>
      </c>
      <c r="H1776" s="37"/>
      <c r="I1776" s="21" t="s">
        <v>233</v>
      </c>
      <c r="J1776" s="21" t="s">
        <v>233</v>
      </c>
      <c r="K1776" s="22" t="s">
        <v>6345</v>
      </c>
      <c r="L1776" s="56">
        <v>45293</v>
      </c>
      <c r="O1776" s="42"/>
      <c r="P1776" s="40"/>
      <c r="Q1776" s="61"/>
      <c r="R1776" s="61"/>
      <c r="S1776" s="40"/>
      <c r="T1776" s="38"/>
      <c r="U1776" s="38"/>
      <c r="V1776" s="38"/>
      <c r="W1776" s="60"/>
      <c r="AB1776" s="42"/>
      <c r="AC1776" s="35"/>
      <c r="AD1776" s="38"/>
      <c r="AE1776" s="38"/>
      <c r="AF1776" s="38"/>
      <c r="AG1776" s="38"/>
      <c r="AH1776" s="60"/>
    </row>
    <row r="1777" spans="1:34" ht="15.75" customHeight="1">
      <c r="A1777" s="35"/>
      <c r="B1777" s="78" t="s">
        <v>6346</v>
      </c>
      <c r="C1777" s="37" t="s">
        <v>412</v>
      </c>
      <c r="D1777" s="20" t="s">
        <v>6347</v>
      </c>
      <c r="E1777" s="20" t="s">
        <v>6348</v>
      </c>
      <c r="F1777" s="19" t="s">
        <v>414</v>
      </c>
      <c r="G1777" s="19" t="s">
        <v>415</v>
      </c>
      <c r="H1777" s="37"/>
      <c r="I1777" s="21" t="s">
        <v>233</v>
      </c>
      <c r="J1777" s="21" t="s">
        <v>233</v>
      </c>
      <c r="K1777" s="22" t="s">
        <v>6348</v>
      </c>
      <c r="L1777" s="56">
        <v>45293</v>
      </c>
      <c r="O1777" s="42"/>
      <c r="P1777" s="40"/>
      <c r="Q1777" s="61"/>
      <c r="R1777" s="61"/>
      <c r="S1777" s="40"/>
      <c r="T1777" s="38"/>
      <c r="U1777" s="38"/>
      <c r="V1777" s="38"/>
      <c r="W1777" s="60"/>
      <c r="AB1777" s="42"/>
      <c r="AC1777" s="35"/>
      <c r="AD1777" s="38"/>
      <c r="AE1777" s="38"/>
      <c r="AF1777" s="38"/>
      <c r="AG1777" s="38"/>
      <c r="AH1777" s="60"/>
    </row>
    <row r="1778" spans="1:34" ht="15.75" customHeight="1">
      <c r="A1778" s="35"/>
      <c r="B1778" s="78" t="s">
        <v>6349</v>
      </c>
      <c r="C1778" s="37" t="s">
        <v>1430</v>
      </c>
      <c r="D1778" s="20" t="s">
        <v>6350</v>
      </c>
      <c r="E1778" s="20"/>
      <c r="F1778" s="55" t="s">
        <v>1445</v>
      </c>
      <c r="G1778" s="55" t="s">
        <v>1432</v>
      </c>
      <c r="H1778" s="37"/>
      <c r="I1778" s="21" t="s">
        <v>233</v>
      </c>
      <c r="J1778" s="21" t="s">
        <v>233</v>
      </c>
      <c r="K1778" s="22"/>
      <c r="L1778" s="56">
        <v>45293</v>
      </c>
      <c r="O1778" s="42"/>
      <c r="P1778" s="40"/>
      <c r="Q1778" s="61"/>
      <c r="R1778" s="61"/>
      <c r="S1778" s="40"/>
      <c r="T1778" s="38"/>
      <c r="U1778" s="38"/>
      <c r="V1778" s="38"/>
      <c r="W1778" s="60"/>
      <c r="AB1778" s="42"/>
      <c r="AC1778" s="35"/>
      <c r="AD1778" s="38"/>
      <c r="AE1778" s="38"/>
      <c r="AF1778" s="38"/>
      <c r="AG1778" s="38"/>
      <c r="AH1778" s="60"/>
    </row>
    <row r="1779" spans="1:34" ht="15.75" customHeight="1">
      <c r="A1779" s="35"/>
      <c r="B1779" s="78" t="s">
        <v>6351</v>
      </c>
      <c r="C1779" s="37" t="s">
        <v>1470</v>
      </c>
      <c r="D1779" s="20" t="s">
        <v>6352</v>
      </c>
      <c r="E1779" s="20" t="s">
        <v>6353</v>
      </c>
      <c r="F1779" s="19" t="s">
        <v>3286</v>
      </c>
      <c r="G1779" s="19" t="s">
        <v>1461</v>
      </c>
      <c r="H1779" s="37"/>
      <c r="I1779" s="21" t="s">
        <v>233</v>
      </c>
      <c r="J1779" s="21" t="s">
        <v>233</v>
      </c>
      <c r="K1779" s="22" t="s">
        <v>6354</v>
      </c>
      <c r="L1779" s="56">
        <v>45293</v>
      </c>
      <c r="O1779" s="42"/>
      <c r="P1779" s="40"/>
      <c r="Q1779" s="61"/>
      <c r="R1779" s="61"/>
      <c r="S1779" s="40"/>
      <c r="T1779" s="38"/>
      <c r="U1779" s="38"/>
      <c r="V1779" s="38"/>
      <c r="W1779" s="60"/>
      <c r="AB1779" s="42"/>
      <c r="AC1779" s="35"/>
      <c r="AD1779" s="38"/>
      <c r="AE1779" s="38"/>
      <c r="AF1779" s="38"/>
      <c r="AG1779" s="38"/>
      <c r="AH1779" s="60"/>
    </row>
    <row r="1780" spans="1:34" ht="15.75" customHeight="1">
      <c r="A1780" s="35"/>
      <c r="B1780" s="78" t="s">
        <v>6355</v>
      </c>
      <c r="C1780" s="37" t="s">
        <v>1430</v>
      </c>
      <c r="D1780" s="20" t="s">
        <v>6356</v>
      </c>
      <c r="E1780" s="20"/>
      <c r="F1780" s="55" t="s">
        <v>1445</v>
      </c>
      <c r="G1780" s="55" t="s">
        <v>1432</v>
      </c>
      <c r="H1780" s="37"/>
      <c r="I1780" s="21" t="s">
        <v>233</v>
      </c>
      <c r="J1780" s="21" t="s">
        <v>233</v>
      </c>
      <c r="K1780" s="22"/>
      <c r="L1780" s="56">
        <v>45293</v>
      </c>
      <c r="O1780" s="42"/>
      <c r="P1780" s="40"/>
      <c r="Q1780" s="61"/>
      <c r="R1780" s="61"/>
      <c r="S1780" s="40"/>
      <c r="T1780" s="38"/>
      <c r="U1780" s="38"/>
      <c r="V1780" s="38"/>
      <c r="W1780" s="60"/>
      <c r="AB1780" s="42"/>
      <c r="AC1780" s="35"/>
      <c r="AD1780" s="38"/>
      <c r="AE1780" s="38"/>
      <c r="AF1780" s="38"/>
      <c r="AG1780" s="38"/>
      <c r="AH1780" s="60"/>
    </row>
    <row r="1781" spans="1:34" ht="15.75" customHeight="1">
      <c r="A1781" s="35"/>
      <c r="B1781" s="78" t="s">
        <v>6357</v>
      </c>
      <c r="C1781" s="37" t="s">
        <v>1430</v>
      </c>
      <c r="D1781" s="20" t="s">
        <v>6358</v>
      </c>
      <c r="E1781" s="20" t="s">
        <v>6359</v>
      </c>
      <c r="F1781" s="55" t="s">
        <v>1445</v>
      </c>
      <c r="G1781" s="55" t="s">
        <v>1432</v>
      </c>
      <c r="H1781" s="37"/>
      <c r="I1781" s="21" t="s">
        <v>233</v>
      </c>
      <c r="J1781" s="21" t="s">
        <v>233</v>
      </c>
      <c r="K1781" s="22" t="s">
        <v>6360</v>
      </c>
      <c r="L1781" s="56">
        <v>45293</v>
      </c>
      <c r="O1781" s="42"/>
      <c r="P1781" s="40"/>
      <c r="Q1781" s="61"/>
      <c r="R1781" s="61"/>
      <c r="S1781" s="40"/>
      <c r="T1781" s="38"/>
      <c r="U1781" s="38"/>
      <c r="V1781" s="38"/>
      <c r="W1781" s="60"/>
      <c r="AB1781" s="42"/>
      <c r="AC1781" s="35"/>
      <c r="AD1781" s="38"/>
      <c r="AE1781" s="38"/>
      <c r="AF1781" s="38"/>
      <c r="AG1781" s="38"/>
      <c r="AH1781" s="60"/>
    </row>
    <row r="1782" spans="1:34" ht="15.75" customHeight="1">
      <c r="A1782" s="35"/>
      <c r="B1782" s="78" t="s">
        <v>6361</v>
      </c>
      <c r="C1782" s="37" t="s">
        <v>1470</v>
      </c>
      <c r="D1782" s="20" t="s">
        <v>6362</v>
      </c>
      <c r="E1782" s="20" t="s">
        <v>6363</v>
      </c>
      <c r="F1782" s="19" t="s">
        <v>3286</v>
      </c>
      <c r="G1782" s="37" t="s">
        <v>1461</v>
      </c>
      <c r="H1782" s="37"/>
      <c r="I1782" s="21" t="s">
        <v>233</v>
      </c>
      <c r="J1782" s="21" t="s">
        <v>233</v>
      </c>
      <c r="K1782" s="22" t="s">
        <v>6364</v>
      </c>
      <c r="L1782" s="56">
        <v>45293</v>
      </c>
      <c r="O1782" s="42"/>
      <c r="P1782" s="40"/>
      <c r="Q1782" s="61"/>
      <c r="R1782" s="61"/>
      <c r="S1782" s="40"/>
      <c r="T1782" s="38"/>
      <c r="U1782" s="38"/>
      <c r="V1782" s="38"/>
      <c r="W1782" s="60"/>
      <c r="AB1782" s="42"/>
      <c r="AC1782" s="35"/>
      <c r="AD1782" s="38"/>
      <c r="AE1782" s="38"/>
      <c r="AF1782" s="38"/>
      <c r="AG1782" s="38"/>
      <c r="AH1782" s="60"/>
    </row>
    <row r="1783" spans="1:34" ht="15.75" customHeight="1">
      <c r="A1783" s="35"/>
      <c r="B1783" s="38"/>
      <c r="C1783" s="37"/>
      <c r="D1783" s="20"/>
      <c r="E1783" s="20"/>
      <c r="F1783" s="37"/>
      <c r="G1783" s="37"/>
      <c r="H1783" s="37"/>
      <c r="I1783" s="21"/>
      <c r="J1783" s="21"/>
      <c r="K1783" s="22"/>
      <c r="L1783" s="56"/>
      <c r="O1783" s="42"/>
      <c r="P1783" s="40"/>
      <c r="Q1783" s="61"/>
      <c r="R1783" s="61"/>
      <c r="S1783" s="40"/>
      <c r="T1783" s="38"/>
      <c r="U1783" s="38"/>
      <c r="V1783" s="38"/>
      <c r="W1783" s="60"/>
      <c r="AB1783" s="42"/>
      <c r="AC1783" s="35"/>
      <c r="AD1783" s="38"/>
      <c r="AE1783" s="38"/>
      <c r="AF1783" s="38"/>
      <c r="AG1783" s="38"/>
      <c r="AH1783" s="60"/>
    </row>
    <row r="1784" spans="1:34" ht="15.75" customHeight="1">
      <c r="A1784" s="35" t="s">
        <v>6365</v>
      </c>
      <c r="B1784" s="80" t="s">
        <v>6366</v>
      </c>
      <c r="C1784" s="37" t="s">
        <v>87</v>
      </c>
      <c r="D1784" s="20" t="s">
        <v>6367</v>
      </c>
      <c r="E1784" s="20" t="s">
        <v>6368</v>
      </c>
      <c r="F1784" s="37" t="s">
        <v>49</v>
      </c>
      <c r="G1784" s="19" t="s">
        <v>50</v>
      </c>
      <c r="H1784" s="37"/>
      <c r="I1784" s="21" t="s">
        <v>29</v>
      </c>
      <c r="J1784" s="21" t="s">
        <v>29</v>
      </c>
      <c r="K1784" s="22" t="s">
        <v>6368</v>
      </c>
      <c r="L1784" s="56">
        <v>45293</v>
      </c>
      <c r="M1784" s="40"/>
      <c r="N1784" s="40"/>
      <c r="O1784" s="42"/>
      <c r="P1784" s="40"/>
      <c r="Q1784" s="61"/>
      <c r="R1784" s="61"/>
      <c r="S1784" s="40"/>
      <c r="T1784" s="38"/>
      <c r="U1784" s="38"/>
      <c r="V1784" s="38"/>
      <c r="W1784" s="60"/>
      <c r="AB1784" s="42"/>
      <c r="AC1784" s="35"/>
      <c r="AD1784" s="38"/>
      <c r="AE1784" s="38"/>
      <c r="AF1784" s="38"/>
      <c r="AG1784" s="38"/>
      <c r="AH1784" s="60"/>
    </row>
    <row r="1785" spans="1:34" ht="15.75" customHeight="1">
      <c r="A1785" s="86" t="s">
        <v>6369</v>
      </c>
      <c r="B1785" s="78" t="s">
        <v>3744</v>
      </c>
      <c r="C1785" s="37" t="s">
        <v>24</v>
      </c>
      <c r="D1785" s="20" t="s">
        <v>6370</v>
      </c>
      <c r="E1785" s="20" t="s">
        <v>6371</v>
      </c>
      <c r="F1785" s="19" t="s">
        <v>27</v>
      </c>
      <c r="G1785" s="19" t="s">
        <v>28</v>
      </c>
      <c r="H1785" s="37"/>
      <c r="I1785" s="21" t="s">
        <v>29</v>
      </c>
      <c r="J1785" s="21" t="s">
        <v>29</v>
      </c>
      <c r="K1785" s="22" t="s">
        <v>6372</v>
      </c>
      <c r="L1785" s="56">
        <v>45293</v>
      </c>
      <c r="O1785" s="42"/>
      <c r="P1785" s="40"/>
      <c r="Q1785" s="61"/>
      <c r="R1785" s="61"/>
      <c r="S1785" s="40"/>
      <c r="T1785" s="38"/>
      <c r="U1785" s="38"/>
      <c r="V1785" s="38"/>
      <c r="W1785" s="60"/>
      <c r="AB1785" s="42"/>
      <c r="AC1785" s="35"/>
      <c r="AD1785" s="38"/>
      <c r="AE1785" s="38"/>
      <c r="AF1785" s="38"/>
      <c r="AG1785" s="38"/>
      <c r="AH1785" s="60"/>
    </row>
    <row r="1786" spans="1:34" ht="15.75" customHeight="1">
      <c r="A1786" s="50" t="s">
        <v>39</v>
      </c>
      <c r="B1786" s="78" t="s">
        <v>6373</v>
      </c>
      <c r="C1786" s="37" t="s">
        <v>24</v>
      </c>
      <c r="D1786" s="20" t="s">
        <v>6374</v>
      </c>
      <c r="E1786" s="20" t="s">
        <v>6375</v>
      </c>
      <c r="F1786" s="19" t="s">
        <v>27</v>
      </c>
      <c r="G1786" s="19" t="s">
        <v>28</v>
      </c>
      <c r="H1786" s="37"/>
      <c r="I1786" s="21" t="s">
        <v>29</v>
      </c>
      <c r="J1786" s="21" t="s">
        <v>29</v>
      </c>
      <c r="K1786" s="22" t="s">
        <v>6376</v>
      </c>
      <c r="L1786" s="56">
        <v>45293</v>
      </c>
      <c r="O1786" s="42"/>
      <c r="P1786" s="40"/>
      <c r="Q1786" s="61"/>
      <c r="R1786" s="61"/>
      <c r="S1786" s="40"/>
      <c r="T1786" s="38"/>
      <c r="U1786" s="38"/>
      <c r="V1786" s="38"/>
      <c r="W1786" s="60"/>
      <c r="AB1786" s="42"/>
      <c r="AC1786" s="35"/>
      <c r="AD1786" s="38"/>
      <c r="AE1786" s="38"/>
      <c r="AF1786" s="38"/>
      <c r="AG1786" s="38"/>
      <c r="AH1786" s="60"/>
    </row>
    <row r="1787" spans="1:34" ht="15.75" customHeight="1">
      <c r="A1787" s="35" t="s">
        <v>5857</v>
      </c>
      <c r="B1787" s="78" t="s">
        <v>6377</v>
      </c>
      <c r="C1787" s="37" t="s">
        <v>24</v>
      </c>
      <c r="D1787" s="20" t="s">
        <v>6378</v>
      </c>
      <c r="E1787" s="20" t="s">
        <v>6379</v>
      </c>
      <c r="F1787" s="19" t="s">
        <v>27</v>
      </c>
      <c r="G1787" s="19" t="s">
        <v>28</v>
      </c>
      <c r="H1787" s="19" t="s">
        <v>36</v>
      </c>
      <c r="I1787" s="21" t="s">
        <v>29</v>
      </c>
      <c r="J1787" s="21" t="s">
        <v>29</v>
      </c>
      <c r="K1787" s="22" t="s">
        <v>6380</v>
      </c>
      <c r="L1787" s="56">
        <v>45293</v>
      </c>
      <c r="O1787" s="42"/>
      <c r="P1787" s="40"/>
      <c r="Q1787" s="61"/>
      <c r="R1787" s="61"/>
      <c r="S1787" s="40"/>
      <c r="T1787" s="38"/>
      <c r="U1787" s="38"/>
      <c r="V1787" s="38"/>
      <c r="W1787" s="60"/>
      <c r="AB1787" s="42"/>
      <c r="AC1787" s="35"/>
      <c r="AD1787" s="38"/>
      <c r="AE1787" s="38"/>
      <c r="AF1787" s="38"/>
      <c r="AG1787" s="38"/>
      <c r="AH1787" s="60"/>
    </row>
    <row r="1788" spans="1:34" ht="15.75" customHeight="1">
      <c r="A1788" s="35" t="s">
        <v>6381</v>
      </c>
      <c r="B1788" s="78" t="s">
        <v>6382</v>
      </c>
      <c r="C1788" s="37" t="s">
        <v>24</v>
      </c>
      <c r="D1788" s="20" t="s">
        <v>6383</v>
      </c>
      <c r="E1788" s="20" t="s">
        <v>6384</v>
      </c>
      <c r="F1788" s="19" t="s">
        <v>27</v>
      </c>
      <c r="G1788" s="19" t="s">
        <v>28</v>
      </c>
      <c r="H1788" s="37"/>
      <c r="I1788" s="21" t="s">
        <v>29</v>
      </c>
      <c r="J1788" s="21" t="s">
        <v>29</v>
      </c>
      <c r="K1788" s="22" t="s">
        <v>6385</v>
      </c>
      <c r="L1788" s="56">
        <v>45293</v>
      </c>
      <c r="O1788" s="42"/>
      <c r="P1788" s="40"/>
      <c r="Q1788" s="61"/>
      <c r="R1788" s="61"/>
      <c r="S1788" s="40"/>
      <c r="T1788" s="38"/>
      <c r="U1788" s="38"/>
      <c r="V1788" s="38"/>
      <c r="W1788" s="60"/>
      <c r="AB1788" s="42"/>
      <c r="AC1788" s="35"/>
      <c r="AD1788" s="38"/>
      <c r="AE1788" s="38"/>
      <c r="AF1788" s="38"/>
      <c r="AG1788" s="38"/>
      <c r="AH1788" s="60"/>
    </row>
    <row r="1789" spans="1:34" ht="15.75" customHeight="1">
      <c r="A1789" s="50" t="s">
        <v>56</v>
      </c>
      <c r="B1789" s="78" t="s">
        <v>6386</v>
      </c>
      <c r="C1789" s="37" t="s">
        <v>24</v>
      </c>
      <c r="D1789" s="20" t="s">
        <v>6387</v>
      </c>
      <c r="E1789" s="20" t="s">
        <v>6388</v>
      </c>
      <c r="F1789" s="19" t="s">
        <v>27</v>
      </c>
      <c r="G1789" s="19" t="s">
        <v>28</v>
      </c>
      <c r="H1789" s="37"/>
      <c r="I1789" s="21" t="s">
        <v>29</v>
      </c>
      <c r="J1789" s="21" t="s">
        <v>29</v>
      </c>
      <c r="K1789" s="22" t="s">
        <v>6389</v>
      </c>
      <c r="L1789" s="56">
        <v>45293</v>
      </c>
      <c r="O1789" s="42"/>
      <c r="P1789" s="40"/>
      <c r="Q1789" s="61"/>
      <c r="R1789" s="61"/>
      <c r="S1789" s="40"/>
      <c r="T1789" s="38"/>
      <c r="U1789" s="38"/>
      <c r="V1789" s="38"/>
      <c r="W1789" s="60"/>
      <c r="AB1789" s="42"/>
      <c r="AC1789" s="35"/>
      <c r="AD1789" s="38"/>
      <c r="AE1789" s="38"/>
      <c r="AF1789" s="38"/>
      <c r="AG1789" s="38"/>
      <c r="AH1789" s="60"/>
    </row>
    <row r="1790" spans="1:34" ht="15.75" customHeight="1">
      <c r="A1790" s="35">
        <v>79</v>
      </c>
      <c r="B1790" s="78" t="s">
        <v>6390</v>
      </c>
      <c r="C1790" s="37" t="s">
        <v>24</v>
      </c>
      <c r="D1790" s="20" t="s">
        <v>6391</v>
      </c>
      <c r="E1790" s="20" t="s">
        <v>6392</v>
      </c>
      <c r="F1790" s="19" t="s">
        <v>27</v>
      </c>
      <c r="G1790" s="19" t="s">
        <v>28</v>
      </c>
      <c r="H1790" s="37"/>
      <c r="I1790" s="21" t="s">
        <v>29</v>
      </c>
      <c r="J1790" s="21" t="s">
        <v>29</v>
      </c>
      <c r="K1790" s="22" t="s">
        <v>6393</v>
      </c>
      <c r="L1790" s="56">
        <v>45293</v>
      </c>
      <c r="O1790" s="42"/>
      <c r="P1790" s="40"/>
      <c r="Q1790" s="61"/>
      <c r="R1790" s="61"/>
      <c r="S1790" s="40"/>
      <c r="T1790" s="38"/>
      <c r="U1790" s="38"/>
      <c r="V1790" s="38"/>
      <c r="W1790" s="60"/>
      <c r="AB1790" s="42"/>
      <c r="AC1790" s="35"/>
      <c r="AD1790" s="38"/>
      <c r="AE1790" s="38"/>
      <c r="AF1790" s="38"/>
      <c r="AG1790" s="38"/>
      <c r="AH1790" s="60"/>
    </row>
    <row r="1791" spans="1:34" ht="15.75" customHeight="1">
      <c r="A1791" s="50" t="s">
        <v>64</v>
      </c>
      <c r="B1791" s="78" t="s">
        <v>6394</v>
      </c>
      <c r="C1791" s="37" t="s">
        <v>24</v>
      </c>
      <c r="D1791" s="20" t="s">
        <v>6395</v>
      </c>
      <c r="E1791" s="20" t="s">
        <v>6396</v>
      </c>
      <c r="F1791" s="19" t="s">
        <v>27</v>
      </c>
      <c r="G1791" s="19" t="s">
        <v>28</v>
      </c>
      <c r="H1791" s="19" t="s">
        <v>36</v>
      </c>
      <c r="I1791" s="21" t="s">
        <v>29</v>
      </c>
      <c r="J1791" s="21" t="s">
        <v>29</v>
      </c>
      <c r="K1791" s="22" t="s">
        <v>6397</v>
      </c>
      <c r="L1791" s="56">
        <v>45293</v>
      </c>
      <c r="O1791" s="42"/>
      <c r="P1791" s="40"/>
      <c r="Q1791" s="61"/>
      <c r="R1791" s="61"/>
      <c r="S1791" s="40"/>
      <c r="T1791" s="38"/>
      <c r="U1791" s="38"/>
      <c r="V1791" s="38"/>
      <c r="W1791" s="60"/>
      <c r="AB1791" s="42"/>
      <c r="AC1791" s="35"/>
      <c r="AD1791" s="38"/>
      <c r="AE1791" s="38"/>
      <c r="AF1791" s="38"/>
      <c r="AG1791" s="38"/>
      <c r="AH1791" s="60"/>
    </row>
    <row r="1792" spans="1:34" ht="15.75" customHeight="1">
      <c r="A1792" s="35">
        <v>3.7</v>
      </c>
      <c r="B1792" s="78" t="s">
        <v>6398</v>
      </c>
      <c r="C1792" s="37" t="s">
        <v>87</v>
      </c>
      <c r="D1792" s="20" t="s">
        <v>6399</v>
      </c>
      <c r="E1792" s="20" t="s">
        <v>6400</v>
      </c>
      <c r="F1792" s="19" t="s">
        <v>90</v>
      </c>
      <c r="G1792" s="19" t="s">
        <v>91</v>
      </c>
      <c r="H1792" s="19" t="s">
        <v>36</v>
      </c>
      <c r="I1792" s="21" t="s">
        <v>29</v>
      </c>
      <c r="J1792" s="21" t="s">
        <v>29</v>
      </c>
      <c r="K1792" s="22" t="s">
        <v>6401</v>
      </c>
      <c r="L1792" s="56">
        <v>45293</v>
      </c>
      <c r="O1792" s="42"/>
      <c r="P1792" s="40"/>
      <c r="Q1792" s="61"/>
      <c r="R1792" s="61"/>
      <c r="S1792" s="40"/>
      <c r="T1792" s="38"/>
      <c r="U1792" s="38"/>
      <c r="V1792" s="38"/>
      <c r="W1792" s="60"/>
      <c r="AB1792" s="42"/>
      <c r="AC1792" s="35"/>
      <c r="AD1792" s="38"/>
      <c r="AE1792" s="38"/>
      <c r="AF1792" s="38"/>
      <c r="AG1792" s="38"/>
      <c r="AH1792" s="60"/>
    </row>
    <row r="1793" spans="1:34" ht="15.75" customHeight="1">
      <c r="A1793" s="50" t="s">
        <v>73</v>
      </c>
      <c r="B1793" s="78" t="s">
        <v>6402</v>
      </c>
      <c r="C1793" s="37" t="s">
        <v>46</v>
      </c>
      <c r="D1793" s="20" t="s">
        <v>6403</v>
      </c>
      <c r="E1793" s="20" t="s">
        <v>6404</v>
      </c>
      <c r="F1793" s="37" t="s">
        <v>49</v>
      </c>
      <c r="G1793" s="19" t="s">
        <v>50</v>
      </c>
      <c r="H1793" s="19" t="s">
        <v>36</v>
      </c>
      <c r="I1793" s="21" t="s">
        <v>29</v>
      </c>
      <c r="J1793" s="21" t="s">
        <v>29</v>
      </c>
      <c r="K1793" s="22" t="s">
        <v>6405</v>
      </c>
      <c r="L1793" s="56">
        <v>45293</v>
      </c>
      <c r="O1793" s="42"/>
      <c r="P1793" s="40"/>
      <c r="Q1793" s="61"/>
      <c r="R1793" s="61"/>
      <c r="S1793" s="40"/>
      <c r="T1793" s="38"/>
      <c r="U1793" s="38"/>
      <c r="V1793" s="38"/>
      <c r="W1793" s="60"/>
      <c r="AB1793" s="42"/>
      <c r="AC1793" s="35"/>
      <c r="AD1793" s="38"/>
      <c r="AE1793" s="38"/>
      <c r="AF1793" s="38"/>
      <c r="AG1793" s="38"/>
      <c r="AH1793" s="60"/>
    </row>
    <row r="1794" spans="1:34" ht="15.75" customHeight="1">
      <c r="A1794" s="35">
        <v>3.7</v>
      </c>
      <c r="B1794" s="78" t="s">
        <v>6406</v>
      </c>
      <c r="C1794" s="37" t="s">
        <v>24</v>
      </c>
      <c r="D1794" s="20" t="s">
        <v>6407</v>
      </c>
      <c r="E1794" s="20" t="s">
        <v>6408</v>
      </c>
      <c r="F1794" s="19" t="s">
        <v>27</v>
      </c>
      <c r="G1794" s="19" t="s">
        <v>28</v>
      </c>
      <c r="H1794" s="37"/>
      <c r="I1794" s="21" t="s">
        <v>29</v>
      </c>
      <c r="J1794" s="21" t="s">
        <v>29</v>
      </c>
      <c r="K1794" s="22" t="s">
        <v>6409</v>
      </c>
      <c r="L1794" s="56">
        <v>45293</v>
      </c>
      <c r="O1794" s="42"/>
      <c r="P1794" s="40"/>
      <c r="Q1794" s="61"/>
      <c r="R1794" s="61"/>
      <c r="S1794" s="40"/>
      <c r="T1794" s="38"/>
      <c r="U1794" s="38"/>
      <c r="V1794" s="38"/>
      <c r="W1794" s="60"/>
      <c r="AB1794" s="42"/>
      <c r="AC1794" s="35"/>
      <c r="AD1794" s="38"/>
      <c r="AE1794" s="38"/>
      <c r="AF1794" s="38"/>
      <c r="AG1794" s="38"/>
      <c r="AH1794" s="60"/>
    </row>
    <row r="1795" spans="1:34" ht="15.75" customHeight="1">
      <c r="A1795" s="50" t="s">
        <v>82</v>
      </c>
      <c r="B1795" s="78" t="s">
        <v>6410</v>
      </c>
      <c r="C1795" s="37" t="s">
        <v>46</v>
      </c>
      <c r="D1795" s="20" t="s">
        <v>6411</v>
      </c>
      <c r="E1795" s="20" t="s">
        <v>6412</v>
      </c>
      <c r="F1795" s="37" t="s">
        <v>49</v>
      </c>
      <c r="G1795" s="19" t="s">
        <v>50</v>
      </c>
      <c r="H1795" s="37"/>
      <c r="I1795" s="21" t="s">
        <v>29</v>
      </c>
      <c r="J1795" s="21" t="s">
        <v>29</v>
      </c>
      <c r="K1795" s="22" t="s">
        <v>6412</v>
      </c>
      <c r="L1795" s="56">
        <v>45293</v>
      </c>
      <c r="O1795" s="42"/>
      <c r="P1795" s="40"/>
      <c r="Q1795" s="61"/>
      <c r="R1795" s="61"/>
      <c r="S1795" s="40"/>
      <c r="T1795" s="38"/>
      <c r="U1795" s="38"/>
      <c r="V1795" s="38"/>
      <c r="W1795" s="60"/>
      <c r="AB1795" s="42"/>
      <c r="AC1795" s="35"/>
      <c r="AD1795" s="38"/>
      <c r="AE1795" s="38"/>
      <c r="AF1795" s="38"/>
      <c r="AG1795" s="38"/>
      <c r="AH1795" s="60"/>
    </row>
    <row r="1796" spans="1:34" ht="15.75" customHeight="1">
      <c r="A1796" s="35" t="s">
        <v>6413</v>
      </c>
      <c r="B1796" s="78" t="s">
        <v>6414</v>
      </c>
      <c r="C1796" s="37" t="s">
        <v>24</v>
      </c>
      <c r="D1796" s="20" t="s">
        <v>6415</v>
      </c>
      <c r="E1796" s="20" t="s">
        <v>6416</v>
      </c>
      <c r="F1796" s="19" t="s">
        <v>27</v>
      </c>
      <c r="G1796" s="19" t="s">
        <v>28</v>
      </c>
      <c r="H1796" s="19" t="s">
        <v>36</v>
      </c>
      <c r="I1796" s="21" t="s">
        <v>29</v>
      </c>
      <c r="J1796" s="21" t="s">
        <v>29</v>
      </c>
      <c r="K1796" s="22" t="s">
        <v>6417</v>
      </c>
      <c r="L1796" s="56">
        <v>45293</v>
      </c>
      <c r="O1796" s="42"/>
      <c r="P1796" s="40"/>
      <c r="Q1796" s="61"/>
      <c r="R1796" s="61"/>
      <c r="S1796" s="40"/>
      <c r="T1796" s="38"/>
      <c r="U1796" s="38"/>
      <c r="V1796" s="38"/>
      <c r="W1796" s="60"/>
      <c r="AB1796" s="42"/>
      <c r="AC1796" s="35"/>
      <c r="AD1796" s="38"/>
      <c r="AE1796" s="38"/>
      <c r="AF1796" s="38"/>
      <c r="AG1796" s="38"/>
      <c r="AH1796" s="60"/>
    </row>
    <row r="1797" spans="1:34" ht="15.75" customHeight="1">
      <c r="A1797" s="50" t="s">
        <v>92</v>
      </c>
      <c r="B1797" s="78" t="s">
        <v>6418</v>
      </c>
      <c r="C1797" s="37" t="s">
        <v>46</v>
      </c>
      <c r="D1797" s="20" t="s">
        <v>6419</v>
      </c>
      <c r="E1797" s="20" t="s">
        <v>6420</v>
      </c>
      <c r="F1797" s="37" t="s">
        <v>49</v>
      </c>
      <c r="G1797" s="19" t="s">
        <v>50</v>
      </c>
      <c r="H1797" s="19" t="s">
        <v>36</v>
      </c>
      <c r="I1797" s="21" t="s">
        <v>29</v>
      </c>
      <c r="J1797" s="21" t="s">
        <v>29</v>
      </c>
      <c r="K1797" s="22" t="s">
        <v>6421</v>
      </c>
      <c r="L1797" s="56">
        <v>45293</v>
      </c>
      <c r="O1797" s="42"/>
      <c r="P1797" s="40"/>
      <c r="Q1797" s="61"/>
      <c r="R1797" s="61"/>
      <c r="S1797" s="40"/>
      <c r="T1797" s="38"/>
      <c r="U1797" s="38"/>
      <c r="V1797" s="38"/>
      <c r="W1797" s="60"/>
      <c r="AB1797" s="42"/>
      <c r="AC1797" s="35"/>
      <c r="AD1797" s="38"/>
      <c r="AE1797" s="38"/>
      <c r="AF1797" s="38"/>
      <c r="AG1797" s="38"/>
      <c r="AH1797" s="60"/>
    </row>
    <row r="1798" spans="1:34" ht="15.75" customHeight="1">
      <c r="A1798" s="79">
        <v>5732</v>
      </c>
      <c r="B1798" s="78" t="s">
        <v>6422</v>
      </c>
      <c r="C1798" s="37" t="s">
        <v>24</v>
      </c>
      <c r="D1798" s="20" t="s">
        <v>6423</v>
      </c>
      <c r="E1798" s="20" t="s">
        <v>6424</v>
      </c>
      <c r="F1798" s="19" t="s">
        <v>27</v>
      </c>
      <c r="G1798" s="19" t="s">
        <v>28</v>
      </c>
      <c r="H1798" s="37"/>
      <c r="I1798" s="21" t="s">
        <v>29</v>
      </c>
      <c r="J1798" s="21" t="s">
        <v>29</v>
      </c>
      <c r="K1798" s="22" t="s">
        <v>6425</v>
      </c>
      <c r="L1798" s="56">
        <v>45293</v>
      </c>
      <c r="O1798" s="42"/>
      <c r="P1798" s="40"/>
      <c r="Q1798" s="61"/>
      <c r="R1798" s="61"/>
      <c r="S1798" s="40"/>
      <c r="T1798" s="38"/>
      <c r="U1798" s="38"/>
      <c r="V1798" s="38"/>
      <c r="W1798" s="60"/>
      <c r="AB1798" s="42"/>
      <c r="AC1798" s="35"/>
      <c r="AD1798" s="38"/>
      <c r="AE1798" s="38"/>
      <c r="AF1798" s="38"/>
      <c r="AG1798" s="38"/>
      <c r="AH1798" s="60"/>
    </row>
    <row r="1799" spans="1:34" ht="15.75" customHeight="1">
      <c r="A1799" s="50" t="s">
        <v>100</v>
      </c>
      <c r="B1799" s="78" t="s">
        <v>6426</v>
      </c>
      <c r="C1799" s="37" t="s">
        <v>46</v>
      </c>
      <c r="D1799" s="20" t="s">
        <v>6427</v>
      </c>
      <c r="E1799" s="20" t="s">
        <v>6428</v>
      </c>
      <c r="F1799" s="37" t="s">
        <v>49</v>
      </c>
      <c r="G1799" s="19" t="s">
        <v>50</v>
      </c>
      <c r="H1799" s="37"/>
      <c r="I1799" s="21" t="s">
        <v>29</v>
      </c>
      <c r="J1799" s="21" t="s">
        <v>29</v>
      </c>
      <c r="K1799" s="22" t="s">
        <v>6429</v>
      </c>
      <c r="L1799" s="56">
        <v>45293</v>
      </c>
      <c r="O1799" s="42"/>
      <c r="P1799" s="40"/>
      <c r="Q1799" s="61"/>
      <c r="R1799" s="61"/>
      <c r="S1799" s="40"/>
      <c r="T1799" s="38"/>
      <c r="U1799" s="38"/>
      <c r="V1799" s="38"/>
      <c r="W1799" s="60"/>
      <c r="AB1799" s="42"/>
      <c r="AC1799" s="35"/>
      <c r="AD1799" s="38"/>
      <c r="AE1799" s="38"/>
      <c r="AF1799" s="38"/>
      <c r="AG1799" s="38"/>
      <c r="AH1799" s="60"/>
    </row>
    <row r="1800" spans="1:34" ht="15.75" customHeight="1">
      <c r="A1800" s="35">
        <v>166</v>
      </c>
      <c r="B1800" s="78" t="s">
        <v>6430</v>
      </c>
      <c r="C1800" s="37" t="s">
        <v>24</v>
      </c>
      <c r="D1800" s="20" t="s">
        <v>6431</v>
      </c>
      <c r="E1800" s="20" t="s">
        <v>6432</v>
      </c>
      <c r="F1800" s="19" t="s">
        <v>27</v>
      </c>
      <c r="G1800" s="19" t="s">
        <v>28</v>
      </c>
      <c r="H1800" s="37"/>
      <c r="I1800" s="21" t="s">
        <v>29</v>
      </c>
      <c r="J1800" s="21" t="s">
        <v>29</v>
      </c>
      <c r="K1800" s="22" t="s">
        <v>6433</v>
      </c>
      <c r="L1800" s="56">
        <v>45293</v>
      </c>
      <c r="O1800" s="42"/>
      <c r="P1800" s="40"/>
      <c r="Q1800" s="61"/>
      <c r="R1800" s="61"/>
      <c r="S1800" s="40"/>
      <c r="T1800" s="38"/>
      <c r="U1800" s="38"/>
      <c r="V1800" s="38"/>
      <c r="W1800" s="60"/>
      <c r="AB1800" s="42"/>
      <c r="AC1800" s="35"/>
      <c r="AD1800" s="38"/>
      <c r="AE1800" s="38"/>
      <c r="AF1800" s="38"/>
      <c r="AG1800" s="38"/>
      <c r="AH1800" s="60"/>
    </row>
    <row r="1801" spans="1:34" ht="15.75" customHeight="1">
      <c r="A1801" s="35"/>
      <c r="B1801" s="78" t="s">
        <v>6434</v>
      </c>
      <c r="C1801" s="37" t="s">
        <v>24</v>
      </c>
      <c r="D1801" s="20" t="s">
        <v>6435</v>
      </c>
      <c r="E1801" s="20" t="s">
        <v>6436</v>
      </c>
      <c r="F1801" s="19" t="s">
        <v>27</v>
      </c>
      <c r="G1801" s="19" t="s">
        <v>28</v>
      </c>
      <c r="H1801" s="37"/>
      <c r="I1801" s="21" t="s">
        <v>29</v>
      </c>
      <c r="J1801" s="21" t="s">
        <v>29</v>
      </c>
      <c r="K1801" s="22" t="s">
        <v>6437</v>
      </c>
      <c r="L1801" s="56">
        <v>45293</v>
      </c>
      <c r="O1801" s="42"/>
      <c r="P1801" s="40"/>
      <c r="Q1801" s="61"/>
      <c r="R1801" s="61"/>
      <c r="S1801" s="40"/>
      <c r="T1801" s="38"/>
      <c r="U1801" s="38"/>
      <c r="V1801" s="38"/>
      <c r="W1801" s="60"/>
      <c r="AB1801" s="42"/>
      <c r="AC1801" s="35"/>
      <c r="AD1801" s="38"/>
      <c r="AE1801" s="38"/>
      <c r="AF1801" s="38"/>
      <c r="AG1801" s="38"/>
      <c r="AH1801" s="60"/>
    </row>
    <row r="1802" spans="1:34" ht="15.75" customHeight="1">
      <c r="A1802" s="35"/>
      <c r="B1802" s="78" t="s">
        <v>6438</v>
      </c>
      <c r="C1802" s="37" t="s">
        <v>24</v>
      </c>
      <c r="D1802" s="20" t="s">
        <v>6439</v>
      </c>
      <c r="E1802" s="20" t="s">
        <v>6440</v>
      </c>
      <c r="F1802" s="19" t="s">
        <v>27</v>
      </c>
      <c r="G1802" s="19" t="s">
        <v>28</v>
      </c>
      <c r="H1802" s="37"/>
      <c r="I1802" s="21" t="s">
        <v>29</v>
      </c>
      <c r="J1802" s="21" t="s">
        <v>29</v>
      </c>
      <c r="K1802" s="22" t="s">
        <v>6441</v>
      </c>
      <c r="L1802" s="56">
        <v>45293</v>
      </c>
      <c r="O1802" s="42"/>
      <c r="P1802" s="40"/>
      <c r="Q1802" s="61"/>
      <c r="R1802" s="61"/>
      <c r="S1802" s="40"/>
      <c r="T1802" s="38"/>
      <c r="U1802" s="38"/>
      <c r="V1802" s="38"/>
      <c r="W1802" s="60"/>
      <c r="AB1802" s="42"/>
      <c r="AC1802" s="35"/>
      <c r="AD1802" s="38"/>
      <c r="AE1802" s="38"/>
      <c r="AF1802" s="38"/>
      <c r="AG1802" s="38"/>
      <c r="AH1802" s="60"/>
    </row>
    <row r="1803" spans="1:34" ht="15.75" customHeight="1">
      <c r="A1803" s="35"/>
      <c r="B1803" s="78" t="s">
        <v>6442</v>
      </c>
      <c r="C1803" s="37" t="s">
        <v>87</v>
      </c>
      <c r="D1803" s="20" t="s">
        <v>6443</v>
      </c>
      <c r="E1803" s="20" t="s">
        <v>6444</v>
      </c>
      <c r="F1803" s="19" t="s">
        <v>90</v>
      </c>
      <c r="G1803" s="19" t="s">
        <v>91</v>
      </c>
      <c r="H1803" s="37"/>
      <c r="I1803" s="21" t="s">
        <v>29</v>
      </c>
      <c r="J1803" s="21" t="s">
        <v>29</v>
      </c>
      <c r="K1803" s="22" t="s">
        <v>6445</v>
      </c>
      <c r="L1803" s="56">
        <v>45293</v>
      </c>
      <c r="O1803" s="42"/>
      <c r="P1803" s="40"/>
      <c r="Q1803" s="61"/>
      <c r="R1803" s="61"/>
      <c r="S1803" s="40"/>
      <c r="T1803" s="38"/>
      <c r="U1803" s="38"/>
      <c r="V1803" s="38"/>
      <c r="W1803" s="60"/>
      <c r="AB1803" s="42"/>
      <c r="AC1803" s="35"/>
      <c r="AD1803" s="38"/>
      <c r="AE1803" s="38"/>
      <c r="AF1803" s="38"/>
      <c r="AG1803" s="38"/>
      <c r="AH1803" s="60"/>
    </row>
    <row r="1804" spans="1:34" ht="15.75" customHeight="1">
      <c r="A1804" s="35"/>
      <c r="B1804" s="78" t="s">
        <v>6446</v>
      </c>
      <c r="C1804" s="37" t="s">
        <v>24</v>
      </c>
      <c r="D1804" s="20" t="s">
        <v>6447</v>
      </c>
      <c r="E1804" s="20" t="s">
        <v>6448</v>
      </c>
      <c r="F1804" s="19" t="s">
        <v>27</v>
      </c>
      <c r="G1804" s="19" t="s">
        <v>28</v>
      </c>
      <c r="H1804" s="37"/>
      <c r="I1804" s="21" t="s">
        <v>29</v>
      </c>
      <c r="J1804" s="21" t="s">
        <v>29</v>
      </c>
      <c r="K1804" s="22" t="s">
        <v>6449</v>
      </c>
      <c r="L1804" s="56">
        <v>45293</v>
      </c>
      <c r="O1804" s="42"/>
      <c r="P1804" s="40"/>
      <c r="Q1804" s="61"/>
      <c r="R1804" s="61"/>
      <c r="S1804" s="40"/>
      <c r="T1804" s="38"/>
      <c r="U1804" s="38"/>
      <c r="V1804" s="38"/>
      <c r="W1804" s="60"/>
      <c r="AB1804" s="42"/>
      <c r="AC1804" s="35"/>
      <c r="AD1804" s="38"/>
      <c r="AE1804" s="38"/>
      <c r="AF1804" s="38"/>
      <c r="AG1804" s="38"/>
      <c r="AH1804" s="60"/>
    </row>
    <row r="1805" spans="1:34" ht="15.75" customHeight="1">
      <c r="A1805" s="35"/>
      <c r="B1805" s="78" t="s">
        <v>6450</v>
      </c>
      <c r="C1805" s="37" t="s">
        <v>24</v>
      </c>
      <c r="D1805" s="20" t="s">
        <v>6451</v>
      </c>
      <c r="E1805" s="20" t="s">
        <v>6452</v>
      </c>
      <c r="F1805" s="19" t="s">
        <v>27</v>
      </c>
      <c r="G1805" s="19" t="s">
        <v>28</v>
      </c>
      <c r="H1805" s="37"/>
      <c r="I1805" s="21" t="s">
        <v>29</v>
      </c>
      <c r="J1805" s="21" t="s">
        <v>29</v>
      </c>
      <c r="K1805" s="22" t="s">
        <v>6453</v>
      </c>
      <c r="L1805" s="56">
        <v>45293</v>
      </c>
      <c r="O1805" s="42"/>
      <c r="P1805" s="40"/>
      <c r="Q1805" s="61"/>
      <c r="R1805" s="61"/>
      <c r="S1805" s="40"/>
      <c r="T1805" s="38"/>
      <c r="U1805" s="38"/>
      <c r="V1805" s="38"/>
      <c r="W1805" s="60"/>
      <c r="AB1805" s="42"/>
      <c r="AC1805" s="35"/>
      <c r="AD1805" s="38"/>
      <c r="AE1805" s="38"/>
      <c r="AF1805" s="38"/>
      <c r="AG1805" s="38"/>
      <c r="AH1805" s="60"/>
    </row>
    <row r="1806" spans="1:34" ht="15.75" customHeight="1">
      <c r="A1806" s="35"/>
      <c r="B1806" s="78" t="s">
        <v>6454</v>
      </c>
      <c r="C1806" s="37" t="s">
        <v>46</v>
      </c>
      <c r="D1806" s="20" t="s">
        <v>6455</v>
      </c>
      <c r="E1806" s="20" t="s">
        <v>6456</v>
      </c>
      <c r="F1806" s="37" t="s">
        <v>49</v>
      </c>
      <c r="G1806" s="19" t="s">
        <v>50</v>
      </c>
      <c r="H1806" s="19" t="s">
        <v>36</v>
      </c>
      <c r="I1806" s="21" t="s">
        <v>29</v>
      </c>
      <c r="J1806" s="21" t="s">
        <v>29</v>
      </c>
      <c r="K1806" s="22" t="s">
        <v>6457</v>
      </c>
      <c r="L1806" s="56">
        <v>45293</v>
      </c>
      <c r="O1806" s="42"/>
      <c r="P1806" s="40"/>
      <c r="Q1806" s="61"/>
      <c r="R1806" s="61"/>
      <c r="S1806" s="40"/>
      <c r="T1806" s="38"/>
      <c r="U1806" s="38"/>
      <c r="V1806" s="38"/>
      <c r="W1806" s="60"/>
      <c r="AB1806" s="42"/>
      <c r="AC1806" s="35"/>
      <c r="AD1806" s="38"/>
      <c r="AE1806" s="38"/>
      <c r="AF1806" s="38"/>
      <c r="AG1806" s="38"/>
      <c r="AH1806" s="60"/>
    </row>
    <row r="1807" spans="1:34" ht="15.75" customHeight="1">
      <c r="A1807" s="35"/>
      <c r="B1807" s="78" t="s">
        <v>6458</v>
      </c>
      <c r="C1807" s="37" t="s">
        <v>24</v>
      </c>
      <c r="D1807" s="20" t="s">
        <v>6459</v>
      </c>
      <c r="E1807" s="20" t="s">
        <v>6460</v>
      </c>
      <c r="F1807" s="19" t="s">
        <v>27</v>
      </c>
      <c r="G1807" s="19" t="s">
        <v>28</v>
      </c>
      <c r="H1807" s="37"/>
      <c r="I1807" s="21" t="s">
        <v>29</v>
      </c>
      <c r="J1807" s="21" t="s">
        <v>29</v>
      </c>
      <c r="K1807" s="22" t="s">
        <v>6461</v>
      </c>
      <c r="L1807" s="56">
        <v>45293</v>
      </c>
      <c r="O1807" s="42"/>
      <c r="P1807" s="40"/>
      <c r="Q1807" s="61"/>
      <c r="R1807" s="61"/>
      <c r="S1807" s="40"/>
      <c r="T1807" s="38"/>
      <c r="U1807" s="38"/>
      <c r="V1807" s="38"/>
      <c r="W1807" s="60"/>
      <c r="AB1807" s="42"/>
      <c r="AC1807" s="35"/>
      <c r="AD1807" s="38"/>
      <c r="AE1807" s="38"/>
      <c r="AF1807" s="38"/>
      <c r="AG1807" s="38"/>
      <c r="AH1807" s="60"/>
    </row>
    <row r="1808" spans="1:34" ht="15.75" customHeight="1">
      <c r="A1808" s="35"/>
      <c r="B1808" s="78" t="s">
        <v>6462</v>
      </c>
      <c r="C1808" s="37" t="s">
        <v>46</v>
      </c>
      <c r="D1808" s="20" t="s">
        <v>6463</v>
      </c>
      <c r="E1808" s="20" t="s">
        <v>6464</v>
      </c>
      <c r="F1808" s="37" t="s">
        <v>49</v>
      </c>
      <c r="G1808" s="19" t="s">
        <v>50</v>
      </c>
      <c r="H1808" s="37"/>
      <c r="I1808" s="21" t="s">
        <v>29</v>
      </c>
      <c r="J1808" s="21" t="s">
        <v>29</v>
      </c>
      <c r="K1808" s="22" t="s">
        <v>6465</v>
      </c>
      <c r="L1808" s="56">
        <v>45293</v>
      </c>
      <c r="O1808" s="42"/>
      <c r="P1808" s="40"/>
      <c r="Q1808" s="61"/>
      <c r="R1808" s="61"/>
      <c r="S1808" s="40"/>
      <c r="T1808" s="38"/>
      <c r="U1808" s="38"/>
      <c r="V1808" s="38"/>
      <c r="W1808" s="60"/>
      <c r="AB1808" s="42"/>
      <c r="AC1808" s="35"/>
      <c r="AD1808" s="38"/>
      <c r="AE1808" s="38"/>
      <c r="AF1808" s="38"/>
      <c r="AG1808" s="38"/>
      <c r="AH1808" s="60"/>
    </row>
    <row r="1809" spans="1:34" ht="15.75" customHeight="1">
      <c r="A1809" s="35"/>
      <c r="B1809" s="78" t="s">
        <v>6466</v>
      </c>
      <c r="C1809" s="37" t="s">
        <v>412</v>
      </c>
      <c r="D1809" s="20" t="s">
        <v>6467</v>
      </c>
      <c r="E1809" s="20"/>
      <c r="F1809" s="19" t="s">
        <v>414</v>
      </c>
      <c r="G1809" s="37" t="s">
        <v>415</v>
      </c>
      <c r="H1809" s="37"/>
      <c r="I1809" s="21" t="s">
        <v>233</v>
      </c>
      <c r="J1809" s="21" t="s">
        <v>233</v>
      </c>
      <c r="K1809" s="22"/>
      <c r="L1809" s="56">
        <v>45293</v>
      </c>
      <c r="O1809" s="42"/>
      <c r="P1809" s="40"/>
      <c r="Q1809" s="61"/>
      <c r="R1809" s="61"/>
      <c r="S1809" s="40"/>
      <c r="T1809" s="38"/>
      <c r="U1809" s="38"/>
      <c r="V1809" s="38"/>
      <c r="W1809" s="60"/>
      <c r="AB1809" s="42"/>
      <c r="AC1809" s="35"/>
      <c r="AD1809" s="38"/>
      <c r="AE1809" s="38"/>
      <c r="AF1809" s="38"/>
      <c r="AG1809" s="38"/>
      <c r="AH1809" s="60"/>
    </row>
    <row r="1810" spans="1:34" ht="15.75" customHeight="1">
      <c r="A1810" s="35"/>
      <c r="B1810" s="78" t="s">
        <v>6468</v>
      </c>
      <c r="C1810" s="37" t="s">
        <v>412</v>
      </c>
      <c r="D1810" s="20" t="s">
        <v>6469</v>
      </c>
      <c r="E1810" s="20"/>
      <c r="F1810" s="19" t="s">
        <v>414</v>
      </c>
      <c r="G1810" s="19" t="s">
        <v>415</v>
      </c>
      <c r="H1810" s="37"/>
      <c r="I1810" s="21" t="s">
        <v>233</v>
      </c>
      <c r="J1810" s="21" t="s">
        <v>233</v>
      </c>
      <c r="K1810" s="22"/>
      <c r="L1810" s="56">
        <v>45293</v>
      </c>
      <c r="O1810" s="42"/>
      <c r="P1810" s="40"/>
      <c r="Q1810" s="61"/>
      <c r="R1810" s="61"/>
      <c r="S1810" s="40"/>
      <c r="T1810" s="38"/>
      <c r="U1810" s="38"/>
      <c r="V1810" s="38"/>
      <c r="W1810" s="60"/>
      <c r="AB1810" s="42"/>
      <c r="AC1810" s="35"/>
      <c r="AD1810" s="38"/>
      <c r="AE1810" s="38"/>
      <c r="AF1810" s="38"/>
      <c r="AG1810" s="38"/>
      <c r="AH1810" s="60"/>
    </row>
    <row r="1811" spans="1:34" ht="15.75" customHeight="1">
      <c r="A1811" s="35"/>
      <c r="B1811" s="78" t="s">
        <v>6470</v>
      </c>
      <c r="C1811" s="37" t="s">
        <v>412</v>
      </c>
      <c r="D1811" s="20" t="s">
        <v>6471</v>
      </c>
      <c r="E1811" s="63" t="s">
        <v>6472</v>
      </c>
      <c r="F1811" s="19" t="s">
        <v>414</v>
      </c>
      <c r="G1811" s="37" t="s">
        <v>415</v>
      </c>
      <c r="H1811" s="37"/>
      <c r="I1811" s="21" t="s">
        <v>233</v>
      </c>
      <c r="J1811" s="21" t="s">
        <v>233</v>
      </c>
      <c r="K1811" s="64" t="s">
        <v>6473</v>
      </c>
      <c r="L1811" s="56">
        <v>45293</v>
      </c>
      <c r="O1811" s="42"/>
      <c r="P1811" s="40"/>
      <c r="Q1811" s="61"/>
      <c r="R1811" s="61"/>
      <c r="S1811" s="40"/>
      <c r="T1811" s="38"/>
      <c r="U1811" s="38"/>
      <c r="V1811" s="38"/>
      <c r="W1811" s="60"/>
      <c r="AB1811" s="42"/>
      <c r="AC1811" s="35"/>
      <c r="AD1811" s="38"/>
      <c r="AE1811" s="38"/>
      <c r="AF1811" s="38"/>
      <c r="AG1811" s="38"/>
      <c r="AH1811" s="60"/>
    </row>
    <row r="1812" spans="1:34" ht="15.75" customHeight="1">
      <c r="A1812" s="35"/>
      <c r="B1812" s="78" t="s">
        <v>6474</v>
      </c>
      <c r="C1812" s="37" t="s">
        <v>412</v>
      </c>
      <c r="D1812" s="20" t="s">
        <v>6475</v>
      </c>
      <c r="E1812" s="20"/>
      <c r="F1812" s="19" t="s">
        <v>414</v>
      </c>
      <c r="G1812" s="19" t="s">
        <v>415</v>
      </c>
      <c r="H1812" s="37"/>
      <c r="I1812" s="21" t="s">
        <v>233</v>
      </c>
      <c r="J1812" s="21" t="s">
        <v>233</v>
      </c>
      <c r="K1812" s="22"/>
      <c r="L1812" s="56">
        <v>45293</v>
      </c>
      <c r="O1812" s="42"/>
      <c r="P1812" s="40"/>
      <c r="Q1812" s="61"/>
      <c r="R1812" s="61"/>
      <c r="S1812" s="40"/>
      <c r="T1812" s="38"/>
      <c r="U1812" s="38"/>
      <c r="V1812" s="38"/>
      <c r="W1812" s="60"/>
      <c r="AB1812" s="42"/>
      <c r="AC1812" s="35"/>
      <c r="AD1812" s="38"/>
      <c r="AE1812" s="38"/>
      <c r="AF1812" s="38"/>
      <c r="AG1812" s="38"/>
      <c r="AH1812" s="60"/>
    </row>
    <row r="1813" spans="1:34" ht="15.75" customHeight="1">
      <c r="A1813" s="35"/>
      <c r="B1813" s="78" t="s">
        <v>6476</v>
      </c>
      <c r="C1813" s="37" t="s">
        <v>412</v>
      </c>
      <c r="D1813" s="20" t="s">
        <v>6477</v>
      </c>
      <c r="E1813" s="20" t="s">
        <v>6478</v>
      </c>
      <c r="F1813" s="19" t="s">
        <v>414</v>
      </c>
      <c r="G1813" s="37" t="s">
        <v>415</v>
      </c>
      <c r="H1813" s="37"/>
      <c r="I1813" s="21" t="s">
        <v>233</v>
      </c>
      <c r="J1813" s="21" t="s">
        <v>233</v>
      </c>
      <c r="K1813" s="22" t="s">
        <v>6478</v>
      </c>
      <c r="L1813" s="56">
        <v>45293</v>
      </c>
      <c r="O1813" s="42"/>
      <c r="P1813" s="40"/>
      <c r="Q1813" s="61"/>
      <c r="R1813" s="61"/>
      <c r="S1813" s="40"/>
      <c r="T1813" s="38"/>
      <c r="U1813" s="38"/>
      <c r="V1813" s="38"/>
      <c r="W1813" s="60"/>
      <c r="AB1813" s="42"/>
      <c r="AC1813" s="35"/>
      <c r="AD1813" s="38"/>
      <c r="AE1813" s="38"/>
      <c r="AF1813" s="38"/>
      <c r="AG1813" s="38"/>
      <c r="AH1813" s="60"/>
    </row>
    <row r="1814" spans="1:34" ht="15.75" customHeight="1">
      <c r="A1814" s="35"/>
      <c r="B1814" s="78" t="s">
        <v>6479</v>
      </c>
      <c r="C1814" s="37" t="s">
        <v>412</v>
      </c>
      <c r="D1814" s="20" t="s">
        <v>6480</v>
      </c>
      <c r="E1814" s="20"/>
      <c r="F1814" s="19" t="s">
        <v>414</v>
      </c>
      <c r="G1814" s="19" t="s">
        <v>415</v>
      </c>
      <c r="H1814" s="37"/>
      <c r="I1814" s="21" t="s">
        <v>233</v>
      </c>
      <c r="J1814" s="21" t="s">
        <v>233</v>
      </c>
      <c r="K1814" s="22"/>
      <c r="L1814" s="56">
        <v>45293</v>
      </c>
      <c r="O1814" s="42"/>
      <c r="P1814" s="40"/>
      <c r="Q1814" s="61"/>
      <c r="R1814" s="61"/>
      <c r="S1814" s="40"/>
      <c r="T1814" s="38"/>
      <c r="U1814" s="38"/>
      <c r="V1814" s="38"/>
      <c r="W1814" s="60"/>
      <c r="AB1814" s="42"/>
      <c r="AC1814" s="35"/>
      <c r="AD1814" s="38"/>
      <c r="AE1814" s="38"/>
      <c r="AF1814" s="38"/>
      <c r="AG1814" s="38"/>
      <c r="AH1814" s="60"/>
    </row>
    <row r="1815" spans="1:34" ht="15.75" customHeight="1">
      <c r="A1815" s="35"/>
      <c r="B1815" s="78" t="s">
        <v>6481</v>
      </c>
      <c r="C1815" s="37" t="s">
        <v>412</v>
      </c>
      <c r="D1815" s="20" t="s">
        <v>6482</v>
      </c>
      <c r="E1815" s="20"/>
      <c r="F1815" s="19" t="s">
        <v>414</v>
      </c>
      <c r="G1815" s="37" t="s">
        <v>415</v>
      </c>
      <c r="H1815" s="37"/>
      <c r="I1815" s="21" t="s">
        <v>233</v>
      </c>
      <c r="J1815" s="21" t="s">
        <v>233</v>
      </c>
      <c r="K1815" s="22"/>
      <c r="L1815" s="56">
        <v>45293</v>
      </c>
      <c r="O1815" s="42"/>
      <c r="P1815" s="40"/>
      <c r="Q1815" s="61"/>
      <c r="R1815" s="61"/>
      <c r="S1815" s="40"/>
      <c r="T1815" s="38"/>
      <c r="U1815" s="38"/>
      <c r="V1815" s="38"/>
      <c r="W1815" s="60"/>
      <c r="AB1815" s="42"/>
      <c r="AC1815" s="35"/>
      <c r="AD1815" s="38"/>
      <c r="AE1815" s="38"/>
      <c r="AF1815" s="38"/>
      <c r="AG1815" s="38"/>
      <c r="AH1815" s="60"/>
    </row>
    <row r="1816" spans="1:34" ht="15.75" customHeight="1">
      <c r="A1816" s="35"/>
      <c r="B1816" s="78" t="s">
        <v>6483</v>
      </c>
      <c r="C1816" s="37" t="s">
        <v>412</v>
      </c>
      <c r="D1816" s="25" t="s">
        <v>6484</v>
      </c>
      <c r="E1816" s="20"/>
      <c r="F1816" s="19" t="s">
        <v>414</v>
      </c>
      <c r="G1816" s="19" t="s">
        <v>415</v>
      </c>
      <c r="H1816" s="37"/>
      <c r="I1816" s="21" t="s">
        <v>233</v>
      </c>
      <c r="J1816" s="21" t="s">
        <v>233</v>
      </c>
      <c r="K1816" s="22"/>
      <c r="L1816" s="56">
        <v>45293</v>
      </c>
      <c r="O1816" s="42"/>
      <c r="P1816" s="40"/>
      <c r="Q1816" s="61"/>
      <c r="R1816" s="61"/>
      <c r="S1816" s="40"/>
      <c r="T1816" s="38"/>
      <c r="U1816" s="38"/>
      <c r="V1816" s="38"/>
      <c r="W1816" s="60"/>
      <c r="AB1816" s="42"/>
      <c r="AC1816" s="35"/>
      <c r="AD1816" s="38"/>
      <c r="AE1816" s="38"/>
      <c r="AF1816" s="38"/>
      <c r="AG1816" s="38"/>
      <c r="AH1816" s="60"/>
    </row>
    <row r="1817" spans="1:34" ht="15.75" customHeight="1">
      <c r="A1817" s="35"/>
      <c r="B1817" s="81" t="s">
        <v>6485</v>
      </c>
      <c r="C1817" s="37" t="s">
        <v>24</v>
      </c>
      <c r="D1817" s="20" t="s">
        <v>6486</v>
      </c>
      <c r="E1817" s="20" t="s">
        <v>6487</v>
      </c>
      <c r="F1817" s="19" t="s">
        <v>27</v>
      </c>
      <c r="G1817" s="19" t="s">
        <v>28</v>
      </c>
      <c r="H1817" s="37"/>
      <c r="I1817" s="21" t="s">
        <v>29</v>
      </c>
      <c r="J1817" s="21" t="s">
        <v>29</v>
      </c>
      <c r="K1817" s="22" t="s">
        <v>6488</v>
      </c>
      <c r="L1817" s="56">
        <v>45293</v>
      </c>
      <c r="O1817" s="42"/>
      <c r="P1817" s="40"/>
      <c r="Q1817" s="61"/>
      <c r="R1817" s="61"/>
      <c r="S1817" s="40"/>
      <c r="T1817" s="38"/>
      <c r="U1817" s="38"/>
      <c r="V1817" s="38"/>
      <c r="W1817" s="60"/>
      <c r="AB1817" s="42"/>
      <c r="AC1817" s="35"/>
      <c r="AD1817" s="38"/>
      <c r="AE1817" s="38"/>
      <c r="AF1817" s="38"/>
      <c r="AG1817" s="38"/>
      <c r="AH1817" s="60"/>
    </row>
    <row r="1818" spans="1:34" ht="15.75" customHeight="1">
      <c r="A1818" s="35"/>
      <c r="B1818" s="38"/>
      <c r="C1818" s="37"/>
      <c r="D1818" s="20"/>
      <c r="E1818" s="20"/>
      <c r="F1818" s="37"/>
      <c r="G1818" s="37"/>
      <c r="H1818" s="37"/>
      <c r="I1818" s="21"/>
      <c r="J1818" s="21"/>
      <c r="K1818" s="22"/>
      <c r="L1818" s="56"/>
      <c r="O1818" s="42"/>
      <c r="P1818" s="40"/>
      <c r="Q1818" s="61"/>
      <c r="R1818" s="61"/>
      <c r="S1818" s="40"/>
      <c r="T1818" s="38"/>
      <c r="U1818" s="38"/>
      <c r="V1818" s="38"/>
      <c r="W1818" s="60"/>
      <c r="AB1818" s="42"/>
      <c r="AC1818" s="35"/>
      <c r="AD1818" s="38"/>
      <c r="AE1818" s="38"/>
      <c r="AF1818" s="38"/>
      <c r="AG1818" s="38"/>
      <c r="AH1818" s="60"/>
    </row>
    <row r="1819" spans="1:34" ht="15.75" customHeight="1">
      <c r="A1819" s="85" t="s">
        <v>6489</v>
      </c>
      <c r="B1819" s="78" t="s">
        <v>6490</v>
      </c>
      <c r="C1819" s="37" t="s">
        <v>24</v>
      </c>
      <c r="D1819" s="20" t="s">
        <v>6491</v>
      </c>
      <c r="E1819" s="20" t="s">
        <v>6492</v>
      </c>
      <c r="F1819" s="19" t="s">
        <v>27</v>
      </c>
      <c r="G1819" s="19" t="s">
        <v>28</v>
      </c>
      <c r="H1819" s="37"/>
      <c r="I1819" s="21" t="s">
        <v>29</v>
      </c>
      <c r="J1819" s="21" t="s">
        <v>29</v>
      </c>
      <c r="K1819" s="22" t="s">
        <v>6492</v>
      </c>
      <c r="L1819" s="56">
        <v>45293</v>
      </c>
      <c r="M1819" s="40"/>
      <c r="O1819" s="42"/>
      <c r="P1819" s="40"/>
      <c r="Q1819" s="61"/>
      <c r="R1819" s="61"/>
      <c r="S1819" s="40"/>
      <c r="T1819" s="38"/>
      <c r="U1819" s="38"/>
      <c r="V1819" s="38"/>
      <c r="W1819" s="60"/>
      <c r="AB1819" s="42"/>
      <c r="AC1819" s="35"/>
      <c r="AD1819" s="38"/>
      <c r="AE1819" s="38"/>
      <c r="AF1819" s="38"/>
      <c r="AG1819" s="38"/>
      <c r="AH1819" s="60"/>
    </row>
    <row r="1820" spans="1:34" ht="15.75" customHeight="1">
      <c r="A1820" s="86" t="s">
        <v>2714</v>
      </c>
      <c r="B1820" s="82" t="s">
        <v>6493</v>
      </c>
      <c r="C1820" s="37" t="s">
        <v>24</v>
      </c>
      <c r="D1820" s="20" t="s">
        <v>6494</v>
      </c>
      <c r="E1820" s="20" t="s">
        <v>6495</v>
      </c>
      <c r="F1820" s="19" t="s">
        <v>27</v>
      </c>
      <c r="G1820" s="19" t="s">
        <v>28</v>
      </c>
      <c r="H1820" s="37"/>
      <c r="I1820" s="21" t="s">
        <v>29</v>
      </c>
      <c r="J1820" s="21" t="s">
        <v>29</v>
      </c>
      <c r="K1820" s="22" t="s">
        <v>6495</v>
      </c>
      <c r="L1820" s="56">
        <v>45293</v>
      </c>
      <c r="O1820" s="42"/>
      <c r="P1820" s="40"/>
      <c r="Q1820" s="61"/>
      <c r="R1820" s="61"/>
      <c r="S1820" s="40"/>
      <c r="T1820" s="38"/>
      <c r="U1820" s="38"/>
      <c r="V1820" s="38"/>
      <c r="W1820" s="60"/>
      <c r="AB1820" s="42"/>
      <c r="AC1820" s="35"/>
      <c r="AD1820" s="38"/>
      <c r="AE1820" s="38"/>
      <c r="AF1820" s="38"/>
      <c r="AG1820" s="38"/>
      <c r="AH1820" s="60"/>
    </row>
    <row r="1821" spans="1:34" ht="15.75" customHeight="1">
      <c r="A1821" s="50" t="s">
        <v>39</v>
      </c>
      <c r="B1821" s="81" t="s">
        <v>6496</v>
      </c>
      <c r="C1821" s="37" t="s">
        <v>87</v>
      </c>
      <c r="D1821" s="25" t="s">
        <v>6497</v>
      </c>
      <c r="E1821" s="20" t="s">
        <v>6498</v>
      </c>
      <c r="F1821" s="37" t="s">
        <v>286</v>
      </c>
      <c r="G1821" s="19" t="s">
        <v>91</v>
      </c>
      <c r="H1821" s="37"/>
      <c r="I1821" s="21" t="s">
        <v>286</v>
      </c>
      <c r="J1821" s="21" t="s">
        <v>29</v>
      </c>
      <c r="K1821" s="22" t="s">
        <v>6499</v>
      </c>
      <c r="L1821" s="56">
        <v>45293</v>
      </c>
      <c r="N1821" s="40"/>
      <c r="O1821" s="42"/>
      <c r="P1821" s="40"/>
      <c r="Q1821" s="61"/>
      <c r="R1821" s="61"/>
      <c r="S1821" s="40"/>
      <c r="T1821" s="38"/>
      <c r="U1821" s="38"/>
      <c r="V1821" s="38"/>
      <c r="W1821" s="60"/>
      <c r="AB1821" s="42"/>
      <c r="AC1821" s="35"/>
      <c r="AD1821" s="38"/>
      <c r="AE1821" s="38"/>
      <c r="AF1821" s="38"/>
      <c r="AG1821" s="38"/>
      <c r="AH1821" s="60"/>
    </row>
    <row r="1822" spans="1:34" ht="15.75" customHeight="1">
      <c r="A1822" s="35" t="s">
        <v>5857</v>
      </c>
      <c r="B1822" s="38" t="s">
        <v>6500</v>
      </c>
      <c r="C1822" s="37" t="s">
        <v>87</v>
      </c>
      <c r="D1822" s="25" t="s">
        <v>6501</v>
      </c>
      <c r="E1822" s="20" t="s">
        <v>6502</v>
      </c>
      <c r="F1822" s="19" t="s">
        <v>90</v>
      </c>
      <c r="G1822" s="19" t="s">
        <v>91</v>
      </c>
      <c r="H1822" s="37"/>
      <c r="I1822" s="21" t="s">
        <v>1371</v>
      </c>
      <c r="J1822" s="21" t="s">
        <v>1371</v>
      </c>
      <c r="K1822" s="22" t="s">
        <v>6503</v>
      </c>
      <c r="L1822" s="56">
        <v>45293</v>
      </c>
      <c r="N1822" s="40"/>
      <c r="O1822" s="42"/>
      <c r="P1822" s="40"/>
      <c r="Q1822" s="61"/>
      <c r="R1822" s="61"/>
      <c r="S1822" s="40"/>
      <c r="T1822" s="38"/>
      <c r="U1822" s="38"/>
      <c r="V1822" s="38"/>
      <c r="W1822" s="60"/>
      <c r="AB1822" s="42"/>
      <c r="AC1822" s="35"/>
      <c r="AD1822" s="38"/>
      <c r="AE1822" s="38"/>
      <c r="AF1822" s="38"/>
      <c r="AG1822" s="38"/>
      <c r="AH1822" s="60"/>
    </row>
    <row r="1823" spans="1:34" ht="15.75" customHeight="1">
      <c r="A1823" s="35" t="s">
        <v>6504</v>
      </c>
      <c r="B1823" s="78" t="s">
        <v>6505</v>
      </c>
      <c r="C1823" s="37" t="s">
        <v>24</v>
      </c>
      <c r="D1823" s="20" t="s">
        <v>6506</v>
      </c>
      <c r="E1823" s="20" t="s">
        <v>6507</v>
      </c>
      <c r="F1823" s="19" t="s">
        <v>27</v>
      </c>
      <c r="G1823" s="19" t="s">
        <v>28</v>
      </c>
      <c r="H1823" s="19" t="s">
        <v>36</v>
      </c>
      <c r="I1823" s="21" t="s">
        <v>29</v>
      </c>
      <c r="J1823" s="21" t="s">
        <v>29</v>
      </c>
      <c r="K1823" s="22" t="s">
        <v>6508</v>
      </c>
      <c r="L1823" s="56">
        <v>45293</v>
      </c>
      <c r="O1823" s="42"/>
      <c r="P1823" s="40"/>
      <c r="Q1823" s="61"/>
      <c r="R1823" s="61"/>
      <c r="S1823" s="40"/>
      <c r="T1823" s="38"/>
      <c r="U1823" s="38"/>
      <c r="V1823" s="38"/>
      <c r="W1823" s="60"/>
      <c r="AB1823" s="42"/>
      <c r="AC1823" s="35"/>
      <c r="AD1823" s="38"/>
      <c r="AE1823" s="38"/>
      <c r="AF1823" s="38"/>
      <c r="AG1823" s="38"/>
      <c r="AH1823" s="60"/>
    </row>
    <row r="1824" spans="1:34" ht="15.75" customHeight="1">
      <c r="A1824" s="50" t="s">
        <v>56</v>
      </c>
      <c r="B1824" s="78" t="s">
        <v>6509</v>
      </c>
      <c r="C1824" s="37" t="s">
        <v>87</v>
      </c>
      <c r="D1824" s="20" t="s">
        <v>6510</v>
      </c>
      <c r="E1824" s="20" t="s">
        <v>6511</v>
      </c>
      <c r="F1824" s="19" t="s">
        <v>90</v>
      </c>
      <c r="G1824" s="19" t="s">
        <v>91</v>
      </c>
      <c r="H1824" s="37"/>
      <c r="I1824" s="21" t="s">
        <v>29</v>
      </c>
      <c r="J1824" s="21" t="s">
        <v>29</v>
      </c>
      <c r="K1824" s="22" t="s">
        <v>6512</v>
      </c>
      <c r="L1824" s="56">
        <v>45293</v>
      </c>
      <c r="O1824" s="42"/>
      <c r="P1824" s="40"/>
      <c r="Q1824" s="25"/>
      <c r="R1824" s="25"/>
      <c r="S1824" s="40"/>
      <c r="W1824" s="40"/>
      <c r="AB1824" s="42"/>
      <c r="AC1824" s="35"/>
      <c r="AD1824" s="38"/>
      <c r="AE1824" s="38"/>
      <c r="AF1824" s="38"/>
      <c r="AG1824" s="38"/>
      <c r="AH1824" s="60"/>
    </row>
    <row r="1825" spans="1:34" ht="15.75" customHeight="1">
      <c r="A1825" s="35">
        <v>73</v>
      </c>
      <c r="B1825" s="78" t="s">
        <v>6513</v>
      </c>
      <c r="C1825" s="37" t="s">
        <v>87</v>
      </c>
      <c r="D1825" s="20" t="s">
        <v>6514</v>
      </c>
      <c r="E1825" s="20" t="s">
        <v>6515</v>
      </c>
      <c r="F1825" s="19" t="s">
        <v>90</v>
      </c>
      <c r="G1825" s="19" t="s">
        <v>91</v>
      </c>
      <c r="H1825" s="37"/>
      <c r="I1825" s="21" t="s">
        <v>29</v>
      </c>
      <c r="J1825" s="21" t="s">
        <v>29</v>
      </c>
      <c r="K1825" s="22" t="s">
        <v>6516</v>
      </c>
      <c r="L1825" s="56">
        <v>45293</v>
      </c>
      <c r="O1825" s="42"/>
      <c r="P1825" s="40"/>
      <c r="Q1825" s="25"/>
      <c r="R1825" s="25"/>
      <c r="S1825" s="40"/>
      <c r="W1825" s="40"/>
      <c r="AB1825" s="42"/>
      <c r="AC1825" s="35"/>
      <c r="AD1825" s="38"/>
      <c r="AE1825" s="38"/>
      <c r="AF1825" s="38"/>
      <c r="AG1825" s="38"/>
      <c r="AH1825" s="60"/>
    </row>
    <row r="1826" spans="1:34" ht="15.75" customHeight="1">
      <c r="A1826" s="50" t="s">
        <v>64</v>
      </c>
      <c r="B1826" s="78" t="s">
        <v>6517</v>
      </c>
      <c r="C1826" s="37" t="s">
        <v>24</v>
      </c>
      <c r="D1826" s="20" t="s">
        <v>6518</v>
      </c>
      <c r="E1826" s="20" t="s">
        <v>6519</v>
      </c>
      <c r="F1826" s="19" t="s">
        <v>27</v>
      </c>
      <c r="G1826" s="19" t="s">
        <v>28</v>
      </c>
      <c r="H1826" s="37"/>
      <c r="I1826" s="21" t="s">
        <v>29</v>
      </c>
      <c r="J1826" s="21" t="s">
        <v>29</v>
      </c>
      <c r="K1826" s="22" t="s">
        <v>6520</v>
      </c>
      <c r="L1826" s="56">
        <v>45293</v>
      </c>
      <c r="O1826" s="42"/>
      <c r="P1826" s="40"/>
      <c r="Q1826" s="25"/>
      <c r="R1826" s="25"/>
      <c r="S1826" s="40"/>
      <c r="W1826" s="40"/>
      <c r="AB1826" s="42"/>
      <c r="AC1826" s="35"/>
      <c r="AD1826" s="38"/>
      <c r="AE1826" s="38"/>
      <c r="AF1826" s="38"/>
      <c r="AG1826" s="38"/>
      <c r="AH1826" s="60"/>
    </row>
    <row r="1827" spans="1:34" ht="15.75" customHeight="1">
      <c r="A1827" s="35">
        <v>3.7</v>
      </c>
      <c r="B1827" s="78" t="s">
        <v>6521</v>
      </c>
      <c r="C1827" s="37" t="s">
        <v>24</v>
      </c>
      <c r="D1827" s="20" t="s">
        <v>6522</v>
      </c>
      <c r="E1827" s="20" t="s">
        <v>6523</v>
      </c>
      <c r="F1827" s="19" t="s">
        <v>27</v>
      </c>
      <c r="G1827" s="19" t="s">
        <v>28</v>
      </c>
      <c r="H1827" s="37"/>
      <c r="I1827" s="21" t="s">
        <v>29</v>
      </c>
      <c r="J1827" s="21" t="s">
        <v>29</v>
      </c>
      <c r="K1827" s="22" t="s">
        <v>6524</v>
      </c>
      <c r="L1827" s="56">
        <v>45293</v>
      </c>
      <c r="O1827" s="42"/>
      <c r="P1827" s="40"/>
      <c r="Q1827" s="25"/>
      <c r="R1827" s="25"/>
      <c r="S1827" s="40"/>
      <c r="W1827" s="40"/>
      <c r="AB1827" s="42"/>
      <c r="AC1827" s="35"/>
      <c r="AD1827" s="38"/>
      <c r="AE1827" s="38"/>
      <c r="AF1827" s="38"/>
      <c r="AG1827" s="38"/>
      <c r="AH1827" s="60"/>
    </row>
    <row r="1828" spans="1:34" ht="15.75" customHeight="1">
      <c r="A1828" s="50" t="s">
        <v>73</v>
      </c>
      <c r="B1828" s="78" t="s">
        <v>6525</v>
      </c>
      <c r="C1828" s="37" t="s">
        <v>24</v>
      </c>
      <c r="D1828" s="20" t="s">
        <v>6526</v>
      </c>
      <c r="E1828" s="20" t="s">
        <v>6527</v>
      </c>
      <c r="F1828" s="19" t="s">
        <v>27</v>
      </c>
      <c r="G1828" s="19" t="s">
        <v>28</v>
      </c>
      <c r="H1828" s="19" t="s">
        <v>36</v>
      </c>
      <c r="I1828" s="21" t="s">
        <v>29</v>
      </c>
      <c r="J1828" s="21" t="s">
        <v>29</v>
      </c>
      <c r="K1828" s="22" t="s">
        <v>6528</v>
      </c>
      <c r="L1828" s="56">
        <v>45293</v>
      </c>
      <c r="O1828" s="42"/>
      <c r="P1828" s="40"/>
      <c r="Q1828" s="25"/>
      <c r="R1828" s="25"/>
      <c r="S1828" s="40"/>
      <c r="W1828" s="40"/>
      <c r="AB1828" s="42"/>
      <c r="AC1828" s="35"/>
      <c r="AD1828" s="38"/>
      <c r="AE1828" s="38"/>
      <c r="AF1828" s="38"/>
      <c r="AG1828" s="38"/>
      <c r="AH1828" s="60"/>
    </row>
    <row r="1829" spans="1:34" ht="15.75" customHeight="1">
      <c r="A1829" s="35">
        <v>3.9</v>
      </c>
      <c r="B1829" s="78" t="s">
        <v>6529</v>
      </c>
      <c r="C1829" s="37" t="s">
        <v>46</v>
      </c>
      <c r="D1829" s="20" t="s">
        <v>6530</v>
      </c>
      <c r="E1829" s="20" t="s">
        <v>6531</v>
      </c>
      <c r="F1829" s="37" t="s">
        <v>49</v>
      </c>
      <c r="G1829" s="19" t="s">
        <v>50</v>
      </c>
      <c r="H1829" s="37"/>
      <c r="I1829" s="21" t="s">
        <v>29</v>
      </c>
      <c r="J1829" s="21" t="s">
        <v>29</v>
      </c>
      <c r="K1829" s="22" t="s">
        <v>6532</v>
      </c>
      <c r="L1829" s="56">
        <v>45293</v>
      </c>
      <c r="O1829" s="42"/>
      <c r="P1829" s="40"/>
      <c r="Q1829" s="25"/>
      <c r="R1829" s="25"/>
      <c r="S1829" s="40"/>
      <c r="W1829" s="40"/>
      <c r="AB1829" s="42"/>
      <c r="AC1829" s="35"/>
      <c r="AD1829" s="38"/>
      <c r="AE1829" s="38"/>
      <c r="AF1829" s="38"/>
      <c r="AG1829" s="38"/>
      <c r="AH1829" s="60"/>
    </row>
    <row r="1830" spans="1:34" ht="15.75" customHeight="1">
      <c r="A1830" s="50" t="s">
        <v>82</v>
      </c>
      <c r="B1830" s="78" t="s">
        <v>6533</v>
      </c>
      <c r="C1830" s="37" t="s">
        <v>24</v>
      </c>
      <c r="D1830" s="20" t="s">
        <v>6534</v>
      </c>
      <c r="E1830" s="20" t="s">
        <v>6535</v>
      </c>
      <c r="F1830" s="19" t="s">
        <v>27</v>
      </c>
      <c r="G1830" s="19" t="s">
        <v>28</v>
      </c>
      <c r="H1830" s="37"/>
      <c r="I1830" s="21" t="s">
        <v>29</v>
      </c>
      <c r="J1830" s="21" t="s">
        <v>29</v>
      </c>
      <c r="K1830" s="22" t="s">
        <v>6536</v>
      </c>
      <c r="L1830" s="56">
        <v>45293</v>
      </c>
      <c r="O1830" s="42"/>
      <c r="P1830" s="40"/>
      <c r="Q1830" s="25"/>
      <c r="R1830" s="25"/>
      <c r="S1830" s="40"/>
      <c r="W1830" s="40"/>
      <c r="AB1830" s="42"/>
      <c r="AC1830" s="35"/>
      <c r="AD1830" s="38"/>
      <c r="AE1830" s="38"/>
      <c r="AF1830" s="38"/>
      <c r="AG1830" s="38"/>
      <c r="AH1830" s="60"/>
    </row>
    <row r="1831" spans="1:34" ht="15.75" customHeight="1">
      <c r="A1831" s="35" t="s">
        <v>6537</v>
      </c>
      <c r="B1831" s="81" t="s">
        <v>6538</v>
      </c>
      <c r="C1831" s="37" t="s">
        <v>46</v>
      </c>
      <c r="D1831" s="20" t="s">
        <v>6539</v>
      </c>
      <c r="E1831" s="20" t="s">
        <v>6540</v>
      </c>
      <c r="F1831" s="37" t="s">
        <v>49</v>
      </c>
      <c r="G1831" s="19" t="s">
        <v>50</v>
      </c>
      <c r="H1831" s="37"/>
      <c r="I1831" s="21" t="s">
        <v>29</v>
      </c>
      <c r="J1831" s="21" t="s">
        <v>29</v>
      </c>
      <c r="K1831" s="22" t="s">
        <v>6541</v>
      </c>
      <c r="L1831" s="56">
        <v>45293</v>
      </c>
      <c r="O1831" s="42"/>
      <c r="P1831" s="40"/>
      <c r="Q1831" s="25"/>
      <c r="R1831" s="25"/>
      <c r="S1831" s="40"/>
      <c r="W1831" s="40"/>
      <c r="AB1831" s="42"/>
      <c r="AC1831" s="35"/>
      <c r="AD1831" s="38"/>
      <c r="AE1831" s="38"/>
      <c r="AF1831" s="38"/>
      <c r="AG1831" s="38"/>
      <c r="AH1831" s="60"/>
    </row>
    <row r="1832" spans="1:34" ht="15.75" customHeight="1">
      <c r="A1832" s="50" t="s">
        <v>92</v>
      </c>
      <c r="B1832" s="78" t="s">
        <v>6542</v>
      </c>
      <c r="C1832" s="37" t="s">
        <v>24</v>
      </c>
      <c r="D1832" s="20" t="s">
        <v>6543</v>
      </c>
      <c r="E1832" s="20" t="s">
        <v>6544</v>
      </c>
      <c r="F1832" s="19" t="s">
        <v>27</v>
      </c>
      <c r="G1832" s="19" t="s">
        <v>28</v>
      </c>
      <c r="H1832" s="37"/>
      <c r="I1832" s="21" t="s">
        <v>29</v>
      </c>
      <c r="J1832" s="21" t="s">
        <v>29</v>
      </c>
      <c r="K1832" s="22" t="s">
        <v>6545</v>
      </c>
      <c r="L1832" s="56">
        <v>45293</v>
      </c>
      <c r="O1832" s="42"/>
      <c r="P1832" s="40"/>
      <c r="Q1832" s="25"/>
      <c r="R1832" s="25"/>
      <c r="S1832" s="40"/>
      <c r="V1832" s="35"/>
      <c r="W1832" s="40"/>
      <c r="AB1832" s="42"/>
      <c r="AC1832" s="35"/>
      <c r="AD1832" s="38"/>
      <c r="AE1832" s="38"/>
      <c r="AF1832" s="38"/>
      <c r="AG1832" s="38"/>
      <c r="AH1832" s="60"/>
    </row>
    <row r="1833" spans="1:34" ht="15.75" customHeight="1">
      <c r="A1833" s="79">
        <v>1977</v>
      </c>
      <c r="B1833" s="78" t="s">
        <v>6546</v>
      </c>
      <c r="C1833" s="37" t="s">
        <v>24</v>
      </c>
      <c r="D1833" s="20" t="s">
        <v>6547</v>
      </c>
      <c r="E1833" s="20" t="s">
        <v>6548</v>
      </c>
      <c r="F1833" s="19" t="s">
        <v>27</v>
      </c>
      <c r="G1833" s="19" t="s">
        <v>28</v>
      </c>
      <c r="H1833" s="19" t="s">
        <v>36</v>
      </c>
      <c r="I1833" s="21" t="s">
        <v>29</v>
      </c>
      <c r="J1833" s="21" t="s">
        <v>29</v>
      </c>
      <c r="K1833" s="22" t="s">
        <v>6549</v>
      </c>
      <c r="L1833" s="56">
        <v>45293</v>
      </c>
      <c r="O1833" s="42"/>
      <c r="P1833" s="40"/>
      <c r="Q1833" s="25"/>
      <c r="R1833" s="25"/>
      <c r="S1833" s="40"/>
      <c r="W1833" s="40"/>
      <c r="AB1833" s="42"/>
      <c r="AC1833" s="35"/>
      <c r="AD1833" s="38"/>
      <c r="AE1833" s="38"/>
      <c r="AF1833" s="38"/>
      <c r="AG1833" s="38"/>
      <c r="AH1833" s="60"/>
    </row>
    <row r="1834" spans="1:34" ht="15.75" customHeight="1">
      <c r="A1834" s="50" t="s">
        <v>100</v>
      </c>
      <c r="B1834" s="78" t="s">
        <v>6550</v>
      </c>
      <c r="C1834" s="37" t="s">
        <v>1470</v>
      </c>
      <c r="D1834" s="20" t="s">
        <v>6551</v>
      </c>
      <c r="E1834" s="20"/>
      <c r="F1834" s="19" t="s">
        <v>3286</v>
      </c>
      <c r="G1834" s="19" t="s">
        <v>1461</v>
      </c>
      <c r="H1834" s="37"/>
      <c r="I1834" s="21" t="s">
        <v>233</v>
      </c>
      <c r="J1834" s="21" t="s">
        <v>233</v>
      </c>
      <c r="K1834" s="22"/>
      <c r="L1834" s="56">
        <v>45293</v>
      </c>
      <c r="O1834" s="42"/>
      <c r="P1834" s="40"/>
      <c r="Q1834" s="25"/>
      <c r="R1834" s="25"/>
      <c r="S1834" s="40"/>
      <c r="W1834" s="40"/>
      <c r="AB1834" s="42"/>
      <c r="AC1834" s="35"/>
      <c r="AD1834" s="38"/>
      <c r="AE1834" s="38"/>
      <c r="AF1834" s="38"/>
      <c r="AG1834" s="38"/>
      <c r="AH1834" s="60"/>
    </row>
    <row r="1835" spans="1:34" ht="15.75" customHeight="1">
      <c r="A1835" s="35">
        <v>165</v>
      </c>
      <c r="B1835" s="83" t="s">
        <v>6552</v>
      </c>
      <c r="C1835" s="19" t="s">
        <v>121</v>
      </c>
      <c r="D1835" s="20" t="s">
        <v>6553</v>
      </c>
      <c r="E1835" s="20" t="s">
        <v>6554</v>
      </c>
      <c r="F1835" s="55" t="s">
        <v>1445</v>
      </c>
      <c r="G1835" s="37" t="s">
        <v>452</v>
      </c>
      <c r="H1835" s="37"/>
      <c r="I1835" s="21" t="s">
        <v>233</v>
      </c>
      <c r="J1835" s="21" t="s">
        <v>452</v>
      </c>
      <c r="K1835" s="22" t="s">
        <v>6555</v>
      </c>
      <c r="L1835" s="56">
        <v>45293</v>
      </c>
      <c r="O1835" s="42"/>
      <c r="P1835" s="40"/>
      <c r="Q1835" s="25"/>
      <c r="R1835" s="25"/>
      <c r="S1835" s="40"/>
      <c r="W1835" s="40"/>
      <c r="AB1835" s="42"/>
      <c r="AC1835" s="35"/>
      <c r="AD1835" s="38"/>
      <c r="AE1835" s="38"/>
      <c r="AF1835" s="38"/>
      <c r="AG1835" s="38"/>
      <c r="AH1835" s="60"/>
    </row>
    <row r="1836" spans="1:34" ht="15.75" customHeight="1">
      <c r="A1836" s="35"/>
      <c r="B1836" s="78" t="s">
        <v>6556</v>
      </c>
      <c r="C1836" s="37" t="s">
        <v>24</v>
      </c>
      <c r="D1836" s="20" t="s">
        <v>6557</v>
      </c>
      <c r="E1836" s="20" t="s">
        <v>6558</v>
      </c>
      <c r="F1836" s="19" t="s">
        <v>27</v>
      </c>
      <c r="G1836" s="19" t="s">
        <v>28</v>
      </c>
      <c r="H1836" s="37"/>
      <c r="I1836" s="21" t="s">
        <v>29</v>
      </c>
      <c r="J1836" s="21" t="s">
        <v>29</v>
      </c>
      <c r="K1836" s="22" t="s">
        <v>6559</v>
      </c>
      <c r="L1836" s="56">
        <v>45293</v>
      </c>
      <c r="O1836" s="42"/>
      <c r="P1836" s="40"/>
      <c r="Q1836" s="25"/>
      <c r="R1836" s="25"/>
      <c r="S1836" s="40"/>
      <c r="W1836" s="40"/>
      <c r="AB1836" s="42"/>
      <c r="AC1836" s="35"/>
      <c r="AD1836" s="38"/>
      <c r="AE1836" s="38"/>
      <c r="AF1836" s="38"/>
      <c r="AG1836" s="38"/>
      <c r="AH1836" s="60"/>
    </row>
    <row r="1837" spans="1:34" ht="15.75" customHeight="1">
      <c r="A1837" s="35"/>
      <c r="B1837" s="78" t="s">
        <v>6560</v>
      </c>
      <c r="C1837" s="37" t="s">
        <v>24</v>
      </c>
      <c r="D1837" s="20" t="s">
        <v>6561</v>
      </c>
      <c r="E1837" s="20" t="s">
        <v>6562</v>
      </c>
      <c r="F1837" s="19" t="s">
        <v>27</v>
      </c>
      <c r="G1837" s="19" t="s">
        <v>28</v>
      </c>
      <c r="H1837" s="37"/>
      <c r="I1837" s="21" t="s">
        <v>29</v>
      </c>
      <c r="J1837" s="21" t="s">
        <v>29</v>
      </c>
      <c r="K1837" s="22" t="s">
        <v>6563</v>
      </c>
      <c r="L1837" s="56">
        <v>45293</v>
      </c>
      <c r="O1837" s="42"/>
      <c r="P1837" s="40"/>
      <c r="Q1837" s="25"/>
      <c r="R1837" s="25"/>
      <c r="S1837" s="40"/>
      <c r="W1837" s="40"/>
      <c r="AB1837" s="42"/>
      <c r="AC1837" s="35"/>
      <c r="AD1837" s="38"/>
      <c r="AE1837" s="38"/>
      <c r="AF1837" s="38"/>
      <c r="AG1837" s="38"/>
      <c r="AH1837" s="60"/>
    </row>
    <row r="1838" spans="1:34" ht="15.75" customHeight="1">
      <c r="A1838" s="35"/>
      <c r="B1838" s="80" t="s">
        <v>6564</v>
      </c>
      <c r="C1838" s="37" t="s">
        <v>87</v>
      </c>
      <c r="D1838" s="20" t="s">
        <v>6565</v>
      </c>
      <c r="E1838" s="20" t="s">
        <v>6566</v>
      </c>
      <c r="F1838" s="37" t="s">
        <v>49</v>
      </c>
      <c r="G1838" s="19" t="s">
        <v>50</v>
      </c>
      <c r="H1838" s="37"/>
      <c r="I1838" s="21" t="s">
        <v>29</v>
      </c>
      <c r="J1838" s="21" t="s">
        <v>29</v>
      </c>
      <c r="K1838" s="22" t="s">
        <v>6567</v>
      </c>
      <c r="L1838" s="56">
        <v>45293</v>
      </c>
      <c r="O1838" s="42"/>
      <c r="P1838" s="40"/>
      <c r="Q1838" s="25"/>
      <c r="R1838" s="25"/>
      <c r="S1838" s="40"/>
      <c r="W1838" s="40"/>
      <c r="AB1838" s="42"/>
      <c r="AC1838" s="35"/>
      <c r="AD1838" s="38"/>
      <c r="AE1838" s="38"/>
      <c r="AF1838" s="38"/>
      <c r="AG1838" s="38"/>
      <c r="AH1838" s="60"/>
    </row>
    <row r="1839" spans="1:34" ht="15.75" customHeight="1">
      <c r="A1839" s="35"/>
      <c r="B1839" s="78" t="s">
        <v>6568</v>
      </c>
      <c r="C1839" s="37" t="s">
        <v>24</v>
      </c>
      <c r="D1839" s="20" t="s">
        <v>6569</v>
      </c>
      <c r="E1839" s="20" t="s">
        <v>6570</v>
      </c>
      <c r="F1839" s="19" t="s">
        <v>27</v>
      </c>
      <c r="G1839" s="19" t="s">
        <v>28</v>
      </c>
      <c r="H1839" s="37"/>
      <c r="I1839" s="21" t="s">
        <v>29</v>
      </c>
      <c r="J1839" s="21" t="s">
        <v>29</v>
      </c>
      <c r="K1839" s="22" t="s">
        <v>6571</v>
      </c>
      <c r="L1839" s="56">
        <v>45293</v>
      </c>
      <c r="O1839" s="42"/>
      <c r="P1839" s="40"/>
      <c r="Q1839" s="25"/>
      <c r="R1839" s="25"/>
      <c r="S1839" s="40"/>
      <c r="W1839" s="40"/>
      <c r="AB1839" s="42"/>
      <c r="AC1839" s="35"/>
      <c r="AD1839" s="38"/>
      <c r="AE1839" s="38"/>
      <c r="AF1839" s="38"/>
      <c r="AG1839" s="38"/>
      <c r="AH1839" s="60"/>
    </row>
    <row r="1840" spans="1:34" ht="15.75" customHeight="1">
      <c r="A1840" s="35"/>
      <c r="B1840" s="38" t="s">
        <v>6572</v>
      </c>
      <c r="C1840" s="37" t="s">
        <v>87</v>
      </c>
      <c r="D1840" s="25" t="s">
        <v>6573</v>
      </c>
      <c r="E1840" s="20" t="s">
        <v>6574</v>
      </c>
      <c r="F1840" s="19" t="s">
        <v>90</v>
      </c>
      <c r="G1840" s="19" t="s">
        <v>91</v>
      </c>
      <c r="H1840" s="37"/>
      <c r="I1840" s="21" t="s">
        <v>29</v>
      </c>
      <c r="J1840" s="21" t="s">
        <v>29</v>
      </c>
      <c r="K1840" s="22" t="s">
        <v>6575</v>
      </c>
      <c r="L1840" s="56">
        <v>45293</v>
      </c>
      <c r="O1840" s="42"/>
      <c r="P1840" s="40"/>
      <c r="Q1840" s="25"/>
      <c r="R1840" s="25"/>
      <c r="S1840" s="40"/>
      <c r="V1840" s="89"/>
      <c r="W1840" s="40"/>
      <c r="AB1840" s="42"/>
      <c r="AC1840" s="35"/>
      <c r="AD1840" s="38"/>
      <c r="AE1840" s="38"/>
      <c r="AF1840" s="38"/>
      <c r="AG1840" s="38"/>
      <c r="AH1840" s="60"/>
    </row>
    <row r="1841" spans="1:34" ht="15.75" customHeight="1">
      <c r="A1841" s="35"/>
      <c r="B1841" s="78" t="s">
        <v>6576</v>
      </c>
      <c r="C1841" s="37" t="s">
        <v>46</v>
      </c>
      <c r="D1841" s="20" t="s">
        <v>6577</v>
      </c>
      <c r="E1841" s="20" t="s">
        <v>6578</v>
      </c>
      <c r="F1841" s="37" t="s">
        <v>49</v>
      </c>
      <c r="G1841" s="19" t="s">
        <v>50</v>
      </c>
      <c r="H1841" s="37"/>
      <c r="I1841" s="21" t="s">
        <v>29</v>
      </c>
      <c r="J1841" s="21" t="s">
        <v>29</v>
      </c>
      <c r="K1841" s="22" t="s">
        <v>6575</v>
      </c>
      <c r="L1841" s="56">
        <v>45293</v>
      </c>
      <c r="O1841" s="42"/>
      <c r="P1841" s="40"/>
      <c r="Q1841" s="25"/>
      <c r="R1841" s="25"/>
      <c r="S1841" s="40"/>
      <c r="W1841" s="40"/>
      <c r="AB1841" s="42"/>
      <c r="AC1841" s="35"/>
      <c r="AD1841" s="38"/>
      <c r="AE1841" s="38"/>
      <c r="AF1841" s="38"/>
      <c r="AG1841" s="38"/>
      <c r="AH1841" s="60"/>
    </row>
    <row r="1842" spans="1:34" ht="15.75" customHeight="1">
      <c r="A1842" s="35"/>
      <c r="B1842" s="78" t="s">
        <v>6579</v>
      </c>
      <c r="C1842" s="37" t="s">
        <v>24</v>
      </c>
      <c r="D1842" s="20" t="s">
        <v>6580</v>
      </c>
      <c r="E1842" s="20" t="s">
        <v>6581</v>
      </c>
      <c r="F1842" s="19" t="s">
        <v>27</v>
      </c>
      <c r="G1842" s="19" t="s">
        <v>28</v>
      </c>
      <c r="H1842" s="19" t="s">
        <v>36</v>
      </c>
      <c r="I1842" s="21" t="s">
        <v>29</v>
      </c>
      <c r="J1842" s="21" t="s">
        <v>29</v>
      </c>
      <c r="K1842" s="22" t="s">
        <v>6582</v>
      </c>
      <c r="L1842" s="56">
        <v>45293</v>
      </c>
      <c r="O1842" s="42"/>
      <c r="P1842" s="40"/>
      <c r="Q1842" s="25"/>
      <c r="R1842" s="25"/>
      <c r="S1842" s="40"/>
      <c r="W1842" s="40"/>
      <c r="AB1842" s="42"/>
      <c r="AC1842" s="35"/>
      <c r="AD1842" s="38"/>
      <c r="AE1842" s="38"/>
      <c r="AF1842" s="38"/>
      <c r="AG1842" s="38"/>
      <c r="AH1842" s="60"/>
    </row>
    <row r="1843" spans="1:34" ht="15.75" customHeight="1">
      <c r="A1843" s="35"/>
      <c r="B1843" s="78" t="s">
        <v>6583</v>
      </c>
      <c r="C1843" s="37" t="s">
        <v>46</v>
      </c>
      <c r="D1843" s="20" t="s">
        <v>6584</v>
      </c>
      <c r="E1843" s="20" t="s">
        <v>6585</v>
      </c>
      <c r="F1843" s="37" t="s">
        <v>49</v>
      </c>
      <c r="G1843" s="19" t="s">
        <v>50</v>
      </c>
      <c r="H1843" s="37"/>
      <c r="I1843" s="21" t="s">
        <v>29</v>
      </c>
      <c r="J1843" s="21" t="s">
        <v>29</v>
      </c>
      <c r="K1843" s="22" t="s">
        <v>6586</v>
      </c>
      <c r="L1843" s="56">
        <v>45293</v>
      </c>
      <c r="O1843" s="42"/>
      <c r="P1843" s="40"/>
      <c r="Q1843" s="25"/>
      <c r="R1843" s="25"/>
      <c r="S1843" s="40"/>
      <c r="W1843" s="40"/>
      <c r="AB1843" s="42"/>
      <c r="AC1843" s="35"/>
      <c r="AD1843" s="38"/>
      <c r="AE1843" s="38"/>
      <c r="AF1843" s="38"/>
      <c r="AG1843" s="38"/>
      <c r="AH1843" s="60"/>
    </row>
    <row r="1844" spans="1:34" ht="15.75" customHeight="1">
      <c r="A1844" s="35"/>
      <c r="B1844" s="78" t="s">
        <v>6587</v>
      </c>
      <c r="C1844" s="37" t="s">
        <v>87</v>
      </c>
      <c r="D1844" s="20" t="s">
        <v>6588</v>
      </c>
      <c r="E1844" s="20" t="s">
        <v>6589</v>
      </c>
      <c r="F1844" s="19" t="s">
        <v>90</v>
      </c>
      <c r="G1844" s="19" t="s">
        <v>91</v>
      </c>
      <c r="H1844" s="37"/>
      <c r="I1844" s="21" t="s">
        <v>29</v>
      </c>
      <c r="J1844" s="21" t="s">
        <v>29</v>
      </c>
      <c r="K1844" s="22" t="s">
        <v>6590</v>
      </c>
      <c r="L1844" s="56">
        <v>45293</v>
      </c>
      <c r="O1844" s="42"/>
      <c r="P1844" s="40"/>
      <c r="Q1844" s="25"/>
      <c r="R1844" s="25"/>
      <c r="S1844" s="40"/>
      <c r="W1844" s="40"/>
      <c r="AB1844" s="42"/>
      <c r="AC1844" s="35"/>
      <c r="AD1844" s="38"/>
      <c r="AE1844" s="38"/>
      <c r="AF1844" s="38"/>
      <c r="AG1844" s="38"/>
      <c r="AH1844" s="60"/>
    </row>
    <row r="1845" spans="1:34" ht="15.75" customHeight="1">
      <c r="A1845" s="35"/>
      <c r="B1845" s="78" t="s">
        <v>6591</v>
      </c>
      <c r="C1845" s="37" t="s">
        <v>46</v>
      </c>
      <c r="D1845" s="20" t="s">
        <v>6592</v>
      </c>
      <c r="E1845" s="20" t="s">
        <v>6593</v>
      </c>
      <c r="F1845" s="37" t="s">
        <v>49</v>
      </c>
      <c r="G1845" s="19" t="s">
        <v>50</v>
      </c>
      <c r="H1845" s="37"/>
      <c r="I1845" s="21" t="s">
        <v>29</v>
      </c>
      <c r="J1845" s="21" t="s">
        <v>29</v>
      </c>
      <c r="K1845" s="22" t="s">
        <v>6593</v>
      </c>
      <c r="L1845" s="56">
        <v>45293</v>
      </c>
      <c r="O1845" s="42"/>
      <c r="P1845" s="40"/>
      <c r="Q1845" s="25"/>
      <c r="R1845" s="25"/>
      <c r="S1845" s="40"/>
      <c r="W1845" s="40"/>
      <c r="AB1845" s="42"/>
      <c r="AC1845" s="35"/>
      <c r="AD1845" s="38"/>
      <c r="AE1845" s="38"/>
      <c r="AF1845" s="38"/>
      <c r="AG1845" s="38"/>
      <c r="AH1845" s="60"/>
    </row>
    <row r="1846" spans="1:34" ht="15.75" customHeight="1">
      <c r="A1846" s="35"/>
      <c r="B1846" s="78" t="s">
        <v>6594</v>
      </c>
      <c r="C1846" s="37" t="s">
        <v>1486</v>
      </c>
      <c r="D1846" s="20" t="s">
        <v>6595</v>
      </c>
      <c r="E1846" s="20" t="s">
        <v>6596</v>
      </c>
      <c r="F1846" s="37" t="s">
        <v>1489</v>
      </c>
      <c r="G1846" s="37" t="s">
        <v>1490</v>
      </c>
      <c r="H1846" s="37"/>
      <c r="I1846" s="21" t="s">
        <v>29</v>
      </c>
      <c r="J1846" s="21" t="s">
        <v>29</v>
      </c>
      <c r="K1846" s="22" t="s">
        <v>6597</v>
      </c>
      <c r="L1846" s="56">
        <v>45293</v>
      </c>
      <c r="O1846" s="42"/>
      <c r="P1846" s="40"/>
      <c r="Q1846" s="25"/>
      <c r="R1846" s="25"/>
      <c r="S1846" s="40"/>
      <c r="W1846" s="40"/>
      <c r="AB1846" s="42"/>
      <c r="AC1846" s="35"/>
      <c r="AD1846" s="38"/>
      <c r="AE1846" s="38"/>
      <c r="AF1846" s="38"/>
      <c r="AG1846" s="38"/>
      <c r="AH1846" s="60"/>
    </row>
    <row r="1847" spans="1:34" ht="15.75" customHeight="1">
      <c r="A1847" s="35"/>
      <c r="B1847" s="78" t="s">
        <v>6598</v>
      </c>
      <c r="C1847" s="37" t="s">
        <v>46</v>
      </c>
      <c r="D1847" s="20" t="s">
        <v>6599</v>
      </c>
      <c r="E1847" s="20" t="s">
        <v>6600</v>
      </c>
      <c r="F1847" s="37" t="s">
        <v>49</v>
      </c>
      <c r="G1847" s="19" t="s">
        <v>50</v>
      </c>
      <c r="H1847" s="37"/>
      <c r="I1847" s="21" t="s">
        <v>29</v>
      </c>
      <c r="J1847" s="21" t="s">
        <v>29</v>
      </c>
      <c r="K1847" s="22" t="s">
        <v>6601</v>
      </c>
      <c r="L1847" s="56">
        <v>45293</v>
      </c>
      <c r="O1847" s="42"/>
      <c r="P1847" s="40"/>
      <c r="Q1847" s="25"/>
      <c r="R1847" s="25"/>
      <c r="S1847" s="40"/>
      <c r="W1847" s="40"/>
      <c r="AB1847" s="42"/>
      <c r="AC1847" s="35"/>
      <c r="AD1847" s="38"/>
      <c r="AE1847" s="38"/>
      <c r="AF1847" s="38"/>
      <c r="AG1847" s="38"/>
      <c r="AH1847" s="60"/>
    </row>
    <row r="1848" spans="1:34" ht="15.75" customHeight="1">
      <c r="A1848" s="35"/>
      <c r="B1848" s="78" t="s">
        <v>6602</v>
      </c>
      <c r="C1848" s="37" t="s">
        <v>1430</v>
      </c>
      <c r="D1848" s="20" t="s">
        <v>6603</v>
      </c>
      <c r="E1848" s="20" t="s">
        <v>2890</v>
      </c>
      <c r="F1848" s="55" t="s">
        <v>1445</v>
      </c>
      <c r="G1848" s="55" t="s">
        <v>1432</v>
      </c>
      <c r="H1848" s="37"/>
      <c r="I1848" s="21" t="s">
        <v>233</v>
      </c>
      <c r="J1848" s="21" t="s">
        <v>233</v>
      </c>
      <c r="K1848" s="22" t="s">
        <v>2890</v>
      </c>
      <c r="L1848" s="56">
        <v>45293</v>
      </c>
      <c r="O1848" s="42"/>
      <c r="P1848" s="40"/>
      <c r="Q1848" s="25"/>
      <c r="R1848" s="25"/>
      <c r="S1848" s="40"/>
      <c r="V1848" s="35"/>
      <c r="W1848" s="40"/>
      <c r="AB1848" s="42"/>
      <c r="AC1848" s="35"/>
      <c r="AD1848" s="38"/>
      <c r="AE1848" s="38"/>
      <c r="AF1848" s="38"/>
      <c r="AG1848" s="38"/>
      <c r="AH1848" s="60"/>
    </row>
    <row r="1849" spans="1:34" ht="15.75" customHeight="1">
      <c r="A1849" s="35"/>
      <c r="B1849" s="78" t="s">
        <v>6604</v>
      </c>
      <c r="C1849" s="37" t="s">
        <v>24</v>
      </c>
      <c r="D1849" s="20" t="s">
        <v>6605</v>
      </c>
      <c r="E1849" s="20" t="s">
        <v>6606</v>
      </c>
      <c r="F1849" s="19" t="s">
        <v>27</v>
      </c>
      <c r="G1849" s="19" t="s">
        <v>28</v>
      </c>
      <c r="H1849" s="37"/>
      <c r="I1849" s="21" t="s">
        <v>29</v>
      </c>
      <c r="J1849" s="21" t="s">
        <v>29</v>
      </c>
      <c r="K1849" s="22" t="s">
        <v>6607</v>
      </c>
      <c r="L1849" s="56">
        <v>45293</v>
      </c>
      <c r="O1849" s="42"/>
      <c r="P1849" s="40"/>
      <c r="Q1849" s="25"/>
      <c r="R1849" s="25"/>
      <c r="S1849" s="40"/>
      <c r="W1849" s="40"/>
      <c r="AB1849" s="42"/>
      <c r="AC1849" s="35"/>
      <c r="AD1849" s="38"/>
      <c r="AE1849" s="38"/>
      <c r="AF1849" s="38"/>
      <c r="AG1849" s="38"/>
      <c r="AH1849" s="60"/>
    </row>
    <row r="1850" spans="1:34" ht="15.75" customHeight="1">
      <c r="A1850" s="35"/>
      <c r="B1850" s="78" t="s">
        <v>6608</v>
      </c>
      <c r="C1850" s="37" t="s">
        <v>24</v>
      </c>
      <c r="D1850" s="20" t="s">
        <v>6609</v>
      </c>
      <c r="E1850" s="20" t="s">
        <v>6610</v>
      </c>
      <c r="F1850" s="19" t="s">
        <v>27</v>
      </c>
      <c r="G1850" s="19" t="s">
        <v>28</v>
      </c>
      <c r="H1850" s="19" t="s">
        <v>36</v>
      </c>
      <c r="I1850" s="21" t="s">
        <v>29</v>
      </c>
      <c r="J1850" s="21" t="s">
        <v>29</v>
      </c>
      <c r="K1850" s="22" t="s">
        <v>6611</v>
      </c>
      <c r="L1850" s="56">
        <v>45293</v>
      </c>
      <c r="O1850" s="42"/>
      <c r="P1850" s="40"/>
      <c r="Q1850" s="25"/>
      <c r="R1850" s="25"/>
      <c r="S1850" s="40"/>
      <c r="W1850" s="40"/>
      <c r="AB1850" s="42"/>
      <c r="AC1850" s="35"/>
      <c r="AD1850" s="38"/>
      <c r="AE1850" s="38"/>
      <c r="AF1850" s="38"/>
      <c r="AG1850" s="38"/>
      <c r="AH1850" s="60"/>
    </row>
    <row r="1851" spans="1:34" ht="15.75" customHeight="1">
      <c r="A1851" s="35"/>
      <c r="B1851" s="81" t="s">
        <v>6612</v>
      </c>
      <c r="C1851" s="37" t="s">
        <v>46</v>
      </c>
      <c r="D1851" s="20" t="s">
        <v>6613</v>
      </c>
      <c r="E1851" s="20" t="s">
        <v>6614</v>
      </c>
      <c r="F1851" s="37" t="s">
        <v>286</v>
      </c>
      <c r="G1851" s="19" t="s">
        <v>50</v>
      </c>
      <c r="H1851" s="37"/>
      <c r="I1851" s="21" t="s">
        <v>286</v>
      </c>
      <c r="J1851" s="21" t="s">
        <v>29</v>
      </c>
      <c r="K1851" s="22" t="s">
        <v>6611</v>
      </c>
      <c r="L1851" s="56">
        <v>45293</v>
      </c>
      <c r="O1851" s="42"/>
      <c r="P1851" s="40"/>
      <c r="Q1851" s="25"/>
      <c r="R1851" s="25"/>
      <c r="S1851" s="40"/>
      <c r="W1851" s="40"/>
      <c r="AB1851" s="42"/>
      <c r="AC1851" s="35"/>
      <c r="AD1851" s="38"/>
      <c r="AE1851" s="38"/>
      <c r="AF1851" s="38"/>
      <c r="AG1851" s="38"/>
      <c r="AH1851" s="60"/>
    </row>
    <row r="1852" spans="1:34" ht="15.75" customHeight="1">
      <c r="A1852" s="35"/>
      <c r="B1852" s="78" t="s">
        <v>6615</v>
      </c>
      <c r="C1852" s="37" t="s">
        <v>24</v>
      </c>
      <c r="D1852" s="20" t="s">
        <v>6616</v>
      </c>
      <c r="E1852" s="20" t="s">
        <v>6617</v>
      </c>
      <c r="F1852" s="19" t="s">
        <v>27</v>
      </c>
      <c r="G1852" s="19" t="s">
        <v>28</v>
      </c>
      <c r="H1852" s="37"/>
      <c r="I1852" s="21" t="s">
        <v>29</v>
      </c>
      <c r="J1852" s="21" t="s">
        <v>29</v>
      </c>
      <c r="K1852" s="22" t="s">
        <v>6611</v>
      </c>
      <c r="L1852" s="56">
        <v>45293</v>
      </c>
      <c r="O1852" s="42"/>
      <c r="P1852" s="40"/>
      <c r="Q1852" s="25"/>
      <c r="R1852" s="25"/>
      <c r="S1852" s="40"/>
      <c r="W1852" s="40"/>
      <c r="AB1852" s="42"/>
      <c r="AC1852" s="35"/>
      <c r="AD1852" s="38"/>
      <c r="AE1852" s="38"/>
      <c r="AF1852" s="38"/>
      <c r="AG1852" s="38"/>
      <c r="AH1852" s="60"/>
    </row>
    <row r="1853" spans="1:34" ht="15.75" customHeight="1">
      <c r="A1853" s="35"/>
      <c r="B1853" s="78" t="s">
        <v>6618</v>
      </c>
      <c r="C1853" s="37" t="s">
        <v>46</v>
      </c>
      <c r="D1853" s="20" t="s">
        <v>6619</v>
      </c>
      <c r="E1853" s="20" t="s">
        <v>6620</v>
      </c>
      <c r="F1853" s="37" t="s">
        <v>49</v>
      </c>
      <c r="G1853" s="19" t="s">
        <v>50</v>
      </c>
      <c r="H1853" s="37"/>
      <c r="I1853" s="21" t="s">
        <v>29</v>
      </c>
      <c r="J1853" s="21" t="s">
        <v>29</v>
      </c>
      <c r="K1853" s="22" t="s">
        <v>6611</v>
      </c>
      <c r="L1853" s="56">
        <v>45293</v>
      </c>
      <c r="O1853" s="42"/>
      <c r="P1853" s="40"/>
      <c r="Q1853" s="25"/>
      <c r="R1853" s="25"/>
      <c r="S1853" s="40"/>
      <c r="W1853" s="40"/>
      <c r="AB1853" s="42"/>
      <c r="AC1853" s="35"/>
      <c r="AD1853" s="38"/>
      <c r="AE1853" s="38"/>
      <c r="AF1853" s="38"/>
      <c r="AG1853" s="38"/>
      <c r="AH1853" s="60"/>
    </row>
    <row r="1854" spans="1:34" ht="15.75" customHeight="1">
      <c r="A1854" s="35"/>
      <c r="B1854" s="78" t="s">
        <v>6621</v>
      </c>
      <c r="C1854" s="37" t="s">
        <v>1366</v>
      </c>
      <c r="D1854" s="20" t="s">
        <v>6622</v>
      </c>
      <c r="E1854" s="20" t="s">
        <v>6623</v>
      </c>
      <c r="F1854" s="55" t="s">
        <v>1369</v>
      </c>
      <c r="G1854" s="55" t="s">
        <v>1370</v>
      </c>
      <c r="H1854" s="37"/>
      <c r="I1854" s="21" t="s">
        <v>29</v>
      </c>
      <c r="J1854" s="21" t="s">
        <v>29</v>
      </c>
      <c r="K1854" s="22" t="s">
        <v>6611</v>
      </c>
      <c r="L1854" s="56">
        <v>45293</v>
      </c>
      <c r="O1854" s="42"/>
      <c r="P1854" s="40"/>
      <c r="Q1854" s="25"/>
      <c r="R1854" s="25"/>
      <c r="S1854" s="40"/>
      <c r="W1854" s="40"/>
      <c r="AB1854" s="42"/>
      <c r="AC1854" s="35"/>
      <c r="AD1854" s="38"/>
      <c r="AE1854" s="38"/>
      <c r="AF1854" s="38"/>
      <c r="AG1854" s="38"/>
      <c r="AH1854" s="60"/>
    </row>
    <row r="1855" spans="1:34" ht="15.75" customHeight="1">
      <c r="A1855" s="35"/>
      <c r="B1855" s="78" t="s">
        <v>6624</v>
      </c>
      <c r="C1855" s="37" t="s">
        <v>24</v>
      </c>
      <c r="D1855" s="20" t="s">
        <v>6625</v>
      </c>
      <c r="E1855" s="20" t="s">
        <v>6502</v>
      </c>
      <c r="F1855" s="19" t="s">
        <v>27</v>
      </c>
      <c r="G1855" s="19" t="s">
        <v>28</v>
      </c>
      <c r="H1855" s="37"/>
      <c r="I1855" s="21" t="s">
        <v>29</v>
      </c>
      <c r="J1855" s="21" t="s">
        <v>29</v>
      </c>
      <c r="K1855" s="22" t="s">
        <v>6611</v>
      </c>
      <c r="L1855" s="56">
        <v>45293</v>
      </c>
      <c r="O1855" s="42"/>
      <c r="P1855" s="40"/>
      <c r="Q1855" s="25"/>
      <c r="R1855" s="25"/>
      <c r="S1855" s="40"/>
      <c r="W1855" s="40"/>
      <c r="AB1855" s="42"/>
      <c r="AC1855" s="35"/>
      <c r="AD1855" s="38"/>
      <c r="AE1855" s="38"/>
      <c r="AF1855" s="38"/>
      <c r="AG1855" s="38"/>
      <c r="AH1855" s="60"/>
    </row>
    <row r="1856" spans="1:34" ht="15.75" customHeight="1">
      <c r="A1856" s="35"/>
      <c r="B1856" s="78" t="s">
        <v>6626</v>
      </c>
      <c r="C1856" s="37" t="s">
        <v>24</v>
      </c>
      <c r="D1856" s="20" t="s">
        <v>6627</v>
      </c>
      <c r="E1856" s="20" t="s">
        <v>6628</v>
      </c>
      <c r="F1856" s="19" t="s">
        <v>27</v>
      </c>
      <c r="G1856" s="19" t="s">
        <v>28</v>
      </c>
      <c r="H1856" s="37"/>
      <c r="I1856" s="21" t="s">
        <v>29</v>
      </c>
      <c r="J1856" s="21" t="s">
        <v>29</v>
      </c>
      <c r="K1856" s="22" t="s">
        <v>6611</v>
      </c>
      <c r="L1856" s="56">
        <v>45293</v>
      </c>
      <c r="O1856" s="42"/>
      <c r="P1856" s="40"/>
      <c r="Q1856" s="25"/>
      <c r="R1856" s="25"/>
      <c r="S1856" s="40"/>
      <c r="W1856" s="40"/>
      <c r="AB1856" s="42"/>
      <c r="AC1856" s="35"/>
      <c r="AD1856" s="38"/>
      <c r="AE1856" s="38"/>
      <c r="AF1856" s="38"/>
      <c r="AG1856" s="38"/>
      <c r="AH1856" s="60"/>
    </row>
    <row r="1857" spans="1:34" ht="15.75" customHeight="1">
      <c r="A1857" s="35"/>
      <c r="B1857" s="78" t="s">
        <v>6629</v>
      </c>
      <c r="C1857" s="37" t="s">
        <v>24</v>
      </c>
      <c r="D1857" s="20" t="s">
        <v>6630</v>
      </c>
      <c r="E1857" s="20" t="s">
        <v>6631</v>
      </c>
      <c r="F1857" s="19" t="s">
        <v>27</v>
      </c>
      <c r="G1857" s="19" t="s">
        <v>28</v>
      </c>
      <c r="H1857" s="19" t="s">
        <v>36</v>
      </c>
      <c r="I1857" s="21" t="s">
        <v>29</v>
      </c>
      <c r="J1857" s="21" t="s">
        <v>29</v>
      </c>
      <c r="K1857" s="22" t="s">
        <v>6611</v>
      </c>
      <c r="L1857" s="56">
        <v>45293</v>
      </c>
      <c r="O1857" s="42"/>
      <c r="P1857" s="40"/>
      <c r="Q1857" s="25"/>
      <c r="R1857" s="25"/>
      <c r="S1857" s="40"/>
      <c r="V1857" s="35"/>
      <c r="W1857" s="40"/>
      <c r="AB1857" s="42"/>
      <c r="AC1857" s="35"/>
      <c r="AD1857" s="38"/>
      <c r="AE1857" s="38"/>
      <c r="AF1857" s="38"/>
      <c r="AG1857" s="38"/>
      <c r="AH1857" s="60"/>
    </row>
    <row r="1858" spans="1:34" ht="15.75" customHeight="1">
      <c r="A1858" s="35"/>
      <c r="B1858" s="78" t="s">
        <v>6632</v>
      </c>
      <c r="C1858" s="37" t="s">
        <v>24</v>
      </c>
      <c r="D1858" s="20" t="s">
        <v>6633</v>
      </c>
      <c r="E1858" s="20" t="s">
        <v>6634</v>
      </c>
      <c r="F1858" s="19" t="s">
        <v>27</v>
      </c>
      <c r="G1858" s="19" t="s">
        <v>28</v>
      </c>
      <c r="H1858" s="37"/>
      <c r="I1858" s="21" t="s">
        <v>29</v>
      </c>
      <c r="J1858" s="21" t="s">
        <v>29</v>
      </c>
      <c r="K1858" s="22" t="s">
        <v>6635</v>
      </c>
      <c r="L1858" s="56">
        <v>45293</v>
      </c>
      <c r="O1858" s="42"/>
      <c r="P1858" s="40"/>
      <c r="Q1858" s="25"/>
      <c r="R1858" s="25"/>
      <c r="S1858" s="40"/>
      <c r="W1858" s="40"/>
      <c r="AB1858" s="42"/>
      <c r="AC1858" s="35"/>
      <c r="AD1858" s="38"/>
      <c r="AE1858" s="38"/>
      <c r="AF1858" s="38"/>
      <c r="AG1858" s="38"/>
      <c r="AH1858" s="60"/>
    </row>
    <row r="1859" spans="1:34" ht="15.75" customHeight="1">
      <c r="A1859" s="35"/>
      <c r="B1859" s="76" t="s">
        <v>6636</v>
      </c>
      <c r="C1859" s="37" t="s">
        <v>46</v>
      </c>
      <c r="D1859" s="20" t="s">
        <v>6637</v>
      </c>
      <c r="E1859" s="20" t="s">
        <v>6638</v>
      </c>
      <c r="F1859" s="37" t="s">
        <v>286</v>
      </c>
      <c r="G1859" s="19" t="s">
        <v>50</v>
      </c>
      <c r="H1859" s="37"/>
      <c r="I1859" s="21" t="s">
        <v>286</v>
      </c>
      <c r="J1859" s="21" t="s">
        <v>29</v>
      </c>
      <c r="K1859" s="22" t="s">
        <v>6639</v>
      </c>
      <c r="L1859" s="56">
        <v>45293</v>
      </c>
      <c r="O1859" s="42"/>
      <c r="P1859" s="40"/>
      <c r="Q1859" s="25"/>
      <c r="R1859" s="25"/>
      <c r="S1859" s="40"/>
      <c r="W1859" s="40"/>
      <c r="AB1859" s="42"/>
      <c r="AC1859" s="35"/>
      <c r="AD1859" s="38"/>
      <c r="AE1859" s="38"/>
      <c r="AF1859" s="38"/>
      <c r="AG1859" s="38"/>
      <c r="AH1859" s="60"/>
    </row>
    <row r="1860" spans="1:34" ht="15.75" customHeight="1">
      <c r="A1860" s="35"/>
      <c r="B1860" s="78" t="s">
        <v>6640</v>
      </c>
      <c r="C1860" s="37" t="s">
        <v>46</v>
      </c>
      <c r="D1860" s="20" t="s">
        <v>6641</v>
      </c>
      <c r="E1860" s="20" t="s">
        <v>6642</v>
      </c>
      <c r="F1860" s="37" t="s">
        <v>49</v>
      </c>
      <c r="G1860" s="19" t="s">
        <v>50</v>
      </c>
      <c r="H1860" s="37"/>
      <c r="I1860" s="21" t="s">
        <v>29</v>
      </c>
      <c r="J1860" s="21" t="s">
        <v>29</v>
      </c>
      <c r="K1860" s="22" t="s">
        <v>6643</v>
      </c>
      <c r="L1860" s="56">
        <v>45293</v>
      </c>
      <c r="O1860" s="42"/>
      <c r="P1860" s="40"/>
      <c r="Q1860" s="25"/>
      <c r="R1860" s="25"/>
      <c r="S1860" s="40"/>
      <c r="W1860" s="40"/>
      <c r="AB1860" s="42"/>
      <c r="AC1860" s="35"/>
      <c r="AD1860" s="38"/>
      <c r="AE1860" s="38"/>
      <c r="AF1860" s="38"/>
      <c r="AG1860" s="38"/>
      <c r="AH1860" s="60"/>
    </row>
    <row r="1861" spans="1:34" ht="15.75" customHeight="1">
      <c r="A1861" s="35"/>
      <c r="B1861" s="78" t="s">
        <v>6644</v>
      </c>
      <c r="C1861" s="37" t="s">
        <v>24</v>
      </c>
      <c r="D1861" s="20" t="s">
        <v>6645</v>
      </c>
      <c r="E1861" s="20" t="s">
        <v>6646</v>
      </c>
      <c r="F1861" s="19" t="s">
        <v>27</v>
      </c>
      <c r="G1861" s="19" t="s">
        <v>28</v>
      </c>
      <c r="H1861" s="37"/>
      <c r="I1861" s="21" t="s">
        <v>29</v>
      </c>
      <c r="J1861" s="21" t="s">
        <v>29</v>
      </c>
      <c r="K1861" s="22" t="s">
        <v>6611</v>
      </c>
      <c r="L1861" s="56">
        <v>45293</v>
      </c>
      <c r="O1861" s="42"/>
      <c r="P1861" s="40"/>
      <c r="Q1861" s="25"/>
      <c r="R1861" s="25"/>
      <c r="S1861" s="40"/>
      <c r="W1861" s="40"/>
      <c r="AB1861" s="42"/>
      <c r="AC1861" s="35"/>
      <c r="AD1861" s="38"/>
      <c r="AE1861" s="38"/>
      <c r="AF1861" s="38"/>
      <c r="AG1861" s="38"/>
      <c r="AH1861" s="60"/>
    </row>
    <row r="1862" spans="1:34" ht="15.75" customHeight="1">
      <c r="A1862" s="35"/>
      <c r="B1862" s="38"/>
      <c r="C1862" s="37"/>
      <c r="D1862" s="25"/>
      <c r="E1862" s="25"/>
      <c r="F1862" s="37"/>
      <c r="G1862" s="37"/>
      <c r="H1862" s="37"/>
      <c r="I1862" s="37"/>
      <c r="J1862" s="37"/>
      <c r="K1862" s="22"/>
      <c r="L1862" s="56">
        <v>45293</v>
      </c>
      <c r="O1862" s="42"/>
      <c r="P1862" s="40"/>
      <c r="Q1862" s="25"/>
      <c r="R1862" s="25"/>
      <c r="S1862" s="40"/>
      <c r="W1862" s="40"/>
      <c r="AB1862" s="42"/>
      <c r="AC1862" s="35"/>
      <c r="AD1862" s="38"/>
      <c r="AE1862" s="38"/>
      <c r="AF1862" s="38"/>
      <c r="AG1862" s="38"/>
      <c r="AH1862" s="60"/>
    </row>
    <row r="1863" spans="1:34" ht="15.75" customHeight="1">
      <c r="A1863" s="35"/>
      <c r="B1863" s="38"/>
      <c r="C1863" s="37"/>
      <c r="D1863" s="25"/>
      <c r="E1863" s="25"/>
      <c r="F1863" s="37"/>
      <c r="G1863" s="37"/>
      <c r="H1863" s="37"/>
      <c r="I1863" s="37"/>
      <c r="J1863" s="37"/>
      <c r="K1863" s="22"/>
      <c r="L1863" s="56">
        <v>45293</v>
      </c>
      <c r="O1863" s="42"/>
      <c r="P1863" s="40"/>
      <c r="Q1863" s="25"/>
      <c r="R1863" s="25"/>
      <c r="S1863" s="40"/>
      <c r="W1863" s="40"/>
      <c r="AB1863" s="42"/>
      <c r="AC1863" s="35"/>
      <c r="AD1863" s="38"/>
      <c r="AE1863" s="38"/>
      <c r="AF1863" s="38"/>
      <c r="AG1863" s="38"/>
      <c r="AH1863" s="60"/>
    </row>
    <row r="1864" spans="1:34" ht="15.75" customHeight="1">
      <c r="A1864" s="35"/>
      <c r="B1864" s="38"/>
      <c r="C1864" s="37"/>
      <c r="D1864" s="20"/>
      <c r="E1864" s="20"/>
      <c r="F1864" s="37"/>
      <c r="G1864" s="37"/>
      <c r="H1864" s="37"/>
      <c r="I1864" s="21"/>
      <c r="J1864" s="21"/>
      <c r="K1864" s="22"/>
      <c r="L1864" s="56"/>
      <c r="O1864" s="42"/>
      <c r="P1864" s="40"/>
      <c r="Q1864" s="25"/>
      <c r="R1864" s="25"/>
      <c r="S1864" s="40"/>
      <c r="W1864" s="40"/>
      <c r="AB1864" s="42"/>
      <c r="AC1864" s="35"/>
      <c r="AD1864" s="38"/>
      <c r="AE1864" s="38"/>
      <c r="AF1864" s="38"/>
      <c r="AG1864" s="38"/>
      <c r="AH1864" s="60"/>
    </row>
    <row r="1865" spans="1:34" ht="15.75" customHeight="1">
      <c r="A1865" s="35" t="s">
        <v>6647</v>
      </c>
      <c r="B1865" s="83" t="s">
        <v>6648</v>
      </c>
      <c r="C1865" s="19" t="s">
        <v>121</v>
      </c>
      <c r="D1865" s="20" t="s">
        <v>6649</v>
      </c>
      <c r="E1865" s="20" t="s">
        <v>6650</v>
      </c>
      <c r="F1865" s="19" t="s">
        <v>27</v>
      </c>
      <c r="G1865" s="37" t="s">
        <v>359</v>
      </c>
      <c r="H1865" s="37"/>
      <c r="I1865" s="21" t="s">
        <v>29</v>
      </c>
      <c r="J1865" s="21" t="s">
        <v>29</v>
      </c>
      <c r="K1865" s="22" t="s">
        <v>6651</v>
      </c>
      <c r="L1865" s="56">
        <v>45293</v>
      </c>
      <c r="M1865" s="40"/>
      <c r="N1865" s="40"/>
      <c r="O1865" s="42"/>
      <c r="P1865" s="40"/>
      <c r="Q1865" s="25"/>
      <c r="R1865" s="25"/>
      <c r="S1865" s="40"/>
      <c r="W1865" s="40"/>
      <c r="AB1865" s="42"/>
      <c r="AC1865" s="35"/>
      <c r="AD1865" s="38"/>
      <c r="AE1865" s="38"/>
      <c r="AF1865" s="38"/>
      <c r="AG1865" s="38"/>
      <c r="AH1865" s="60"/>
    </row>
    <row r="1866" spans="1:34" ht="15.75" customHeight="1">
      <c r="A1866" s="86" t="s">
        <v>2714</v>
      </c>
      <c r="B1866" s="78" t="s">
        <v>6652</v>
      </c>
      <c r="C1866" s="37" t="s">
        <v>6653</v>
      </c>
      <c r="D1866" s="20" t="s">
        <v>6654</v>
      </c>
      <c r="E1866" s="20" t="s">
        <v>6655</v>
      </c>
      <c r="F1866" s="37" t="s">
        <v>49</v>
      </c>
      <c r="G1866" s="37" t="s">
        <v>6656</v>
      </c>
      <c r="H1866" s="37"/>
      <c r="I1866" s="21" t="s">
        <v>29</v>
      </c>
      <c r="J1866" s="21" t="s">
        <v>233</v>
      </c>
      <c r="K1866" s="22" t="s">
        <v>6657</v>
      </c>
      <c r="L1866" s="56">
        <v>45293</v>
      </c>
      <c r="O1866" s="42"/>
      <c r="P1866" s="40"/>
      <c r="Q1866" s="25"/>
      <c r="R1866" s="25"/>
      <c r="S1866" s="40"/>
      <c r="V1866" s="35"/>
      <c r="W1866" s="40"/>
      <c r="AB1866" s="42"/>
      <c r="AC1866" s="35"/>
      <c r="AD1866" s="38"/>
      <c r="AE1866" s="38"/>
      <c r="AF1866" s="38"/>
      <c r="AG1866" s="38"/>
      <c r="AH1866" s="60"/>
    </row>
    <row r="1867" spans="1:34" ht="15.75" customHeight="1">
      <c r="A1867" s="50" t="s">
        <v>39</v>
      </c>
      <c r="B1867" s="78" t="s">
        <v>6658</v>
      </c>
      <c r="C1867" s="37" t="s">
        <v>87</v>
      </c>
      <c r="D1867" s="20" t="s">
        <v>6659</v>
      </c>
      <c r="E1867" s="20" t="s">
        <v>6660</v>
      </c>
      <c r="F1867" s="19" t="s">
        <v>90</v>
      </c>
      <c r="G1867" s="19" t="s">
        <v>91</v>
      </c>
      <c r="H1867" s="37"/>
      <c r="I1867" s="21" t="s">
        <v>29</v>
      </c>
      <c r="J1867" s="21" t="s">
        <v>29</v>
      </c>
      <c r="K1867" s="22" t="s">
        <v>6661</v>
      </c>
      <c r="L1867" s="56">
        <v>45293</v>
      </c>
      <c r="O1867" s="42"/>
      <c r="P1867" s="40"/>
      <c r="Q1867" s="25"/>
      <c r="R1867" s="25"/>
      <c r="S1867" s="40"/>
      <c r="W1867" s="40"/>
      <c r="AB1867" s="42"/>
      <c r="AC1867" s="35"/>
      <c r="AD1867" s="38"/>
      <c r="AE1867" s="38"/>
      <c r="AF1867" s="38"/>
      <c r="AG1867" s="38"/>
      <c r="AH1867" s="60"/>
    </row>
    <row r="1868" spans="1:34" ht="15.75" customHeight="1">
      <c r="A1868" s="35" t="s">
        <v>6662</v>
      </c>
      <c r="B1868" s="78" t="s">
        <v>6663</v>
      </c>
      <c r="C1868" s="37" t="s">
        <v>24</v>
      </c>
      <c r="D1868" s="20" t="s">
        <v>6664</v>
      </c>
      <c r="E1868" s="20" t="s">
        <v>6665</v>
      </c>
      <c r="F1868" s="19" t="s">
        <v>27</v>
      </c>
      <c r="G1868" s="19" t="s">
        <v>28</v>
      </c>
      <c r="H1868" s="19" t="s">
        <v>36</v>
      </c>
      <c r="I1868" s="21" t="s">
        <v>29</v>
      </c>
      <c r="J1868" s="21" t="s">
        <v>29</v>
      </c>
      <c r="K1868" s="22" t="s">
        <v>6666</v>
      </c>
      <c r="L1868" s="56">
        <v>45293</v>
      </c>
      <c r="O1868" s="42"/>
      <c r="P1868" s="40"/>
      <c r="Q1868" s="61"/>
      <c r="R1868" s="61"/>
      <c r="S1868" s="40"/>
      <c r="T1868" s="38"/>
      <c r="U1868" s="38"/>
      <c r="V1868" s="38"/>
      <c r="W1868" s="60"/>
      <c r="AB1868" s="42"/>
      <c r="AC1868" s="35"/>
      <c r="AD1868" s="38"/>
      <c r="AE1868" s="38"/>
      <c r="AF1868" s="38"/>
      <c r="AG1868" s="38"/>
      <c r="AH1868" s="60"/>
    </row>
    <row r="1869" spans="1:34" ht="15.75" customHeight="1">
      <c r="A1869" s="35" t="s">
        <v>6667</v>
      </c>
      <c r="B1869" s="78" t="s">
        <v>6668</v>
      </c>
      <c r="C1869" s="37" t="s">
        <v>24</v>
      </c>
      <c r="D1869" s="20" t="s">
        <v>6669</v>
      </c>
      <c r="E1869" s="20" t="s">
        <v>6670</v>
      </c>
      <c r="F1869" s="19" t="s">
        <v>27</v>
      </c>
      <c r="G1869" s="19" t="s">
        <v>28</v>
      </c>
      <c r="H1869" s="37"/>
      <c r="I1869" s="21" t="s">
        <v>29</v>
      </c>
      <c r="J1869" s="21" t="s">
        <v>29</v>
      </c>
      <c r="K1869" s="22" t="s">
        <v>6671</v>
      </c>
      <c r="L1869" s="56">
        <v>45293</v>
      </c>
      <c r="O1869" s="42"/>
      <c r="P1869" s="40"/>
      <c r="Q1869" s="61"/>
      <c r="R1869" s="61"/>
      <c r="S1869" s="40"/>
      <c r="T1869" s="38"/>
      <c r="U1869" s="38"/>
      <c r="V1869" s="38"/>
      <c r="W1869" s="60"/>
      <c r="AB1869" s="42"/>
      <c r="AC1869" s="35"/>
      <c r="AD1869" s="38"/>
      <c r="AE1869" s="38"/>
      <c r="AF1869" s="38"/>
      <c r="AG1869" s="38"/>
      <c r="AH1869" s="60"/>
    </row>
    <row r="1870" spans="1:34" ht="15.75" customHeight="1">
      <c r="A1870" s="50" t="s">
        <v>56</v>
      </c>
      <c r="B1870" s="78" t="s">
        <v>6672</v>
      </c>
      <c r="C1870" s="37" t="s">
        <v>87</v>
      </c>
      <c r="D1870" s="20" t="s">
        <v>6673</v>
      </c>
      <c r="E1870" s="20" t="s">
        <v>6674</v>
      </c>
      <c r="F1870" s="19" t="s">
        <v>90</v>
      </c>
      <c r="G1870" s="19" t="s">
        <v>91</v>
      </c>
      <c r="H1870" s="37"/>
      <c r="I1870" s="21" t="s">
        <v>29</v>
      </c>
      <c r="J1870" s="21" t="s">
        <v>29</v>
      </c>
      <c r="K1870" s="22" t="s">
        <v>6675</v>
      </c>
      <c r="L1870" s="56">
        <v>45293</v>
      </c>
      <c r="O1870" s="42"/>
      <c r="P1870" s="40"/>
      <c r="Q1870" s="61"/>
      <c r="R1870" s="61"/>
      <c r="S1870" s="40"/>
      <c r="T1870" s="38"/>
      <c r="U1870" s="38"/>
      <c r="V1870" s="38"/>
      <c r="W1870" s="60"/>
      <c r="AB1870" s="42"/>
      <c r="AC1870" s="35"/>
      <c r="AD1870" s="38"/>
      <c r="AE1870" s="38"/>
      <c r="AF1870" s="38"/>
      <c r="AG1870" s="38"/>
      <c r="AH1870" s="60"/>
    </row>
    <row r="1871" spans="1:34" ht="15.75" customHeight="1">
      <c r="A1871" s="35">
        <v>57</v>
      </c>
      <c r="B1871" s="78" t="s">
        <v>6676</v>
      </c>
      <c r="C1871" s="37" t="s">
        <v>87</v>
      </c>
      <c r="D1871" s="20" t="s">
        <v>6677</v>
      </c>
      <c r="E1871" s="20" t="s">
        <v>6678</v>
      </c>
      <c r="F1871" s="19" t="s">
        <v>90</v>
      </c>
      <c r="G1871" s="19" t="s">
        <v>91</v>
      </c>
      <c r="H1871" s="37"/>
      <c r="I1871" s="21" t="s">
        <v>29</v>
      </c>
      <c r="J1871" s="21" t="s">
        <v>29</v>
      </c>
      <c r="K1871" s="22" t="s">
        <v>6679</v>
      </c>
      <c r="L1871" s="56">
        <v>45293</v>
      </c>
      <c r="O1871" s="42"/>
      <c r="P1871" s="40"/>
      <c r="Q1871" s="61"/>
      <c r="R1871" s="61"/>
      <c r="S1871" s="40"/>
      <c r="T1871" s="38"/>
      <c r="U1871" s="38"/>
      <c r="V1871" s="38"/>
      <c r="W1871" s="60"/>
      <c r="AB1871" s="42"/>
      <c r="AC1871" s="35"/>
      <c r="AD1871" s="38"/>
      <c r="AE1871" s="38"/>
      <c r="AF1871" s="38"/>
      <c r="AG1871" s="38"/>
      <c r="AH1871" s="60"/>
    </row>
    <row r="1872" spans="1:34" ht="15.75" customHeight="1">
      <c r="A1872" s="50" t="s">
        <v>64</v>
      </c>
      <c r="B1872" s="78" t="s">
        <v>6680</v>
      </c>
      <c r="C1872" s="37" t="s">
        <v>87</v>
      </c>
      <c r="D1872" s="20" t="s">
        <v>6681</v>
      </c>
      <c r="E1872" s="20" t="s">
        <v>6682</v>
      </c>
      <c r="F1872" s="19" t="s">
        <v>90</v>
      </c>
      <c r="G1872" s="19" t="s">
        <v>91</v>
      </c>
      <c r="H1872" s="37"/>
      <c r="I1872" s="21" t="s">
        <v>29</v>
      </c>
      <c r="J1872" s="21" t="s">
        <v>29</v>
      </c>
      <c r="K1872" s="22" t="s">
        <v>6683</v>
      </c>
      <c r="L1872" s="56">
        <v>45293</v>
      </c>
      <c r="O1872" s="42"/>
      <c r="P1872" s="40"/>
      <c r="Q1872" s="61"/>
      <c r="R1872" s="61"/>
      <c r="S1872" s="40"/>
      <c r="T1872" s="38"/>
      <c r="U1872" s="38"/>
      <c r="V1872" s="38"/>
      <c r="W1872" s="60"/>
      <c r="AB1872" s="42"/>
      <c r="AC1872" s="35"/>
      <c r="AD1872" s="38"/>
      <c r="AE1872" s="38"/>
      <c r="AF1872" s="38"/>
      <c r="AG1872" s="38"/>
      <c r="AH1872" s="60"/>
    </row>
    <row r="1873" spans="1:34" ht="15.75" customHeight="1">
      <c r="A1873" s="35">
        <v>3.3</v>
      </c>
      <c r="B1873" s="78" t="s">
        <v>6684</v>
      </c>
      <c r="C1873" s="37" t="s">
        <v>24</v>
      </c>
      <c r="D1873" s="20" t="s">
        <v>6685</v>
      </c>
      <c r="E1873" s="20" t="s">
        <v>6686</v>
      </c>
      <c r="F1873" s="19" t="s">
        <v>27</v>
      </c>
      <c r="G1873" s="19" t="s">
        <v>28</v>
      </c>
      <c r="H1873" s="37"/>
      <c r="I1873" s="21" t="s">
        <v>29</v>
      </c>
      <c r="J1873" s="21" t="s">
        <v>29</v>
      </c>
      <c r="K1873" s="22" t="s">
        <v>6687</v>
      </c>
      <c r="L1873" s="56">
        <v>45293</v>
      </c>
      <c r="O1873" s="42"/>
      <c r="P1873" s="40"/>
      <c r="Q1873" s="61"/>
      <c r="R1873" s="61"/>
      <c r="S1873" s="40"/>
      <c r="T1873" s="38"/>
      <c r="U1873" s="38"/>
      <c r="V1873" s="38"/>
      <c r="W1873" s="60"/>
      <c r="AB1873" s="42"/>
      <c r="AC1873" s="35"/>
      <c r="AD1873" s="38"/>
      <c r="AE1873" s="38"/>
      <c r="AF1873" s="38"/>
      <c r="AG1873" s="38"/>
      <c r="AH1873" s="60"/>
    </row>
    <row r="1874" spans="1:34" ht="15.75" customHeight="1">
      <c r="A1874" s="50" t="s">
        <v>73</v>
      </c>
      <c r="B1874" s="78" t="s">
        <v>6688</v>
      </c>
      <c r="C1874" s="37" t="s">
        <v>46</v>
      </c>
      <c r="D1874" s="20" t="s">
        <v>6689</v>
      </c>
      <c r="E1874" s="20" t="s">
        <v>6690</v>
      </c>
      <c r="F1874" s="37" t="s">
        <v>49</v>
      </c>
      <c r="G1874" s="19" t="s">
        <v>50</v>
      </c>
      <c r="H1874" s="37"/>
      <c r="I1874" s="21" t="s">
        <v>29</v>
      </c>
      <c r="J1874" s="21" t="s">
        <v>29</v>
      </c>
      <c r="K1874" s="22" t="s">
        <v>6691</v>
      </c>
      <c r="L1874" s="56">
        <v>45293</v>
      </c>
      <c r="O1874" s="42"/>
      <c r="P1874" s="40"/>
      <c r="Q1874" s="61"/>
      <c r="R1874" s="61"/>
      <c r="S1874" s="40"/>
      <c r="T1874" s="38"/>
      <c r="U1874" s="38"/>
      <c r="V1874" s="38"/>
      <c r="W1874" s="60"/>
      <c r="AB1874" s="42"/>
      <c r="AC1874" s="35"/>
      <c r="AD1874" s="38"/>
      <c r="AE1874" s="38"/>
      <c r="AF1874" s="38"/>
      <c r="AG1874" s="38"/>
      <c r="AH1874" s="60"/>
    </row>
    <row r="1875" spans="1:34" ht="15.75" customHeight="1">
      <c r="A1875" s="35">
        <v>3.7</v>
      </c>
      <c r="B1875" s="78" t="s">
        <v>6692</v>
      </c>
      <c r="C1875" s="37" t="s">
        <v>24</v>
      </c>
      <c r="D1875" s="20" t="s">
        <v>6693</v>
      </c>
      <c r="E1875" s="20" t="s">
        <v>6694</v>
      </c>
      <c r="F1875" s="19" t="s">
        <v>27</v>
      </c>
      <c r="G1875" s="19" t="s">
        <v>28</v>
      </c>
      <c r="H1875" s="37"/>
      <c r="I1875" s="21" t="s">
        <v>29</v>
      </c>
      <c r="J1875" s="21" t="s">
        <v>29</v>
      </c>
      <c r="K1875" s="22" t="s">
        <v>6695</v>
      </c>
      <c r="L1875" s="56">
        <v>45293</v>
      </c>
      <c r="O1875" s="42"/>
      <c r="P1875" s="40"/>
      <c r="Q1875" s="61"/>
      <c r="R1875" s="61"/>
      <c r="S1875" s="40"/>
      <c r="T1875" s="38"/>
      <c r="U1875" s="38"/>
      <c r="V1875" s="38"/>
      <c r="W1875" s="60"/>
      <c r="AB1875" s="42"/>
      <c r="AC1875" s="35"/>
      <c r="AD1875" s="38"/>
      <c r="AE1875" s="38"/>
      <c r="AF1875" s="38"/>
      <c r="AG1875" s="38"/>
      <c r="AH1875" s="60"/>
    </row>
    <row r="1876" spans="1:34" ht="15.75" customHeight="1">
      <c r="A1876" s="50" t="s">
        <v>82</v>
      </c>
      <c r="B1876" s="78" t="s">
        <v>6696</v>
      </c>
      <c r="C1876" s="37" t="s">
        <v>24</v>
      </c>
      <c r="D1876" s="20" t="s">
        <v>6697</v>
      </c>
      <c r="E1876" s="20" t="s">
        <v>6698</v>
      </c>
      <c r="F1876" s="19" t="s">
        <v>27</v>
      </c>
      <c r="G1876" s="19" t="s">
        <v>28</v>
      </c>
      <c r="H1876" s="37"/>
      <c r="I1876" s="21" t="s">
        <v>29</v>
      </c>
      <c r="J1876" s="21" t="s">
        <v>29</v>
      </c>
      <c r="K1876" s="22" t="s">
        <v>6699</v>
      </c>
      <c r="L1876" s="56">
        <v>45293</v>
      </c>
      <c r="O1876" s="42"/>
      <c r="P1876" s="40"/>
      <c r="Q1876" s="61"/>
      <c r="R1876" s="61"/>
      <c r="S1876" s="40"/>
      <c r="T1876" s="38"/>
      <c r="U1876" s="38"/>
      <c r="V1876" s="38"/>
      <c r="W1876" s="60"/>
      <c r="AB1876" s="42"/>
      <c r="AC1876" s="35"/>
      <c r="AD1876" s="38"/>
      <c r="AE1876" s="38"/>
      <c r="AF1876" s="38"/>
      <c r="AG1876" s="38"/>
      <c r="AH1876" s="60"/>
    </row>
    <row r="1877" spans="1:34" ht="15.75" customHeight="1">
      <c r="A1877" s="35" t="s">
        <v>6700</v>
      </c>
      <c r="B1877" s="78" t="s">
        <v>6701</v>
      </c>
      <c r="C1877" s="37" t="s">
        <v>87</v>
      </c>
      <c r="D1877" s="20" t="s">
        <v>6702</v>
      </c>
      <c r="E1877" s="20" t="s">
        <v>6703</v>
      </c>
      <c r="F1877" s="19" t="s">
        <v>90</v>
      </c>
      <c r="G1877" s="19" t="s">
        <v>91</v>
      </c>
      <c r="H1877" s="37"/>
      <c r="I1877" s="21" t="s">
        <v>29</v>
      </c>
      <c r="J1877" s="21" t="s">
        <v>29</v>
      </c>
      <c r="K1877" s="22" t="s">
        <v>6704</v>
      </c>
      <c r="L1877" s="56">
        <v>45293</v>
      </c>
      <c r="O1877" s="42"/>
      <c r="P1877" s="40"/>
      <c r="Q1877" s="61"/>
      <c r="R1877" s="61"/>
      <c r="S1877" s="40"/>
      <c r="T1877" s="38"/>
      <c r="U1877" s="38"/>
      <c r="V1877" s="38"/>
      <c r="W1877" s="60"/>
      <c r="AB1877" s="42"/>
      <c r="AC1877" s="35"/>
      <c r="AD1877" s="38"/>
      <c r="AE1877" s="38"/>
      <c r="AF1877" s="38"/>
      <c r="AG1877" s="38"/>
      <c r="AH1877" s="60"/>
    </row>
    <row r="1878" spans="1:34" ht="15.75" customHeight="1">
      <c r="A1878" s="50" t="s">
        <v>92</v>
      </c>
      <c r="B1878" s="78" t="s">
        <v>6705</v>
      </c>
      <c r="C1878" s="37" t="s">
        <v>24</v>
      </c>
      <c r="D1878" s="20" t="s">
        <v>6706</v>
      </c>
      <c r="E1878" s="20" t="s">
        <v>6707</v>
      </c>
      <c r="F1878" s="19" t="s">
        <v>27</v>
      </c>
      <c r="G1878" s="19" t="s">
        <v>28</v>
      </c>
      <c r="H1878" s="37"/>
      <c r="I1878" s="21" t="s">
        <v>29</v>
      </c>
      <c r="J1878" s="21" t="s">
        <v>29</v>
      </c>
      <c r="K1878" s="22" t="s">
        <v>6708</v>
      </c>
      <c r="L1878" s="56">
        <v>45293</v>
      </c>
      <c r="O1878" s="42"/>
      <c r="P1878" s="40"/>
      <c r="Q1878" s="61"/>
      <c r="R1878" s="61"/>
      <c r="S1878" s="40"/>
      <c r="T1878" s="38"/>
      <c r="U1878" s="38"/>
      <c r="V1878" s="38"/>
      <c r="W1878" s="60"/>
      <c r="AB1878" s="42"/>
      <c r="AC1878" s="35"/>
      <c r="AD1878" s="38"/>
      <c r="AE1878" s="38"/>
      <c r="AF1878" s="38"/>
      <c r="AG1878" s="38"/>
      <c r="AH1878" s="60"/>
    </row>
    <row r="1879" spans="1:34" ht="15.75" customHeight="1">
      <c r="A1879" s="79">
        <v>636</v>
      </c>
      <c r="B1879" s="78" t="s">
        <v>6709</v>
      </c>
      <c r="C1879" s="37" t="s">
        <v>24</v>
      </c>
      <c r="D1879" s="20" t="s">
        <v>6710</v>
      </c>
      <c r="E1879" s="20" t="s">
        <v>6711</v>
      </c>
      <c r="F1879" s="19" t="s">
        <v>27</v>
      </c>
      <c r="G1879" s="19" t="s">
        <v>28</v>
      </c>
      <c r="H1879" s="37"/>
      <c r="I1879" s="21" t="s">
        <v>29</v>
      </c>
      <c r="J1879" s="21" t="s">
        <v>29</v>
      </c>
      <c r="K1879" s="22" t="s">
        <v>6712</v>
      </c>
      <c r="L1879" s="56">
        <v>45293</v>
      </c>
      <c r="O1879" s="42"/>
      <c r="P1879" s="40"/>
      <c r="Q1879" s="61"/>
      <c r="R1879" s="61"/>
      <c r="S1879" s="40"/>
      <c r="T1879" s="38"/>
      <c r="U1879" s="38"/>
      <c r="V1879" s="38"/>
      <c r="W1879" s="60"/>
      <c r="AB1879" s="42"/>
      <c r="AC1879" s="35"/>
      <c r="AD1879" s="38"/>
      <c r="AE1879" s="38"/>
      <c r="AF1879" s="38"/>
      <c r="AG1879" s="38"/>
      <c r="AH1879" s="60"/>
    </row>
    <row r="1880" spans="1:34" ht="15.75" customHeight="1">
      <c r="A1880" s="50" t="s">
        <v>100</v>
      </c>
      <c r="B1880" s="78" t="s">
        <v>6713</v>
      </c>
      <c r="C1880" s="37" t="s">
        <v>24</v>
      </c>
      <c r="D1880" s="20" t="s">
        <v>6714</v>
      </c>
      <c r="E1880" s="20" t="s">
        <v>6715</v>
      </c>
      <c r="F1880" s="19" t="s">
        <v>27</v>
      </c>
      <c r="G1880" s="19" t="s">
        <v>28</v>
      </c>
      <c r="H1880" s="37"/>
      <c r="I1880" s="21" t="s">
        <v>29</v>
      </c>
      <c r="J1880" s="21" t="s">
        <v>29</v>
      </c>
      <c r="K1880" s="22" t="s">
        <v>6716</v>
      </c>
      <c r="L1880" s="56">
        <v>45293</v>
      </c>
      <c r="O1880" s="42"/>
      <c r="P1880" s="40"/>
      <c r="Q1880" s="61"/>
      <c r="R1880" s="61"/>
      <c r="S1880" s="40"/>
      <c r="T1880" s="38"/>
      <c r="U1880" s="38"/>
      <c r="V1880" s="38"/>
      <c r="W1880" s="60"/>
      <c r="AB1880" s="42"/>
      <c r="AC1880" s="35"/>
      <c r="AD1880" s="38"/>
      <c r="AE1880" s="38"/>
      <c r="AF1880" s="38"/>
      <c r="AG1880" s="38"/>
      <c r="AH1880" s="60"/>
    </row>
    <row r="1881" spans="1:34" ht="15.75" customHeight="1">
      <c r="A1881" s="35">
        <v>167</v>
      </c>
      <c r="B1881" s="78" t="s">
        <v>6717</v>
      </c>
      <c r="C1881" s="37" t="s">
        <v>87</v>
      </c>
      <c r="D1881" s="20" t="s">
        <v>6718</v>
      </c>
      <c r="E1881" s="20" t="s">
        <v>6719</v>
      </c>
      <c r="F1881" s="19" t="s">
        <v>90</v>
      </c>
      <c r="G1881" s="19" t="s">
        <v>91</v>
      </c>
      <c r="H1881" s="37"/>
      <c r="I1881" s="21" t="s">
        <v>29</v>
      </c>
      <c r="J1881" s="21" t="s">
        <v>29</v>
      </c>
      <c r="K1881" s="22" t="s">
        <v>6720</v>
      </c>
      <c r="L1881" s="56">
        <v>45293</v>
      </c>
      <c r="O1881" s="42"/>
      <c r="P1881" s="40"/>
      <c r="Q1881" s="61"/>
      <c r="R1881" s="61"/>
      <c r="S1881" s="40"/>
      <c r="T1881" s="38"/>
      <c r="U1881" s="38"/>
      <c r="V1881" s="38"/>
      <c r="W1881" s="60"/>
      <c r="AB1881" s="42"/>
      <c r="AC1881" s="35"/>
      <c r="AD1881" s="38"/>
      <c r="AE1881" s="38"/>
      <c r="AF1881" s="38"/>
      <c r="AG1881" s="38"/>
      <c r="AH1881" s="60"/>
    </row>
    <row r="1882" spans="1:34" ht="15.75" customHeight="1">
      <c r="A1882" s="35"/>
      <c r="B1882" s="78" t="s">
        <v>6721</v>
      </c>
      <c r="C1882" s="37" t="s">
        <v>24</v>
      </c>
      <c r="D1882" s="20" t="s">
        <v>6722</v>
      </c>
      <c r="E1882" s="20" t="s">
        <v>6723</v>
      </c>
      <c r="F1882" s="19" t="s">
        <v>27</v>
      </c>
      <c r="G1882" s="19" t="s">
        <v>28</v>
      </c>
      <c r="H1882" s="37"/>
      <c r="I1882" s="21" t="s">
        <v>29</v>
      </c>
      <c r="J1882" s="21" t="s">
        <v>29</v>
      </c>
      <c r="K1882" s="22" t="s">
        <v>6724</v>
      </c>
      <c r="L1882" s="56">
        <v>45293</v>
      </c>
      <c r="O1882" s="42"/>
      <c r="P1882" s="40"/>
      <c r="Q1882" s="61"/>
      <c r="R1882" s="61"/>
      <c r="S1882" s="40"/>
      <c r="T1882" s="38"/>
      <c r="U1882" s="38"/>
      <c r="V1882" s="38"/>
      <c r="W1882" s="60"/>
      <c r="AB1882" s="42"/>
      <c r="AC1882" s="35"/>
      <c r="AD1882" s="38"/>
      <c r="AE1882" s="38"/>
      <c r="AF1882" s="38"/>
      <c r="AG1882" s="38"/>
      <c r="AH1882" s="60"/>
    </row>
    <row r="1883" spans="1:34" ht="15.75" customHeight="1">
      <c r="A1883" s="87"/>
      <c r="B1883" s="80" t="s">
        <v>6725</v>
      </c>
      <c r="C1883" s="37" t="s">
        <v>87</v>
      </c>
      <c r="D1883" s="20" t="s">
        <v>6726</v>
      </c>
      <c r="E1883" s="20" t="s">
        <v>6727</v>
      </c>
      <c r="F1883" s="37" t="s">
        <v>49</v>
      </c>
      <c r="G1883" s="19" t="s">
        <v>50</v>
      </c>
      <c r="H1883" s="37"/>
      <c r="I1883" s="21" t="s">
        <v>29</v>
      </c>
      <c r="J1883" s="21" t="s">
        <v>29</v>
      </c>
      <c r="K1883" s="22" t="s">
        <v>6728</v>
      </c>
      <c r="L1883" s="56">
        <v>45293</v>
      </c>
      <c r="O1883" s="42"/>
      <c r="P1883" s="40"/>
      <c r="Q1883" s="61"/>
      <c r="R1883" s="61"/>
      <c r="S1883" s="40"/>
      <c r="T1883" s="38"/>
      <c r="U1883" s="38"/>
      <c r="V1883" s="38"/>
      <c r="W1883" s="60"/>
      <c r="AB1883" s="42"/>
      <c r="AC1883" s="35"/>
      <c r="AD1883" s="38"/>
      <c r="AE1883" s="38"/>
      <c r="AF1883" s="38"/>
      <c r="AG1883" s="38"/>
      <c r="AH1883" s="60"/>
    </row>
    <row r="1884" spans="1:34" ht="15.75" customHeight="1">
      <c r="A1884" s="35"/>
      <c r="B1884" s="78" t="s">
        <v>6729</v>
      </c>
      <c r="C1884" s="37" t="s">
        <v>87</v>
      </c>
      <c r="D1884" s="20" t="s">
        <v>6730</v>
      </c>
      <c r="E1884" s="20" t="s">
        <v>6731</v>
      </c>
      <c r="F1884" s="19" t="s">
        <v>90</v>
      </c>
      <c r="G1884" s="19" t="s">
        <v>91</v>
      </c>
      <c r="H1884" s="19" t="s">
        <v>36</v>
      </c>
      <c r="I1884" s="21" t="s">
        <v>29</v>
      </c>
      <c r="J1884" s="21" t="s">
        <v>29</v>
      </c>
      <c r="K1884" s="22" t="s">
        <v>6732</v>
      </c>
      <c r="L1884" s="56">
        <v>45293</v>
      </c>
      <c r="O1884" s="42"/>
      <c r="P1884" s="40"/>
      <c r="Q1884" s="61"/>
      <c r="R1884" s="61"/>
      <c r="S1884" s="40"/>
      <c r="T1884" s="38"/>
      <c r="U1884" s="38"/>
      <c r="V1884" s="38"/>
      <c r="W1884" s="60"/>
      <c r="AB1884" s="42"/>
      <c r="AC1884" s="35"/>
      <c r="AD1884" s="38"/>
      <c r="AE1884" s="38"/>
      <c r="AF1884" s="38"/>
      <c r="AG1884" s="38"/>
      <c r="AH1884" s="60"/>
    </row>
    <row r="1885" spans="1:34" ht="15.75" customHeight="1">
      <c r="A1885" s="35"/>
      <c r="B1885" s="78" t="s">
        <v>6733</v>
      </c>
      <c r="C1885" s="37" t="s">
        <v>24</v>
      </c>
      <c r="D1885" s="20" t="s">
        <v>6734</v>
      </c>
      <c r="E1885" s="20" t="s">
        <v>6735</v>
      </c>
      <c r="F1885" s="19" t="s">
        <v>27</v>
      </c>
      <c r="G1885" s="19" t="s">
        <v>28</v>
      </c>
      <c r="H1885" s="19" t="s">
        <v>36</v>
      </c>
      <c r="I1885" s="21" t="s">
        <v>29</v>
      </c>
      <c r="J1885" s="21" t="s">
        <v>29</v>
      </c>
      <c r="K1885" s="22" t="s">
        <v>6736</v>
      </c>
      <c r="L1885" s="56">
        <v>45293</v>
      </c>
      <c r="O1885" s="42"/>
      <c r="P1885" s="40"/>
      <c r="Q1885" s="61"/>
      <c r="R1885" s="61"/>
      <c r="S1885" s="40"/>
      <c r="T1885" s="38"/>
      <c r="U1885" s="38"/>
      <c r="V1885" s="38"/>
      <c r="W1885" s="60"/>
      <c r="AB1885" s="42"/>
      <c r="AC1885" s="35"/>
      <c r="AD1885" s="38"/>
      <c r="AE1885" s="38"/>
      <c r="AF1885" s="38"/>
      <c r="AG1885" s="38"/>
      <c r="AH1885" s="60"/>
    </row>
    <row r="1886" spans="1:34" ht="15.75" customHeight="1">
      <c r="A1886" s="35"/>
      <c r="B1886" s="78" t="s">
        <v>6737</v>
      </c>
      <c r="C1886" s="37" t="s">
        <v>24</v>
      </c>
      <c r="D1886" s="20" t="s">
        <v>6738</v>
      </c>
      <c r="E1886" s="20" t="s">
        <v>6739</v>
      </c>
      <c r="F1886" s="19" t="s">
        <v>27</v>
      </c>
      <c r="G1886" s="19" t="s">
        <v>28</v>
      </c>
      <c r="H1886" s="37"/>
      <c r="I1886" s="21" t="s">
        <v>29</v>
      </c>
      <c r="J1886" s="21" t="s">
        <v>29</v>
      </c>
      <c r="K1886" s="22" t="s">
        <v>6740</v>
      </c>
      <c r="L1886" s="56">
        <v>45293</v>
      </c>
      <c r="O1886" s="42"/>
      <c r="P1886" s="40"/>
      <c r="Q1886" s="61"/>
      <c r="R1886" s="61"/>
      <c r="S1886" s="40"/>
      <c r="T1886" s="38"/>
      <c r="U1886" s="38"/>
      <c r="V1886" s="38"/>
      <c r="W1886" s="60"/>
      <c r="AB1886" s="42"/>
      <c r="AC1886" s="35"/>
      <c r="AD1886" s="38"/>
      <c r="AE1886" s="38"/>
      <c r="AF1886" s="38"/>
      <c r="AG1886" s="38"/>
      <c r="AH1886" s="60"/>
    </row>
    <row r="1887" spans="1:34" ht="15.75" customHeight="1">
      <c r="A1887" s="35"/>
      <c r="B1887" s="78" t="s">
        <v>6741</v>
      </c>
      <c r="C1887" s="37" t="s">
        <v>24</v>
      </c>
      <c r="D1887" s="20" t="s">
        <v>6742</v>
      </c>
      <c r="E1887" s="20" t="s">
        <v>6743</v>
      </c>
      <c r="F1887" s="19" t="s">
        <v>27</v>
      </c>
      <c r="G1887" s="19" t="s">
        <v>28</v>
      </c>
      <c r="H1887" s="19" t="s">
        <v>36</v>
      </c>
      <c r="I1887" s="21" t="s">
        <v>29</v>
      </c>
      <c r="J1887" s="21" t="s">
        <v>29</v>
      </c>
      <c r="K1887" s="22" t="s">
        <v>6744</v>
      </c>
      <c r="L1887" s="56">
        <v>45293</v>
      </c>
      <c r="O1887" s="42"/>
      <c r="P1887" s="40"/>
      <c r="Q1887" s="61"/>
      <c r="R1887" s="61"/>
      <c r="S1887" s="40"/>
      <c r="T1887" s="38"/>
      <c r="U1887" s="38"/>
      <c r="V1887" s="38"/>
      <c r="W1887" s="60"/>
      <c r="AB1887" s="42"/>
      <c r="AC1887" s="35"/>
      <c r="AD1887" s="38"/>
      <c r="AE1887" s="38"/>
      <c r="AF1887" s="38"/>
      <c r="AG1887" s="38"/>
      <c r="AH1887" s="60"/>
    </row>
    <row r="1888" spans="1:34" ht="15.75" customHeight="1">
      <c r="A1888" s="35"/>
      <c r="B1888" s="78" t="s">
        <v>6745</v>
      </c>
      <c r="C1888" s="37" t="s">
        <v>87</v>
      </c>
      <c r="D1888" s="20" t="s">
        <v>6746</v>
      </c>
      <c r="E1888" s="20" t="s">
        <v>6747</v>
      </c>
      <c r="F1888" s="19" t="s">
        <v>90</v>
      </c>
      <c r="G1888" s="19" t="s">
        <v>91</v>
      </c>
      <c r="H1888" s="37"/>
      <c r="I1888" s="21" t="s">
        <v>29</v>
      </c>
      <c r="J1888" s="21" t="s">
        <v>29</v>
      </c>
      <c r="K1888" s="22" t="s">
        <v>6748</v>
      </c>
      <c r="L1888" s="56">
        <v>45293</v>
      </c>
      <c r="O1888" s="42"/>
      <c r="P1888" s="40"/>
      <c r="Q1888" s="61"/>
      <c r="R1888" s="61"/>
      <c r="S1888" s="40"/>
      <c r="T1888" s="38"/>
      <c r="U1888" s="38"/>
      <c r="V1888" s="38"/>
      <c r="W1888" s="60"/>
      <c r="AB1888" s="42"/>
      <c r="AC1888" s="35"/>
      <c r="AD1888" s="38"/>
      <c r="AE1888" s="38"/>
      <c r="AF1888" s="38"/>
      <c r="AG1888" s="38"/>
      <c r="AH1888" s="60"/>
    </row>
    <row r="1889" spans="1:34" ht="15.75" customHeight="1">
      <c r="A1889" s="35"/>
      <c r="B1889" s="78" t="s">
        <v>6749</v>
      </c>
      <c r="C1889" s="37" t="s">
        <v>24</v>
      </c>
      <c r="D1889" s="20" t="s">
        <v>6750</v>
      </c>
      <c r="E1889" s="20" t="s">
        <v>6751</v>
      </c>
      <c r="F1889" s="19" t="s">
        <v>27</v>
      </c>
      <c r="G1889" s="19" t="s">
        <v>28</v>
      </c>
      <c r="H1889" s="37"/>
      <c r="I1889" s="21" t="s">
        <v>29</v>
      </c>
      <c r="J1889" s="21" t="s">
        <v>29</v>
      </c>
      <c r="K1889" s="22" t="s">
        <v>6752</v>
      </c>
      <c r="L1889" s="56">
        <v>45293</v>
      </c>
      <c r="O1889" s="42"/>
      <c r="P1889" s="40"/>
      <c r="Q1889" s="61"/>
      <c r="R1889" s="61"/>
      <c r="S1889" s="40"/>
      <c r="T1889" s="38"/>
      <c r="U1889" s="38"/>
      <c r="V1889" s="38"/>
      <c r="W1889" s="60"/>
      <c r="AB1889" s="42"/>
      <c r="AC1889" s="35"/>
      <c r="AD1889" s="38"/>
      <c r="AE1889" s="38"/>
      <c r="AF1889" s="38"/>
      <c r="AG1889" s="38"/>
      <c r="AH1889" s="60"/>
    </row>
    <row r="1890" spans="1:34" ht="15.75" customHeight="1">
      <c r="A1890" s="35"/>
      <c r="B1890" s="78" t="s">
        <v>6753</v>
      </c>
      <c r="C1890" s="37" t="s">
        <v>24</v>
      </c>
      <c r="D1890" s="20" t="s">
        <v>6754</v>
      </c>
      <c r="E1890" s="20" t="s">
        <v>6755</v>
      </c>
      <c r="F1890" s="19" t="s">
        <v>27</v>
      </c>
      <c r="G1890" s="19" t="s">
        <v>28</v>
      </c>
      <c r="H1890" s="37"/>
      <c r="I1890" s="21" t="s">
        <v>29</v>
      </c>
      <c r="J1890" s="21" t="s">
        <v>29</v>
      </c>
      <c r="K1890" s="22" t="s">
        <v>6756</v>
      </c>
      <c r="L1890" s="56">
        <v>45293</v>
      </c>
      <c r="O1890" s="42"/>
      <c r="P1890" s="40"/>
      <c r="Q1890" s="61"/>
      <c r="R1890" s="61"/>
      <c r="S1890" s="40"/>
      <c r="T1890" s="38"/>
      <c r="U1890" s="38"/>
      <c r="V1890" s="38"/>
      <c r="W1890" s="60"/>
      <c r="AB1890" s="42"/>
      <c r="AC1890" s="35"/>
      <c r="AD1890" s="38"/>
      <c r="AE1890" s="38"/>
      <c r="AF1890" s="38"/>
      <c r="AG1890" s="38"/>
      <c r="AH1890" s="60"/>
    </row>
    <row r="1891" spans="1:34" ht="15.75" customHeight="1">
      <c r="A1891" s="35"/>
      <c r="B1891" s="78" t="s">
        <v>6757</v>
      </c>
      <c r="C1891" s="37" t="s">
        <v>24</v>
      </c>
      <c r="D1891" s="20" t="s">
        <v>6758</v>
      </c>
      <c r="E1891" s="20" t="s">
        <v>6759</v>
      </c>
      <c r="F1891" s="19" t="s">
        <v>27</v>
      </c>
      <c r="G1891" s="19" t="s">
        <v>28</v>
      </c>
      <c r="H1891" s="19" t="s">
        <v>36</v>
      </c>
      <c r="I1891" s="21" t="s">
        <v>29</v>
      </c>
      <c r="J1891" s="21" t="s">
        <v>29</v>
      </c>
      <c r="K1891" s="22" t="s">
        <v>6760</v>
      </c>
      <c r="L1891" s="56">
        <v>45293</v>
      </c>
      <c r="O1891" s="42"/>
      <c r="P1891" s="40"/>
      <c r="Q1891" s="61"/>
      <c r="R1891" s="61"/>
      <c r="S1891" s="40"/>
      <c r="T1891" s="38"/>
      <c r="U1891" s="38"/>
      <c r="V1891" s="38"/>
      <c r="W1891" s="60"/>
      <c r="AB1891" s="42"/>
      <c r="AC1891" s="35"/>
      <c r="AD1891" s="38"/>
      <c r="AE1891" s="38"/>
      <c r="AF1891" s="38"/>
      <c r="AG1891" s="38"/>
      <c r="AH1891" s="60"/>
    </row>
    <row r="1892" spans="1:34" ht="15.75" customHeight="1">
      <c r="A1892" s="35"/>
      <c r="B1892" s="78" t="s">
        <v>6761</v>
      </c>
      <c r="C1892" s="37" t="s">
        <v>24</v>
      </c>
      <c r="D1892" s="20" t="s">
        <v>6762</v>
      </c>
      <c r="E1892" s="20" t="s">
        <v>6763</v>
      </c>
      <c r="F1892" s="19" t="s">
        <v>27</v>
      </c>
      <c r="G1892" s="19" t="s">
        <v>28</v>
      </c>
      <c r="H1892" s="37"/>
      <c r="I1892" s="21" t="s">
        <v>29</v>
      </c>
      <c r="J1892" s="21" t="s">
        <v>29</v>
      </c>
      <c r="K1892" s="22" t="s">
        <v>6764</v>
      </c>
      <c r="L1892" s="56">
        <v>45293</v>
      </c>
      <c r="O1892" s="42"/>
      <c r="P1892" s="40"/>
      <c r="Q1892" s="61"/>
      <c r="R1892" s="61"/>
      <c r="S1892" s="40"/>
      <c r="T1892" s="38"/>
      <c r="U1892" s="38"/>
      <c r="V1892" s="38"/>
      <c r="W1892" s="60"/>
      <c r="AB1892" s="42"/>
      <c r="AC1892" s="35"/>
      <c r="AD1892" s="38"/>
      <c r="AE1892" s="38"/>
      <c r="AF1892" s="38"/>
      <c r="AG1892" s="38"/>
      <c r="AH1892" s="60"/>
    </row>
    <row r="1893" spans="1:34" ht="15.75" customHeight="1">
      <c r="A1893" s="35"/>
      <c r="B1893" s="78" t="s">
        <v>6765</v>
      </c>
      <c r="C1893" s="37" t="s">
        <v>24</v>
      </c>
      <c r="D1893" s="20" t="s">
        <v>6766</v>
      </c>
      <c r="E1893" s="20" t="s">
        <v>6767</v>
      </c>
      <c r="F1893" s="19" t="s">
        <v>27</v>
      </c>
      <c r="G1893" s="19" t="s">
        <v>28</v>
      </c>
      <c r="H1893" s="37"/>
      <c r="I1893" s="21" t="s">
        <v>29</v>
      </c>
      <c r="J1893" s="21" t="s">
        <v>29</v>
      </c>
      <c r="K1893" s="22" t="s">
        <v>6768</v>
      </c>
      <c r="L1893" s="56">
        <v>45293</v>
      </c>
      <c r="O1893" s="42"/>
      <c r="P1893" s="40"/>
      <c r="Q1893" s="61"/>
      <c r="R1893" s="61"/>
      <c r="S1893" s="40"/>
      <c r="T1893" s="38"/>
      <c r="U1893" s="38"/>
      <c r="V1893" s="38"/>
      <c r="W1893" s="60"/>
      <c r="AB1893" s="42"/>
      <c r="AC1893" s="35"/>
      <c r="AD1893" s="38"/>
      <c r="AE1893" s="38"/>
      <c r="AF1893" s="38"/>
      <c r="AG1893" s="38"/>
      <c r="AH1893" s="60"/>
    </row>
    <row r="1894" spans="1:34" ht="15.75" customHeight="1">
      <c r="A1894" s="35"/>
      <c r="B1894" s="80" t="s">
        <v>6769</v>
      </c>
      <c r="C1894" s="37" t="s">
        <v>87</v>
      </c>
      <c r="D1894" s="20" t="s">
        <v>6770</v>
      </c>
      <c r="E1894" s="20" t="s">
        <v>6771</v>
      </c>
      <c r="F1894" s="37" t="s">
        <v>49</v>
      </c>
      <c r="G1894" s="19" t="s">
        <v>50</v>
      </c>
      <c r="H1894" s="37"/>
      <c r="I1894" s="21" t="s">
        <v>29</v>
      </c>
      <c r="J1894" s="21" t="s">
        <v>29</v>
      </c>
      <c r="K1894" s="22" t="s">
        <v>6772</v>
      </c>
      <c r="L1894" s="56">
        <v>45293</v>
      </c>
      <c r="O1894" s="42"/>
      <c r="P1894" s="40"/>
      <c r="Q1894" s="61"/>
      <c r="R1894" s="61"/>
      <c r="S1894" s="40"/>
      <c r="T1894" s="38"/>
      <c r="U1894" s="38"/>
      <c r="V1894" s="38"/>
      <c r="W1894" s="60"/>
      <c r="AB1894" s="42"/>
      <c r="AC1894" s="35"/>
      <c r="AD1894" s="38"/>
      <c r="AE1894" s="38"/>
      <c r="AF1894" s="38"/>
      <c r="AG1894" s="38"/>
      <c r="AH1894" s="60"/>
    </row>
    <row r="1895" spans="1:34" ht="15.75" customHeight="1">
      <c r="A1895" s="35"/>
      <c r="B1895" s="78" t="s">
        <v>6773</v>
      </c>
      <c r="C1895" s="37" t="s">
        <v>24</v>
      </c>
      <c r="D1895" s="20" t="s">
        <v>6774</v>
      </c>
      <c r="E1895" s="20" t="s">
        <v>6775</v>
      </c>
      <c r="F1895" s="19" t="s">
        <v>27</v>
      </c>
      <c r="G1895" s="19" t="s">
        <v>28</v>
      </c>
      <c r="H1895" s="37"/>
      <c r="I1895" s="21" t="s">
        <v>29</v>
      </c>
      <c r="J1895" s="21" t="s">
        <v>29</v>
      </c>
      <c r="K1895" s="22" t="s">
        <v>6776</v>
      </c>
      <c r="L1895" s="56">
        <v>45293</v>
      </c>
      <c r="O1895" s="42"/>
      <c r="P1895" s="40"/>
      <c r="Q1895" s="61"/>
      <c r="R1895" s="61"/>
      <c r="S1895" s="40"/>
      <c r="T1895" s="38"/>
      <c r="U1895" s="38"/>
      <c r="V1895" s="38"/>
      <c r="W1895" s="60"/>
      <c r="AB1895" s="42"/>
      <c r="AC1895" s="35"/>
      <c r="AD1895" s="38"/>
      <c r="AE1895" s="38"/>
      <c r="AF1895" s="38"/>
      <c r="AG1895" s="38"/>
      <c r="AH1895" s="60"/>
    </row>
    <row r="1896" spans="1:34" ht="15.75" customHeight="1">
      <c r="A1896" s="35"/>
      <c r="B1896" s="78" t="s">
        <v>6777</v>
      </c>
      <c r="C1896" s="37" t="s">
        <v>24</v>
      </c>
      <c r="D1896" s="20" t="s">
        <v>6778</v>
      </c>
      <c r="E1896" s="20" t="s">
        <v>6779</v>
      </c>
      <c r="F1896" s="19" t="s">
        <v>27</v>
      </c>
      <c r="G1896" s="19" t="s">
        <v>28</v>
      </c>
      <c r="H1896" s="19" t="s">
        <v>36</v>
      </c>
      <c r="I1896" s="21" t="s">
        <v>29</v>
      </c>
      <c r="J1896" s="21" t="s">
        <v>29</v>
      </c>
      <c r="K1896" s="22" t="s">
        <v>6780</v>
      </c>
      <c r="L1896" s="56">
        <v>45293</v>
      </c>
      <c r="O1896" s="42"/>
      <c r="P1896" s="40"/>
      <c r="Q1896" s="61"/>
      <c r="R1896" s="61"/>
      <c r="S1896" s="40"/>
      <c r="T1896" s="38"/>
      <c r="U1896" s="38"/>
      <c r="V1896" s="38"/>
      <c r="W1896" s="60"/>
      <c r="AB1896" s="42"/>
      <c r="AC1896" s="35"/>
      <c r="AD1896" s="38"/>
      <c r="AE1896" s="38"/>
      <c r="AF1896" s="38"/>
      <c r="AG1896" s="38"/>
      <c r="AH1896" s="60"/>
    </row>
    <row r="1897" spans="1:34" ht="15.75" customHeight="1">
      <c r="A1897" s="35"/>
      <c r="B1897" s="78" t="s">
        <v>6781</v>
      </c>
      <c r="C1897" s="37" t="s">
        <v>87</v>
      </c>
      <c r="D1897" s="20" t="s">
        <v>6782</v>
      </c>
      <c r="E1897" s="20" t="s">
        <v>6783</v>
      </c>
      <c r="F1897" s="19" t="s">
        <v>90</v>
      </c>
      <c r="G1897" s="19" t="s">
        <v>91</v>
      </c>
      <c r="H1897" s="37"/>
      <c r="I1897" s="21" t="s">
        <v>29</v>
      </c>
      <c r="J1897" s="21" t="s">
        <v>29</v>
      </c>
      <c r="K1897" s="22" t="s">
        <v>6784</v>
      </c>
      <c r="L1897" s="56">
        <v>45293</v>
      </c>
      <c r="O1897" s="42"/>
      <c r="P1897" s="40"/>
      <c r="Q1897" s="61"/>
      <c r="R1897" s="61"/>
      <c r="S1897" s="40"/>
      <c r="T1897" s="38"/>
      <c r="U1897" s="38"/>
      <c r="V1897" s="38"/>
      <c r="W1897" s="60"/>
      <c r="AB1897" s="42"/>
      <c r="AC1897" s="35"/>
      <c r="AD1897" s="38"/>
      <c r="AE1897" s="38"/>
      <c r="AF1897" s="38"/>
      <c r="AG1897" s="38"/>
      <c r="AH1897" s="60"/>
    </row>
    <row r="1898" spans="1:34" ht="15.75" customHeight="1">
      <c r="A1898" s="35"/>
      <c r="B1898" s="78" t="s">
        <v>6785</v>
      </c>
      <c r="C1898" s="37" t="s">
        <v>24</v>
      </c>
      <c r="D1898" s="20" t="s">
        <v>6786</v>
      </c>
      <c r="E1898" s="20" t="s">
        <v>6787</v>
      </c>
      <c r="F1898" s="19" t="s">
        <v>27</v>
      </c>
      <c r="G1898" s="19" t="s">
        <v>28</v>
      </c>
      <c r="H1898" s="19" t="s">
        <v>36</v>
      </c>
      <c r="I1898" s="21" t="s">
        <v>29</v>
      </c>
      <c r="J1898" s="21" t="s">
        <v>29</v>
      </c>
      <c r="K1898" s="22" t="s">
        <v>6788</v>
      </c>
      <c r="L1898" s="56">
        <v>45293</v>
      </c>
      <c r="O1898" s="42"/>
      <c r="P1898" s="40"/>
      <c r="Q1898" s="61"/>
      <c r="R1898" s="61"/>
      <c r="S1898" s="40"/>
      <c r="T1898" s="38"/>
      <c r="U1898" s="38"/>
      <c r="V1898" s="38"/>
      <c r="W1898" s="60"/>
      <c r="AB1898" s="42"/>
      <c r="AC1898" s="35"/>
      <c r="AD1898" s="38"/>
      <c r="AE1898" s="38"/>
      <c r="AF1898" s="38"/>
      <c r="AG1898" s="38"/>
      <c r="AH1898" s="60"/>
    </row>
    <row r="1899" spans="1:34" ht="15.75" customHeight="1">
      <c r="A1899" s="35"/>
      <c r="B1899" s="78" t="s">
        <v>6789</v>
      </c>
      <c r="C1899" s="37" t="s">
        <v>24</v>
      </c>
      <c r="D1899" s="20" t="s">
        <v>6790</v>
      </c>
      <c r="E1899" s="20" t="s">
        <v>6791</v>
      </c>
      <c r="F1899" s="19" t="s">
        <v>27</v>
      </c>
      <c r="G1899" s="19" t="s">
        <v>28</v>
      </c>
      <c r="H1899" s="37"/>
      <c r="I1899" s="21" t="s">
        <v>29</v>
      </c>
      <c r="J1899" s="21" t="s">
        <v>29</v>
      </c>
      <c r="K1899" s="22" t="s">
        <v>6792</v>
      </c>
      <c r="L1899" s="56">
        <v>45293</v>
      </c>
      <c r="O1899" s="42"/>
      <c r="P1899" s="40"/>
      <c r="Q1899" s="61"/>
      <c r="R1899" s="61"/>
      <c r="S1899" s="40"/>
      <c r="T1899" s="38"/>
      <c r="U1899" s="38"/>
      <c r="V1899" s="38"/>
      <c r="W1899" s="60"/>
      <c r="AB1899" s="42"/>
      <c r="AC1899" s="35"/>
      <c r="AD1899" s="38"/>
      <c r="AE1899" s="38"/>
      <c r="AF1899" s="38"/>
      <c r="AG1899" s="38"/>
      <c r="AH1899" s="60"/>
    </row>
    <row r="1900" spans="1:34" ht="15.75" customHeight="1">
      <c r="A1900" s="35"/>
      <c r="B1900" s="78" t="s">
        <v>6793</v>
      </c>
      <c r="C1900" s="37" t="s">
        <v>24</v>
      </c>
      <c r="D1900" s="20" t="s">
        <v>6794</v>
      </c>
      <c r="E1900" s="20" t="s">
        <v>6795</v>
      </c>
      <c r="F1900" s="19" t="s">
        <v>27</v>
      </c>
      <c r="G1900" s="19" t="s">
        <v>28</v>
      </c>
      <c r="H1900" s="37"/>
      <c r="I1900" s="21" t="s">
        <v>29</v>
      </c>
      <c r="J1900" s="21" t="s">
        <v>29</v>
      </c>
      <c r="K1900" s="22" t="s">
        <v>6796</v>
      </c>
      <c r="L1900" s="56">
        <v>45293</v>
      </c>
      <c r="O1900" s="42"/>
      <c r="P1900" s="40"/>
      <c r="Q1900" s="61"/>
      <c r="R1900" s="61"/>
      <c r="S1900" s="40"/>
      <c r="T1900" s="38"/>
      <c r="U1900" s="38"/>
      <c r="V1900" s="38"/>
      <c r="W1900" s="60"/>
      <c r="AB1900" s="42"/>
      <c r="AC1900" s="35"/>
      <c r="AD1900" s="38"/>
      <c r="AE1900" s="38"/>
      <c r="AF1900" s="38"/>
      <c r="AG1900" s="38"/>
      <c r="AH1900" s="60"/>
    </row>
    <row r="1901" spans="1:34" ht="15.75" customHeight="1">
      <c r="A1901" s="35"/>
      <c r="B1901" s="78" t="s">
        <v>6797</v>
      </c>
      <c r="C1901" s="37" t="s">
        <v>24</v>
      </c>
      <c r="D1901" s="20" t="s">
        <v>6798</v>
      </c>
      <c r="E1901" s="20" t="s">
        <v>6799</v>
      </c>
      <c r="F1901" s="19" t="s">
        <v>27</v>
      </c>
      <c r="G1901" s="19" t="s">
        <v>28</v>
      </c>
      <c r="H1901" s="19" t="s">
        <v>36</v>
      </c>
      <c r="I1901" s="21" t="s">
        <v>29</v>
      </c>
      <c r="J1901" s="21" t="s">
        <v>29</v>
      </c>
      <c r="K1901" s="22" t="s">
        <v>6800</v>
      </c>
      <c r="L1901" s="56">
        <v>45293</v>
      </c>
      <c r="O1901" s="42"/>
      <c r="P1901" s="40"/>
      <c r="Q1901" s="61"/>
      <c r="R1901" s="61"/>
      <c r="S1901" s="40"/>
      <c r="T1901" s="38"/>
      <c r="U1901" s="38"/>
      <c r="V1901" s="38"/>
      <c r="W1901" s="60"/>
      <c r="AB1901" s="42"/>
      <c r="AC1901" s="35"/>
      <c r="AD1901" s="38"/>
      <c r="AE1901" s="38"/>
      <c r="AF1901" s="38"/>
      <c r="AG1901" s="38"/>
      <c r="AH1901" s="60"/>
    </row>
    <row r="1902" spans="1:34" ht="15.75" customHeight="1">
      <c r="A1902" s="35"/>
      <c r="B1902" s="78" t="s">
        <v>6801</v>
      </c>
      <c r="C1902" s="37" t="s">
        <v>87</v>
      </c>
      <c r="D1902" s="20" t="s">
        <v>6802</v>
      </c>
      <c r="E1902" s="20" t="s">
        <v>6803</v>
      </c>
      <c r="F1902" s="19" t="s">
        <v>90</v>
      </c>
      <c r="G1902" s="19" t="s">
        <v>91</v>
      </c>
      <c r="H1902" s="37"/>
      <c r="I1902" s="21" t="s">
        <v>29</v>
      </c>
      <c r="J1902" s="21" t="s">
        <v>29</v>
      </c>
      <c r="K1902" s="22" t="s">
        <v>6804</v>
      </c>
      <c r="L1902" s="56">
        <v>45293</v>
      </c>
      <c r="O1902" s="42"/>
      <c r="P1902" s="40"/>
      <c r="Q1902" s="61"/>
      <c r="R1902" s="61"/>
      <c r="S1902" s="40"/>
      <c r="T1902" s="38"/>
      <c r="U1902" s="38"/>
      <c r="V1902" s="38"/>
      <c r="W1902" s="60"/>
      <c r="AB1902" s="42"/>
      <c r="AC1902" s="35"/>
      <c r="AD1902" s="38"/>
      <c r="AE1902" s="38"/>
      <c r="AF1902" s="38"/>
      <c r="AG1902" s="38"/>
      <c r="AH1902" s="60"/>
    </row>
    <row r="1903" spans="1:34" ht="15.75" customHeight="1">
      <c r="A1903" s="35"/>
      <c r="B1903" s="78" t="s">
        <v>6805</v>
      </c>
      <c r="C1903" s="37" t="s">
        <v>24</v>
      </c>
      <c r="D1903" s="20" t="s">
        <v>6806</v>
      </c>
      <c r="E1903" s="20" t="s">
        <v>6807</v>
      </c>
      <c r="F1903" s="19" t="s">
        <v>27</v>
      </c>
      <c r="G1903" s="19" t="s">
        <v>28</v>
      </c>
      <c r="H1903" s="37"/>
      <c r="I1903" s="21" t="s">
        <v>29</v>
      </c>
      <c r="J1903" s="21" t="s">
        <v>29</v>
      </c>
      <c r="K1903" s="22" t="s">
        <v>6808</v>
      </c>
      <c r="L1903" s="56">
        <v>45293</v>
      </c>
      <c r="O1903" s="42"/>
      <c r="P1903" s="40"/>
      <c r="Q1903" s="61"/>
      <c r="R1903" s="61"/>
      <c r="S1903" s="40"/>
      <c r="T1903" s="38"/>
      <c r="U1903" s="38"/>
      <c r="V1903" s="38"/>
      <c r="W1903" s="60"/>
      <c r="AB1903" s="42"/>
      <c r="AC1903" s="35"/>
      <c r="AD1903" s="38"/>
      <c r="AE1903" s="38"/>
      <c r="AF1903" s="38"/>
      <c r="AG1903" s="38"/>
      <c r="AH1903" s="60"/>
    </row>
    <row r="1904" spans="1:34" ht="15.75" customHeight="1">
      <c r="A1904" s="35"/>
      <c r="B1904" s="78" t="s">
        <v>6809</v>
      </c>
      <c r="C1904" s="37" t="s">
        <v>24</v>
      </c>
      <c r="D1904" s="20" t="s">
        <v>6810</v>
      </c>
      <c r="E1904" s="20" t="s">
        <v>6811</v>
      </c>
      <c r="F1904" s="19" t="s">
        <v>27</v>
      </c>
      <c r="G1904" s="19" t="s">
        <v>28</v>
      </c>
      <c r="H1904" s="37"/>
      <c r="I1904" s="21" t="s">
        <v>29</v>
      </c>
      <c r="J1904" s="21" t="s">
        <v>29</v>
      </c>
      <c r="K1904" s="22" t="s">
        <v>6812</v>
      </c>
      <c r="L1904" s="56">
        <v>45293</v>
      </c>
      <c r="O1904" s="42"/>
      <c r="P1904" s="40"/>
      <c r="Q1904" s="61"/>
      <c r="R1904" s="61"/>
      <c r="S1904" s="40"/>
      <c r="T1904" s="38"/>
      <c r="U1904" s="38"/>
      <c r="V1904" s="38"/>
      <c r="W1904" s="60"/>
      <c r="AB1904" s="42"/>
      <c r="AC1904" s="35"/>
      <c r="AD1904" s="38"/>
      <c r="AE1904" s="38"/>
      <c r="AF1904" s="38"/>
      <c r="AG1904" s="38"/>
      <c r="AH1904" s="60"/>
    </row>
    <row r="1905" spans="1:34" ht="15.75" customHeight="1">
      <c r="A1905" s="35"/>
      <c r="B1905" s="78" t="s">
        <v>6813</v>
      </c>
      <c r="C1905" s="37" t="s">
        <v>24</v>
      </c>
      <c r="D1905" s="20" t="s">
        <v>6814</v>
      </c>
      <c r="E1905" s="20" t="s">
        <v>6815</v>
      </c>
      <c r="F1905" s="19" t="s">
        <v>27</v>
      </c>
      <c r="G1905" s="19" t="s">
        <v>28</v>
      </c>
      <c r="H1905" s="37"/>
      <c r="I1905" s="21" t="s">
        <v>29</v>
      </c>
      <c r="J1905" s="21" t="s">
        <v>29</v>
      </c>
      <c r="K1905" s="22" t="s">
        <v>6816</v>
      </c>
      <c r="L1905" s="56">
        <v>45293</v>
      </c>
      <c r="O1905" s="42"/>
      <c r="P1905" s="40"/>
      <c r="Q1905" s="61"/>
      <c r="R1905" s="61"/>
      <c r="S1905" s="40"/>
      <c r="T1905" s="38"/>
      <c r="U1905" s="38"/>
      <c r="V1905" s="38"/>
      <c r="W1905" s="60"/>
      <c r="AB1905" s="42"/>
      <c r="AC1905" s="35"/>
      <c r="AD1905" s="38"/>
      <c r="AE1905" s="38"/>
      <c r="AF1905" s="38"/>
      <c r="AG1905" s="38"/>
      <c r="AH1905" s="60"/>
    </row>
    <row r="1906" spans="1:34" ht="15.75" customHeight="1">
      <c r="A1906" s="35"/>
      <c r="B1906" s="78" t="s">
        <v>6817</v>
      </c>
      <c r="C1906" s="37" t="s">
        <v>46</v>
      </c>
      <c r="D1906" s="20" t="s">
        <v>6818</v>
      </c>
      <c r="E1906" s="20" t="s">
        <v>6819</v>
      </c>
      <c r="F1906" s="37" t="s">
        <v>49</v>
      </c>
      <c r="G1906" s="19" t="s">
        <v>50</v>
      </c>
      <c r="H1906" s="37"/>
      <c r="I1906" s="21" t="s">
        <v>29</v>
      </c>
      <c r="J1906" s="21" t="s">
        <v>29</v>
      </c>
      <c r="K1906" s="22" t="s">
        <v>6820</v>
      </c>
      <c r="L1906" s="56">
        <v>45293</v>
      </c>
      <c r="O1906" s="42"/>
      <c r="P1906" s="40"/>
      <c r="Q1906" s="61"/>
      <c r="R1906" s="61"/>
      <c r="S1906" s="40"/>
      <c r="T1906" s="38"/>
      <c r="U1906" s="38"/>
      <c r="V1906" s="38"/>
      <c r="W1906" s="60"/>
      <c r="AB1906" s="42"/>
      <c r="AC1906" s="35"/>
      <c r="AD1906" s="38"/>
      <c r="AE1906" s="38"/>
      <c r="AF1906" s="38"/>
      <c r="AG1906" s="38"/>
      <c r="AH1906" s="60"/>
    </row>
    <row r="1907" spans="1:34" ht="15.75" customHeight="1">
      <c r="A1907" s="35"/>
      <c r="B1907" s="78" t="s">
        <v>6821</v>
      </c>
      <c r="C1907" s="37" t="s">
        <v>24</v>
      </c>
      <c r="D1907" s="20" t="s">
        <v>6822</v>
      </c>
      <c r="E1907" s="20" t="s">
        <v>6823</v>
      </c>
      <c r="F1907" s="19" t="s">
        <v>27</v>
      </c>
      <c r="G1907" s="19" t="s">
        <v>28</v>
      </c>
      <c r="H1907" s="37"/>
      <c r="I1907" s="21" t="s">
        <v>29</v>
      </c>
      <c r="J1907" s="21" t="s">
        <v>29</v>
      </c>
      <c r="K1907" s="22" t="s">
        <v>6824</v>
      </c>
      <c r="L1907" s="56">
        <v>45293</v>
      </c>
      <c r="O1907" s="42"/>
      <c r="P1907" s="40"/>
      <c r="Q1907" s="61"/>
      <c r="R1907" s="61"/>
      <c r="S1907" s="40"/>
      <c r="T1907" s="38"/>
      <c r="U1907" s="38"/>
      <c r="V1907" s="38"/>
      <c r="W1907" s="60"/>
      <c r="AB1907" s="42"/>
      <c r="AC1907" s="35"/>
      <c r="AD1907" s="38"/>
      <c r="AE1907" s="38"/>
      <c r="AF1907" s="38"/>
      <c r="AG1907" s="38"/>
      <c r="AH1907" s="60"/>
    </row>
    <row r="1908" spans="1:34" ht="15.75" customHeight="1">
      <c r="A1908" s="35"/>
      <c r="B1908" s="78" t="s">
        <v>6825</v>
      </c>
      <c r="C1908" s="37" t="s">
        <v>87</v>
      </c>
      <c r="D1908" s="20" t="s">
        <v>6826</v>
      </c>
      <c r="E1908" s="20" t="s">
        <v>6827</v>
      </c>
      <c r="F1908" s="19" t="s">
        <v>90</v>
      </c>
      <c r="G1908" s="19" t="s">
        <v>91</v>
      </c>
      <c r="H1908" s="37"/>
      <c r="I1908" s="21" t="s">
        <v>29</v>
      </c>
      <c r="J1908" s="21" t="s">
        <v>29</v>
      </c>
      <c r="K1908" s="22" t="s">
        <v>6828</v>
      </c>
      <c r="L1908" s="56">
        <v>45293</v>
      </c>
      <c r="O1908" s="42"/>
      <c r="P1908" s="40"/>
      <c r="Q1908" s="61"/>
      <c r="R1908" s="61"/>
      <c r="S1908" s="40"/>
      <c r="T1908" s="38"/>
      <c r="U1908" s="38"/>
      <c r="V1908" s="38"/>
      <c r="W1908" s="60"/>
      <c r="AB1908" s="42"/>
      <c r="AC1908" s="35"/>
      <c r="AD1908" s="38"/>
      <c r="AE1908" s="38"/>
      <c r="AF1908" s="38"/>
      <c r="AG1908" s="38"/>
      <c r="AH1908" s="60"/>
    </row>
    <row r="1909" spans="1:34" ht="15.75" customHeight="1">
      <c r="A1909" s="35"/>
      <c r="B1909" s="78" t="s">
        <v>6829</v>
      </c>
      <c r="C1909" s="37" t="s">
        <v>24</v>
      </c>
      <c r="D1909" s="20" t="s">
        <v>6830</v>
      </c>
      <c r="E1909" s="20" t="s">
        <v>6831</v>
      </c>
      <c r="F1909" s="19" t="s">
        <v>27</v>
      </c>
      <c r="G1909" s="19" t="s">
        <v>28</v>
      </c>
      <c r="H1909" s="37"/>
      <c r="I1909" s="21" t="s">
        <v>29</v>
      </c>
      <c r="J1909" s="21" t="s">
        <v>29</v>
      </c>
      <c r="K1909" s="22" t="s">
        <v>6832</v>
      </c>
      <c r="L1909" s="56">
        <v>45293</v>
      </c>
      <c r="O1909" s="42"/>
      <c r="P1909" s="40"/>
      <c r="Q1909" s="61"/>
      <c r="R1909" s="61"/>
      <c r="S1909" s="40"/>
      <c r="T1909" s="38"/>
      <c r="U1909" s="38"/>
      <c r="V1909" s="38"/>
      <c r="W1909" s="60"/>
      <c r="AB1909" s="42"/>
      <c r="AC1909" s="35"/>
      <c r="AD1909" s="38"/>
      <c r="AE1909" s="38"/>
      <c r="AF1909" s="38"/>
      <c r="AG1909" s="38"/>
      <c r="AH1909" s="60"/>
    </row>
    <row r="1910" spans="1:34" ht="15.75" customHeight="1">
      <c r="A1910" s="35"/>
      <c r="B1910" s="80" t="s">
        <v>6833</v>
      </c>
      <c r="C1910" s="37" t="s">
        <v>24</v>
      </c>
      <c r="D1910" s="20" t="s">
        <v>6834</v>
      </c>
      <c r="E1910" s="20" t="s">
        <v>6835</v>
      </c>
      <c r="F1910" s="19" t="s">
        <v>90</v>
      </c>
      <c r="G1910" s="19" t="s">
        <v>91</v>
      </c>
      <c r="H1910" s="19" t="s">
        <v>36</v>
      </c>
      <c r="I1910" s="21" t="s">
        <v>29</v>
      </c>
      <c r="J1910" s="21" t="s">
        <v>29</v>
      </c>
      <c r="K1910" s="22" t="s">
        <v>6836</v>
      </c>
      <c r="L1910" s="56">
        <v>45293</v>
      </c>
      <c r="O1910" s="42"/>
      <c r="P1910" s="40"/>
      <c r="Q1910" s="61"/>
      <c r="R1910" s="61"/>
      <c r="S1910" s="40"/>
      <c r="T1910" s="38"/>
      <c r="U1910" s="38"/>
      <c r="V1910" s="38"/>
      <c r="W1910" s="60"/>
      <c r="AB1910" s="42"/>
      <c r="AC1910" s="35"/>
      <c r="AD1910" s="38"/>
      <c r="AE1910" s="38"/>
      <c r="AF1910" s="38"/>
      <c r="AG1910" s="38"/>
      <c r="AH1910" s="60"/>
    </row>
    <row r="1911" spans="1:34" ht="15.75" customHeight="1">
      <c r="A1911" s="35"/>
      <c r="B1911" s="78" t="s">
        <v>6837</v>
      </c>
      <c r="C1911" s="37" t="s">
        <v>24</v>
      </c>
      <c r="D1911" s="20" t="s">
        <v>6838</v>
      </c>
      <c r="E1911" s="20" t="s">
        <v>6839</v>
      </c>
      <c r="F1911" s="19" t="s">
        <v>27</v>
      </c>
      <c r="G1911" s="19" t="s">
        <v>28</v>
      </c>
      <c r="H1911" s="37"/>
      <c r="I1911" s="21" t="s">
        <v>29</v>
      </c>
      <c r="J1911" s="21" t="s">
        <v>29</v>
      </c>
      <c r="K1911" s="22" t="s">
        <v>6840</v>
      </c>
      <c r="L1911" s="56">
        <v>45293</v>
      </c>
      <c r="O1911" s="42"/>
      <c r="P1911" s="40"/>
      <c r="Q1911" s="61"/>
      <c r="R1911" s="61"/>
      <c r="S1911" s="40"/>
      <c r="T1911" s="38"/>
      <c r="U1911" s="38"/>
      <c r="V1911" s="38"/>
      <c r="W1911" s="60"/>
      <c r="AB1911" s="42"/>
      <c r="AC1911" s="35"/>
      <c r="AD1911" s="38"/>
      <c r="AE1911" s="38"/>
      <c r="AF1911" s="38"/>
      <c r="AG1911" s="38"/>
      <c r="AH1911" s="60"/>
    </row>
    <row r="1912" spans="1:34" ht="15.75" customHeight="1">
      <c r="A1912" s="35"/>
      <c r="B1912" s="80" t="s">
        <v>6841</v>
      </c>
      <c r="C1912" s="37" t="s">
        <v>87</v>
      </c>
      <c r="D1912" s="20" t="s">
        <v>6842</v>
      </c>
      <c r="E1912" s="20" t="s">
        <v>6843</v>
      </c>
      <c r="F1912" s="37" t="s">
        <v>49</v>
      </c>
      <c r="G1912" s="19" t="s">
        <v>50</v>
      </c>
      <c r="H1912" s="19" t="s">
        <v>36</v>
      </c>
      <c r="I1912" s="21" t="s">
        <v>29</v>
      </c>
      <c r="J1912" s="21" t="s">
        <v>29</v>
      </c>
      <c r="K1912" s="22" t="s">
        <v>6844</v>
      </c>
      <c r="L1912" s="56">
        <v>45293</v>
      </c>
      <c r="O1912" s="42"/>
      <c r="P1912" s="40"/>
      <c r="Q1912" s="61"/>
      <c r="R1912" s="61"/>
      <c r="S1912" s="40"/>
      <c r="T1912" s="38"/>
      <c r="U1912" s="38"/>
      <c r="V1912" s="38"/>
      <c r="W1912" s="60"/>
      <c r="AB1912" s="42"/>
      <c r="AC1912" s="35"/>
      <c r="AD1912" s="38"/>
      <c r="AE1912" s="38"/>
      <c r="AF1912" s="38"/>
      <c r="AG1912" s="38"/>
      <c r="AH1912" s="60"/>
    </row>
    <row r="1913" spans="1:34" ht="15.75" customHeight="1">
      <c r="A1913" s="35"/>
      <c r="B1913" s="78" t="s">
        <v>6845</v>
      </c>
      <c r="C1913" s="37" t="s">
        <v>24</v>
      </c>
      <c r="D1913" s="20" t="s">
        <v>6846</v>
      </c>
      <c r="E1913" s="20" t="s">
        <v>6847</v>
      </c>
      <c r="F1913" s="19" t="s">
        <v>27</v>
      </c>
      <c r="G1913" s="19" t="s">
        <v>28</v>
      </c>
      <c r="H1913" s="37"/>
      <c r="I1913" s="21" t="s">
        <v>29</v>
      </c>
      <c r="J1913" s="21" t="s">
        <v>29</v>
      </c>
      <c r="K1913" s="22" t="s">
        <v>6848</v>
      </c>
      <c r="L1913" s="56">
        <v>45293</v>
      </c>
      <c r="O1913" s="42"/>
      <c r="P1913" s="40"/>
      <c r="Q1913" s="61"/>
      <c r="R1913" s="61"/>
      <c r="S1913" s="40"/>
      <c r="T1913" s="38"/>
      <c r="U1913" s="38"/>
      <c r="V1913" s="38"/>
      <c r="W1913" s="60"/>
      <c r="AB1913" s="42"/>
      <c r="AC1913" s="35"/>
      <c r="AD1913" s="38"/>
      <c r="AE1913" s="38"/>
      <c r="AF1913" s="38"/>
      <c r="AG1913" s="38"/>
      <c r="AH1913" s="60"/>
    </row>
    <row r="1914" spans="1:34" ht="15.75" customHeight="1">
      <c r="A1914" s="35"/>
      <c r="B1914" s="78" t="s">
        <v>6849</v>
      </c>
      <c r="C1914" s="37" t="s">
        <v>24</v>
      </c>
      <c r="D1914" s="20" t="s">
        <v>6850</v>
      </c>
      <c r="E1914" s="20" t="s">
        <v>6851</v>
      </c>
      <c r="F1914" s="19" t="s">
        <v>27</v>
      </c>
      <c r="G1914" s="19" t="s">
        <v>28</v>
      </c>
      <c r="H1914" s="37"/>
      <c r="I1914" s="21" t="s">
        <v>29</v>
      </c>
      <c r="J1914" s="21" t="s">
        <v>29</v>
      </c>
      <c r="K1914" s="22" t="s">
        <v>6852</v>
      </c>
      <c r="L1914" s="56">
        <v>45293</v>
      </c>
      <c r="O1914" s="42"/>
      <c r="P1914" s="40"/>
      <c r="Q1914" s="61"/>
      <c r="R1914" s="61"/>
      <c r="S1914" s="40"/>
      <c r="T1914" s="38"/>
      <c r="U1914" s="38"/>
      <c r="V1914" s="38"/>
      <c r="W1914" s="60"/>
      <c r="AB1914" s="42"/>
      <c r="AC1914" s="35"/>
      <c r="AD1914" s="38"/>
      <c r="AE1914" s="38"/>
      <c r="AF1914" s="38"/>
      <c r="AG1914" s="38"/>
      <c r="AH1914" s="60"/>
    </row>
    <row r="1915" spans="1:34" ht="15.75" customHeight="1">
      <c r="A1915" s="35"/>
      <c r="B1915" s="78" t="s">
        <v>6853</v>
      </c>
      <c r="C1915" s="37" t="s">
        <v>24</v>
      </c>
      <c r="D1915" s="20" t="s">
        <v>6854</v>
      </c>
      <c r="E1915" s="20" t="s">
        <v>6855</v>
      </c>
      <c r="F1915" s="19" t="s">
        <v>27</v>
      </c>
      <c r="G1915" s="19" t="s">
        <v>28</v>
      </c>
      <c r="H1915" s="19" t="s">
        <v>36</v>
      </c>
      <c r="I1915" s="21" t="s">
        <v>29</v>
      </c>
      <c r="J1915" s="21" t="s">
        <v>29</v>
      </c>
      <c r="K1915" s="22" t="s">
        <v>6856</v>
      </c>
      <c r="L1915" s="56">
        <v>45293</v>
      </c>
      <c r="O1915" s="42"/>
      <c r="P1915" s="40"/>
      <c r="Q1915" s="61"/>
      <c r="R1915" s="61"/>
      <c r="S1915" s="40"/>
      <c r="T1915" s="38"/>
      <c r="U1915" s="38"/>
      <c r="V1915" s="38"/>
      <c r="W1915" s="60"/>
      <c r="AB1915" s="42"/>
      <c r="AC1915" s="35"/>
      <c r="AD1915" s="38"/>
      <c r="AE1915" s="38"/>
      <c r="AF1915" s="38"/>
      <c r="AG1915" s="38"/>
      <c r="AH1915" s="60"/>
    </row>
    <row r="1916" spans="1:34" ht="15.75" customHeight="1">
      <c r="A1916" s="35"/>
      <c r="B1916" s="82" t="s">
        <v>6857</v>
      </c>
      <c r="C1916" s="37" t="s">
        <v>24</v>
      </c>
      <c r="D1916" s="20" t="s">
        <v>6858</v>
      </c>
      <c r="E1916" s="20" t="s">
        <v>6859</v>
      </c>
      <c r="F1916" s="19" t="s">
        <v>27</v>
      </c>
      <c r="G1916" s="19" t="s">
        <v>28</v>
      </c>
      <c r="H1916" s="37"/>
      <c r="I1916" s="21" t="s">
        <v>29</v>
      </c>
      <c r="J1916" s="21" t="s">
        <v>29</v>
      </c>
      <c r="K1916" s="22" t="s">
        <v>6860</v>
      </c>
      <c r="L1916" s="56">
        <v>45293</v>
      </c>
      <c r="O1916" s="42"/>
      <c r="P1916" s="40"/>
      <c r="Q1916" s="61"/>
      <c r="R1916" s="61"/>
      <c r="S1916" s="40"/>
      <c r="T1916" s="38"/>
      <c r="U1916" s="38"/>
      <c r="V1916" s="38"/>
      <c r="W1916" s="60"/>
      <c r="AB1916" s="42"/>
      <c r="AC1916" s="35"/>
      <c r="AD1916" s="38"/>
      <c r="AE1916" s="38"/>
      <c r="AF1916" s="38"/>
      <c r="AG1916" s="38"/>
      <c r="AH1916" s="60"/>
    </row>
    <row r="1917" spans="1:34" ht="15.75" customHeight="1">
      <c r="A1917" s="35"/>
      <c r="B1917" s="78" t="s">
        <v>6861</v>
      </c>
      <c r="C1917" s="37" t="s">
        <v>24</v>
      </c>
      <c r="D1917" s="20" t="s">
        <v>6862</v>
      </c>
      <c r="E1917" s="20" t="s">
        <v>6863</v>
      </c>
      <c r="F1917" s="19" t="s">
        <v>27</v>
      </c>
      <c r="G1917" s="19" t="s">
        <v>28</v>
      </c>
      <c r="H1917" s="37"/>
      <c r="I1917" s="21" t="s">
        <v>29</v>
      </c>
      <c r="J1917" s="21" t="s">
        <v>29</v>
      </c>
      <c r="K1917" s="22" t="s">
        <v>6864</v>
      </c>
      <c r="L1917" s="56">
        <v>45293</v>
      </c>
      <c r="O1917" s="42"/>
      <c r="P1917" s="40"/>
      <c r="Q1917" s="61"/>
      <c r="R1917" s="61"/>
      <c r="S1917" s="40"/>
      <c r="T1917" s="38"/>
      <c r="U1917" s="38"/>
      <c r="V1917" s="38"/>
      <c r="W1917" s="60"/>
      <c r="AB1917" s="42"/>
      <c r="AC1917" s="35"/>
      <c r="AD1917" s="38"/>
      <c r="AE1917" s="38"/>
      <c r="AF1917" s="38"/>
      <c r="AG1917" s="38"/>
      <c r="AH1917" s="60"/>
    </row>
    <row r="1918" spans="1:34" ht="15.75" customHeight="1">
      <c r="A1918" s="35"/>
      <c r="B1918" s="78" t="s">
        <v>6865</v>
      </c>
      <c r="C1918" s="37" t="s">
        <v>46</v>
      </c>
      <c r="D1918" s="20" t="s">
        <v>6866</v>
      </c>
      <c r="E1918" s="20" t="s">
        <v>6867</v>
      </c>
      <c r="F1918" s="37" t="s">
        <v>49</v>
      </c>
      <c r="G1918" s="19" t="s">
        <v>50</v>
      </c>
      <c r="H1918" s="19" t="s">
        <v>36</v>
      </c>
      <c r="I1918" s="21" t="s">
        <v>29</v>
      </c>
      <c r="J1918" s="21" t="s">
        <v>29</v>
      </c>
      <c r="K1918" s="22" t="s">
        <v>6868</v>
      </c>
      <c r="L1918" s="56">
        <v>45293</v>
      </c>
      <c r="O1918" s="42"/>
      <c r="P1918" s="40"/>
      <c r="Q1918" s="61"/>
      <c r="R1918" s="61"/>
      <c r="S1918" s="40"/>
      <c r="T1918" s="38"/>
      <c r="U1918" s="38"/>
      <c r="V1918" s="38"/>
      <c r="W1918" s="60"/>
      <c r="AB1918" s="42"/>
      <c r="AC1918" s="35"/>
      <c r="AD1918" s="38"/>
      <c r="AE1918" s="38"/>
      <c r="AF1918" s="38"/>
      <c r="AG1918" s="38"/>
      <c r="AH1918" s="60"/>
    </row>
    <row r="1919" spans="1:34" ht="15.75" customHeight="1">
      <c r="A1919" s="35"/>
      <c r="B1919" s="78" t="s">
        <v>6869</v>
      </c>
      <c r="C1919" s="37" t="s">
        <v>87</v>
      </c>
      <c r="D1919" s="20" t="s">
        <v>6870</v>
      </c>
      <c r="E1919" s="20" t="s">
        <v>6871</v>
      </c>
      <c r="F1919" s="19" t="s">
        <v>90</v>
      </c>
      <c r="G1919" s="19" t="s">
        <v>91</v>
      </c>
      <c r="H1919" s="37"/>
      <c r="I1919" s="21" t="s">
        <v>29</v>
      </c>
      <c r="J1919" s="21" t="s">
        <v>29</v>
      </c>
      <c r="K1919" s="22" t="s">
        <v>6872</v>
      </c>
      <c r="L1919" s="56">
        <v>45293</v>
      </c>
      <c r="O1919" s="42"/>
      <c r="P1919" s="40"/>
      <c r="Q1919" s="61"/>
      <c r="R1919" s="61"/>
      <c r="S1919" s="40"/>
      <c r="T1919" s="38"/>
      <c r="U1919" s="38"/>
      <c r="V1919" s="38"/>
      <c r="W1919" s="60"/>
      <c r="AB1919" s="42"/>
      <c r="AC1919" s="35"/>
      <c r="AD1919" s="38"/>
      <c r="AE1919" s="38"/>
      <c r="AF1919" s="38"/>
      <c r="AG1919" s="38"/>
      <c r="AH1919" s="60"/>
    </row>
    <row r="1920" spans="1:34" ht="15.75" customHeight="1">
      <c r="A1920" s="35"/>
      <c r="B1920" s="78" t="s">
        <v>6873</v>
      </c>
      <c r="C1920" s="55" t="s">
        <v>24</v>
      </c>
      <c r="D1920" s="20" t="s">
        <v>6874</v>
      </c>
      <c r="E1920" s="20" t="s">
        <v>6875</v>
      </c>
      <c r="F1920" s="19" t="s">
        <v>27</v>
      </c>
      <c r="G1920" s="19" t="s">
        <v>28</v>
      </c>
      <c r="H1920" s="19" t="s">
        <v>36</v>
      </c>
      <c r="I1920" s="21" t="s">
        <v>29</v>
      </c>
      <c r="J1920" s="21" t="s">
        <v>29</v>
      </c>
      <c r="K1920" s="22" t="s">
        <v>6876</v>
      </c>
      <c r="L1920" s="56">
        <v>45293</v>
      </c>
      <c r="O1920" s="42"/>
      <c r="P1920" s="40"/>
      <c r="Q1920" s="61"/>
      <c r="R1920" s="61"/>
      <c r="S1920" s="40"/>
      <c r="T1920" s="38"/>
      <c r="U1920" s="38"/>
      <c r="V1920" s="38"/>
      <c r="W1920" s="60"/>
      <c r="AB1920" s="42"/>
      <c r="AC1920" s="35"/>
      <c r="AD1920" s="38"/>
      <c r="AE1920" s="38"/>
      <c r="AF1920" s="38"/>
      <c r="AG1920" s="38"/>
      <c r="AH1920" s="60"/>
    </row>
    <row r="1921" spans="1:34" ht="15.75" customHeight="1">
      <c r="A1921" s="35"/>
      <c r="B1921" s="78" t="s">
        <v>6877</v>
      </c>
      <c r="C1921" s="37" t="s">
        <v>24</v>
      </c>
      <c r="D1921" s="20" t="s">
        <v>6878</v>
      </c>
      <c r="E1921" s="20" t="s">
        <v>6879</v>
      </c>
      <c r="F1921" s="19" t="s">
        <v>27</v>
      </c>
      <c r="G1921" s="19" t="s">
        <v>28</v>
      </c>
      <c r="H1921" s="37"/>
      <c r="I1921" s="21" t="s">
        <v>29</v>
      </c>
      <c r="J1921" s="21" t="s">
        <v>29</v>
      </c>
      <c r="K1921" s="22" t="s">
        <v>6880</v>
      </c>
      <c r="L1921" s="56">
        <v>45293</v>
      </c>
      <c r="O1921" s="42"/>
      <c r="P1921" s="40"/>
      <c r="Q1921" s="61"/>
      <c r="R1921" s="61"/>
      <c r="S1921" s="40"/>
      <c r="T1921" s="38"/>
      <c r="U1921" s="38"/>
      <c r="V1921" s="38"/>
      <c r="W1921" s="60"/>
      <c r="AB1921" s="42"/>
      <c r="AC1921" s="35"/>
      <c r="AD1921" s="38"/>
      <c r="AE1921" s="38"/>
      <c r="AF1921" s="38"/>
      <c r="AG1921" s="38"/>
      <c r="AH1921" s="60"/>
    </row>
    <row r="1922" spans="1:34" ht="15.75" customHeight="1">
      <c r="A1922" s="35"/>
      <c r="B1922" s="78" t="s">
        <v>6881</v>
      </c>
      <c r="C1922" s="37" t="s">
        <v>24</v>
      </c>
      <c r="D1922" s="20" t="s">
        <v>6882</v>
      </c>
      <c r="E1922" s="20" t="s">
        <v>6883</v>
      </c>
      <c r="F1922" s="19" t="s">
        <v>27</v>
      </c>
      <c r="G1922" s="19" t="s">
        <v>28</v>
      </c>
      <c r="H1922" s="37"/>
      <c r="I1922" s="21" t="s">
        <v>29</v>
      </c>
      <c r="J1922" s="21" t="s">
        <v>29</v>
      </c>
      <c r="K1922" s="22" t="s">
        <v>6884</v>
      </c>
      <c r="L1922" s="56">
        <v>45293</v>
      </c>
      <c r="O1922" s="42"/>
      <c r="P1922" s="40"/>
      <c r="Q1922" s="61"/>
      <c r="R1922" s="61"/>
      <c r="S1922" s="40"/>
      <c r="T1922" s="38"/>
      <c r="U1922" s="38"/>
      <c r="V1922" s="38"/>
      <c r="W1922" s="60"/>
      <c r="AB1922" s="42"/>
      <c r="AC1922" s="35"/>
      <c r="AD1922" s="38"/>
      <c r="AE1922" s="38"/>
      <c r="AF1922" s="38"/>
      <c r="AG1922" s="38"/>
      <c r="AH1922" s="60"/>
    </row>
    <row r="1923" spans="1:34" ht="15.75" customHeight="1">
      <c r="A1923" s="35"/>
      <c r="B1923" s="78" t="s">
        <v>6885</v>
      </c>
      <c r="C1923" s="37" t="s">
        <v>24</v>
      </c>
      <c r="D1923" s="20" t="s">
        <v>6886</v>
      </c>
      <c r="E1923" s="20" t="s">
        <v>6887</v>
      </c>
      <c r="F1923" s="19" t="s">
        <v>27</v>
      </c>
      <c r="G1923" s="19" t="s">
        <v>28</v>
      </c>
      <c r="H1923" s="37"/>
      <c r="I1923" s="21" t="s">
        <v>29</v>
      </c>
      <c r="J1923" s="21" t="s">
        <v>29</v>
      </c>
      <c r="K1923" s="22" t="s">
        <v>6888</v>
      </c>
      <c r="L1923" s="56">
        <v>45293</v>
      </c>
      <c r="O1923" s="42"/>
      <c r="P1923" s="40"/>
      <c r="Q1923" s="61"/>
      <c r="R1923" s="61"/>
      <c r="S1923" s="40"/>
      <c r="T1923" s="38"/>
      <c r="U1923" s="38"/>
      <c r="V1923" s="38"/>
      <c r="W1923" s="60"/>
      <c r="AB1923" s="42"/>
      <c r="AC1923" s="35"/>
      <c r="AD1923" s="38"/>
      <c r="AE1923" s="38"/>
      <c r="AF1923" s="38"/>
      <c r="AG1923" s="38"/>
      <c r="AH1923" s="60"/>
    </row>
    <row r="1924" spans="1:34" ht="15.75" customHeight="1">
      <c r="A1924" s="35"/>
      <c r="B1924" s="83" t="s">
        <v>6889</v>
      </c>
      <c r="C1924" s="19" t="s">
        <v>121</v>
      </c>
      <c r="D1924" s="20" t="s">
        <v>6890</v>
      </c>
      <c r="E1924" s="20" t="s">
        <v>6891</v>
      </c>
      <c r="F1924" s="19" t="s">
        <v>27</v>
      </c>
      <c r="G1924" s="37" t="s">
        <v>4455</v>
      </c>
      <c r="H1924" s="37"/>
      <c r="I1924" s="21" t="s">
        <v>29</v>
      </c>
      <c r="J1924" s="37" t="s">
        <v>4455</v>
      </c>
      <c r="K1924" s="22" t="s">
        <v>6892</v>
      </c>
      <c r="L1924" s="56">
        <v>45293</v>
      </c>
      <c r="O1924" s="42"/>
      <c r="P1924" s="40"/>
      <c r="Q1924" s="61"/>
      <c r="R1924" s="61"/>
      <c r="S1924" s="40"/>
      <c r="T1924" s="38"/>
      <c r="U1924" s="38"/>
      <c r="V1924" s="38"/>
      <c r="W1924" s="60"/>
      <c r="AB1924" s="42"/>
      <c r="AC1924" s="35"/>
      <c r="AD1924" s="38"/>
      <c r="AE1924" s="38"/>
      <c r="AF1924" s="38"/>
      <c r="AG1924" s="38"/>
      <c r="AH1924" s="60"/>
    </row>
    <row r="1925" spans="1:34" ht="15.75" customHeight="1">
      <c r="A1925" s="35"/>
      <c r="B1925" s="81" t="s">
        <v>6893</v>
      </c>
      <c r="C1925" s="37" t="s">
        <v>1366</v>
      </c>
      <c r="D1925" s="20"/>
      <c r="E1925" s="20"/>
      <c r="F1925" s="37" t="s">
        <v>286</v>
      </c>
      <c r="G1925" s="55" t="s">
        <v>1370</v>
      </c>
      <c r="H1925" s="37"/>
      <c r="I1925" s="21" t="s">
        <v>286</v>
      </c>
      <c r="J1925" s="21" t="s">
        <v>1371</v>
      </c>
      <c r="K1925" s="22"/>
      <c r="L1925" s="56">
        <v>45293</v>
      </c>
      <c r="O1925" s="42"/>
      <c r="P1925" s="40"/>
      <c r="Q1925" s="61"/>
      <c r="R1925" s="61"/>
      <c r="S1925" s="40"/>
      <c r="T1925" s="38"/>
      <c r="U1925" s="38"/>
      <c r="V1925" s="38"/>
      <c r="W1925" s="60"/>
      <c r="AB1925" s="42"/>
      <c r="AC1925" s="35"/>
      <c r="AD1925" s="38"/>
      <c r="AE1925" s="38"/>
      <c r="AF1925" s="38"/>
      <c r="AG1925" s="38"/>
      <c r="AH1925" s="60"/>
    </row>
    <row r="1926" spans="1:34" ht="15.75" customHeight="1">
      <c r="A1926" s="35"/>
      <c r="B1926" s="78" t="s">
        <v>6894</v>
      </c>
      <c r="C1926" s="37" t="s">
        <v>1638</v>
      </c>
      <c r="D1926" s="20" t="s">
        <v>6895</v>
      </c>
      <c r="E1926" s="20"/>
      <c r="F1926" s="37" t="s">
        <v>1399</v>
      </c>
      <c r="G1926" s="19" t="s">
        <v>1641</v>
      </c>
      <c r="H1926" s="37"/>
      <c r="I1926" s="21" t="s">
        <v>1371</v>
      </c>
      <c r="J1926" s="21" t="s">
        <v>1371</v>
      </c>
      <c r="K1926" s="22"/>
      <c r="L1926" s="56">
        <v>45293</v>
      </c>
      <c r="O1926" s="42"/>
      <c r="P1926" s="40"/>
      <c r="Q1926" s="61"/>
      <c r="R1926" s="61"/>
      <c r="S1926" s="40"/>
      <c r="T1926" s="38"/>
      <c r="U1926" s="38"/>
      <c r="V1926" s="38"/>
      <c r="W1926" s="60"/>
      <c r="AB1926" s="42"/>
      <c r="AC1926" s="35"/>
      <c r="AD1926" s="38"/>
      <c r="AE1926" s="38"/>
      <c r="AF1926" s="38"/>
      <c r="AG1926" s="38"/>
      <c r="AH1926" s="60"/>
    </row>
    <row r="1927" spans="1:34" ht="15.75" customHeight="1">
      <c r="A1927" s="35"/>
      <c r="B1927" s="78" t="s">
        <v>6896</v>
      </c>
      <c r="C1927" s="37" t="s">
        <v>1486</v>
      </c>
      <c r="D1927" s="20" t="s">
        <v>6897</v>
      </c>
      <c r="E1927" s="20" t="s">
        <v>6898</v>
      </c>
      <c r="F1927" s="37" t="s">
        <v>1489</v>
      </c>
      <c r="G1927" s="37" t="s">
        <v>1490</v>
      </c>
      <c r="H1927" s="37"/>
      <c r="I1927" s="21" t="s">
        <v>1371</v>
      </c>
      <c r="J1927" s="21" t="s">
        <v>1371</v>
      </c>
      <c r="K1927" s="22" t="s">
        <v>6899</v>
      </c>
      <c r="L1927" s="56">
        <v>45293</v>
      </c>
      <c r="O1927" s="42"/>
      <c r="P1927" s="40"/>
      <c r="Q1927" s="61"/>
      <c r="R1927" s="61"/>
      <c r="S1927" s="40"/>
      <c r="T1927" s="38"/>
      <c r="U1927" s="38"/>
      <c r="V1927" s="38"/>
      <c r="W1927" s="60"/>
      <c r="AB1927" s="42"/>
      <c r="AC1927" s="35"/>
      <c r="AD1927" s="38"/>
      <c r="AE1927" s="38"/>
      <c r="AF1927" s="38"/>
      <c r="AG1927" s="38"/>
      <c r="AH1927" s="60"/>
    </row>
    <row r="1928" spans="1:34" ht="15.75" customHeight="1">
      <c r="A1928" s="35"/>
      <c r="B1928" s="78" t="s">
        <v>6900</v>
      </c>
      <c r="C1928" s="37" t="s">
        <v>1366</v>
      </c>
      <c r="D1928" s="20" t="s">
        <v>6901</v>
      </c>
      <c r="E1928" s="20"/>
      <c r="F1928" s="55" t="s">
        <v>1369</v>
      </c>
      <c r="G1928" s="55" t="s">
        <v>1370</v>
      </c>
      <c r="H1928" s="37"/>
      <c r="I1928" s="21" t="s">
        <v>1371</v>
      </c>
      <c r="J1928" s="21" t="s">
        <v>1371</v>
      </c>
      <c r="K1928" s="22"/>
      <c r="L1928" s="56">
        <v>45293</v>
      </c>
      <c r="O1928" s="42"/>
      <c r="P1928" s="40"/>
      <c r="Q1928" s="61"/>
      <c r="R1928" s="61"/>
      <c r="S1928" s="40"/>
      <c r="T1928" s="38"/>
      <c r="U1928" s="38"/>
      <c r="V1928" s="38"/>
      <c r="W1928" s="60"/>
      <c r="AB1928" s="42"/>
      <c r="AC1928" s="35"/>
      <c r="AD1928" s="38"/>
      <c r="AE1928" s="38"/>
      <c r="AF1928" s="38"/>
      <c r="AG1928" s="38"/>
      <c r="AH1928" s="60"/>
    </row>
    <row r="1929" spans="1:34" ht="15.75" customHeight="1">
      <c r="A1929" s="35"/>
      <c r="B1929" s="78" t="s">
        <v>6902</v>
      </c>
      <c r="C1929" s="37" t="s">
        <v>1638</v>
      </c>
      <c r="D1929" s="20" t="s">
        <v>6903</v>
      </c>
      <c r="E1929" s="20"/>
      <c r="F1929" s="37" t="s">
        <v>1399</v>
      </c>
      <c r="G1929" s="19" t="s">
        <v>1641</v>
      </c>
      <c r="H1929" s="37"/>
      <c r="I1929" s="21" t="s">
        <v>1371</v>
      </c>
      <c r="J1929" s="21" t="s">
        <v>1371</v>
      </c>
      <c r="K1929" s="22"/>
      <c r="L1929" s="56">
        <v>45293</v>
      </c>
      <c r="O1929" s="42"/>
      <c r="P1929" s="40"/>
      <c r="Q1929" s="61"/>
      <c r="R1929" s="61"/>
      <c r="S1929" s="40"/>
      <c r="T1929" s="38"/>
      <c r="U1929" s="38"/>
      <c r="V1929" s="38"/>
      <c r="W1929" s="60"/>
      <c r="AB1929" s="42"/>
      <c r="AC1929" s="35"/>
      <c r="AD1929" s="38"/>
      <c r="AE1929" s="38"/>
      <c r="AF1929" s="38"/>
      <c r="AG1929" s="38"/>
      <c r="AH1929" s="60"/>
    </row>
    <row r="1930" spans="1:34" ht="15.75" customHeight="1">
      <c r="A1930" s="35"/>
      <c r="B1930" s="78" t="s">
        <v>6904</v>
      </c>
      <c r="C1930" s="37" t="s">
        <v>1638</v>
      </c>
      <c r="D1930" s="20" t="s">
        <v>6905</v>
      </c>
      <c r="E1930" s="20" t="s">
        <v>6906</v>
      </c>
      <c r="F1930" s="37" t="s">
        <v>1399</v>
      </c>
      <c r="G1930" s="19" t="s">
        <v>1641</v>
      </c>
      <c r="H1930" s="37"/>
      <c r="I1930" s="21" t="s">
        <v>1371</v>
      </c>
      <c r="J1930" s="21" t="s">
        <v>1371</v>
      </c>
      <c r="K1930" s="22" t="s">
        <v>6907</v>
      </c>
      <c r="L1930" s="56">
        <v>45293</v>
      </c>
      <c r="O1930" s="42"/>
      <c r="P1930" s="40"/>
      <c r="Q1930" s="61"/>
      <c r="R1930" s="61"/>
      <c r="S1930" s="40"/>
      <c r="T1930" s="38"/>
      <c r="U1930" s="38"/>
      <c r="V1930" s="38"/>
      <c r="W1930" s="60"/>
      <c r="AB1930" s="42"/>
      <c r="AC1930" s="35"/>
      <c r="AD1930" s="38"/>
      <c r="AE1930" s="38"/>
      <c r="AF1930" s="38"/>
      <c r="AG1930" s="38"/>
      <c r="AH1930" s="60"/>
    </row>
    <row r="1931" spans="1:34" ht="15.75" customHeight="1">
      <c r="A1931" s="35"/>
      <c r="B1931" s="78" t="s">
        <v>6908</v>
      </c>
      <c r="C1931" s="37" t="s">
        <v>412</v>
      </c>
      <c r="D1931" s="20" t="s">
        <v>6909</v>
      </c>
      <c r="E1931" s="20"/>
      <c r="F1931" s="19" t="s">
        <v>414</v>
      </c>
      <c r="G1931" s="37" t="s">
        <v>415</v>
      </c>
      <c r="H1931" s="37"/>
      <c r="I1931" s="21" t="s">
        <v>233</v>
      </c>
      <c r="J1931" s="21" t="s">
        <v>233</v>
      </c>
      <c r="K1931" s="22"/>
      <c r="L1931" s="56">
        <v>45293</v>
      </c>
      <c r="O1931" s="42"/>
      <c r="P1931" s="40"/>
      <c r="Q1931" s="61"/>
      <c r="R1931" s="61"/>
      <c r="S1931" s="40"/>
      <c r="T1931" s="38"/>
      <c r="U1931" s="38"/>
      <c r="V1931" s="38"/>
      <c r="W1931" s="60"/>
      <c r="AB1931" s="42"/>
      <c r="AC1931" s="35"/>
      <c r="AD1931" s="38"/>
      <c r="AE1931" s="38"/>
      <c r="AF1931" s="38"/>
      <c r="AG1931" s="38"/>
      <c r="AH1931" s="60"/>
    </row>
    <row r="1932" spans="1:34" ht="15.75" customHeight="1">
      <c r="A1932" s="35"/>
      <c r="B1932" s="78" t="s">
        <v>6910</v>
      </c>
      <c r="C1932" s="37" t="s">
        <v>412</v>
      </c>
      <c r="D1932" s="20" t="s">
        <v>6911</v>
      </c>
      <c r="E1932" s="20" t="s">
        <v>6912</v>
      </c>
      <c r="F1932" s="19" t="s">
        <v>414</v>
      </c>
      <c r="G1932" s="19" t="s">
        <v>415</v>
      </c>
      <c r="H1932" s="37"/>
      <c r="I1932" s="21" t="s">
        <v>233</v>
      </c>
      <c r="J1932" s="21" t="s">
        <v>233</v>
      </c>
      <c r="K1932" s="22" t="s">
        <v>6913</v>
      </c>
      <c r="L1932" s="56">
        <v>45293</v>
      </c>
      <c r="O1932" s="42"/>
      <c r="P1932" s="40"/>
      <c r="Q1932" s="61"/>
      <c r="R1932" s="61"/>
      <c r="S1932" s="40"/>
      <c r="T1932" s="38"/>
      <c r="U1932" s="38"/>
      <c r="V1932" s="38"/>
      <c r="W1932" s="60"/>
      <c r="AB1932" s="42"/>
      <c r="AC1932" s="35"/>
      <c r="AD1932" s="38"/>
      <c r="AE1932" s="38"/>
      <c r="AF1932" s="38"/>
      <c r="AG1932" s="38"/>
      <c r="AH1932" s="60"/>
    </row>
    <row r="1933" spans="1:34" ht="15.75" customHeight="1">
      <c r="A1933" s="35"/>
      <c r="B1933" s="78" t="s">
        <v>6914</v>
      </c>
      <c r="C1933" s="37" t="s">
        <v>412</v>
      </c>
      <c r="D1933" s="20" t="s">
        <v>6915</v>
      </c>
      <c r="E1933" s="20"/>
      <c r="F1933" s="19" t="s">
        <v>414</v>
      </c>
      <c r="G1933" s="37" t="s">
        <v>415</v>
      </c>
      <c r="H1933" s="37"/>
      <c r="I1933" s="21" t="s">
        <v>233</v>
      </c>
      <c r="J1933" s="21" t="s">
        <v>233</v>
      </c>
      <c r="K1933" s="22"/>
      <c r="L1933" s="56">
        <v>45293</v>
      </c>
      <c r="O1933" s="42"/>
      <c r="P1933" s="40"/>
      <c r="Q1933" s="61"/>
      <c r="R1933" s="61"/>
      <c r="S1933" s="40"/>
      <c r="T1933" s="38"/>
      <c r="U1933" s="38"/>
      <c r="V1933" s="38"/>
      <c r="W1933" s="60"/>
      <c r="AB1933" s="42"/>
      <c r="AC1933" s="35"/>
      <c r="AD1933" s="38"/>
      <c r="AE1933" s="38"/>
      <c r="AF1933" s="38"/>
      <c r="AG1933" s="38"/>
      <c r="AH1933" s="60"/>
    </row>
    <row r="1934" spans="1:34" ht="15.75" customHeight="1">
      <c r="A1934" s="35"/>
      <c r="B1934" s="78" t="s">
        <v>6916</v>
      </c>
      <c r="C1934" s="37" t="s">
        <v>412</v>
      </c>
      <c r="D1934" s="20" t="s">
        <v>6917</v>
      </c>
      <c r="E1934" s="20" t="s">
        <v>6918</v>
      </c>
      <c r="F1934" s="19" t="s">
        <v>414</v>
      </c>
      <c r="G1934" s="19" t="s">
        <v>415</v>
      </c>
      <c r="H1934" s="37"/>
      <c r="I1934" s="21" t="s">
        <v>233</v>
      </c>
      <c r="J1934" s="21" t="s">
        <v>233</v>
      </c>
      <c r="K1934" s="22" t="s">
        <v>6919</v>
      </c>
      <c r="L1934" s="56">
        <v>45293</v>
      </c>
      <c r="O1934" s="42"/>
      <c r="P1934" s="40"/>
      <c r="Q1934" s="61"/>
      <c r="R1934" s="61"/>
      <c r="S1934" s="40"/>
      <c r="T1934" s="38"/>
      <c r="U1934" s="38"/>
      <c r="V1934" s="38"/>
      <c r="W1934" s="60"/>
      <c r="AB1934" s="42"/>
      <c r="AC1934" s="35"/>
      <c r="AD1934" s="38"/>
      <c r="AE1934" s="38"/>
      <c r="AF1934" s="38"/>
      <c r="AG1934" s="38"/>
      <c r="AH1934" s="60"/>
    </row>
    <row r="1935" spans="1:34" ht="15.75" customHeight="1">
      <c r="A1935" s="35"/>
      <c r="B1935" s="78" t="s">
        <v>6920</v>
      </c>
      <c r="C1935" s="37" t="s">
        <v>412</v>
      </c>
      <c r="D1935" s="20" t="s">
        <v>6921</v>
      </c>
      <c r="E1935" s="20" t="s">
        <v>6922</v>
      </c>
      <c r="F1935" s="19" t="s">
        <v>414</v>
      </c>
      <c r="G1935" s="37" t="s">
        <v>415</v>
      </c>
      <c r="H1935" s="37"/>
      <c r="I1935" s="21" t="s">
        <v>233</v>
      </c>
      <c r="J1935" s="21" t="s">
        <v>233</v>
      </c>
      <c r="K1935" s="22" t="s">
        <v>6923</v>
      </c>
      <c r="L1935" s="56">
        <v>45293</v>
      </c>
      <c r="O1935" s="42"/>
      <c r="P1935" s="40"/>
      <c r="Q1935" s="61"/>
      <c r="R1935" s="61"/>
      <c r="S1935" s="40"/>
      <c r="T1935" s="38"/>
      <c r="U1935" s="38"/>
      <c r="V1935" s="38"/>
      <c r="W1935" s="60"/>
      <c r="AB1935" s="42"/>
      <c r="AC1935" s="35"/>
      <c r="AD1935" s="38"/>
      <c r="AE1935" s="38"/>
      <c r="AF1935" s="38"/>
      <c r="AG1935" s="38"/>
      <c r="AH1935" s="60"/>
    </row>
    <row r="1936" spans="1:34" ht="15.75" customHeight="1">
      <c r="A1936" s="35"/>
      <c r="B1936" s="38"/>
      <c r="C1936" s="37"/>
      <c r="D1936" s="20"/>
      <c r="E1936" s="20"/>
      <c r="F1936" s="37"/>
      <c r="G1936" s="37"/>
      <c r="H1936" s="37"/>
      <c r="I1936" s="21"/>
      <c r="J1936" s="21"/>
      <c r="K1936" s="22"/>
      <c r="L1936" s="56"/>
      <c r="O1936" s="42"/>
      <c r="P1936" s="40"/>
      <c r="Q1936" s="61"/>
      <c r="R1936" s="61"/>
      <c r="S1936" s="40"/>
      <c r="T1936" s="38"/>
      <c r="U1936" s="38"/>
      <c r="V1936" s="38"/>
      <c r="W1936" s="60"/>
      <c r="AB1936" s="42"/>
      <c r="AC1936" s="35"/>
      <c r="AD1936" s="38"/>
      <c r="AE1936" s="38"/>
      <c r="AF1936" s="38"/>
      <c r="AG1936" s="38"/>
      <c r="AH1936" s="60"/>
    </row>
    <row r="1937" spans="1:34" ht="15.75" customHeight="1">
      <c r="A1937" s="35" t="s">
        <v>6924</v>
      </c>
      <c r="B1937" s="78" t="s">
        <v>6925</v>
      </c>
      <c r="C1937" s="37" t="s">
        <v>24</v>
      </c>
      <c r="D1937" s="20" t="s">
        <v>6926</v>
      </c>
      <c r="E1937" s="20" t="s">
        <v>6927</v>
      </c>
      <c r="F1937" s="19" t="s">
        <v>27</v>
      </c>
      <c r="G1937" s="19" t="s">
        <v>28</v>
      </c>
      <c r="H1937" s="37"/>
      <c r="I1937" s="21" t="s">
        <v>29</v>
      </c>
      <c r="J1937" s="21" t="s">
        <v>29</v>
      </c>
      <c r="K1937" s="22" t="s">
        <v>6928</v>
      </c>
      <c r="L1937" s="56">
        <v>45293</v>
      </c>
      <c r="M1937" s="40"/>
      <c r="N1937" s="40"/>
      <c r="O1937" s="42"/>
      <c r="P1937" s="40"/>
      <c r="Q1937" s="61"/>
      <c r="R1937" s="61"/>
      <c r="S1937" s="40"/>
      <c r="T1937" s="38"/>
      <c r="U1937" s="38"/>
      <c r="V1937" s="38"/>
      <c r="W1937" s="60"/>
      <c r="AB1937" s="42"/>
      <c r="AC1937" s="35"/>
      <c r="AD1937" s="38"/>
      <c r="AE1937" s="38"/>
      <c r="AF1937" s="38"/>
      <c r="AG1937" s="38"/>
      <c r="AH1937" s="60"/>
    </row>
    <row r="1938" spans="1:34" ht="15.75" customHeight="1">
      <c r="A1938" s="86" t="s">
        <v>6929</v>
      </c>
      <c r="B1938" s="78" t="s">
        <v>6930</v>
      </c>
      <c r="C1938" s="37" t="s">
        <v>24</v>
      </c>
      <c r="D1938" s="20" t="s">
        <v>6931</v>
      </c>
      <c r="E1938" s="20" t="s">
        <v>6932</v>
      </c>
      <c r="F1938" s="19" t="s">
        <v>27</v>
      </c>
      <c r="G1938" s="19" t="s">
        <v>28</v>
      </c>
      <c r="H1938" s="37"/>
      <c r="I1938" s="21" t="s">
        <v>29</v>
      </c>
      <c r="J1938" s="21" t="s">
        <v>29</v>
      </c>
      <c r="K1938" s="22" t="s">
        <v>6932</v>
      </c>
      <c r="L1938" s="56">
        <v>45293</v>
      </c>
      <c r="O1938" s="42"/>
      <c r="P1938" s="40"/>
      <c r="Q1938" s="61"/>
      <c r="R1938" s="61"/>
      <c r="S1938" s="40"/>
      <c r="T1938" s="38"/>
      <c r="U1938" s="38"/>
      <c r="V1938" s="38"/>
      <c r="W1938" s="60"/>
      <c r="AB1938" s="42"/>
      <c r="AC1938" s="35"/>
      <c r="AD1938" s="38"/>
      <c r="AE1938" s="38"/>
      <c r="AF1938" s="38"/>
      <c r="AG1938" s="38"/>
      <c r="AH1938" s="60"/>
    </row>
    <row r="1939" spans="1:34" ht="15.75" customHeight="1">
      <c r="A1939" s="50" t="s">
        <v>39</v>
      </c>
      <c r="B1939" s="78" t="s">
        <v>6933</v>
      </c>
      <c r="C1939" s="37" t="s">
        <v>24</v>
      </c>
      <c r="D1939" s="20" t="s">
        <v>6934</v>
      </c>
      <c r="E1939" s="20" t="s">
        <v>6935</v>
      </c>
      <c r="F1939" s="19" t="s">
        <v>27</v>
      </c>
      <c r="G1939" s="19" t="s">
        <v>28</v>
      </c>
      <c r="H1939" s="37"/>
      <c r="I1939" s="21" t="s">
        <v>29</v>
      </c>
      <c r="J1939" s="21" t="s">
        <v>29</v>
      </c>
      <c r="K1939" s="22" t="s">
        <v>6936</v>
      </c>
      <c r="L1939" s="56">
        <v>45293</v>
      </c>
      <c r="O1939" s="42"/>
      <c r="P1939" s="40"/>
      <c r="Q1939" s="61"/>
      <c r="R1939" s="61"/>
      <c r="S1939" s="40"/>
      <c r="T1939" s="38"/>
      <c r="U1939" s="38"/>
      <c r="V1939" s="38"/>
      <c r="W1939" s="60"/>
      <c r="AB1939" s="42"/>
      <c r="AC1939" s="35"/>
      <c r="AD1939" s="38"/>
      <c r="AE1939" s="38"/>
      <c r="AF1939" s="38"/>
      <c r="AG1939" s="38"/>
      <c r="AH1939" s="60"/>
    </row>
    <row r="1940" spans="1:34" ht="15.75" customHeight="1">
      <c r="A1940" s="35" t="s">
        <v>6662</v>
      </c>
      <c r="B1940" s="78" t="s">
        <v>6937</v>
      </c>
      <c r="C1940" s="37" t="s">
        <v>46</v>
      </c>
      <c r="D1940" s="20" t="s">
        <v>6938</v>
      </c>
      <c r="E1940" s="20" t="s">
        <v>6939</v>
      </c>
      <c r="F1940" s="37" t="s">
        <v>49</v>
      </c>
      <c r="G1940" s="19" t="s">
        <v>50</v>
      </c>
      <c r="H1940" s="19" t="s">
        <v>36</v>
      </c>
      <c r="I1940" s="21" t="s">
        <v>29</v>
      </c>
      <c r="J1940" s="21" t="s">
        <v>29</v>
      </c>
      <c r="K1940" s="22" t="s">
        <v>6939</v>
      </c>
      <c r="L1940" s="56">
        <v>45293</v>
      </c>
      <c r="O1940" s="42"/>
      <c r="P1940" s="40"/>
      <c r="Q1940" s="61"/>
      <c r="R1940" s="61"/>
      <c r="S1940" s="40"/>
      <c r="T1940" s="38"/>
      <c r="U1940" s="38"/>
      <c r="V1940" s="38"/>
      <c r="W1940" s="60"/>
      <c r="AB1940" s="42"/>
      <c r="AC1940" s="35"/>
      <c r="AD1940" s="38"/>
      <c r="AE1940" s="38"/>
      <c r="AF1940" s="38"/>
      <c r="AG1940" s="38"/>
      <c r="AH1940" s="60"/>
    </row>
    <row r="1941" spans="1:34" ht="15.75" customHeight="1">
      <c r="A1941" s="35" t="s">
        <v>6940</v>
      </c>
      <c r="B1941" s="78" t="s">
        <v>6941</v>
      </c>
      <c r="C1941" s="37" t="s">
        <v>412</v>
      </c>
      <c r="D1941" s="20" t="s">
        <v>6942</v>
      </c>
      <c r="E1941" s="20" t="s">
        <v>6943</v>
      </c>
      <c r="F1941" s="19" t="s">
        <v>414</v>
      </c>
      <c r="G1941" s="19" t="s">
        <v>415</v>
      </c>
      <c r="H1941" s="37"/>
      <c r="I1941" s="21" t="s">
        <v>233</v>
      </c>
      <c r="J1941" s="21" t="s">
        <v>233</v>
      </c>
      <c r="K1941" s="22" t="s">
        <v>6944</v>
      </c>
      <c r="L1941" s="56">
        <v>45293</v>
      </c>
      <c r="O1941" s="42"/>
      <c r="P1941" s="40"/>
      <c r="Q1941" s="61"/>
      <c r="R1941" s="61"/>
      <c r="S1941" s="40"/>
      <c r="T1941" s="38"/>
      <c r="U1941" s="38"/>
      <c r="V1941" s="38"/>
      <c r="W1941" s="60"/>
      <c r="AB1941" s="42"/>
      <c r="AC1941" s="35"/>
      <c r="AD1941" s="38"/>
      <c r="AE1941" s="38"/>
      <c r="AF1941" s="38"/>
      <c r="AG1941" s="38"/>
      <c r="AH1941" s="60"/>
    </row>
    <row r="1942" spans="1:34" ht="15.75" customHeight="1">
      <c r="A1942" s="50" t="s">
        <v>56</v>
      </c>
      <c r="B1942" s="78" t="s">
        <v>6945</v>
      </c>
      <c r="C1942" s="37" t="s">
        <v>412</v>
      </c>
      <c r="D1942" s="20" t="s">
        <v>6946</v>
      </c>
      <c r="E1942" s="20" t="s">
        <v>6947</v>
      </c>
      <c r="F1942" s="19" t="s">
        <v>414</v>
      </c>
      <c r="G1942" s="37" t="s">
        <v>415</v>
      </c>
      <c r="H1942" s="37"/>
      <c r="I1942" s="21" t="s">
        <v>233</v>
      </c>
      <c r="J1942" s="21" t="s">
        <v>233</v>
      </c>
      <c r="K1942" s="22" t="s">
        <v>6947</v>
      </c>
      <c r="L1942" s="56">
        <v>45293</v>
      </c>
      <c r="O1942" s="42"/>
      <c r="P1942" s="40"/>
      <c r="Q1942" s="61"/>
      <c r="R1942" s="61"/>
      <c r="S1942" s="40"/>
      <c r="T1942" s="38"/>
      <c r="U1942" s="38"/>
      <c r="V1942" s="38"/>
      <c r="W1942" s="60"/>
      <c r="AB1942" s="42"/>
      <c r="AC1942" s="35"/>
      <c r="AD1942" s="38"/>
      <c r="AE1942" s="38"/>
      <c r="AF1942" s="38"/>
      <c r="AG1942" s="38"/>
      <c r="AH1942" s="60"/>
    </row>
    <row r="1943" spans="1:34" ht="15.75" customHeight="1">
      <c r="A1943" s="35">
        <v>62</v>
      </c>
      <c r="B1943" s="82" t="s">
        <v>6948</v>
      </c>
      <c r="C1943" s="37" t="s">
        <v>24</v>
      </c>
      <c r="D1943" s="20" t="s">
        <v>6949</v>
      </c>
      <c r="E1943" s="20" t="s">
        <v>6950</v>
      </c>
      <c r="F1943" s="19" t="s">
        <v>27</v>
      </c>
      <c r="G1943" s="19" t="s">
        <v>28</v>
      </c>
      <c r="H1943" s="37"/>
      <c r="I1943" s="21" t="s">
        <v>29</v>
      </c>
      <c r="J1943" s="21" t="s">
        <v>29</v>
      </c>
      <c r="K1943" s="22" t="s">
        <v>6950</v>
      </c>
      <c r="L1943" s="56">
        <v>45293</v>
      </c>
      <c r="O1943" s="42"/>
      <c r="P1943" s="40"/>
      <c r="Q1943" s="61"/>
      <c r="R1943" s="61"/>
      <c r="S1943" s="40"/>
      <c r="T1943" s="38"/>
      <c r="U1943" s="38"/>
      <c r="V1943" s="38"/>
      <c r="W1943" s="60"/>
      <c r="AB1943" s="42"/>
      <c r="AC1943" s="35"/>
      <c r="AD1943" s="38"/>
      <c r="AE1943" s="38"/>
      <c r="AF1943" s="38"/>
      <c r="AG1943" s="38"/>
      <c r="AH1943" s="60"/>
    </row>
    <row r="1944" spans="1:34" ht="15.75" customHeight="1">
      <c r="A1944" s="50" t="s">
        <v>64</v>
      </c>
      <c r="B1944" s="78" t="s">
        <v>6951</v>
      </c>
      <c r="C1944" s="37" t="s">
        <v>87</v>
      </c>
      <c r="D1944" s="20" t="s">
        <v>6952</v>
      </c>
      <c r="E1944" s="20" t="s">
        <v>6953</v>
      </c>
      <c r="F1944" s="19" t="s">
        <v>90</v>
      </c>
      <c r="G1944" s="19" t="s">
        <v>91</v>
      </c>
      <c r="H1944" s="37"/>
      <c r="I1944" s="21" t="s">
        <v>29</v>
      </c>
      <c r="J1944" s="21" t="s">
        <v>29</v>
      </c>
      <c r="K1944" s="22" t="s">
        <v>6954</v>
      </c>
      <c r="L1944" s="56">
        <v>45293</v>
      </c>
      <c r="O1944" s="42"/>
      <c r="P1944" s="40"/>
      <c r="Q1944" s="61"/>
      <c r="R1944" s="61"/>
      <c r="S1944" s="40"/>
      <c r="T1944" s="38"/>
      <c r="U1944" s="38"/>
      <c r="V1944" s="38"/>
      <c r="W1944" s="60"/>
      <c r="AB1944" s="42"/>
      <c r="AC1944" s="35"/>
      <c r="AD1944" s="38"/>
      <c r="AE1944" s="38"/>
      <c r="AF1944" s="38"/>
      <c r="AG1944" s="38"/>
      <c r="AH1944" s="60"/>
    </row>
    <row r="1945" spans="1:34" ht="15.75" customHeight="1">
      <c r="A1945" s="35">
        <v>3.3</v>
      </c>
      <c r="B1945" s="78" t="s">
        <v>6955</v>
      </c>
      <c r="C1945" s="37" t="s">
        <v>24</v>
      </c>
      <c r="D1945" s="20" t="s">
        <v>6956</v>
      </c>
      <c r="E1945" s="20" t="s">
        <v>6957</v>
      </c>
      <c r="F1945" s="19" t="s">
        <v>27</v>
      </c>
      <c r="G1945" s="19" t="s">
        <v>28</v>
      </c>
      <c r="H1945" s="37"/>
      <c r="I1945" s="21" t="s">
        <v>29</v>
      </c>
      <c r="J1945" s="21" t="s">
        <v>29</v>
      </c>
      <c r="K1945" s="22" t="s">
        <v>6958</v>
      </c>
      <c r="L1945" s="56">
        <v>45293</v>
      </c>
      <c r="O1945" s="42"/>
      <c r="P1945" s="40"/>
      <c r="Q1945" s="61"/>
      <c r="R1945" s="61"/>
      <c r="S1945" s="40"/>
      <c r="T1945" s="38"/>
      <c r="U1945" s="38"/>
      <c r="V1945" s="38"/>
      <c r="W1945" s="60"/>
      <c r="AB1945" s="42"/>
      <c r="AC1945" s="35"/>
      <c r="AD1945" s="38"/>
      <c r="AE1945" s="38"/>
      <c r="AF1945" s="38"/>
      <c r="AG1945" s="38"/>
      <c r="AH1945" s="60"/>
    </row>
    <row r="1946" spans="1:34" ht="15.75" customHeight="1">
      <c r="A1946" s="50" t="s">
        <v>73</v>
      </c>
      <c r="B1946" s="78" t="s">
        <v>6959</v>
      </c>
      <c r="C1946" s="37" t="s">
        <v>87</v>
      </c>
      <c r="D1946" s="20" t="s">
        <v>6960</v>
      </c>
      <c r="E1946" s="20" t="s">
        <v>6961</v>
      </c>
      <c r="F1946" s="19" t="s">
        <v>90</v>
      </c>
      <c r="G1946" s="19" t="s">
        <v>91</v>
      </c>
      <c r="H1946" s="37"/>
      <c r="I1946" s="21" t="s">
        <v>29</v>
      </c>
      <c r="J1946" s="21" t="s">
        <v>29</v>
      </c>
      <c r="K1946" s="22" t="s">
        <v>6962</v>
      </c>
      <c r="L1946" s="56">
        <v>45293</v>
      </c>
      <c r="O1946" s="42"/>
      <c r="P1946" s="40"/>
      <c r="Q1946" s="61"/>
      <c r="R1946" s="61"/>
      <c r="S1946" s="40"/>
      <c r="T1946" s="38"/>
      <c r="U1946" s="38"/>
      <c r="V1946" s="38"/>
      <c r="W1946" s="60"/>
      <c r="AB1946" s="42"/>
      <c r="AC1946" s="35"/>
      <c r="AD1946" s="38"/>
      <c r="AE1946" s="38"/>
      <c r="AF1946" s="38"/>
      <c r="AG1946" s="38"/>
      <c r="AH1946" s="60"/>
    </row>
    <row r="1947" spans="1:34" ht="15.75" customHeight="1">
      <c r="A1947" s="35">
        <v>4</v>
      </c>
      <c r="B1947" s="78" t="s">
        <v>6963</v>
      </c>
      <c r="C1947" s="37" t="s">
        <v>412</v>
      </c>
      <c r="D1947" s="20" t="s">
        <v>6964</v>
      </c>
      <c r="E1947" s="20" t="s">
        <v>6965</v>
      </c>
      <c r="F1947" s="19" t="s">
        <v>414</v>
      </c>
      <c r="G1947" s="19" t="s">
        <v>415</v>
      </c>
      <c r="H1947" s="37"/>
      <c r="I1947" s="21" t="s">
        <v>233</v>
      </c>
      <c r="J1947" s="21" t="s">
        <v>233</v>
      </c>
      <c r="K1947" s="22" t="s">
        <v>6966</v>
      </c>
      <c r="L1947" s="56">
        <v>45293</v>
      </c>
      <c r="O1947" s="42"/>
      <c r="P1947" s="40"/>
      <c r="Q1947" s="61"/>
      <c r="R1947" s="61"/>
      <c r="S1947" s="40"/>
      <c r="T1947" s="38"/>
      <c r="U1947" s="38"/>
      <c r="V1947" s="38"/>
      <c r="W1947" s="60"/>
      <c r="AB1947" s="42"/>
      <c r="AC1947" s="35"/>
      <c r="AD1947" s="38"/>
      <c r="AE1947" s="38"/>
      <c r="AF1947" s="38"/>
      <c r="AG1947" s="38"/>
      <c r="AH1947" s="60"/>
    </row>
    <row r="1948" spans="1:34" ht="15.75" customHeight="1">
      <c r="A1948" s="50" t="s">
        <v>82</v>
      </c>
      <c r="B1948" s="78" t="s">
        <v>6967</v>
      </c>
      <c r="C1948" s="37" t="s">
        <v>24</v>
      </c>
      <c r="D1948" s="20" t="s">
        <v>6968</v>
      </c>
      <c r="E1948" s="20" t="s">
        <v>6969</v>
      </c>
      <c r="F1948" s="19" t="s">
        <v>27</v>
      </c>
      <c r="G1948" s="19" t="s">
        <v>28</v>
      </c>
      <c r="H1948" s="37"/>
      <c r="I1948" s="21" t="s">
        <v>29</v>
      </c>
      <c r="J1948" s="21" t="s">
        <v>29</v>
      </c>
      <c r="K1948" s="22" t="s">
        <v>6970</v>
      </c>
      <c r="L1948" s="56">
        <v>45293</v>
      </c>
      <c r="O1948" s="42"/>
      <c r="P1948" s="40"/>
      <c r="Q1948" s="61"/>
      <c r="R1948" s="61"/>
      <c r="S1948" s="40"/>
      <c r="T1948" s="38"/>
      <c r="U1948" s="38"/>
      <c r="V1948" s="38"/>
      <c r="W1948" s="60"/>
      <c r="AB1948" s="42"/>
      <c r="AC1948" s="35"/>
      <c r="AD1948" s="38"/>
      <c r="AE1948" s="38"/>
      <c r="AF1948" s="38"/>
      <c r="AG1948" s="38"/>
      <c r="AH1948" s="60"/>
    </row>
    <row r="1949" spans="1:34" ht="15.75" customHeight="1">
      <c r="A1949" s="35" t="s">
        <v>6971</v>
      </c>
      <c r="B1949" s="80" t="s">
        <v>6972</v>
      </c>
      <c r="C1949" s="37" t="s">
        <v>24</v>
      </c>
      <c r="D1949" s="20" t="s">
        <v>6973</v>
      </c>
      <c r="E1949" s="20" t="s">
        <v>6974</v>
      </c>
      <c r="F1949" s="19" t="s">
        <v>90</v>
      </c>
      <c r="G1949" s="19" t="s">
        <v>91</v>
      </c>
      <c r="H1949" s="37"/>
      <c r="I1949" s="21" t="s">
        <v>29</v>
      </c>
      <c r="J1949" s="21" t="s">
        <v>29</v>
      </c>
      <c r="K1949" s="22" t="s">
        <v>6975</v>
      </c>
      <c r="L1949" s="56">
        <v>45293</v>
      </c>
      <c r="O1949" s="42"/>
      <c r="P1949" s="40"/>
      <c r="Q1949" s="61"/>
      <c r="R1949" s="61"/>
      <c r="S1949" s="40"/>
      <c r="T1949" s="38"/>
      <c r="U1949" s="38"/>
      <c r="V1949" s="38"/>
      <c r="W1949" s="60"/>
      <c r="AB1949" s="42"/>
      <c r="AC1949" s="35"/>
      <c r="AD1949" s="38"/>
      <c r="AE1949" s="38"/>
      <c r="AF1949" s="38"/>
      <c r="AG1949" s="38"/>
      <c r="AH1949" s="60"/>
    </row>
    <row r="1950" spans="1:34" ht="15.75" customHeight="1">
      <c r="A1950" s="50" t="s">
        <v>92</v>
      </c>
      <c r="B1950" s="78" t="s">
        <v>6976</v>
      </c>
      <c r="C1950" s="37" t="s">
        <v>412</v>
      </c>
      <c r="D1950" s="20" t="s">
        <v>6977</v>
      </c>
      <c r="E1950" s="20"/>
      <c r="F1950" s="19" t="s">
        <v>414</v>
      </c>
      <c r="G1950" s="37" t="s">
        <v>415</v>
      </c>
      <c r="H1950" s="37"/>
      <c r="I1950" s="21" t="s">
        <v>233</v>
      </c>
      <c r="J1950" s="21" t="s">
        <v>233</v>
      </c>
      <c r="K1950" s="22"/>
      <c r="L1950" s="56">
        <v>45293</v>
      </c>
      <c r="O1950" s="42"/>
      <c r="P1950" s="40"/>
      <c r="Q1950" s="61"/>
      <c r="R1950" s="61"/>
      <c r="S1950" s="40"/>
      <c r="T1950" s="38"/>
      <c r="U1950" s="38"/>
      <c r="V1950" s="38"/>
      <c r="W1950" s="60"/>
      <c r="AB1950" s="42"/>
      <c r="AC1950" s="35"/>
      <c r="AD1950" s="38"/>
      <c r="AE1950" s="38"/>
      <c r="AF1950" s="38"/>
      <c r="AG1950" s="38"/>
      <c r="AH1950" s="60"/>
    </row>
    <row r="1951" spans="1:34" ht="15.75" customHeight="1">
      <c r="A1951" s="79">
        <v>585</v>
      </c>
      <c r="B1951" s="78" t="s">
        <v>6978</v>
      </c>
      <c r="C1951" s="37" t="s">
        <v>24</v>
      </c>
      <c r="D1951" s="20" t="s">
        <v>6979</v>
      </c>
      <c r="E1951" s="20" t="s">
        <v>6980</v>
      </c>
      <c r="F1951" s="19" t="s">
        <v>27</v>
      </c>
      <c r="G1951" s="19" t="s">
        <v>28</v>
      </c>
      <c r="H1951" s="37"/>
      <c r="I1951" s="21" t="s">
        <v>29</v>
      </c>
      <c r="J1951" s="21" t="s">
        <v>29</v>
      </c>
      <c r="K1951" s="22" t="s">
        <v>6981</v>
      </c>
      <c r="L1951" s="56">
        <v>45293</v>
      </c>
      <c r="O1951" s="42"/>
      <c r="P1951" s="40"/>
      <c r="Q1951" s="61"/>
      <c r="R1951" s="61"/>
      <c r="S1951" s="40"/>
      <c r="T1951" s="38"/>
      <c r="U1951" s="38"/>
      <c r="V1951" s="38"/>
      <c r="W1951" s="60"/>
      <c r="AB1951" s="42"/>
      <c r="AC1951" s="35"/>
      <c r="AD1951" s="38"/>
      <c r="AE1951" s="38"/>
      <c r="AF1951" s="38"/>
      <c r="AG1951" s="38"/>
      <c r="AH1951" s="60"/>
    </row>
    <row r="1952" spans="1:34" ht="15.75" customHeight="1">
      <c r="A1952" s="50" t="s">
        <v>100</v>
      </c>
      <c r="B1952" s="78" t="s">
        <v>6982</v>
      </c>
      <c r="C1952" s="37" t="s">
        <v>24</v>
      </c>
      <c r="D1952" s="20" t="s">
        <v>6983</v>
      </c>
      <c r="E1952" s="20" t="s">
        <v>6984</v>
      </c>
      <c r="F1952" s="19" t="s">
        <v>27</v>
      </c>
      <c r="G1952" s="19" t="s">
        <v>28</v>
      </c>
      <c r="H1952" s="37"/>
      <c r="I1952" s="21" t="s">
        <v>29</v>
      </c>
      <c r="J1952" s="21" t="s">
        <v>29</v>
      </c>
      <c r="K1952" s="22" t="s">
        <v>6984</v>
      </c>
      <c r="L1952" s="56">
        <v>45293</v>
      </c>
      <c r="O1952" s="42"/>
      <c r="P1952" s="40"/>
      <c r="Q1952" s="61"/>
      <c r="R1952" s="61"/>
      <c r="S1952" s="40"/>
      <c r="T1952" s="38"/>
      <c r="U1952" s="38"/>
      <c r="V1952" s="38"/>
      <c r="W1952" s="60"/>
      <c r="AB1952" s="42"/>
      <c r="AC1952" s="35"/>
      <c r="AD1952" s="38"/>
      <c r="AE1952" s="38"/>
      <c r="AF1952" s="38"/>
      <c r="AG1952" s="38"/>
      <c r="AH1952" s="60"/>
    </row>
    <row r="1953" spans="1:34" ht="15.75" customHeight="1">
      <c r="A1953" s="35">
        <v>166</v>
      </c>
      <c r="B1953" s="78" t="s">
        <v>6985</v>
      </c>
      <c r="C1953" s="37" t="s">
        <v>24</v>
      </c>
      <c r="D1953" s="20" t="s">
        <v>6986</v>
      </c>
      <c r="E1953" s="20" t="s">
        <v>6987</v>
      </c>
      <c r="F1953" s="19" t="s">
        <v>27</v>
      </c>
      <c r="G1953" s="19" t="s">
        <v>28</v>
      </c>
      <c r="H1953" s="37"/>
      <c r="I1953" s="21" t="s">
        <v>29</v>
      </c>
      <c r="J1953" s="21" t="s">
        <v>29</v>
      </c>
      <c r="K1953" s="22" t="s">
        <v>6987</v>
      </c>
      <c r="L1953" s="56">
        <v>45293</v>
      </c>
      <c r="O1953" s="42"/>
      <c r="P1953" s="40"/>
      <c r="Q1953" s="61"/>
      <c r="R1953" s="61"/>
      <c r="S1953" s="40"/>
      <c r="T1953" s="38"/>
      <c r="U1953" s="38"/>
      <c r="V1953" s="38"/>
      <c r="W1953" s="60"/>
      <c r="AB1953" s="42"/>
      <c r="AC1953" s="35"/>
      <c r="AD1953" s="38"/>
      <c r="AE1953" s="38"/>
      <c r="AF1953" s="38"/>
      <c r="AG1953" s="38"/>
      <c r="AH1953" s="60"/>
    </row>
    <row r="1954" spans="1:34" ht="15.75" customHeight="1">
      <c r="A1954" s="35"/>
      <c r="B1954" s="78" t="s">
        <v>6988</v>
      </c>
      <c r="C1954" s="37" t="s">
        <v>24</v>
      </c>
      <c r="D1954" s="20" t="s">
        <v>6989</v>
      </c>
      <c r="E1954" s="20" t="s">
        <v>6990</v>
      </c>
      <c r="F1954" s="19" t="s">
        <v>27</v>
      </c>
      <c r="G1954" s="19" t="s">
        <v>28</v>
      </c>
      <c r="H1954" s="37"/>
      <c r="I1954" s="21" t="s">
        <v>29</v>
      </c>
      <c r="J1954" s="21" t="s">
        <v>29</v>
      </c>
      <c r="K1954" s="22" t="s">
        <v>6990</v>
      </c>
      <c r="L1954" s="56">
        <v>45293</v>
      </c>
      <c r="O1954" s="42"/>
      <c r="P1954" s="40"/>
      <c r="Q1954" s="61"/>
      <c r="R1954" s="61"/>
      <c r="S1954" s="40"/>
      <c r="T1954" s="38"/>
      <c r="U1954" s="38"/>
      <c r="V1954" s="38"/>
      <c r="W1954" s="60"/>
      <c r="AB1954" s="42"/>
      <c r="AC1954" s="35"/>
      <c r="AD1954" s="38"/>
      <c r="AE1954" s="38"/>
      <c r="AF1954" s="38"/>
      <c r="AG1954" s="38"/>
      <c r="AH1954" s="60"/>
    </row>
    <row r="1955" spans="1:34" ht="15.75" customHeight="1">
      <c r="A1955" s="35"/>
      <c r="B1955" s="38"/>
      <c r="C1955" s="37"/>
      <c r="D1955" s="20"/>
      <c r="E1955" s="20"/>
      <c r="F1955" s="37"/>
      <c r="G1955" s="37"/>
      <c r="H1955" s="37"/>
      <c r="I1955" s="21"/>
      <c r="J1955" s="21"/>
      <c r="K1955" s="22"/>
      <c r="L1955" s="56"/>
      <c r="O1955" s="42"/>
      <c r="P1955" s="40"/>
      <c r="Q1955" s="61"/>
      <c r="R1955" s="61"/>
      <c r="S1955" s="40"/>
      <c r="T1955" s="38"/>
      <c r="U1955" s="38"/>
      <c r="V1955" s="38"/>
      <c r="W1955" s="60"/>
      <c r="AB1955" s="42"/>
      <c r="AC1955" s="35"/>
      <c r="AD1955" s="38"/>
      <c r="AE1955" s="38"/>
      <c r="AF1955" s="38"/>
      <c r="AG1955" s="38"/>
      <c r="AH1955" s="60"/>
    </row>
    <row r="1956" spans="1:34" ht="15.75" customHeight="1">
      <c r="A1956" s="35" t="s">
        <v>6991</v>
      </c>
      <c r="B1956" s="78" t="s">
        <v>6992</v>
      </c>
      <c r="C1956" s="37" t="s">
        <v>24</v>
      </c>
      <c r="D1956" s="25" t="s">
        <v>6993</v>
      </c>
      <c r="E1956" s="20" t="s">
        <v>6994</v>
      </c>
      <c r="F1956" s="19" t="s">
        <v>27</v>
      </c>
      <c r="G1956" s="19" t="s">
        <v>28</v>
      </c>
      <c r="H1956" s="37"/>
      <c r="I1956" s="21" t="s">
        <v>29</v>
      </c>
      <c r="J1956" s="21" t="s">
        <v>29</v>
      </c>
      <c r="K1956" s="22" t="s">
        <v>6994</v>
      </c>
      <c r="L1956" s="56">
        <v>45293</v>
      </c>
      <c r="M1956" s="40"/>
      <c r="N1956" s="40"/>
      <c r="O1956" s="42"/>
      <c r="P1956" s="40"/>
      <c r="Q1956" s="61"/>
      <c r="R1956" s="61"/>
      <c r="S1956" s="40"/>
      <c r="T1956" s="38"/>
      <c r="U1956" s="38"/>
      <c r="V1956" s="38"/>
      <c r="W1956" s="60"/>
      <c r="AB1956" s="42"/>
      <c r="AC1956" s="35"/>
      <c r="AD1956" s="38"/>
      <c r="AE1956" s="38"/>
      <c r="AF1956" s="38"/>
      <c r="AG1956" s="38"/>
      <c r="AH1956" s="60"/>
    </row>
    <row r="1957" spans="1:34" ht="15.75" customHeight="1">
      <c r="A1957" s="86" t="s">
        <v>2714</v>
      </c>
      <c r="B1957" s="78" t="s">
        <v>6995</v>
      </c>
      <c r="C1957" s="37" t="s">
        <v>24</v>
      </c>
      <c r="D1957" s="25" t="s">
        <v>6996</v>
      </c>
      <c r="E1957" s="20" t="s">
        <v>6997</v>
      </c>
      <c r="F1957" s="19" t="s">
        <v>27</v>
      </c>
      <c r="G1957" s="19" t="s">
        <v>28</v>
      </c>
      <c r="H1957" s="37"/>
      <c r="I1957" s="21" t="s">
        <v>29</v>
      </c>
      <c r="J1957" s="21" t="s">
        <v>29</v>
      </c>
      <c r="K1957" s="22" t="s">
        <v>6998</v>
      </c>
      <c r="L1957" s="56">
        <v>45293</v>
      </c>
      <c r="O1957" s="42"/>
      <c r="P1957" s="40"/>
      <c r="Q1957" s="61"/>
      <c r="R1957" s="61"/>
      <c r="S1957" s="40"/>
      <c r="T1957" s="38"/>
      <c r="U1957" s="38"/>
      <c r="V1957" s="38"/>
      <c r="W1957" s="60"/>
      <c r="AB1957" s="42"/>
      <c r="AC1957" s="35"/>
      <c r="AD1957" s="38"/>
      <c r="AE1957" s="38"/>
      <c r="AF1957" s="38"/>
      <c r="AG1957" s="38"/>
      <c r="AH1957" s="60"/>
    </row>
    <row r="1958" spans="1:34" ht="15.75" customHeight="1">
      <c r="A1958" s="50" t="s">
        <v>39</v>
      </c>
      <c r="B1958" s="78" t="s">
        <v>6999</v>
      </c>
      <c r="C1958" s="37" t="s">
        <v>24</v>
      </c>
      <c r="D1958" s="25" t="s">
        <v>7000</v>
      </c>
      <c r="E1958" s="20" t="s">
        <v>7001</v>
      </c>
      <c r="F1958" s="19" t="s">
        <v>27</v>
      </c>
      <c r="G1958" s="19" t="s">
        <v>28</v>
      </c>
      <c r="H1958" s="37"/>
      <c r="I1958" s="21" t="s">
        <v>29</v>
      </c>
      <c r="J1958" s="21" t="s">
        <v>29</v>
      </c>
      <c r="K1958" s="22" t="s">
        <v>7002</v>
      </c>
      <c r="L1958" s="56">
        <v>45293</v>
      </c>
      <c r="O1958" s="42"/>
      <c r="P1958" s="40"/>
      <c r="Q1958" s="61"/>
      <c r="R1958" s="61"/>
      <c r="S1958" s="40"/>
      <c r="T1958" s="38"/>
      <c r="U1958" s="38"/>
      <c r="V1958" s="38"/>
      <c r="W1958" s="60"/>
      <c r="AB1958" s="42"/>
      <c r="AC1958" s="35"/>
      <c r="AD1958" s="38"/>
      <c r="AE1958" s="38"/>
      <c r="AF1958" s="38"/>
      <c r="AG1958" s="38"/>
      <c r="AH1958" s="60"/>
    </row>
    <row r="1959" spans="1:34" ht="15.75" customHeight="1">
      <c r="A1959" s="35" t="s">
        <v>6662</v>
      </c>
      <c r="B1959" s="78" t="s">
        <v>7003</v>
      </c>
      <c r="C1959" s="37" t="s">
        <v>87</v>
      </c>
      <c r="D1959" s="25" t="s">
        <v>7004</v>
      </c>
      <c r="E1959" s="20" t="s">
        <v>7005</v>
      </c>
      <c r="F1959" s="19" t="s">
        <v>90</v>
      </c>
      <c r="G1959" s="19" t="s">
        <v>91</v>
      </c>
      <c r="H1959" s="37"/>
      <c r="I1959" s="21" t="s">
        <v>29</v>
      </c>
      <c r="J1959" s="21" t="s">
        <v>29</v>
      </c>
      <c r="K1959" s="22" t="s">
        <v>7005</v>
      </c>
      <c r="L1959" s="56">
        <v>45293</v>
      </c>
      <c r="O1959" s="42"/>
      <c r="P1959" s="40"/>
      <c r="Q1959" s="61"/>
      <c r="R1959" s="61"/>
      <c r="S1959" s="40"/>
      <c r="T1959" s="38"/>
      <c r="U1959" s="38"/>
      <c r="V1959" s="38"/>
      <c r="W1959" s="60"/>
      <c r="AB1959" s="42"/>
      <c r="AC1959" s="35"/>
      <c r="AD1959" s="38"/>
      <c r="AE1959" s="38"/>
      <c r="AF1959" s="38"/>
      <c r="AG1959" s="38"/>
      <c r="AH1959" s="60"/>
    </row>
    <row r="1960" spans="1:34" ht="15.75" customHeight="1">
      <c r="A1960" s="35" t="s">
        <v>4588</v>
      </c>
      <c r="B1960" s="78" t="s">
        <v>7006</v>
      </c>
      <c r="C1960" s="37" t="s">
        <v>24</v>
      </c>
      <c r="D1960" s="25" t="s">
        <v>7007</v>
      </c>
      <c r="E1960" s="20" t="s">
        <v>7008</v>
      </c>
      <c r="F1960" s="19" t="s">
        <v>27</v>
      </c>
      <c r="G1960" s="19" t="s">
        <v>28</v>
      </c>
      <c r="H1960" s="37"/>
      <c r="I1960" s="21" t="s">
        <v>29</v>
      </c>
      <c r="J1960" s="21" t="s">
        <v>29</v>
      </c>
      <c r="K1960" s="22" t="s">
        <v>7009</v>
      </c>
      <c r="L1960" s="56">
        <v>45293</v>
      </c>
      <c r="O1960" s="42"/>
      <c r="P1960" s="40"/>
      <c r="Q1960" s="61"/>
      <c r="R1960" s="61"/>
      <c r="S1960" s="40"/>
      <c r="T1960" s="38"/>
      <c r="U1960" s="38"/>
      <c r="V1960" s="38"/>
      <c r="W1960" s="60"/>
      <c r="AB1960" s="42"/>
      <c r="AC1960" s="35"/>
      <c r="AD1960" s="38"/>
      <c r="AE1960" s="38"/>
      <c r="AF1960" s="38"/>
      <c r="AG1960" s="38"/>
      <c r="AH1960" s="60"/>
    </row>
    <row r="1961" spans="1:34" ht="15.75" customHeight="1">
      <c r="A1961" s="50" t="s">
        <v>56</v>
      </c>
      <c r="B1961" s="78" t="s">
        <v>7010</v>
      </c>
      <c r="C1961" s="37" t="s">
        <v>24</v>
      </c>
      <c r="D1961" s="25" t="s">
        <v>7011</v>
      </c>
      <c r="E1961" s="20" t="s">
        <v>6994</v>
      </c>
      <c r="F1961" s="19" t="s">
        <v>27</v>
      </c>
      <c r="G1961" s="19" t="s">
        <v>28</v>
      </c>
      <c r="H1961" s="37"/>
      <c r="I1961" s="21" t="s">
        <v>29</v>
      </c>
      <c r="J1961" s="21" t="s">
        <v>29</v>
      </c>
      <c r="K1961" s="22" t="s">
        <v>6994</v>
      </c>
      <c r="L1961" s="56">
        <v>45293</v>
      </c>
      <c r="O1961" s="42"/>
      <c r="P1961" s="40"/>
      <c r="Q1961" s="61"/>
      <c r="R1961" s="61"/>
      <c r="S1961" s="40"/>
      <c r="T1961" s="38"/>
      <c r="U1961" s="38"/>
      <c r="V1961" s="38"/>
      <c r="W1961" s="60"/>
      <c r="AB1961" s="42"/>
      <c r="AC1961" s="35"/>
      <c r="AD1961" s="38"/>
      <c r="AE1961" s="38"/>
      <c r="AF1961" s="38"/>
      <c r="AG1961" s="38"/>
      <c r="AH1961" s="60"/>
    </row>
    <row r="1962" spans="1:34" ht="15.75" customHeight="1">
      <c r="A1962" s="35">
        <v>71</v>
      </c>
      <c r="B1962" s="78" t="s">
        <v>7012</v>
      </c>
      <c r="C1962" s="37" t="s">
        <v>24</v>
      </c>
      <c r="D1962" s="25" t="s">
        <v>7013</v>
      </c>
      <c r="E1962" s="20" t="s">
        <v>7014</v>
      </c>
      <c r="F1962" s="19" t="s">
        <v>27</v>
      </c>
      <c r="G1962" s="19" t="s">
        <v>28</v>
      </c>
      <c r="H1962" s="37"/>
      <c r="I1962" s="21" t="s">
        <v>29</v>
      </c>
      <c r="J1962" s="21" t="s">
        <v>29</v>
      </c>
      <c r="K1962" s="22" t="s">
        <v>7014</v>
      </c>
      <c r="L1962" s="56">
        <v>45293</v>
      </c>
      <c r="O1962" s="42"/>
      <c r="P1962" s="40"/>
      <c r="Q1962" s="61"/>
      <c r="R1962" s="61"/>
      <c r="S1962" s="40"/>
      <c r="T1962" s="38"/>
      <c r="U1962" s="38"/>
      <c r="V1962" s="38"/>
      <c r="W1962" s="60"/>
      <c r="AB1962" s="42"/>
      <c r="AC1962" s="35"/>
      <c r="AD1962" s="38"/>
      <c r="AE1962" s="38"/>
      <c r="AF1962" s="38"/>
      <c r="AG1962" s="38"/>
      <c r="AH1962" s="60"/>
    </row>
    <row r="1963" spans="1:34" ht="15.75" customHeight="1">
      <c r="A1963" s="50" t="s">
        <v>64</v>
      </c>
      <c r="B1963" s="78" t="s">
        <v>7015</v>
      </c>
      <c r="C1963" s="37" t="s">
        <v>46</v>
      </c>
      <c r="D1963" s="25" t="s">
        <v>7016</v>
      </c>
      <c r="E1963" s="20" t="s">
        <v>7017</v>
      </c>
      <c r="F1963" s="37" t="s">
        <v>49</v>
      </c>
      <c r="G1963" s="19" t="s">
        <v>50</v>
      </c>
      <c r="H1963" s="37"/>
      <c r="I1963" s="21" t="s">
        <v>29</v>
      </c>
      <c r="J1963" s="21" t="s">
        <v>29</v>
      </c>
      <c r="K1963" s="22" t="s">
        <v>7018</v>
      </c>
      <c r="L1963" s="56">
        <v>45293</v>
      </c>
      <c r="O1963" s="42"/>
      <c r="P1963" s="40"/>
      <c r="Q1963" s="61"/>
      <c r="R1963" s="61"/>
      <c r="S1963" s="40"/>
      <c r="T1963" s="38"/>
      <c r="U1963" s="38"/>
      <c r="V1963" s="38"/>
      <c r="W1963" s="60"/>
      <c r="AB1963" s="42"/>
      <c r="AC1963" s="35"/>
      <c r="AD1963" s="38"/>
      <c r="AE1963" s="38"/>
      <c r="AF1963" s="38"/>
      <c r="AG1963" s="38"/>
      <c r="AH1963" s="60"/>
    </row>
    <row r="1964" spans="1:34" ht="15.75" customHeight="1">
      <c r="A1964" s="35">
        <v>3.5</v>
      </c>
      <c r="B1964" s="78" t="s">
        <v>7019</v>
      </c>
      <c r="C1964" s="37" t="s">
        <v>24</v>
      </c>
      <c r="D1964" s="25" t="s">
        <v>7020</v>
      </c>
      <c r="E1964" s="20" t="s">
        <v>7021</v>
      </c>
      <c r="F1964" s="19" t="s">
        <v>27</v>
      </c>
      <c r="G1964" s="19" t="s">
        <v>28</v>
      </c>
      <c r="H1964" s="37"/>
      <c r="I1964" s="21" t="s">
        <v>29</v>
      </c>
      <c r="J1964" s="21" t="s">
        <v>29</v>
      </c>
      <c r="K1964" s="22" t="s">
        <v>7022</v>
      </c>
      <c r="L1964" s="56">
        <v>45293</v>
      </c>
      <c r="O1964" s="42"/>
      <c r="P1964" s="40"/>
      <c r="Q1964" s="61"/>
      <c r="R1964" s="61"/>
      <c r="S1964" s="40"/>
      <c r="T1964" s="38"/>
      <c r="U1964" s="38"/>
      <c r="V1964" s="38"/>
      <c r="W1964" s="60"/>
      <c r="AB1964" s="42"/>
      <c r="AC1964" s="35"/>
      <c r="AD1964" s="38"/>
      <c r="AE1964" s="38"/>
      <c r="AF1964" s="38"/>
      <c r="AG1964" s="38"/>
      <c r="AH1964" s="60"/>
    </row>
    <row r="1965" spans="1:34" ht="15.75" customHeight="1">
      <c r="A1965" s="50" t="s">
        <v>73</v>
      </c>
      <c r="B1965" s="78" t="s">
        <v>7023</v>
      </c>
      <c r="C1965" s="37" t="s">
        <v>87</v>
      </c>
      <c r="D1965" s="25" t="s">
        <v>7024</v>
      </c>
      <c r="E1965" s="20" t="s">
        <v>7025</v>
      </c>
      <c r="F1965" s="19" t="s">
        <v>90</v>
      </c>
      <c r="G1965" s="19" t="s">
        <v>91</v>
      </c>
      <c r="H1965" s="37"/>
      <c r="I1965" s="21" t="s">
        <v>29</v>
      </c>
      <c r="J1965" s="21" t="s">
        <v>29</v>
      </c>
      <c r="K1965" s="22" t="s">
        <v>7026</v>
      </c>
      <c r="L1965" s="56">
        <v>45293</v>
      </c>
      <c r="O1965" s="42"/>
      <c r="P1965" s="40"/>
      <c r="Q1965" s="61"/>
      <c r="R1965" s="61"/>
      <c r="S1965" s="40"/>
      <c r="T1965" s="38"/>
      <c r="U1965" s="38"/>
      <c r="V1965" s="38"/>
      <c r="W1965" s="60"/>
      <c r="AB1965" s="42"/>
      <c r="AC1965" s="35"/>
      <c r="AD1965" s="38"/>
      <c r="AE1965" s="38"/>
      <c r="AF1965" s="38"/>
      <c r="AG1965" s="38"/>
      <c r="AH1965" s="60"/>
    </row>
    <row r="1966" spans="1:34" ht="15.75" customHeight="1">
      <c r="A1966" s="35">
        <v>3.7</v>
      </c>
      <c r="B1966" s="78" t="s">
        <v>7027</v>
      </c>
      <c r="C1966" s="37" t="s">
        <v>46</v>
      </c>
      <c r="D1966" s="25" t="s">
        <v>7028</v>
      </c>
      <c r="E1966" s="20" t="s">
        <v>7029</v>
      </c>
      <c r="F1966" s="37" t="s">
        <v>49</v>
      </c>
      <c r="G1966" s="19" t="s">
        <v>50</v>
      </c>
      <c r="H1966" s="37"/>
      <c r="I1966" s="21" t="s">
        <v>29</v>
      </c>
      <c r="J1966" s="21" t="s">
        <v>29</v>
      </c>
      <c r="K1966" s="22" t="s">
        <v>7030</v>
      </c>
      <c r="L1966" s="56">
        <v>45293</v>
      </c>
      <c r="O1966" s="42"/>
      <c r="P1966" s="40"/>
      <c r="Q1966" s="61"/>
      <c r="R1966" s="61"/>
      <c r="S1966" s="40"/>
      <c r="T1966" s="38"/>
      <c r="U1966" s="38"/>
      <c r="V1966" s="38"/>
      <c r="W1966" s="60"/>
      <c r="AB1966" s="42"/>
      <c r="AC1966" s="35"/>
      <c r="AD1966" s="38"/>
      <c r="AE1966" s="38"/>
      <c r="AF1966" s="38"/>
      <c r="AG1966" s="38"/>
      <c r="AH1966" s="60"/>
    </row>
    <row r="1967" spans="1:34" ht="15.75" customHeight="1">
      <c r="A1967" s="50" t="s">
        <v>82</v>
      </c>
      <c r="B1967" s="78" t="s">
        <v>7031</v>
      </c>
      <c r="C1967" s="37" t="s">
        <v>24</v>
      </c>
      <c r="D1967" s="25" t="s">
        <v>7032</v>
      </c>
      <c r="E1967" s="20" t="s">
        <v>7014</v>
      </c>
      <c r="F1967" s="19" t="s">
        <v>27</v>
      </c>
      <c r="G1967" s="19" t="s">
        <v>28</v>
      </c>
      <c r="H1967" s="37" t="s">
        <v>813</v>
      </c>
      <c r="I1967" s="21" t="s">
        <v>29</v>
      </c>
      <c r="J1967" s="21" t="s">
        <v>29</v>
      </c>
      <c r="K1967" s="22" t="s">
        <v>7014</v>
      </c>
      <c r="L1967" s="56">
        <v>45293</v>
      </c>
      <c r="O1967" s="42"/>
      <c r="P1967" s="40"/>
      <c r="Q1967" s="61"/>
      <c r="R1967" s="61"/>
      <c r="S1967" s="40"/>
      <c r="T1967" s="38"/>
      <c r="U1967" s="38"/>
      <c r="V1967" s="38"/>
      <c r="W1967" s="60"/>
      <c r="AB1967" s="42"/>
      <c r="AC1967" s="35"/>
      <c r="AD1967" s="38"/>
      <c r="AE1967" s="38"/>
      <c r="AF1967" s="38"/>
      <c r="AG1967" s="38"/>
      <c r="AH1967" s="60"/>
    </row>
    <row r="1968" spans="1:34" ht="15.75" customHeight="1">
      <c r="A1968" s="35" t="s">
        <v>7033</v>
      </c>
      <c r="B1968" s="80" t="s">
        <v>7034</v>
      </c>
      <c r="C1968" s="37" t="s">
        <v>87</v>
      </c>
      <c r="D1968" s="25" t="s">
        <v>7035</v>
      </c>
      <c r="E1968" s="20" t="s">
        <v>7005</v>
      </c>
      <c r="F1968" s="37" t="s">
        <v>49</v>
      </c>
      <c r="G1968" s="19" t="s">
        <v>50</v>
      </c>
      <c r="H1968" s="37"/>
      <c r="I1968" s="21" t="s">
        <v>29</v>
      </c>
      <c r="J1968" s="21" t="s">
        <v>29</v>
      </c>
      <c r="K1968" s="22" t="s">
        <v>7005</v>
      </c>
      <c r="L1968" s="56">
        <v>45293</v>
      </c>
      <c r="O1968" s="42"/>
      <c r="P1968" s="40"/>
      <c r="Q1968" s="61"/>
      <c r="R1968" s="61"/>
      <c r="S1968" s="40"/>
      <c r="T1968" s="38"/>
      <c r="U1968" s="38"/>
      <c r="V1968" s="38"/>
      <c r="W1968" s="60"/>
      <c r="AB1968" s="42"/>
      <c r="AC1968" s="35"/>
      <c r="AD1968" s="38"/>
      <c r="AE1968" s="38"/>
      <c r="AF1968" s="38"/>
      <c r="AG1968" s="38"/>
      <c r="AH1968" s="60"/>
    </row>
    <row r="1969" spans="1:34" ht="15.75" customHeight="1">
      <c r="A1969" s="50" t="s">
        <v>92</v>
      </c>
      <c r="B1969" s="83" t="s">
        <v>7036</v>
      </c>
      <c r="C1969" s="37" t="s">
        <v>121</v>
      </c>
      <c r="D1969" s="25" t="s">
        <v>7037</v>
      </c>
      <c r="E1969" s="20" t="s">
        <v>7005</v>
      </c>
      <c r="F1969" s="37" t="s">
        <v>49</v>
      </c>
      <c r="G1969" s="19" t="s">
        <v>50</v>
      </c>
      <c r="H1969" s="37"/>
      <c r="I1969" s="21" t="s">
        <v>29</v>
      </c>
      <c r="J1969" s="21" t="s">
        <v>29</v>
      </c>
      <c r="K1969" s="22" t="s">
        <v>7005</v>
      </c>
      <c r="L1969" s="56">
        <v>45293</v>
      </c>
      <c r="O1969" s="42"/>
      <c r="P1969" s="40"/>
      <c r="Q1969" s="61"/>
      <c r="R1969" s="61"/>
      <c r="S1969" s="40"/>
      <c r="T1969" s="38"/>
      <c r="U1969" s="38"/>
      <c r="V1969" s="38"/>
      <c r="W1969" s="60"/>
      <c r="AB1969" s="42"/>
      <c r="AC1969" s="35"/>
      <c r="AD1969" s="38"/>
      <c r="AE1969" s="38"/>
      <c r="AF1969" s="38"/>
      <c r="AG1969" s="38"/>
      <c r="AH1969" s="60"/>
    </row>
    <row r="1970" spans="1:34" ht="15.75" customHeight="1">
      <c r="A1970" s="79">
        <v>789</v>
      </c>
      <c r="B1970" s="78" t="s">
        <v>7038</v>
      </c>
      <c r="C1970" s="37" t="s">
        <v>24</v>
      </c>
      <c r="D1970" s="25" t="s">
        <v>7039</v>
      </c>
      <c r="E1970" s="20" t="s">
        <v>7005</v>
      </c>
      <c r="F1970" s="19" t="s">
        <v>27</v>
      </c>
      <c r="G1970" s="19" t="s">
        <v>28</v>
      </c>
      <c r="H1970" s="37"/>
      <c r="I1970" s="21" t="s">
        <v>29</v>
      </c>
      <c r="J1970" s="21" t="s">
        <v>29</v>
      </c>
      <c r="K1970" s="22" t="s">
        <v>7005</v>
      </c>
      <c r="L1970" s="56">
        <v>45293</v>
      </c>
      <c r="O1970" s="42"/>
      <c r="P1970" s="40"/>
      <c r="Q1970" s="61"/>
      <c r="R1970" s="61"/>
      <c r="S1970" s="40"/>
      <c r="T1970" s="38"/>
      <c r="U1970" s="38"/>
      <c r="V1970" s="38"/>
      <c r="W1970" s="60"/>
      <c r="AB1970" s="42"/>
      <c r="AC1970" s="35"/>
      <c r="AD1970" s="38"/>
      <c r="AE1970" s="38"/>
      <c r="AF1970" s="38"/>
      <c r="AG1970" s="38"/>
      <c r="AH1970" s="60"/>
    </row>
    <row r="1971" spans="1:34" ht="15.75" customHeight="1">
      <c r="A1971" s="50" t="s">
        <v>100</v>
      </c>
      <c r="B1971" s="78" t="s">
        <v>7040</v>
      </c>
      <c r="C1971" s="37" t="s">
        <v>24</v>
      </c>
      <c r="D1971" s="25" t="s">
        <v>7041</v>
      </c>
      <c r="E1971" s="20" t="s">
        <v>6997</v>
      </c>
      <c r="F1971" s="19" t="s">
        <v>27</v>
      </c>
      <c r="G1971" s="19" t="s">
        <v>28</v>
      </c>
      <c r="H1971" s="37"/>
      <c r="I1971" s="21" t="s">
        <v>29</v>
      </c>
      <c r="J1971" s="21" t="s">
        <v>29</v>
      </c>
      <c r="K1971" s="22" t="s">
        <v>6998</v>
      </c>
      <c r="L1971" s="56">
        <v>45293</v>
      </c>
      <c r="O1971" s="42"/>
      <c r="P1971" s="40"/>
      <c r="Q1971" s="61"/>
      <c r="R1971" s="61"/>
      <c r="S1971" s="40"/>
      <c r="T1971" s="38"/>
      <c r="U1971" s="38"/>
      <c r="V1971" s="38"/>
      <c r="W1971" s="60"/>
      <c r="AB1971" s="42"/>
      <c r="AC1971" s="35"/>
      <c r="AD1971" s="38"/>
      <c r="AE1971" s="38"/>
      <c r="AF1971" s="38"/>
      <c r="AG1971" s="38"/>
      <c r="AH1971" s="60"/>
    </row>
    <row r="1972" spans="1:34" ht="15.75" customHeight="1">
      <c r="A1972" s="35" t="s">
        <v>55</v>
      </c>
      <c r="B1972" s="78" t="s">
        <v>7042</v>
      </c>
      <c r="C1972" s="37" t="s">
        <v>24</v>
      </c>
      <c r="D1972" s="25" t="s">
        <v>7043</v>
      </c>
      <c r="E1972" s="20" t="s">
        <v>7044</v>
      </c>
      <c r="F1972" s="19" t="s">
        <v>27</v>
      </c>
      <c r="G1972" s="19" t="s">
        <v>28</v>
      </c>
      <c r="H1972" s="37"/>
      <c r="I1972" s="21" t="s">
        <v>29</v>
      </c>
      <c r="J1972" s="21" t="s">
        <v>29</v>
      </c>
      <c r="K1972" s="22" t="s">
        <v>7045</v>
      </c>
      <c r="L1972" s="56">
        <v>45293</v>
      </c>
      <c r="O1972" s="42"/>
      <c r="P1972" s="40"/>
      <c r="Q1972" s="61"/>
      <c r="R1972" s="61"/>
      <c r="S1972" s="40"/>
      <c r="T1972" s="38"/>
      <c r="U1972" s="38"/>
      <c r="V1972" s="38"/>
      <c r="W1972" s="60"/>
      <c r="AB1972" s="42"/>
      <c r="AC1972" s="35"/>
      <c r="AD1972" s="38"/>
      <c r="AE1972" s="38"/>
      <c r="AF1972" s="38"/>
      <c r="AG1972" s="38"/>
      <c r="AH1972" s="60"/>
    </row>
    <row r="1973" spans="1:34" ht="15.75" customHeight="1">
      <c r="A1973" s="35"/>
      <c r="B1973" s="78" t="s">
        <v>7046</v>
      </c>
      <c r="C1973" s="37" t="s">
        <v>24</v>
      </c>
      <c r="D1973" s="25" t="s">
        <v>7047</v>
      </c>
      <c r="E1973" s="20" t="s">
        <v>7017</v>
      </c>
      <c r="F1973" s="19" t="s">
        <v>27</v>
      </c>
      <c r="G1973" s="19" t="s">
        <v>28</v>
      </c>
      <c r="H1973" s="37"/>
      <c r="I1973" s="21" t="s">
        <v>29</v>
      </c>
      <c r="J1973" s="21" t="s">
        <v>29</v>
      </c>
      <c r="K1973" s="22" t="s">
        <v>7018</v>
      </c>
      <c r="L1973" s="56">
        <v>45293</v>
      </c>
      <c r="O1973" s="42"/>
      <c r="P1973" s="40"/>
      <c r="Q1973" s="61"/>
      <c r="R1973" s="61"/>
      <c r="S1973" s="40"/>
      <c r="T1973" s="38"/>
      <c r="U1973" s="38"/>
      <c r="V1973" s="38"/>
      <c r="W1973" s="60"/>
      <c r="AB1973" s="42"/>
      <c r="AC1973" s="35"/>
      <c r="AD1973" s="38"/>
      <c r="AE1973" s="38"/>
      <c r="AF1973" s="38"/>
      <c r="AG1973" s="38"/>
      <c r="AH1973" s="60"/>
    </row>
    <row r="1974" spans="1:34" ht="15.75" customHeight="1">
      <c r="A1974" s="35"/>
      <c r="B1974" s="78" t="s">
        <v>7048</v>
      </c>
      <c r="C1974" s="37" t="s">
        <v>24</v>
      </c>
      <c r="D1974" s="25" t="s">
        <v>7049</v>
      </c>
      <c r="E1974" s="20" t="s">
        <v>7050</v>
      </c>
      <c r="F1974" s="19" t="s">
        <v>27</v>
      </c>
      <c r="G1974" s="19" t="s">
        <v>28</v>
      </c>
      <c r="H1974" s="37"/>
      <c r="I1974" s="21" t="s">
        <v>29</v>
      </c>
      <c r="J1974" s="21" t="s">
        <v>29</v>
      </c>
      <c r="K1974" s="22" t="s">
        <v>7051</v>
      </c>
      <c r="L1974" s="56">
        <v>45293</v>
      </c>
      <c r="O1974" s="42"/>
      <c r="P1974" s="40"/>
      <c r="Q1974" s="61"/>
      <c r="R1974" s="61"/>
      <c r="S1974" s="40"/>
      <c r="T1974" s="38"/>
      <c r="U1974" s="38"/>
      <c r="V1974" s="38"/>
      <c r="W1974" s="60"/>
      <c r="AB1974" s="42"/>
      <c r="AC1974" s="35"/>
      <c r="AD1974" s="38"/>
      <c r="AE1974" s="38"/>
      <c r="AF1974" s="38"/>
      <c r="AG1974" s="38"/>
      <c r="AH1974" s="60"/>
    </row>
    <row r="1975" spans="1:34" ht="15.75" customHeight="1">
      <c r="A1975" s="35"/>
      <c r="B1975" s="82" t="s">
        <v>7052</v>
      </c>
      <c r="C1975" s="37" t="s">
        <v>24</v>
      </c>
      <c r="D1975" s="25" t="s">
        <v>7053</v>
      </c>
      <c r="E1975" s="20" t="s">
        <v>7054</v>
      </c>
      <c r="F1975" s="19" t="s">
        <v>27</v>
      </c>
      <c r="G1975" s="19" t="s">
        <v>28</v>
      </c>
      <c r="H1975" s="37"/>
      <c r="I1975" s="21" t="s">
        <v>29</v>
      </c>
      <c r="J1975" s="21" t="s">
        <v>29</v>
      </c>
      <c r="K1975" s="22" t="s">
        <v>7055</v>
      </c>
      <c r="L1975" s="56">
        <v>45293</v>
      </c>
      <c r="O1975" s="42"/>
      <c r="P1975" s="40"/>
      <c r="Q1975" s="61"/>
      <c r="R1975" s="61"/>
      <c r="S1975" s="40"/>
      <c r="T1975" s="38"/>
      <c r="U1975" s="38"/>
      <c r="V1975" s="38"/>
      <c r="W1975" s="60"/>
      <c r="AB1975" s="42"/>
      <c r="AC1975" s="35"/>
      <c r="AD1975" s="38"/>
      <c r="AE1975" s="38"/>
      <c r="AF1975" s="38"/>
      <c r="AG1975" s="38"/>
      <c r="AH1975" s="60"/>
    </row>
    <row r="1976" spans="1:34" ht="15.75" customHeight="1">
      <c r="A1976" s="35"/>
      <c r="B1976" s="78" t="s">
        <v>7056</v>
      </c>
      <c r="C1976" s="37" t="s">
        <v>24</v>
      </c>
      <c r="D1976" s="25" t="s">
        <v>7057</v>
      </c>
      <c r="E1976" s="20" t="s">
        <v>7017</v>
      </c>
      <c r="F1976" s="19" t="s">
        <v>27</v>
      </c>
      <c r="G1976" s="19" t="s">
        <v>28</v>
      </c>
      <c r="H1976" s="37"/>
      <c r="I1976" s="21" t="s">
        <v>29</v>
      </c>
      <c r="J1976" s="21" t="s">
        <v>29</v>
      </c>
      <c r="K1976" s="22" t="s">
        <v>7018</v>
      </c>
      <c r="L1976" s="56">
        <v>45293</v>
      </c>
      <c r="O1976" s="42"/>
      <c r="P1976" s="40"/>
      <c r="Q1976" s="61"/>
      <c r="R1976" s="61"/>
      <c r="S1976" s="40"/>
      <c r="T1976" s="38"/>
      <c r="U1976" s="38"/>
      <c r="V1976" s="38"/>
      <c r="W1976" s="60"/>
      <c r="AB1976" s="42"/>
      <c r="AC1976" s="35"/>
      <c r="AD1976" s="38"/>
      <c r="AE1976" s="38"/>
      <c r="AF1976" s="38"/>
      <c r="AG1976" s="38"/>
      <c r="AH1976" s="60"/>
    </row>
    <row r="1977" spans="1:34" ht="15.75" customHeight="1">
      <c r="A1977" s="35"/>
      <c r="B1977" s="78" t="s">
        <v>7058</v>
      </c>
      <c r="C1977" s="37" t="s">
        <v>24</v>
      </c>
      <c r="D1977" s="25" t="s">
        <v>7059</v>
      </c>
      <c r="E1977" s="20" t="s">
        <v>7060</v>
      </c>
      <c r="F1977" s="19" t="s">
        <v>27</v>
      </c>
      <c r="G1977" s="19" t="s">
        <v>28</v>
      </c>
      <c r="H1977" s="37"/>
      <c r="I1977" s="21" t="s">
        <v>29</v>
      </c>
      <c r="J1977" s="21" t="s">
        <v>29</v>
      </c>
      <c r="K1977" s="22" t="s">
        <v>7061</v>
      </c>
      <c r="L1977" s="56">
        <v>45293</v>
      </c>
      <c r="O1977" s="42"/>
      <c r="P1977" s="40"/>
      <c r="Q1977" s="61"/>
      <c r="R1977" s="61"/>
      <c r="S1977" s="40"/>
      <c r="T1977" s="38"/>
      <c r="U1977" s="38"/>
      <c r="V1977" s="38"/>
      <c r="W1977" s="60"/>
      <c r="AB1977" s="42"/>
      <c r="AC1977" s="35"/>
      <c r="AD1977" s="38"/>
      <c r="AE1977" s="38"/>
      <c r="AF1977" s="38"/>
      <c r="AG1977" s="38"/>
      <c r="AH1977" s="60"/>
    </row>
    <row r="1978" spans="1:34" ht="15.75" customHeight="1">
      <c r="A1978" s="35"/>
      <c r="B1978" s="78" t="s">
        <v>7062</v>
      </c>
      <c r="C1978" s="37" t="s">
        <v>24</v>
      </c>
      <c r="D1978" s="25" t="s">
        <v>7063</v>
      </c>
      <c r="E1978" s="20" t="s">
        <v>7064</v>
      </c>
      <c r="F1978" s="19" t="s">
        <v>27</v>
      </c>
      <c r="G1978" s="19" t="s">
        <v>28</v>
      </c>
      <c r="H1978" s="37"/>
      <c r="I1978" s="21" t="s">
        <v>29</v>
      </c>
      <c r="J1978" s="21" t="s">
        <v>29</v>
      </c>
      <c r="K1978" s="22" t="s">
        <v>7064</v>
      </c>
      <c r="L1978" s="56">
        <v>45293</v>
      </c>
      <c r="O1978" s="42"/>
      <c r="P1978" s="40"/>
      <c r="Q1978" s="61"/>
      <c r="R1978" s="61"/>
      <c r="S1978" s="40"/>
      <c r="T1978" s="38"/>
      <c r="U1978" s="38"/>
      <c r="V1978" s="38"/>
      <c r="W1978" s="60"/>
      <c r="AB1978" s="42"/>
      <c r="AC1978" s="35"/>
      <c r="AD1978" s="38"/>
      <c r="AE1978" s="38"/>
      <c r="AF1978" s="38"/>
      <c r="AG1978" s="38"/>
      <c r="AH1978" s="60"/>
    </row>
    <row r="1979" spans="1:34" ht="15.75" customHeight="1">
      <c r="A1979" s="35"/>
      <c r="B1979" s="78" t="s">
        <v>7065</v>
      </c>
      <c r="C1979" s="37" t="s">
        <v>87</v>
      </c>
      <c r="D1979" s="25" t="s">
        <v>7066</v>
      </c>
      <c r="E1979" s="20" t="s">
        <v>7067</v>
      </c>
      <c r="F1979" s="19" t="s">
        <v>90</v>
      </c>
      <c r="G1979" s="19" t="s">
        <v>91</v>
      </c>
      <c r="H1979" s="37"/>
      <c r="I1979" s="21" t="s">
        <v>29</v>
      </c>
      <c r="J1979" s="21" t="s">
        <v>29</v>
      </c>
      <c r="K1979" s="22" t="s">
        <v>7068</v>
      </c>
      <c r="L1979" s="56">
        <v>45293</v>
      </c>
      <c r="O1979" s="42"/>
      <c r="P1979" s="40"/>
      <c r="Q1979" s="61"/>
      <c r="R1979" s="61"/>
      <c r="S1979" s="40"/>
      <c r="T1979" s="38"/>
      <c r="U1979" s="38"/>
      <c r="V1979" s="38"/>
      <c r="W1979" s="60"/>
      <c r="AB1979" s="42"/>
      <c r="AC1979" s="35"/>
      <c r="AD1979" s="38"/>
      <c r="AE1979" s="38"/>
      <c r="AF1979" s="38"/>
      <c r="AG1979" s="38"/>
      <c r="AH1979" s="60"/>
    </row>
    <row r="1980" spans="1:34" ht="15.75" customHeight="1">
      <c r="A1980" s="35"/>
      <c r="B1980" s="78" t="s">
        <v>7069</v>
      </c>
      <c r="C1980" s="37" t="s">
        <v>46</v>
      </c>
      <c r="D1980" s="25" t="s">
        <v>7070</v>
      </c>
      <c r="E1980" s="20" t="s">
        <v>7064</v>
      </c>
      <c r="F1980" s="37" t="s">
        <v>49</v>
      </c>
      <c r="G1980" s="19" t="s">
        <v>50</v>
      </c>
      <c r="H1980" s="37"/>
      <c r="I1980" s="21" t="s">
        <v>29</v>
      </c>
      <c r="J1980" s="21" t="s">
        <v>29</v>
      </c>
      <c r="K1980" s="22" t="s">
        <v>7064</v>
      </c>
      <c r="L1980" s="56">
        <v>45293</v>
      </c>
      <c r="O1980" s="42"/>
      <c r="P1980" s="40"/>
      <c r="Q1980" s="61"/>
      <c r="R1980" s="61"/>
      <c r="S1980" s="40"/>
      <c r="T1980" s="38"/>
      <c r="U1980" s="38"/>
      <c r="V1980" s="38"/>
      <c r="W1980" s="60"/>
      <c r="AB1980" s="42"/>
      <c r="AC1980" s="35"/>
      <c r="AD1980" s="38"/>
      <c r="AE1980" s="38"/>
      <c r="AF1980" s="38"/>
      <c r="AG1980" s="38"/>
      <c r="AH1980" s="60"/>
    </row>
    <row r="1981" spans="1:34" ht="15.75" customHeight="1">
      <c r="A1981" s="35"/>
      <c r="B1981" s="78" t="s">
        <v>7071</v>
      </c>
      <c r="C1981" s="37" t="s">
        <v>1430</v>
      </c>
      <c r="D1981" s="25" t="s">
        <v>7072</v>
      </c>
      <c r="E1981" s="20"/>
      <c r="F1981" s="55" t="s">
        <v>1445</v>
      </c>
      <c r="G1981" s="55" t="s">
        <v>1432</v>
      </c>
      <c r="H1981" s="37"/>
      <c r="I1981" s="21" t="s">
        <v>233</v>
      </c>
      <c r="J1981" s="21" t="s">
        <v>233</v>
      </c>
      <c r="K1981" s="22"/>
      <c r="L1981" s="56">
        <v>45293</v>
      </c>
      <c r="O1981" s="42"/>
      <c r="P1981" s="40"/>
      <c r="Q1981" s="61"/>
      <c r="R1981" s="61"/>
      <c r="S1981" s="40"/>
      <c r="T1981" s="38"/>
      <c r="U1981" s="38"/>
      <c r="V1981" s="38"/>
      <c r="W1981" s="60"/>
      <c r="AB1981" s="42"/>
      <c r="AC1981" s="35"/>
      <c r="AD1981" s="38"/>
      <c r="AE1981" s="38"/>
      <c r="AF1981" s="38"/>
      <c r="AG1981" s="38"/>
      <c r="AH1981" s="60"/>
    </row>
    <row r="1982" spans="1:34" ht="15.75" customHeight="1">
      <c r="A1982" s="35"/>
      <c r="B1982" s="78" t="s">
        <v>7073</v>
      </c>
      <c r="C1982" s="37" t="s">
        <v>1430</v>
      </c>
      <c r="D1982" s="25" t="s">
        <v>7074</v>
      </c>
      <c r="E1982" s="20"/>
      <c r="F1982" s="55" t="s">
        <v>1445</v>
      </c>
      <c r="G1982" s="55" t="s">
        <v>1432</v>
      </c>
      <c r="H1982" s="37"/>
      <c r="I1982" s="21" t="s">
        <v>233</v>
      </c>
      <c r="J1982" s="21" t="s">
        <v>233</v>
      </c>
      <c r="K1982" s="22"/>
      <c r="L1982" s="56">
        <v>45293</v>
      </c>
      <c r="O1982" s="42"/>
      <c r="P1982" s="40"/>
      <c r="Q1982" s="61"/>
      <c r="R1982" s="61"/>
      <c r="S1982" s="40"/>
      <c r="T1982" s="38"/>
      <c r="U1982" s="38"/>
      <c r="V1982" s="38"/>
      <c r="W1982" s="60"/>
      <c r="AB1982" s="42"/>
      <c r="AC1982" s="35"/>
      <c r="AD1982" s="38"/>
      <c r="AE1982" s="38"/>
      <c r="AF1982" s="38"/>
      <c r="AG1982" s="38"/>
      <c r="AH1982" s="60"/>
    </row>
    <row r="1983" spans="1:34" ht="15.75" customHeight="1">
      <c r="A1983" s="35"/>
      <c r="B1983" s="78" t="s">
        <v>7075</v>
      </c>
      <c r="C1983" s="37" t="s">
        <v>24</v>
      </c>
      <c r="D1983" s="25" t="s">
        <v>7076</v>
      </c>
      <c r="E1983" s="20" t="s">
        <v>7077</v>
      </c>
      <c r="F1983" s="19" t="s">
        <v>27</v>
      </c>
      <c r="G1983" s="19" t="s">
        <v>28</v>
      </c>
      <c r="H1983" s="37"/>
      <c r="I1983" s="21" t="s">
        <v>29</v>
      </c>
      <c r="J1983" s="21" t="s">
        <v>29</v>
      </c>
      <c r="K1983" s="22" t="s">
        <v>7078</v>
      </c>
      <c r="L1983" s="56">
        <v>45293</v>
      </c>
      <c r="O1983" s="42"/>
      <c r="P1983" s="40"/>
      <c r="Q1983" s="61"/>
      <c r="R1983" s="61"/>
      <c r="S1983" s="40"/>
      <c r="T1983" s="38"/>
      <c r="U1983" s="38"/>
      <c r="V1983" s="38"/>
      <c r="W1983" s="60"/>
      <c r="AB1983" s="42"/>
      <c r="AC1983" s="35"/>
      <c r="AD1983" s="38"/>
      <c r="AE1983" s="38"/>
      <c r="AF1983" s="38"/>
      <c r="AG1983" s="38"/>
      <c r="AH1983" s="60"/>
    </row>
    <row r="1984" spans="1:34" ht="15.75" customHeight="1">
      <c r="A1984" s="35"/>
      <c r="B1984" s="78" t="s">
        <v>7079</v>
      </c>
      <c r="C1984" s="37" t="s">
        <v>87</v>
      </c>
      <c r="D1984" s="25" t="s">
        <v>7080</v>
      </c>
      <c r="E1984" s="20" t="s">
        <v>7081</v>
      </c>
      <c r="F1984" s="19" t="s">
        <v>90</v>
      </c>
      <c r="G1984" s="19" t="s">
        <v>91</v>
      </c>
      <c r="H1984" s="37"/>
      <c r="I1984" s="21" t="s">
        <v>29</v>
      </c>
      <c r="J1984" s="21" t="s">
        <v>29</v>
      </c>
      <c r="K1984" s="22" t="s">
        <v>7082</v>
      </c>
      <c r="L1984" s="56">
        <v>45293</v>
      </c>
      <c r="O1984" s="42"/>
      <c r="P1984" s="40"/>
      <c r="Q1984" s="61"/>
      <c r="R1984" s="61"/>
      <c r="S1984" s="40"/>
      <c r="T1984" s="38"/>
      <c r="U1984" s="38"/>
      <c r="V1984" s="38"/>
      <c r="W1984" s="60"/>
      <c r="AB1984" s="42"/>
      <c r="AC1984" s="35"/>
      <c r="AD1984" s="38"/>
      <c r="AE1984" s="38"/>
      <c r="AF1984" s="38"/>
      <c r="AG1984" s="38"/>
      <c r="AH1984" s="60"/>
    </row>
    <row r="1985" spans="1:34" ht="15.75" customHeight="1">
      <c r="A1985" s="35"/>
      <c r="B1985" s="78" t="s">
        <v>7083</v>
      </c>
      <c r="C1985" s="37" t="s">
        <v>24</v>
      </c>
      <c r="D1985" s="25" t="s">
        <v>7084</v>
      </c>
      <c r="E1985" s="20" t="s">
        <v>7025</v>
      </c>
      <c r="F1985" s="19" t="s">
        <v>27</v>
      </c>
      <c r="G1985" s="19" t="s">
        <v>28</v>
      </c>
      <c r="H1985" s="37"/>
      <c r="I1985" s="21" t="s">
        <v>29</v>
      </c>
      <c r="J1985" s="21" t="s">
        <v>29</v>
      </c>
      <c r="K1985" s="22" t="s">
        <v>7026</v>
      </c>
      <c r="L1985" s="56">
        <v>45293</v>
      </c>
      <c r="O1985" s="42"/>
      <c r="P1985" s="40"/>
      <c r="Q1985" s="61"/>
      <c r="R1985" s="61"/>
      <c r="S1985" s="40"/>
      <c r="T1985" s="38"/>
      <c r="U1985" s="38"/>
      <c r="V1985" s="38"/>
      <c r="W1985" s="60"/>
      <c r="AB1985" s="42"/>
      <c r="AC1985" s="35"/>
      <c r="AD1985" s="38"/>
      <c r="AE1985" s="38"/>
      <c r="AF1985" s="38"/>
      <c r="AG1985" s="38"/>
      <c r="AH1985" s="60"/>
    </row>
    <row r="1986" spans="1:34" ht="15.75" customHeight="1">
      <c r="A1986" s="35"/>
      <c r="B1986" s="80" t="s">
        <v>7085</v>
      </c>
      <c r="C1986" s="37" t="s">
        <v>87</v>
      </c>
      <c r="D1986" s="25" t="s">
        <v>7086</v>
      </c>
      <c r="E1986" s="20" t="s">
        <v>7087</v>
      </c>
      <c r="F1986" s="37" t="s">
        <v>49</v>
      </c>
      <c r="G1986" s="19" t="s">
        <v>50</v>
      </c>
      <c r="H1986" s="37"/>
      <c r="I1986" s="21" t="s">
        <v>29</v>
      </c>
      <c r="J1986" s="21" t="s">
        <v>29</v>
      </c>
      <c r="K1986" s="22" t="s">
        <v>7088</v>
      </c>
      <c r="L1986" s="56">
        <v>45293</v>
      </c>
      <c r="O1986" s="42"/>
      <c r="P1986" s="40"/>
      <c r="Q1986" s="61"/>
      <c r="R1986" s="61"/>
      <c r="S1986" s="40"/>
      <c r="T1986" s="38"/>
      <c r="U1986" s="38"/>
      <c r="V1986" s="38"/>
      <c r="W1986" s="60"/>
      <c r="AB1986" s="42"/>
      <c r="AC1986" s="35"/>
      <c r="AD1986" s="38"/>
      <c r="AE1986" s="38"/>
      <c r="AF1986" s="38"/>
      <c r="AG1986" s="38"/>
      <c r="AH1986" s="60"/>
    </row>
    <row r="1987" spans="1:34" ht="15.75" customHeight="1">
      <c r="A1987" s="35"/>
      <c r="B1987" s="78" t="s">
        <v>7089</v>
      </c>
      <c r="C1987" s="37" t="s">
        <v>46</v>
      </c>
      <c r="D1987" s="25" t="s">
        <v>7090</v>
      </c>
      <c r="E1987" s="20" t="s">
        <v>7067</v>
      </c>
      <c r="F1987" s="37" t="s">
        <v>49</v>
      </c>
      <c r="G1987" s="19" t="s">
        <v>50</v>
      </c>
      <c r="H1987" s="37"/>
      <c r="I1987" s="21" t="s">
        <v>29</v>
      </c>
      <c r="J1987" s="21" t="s">
        <v>29</v>
      </c>
      <c r="K1987" s="22" t="s">
        <v>7068</v>
      </c>
      <c r="L1987" s="56">
        <v>45293</v>
      </c>
      <c r="O1987" s="42"/>
      <c r="P1987" s="40"/>
      <c r="Q1987" s="61"/>
      <c r="R1987" s="61"/>
      <c r="S1987" s="40"/>
      <c r="T1987" s="38"/>
      <c r="U1987" s="38"/>
      <c r="V1987" s="38"/>
      <c r="W1987" s="60"/>
      <c r="AB1987" s="42"/>
      <c r="AC1987" s="35"/>
      <c r="AD1987" s="38"/>
      <c r="AE1987" s="38"/>
      <c r="AF1987" s="38"/>
      <c r="AG1987" s="38"/>
      <c r="AH1987" s="60"/>
    </row>
    <row r="1988" spans="1:34" ht="15.75" customHeight="1">
      <c r="A1988" s="35"/>
      <c r="B1988" s="78" t="s">
        <v>7091</v>
      </c>
      <c r="C1988" s="37" t="s">
        <v>412</v>
      </c>
      <c r="D1988" s="25" t="s">
        <v>7092</v>
      </c>
      <c r="E1988" s="20"/>
      <c r="F1988" s="19" t="s">
        <v>414</v>
      </c>
      <c r="G1988" s="19" t="s">
        <v>415</v>
      </c>
      <c r="H1988" s="37"/>
      <c r="I1988" s="21" t="s">
        <v>233</v>
      </c>
      <c r="J1988" s="21" t="s">
        <v>233</v>
      </c>
      <c r="K1988" s="22"/>
      <c r="L1988" s="56">
        <v>45293</v>
      </c>
      <c r="O1988" s="42"/>
      <c r="P1988" s="40"/>
      <c r="Q1988" s="61"/>
      <c r="R1988" s="61"/>
      <c r="S1988" s="40"/>
      <c r="T1988" s="38"/>
      <c r="U1988" s="38"/>
      <c r="V1988" s="38"/>
      <c r="W1988" s="60"/>
      <c r="AB1988" s="42"/>
      <c r="AC1988" s="35"/>
      <c r="AD1988" s="38"/>
      <c r="AE1988" s="38"/>
      <c r="AF1988" s="38"/>
      <c r="AG1988" s="38"/>
      <c r="AH1988" s="60"/>
    </row>
    <row r="1989" spans="1:34" ht="15.75" customHeight="1">
      <c r="A1989" s="35"/>
      <c r="B1989" s="78" t="s">
        <v>7093</v>
      </c>
      <c r="C1989" s="37" t="s">
        <v>412</v>
      </c>
      <c r="D1989" s="25" t="s">
        <v>7094</v>
      </c>
      <c r="E1989" s="20"/>
      <c r="F1989" s="19" t="s">
        <v>414</v>
      </c>
      <c r="G1989" s="37" t="s">
        <v>415</v>
      </c>
      <c r="H1989" s="37"/>
      <c r="I1989" s="21" t="s">
        <v>233</v>
      </c>
      <c r="J1989" s="21" t="s">
        <v>233</v>
      </c>
      <c r="K1989" s="22"/>
      <c r="L1989" s="56">
        <v>45293</v>
      </c>
      <c r="O1989" s="42"/>
      <c r="P1989" s="40"/>
      <c r="Q1989" s="61"/>
      <c r="R1989" s="61"/>
      <c r="S1989" s="40"/>
      <c r="T1989" s="38"/>
      <c r="U1989" s="38"/>
      <c r="V1989" s="38"/>
      <c r="W1989" s="60"/>
      <c r="AB1989" s="42"/>
      <c r="AC1989" s="35"/>
      <c r="AD1989" s="38"/>
      <c r="AE1989" s="38"/>
      <c r="AF1989" s="38"/>
      <c r="AG1989" s="38"/>
      <c r="AH1989" s="60"/>
    </row>
    <row r="1990" spans="1:34" ht="15.75" customHeight="1">
      <c r="A1990" s="35"/>
      <c r="B1990" s="78" t="s">
        <v>7095</v>
      </c>
      <c r="C1990" s="37" t="s">
        <v>412</v>
      </c>
      <c r="D1990" s="25" t="s">
        <v>7096</v>
      </c>
      <c r="E1990" s="20"/>
      <c r="F1990" s="19" t="s">
        <v>414</v>
      </c>
      <c r="G1990" s="19" t="s">
        <v>415</v>
      </c>
      <c r="H1990" s="37"/>
      <c r="I1990" s="21" t="s">
        <v>233</v>
      </c>
      <c r="J1990" s="21" t="s">
        <v>233</v>
      </c>
      <c r="K1990" s="22"/>
      <c r="L1990" s="56">
        <v>45293</v>
      </c>
      <c r="O1990" s="42"/>
      <c r="P1990" s="40"/>
      <c r="Q1990" s="61"/>
      <c r="R1990" s="61"/>
      <c r="S1990" s="40"/>
      <c r="T1990" s="38"/>
      <c r="U1990" s="38"/>
      <c r="V1990" s="38"/>
      <c r="W1990" s="60"/>
      <c r="AB1990" s="42"/>
      <c r="AC1990" s="35"/>
      <c r="AD1990" s="38"/>
      <c r="AE1990" s="38"/>
      <c r="AF1990" s="38"/>
      <c r="AG1990" s="38"/>
      <c r="AH1990" s="60"/>
    </row>
    <row r="1991" spans="1:34" ht="15.75" customHeight="1">
      <c r="A1991" s="35"/>
      <c r="B1991" s="38"/>
      <c r="C1991" s="37"/>
      <c r="D1991" s="20"/>
      <c r="E1991" s="20"/>
      <c r="F1991" s="37"/>
      <c r="G1991" s="37"/>
      <c r="H1991" s="37"/>
      <c r="I1991" s="21"/>
      <c r="J1991" s="21"/>
      <c r="K1991" s="22"/>
      <c r="L1991" s="56"/>
      <c r="O1991" s="42"/>
      <c r="P1991" s="40"/>
      <c r="Q1991" s="61"/>
      <c r="R1991" s="61"/>
      <c r="S1991" s="40"/>
      <c r="T1991" s="38"/>
      <c r="U1991" s="38"/>
      <c r="V1991" s="38"/>
      <c r="W1991" s="60"/>
      <c r="AB1991" s="42"/>
      <c r="AC1991" s="35"/>
      <c r="AD1991" s="38"/>
      <c r="AE1991" s="38"/>
      <c r="AF1991" s="38"/>
      <c r="AG1991" s="38"/>
      <c r="AH1991" s="60"/>
    </row>
    <row r="1992" spans="1:34" ht="15.75" customHeight="1">
      <c r="A1992" s="35" t="s">
        <v>7097</v>
      </c>
      <c r="B1992" s="78" t="s">
        <v>7098</v>
      </c>
      <c r="C1992" s="37" t="s">
        <v>1638</v>
      </c>
      <c r="D1992" s="20" t="s">
        <v>7099</v>
      </c>
      <c r="E1992" s="20" t="s">
        <v>7100</v>
      </c>
      <c r="F1992" s="37" t="s">
        <v>1399</v>
      </c>
      <c r="G1992" s="19" t="s">
        <v>1641</v>
      </c>
      <c r="H1992" s="37"/>
      <c r="I1992" s="21" t="s">
        <v>29</v>
      </c>
      <c r="J1992" s="21" t="s">
        <v>29</v>
      </c>
      <c r="K1992" s="22" t="s">
        <v>7100</v>
      </c>
      <c r="L1992" s="56">
        <v>45293</v>
      </c>
      <c r="M1992" s="40"/>
      <c r="N1992" s="40"/>
      <c r="O1992" s="42"/>
      <c r="P1992" s="40"/>
      <c r="Q1992" s="61"/>
      <c r="R1992" s="61"/>
      <c r="S1992" s="40"/>
      <c r="T1992" s="38"/>
      <c r="U1992" s="38"/>
      <c r="V1992" s="38"/>
      <c r="W1992" s="60"/>
      <c r="AB1992" s="42"/>
      <c r="AC1992" s="35"/>
      <c r="AD1992" s="38"/>
      <c r="AE1992" s="38"/>
      <c r="AF1992" s="38"/>
      <c r="AG1992" s="38"/>
      <c r="AH1992" s="60"/>
    </row>
    <row r="1993" spans="1:34" ht="15.75" customHeight="1">
      <c r="A1993" s="86" t="s">
        <v>7101</v>
      </c>
      <c r="B1993" s="78" t="s">
        <v>7102</v>
      </c>
      <c r="C1993" s="37" t="s">
        <v>24</v>
      </c>
      <c r="D1993" s="20" t="s">
        <v>7103</v>
      </c>
      <c r="E1993" s="20"/>
      <c r="F1993" s="19" t="s">
        <v>27</v>
      </c>
      <c r="G1993" s="19" t="s">
        <v>28</v>
      </c>
      <c r="H1993" s="37"/>
      <c r="I1993" s="21" t="s">
        <v>29</v>
      </c>
      <c r="J1993" s="21" t="s">
        <v>29</v>
      </c>
      <c r="K1993" s="22"/>
      <c r="L1993" s="56">
        <v>45293</v>
      </c>
      <c r="O1993" s="42"/>
      <c r="P1993" s="40"/>
      <c r="Q1993" s="61"/>
      <c r="R1993" s="61"/>
      <c r="S1993" s="40"/>
      <c r="T1993" s="38"/>
      <c r="U1993" s="38"/>
      <c r="V1993" s="38"/>
      <c r="W1993" s="60"/>
      <c r="AB1993" s="42"/>
      <c r="AC1993" s="35"/>
      <c r="AD1993" s="38"/>
      <c r="AE1993" s="38"/>
      <c r="AF1993" s="38"/>
      <c r="AG1993" s="38"/>
      <c r="AH1993" s="60"/>
    </row>
    <row r="1994" spans="1:34" ht="15.75" customHeight="1">
      <c r="A1994" s="50" t="s">
        <v>39</v>
      </c>
      <c r="B1994" s="78" t="s">
        <v>7104</v>
      </c>
      <c r="C1994" s="37" t="s">
        <v>1638</v>
      </c>
      <c r="D1994" s="20" t="s">
        <v>7105</v>
      </c>
      <c r="E1994" s="20" t="s">
        <v>7106</v>
      </c>
      <c r="F1994" s="37" t="s">
        <v>1399</v>
      </c>
      <c r="G1994" s="19" t="s">
        <v>1641</v>
      </c>
      <c r="H1994" s="37"/>
      <c r="I1994" s="21" t="s">
        <v>29</v>
      </c>
      <c r="J1994" s="21" t="s">
        <v>29</v>
      </c>
      <c r="K1994" s="22" t="s">
        <v>7106</v>
      </c>
      <c r="L1994" s="56">
        <v>45293</v>
      </c>
      <c r="O1994" s="42"/>
      <c r="P1994" s="40"/>
      <c r="Q1994" s="61"/>
      <c r="R1994" s="61"/>
      <c r="S1994" s="40"/>
      <c r="T1994" s="38"/>
      <c r="U1994" s="38"/>
      <c r="V1994" s="38"/>
      <c r="W1994" s="60"/>
      <c r="AB1994" s="42"/>
      <c r="AC1994" s="35"/>
      <c r="AD1994" s="38"/>
      <c r="AE1994" s="38"/>
      <c r="AF1994" s="38"/>
      <c r="AG1994" s="38"/>
      <c r="AH1994" s="60"/>
    </row>
    <row r="1995" spans="1:34" ht="15.75" customHeight="1">
      <c r="A1995" s="35" t="s">
        <v>6662</v>
      </c>
      <c r="B1995" s="78" t="s">
        <v>7107</v>
      </c>
      <c r="C1995" s="37" t="s">
        <v>46</v>
      </c>
      <c r="D1995" s="20" t="s">
        <v>7108</v>
      </c>
      <c r="E1995" s="20" t="s">
        <v>7109</v>
      </c>
      <c r="F1995" s="37" t="s">
        <v>49</v>
      </c>
      <c r="G1995" s="19" t="s">
        <v>50</v>
      </c>
      <c r="H1995" s="37"/>
      <c r="I1995" s="21" t="s">
        <v>29</v>
      </c>
      <c r="J1995" s="21" t="s">
        <v>29</v>
      </c>
      <c r="K1995" s="22" t="s">
        <v>7110</v>
      </c>
      <c r="L1995" s="56">
        <v>45293</v>
      </c>
      <c r="O1995" s="42"/>
      <c r="P1995" s="40"/>
      <c r="Q1995" s="61"/>
      <c r="R1995" s="61"/>
      <c r="S1995" s="40"/>
      <c r="T1995" s="38"/>
      <c r="U1995" s="38"/>
      <c r="V1995" s="38"/>
      <c r="W1995" s="60"/>
      <c r="AB1995" s="42"/>
      <c r="AC1995" s="35"/>
      <c r="AD1995" s="38"/>
      <c r="AE1995" s="38"/>
      <c r="AF1995" s="38"/>
      <c r="AG1995" s="38"/>
      <c r="AH1995" s="60"/>
    </row>
    <row r="1996" spans="1:34" ht="15.75" customHeight="1">
      <c r="A1996" s="35" t="s">
        <v>6149</v>
      </c>
      <c r="B1996" s="78" t="s">
        <v>7111</v>
      </c>
      <c r="C1996" s="37" t="s">
        <v>46</v>
      </c>
      <c r="D1996" s="20" t="s">
        <v>7112</v>
      </c>
      <c r="E1996" s="20" t="s">
        <v>7113</v>
      </c>
      <c r="F1996" s="37" t="s">
        <v>49</v>
      </c>
      <c r="G1996" s="19" t="s">
        <v>50</v>
      </c>
      <c r="H1996" s="37"/>
      <c r="I1996" s="21" t="s">
        <v>29</v>
      </c>
      <c r="J1996" s="21" t="s">
        <v>29</v>
      </c>
      <c r="K1996" s="22" t="s">
        <v>7114</v>
      </c>
      <c r="L1996" s="56">
        <v>45293</v>
      </c>
      <c r="O1996" s="42"/>
      <c r="P1996" s="40"/>
      <c r="Q1996" s="61"/>
      <c r="R1996" s="61"/>
      <c r="S1996" s="40"/>
      <c r="T1996" s="38"/>
      <c r="U1996" s="38"/>
      <c r="V1996" s="38"/>
      <c r="W1996" s="60"/>
      <c r="AB1996" s="42"/>
      <c r="AC1996" s="35"/>
      <c r="AD1996" s="38"/>
      <c r="AE1996" s="38"/>
      <c r="AF1996" s="38"/>
      <c r="AG1996" s="38"/>
      <c r="AH1996" s="60"/>
    </row>
    <row r="1997" spans="1:34" ht="15.75" customHeight="1">
      <c r="A1997" s="50" t="s">
        <v>56</v>
      </c>
      <c r="B1997" s="78" t="s">
        <v>7115</v>
      </c>
      <c r="C1997" s="37" t="s">
        <v>24</v>
      </c>
      <c r="D1997" s="20" t="s">
        <v>7116</v>
      </c>
      <c r="E1997" s="20" t="s">
        <v>7117</v>
      </c>
      <c r="F1997" s="19" t="s">
        <v>27</v>
      </c>
      <c r="G1997" s="19" t="s">
        <v>28</v>
      </c>
      <c r="H1997" s="19" t="s">
        <v>36</v>
      </c>
      <c r="I1997" s="21" t="s">
        <v>29</v>
      </c>
      <c r="J1997" s="21" t="s">
        <v>29</v>
      </c>
      <c r="K1997" s="22" t="s">
        <v>7118</v>
      </c>
      <c r="L1997" s="56">
        <v>45293</v>
      </c>
      <c r="O1997" s="42"/>
      <c r="P1997" s="40"/>
      <c r="Q1997" s="61"/>
      <c r="R1997" s="61"/>
      <c r="S1997" s="40"/>
      <c r="T1997" s="38"/>
      <c r="U1997" s="38"/>
      <c r="V1997" s="38"/>
      <c r="W1997" s="60"/>
      <c r="AB1997" s="42"/>
      <c r="AC1997" s="35"/>
      <c r="AD1997" s="38"/>
      <c r="AE1997" s="38"/>
      <c r="AF1997" s="38"/>
      <c r="AG1997" s="38"/>
      <c r="AH1997" s="60"/>
    </row>
    <row r="1998" spans="1:34" ht="15.75" customHeight="1">
      <c r="A1998" s="35">
        <v>63</v>
      </c>
      <c r="B1998" s="78" t="s">
        <v>7119</v>
      </c>
      <c r="C1998" s="37" t="s">
        <v>46</v>
      </c>
      <c r="D1998" s="20" t="s">
        <v>7120</v>
      </c>
      <c r="E1998" s="20" t="s">
        <v>7121</v>
      </c>
      <c r="F1998" s="37" t="s">
        <v>49</v>
      </c>
      <c r="G1998" s="19" t="s">
        <v>50</v>
      </c>
      <c r="H1998" s="37"/>
      <c r="I1998" s="21" t="s">
        <v>29</v>
      </c>
      <c r="J1998" s="21" t="s">
        <v>29</v>
      </c>
      <c r="K1998" s="22" t="s">
        <v>7121</v>
      </c>
      <c r="L1998" s="56">
        <v>45293</v>
      </c>
      <c r="O1998" s="42"/>
      <c r="P1998" s="40"/>
      <c r="Q1998" s="61"/>
      <c r="R1998" s="61"/>
      <c r="S1998" s="40"/>
      <c r="T1998" s="38"/>
      <c r="U1998" s="38"/>
      <c r="V1998" s="38"/>
      <c r="W1998" s="60"/>
      <c r="AB1998" s="42"/>
      <c r="AC1998" s="35"/>
      <c r="AD1998" s="38"/>
      <c r="AE1998" s="38"/>
      <c r="AF1998" s="38"/>
      <c r="AG1998" s="38"/>
      <c r="AH1998" s="60"/>
    </row>
    <row r="1999" spans="1:34" ht="15.75" customHeight="1">
      <c r="A1999" s="50" t="s">
        <v>64</v>
      </c>
      <c r="B1999" s="78" t="s">
        <v>7122</v>
      </c>
      <c r="C1999" s="37" t="s">
        <v>24</v>
      </c>
      <c r="D1999" s="20" t="s">
        <v>7123</v>
      </c>
      <c r="E1999" s="20" t="s">
        <v>7124</v>
      </c>
      <c r="F1999" s="19" t="s">
        <v>27</v>
      </c>
      <c r="G1999" s="19" t="s">
        <v>28</v>
      </c>
      <c r="H1999" s="19" t="s">
        <v>36</v>
      </c>
      <c r="I1999" s="21" t="s">
        <v>29</v>
      </c>
      <c r="J1999" s="21" t="s">
        <v>29</v>
      </c>
      <c r="K1999" s="22" t="s">
        <v>7125</v>
      </c>
      <c r="L1999" s="56">
        <v>45293</v>
      </c>
      <c r="O1999" s="42"/>
      <c r="P1999" s="40"/>
      <c r="Q1999" s="61"/>
      <c r="R1999" s="61"/>
      <c r="S1999" s="40"/>
      <c r="T1999" s="38"/>
      <c r="U1999" s="38"/>
      <c r="V1999" s="38"/>
      <c r="W1999" s="60"/>
      <c r="AB1999" s="42"/>
      <c r="AC1999" s="35"/>
      <c r="AD1999" s="38"/>
      <c r="AE1999" s="38"/>
      <c r="AF1999" s="38"/>
      <c r="AG1999" s="38"/>
      <c r="AH1999" s="60"/>
    </row>
    <row r="2000" spans="1:34" ht="15.75" customHeight="1">
      <c r="A2000" s="35">
        <v>3.3</v>
      </c>
      <c r="B2000" s="78" t="s">
        <v>7126</v>
      </c>
      <c r="C2000" s="37" t="s">
        <v>1470</v>
      </c>
      <c r="D2000" s="20" t="s">
        <v>7127</v>
      </c>
      <c r="E2000" s="20" t="s">
        <v>7128</v>
      </c>
      <c r="F2000" s="19" t="s">
        <v>3286</v>
      </c>
      <c r="G2000" s="37" t="s">
        <v>1461</v>
      </c>
      <c r="H2000" s="37"/>
      <c r="I2000" s="21" t="s">
        <v>233</v>
      </c>
      <c r="J2000" s="21" t="s">
        <v>233</v>
      </c>
      <c r="K2000" s="22" t="s">
        <v>7129</v>
      </c>
      <c r="L2000" s="56">
        <v>45293</v>
      </c>
      <c r="O2000" s="42"/>
      <c r="P2000" s="40"/>
      <c r="Q2000" s="61"/>
      <c r="R2000" s="61"/>
      <c r="S2000" s="40"/>
      <c r="T2000" s="38"/>
      <c r="U2000" s="38"/>
      <c r="V2000" s="38"/>
      <c r="W2000" s="60"/>
      <c r="AB2000" s="42"/>
      <c r="AC2000" s="35"/>
      <c r="AD2000" s="38"/>
      <c r="AE2000" s="38"/>
      <c r="AF2000" s="38"/>
      <c r="AG2000" s="38"/>
      <c r="AH2000" s="60"/>
    </row>
    <row r="2001" spans="1:34" ht="15.75" customHeight="1">
      <c r="A2001" s="50" t="s">
        <v>73</v>
      </c>
      <c r="B2001" s="78" t="s">
        <v>7130</v>
      </c>
      <c r="C2001" s="37" t="s">
        <v>24</v>
      </c>
      <c r="D2001" s="20" t="s">
        <v>7131</v>
      </c>
      <c r="E2001" s="20" t="s">
        <v>7132</v>
      </c>
      <c r="F2001" s="19" t="s">
        <v>27</v>
      </c>
      <c r="G2001" s="19" t="s">
        <v>28</v>
      </c>
      <c r="H2001" s="37"/>
      <c r="I2001" s="21" t="s">
        <v>29</v>
      </c>
      <c r="J2001" s="21" t="s">
        <v>29</v>
      </c>
      <c r="K2001" s="22" t="s">
        <v>7133</v>
      </c>
      <c r="L2001" s="56">
        <v>45293</v>
      </c>
      <c r="O2001" s="42"/>
      <c r="P2001" s="40"/>
      <c r="Q2001" s="61"/>
      <c r="R2001" s="61"/>
      <c r="S2001" s="40"/>
      <c r="T2001" s="38"/>
      <c r="U2001" s="38"/>
      <c r="V2001" s="38"/>
      <c r="W2001" s="60"/>
      <c r="AB2001" s="42"/>
      <c r="AC2001" s="35"/>
      <c r="AD2001" s="38"/>
      <c r="AE2001" s="38"/>
      <c r="AF2001" s="38"/>
      <c r="AG2001" s="38"/>
      <c r="AH2001" s="60"/>
    </row>
    <row r="2002" spans="1:34" ht="15.75" customHeight="1">
      <c r="A2002" s="35">
        <v>3.7</v>
      </c>
      <c r="B2002" s="78" t="s">
        <v>7134</v>
      </c>
      <c r="C2002" s="37" t="s">
        <v>87</v>
      </c>
      <c r="D2002" s="20" t="s">
        <v>7135</v>
      </c>
      <c r="E2002" s="20" t="s">
        <v>7136</v>
      </c>
      <c r="F2002" s="19" t="s">
        <v>90</v>
      </c>
      <c r="G2002" s="19" t="s">
        <v>91</v>
      </c>
      <c r="H2002" s="37"/>
      <c r="I2002" s="21" t="s">
        <v>29</v>
      </c>
      <c r="J2002" s="21" t="s">
        <v>29</v>
      </c>
      <c r="K2002" s="22" t="s">
        <v>7137</v>
      </c>
      <c r="L2002" s="56">
        <v>45293</v>
      </c>
      <c r="O2002" s="42"/>
      <c r="P2002" s="40"/>
      <c r="Q2002" s="61"/>
      <c r="R2002" s="61"/>
      <c r="S2002" s="40"/>
      <c r="T2002" s="38"/>
      <c r="U2002" s="38"/>
      <c r="V2002" s="38"/>
      <c r="W2002" s="60"/>
      <c r="AB2002" s="42"/>
      <c r="AC2002" s="35"/>
      <c r="AD2002" s="38"/>
      <c r="AE2002" s="38"/>
      <c r="AF2002" s="38"/>
      <c r="AG2002" s="38"/>
      <c r="AH2002" s="60"/>
    </row>
    <row r="2003" spans="1:34" ht="15.75" customHeight="1">
      <c r="A2003" s="50" t="s">
        <v>82</v>
      </c>
      <c r="B2003" s="78" t="s">
        <v>7138</v>
      </c>
      <c r="C2003" s="37" t="s">
        <v>46</v>
      </c>
      <c r="D2003" s="20" t="s">
        <v>7139</v>
      </c>
      <c r="E2003" s="20" t="s">
        <v>7140</v>
      </c>
      <c r="F2003" s="37" t="s">
        <v>49</v>
      </c>
      <c r="G2003" s="19" t="s">
        <v>50</v>
      </c>
      <c r="H2003" s="37"/>
      <c r="I2003" s="21" t="s">
        <v>29</v>
      </c>
      <c r="J2003" s="21" t="s">
        <v>29</v>
      </c>
      <c r="K2003" s="22" t="s">
        <v>7141</v>
      </c>
      <c r="L2003" s="56">
        <v>45293</v>
      </c>
      <c r="O2003" s="42"/>
      <c r="P2003" s="40"/>
      <c r="Q2003" s="61"/>
      <c r="R2003" s="61"/>
      <c r="S2003" s="40"/>
      <c r="T2003" s="38"/>
      <c r="U2003" s="38"/>
      <c r="V2003" s="38"/>
      <c r="W2003" s="60"/>
      <c r="AB2003" s="42"/>
      <c r="AC2003" s="35"/>
      <c r="AD2003" s="38"/>
      <c r="AE2003" s="38"/>
      <c r="AF2003" s="38"/>
      <c r="AG2003" s="38"/>
      <c r="AH2003" s="60"/>
    </row>
    <row r="2004" spans="1:34" ht="15.75" customHeight="1">
      <c r="A2004" s="35" t="s">
        <v>7142</v>
      </c>
      <c r="B2004" s="78" t="s">
        <v>7143</v>
      </c>
      <c r="C2004" s="37" t="s">
        <v>46</v>
      </c>
      <c r="D2004" s="20" t="s">
        <v>7144</v>
      </c>
      <c r="E2004" s="20" t="s">
        <v>7145</v>
      </c>
      <c r="F2004" s="37" t="s">
        <v>49</v>
      </c>
      <c r="G2004" s="19" t="s">
        <v>50</v>
      </c>
      <c r="H2004" s="37"/>
      <c r="I2004" s="21" t="s">
        <v>29</v>
      </c>
      <c r="J2004" s="21" t="s">
        <v>29</v>
      </c>
      <c r="K2004" s="22" t="s">
        <v>7146</v>
      </c>
      <c r="L2004" s="56">
        <v>45293</v>
      </c>
      <c r="O2004" s="42"/>
      <c r="P2004" s="40"/>
      <c r="Q2004" s="61"/>
      <c r="R2004" s="61"/>
      <c r="S2004" s="40"/>
      <c r="T2004" s="38"/>
      <c r="U2004" s="38"/>
      <c r="V2004" s="38"/>
      <c r="W2004" s="60"/>
      <c r="AB2004" s="42"/>
      <c r="AC2004" s="35"/>
      <c r="AD2004" s="38"/>
      <c r="AE2004" s="38"/>
      <c r="AF2004" s="38"/>
      <c r="AG2004" s="38"/>
      <c r="AH2004" s="60"/>
    </row>
    <row r="2005" spans="1:34" ht="15.75" customHeight="1">
      <c r="A2005" s="50" t="s">
        <v>92</v>
      </c>
      <c r="B2005" s="78" t="s">
        <v>7147</v>
      </c>
      <c r="C2005" s="37" t="s">
        <v>1486</v>
      </c>
      <c r="D2005" s="20" t="s">
        <v>7148</v>
      </c>
      <c r="E2005" s="20" t="s">
        <v>7149</v>
      </c>
      <c r="F2005" s="37" t="s">
        <v>1489</v>
      </c>
      <c r="G2005" s="37" t="s">
        <v>1490</v>
      </c>
      <c r="H2005" s="37"/>
      <c r="I2005" s="21" t="s">
        <v>29</v>
      </c>
      <c r="J2005" s="21" t="s">
        <v>29</v>
      </c>
      <c r="K2005" s="22" t="s">
        <v>7149</v>
      </c>
      <c r="L2005" s="56">
        <v>45293</v>
      </c>
      <c r="O2005" s="42"/>
      <c r="P2005" s="40"/>
      <c r="Q2005" s="61"/>
      <c r="R2005" s="61"/>
      <c r="S2005" s="40"/>
      <c r="T2005" s="38"/>
      <c r="U2005" s="38"/>
      <c r="V2005" s="38"/>
      <c r="W2005" s="60"/>
      <c r="AB2005" s="42"/>
      <c r="AC2005" s="35"/>
      <c r="AD2005" s="38"/>
      <c r="AE2005" s="38"/>
      <c r="AF2005" s="38"/>
      <c r="AG2005" s="38"/>
      <c r="AH2005" s="60"/>
    </row>
    <row r="2006" spans="1:34" ht="15.75" customHeight="1">
      <c r="A2006" s="79">
        <v>641</v>
      </c>
      <c r="B2006" s="78" t="s">
        <v>7150</v>
      </c>
      <c r="C2006" s="37" t="s">
        <v>1486</v>
      </c>
      <c r="D2006" s="20" t="s">
        <v>7151</v>
      </c>
      <c r="E2006" s="20" t="s">
        <v>7152</v>
      </c>
      <c r="F2006" s="37" t="s">
        <v>1489</v>
      </c>
      <c r="G2006" s="37" t="s">
        <v>1490</v>
      </c>
      <c r="H2006" s="37"/>
      <c r="I2006" s="21" t="s">
        <v>29</v>
      </c>
      <c r="J2006" s="21" t="s">
        <v>29</v>
      </c>
      <c r="K2006" s="22" t="s">
        <v>7152</v>
      </c>
      <c r="L2006" s="56">
        <v>45293</v>
      </c>
      <c r="O2006" s="42"/>
      <c r="P2006" s="40"/>
      <c r="Q2006" s="61"/>
      <c r="R2006" s="61"/>
      <c r="S2006" s="40"/>
      <c r="T2006" s="38"/>
      <c r="U2006" s="38"/>
      <c r="V2006" s="38"/>
      <c r="W2006" s="60"/>
      <c r="AB2006" s="42"/>
      <c r="AC2006" s="35"/>
      <c r="AD2006" s="38"/>
      <c r="AE2006" s="38"/>
      <c r="AF2006" s="38"/>
      <c r="AG2006" s="38"/>
      <c r="AH2006" s="60"/>
    </row>
    <row r="2007" spans="1:34" ht="15.75" customHeight="1">
      <c r="A2007" s="50" t="s">
        <v>100</v>
      </c>
      <c r="B2007" s="78" t="s">
        <v>7153</v>
      </c>
      <c r="C2007" s="37" t="s">
        <v>46</v>
      </c>
      <c r="D2007" s="20" t="s">
        <v>7144</v>
      </c>
      <c r="E2007" s="20" t="s">
        <v>7154</v>
      </c>
      <c r="F2007" s="37" t="s">
        <v>49</v>
      </c>
      <c r="G2007" s="19" t="s">
        <v>50</v>
      </c>
      <c r="H2007" s="37"/>
      <c r="I2007" s="21" t="s">
        <v>29</v>
      </c>
      <c r="J2007" s="21" t="s">
        <v>29</v>
      </c>
      <c r="K2007" s="22" t="s">
        <v>7154</v>
      </c>
      <c r="L2007" s="56">
        <v>45293</v>
      </c>
      <c r="O2007" s="42"/>
      <c r="P2007" s="40"/>
      <c r="Q2007" s="61"/>
      <c r="R2007" s="61"/>
      <c r="S2007" s="40"/>
      <c r="T2007" s="38"/>
      <c r="U2007" s="38"/>
      <c r="V2007" s="38"/>
      <c r="W2007" s="60"/>
      <c r="AB2007" s="42"/>
      <c r="AC2007" s="35"/>
      <c r="AD2007" s="38"/>
      <c r="AE2007" s="38"/>
      <c r="AF2007" s="38"/>
      <c r="AG2007" s="38"/>
      <c r="AH2007" s="60"/>
    </row>
    <row r="2008" spans="1:34" ht="15.75" customHeight="1">
      <c r="A2008" s="35">
        <v>165</v>
      </c>
      <c r="B2008" s="78" t="s">
        <v>7155</v>
      </c>
      <c r="C2008" s="37" t="s">
        <v>87</v>
      </c>
      <c r="D2008" s="20" t="s">
        <v>7156</v>
      </c>
      <c r="E2008" s="20" t="s">
        <v>7157</v>
      </c>
      <c r="F2008" s="19" t="s">
        <v>90</v>
      </c>
      <c r="G2008" s="19" t="s">
        <v>91</v>
      </c>
      <c r="H2008" s="37"/>
      <c r="I2008" s="21" t="s">
        <v>29</v>
      </c>
      <c r="J2008" s="21" t="s">
        <v>29</v>
      </c>
      <c r="K2008" s="22" t="s">
        <v>7157</v>
      </c>
      <c r="L2008" s="56">
        <v>45293</v>
      </c>
      <c r="O2008" s="42"/>
      <c r="P2008" s="40"/>
      <c r="Q2008" s="61"/>
      <c r="R2008" s="61"/>
      <c r="S2008" s="40"/>
      <c r="T2008" s="38"/>
      <c r="U2008" s="38"/>
      <c r="V2008" s="38"/>
      <c r="W2008" s="60"/>
      <c r="AB2008" s="42"/>
      <c r="AC2008" s="35"/>
      <c r="AD2008" s="38"/>
      <c r="AE2008" s="38"/>
      <c r="AF2008" s="38"/>
      <c r="AG2008" s="38"/>
      <c r="AH2008" s="60"/>
    </row>
    <row r="2009" spans="1:34" ht="15.75" customHeight="1">
      <c r="A2009" s="35"/>
      <c r="B2009" s="78" t="s">
        <v>7158</v>
      </c>
      <c r="C2009" s="37" t="s">
        <v>24</v>
      </c>
      <c r="D2009" s="20" t="s">
        <v>7159</v>
      </c>
      <c r="E2009" s="20" t="s">
        <v>7160</v>
      </c>
      <c r="F2009" s="19" t="s">
        <v>27</v>
      </c>
      <c r="G2009" s="19" t="s">
        <v>28</v>
      </c>
      <c r="H2009" s="19" t="s">
        <v>36</v>
      </c>
      <c r="I2009" s="21" t="s">
        <v>29</v>
      </c>
      <c r="J2009" s="21" t="s">
        <v>29</v>
      </c>
      <c r="K2009" s="22" t="s">
        <v>7161</v>
      </c>
      <c r="L2009" s="56">
        <v>45293</v>
      </c>
      <c r="O2009" s="42"/>
      <c r="P2009" s="40"/>
      <c r="Q2009" s="61"/>
      <c r="R2009" s="61"/>
      <c r="S2009" s="40"/>
      <c r="T2009" s="38"/>
      <c r="U2009" s="38"/>
      <c r="V2009" s="38"/>
      <c r="W2009" s="60"/>
      <c r="AB2009" s="42"/>
      <c r="AC2009" s="35"/>
      <c r="AD2009" s="38"/>
      <c r="AE2009" s="38"/>
      <c r="AF2009" s="38"/>
      <c r="AG2009" s="38"/>
      <c r="AH2009" s="60"/>
    </row>
    <row r="2010" spans="1:34" ht="15.75" customHeight="1">
      <c r="A2010" s="35"/>
      <c r="B2010" s="78" t="s">
        <v>7162</v>
      </c>
      <c r="C2010" s="37" t="s">
        <v>87</v>
      </c>
      <c r="D2010" s="20" t="s">
        <v>7163</v>
      </c>
      <c r="E2010" s="20" t="s">
        <v>7164</v>
      </c>
      <c r="F2010" s="19" t="s">
        <v>90</v>
      </c>
      <c r="G2010" s="19" t="s">
        <v>91</v>
      </c>
      <c r="H2010" s="37"/>
      <c r="I2010" s="21" t="s">
        <v>29</v>
      </c>
      <c r="J2010" s="21" t="s">
        <v>29</v>
      </c>
      <c r="K2010" s="22" t="s">
        <v>7164</v>
      </c>
      <c r="L2010" s="56">
        <v>45293</v>
      </c>
      <c r="O2010" s="42"/>
      <c r="P2010" s="40"/>
      <c r="Q2010" s="61"/>
      <c r="R2010" s="61"/>
      <c r="S2010" s="40"/>
      <c r="T2010" s="38"/>
      <c r="U2010" s="38"/>
      <c r="V2010" s="38"/>
      <c r="W2010" s="60"/>
      <c r="AB2010" s="42"/>
      <c r="AC2010" s="35"/>
      <c r="AD2010" s="38"/>
      <c r="AE2010" s="38"/>
      <c r="AF2010" s="38"/>
      <c r="AG2010" s="38"/>
      <c r="AH2010" s="60"/>
    </row>
    <row r="2011" spans="1:34" ht="15.75" customHeight="1">
      <c r="A2011" s="35"/>
      <c r="B2011" s="78" t="s">
        <v>7165</v>
      </c>
      <c r="C2011" s="37" t="s">
        <v>24</v>
      </c>
      <c r="D2011" s="20" t="s">
        <v>7166</v>
      </c>
      <c r="E2011" s="20" t="s">
        <v>7167</v>
      </c>
      <c r="F2011" s="19" t="s">
        <v>27</v>
      </c>
      <c r="G2011" s="19" t="s">
        <v>28</v>
      </c>
      <c r="H2011" s="37"/>
      <c r="I2011" s="21" t="s">
        <v>29</v>
      </c>
      <c r="J2011" s="21" t="s">
        <v>29</v>
      </c>
      <c r="K2011" s="22" t="s">
        <v>7168</v>
      </c>
      <c r="L2011" s="56">
        <v>45293</v>
      </c>
      <c r="O2011" s="42"/>
      <c r="P2011" s="40"/>
      <c r="Q2011" s="61"/>
      <c r="R2011" s="61"/>
      <c r="S2011" s="40"/>
      <c r="T2011" s="38"/>
      <c r="U2011" s="38"/>
      <c r="V2011" s="38"/>
      <c r="W2011" s="60"/>
      <c r="AB2011" s="42"/>
      <c r="AC2011" s="35"/>
      <c r="AD2011" s="38"/>
      <c r="AE2011" s="38"/>
      <c r="AF2011" s="38"/>
      <c r="AG2011" s="38"/>
      <c r="AH2011" s="60"/>
    </row>
    <row r="2012" spans="1:34" ht="15.75" customHeight="1">
      <c r="A2012" s="35"/>
      <c r="B2012" s="78" t="s">
        <v>7169</v>
      </c>
      <c r="C2012" s="37" t="s">
        <v>1366</v>
      </c>
      <c r="D2012" s="20" t="s">
        <v>7170</v>
      </c>
      <c r="E2012" s="20" t="s">
        <v>7171</v>
      </c>
      <c r="F2012" s="55" t="s">
        <v>1369</v>
      </c>
      <c r="G2012" s="55" t="s">
        <v>1370</v>
      </c>
      <c r="H2012" s="37"/>
      <c r="I2012" s="21" t="s">
        <v>29</v>
      </c>
      <c r="J2012" s="21" t="s">
        <v>29</v>
      </c>
      <c r="K2012" s="22" t="s">
        <v>7172</v>
      </c>
      <c r="L2012" s="56">
        <v>45293</v>
      </c>
      <c r="O2012" s="42"/>
      <c r="P2012" s="40"/>
      <c r="Q2012" s="61"/>
      <c r="R2012" s="61"/>
      <c r="S2012" s="40"/>
      <c r="T2012" s="38"/>
      <c r="U2012" s="38"/>
      <c r="V2012" s="38"/>
      <c r="W2012" s="60"/>
      <c r="AB2012" s="42"/>
      <c r="AC2012" s="35"/>
      <c r="AD2012" s="38"/>
      <c r="AE2012" s="38"/>
      <c r="AF2012" s="38"/>
      <c r="AG2012" s="38"/>
      <c r="AH2012" s="60"/>
    </row>
    <row r="2013" spans="1:34" ht="15.75" customHeight="1">
      <c r="A2013" s="35"/>
      <c r="B2013" s="78" t="s">
        <v>7173</v>
      </c>
      <c r="C2013" s="37" t="s">
        <v>24</v>
      </c>
      <c r="D2013" s="20" t="s">
        <v>7174</v>
      </c>
      <c r="E2013" s="20" t="s">
        <v>7175</v>
      </c>
      <c r="F2013" s="19" t="s">
        <v>27</v>
      </c>
      <c r="G2013" s="19" t="s">
        <v>28</v>
      </c>
      <c r="H2013" s="19" t="s">
        <v>36</v>
      </c>
      <c r="I2013" s="21" t="s">
        <v>29</v>
      </c>
      <c r="J2013" s="21" t="s">
        <v>29</v>
      </c>
      <c r="K2013" s="22" t="s">
        <v>7176</v>
      </c>
      <c r="L2013" s="56">
        <v>45293</v>
      </c>
      <c r="O2013" s="42"/>
      <c r="P2013" s="40"/>
      <c r="Q2013" s="61"/>
      <c r="R2013" s="61"/>
      <c r="S2013" s="40"/>
      <c r="T2013" s="38"/>
      <c r="U2013" s="38"/>
      <c r="V2013" s="38"/>
      <c r="W2013" s="60"/>
      <c r="AB2013" s="42"/>
      <c r="AC2013" s="35"/>
      <c r="AD2013" s="38"/>
      <c r="AE2013" s="38"/>
      <c r="AF2013" s="38"/>
      <c r="AG2013" s="38"/>
      <c r="AH2013" s="60"/>
    </row>
    <row r="2014" spans="1:34" ht="15.75" customHeight="1">
      <c r="A2014" s="35"/>
      <c r="B2014" s="78" t="s">
        <v>7177</v>
      </c>
      <c r="C2014" s="37" t="s">
        <v>46</v>
      </c>
      <c r="D2014" s="20" t="s">
        <v>7178</v>
      </c>
      <c r="E2014" s="20" t="s">
        <v>7179</v>
      </c>
      <c r="F2014" s="37" t="s">
        <v>49</v>
      </c>
      <c r="G2014" s="19" t="s">
        <v>50</v>
      </c>
      <c r="H2014" s="37"/>
      <c r="I2014" s="21" t="s">
        <v>29</v>
      </c>
      <c r="J2014" s="21" t="s">
        <v>29</v>
      </c>
      <c r="K2014" s="22" t="s">
        <v>7179</v>
      </c>
      <c r="L2014" s="56">
        <v>45293</v>
      </c>
      <c r="O2014" s="42"/>
      <c r="P2014" s="40"/>
      <c r="Q2014" s="61"/>
      <c r="R2014" s="61"/>
      <c r="S2014" s="40"/>
      <c r="T2014" s="38"/>
      <c r="U2014" s="38"/>
      <c r="V2014" s="38"/>
      <c r="W2014" s="60"/>
      <c r="AB2014" s="42"/>
      <c r="AC2014" s="35"/>
      <c r="AD2014" s="38"/>
      <c r="AE2014" s="38"/>
      <c r="AF2014" s="38"/>
      <c r="AG2014" s="38"/>
      <c r="AH2014" s="60"/>
    </row>
    <row r="2015" spans="1:34" ht="15.75" customHeight="1">
      <c r="A2015" s="35"/>
      <c r="B2015" s="78" t="s">
        <v>7180</v>
      </c>
      <c r="C2015" s="37" t="s">
        <v>1486</v>
      </c>
      <c r="D2015" s="20" t="s">
        <v>7181</v>
      </c>
      <c r="E2015" s="20" t="s">
        <v>7182</v>
      </c>
      <c r="F2015" s="37" t="s">
        <v>1489</v>
      </c>
      <c r="G2015" s="37" t="s">
        <v>1490</v>
      </c>
      <c r="H2015" s="37"/>
      <c r="I2015" s="21" t="s">
        <v>29</v>
      </c>
      <c r="J2015" s="21" t="s">
        <v>29</v>
      </c>
      <c r="K2015" s="22" t="s">
        <v>7182</v>
      </c>
      <c r="L2015" s="56">
        <v>45293</v>
      </c>
      <c r="O2015" s="42"/>
      <c r="P2015" s="40"/>
      <c r="Q2015" s="61"/>
      <c r="R2015" s="61"/>
      <c r="S2015" s="40"/>
      <c r="T2015" s="38"/>
      <c r="U2015" s="38"/>
      <c r="V2015" s="38"/>
      <c r="W2015" s="60"/>
      <c r="AB2015" s="42"/>
      <c r="AC2015" s="35"/>
      <c r="AD2015" s="38"/>
      <c r="AE2015" s="38"/>
      <c r="AF2015" s="38"/>
      <c r="AG2015" s="38"/>
      <c r="AH2015" s="60"/>
    </row>
    <row r="2016" spans="1:34" ht="15.75" customHeight="1">
      <c r="A2016" s="35"/>
      <c r="B2016" s="78" t="s">
        <v>7183</v>
      </c>
      <c r="C2016" s="37" t="s">
        <v>24</v>
      </c>
      <c r="D2016" s="20" t="s">
        <v>7184</v>
      </c>
      <c r="E2016" s="20" t="s">
        <v>7185</v>
      </c>
      <c r="F2016" s="19" t="s">
        <v>27</v>
      </c>
      <c r="G2016" s="19" t="s">
        <v>28</v>
      </c>
      <c r="H2016" s="37"/>
      <c r="I2016" s="21" t="s">
        <v>29</v>
      </c>
      <c r="J2016" s="21" t="s">
        <v>29</v>
      </c>
      <c r="K2016" s="22" t="s">
        <v>7186</v>
      </c>
      <c r="L2016" s="56">
        <v>45293</v>
      </c>
      <c r="O2016" s="42"/>
      <c r="P2016" s="40"/>
      <c r="Q2016" s="61"/>
      <c r="R2016" s="61"/>
      <c r="S2016" s="40"/>
      <c r="T2016" s="38"/>
      <c r="U2016" s="38"/>
      <c r="V2016" s="38"/>
      <c r="W2016" s="60"/>
      <c r="AB2016" s="42"/>
      <c r="AC2016" s="35"/>
      <c r="AD2016" s="38"/>
      <c r="AE2016" s="38"/>
      <c r="AF2016" s="38"/>
      <c r="AG2016" s="38"/>
      <c r="AH2016" s="60"/>
    </row>
    <row r="2017" spans="1:34" ht="15.75" customHeight="1">
      <c r="A2017" s="35"/>
      <c r="B2017" s="83" t="s">
        <v>7187</v>
      </c>
      <c r="C2017" s="37" t="s">
        <v>24</v>
      </c>
      <c r="D2017" s="20" t="s">
        <v>7188</v>
      </c>
      <c r="E2017" s="20" t="s">
        <v>7189</v>
      </c>
      <c r="F2017" s="19" t="s">
        <v>90</v>
      </c>
      <c r="G2017" s="19" t="s">
        <v>91</v>
      </c>
      <c r="H2017" s="37"/>
      <c r="I2017" s="21" t="s">
        <v>29</v>
      </c>
      <c r="J2017" s="21" t="s">
        <v>29</v>
      </c>
      <c r="K2017" s="22" t="s">
        <v>7190</v>
      </c>
      <c r="L2017" s="56">
        <v>45293</v>
      </c>
      <c r="O2017" s="42"/>
      <c r="P2017" s="40"/>
      <c r="Q2017" s="61"/>
      <c r="R2017" s="61"/>
      <c r="S2017" s="40"/>
      <c r="T2017" s="38"/>
      <c r="U2017" s="38"/>
      <c r="V2017" s="38"/>
      <c r="W2017" s="60"/>
      <c r="AB2017" s="42"/>
      <c r="AC2017" s="35"/>
      <c r="AD2017" s="38"/>
      <c r="AE2017" s="38"/>
      <c r="AF2017" s="38"/>
      <c r="AG2017" s="38"/>
      <c r="AH2017" s="60"/>
    </row>
    <row r="2018" spans="1:34" ht="15.75" customHeight="1">
      <c r="A2018" s="35"/>
      <c r="B2018" s="81" t="s">
        <v>7191</v>
      </c>
      <c r="C2018" s="37" t="s">
        <v>24</v>
      </c>
      <c r="D2018" s="20" t="s">
        <v>7192</v>
      </c>
      <c r="E2018" s="20" t="s">
        <v>7193</v>
      </c>
      <c r="F2018" s="19" t="s">
        <v>27</v>
      </c>
      <c r="G2018" s="19" t="s">
        <v>28</v>
      </c>
      <c r="H2018" s="37"/>
      <c r="I2018" s="21" t="s">
        <v>29</v>
      </c>
      <c r="J2018" s="21" t="s">
        <v>29</v>
      </c>
      <c r="K2018" s="22" t="s">
        <v>7193</v>
      </c>
      <c r="L2018" s="56">
        <v>45293</v>
      </c>
      <c r="O2018" s="42"/>
      <c r="P2018" s="40"/>
      <c r="Q2018" s="61"/>
      <c r="R2018" s="61"/>
      <c r="S2018" s="40"/>
      <c r="T2018" s="38"/>
      <c r="U2018" s="38"/>
      <c r="V2018" s="38"/>
      <c r="W2018" s="60"/>
      <c r="AB2018" s="42"/>
      <c r="AC2018" s="35"/>
      <c r="AD2018" s="38"/>
      <c r="AE2018" s="38"/>
      <c r="AF2018" s="38"/>
      <c r="AG2018" s="38"/>
      <c r="AH2018" s="60"/>
    </row>
    <row r="2019" spans="1:34" ht="15.75" customHeight="1">
      <c r="A2019" s="35"/>
      <c r="B2019" s="78" t="s">
        <v>7194</v>
      </c>
      <c r="C2019" s="37" t="s">
        <v>1638</v>
      </c>
      <c r="D2019" s="20" t="s">
        <v>7195</v>
      </c>
      <c r="E2019" s="20" t="s">
        <v>7196</v>
      </c>
      <c r="F2019" s="37" t="s">
        <v>1399</v>
      </c>
      <c r="G2019" s="19" t="s">
        <v>1641</v>
      </c>
      <c r="H2019" s="37"/>
      <c r="I2019" s="21" t="s">
        <v>29</v>
      </c>
      <c r="J2019" s="21" t="s">
        <v>29</v>
      </c>
      <c r="K2019" s="22" t="s">
        <v>7196</v>
      </c>
      <c r="L2019" s="56">
        <v>45293</v>
      </c>
      <c r="O2019" s="42"/>
      <c r="P2019" s="40"/>
      <c r="Q2019" s="61"/>
      <c r="R2019" s="61"/>
      <c r="S2019" s="40"/>
      <c r="T2019" s="38"/>
      <c r="U2019" s="38"/>
      <c r="V2019" s="38"/>
      <c r="W2019" s="60"/>
      <c r="AB2019" s="42"/>
      <c r="AC2019" s="35"/>
      <c r="AD2019" s="38"/>
      <c r="AE2019" s="38"/>
      <c r="AF2019" s="38"/>
      <c r="AG2019" s="38"/>
      <c r="AH2019" s="60"/>
    </row>
    <row r="2020" spans="1:34" ht="15.75" customHeight="1">
      <c r="A2020" s="35"/>
      <c r="B2020" s="78" t="s">
        <v>7197</v>
      </c>
      <c r="C2020" s="37" t="s">
        <v>24</v>
      </c>
      <c r="D2020" s="20" t="s">
        <v>7198</v>
      </c>
      <c r="E2020" s="20" t="s">
        <v>7199</v>
      </c>
      <c r="F2020" s="19" t="s">
        <v>27</v>
      </c>
      <c r="G2020" s="19" t="s">
        <v>28</v>
      </c>
      <c r="H2020" s="37"/>
      <c r="I2020" s="21" t="s">
        <v>29</v>
      </c>
      <c r="J2020" s="21" t="s">
        <v>29</v>
      </c>
      <c r="K2020" s="22" t="s">
        <v>7199</v>
      </c>
      <c r="L2020" s="56">
        <v>45293</v>
      </c>
      <c r="O2020" s="42"/>
      <c r="P2020" s="40"/>
      <c r="Q2020" s="61"/>
      <c r="R2020" s="61"/>
      <c r="S2020" s="40"/>
      <c r="T2020" s="38"/>
      <c r="U2020" s="38"/>
      <c r="V2020" s="38"/>
      <c r="W2020" s="60"/>
      <c r="AB2020" s="42"/>
      <c r="AC2020" s="35"/>
      <c r="AD2020" s="38"/>
      <c r="AE2020" s="38"/>
      <c r="AF2020" s="38"/>
      <c r="AG2020" s="38"/>
      <c r="AH2020" s="60"/>
    </row>
    <row r="2021" spans="1:34" ht="15.75" customHeight="1">
      <c r="A2021" s="35"/>
      <c r="B2021" s="82" t="s">
        <v>7200</v>
      </c>
      <c r="C2021" s="37" t="s">
        <v>24</v>
      </c>
      <c r="D2021" s="20" t="s">
        <v>7201</v>
      </c>
      <c r="E2021" s="20" t="s">
        <v>7202</v>
      </c>
      <c r="F2021" s="19" t="s">
        <v>27</v>
      </c>
      <c r="G2021" s="19" t="s">
        <v>28</v>
      </c>
      <c r="H2021" s="37"/>
      <c r="I2021" s="21" t="s">
        <v>29</v>
      </c>
      <c r="J2021" s="21" t="s">
        <v>29</v>
      </c>
      <c r="K2021" s="22" t="s">
        <v>7202</v>
      </c>
      <c r="L2021" s="56">
        <v>45293</v>
      </c>
      <c r="O2021" s="42"/>
      <c r="P2021" s="40"/>
      <c r="Q2021" s="61"/>
      <c r="R2021" s="61"/>
      <c r="S2021" s="40"/>
      <c r="T2021" s="38"/>
      <c r="U2021" s="38"/>
      <c r="V2021" s="38"/>
      <c r="W2021" s="60"/>
      <c r="AB2021" s="42"/>
      <c r="AC2021" s="35"/>
      <c r="AD2021" s="38"/>
      <c r="AE2021" s="38"/>
      <c r="AF2021" s="38"/>
      <c r="AG2021" s="38"/>
      <c r="AH2021" s="60"/>
    </row>
    <row r="2022" spans="1:34" ht="15.75" customHeight="1">
      <c r="A2022" s="35"/>
      <c r="B2022" s="78" t="s">
        <v>7203</v>
      </c>
      <c r="C2022" s="37" t="s">
        <v>1470</v>
      </c>
      <c r="D2022" s="20" t="s">
        <v>7204</v>
      </c>
      <c r="E2022" s="20"/>
      <c r="F2022" s="19" t="s">
        <v>3286</v>
      </c>
      <c r="G2022" s="19" t="s">
        <v>1461</v>
      </c>
      <c r="H2022" s="37"/>
      <c r="I2022" s="21" t="s">
        <v>233</v>
      </c>
      <c r="J2022" s="21" t="s">
        <v>233</v>
      </c>
      <c r="K2022" s="22"/>
      <c r="L2022" s="56">
        <v>45293</v>
      </c>
      <c r="O2022" s="42"/>
      <c r="P2022" s="40"/>
      <c r="Q2022" s="61"/>
      <c r="R2022" s="61"/>
      <c r="S2022" s="40"/>
      <c r="T2022" s="38"/>
      <c r="U2022" s="38"/>
      <c r="V2022" s="38"/>
      <c r="W2022" s="60"/>
      <c r="AB2022" s="42"/>
      <c r="AC2022" s="35"/>
      <c r="AD2022" s="38"/>
      <c r="AE2022" s="38"/>
      <c r="AF2022" s="38"/>
      <c r="AG2022" s="38"/>
      <c r="AH2022" s="60"/>
    </row>
    <row r="2023" spans="1:34" ht="15.75" customHeight="1">
      <c r="A2023" s="35"/>
      <c r="B2023" s="78" t="s">
        <v>7205</v>
      </c>
      <c r="C2023" s="37" t="s">
        <v>24</v>
      </c>
      <c r="D2023" s="20" t="s">
        <v>7206</v>
      </c>
      <c r="E2023" s="20" t="s">
        <v>7207</v>
      </c>
      <c r="F2023" s="19" t="s">
        <v>27</v>
      </c>
      <c r="G2023" s="19" t="s">
        <v>28</v>
      </c>
      <c r="H2023" s="37"/>
      <c r="I2023" s="21" t="s">
        <v>29</v>
      </c>
      <c r="J2023" s="21" t="s">
        <v>29</v>
      </c>
      <c r="K2023" s="22" t="s">
        <v>7207</v>
      </c>
      <c r="L2023" s="56">
        <v>45293</v>
      </c>
      <c r="O2023" s="42"/>
      <c r="P2023" s="40"/>
      <c r="Q2023" s="61"/>
      <c r="R2023" s="61"/>
      <c r="S2023" s="40"/>
      <c r="T2023" s="38"/>
      <c r="U2023" s="38"/>
      <c r="V2023" s="38"/>
      <c r="W2023" s="60"/>
      <c r="AB2023" s="42"/>
      <c r="AC2023" s="35"/>
      <c r="AD2023" s="38"/>
      <c r="AE2023" s="38"/>
      <c r="AF2023" s="38"/>
      <c r="AG2023" s="38"/>
      <c r="AH2023" s="60"/>
    </row>
    <row r="2024" spans="1:34" ht="15.75" customHeight="1">
      <c r="A2024" s="35"/>
      <c r="B2024" s="78" t="s">
        <v>7208</v>
      </c>
      <c r="C2024" s="37" t="s">
        <v>46</v>
      </c>
      <c r="D2024" s="20" t="s">
        <v>7209</v>
      </c>
      <c r="E2024" s="20" t="s">
        <v>7210</v>
      </c>
      <c r="F2024" s="37" t="s">
        <v>49</v>
      </c>
      <c r="G2024" s="19" t="s">
        <v>50</v>
      </c>
      <c r="H2024" s="37"/>
      <c r="I2024" s="21" t="s">
        <v>29</v>
      </c>
      <c r="J2024" s="21" t="s">
        <v>29</v>
      </c>
      <c r="K2024" s="22" t="s">
        <v>7210</v>
      </c>
      <c r="L2024" s="56">
        <v>45293</v>
      </c>
      <c r="O2024" s="42"/>
      <c r="P2024" s="40"/>
      <c r="Q2024" s="61"/>
      <c r="R2024" s="61"/>
      <c r="S2024" s="40"/>
      <c r="T2024" s="38"/>
      <c r="U2024" s="38"/>
      <c r="V2024" s="38"/>
      <c r="W2024" s="60"/>
      <c r="AB2024" s="42"/>
      <c r="AC2024" s="35"/>
      <c r="AD2024" s="38"/>
      <c r="AE2024" s="38"/>
      <c r="AF2024" s="38"/>
      <c r="AG2024" s="38"/>
      <c r="AH2024" s="60"/>
    </row>
    <row r="2025" spans="1:34" ht="15.75" customHeight="1">
      <c r="A2025" s="35"/>
      <c r="B2025" s="78" t="s">
        <v>7211</v>
      </c>
      <c r="C2025" s="37" t="s">
        <v>24</v>
      </c>
      <c r="D2025" s="20" t="s">
        <v>7212</v>
      </c>
      <c r="E2025" s="20" t="s">
        <v>7213</v>
      </c>
      <c r="F2025" s="19" t="s">
        <v>27</v>
      </c>
      <c r="G2025" s="19" t="s">
        <v>28</v>
      </c>
      <c r="H2025" s="37"/>
      <c r="I2025" s="21" t="s">
        <v>29</v>
      </c>
      <c r="J2025" s="21" t="s">
        <v>29</v>
      </c>
      <c r="K2025" s="22" t="s">
        <v>7214</v>
      </c>
      <c r="L2025" s="56">
        <v>45293</v>
      </c>
      <c r="O2025" s="42"/>
      <c r="P2025" s="40"/>
      <c r="Q2025" s="61"/>
      <c r="R2025" s="61"/>
      <c r="S2025" s="40"/>
      <c r="T2025" s="38"/>
      <c r="U2025" s="38"/>
      <c r="V2025" s="38"/>
      <c r="W2025" s="60"/>
      <c r="AB2025" s="42"/>
      <c r="AC2025" s="35"/>
      <c r="AD2025" s="38"/>
      <c r="AE2025" s="38"/>
      <c r="AF2025" s="38"/>
      <c r="AG2025" s="38"/>
      <c r="AH2025" s="60"/>
    </row>
    <row r="2026" spans="1:34" ht="15.75" customHeight="1">
      <c r="A2026" s="35"/>
      <c r="B2026" s="78" t="s">
        <v>7215</v>
      </c>
      <c r="C2026" s="37" t="s">
        <v>1366</v>
      </c>
      <c r="D2026" s="20" t="s">
        <v>7216</v>
      </c>
      <c r="E2026" s="20" t="s">
        <v>7217</v>
      </c>
      <c r="F2026" s="37" t="s">
        <v>1489</v>
      </c>
      <c r="G2026" s="55" t="s">
        <v>1370</v>
      </c>
      <c r="H2026" s="37"/>
      <c r="I2026" s="21" t="s">
        <v>29</v>
      </c>
      <c r="J2026" s="21" t="s">
        <v>29</v>
      </c>
      <c r="K2026" s="22" t="s">
        <v>7218</v>
      </c>
      <c r="L2026" s="56">
        <v>45293</v>
      </c>
      <c r="O2026" s="42"/>
      <c r="P2026" s="40"/>
      <c r="Q2026" s="61"/>
      <c r="R2026" s="61"/>
      <c r="S2026" s="40"/>
      <c r="T2026" s="38"/>
      <c r="U2026" s="38"/>
      <c r="V2026" s="38"/>
      <c r="W2026" s="60"/>
      <c r="AB2026" s="42"/>
      <c r="AC2026" s="35"/>
      <c r="AD2026" s="38"/>
      <c r="AE2026" s="38"/>
      <c r="AF2026" s="38"/>
      <c r="AG2026" s="38"/>
      <c r="AH2026" s="60"/>
    </row>
    <row r="2027" spans="1:34" ht="15.75" customHeight="1">
      <c r="A2027" s="35"/>
      <c r="B2027" s="81" t="s">
        <v>7219</v>
      </c>
      <c r="C2027" s="37" t="s">
        <v>24</v>
      </c>
      <c r="D2027" s="20" t="s">
        <v>7220</v>
      </c>
      <c r="E2027" s="20" t="s">
        <v>7221</v>
      </c>
      <c r="F2027" s="19" t="s">
        <v>27</v>
      </c>
      <c r="G2027" s="19" t="s">
        <v>28</v>
      </c>
      <c r="H2027" s="37"/>
      <c r="I2027" s="21" t="s">
        <v>29</v>
      </c>
      <c r="J2027" s="21" t="s">
        <v>29</v>
      </c>
      <c r="K2027" s="22" t="s">
        <v>7222</v>
      </c>
      <c r="L2027" s="56">
        <v>45293</v>
      </c>
      <c r="O2027" s="42"/>
      <c r="P2027" s="40"/>
      <c r="Q2027" s="61"/>
      <c r="R2027" s="61"/>
      <c r="S2027" s="40"/>
      <c r="T2027" s="38"/>
      <c r="U2027" s="38"/>
      <c r="V2027" s="38"/>
      <c r="W2027" s="60"/>
      <c r="AB2027" s="42"/>
      <c r="AC2027" s="35"/>
      <c r="AD2027" s="38"/>
      <c r="AE2027" s="38"/>
      <c r="AF2027" s="38"/>
      <c r="AG2027" s="38"/>
      <c r="AH2027" s="60"/>
    </row>
    <row r="2028" spans="1:34" ht="15.75" customHeight="1">
      <c r="A2028" s="35"/>
      <c r="B2028" s="78" t="s">
        <v>7223</v>
      </c>
      <c r="C2028" s="37" t="s">
        <v>24</v>
      </c>
      <c r="D2028" s="20" t="s">
        <v>7224</v>
      </c>
      <c r="E2028" s="20" t="s">
        <v>7225</v>
      </c>
      <c r="F2028" s="19" t="s">
        <v>27</v>
      </c>
      <c r="G2028" s="19" t="s">
        <v>28</v>
      </c>
      <c r="H2028" s="37"/>
      <c r="I2028" s="21" t="s">
        <v>29</v>
      </c>
      <c r="J2028" s="21" t="s">
        <v>29</v>
      </c>
      <c r="K2028" s="22" t="s">
        <v>7225</v>
      </c>
      <c r="L2028" s="56">
        <v>45293</v>
      </c>
      <c r="O2028" s="42"/>
      <c r="P2028" s="40"/>
      <c r="Q2028" s="61"/>
      <c r="R2028" s="61"/>
      <c r="S2028" s="40"/>
      <c r="T2028" s="38"/>
      <c r="U2028" s="38"/>
      <c r="V2028" s="38"/>
      <c r="W2028" s="60"/>
      <c r="AB2028" s="42"/>
      <c r="AC2028" s="35"/>
      <c r="AD2028" s="38"/>
      <c r="AE2028" s="38"/>
      <c r="AF2028" s="38"/>
      <c r="AG2028" s="38"/>
      <c r="AH2028" s="60"/>
    </row>
    <row r="2029" spans="1:34" ht="15.75" customHeight="1">
      <c r="A2029" s="35"/>
      <c r="B2029" s="78" t="s">
        <v>7226</v>
      </c>
      <c r="C2029" s="37" t="s">
        <v>46</v>
      </c>
      <c r="D2029" s="20" t="s">
        <v>7227</v>
      </c>
      <c r="E2029" s="20" t="s">
        <v>7228</v>
      </c>
      <c r="F2029" s="37" t="s">
        <v>49</v>
      </c>
      <c r="G2029" s="19" t="s">
        <v>50</v>
      </c>
      <c r="H2029" s="37"/>
      <c r="I2029" s="21" t="s">
        <v>29</v>
      </c>
      <c r="J2029" s="21" t="s">
        <v>29</v>
      </c>
      <c r="K2029" s="22" t="s">
        <v>7229</v>
      </c>
      <c r="L2029" s="56">
        <v>45293</v>
      </c>
      <c r="O2029" s="42"/>
      <c r="P2029" s="40"/>
      <c r="Q2029" s="61"/>
      <c r="R2029" s="61"/>
      <c r="S2029" s="40"/>
      <c r="T2029" s="38"/>
      <c r="U2029" s="38"/>
      <c r="V2029" s="38"/>
      <c r="W2029" s="60"/>
      <c r="AB2029" s="42"/>
      <c r="AC2029" s="35"/>
      <c r="AD2029" s="38"/>
      <c r="AE2029" s="38"/>
      <c r="AF2029" s="38"/>
      <c r="AG2029" s="38"/>
      <c r="AH2029" s="60"/>
    </row>
    <row r="2030" spans="1:34" ht="15.75" customHeight="1">
      <c r="A2030" s="35"/>
      <c r="B2030" s="78" t="s">
        <v>7230</v>
      </c>
      <c r="C2030" s="37" t="s">
        <v>1470</v>
      </c>
      <c r="D2030" s="20" t="s">
        <v>7231</v>
      </c>
      <c r="E2030" s="20"/>
      <c r="F2030" s="19" t="s">
        <v>3286</v>
      </c>
      <c r="G2030" s="37" t="s">
        <v>1461</v>
      </c>
      <c r="H2030" s="37"/>
      <c r="I2030" s="21" t="s">
        <v>233</v>
      </c>
      <c r="J2030" s="21" t="s">
        <v>233</v>
      </c>
      <c r="K2030" s="22"/>
      <c r="L2030" s="56">
        <v>45293</v>
      </c>
      <c r="O2030" s="42"/>
      <c r="P2030" s="40"/>
      <c r="Q2030" s="61"/>
      <c r="R2030" s="61"/>
      <c r="S2030" s="40"/>
      <c r="T2030" s="38"/>
      <c r="U2030" s="38"/>
      <c r="V2030" s="38"/>
      <c r="W2030" s="60"/>
      <c r="AB2030" s="42"/>
      <c r="AC2030" s="35"/>
      <c r="AD2030" s="38"/>
      <c r="AE2030" s="38"/>
      <c r="AF2030" s="38"/>
      <c r="AG2030" s="38"/>
      <c r="AH2030" s="60"/>
    </row>
    <row r="2031" spans="1:34" ht="15.75" customHeight="1">
      <c r="A2031" s="35"/>
      <c r="B2031" s="78" t="s">
        <v>7232</v>
      </c>
      <c r="C2031" s="37" t="s">
        <v>87</v>
      </c>
      <c r="D2031" s="20" t="s">
        <v>7233</v>
      </c>
      <c r="E2031" s="20" t="s">
        <v>7234</v>
      </c>
      <c r="F2031" s="19" t="s">
        <v>90</v>
      </c>
      <c r="G2031" s="19" t="s">
        <v>91</v>
      </c>
      <c r="H2031" s="37"/>
      <c r="I2031" s="21" t="s">
        <v>29</v>
      </c>
      <c r="J2031" s="21" t="s">
        <v>29</v>
      </c>
      <c r="K2031" s="22" t="s">
        <v>7235</v>
      </c>
      <c r="L2031" s="56">
        <v>45293</v>
      </c>
      <c r="O2031" s="42"/>
      <c r="P2031" s="40"/>
      <c r="Q2031" s="61"/>
      <c r="R2031" s="61"/>
      <c r="S2031" s="40"/>
      <c r="T2031" s="38"/>
      <c r="U2031" s="38"/>
      <c r="V2031" s="38"/>
      <c r="W2031" s="60"/>
      <c r="AB2031" s="42"/>
      <c r="AC2031" s="35"/>
      <c r="AD2031" s="38"/>
      <c r="AE2031" s="38"/>
      <c r="AF2031" s="38"/>
      <c r="AG2031" s="38"/>
      <c r="AH2031" s="60"/>
    </row>
    <row r="2032" spans="1:34" ht="15.75" customHeight="1">
      <c r="A2032" s="35"/>
      <c r="B2032" s="78" t="s">
        <v>7236</v>
      </c>
      <c r="C2032" s="37" t="s">
        <v>24</v>
      </c>
      <c r="D2032" s="20" t="s">
        <v>7237</v>
      </c>
      <c r="E2032" s="20" t="s">
        <v>7238</v>
      </c>
      <c r="F2032" s="19" t="s">
        <v>27</v>
      </c>
      <c r="G2032" s="19" t="s">
        <v>28</v>
      </c>
      <c r="H2032" s="37"/>
      <c r="I2032" s="21" t="s">
        <v>29</v>
      </c>
      <c r="J2032" s="21" t="s">
        <v>29</v>
      </c>
      <c r="K2032" s="22" t="s">
        <v>7238</v>
      </c>
      <c r="L2032" s="56">
        <v>45293</v>
      </c>
      <c r="O2032" s="42"/>
      <c r="P2032" s="40"/>
      <c r="Q2032" s="61"/>
      <c r="R2032" s="61"/>
      <c r="S2032" s="40"/>
      <c r="T2032" s="38"/>
      <c r="U2032" s="38"/>
      <c r="V2032" s="38"/>
      <c r="W2032" s="60"/>
      <c r="AB2032" s="42"/>
      <c r="AC2032" s="35"/>
      <c r="AD2032" s="38"/>
      <c r="AE2032" s="38"/>
      <c r="AF2032" s="38"/>
      <c r="AG2032" s="38"/>
      <c r="AH2032" s="60"/>
    </row>
    <row r="2033" spans="1:34" ht="15.75" customHeight="1">
      <c r="A2033" s="35"/>
      <c r="B2033" s="78" t="s">
        <v>7239</v>
      </c>
      <c r="C2033" s="37" t="s">
        <v>228</v>
      </c>
      <c r="D2033" s="20" t="s">
        <v>7240</v>
      </c>
      <c r="E2033" s="20" t="s">
        <v>7241</v>
      </c>
      <c r="F2033" s="19" t="s">
        <v>231</v>
      </c>
      <c r="G2033" s="19" t="s">
        <v>232</v>
      </c>
      <c r="H2033" s="19" t="s">
        <v>36</v>
      </c>
      <c r="I2033" s="21" t="s">
        <v>233</v>
      </c>
      <c r="J2033" s="21" t="s">
        <v>233</v>
      </c>
      <c r="K2033" s="22" t="s">
        <v>7241</v>
      </c>
      <c r="L2033" s="56">
        <v>45293</v>
      </c>
      <c r="O2033" s="42"/>
      <c r="P2033" s="40"/>
      <c r="Q2033" s="61"/>
      <c r="R2033" s="61"/>
      <c r="S2033" s="40"/>
      <c r="T2033" s="38"/>
      <c r="U2033" s="38"/>
      <c r="V2033" s="38"/>
      <c r="W2033" s="60"/>
      <c r="AB2033" s="42"/>
      <c r="AC2033" s="35"/>
      <c r="AD2033" s="38"/>
      <c r="AE2033" s="38"/>
      <c r="AF2033" s="38"/>
      <c r="AG2033" s="38"/>
      <c r="AH2033" s="60"/>
    </row>
    <row r="2034" spans="1:34" ht="15.75" customHeight="1">
      <c r="A2034" s="35"/>
      <c r="B2034" s="78" t="s">
        <v>7242</v>
      </c>
      <c r="C2034" s="37" t="s">
        <v>121</v>
      </c>
      <c r="D2034" s="20" t="s">
        <v>7243</v>
      </c>
      <c r="E2034" s="20" t="s">
        <v>7244</v>
      </c>
      <c r="F2034" s="19" t="s">
        <v>90</v>
      </c>
      <c r="G2034" s="19" t="s">
        <v>91</v>
      </c>
      <c r="H2034" s="37"/>
      <c r="I2034" s="21" t="s">
        <v>29</v>
      </c>
      <c r="J2034" s="21" t="s">
        <v>29</v>
      </c>
      <c r="K2034" s="22" t="s">
        <v>7245</v>
      </c>
      <c r="L2034" s="56">
        <v>45293</v>
      </c>
      <c r="O2034" s="42"/>
      <c r="P2034" s="40"/>
      <c r="Q2034" s="61"/>
      <c r="R2034" s="61"/>
      <c r="S2034" s="40"/>
      <c r="T2034" s="38"/>
      <c r="U2034" s="38"/>
      <c r="V2034" s="38"/>
      <c r="W2034" s="60"/>
      <c r="AB2034" s="42"/>
      <c r="AC2034" s="35"/>
      <c r="AD2034" s="38"/>
      <c r="AE2034" s="38"/>
      <c r="AF2034" s="38"/>
      <c r="AG2034" s="38"/>
      <c r="AH2034" s="60"/>
    </row>
    <row r="2035" spans="1:34" ht="15.75" customHeight="1">
      <c r="A2035" s="35"/>
      <c r="B2035" s="78" t="s">
        <v>7246</v>
      </c>
      <c r="C2035" s="37" t="s">
        <v>24</v>
      </c>
      <c r="D2035" s="20" t="s">
        <v>7247</v>
      </c>
      <c r="E2035" s="20" t="s">
        <v>7248</v>
      </c>
      <c r="F2035" s="19" t="s">
        <v>27</v>
      </c>
      <c r="G2035" s="19" t="s">
        <v>28</v>
      </c>
      <c r="H2035" s="37"/>
      <c r="I2035" s="21" t="s">
        <v>29</v>
      </c>
      <c r="J2035" s="21" t="s">
        <v>29</v>
      </c>
      <c r="K2035" s="22" t="s">
        <v>7248</v>
      </c>
      <c r="L2035" s="56">
        <v>45293</v>
      </c>
      <c r="O2035" s="42"/>
      <c r="P2035" s="40"/>
      <c r="Q2035" s="61"/>
      <c r="R2035" s="61"/>
      <c r="S2035" s="40"/>
      <c r="T2035" s="38"/>
      <c r="U2035" s="38"/>
      <c r="V2035" s="38"/>
      <c r="W2035" s="60"/>
      <c r="AB2035" s="42"/>
      <c r="AC2035" s="35"/>
      <c r="AD2035" s="38"/>
      <c r="AE2035" s="38"/>
      <c r="AF2035" s="38"/>
      <c r="AG2035" s="38"/>
      <c r="AH2035" s="60"/>
    </row>
    <row r="2036" spans="1:34" ht="15.75" customHeight="1">
      <c r="A2036" s="35"/>
      <c r="B2036" s="78" t="s">
        <v>7249</v>
      </c>
      <c r="C2036" s="37" t="s">
        <v>24</v>
      </c>
      <c r="D2036" s="20" t="s">
        <v>7250</v>
      </c>
      <c r="E2036" s="20" t="s">
        <v>7251</v>
      </c>
      <c r="F2036" s="19" t="s">
        <v>27</v>
      </c>
      <c r="G2036" s="19" t="s">
        <v>28</v>
      </c>
      <c r="H2036" s="37"/>
      <c r="I2036" s="21" t="s">
        <v>29</v>
      </c>
      <c r="J2036" s="21" t="s">
        <v>29</v>
      </c>
      <c r="K2036" s="22" t="s">
        <v>7251</v>
      </c>
      <c r="L2036" s="56">
        <v>45293</v>
      </c>
      <c r="O2036" s="42"/>
      <c r="P2036" s="40"/>
      <c r="Q2036" s="61"/>
      <c r="R2036" s="61"/>
      <c r="S2036" s="40"/>
      <c r="T2036" s="38"/>
      <c r="U2036" s="38"/>
      <c r="V2036" s="38"/>
      <c r="W2036" s="60"/>
      <c r="AB2036" s="42"/>
      <c r="AC2036" s="35"/>
      <c r="AD2036" s="38"/>
      <c r="AE2036" s="38"/>
      <c r="AF2036" s="38"/>
      <c r="AG2036" s="38"/>
      <c r="AH2036" s="60"/>
    </row>
    <row r="2037" spans="1:34" ht="15.75" customHeight="1">
      <c r="A2037" s="35"/>
      <c r="B2037" s="80" t="s">
        <v>7252</v>
      </c>
      <c r="C2037" s="37" t="s">
        <v>24</v>
      </c>
      <c r="D2037" s="20" t="s">
        <v>7253</v>
      </c>
      <c r="E2037" s="20" t="s">
        <v>7254</v>
      </c>
      <c r="F2037" s="37" t="s">
        <v>49</v>
      </c>
      <c r="G2037" s="19" t="s">
        <v>50</v>
      </c>
      <c r="H2037" s="37"/>
      <c r="I2037" s="21" t="s">
        <v>29</v>
      </c>
      <c r="J2037" s="21" t="s">
        <v>29</v>
      </c>
      <c r="K2037" s="22" t="s">
        <v>7255</v>
      </c>
      <c r="L2037" s="56">
        <v>45293</v>
      </c>
      <c r="O2037" s="42"/>
      <c r="P2037" s="40"/>
      <c r="Q2037" s="61"/>
      <c r="R2037" s="61"/>
      <c r="S2037" s="40"/>
      <c r="T2037" s="38"/>
      <c r="U2037" s="38"/>
      <c r="V2037" s="38"/>
      <c r="W2037" s="60"/>
      <c r="AB2037" s="42"/>
      <c r="AC2037" s="35"/>
      <c r="AD2037" s="38"/>
      <c r="AE2037" s="38"/>
      <c r="AF2037" s="38"/>
      <c r="AG2037" s="38"/>
      <c r="AH2037" s="60"/>
    </row>
    <row r="2038" spans="1:34" ht="15.75" customHeight="1">
      <c r="A2038" s="35"/>
      <c r="B2038" s="78" t="s">
        <v>7256</v>
      </c>
      <c r="C2038" s="37" t="s">
        <v>1470</v>
      </c>
      <c r="D2038" s="20" t="s">
        <v>7257</v>
      </c>
      <c r="E2038" s="20" t="s">
        <v>7258</v>
      </c>
      <c r="F2038" s="19" t="s">
        <v>3286</v>
      </c>
      <c r="G2038" s="19" t="s">
        <v>1461</v>
      </c>
      <c r="H2038" s="37"/>
      <c r="I2038" s="21" t="s">
        <v>233</v>
      </c>
      <c r="J2038" s="21" t="s">
        <v>233</v>
      </c>
      <c r="K2038" s="22" t="s">
        <v>7258</v>
      </c>
      <c r="L2038" s="56">
        <v>45293</v>
      </c>
      <c r="O2038" s="42"/>
      <c r="P2038" s="40"/>
      <c r="Q2038" s="61"/>
      <c r="R2038" s="61"/>
      <c r="S2038" s="40"/>
      <c r="T2038" s="38"/>
      <c r="U2038" s="38"/>
      <c r="V2038" s="38"/>
      <c r="W2038" s="60"/>
      <c r="AB2038" s="42"/>
      <c r="AC2038" s="35"/>
      <c r="AD2038" s="38"/>
      <c r="AE2038" s="38"/>
      <c r="AF2038" s="38"/>
      <c r="AG2038" s="38"/>
      <c r="AH2038" s="60"/>
    </row>
    <row r="2039" spans="1:34" ht="15.75" customHeight="1">
      <c r="A2039" s="35"/>
      <c r="B2039" s="78" t="s">
        <v>7259</v>
      </c>
      <c r="C2039" s="37" t="s">
        <v>1430</v>
      </c>
      <c r="D2039" s="20" t="s">
        <v>7257</v>
      </c>
      <c r="E2039" s="20" t="s">
        <v>7260</v>
      </c>
      <c r="F2039" s="55" t="s">
        <v>1445</v>
      </c>
      <c r="G2039" s="55" t="s">
        <v>1432</v>
      </c>
      <c r="H2039" s="37"/>
      <c r="I2039" s="21" t="s">
        <v>233</v>
      </c>
      <c r="J2039" s="21" t="s">
        <v>233</v>
      </c>
      <c r="K2039" s="22" t="s">
        <v>7260</v>
      </c>
      <c r="L2039" s="56">
        <v>45293</v>
      </c>
      <c r="O2039" s="42"/>
      <c r="P2039" s="40"/>
      <c r="Q2039" s="61"/>
      <c r="R2039" s="61"/>
      <c r="S2039" s="40"/>
      <c r="T2039" s="38"/>
      <c r="U2039" s="38"/>
      <c r="V2039" s="38"/>
      <c r="W2039" s="60"/>
      <c r="AB2039" s="42"/>
      <c r="AC2039" s="35"/>
      <c r="AD2039" s="38"/>
      <c r="AE2039" s="38"/>
      <c r="AF2039" s="38"/>
      <c r="AG2039" s="38"/>
      <c r="AH2039" s="60"/>
    </row>
    <row r="2040" spans="1:34" ht="15.75" customHeight="1">
      <c r="A2040" s="35"/>
      <c r="B2040" s="80" t="s">
        <v>7261</v>
      </c>
      <c r="C2040" s="37" t="s">
        <v>24</v>
      </c>
      <c r="D2040" s="20" t="s">
        <v>7262</v>
      </c>
      <c r="E2040" s="20" t="s">
        <v>7263</v>
      </c>
      <c r="F2040" s="19" t="s">
        <v>90</v>
      </c>
      <c r="G2040" s="19" t="s">
        <v>91</v>
      </c>
      <c r="H2040" s="37"/>
      <c r="I2040" s="21" t="s">
        <v>29</v>
      </c>
      <c r="J2040" s="21" t="s">
        <v>29</v>
      </c>
      <c r="K2040" s="22" t="s">
        <v>7264</v>
      </c>
      <c r="L2040" s="56">
        <v>45293</v>
      </c>
      <c r="O2040" s="42"/>
      <c r="P2040" s="40"/>
      <c r="Q2040" s="61"/>
      <c r="R2040" s="61"/>
      <c r="S2040" s="40"/>
      <c r="T2040" s="38"/>
      <c r="U2040" s="38"/>
      <c r="V2040" s="38"/>
      <c r="W2040" s="60"/>
      <c r="AB2040" s="42"/>
      <c r="AC2040" s="35"/>
      <c r="AD2040" s="38"/>
      <c r="AE2040" s="38"/>
      <c r="AF2040" s="38"/>
      <c r="AG2040" s="38"/>
      <c r="AH2040" s="60"/>
    </row>
    <row r="2041" spans="1:34" ht="15.75" customHeight="1">
      <c r="A2041" s="35"/>
      <c r="B2041" s="78" t="s">
        <v>7265</v>
      </c>
      <c r="C2041" s="37" t="s">
        <v>24</v>
      </c>
      <c r="D2041" s="20" t="s">
        <v>7266</v>
      </c>
      <c r="E2041" s="20" t="s">
        <v>7267</v>
      </c>
      <c r="F2041" s="19" t="s">
        <v>27</v>
      </c>
      <c r="G2041" s="19" t="s">
        <v>28</v>
      </c>
      <c r="H2041" s="37"/>
      <c r="I2041" s="21" t="s">
        <v>29</v>
      </c>
      <c r="J2041" s="21" t="s">
        <v>29</v>
      </c>
      <c r="K2041" s="22" t="s">
        <v>7268</v>
      </c>
      <c r="L2041" s="56">
        <v>45293</v>
      </c>
      <c r="O2041" s="42"/>
      <c r="P2041" s="40"/>
      <c r="Q2041" s="61"/>
      <c r="R2041" s="61"/>
      <c r="S2041" s="40"/>
      <c r="T2041" s="38"/>
      <c r="U2041" s="38"/>
      <c r="V2041" s="38"/>
      <c r="W2041" s="60"/>
      <c r="AB2041" s="42"/>
      <c r="AC2041" s="35"/>
      <c r="AD2041" s="38"/>
      <c r="AE2041" s="38"/>
      <c r="AF2041" s="38"/>
      <c r="AG2041" s="38"/>
      <c r="AH2041" s="60"/>
    </row>
    <row r="2042" spans="1:34" ht="15.75" customHeight="1">
      <c r="A2042" s="35"/>
      <c r="B2042" s="78" t="s">
        <v>7269</v>
      </c>
      <c r="C2042" s="37" t="s">
        <v>46</v>
      </c>
      <c r="D2042" s="20" t="s">
        <v>7270</v>
      </c>
      <c r="E2042" s="20" t="s">
        <v>7271</v>
      </c>
      <c r="F2042" s="37" t="s">
        <v>49</v>
      </c>
      <c r="G2042" s="19" t="s">
        <v>50</v>
      </c>
      <c r="H2042" s="37"/>
      <c r="I2042" s="21" t="s">
        <v>29</v>
      </c>
      <c r="J2042" s="21" t="s">
        <v>29</v>
      </c>
      <c r="K2042" s="22" t="s">
        <v>7272</v>
      </c>
      <c r="L2042" s="56">
        <v>45293</v>
      </c>
      <c r="O2042" s="42"/>
      <c r="P2042" s="40"/>
      <c r="Q2042" s="61"/>
      <c r="R2042" s="61"/>
      <c r="S2042" s="40"/>
      <c r="T2042" s="38"/>
      <c r="U2042" s="38"/>
      <c r="V2042" s="38"/>
      <c r="W2042" s="60"/>
      <c r="AB2042" s="42"/>
      <c r="AC2042" s="35"/>
      <c r="AD2042" s="38"/>
      <c r="AE2042" s="38"/>
      <c r="AF2042" s="38"/>
      <c r="AG2042" s="38"/>
      <c r="AH2042" s="60"/>
    </row>
    <row r="2043" spans="1:34" ht="15.75" customHeight="1">
      <c r="A2043" s="35"/>
      <c r="B2043" s="80" t="s">
        <v>7273</v>
      </c>
      <c r="C2043" s="37" t="s">
        <v>24</v>
      </c>
      <c r="D2043" s="20" t="s">
        <v>7274</v>
      </c>
      <c r="E2043" s="20" t="s">
        <v>7275</v>
      </c>
      <c r="F2043" s="19" t="s">
        <v>90</v>
      </c>
      <c r="G2043" s="19" t="s">
        <v>91</v>
      </c>
      <c r="H2043" s="37"/>
      <c r="I2043" s="21" t="s">
        <v>29</v>
      </c>
      <c r="J2043" s="21" t="s">
        <v>29</v>
      </c>
      <c r="K2043" s="22" t="s">
        <v>7276</v>
      </c>
      <c r="L2043" s="56">
        <v>45293</v>
      </c>
      <c r="O2043" s="42"/>
      <c r="P2043" s="40"/>
      <c r="Q2043" s="61"/>
      <c r="R2043" s="61"/>
      <c r="S2043" s="40"/>
      <c r="T2043" s="38"/>
      <c r="U2043" s="38"/>
      <c r="V2043" s="38"/>
      <c r="W2043" s="60"/>
      <c r="AB2043" s="42"/>
      <c r="AC2043" s="35"/>
      <c r="AD2043" s="38"/>
      <c r="AE2043" s="38"/>
      <c r="AF2043" s="38"/>
      <c r="AG2043" s="38"/>
      <c r="AH2043" s="60"/>
    </row>
    <row r="2044" spans="1:34" ht="15.75" customHeight="1">
      <c r="A2044" s="90"/>
      <c r="B2044" s="38"/>
      <c r="C2044" s="37"/>
      <c r="D2044" s="20"/>
      <c r="E2044" s="20"/>
      <c r="F2044" s="37"/>
      <c r="G2044" s="37"/>
      <c r="H2044" s="37"/>
      <c r="I2044" s="21"/>
      <c r="J2044" s="21"/>
      <c r="K2044" s="22"/>
      <c r="L2044" s="56"/>
      <c r="O2044" s="42"/>
      <c r="P2044" s="40"/>
      <c r="Q2044" s="61"/>
      <c r="R2044" s="61"/>
      <c r="S2044" s="40"/>
      <c r="T2044" s="38"/>
      <c r="U2044" s="38"/>
      <c r="V2044" s="38"/>
      <c r="W2044" s="60"/>
      <c r="AB2044" s="42"/>
      <c r="AC2044" s="35"/>
      <c r="AD2044" s="38"/>
      <c r="AE2044" s="38"/>
      <c r="AF2044" s="38"/>
      <c r="AG2044" s="38"/>
      <c r="AH2044" s="60"/>
    </row>
    <row r="2045" spans="1:34" ht="15.75" customHeight="1">
      <c r="A2045" s="35" t="s">
        <v>7277</v>
      </c>
      <c r="B2045" s="18" t="s">
        <v>7278</v>
      </c>
      <c r="C2045" s="37" t="s">
        <v>46</v>
      </c>
      <c r="D2045" s="20" t="s">
        <v>7279</v>
      </c>
      <c r="E2045" s="20" t="s">
        <v>7280</v>
      </c>
      <c r="F2045" s="37" t="s">
        <v>49</v>
      </c>
      <c r="G2045" s="19" t="s">
        <v>50</v>
      </c>
      <c r="H2045" s="37"/>
      <c r="I2045" s="21" t="s">
        <v>29</v>
      </c>
      <c r="J2045" s="21" t="s">
        <v>29</v>
      </c>
      <c r="K2045" s="22" t="s">
        <v>7281</v>
      </c>
      <c r="L2045" s="56">
        <v>45293</v>
      </c>
      <c r="M2045" s="40"/>
      <c r="N2045" s="40"/>
      <c r="O2045" s="42"/>
      <c r="P2045" s="40"/>
      <c r="Q2045" s="61"/>
      <c r="R2045" s="61"/>
      <c r="S2045" s="40"/>
      <c r="T2045" s="38"/>
      <c r="U2045" s="38"/>
      <c r="V2045" s="38"/>
      <c r="W2045" s="60"/>
      <c r="AB2045" s="42"/>
      <c r="AC2045" s="35"/>
      <c r="AD2045" s="38"/>
      <c r="AE2045" s="38"/>
      <c r="AF2045" s="38"/>
      <c r="AG2045" s="38"/>
      <c r="AH2045" s="60"/>
    </row>
    <row r="2046" spans="1:34" ht="15.75" customHeight="1">
      <c r="A2046" s="54" t="s">
        <v>7282</v>
      </c>
      <c r="B2046" s="18" t="s">
        <v>7283</v>
      </c>
      <c r="C2046" s="37" t="s">
        <v>24</v>
      </c>
      <c r="D2046" s="20" t="s">
        <v>7284</v>
      </c>
      <c r="E2046" s="20" t="s">
        <v>7285</v>
      </c>
      <c r="F2046" s="19" t="s">
        <v>27</v>
      </c>
      <c r="G2046" s="19" t="s">
        <v>28</v>
      </c>
      <c r="H2046" s="37"/>
      <c r="I2046" s="21" t="s">
        <v>29</v>
      </c>
      <c r="J2046" s="21" t="s">
        <v>29</v>
      </c>
      <c r="K2046" s="22" t="s">
        <v>7286</v>
      </c>
      <c r="L2046" s="56">
        <v>45293</v>
      </c>
      <c r="O2046" s="42"/>
      <c r="P2046" s="40"/>
      <c r="Q2046" s="61"/>
      <c r="R2046" s="61"/>
      <c r="S2046" s="40"/>
      <c r="T2046" s="38"/>
      <c r="U2046" s="38"/>
      <c r="V2046" s="38"/>
      <c r="W2046" s="60"/>
      <c r="AB2046" s="42"/>
      <c r="AC2046" s="35"/>
      <c r="AD2046" s="38"/>
      <c r="AE2046" s="38"/>
      <c r="AF2046" s="38"/>
      <c r="AG2046" s="38"/>
      <c r="AH2046" s="60"/>
    </row>
    <row r="2047" spans="1:34" ht="15.75" customHeight="1">
      <c r="A2047" s="50" t="s">
        <v>39</v>
      </c>
      <c r="B2047" s="18" t="s">
        <v>7287</v>
      </c>
      <c r="C2047" s="37" t="s">
        <v>412</v>
      </c>
      <c r="D2047" s="20" t="s">
        <v>7288</v>
      </c>
      <c r="E2047" s="20" t="s">
        <v>7289</v>
      </c>
      <c r="F2047" s="19" t="s">
        <v>414</v>
      </c>
      <c r="G2047" s="37" t="s">
        <v>415</v>
      </c>
      <c r="H2047" s="37"/>
      <c r="I2047" s="21" t="s">
        <v>233</v>
      </c>
      <c r="J2047" s="21" t="s">
        <v>233</v>
      </c>
      <c r="K2047" s="22" t="s">
        <v>7290</v>
      </c>
      <c r="L2047" s="56">
        <v>45293</v>
      </c>
      <c r="O2047" s="42"/>
      <c r="P2047" s="40"/>
      <c r="Q2047" s="61"/>
      <c r="R2047" s="61"/>
      <c r="S2047" s="40"/>
      <c r="T2047" s="38"/>
      <c r="U2047" s="38"/>
      <c r="V2047" s="38"/>
      <c r="W2047" s="60"/>
      <c r="AB2047" s="42"/>
      <c r="AC2047" s="35"/>
      <c r="AD2047" s="38"/>
      <c r="AE2047" s="38"/>
      <c r="AF2047" s="38"/>
      <c r="AG2047" s="38"/>
      <c r="AH2047" s="60"/>
    </row>
    <row r="2048" spans="1:34" ht="15.75" customHeight="1">
      <c r="A2048" s="35" t="s">
        <v>6662</v>
      </c>
      <c r="B2048" s="18" t="s">
        <v>7291</v>
      </c>
      <c r="C2048" s="37" t="s">
        <v>412</v>
      </c>
      <c r="D2048" s="20" t="s">
        <v>7292</v>
      </c>
      <c r="E2048" s="20" t="s">
        <v>7293</v>
      </c>
      <c r="F2048" s="19" t="s">
        <v>414</v>
      </c>
      <c r="G2048" s="19" t="s">
        <v>415</v>
      </c>
      <c r="H2048" s="37"/>
      <c r="I2048" s="21" t="s">
        <v>233</v>
      </c>
      <c r="J2048" s="21" t="s">
        <v>233</v>
      </c>
      <c r="K2048" s="22" t="s">
        <v>7294</v>
      </c>
      <c r="L2048" s="56">
        <v>45293</v>
      </c>
      <c r="O2048" s="42"/>
      <c r="P2048" s="40"/>
      <c r="Q2048" s="61"/>
      <c r="R2048" s="61"/>
      <c r="S2048" s="40"/>
      <c r="T2048" s="38"/>
      <c r="U2048" s="38"/>
      <c r="V2048" s="38"/>
      <c r="W2048" s="60"/>
      <c r="AB2048" s="42"/>
      <c r="AC2048" s="35"/>
      <c r="AD2048" s="38"/>
      <c r="AE2048" s="38"/>
      <c r="AF2048" s="38"/>
      <c r="AG2048" s="38"/>
      <c r="AH2048" s="60"/>
    </row>
    <row r="2049" spans="1:34" ht="15.75" customHeight="1">
      <c r="A2049" s="35" t="s">
        <v>7295</v>
      </c>
      <c r="B2049" s="18" t="s">
        <v>7296</v>
      </c>
      <c r="C2049" s="37" t="s">
        <v>24</v>
      </c>
      <c r="D2049" s="20" t="s">
        <v>7297</v>
      </c>
      <c r="E2049" s="20" t="s">
        <v>7298</v>
      </c>
      <c r="F2049" s="19" t="s">
        <v>27</v>
      </c>
      <c r="G2049" s="19" t="s">
        <v>28</v>
      </c>
      <c r="H2049" s="37"/>
      <c r="I2049" s="21" t="s">
        <v>29</v>
      </c>
      <c r="J2049" s="21" t="s">
        <v>29</v>
      </c>
      <c r="K2049" s="22" t="s">
        <v>7299</v>
      </c>
      <c r="L2049" s="56">
        <v>45293</v>
      </c>
      <c r="O2049" s="42"/>
      <c r="P2049" s="40"/>
      <c r="Q2049" s="61"/>
      <c r="R2049" s="61"/>
      <c r="S2049" s="40"/>
      <c r="T2049" s="38"/>
      <c r="U2049" s="38"/>
      <c r="V2049" s="38"/>
      <c r="W2049" s="60"/>
      <c r="AB2049" s="42"/>
      <c r="AC2049" s="35"/>
      <c r="AD2049" s="38"/>
      <c r="AE2049" s="38"/>
      <c r="AF2049" s="38"/>
      <c r="AG2049" s="38"/>
      <c r="AH2049" s="60"/>
    </row>
    <row r="2050" spans="1:34" ht="15.75" customHeight="1">
      <c r="A2050" s="31" t="s">
        <v>56</v>
      </c>
      <c r="B2050" s="18" t="s">
        <v>7300</v>
      </c>
      <c r="C2050" s="37" t="s">
        <v>24</v>
      </c>
      <c r="D2050" s="20" t="s">
        <v>7301</v>
      </c>
      <c r="E2050" s="20" t="s">
        <v>7302</v>
      </c>
      <c r="F2050" s="19" t="s">
        <v>27</v>
      </c>
      <c r="G2050" s="19" t="s">
        <v>28</v>
      </c>
      <c r="H2050" s="37"/>
      <c r="I2050" s="21" t="s">
        <v>29</v>
      </c>
      <c r="J2050" s="21" t="s">
        <v>29</v>
      </c>
      <c r="K2050" s="22" t="s">
        <v>7303</v>
      </c>
      <c r="L2050" s="56">
        <v>45293</v>
      </c>
      <c r="O2050" s="42"/>
      <c r="P2050" s="40"/>
      <c r="Q2050" s="61"/>
      <c r="R2050" s="61"/>
      <c r="S2050" s="40"/>
      <c r="T2050" s="38"/>
      <c r="U2050" s="38"/>
      <c r="V2050" s="38"/>
      <c r="W2050" s="60"/>
      <c r="AB2050" s="42"/>
      <c r="AC2050" s="35"/>
      <c r="AD2050" s="38"/>
      <c r="AE2050" s="38"/>
      <c r="AF2050" s="38"/>
      <c r="AG2050" s="38"/>
      <c r="AH2050" s="60"/>
    </row>
    <row r="2051" spans="1:34" ht="15.75" customHeight="1">
      <c r="A2051" s="17">
        <v>65</v>
      </c>
      <c r="B2051" s="18" t="s">
        <v>7304</v>
      </c>
      <c r="C2051" s="37" t="s">
        <v>24</v>
      </c>
      <c r="D2051" s="20" t="s">
        <v>7305</v>
      </c>
      <c r="E2051" s="20" t="s">
        <v>7306</v>
      </c>
      <c r="F2051" s="19" t="s">
        <v>27</v>
      </c>
      <c r="G2051" s="19" t="s">
        <v>28</v>
      </c>
      <c r="H2051" s="37"/>
      <c r="I2051" s="21" t="s">
        <v>29</v>
      </c>
      <c r="J2051" s="21" t="s">
        <v>29</v>
      </c>
      <c r="K2051" s="22" t="s">
        <v>7307</v>
      </c>
      <c r="L2051" s="56">
        <v>45293</v>
      </c>
      <c r="O2051" s="42"/>
      <c r="P2051" s="40"/>
      <c r="Q2051" s="61"/>
      <c r="R2051" s="61"/>
      <c r="S2051" s="40"/>
      <c r="T2051" s="38"/>
      <c r="U2051" s="38"/>
      <c r="V2051" s="38"/>
      <c r="W2051" s="60"/>
      <c r="AB2051" s="42"/>
      <c r="AC2051" s="35"/>
      <c r="AD2051" s="38"/>
      <c r="AE2051" s="38"/>
      <c r="AF2051" s="38"/>
      <c r="AG2051" s="38"/>
      <c r="AH2051" s="60"/>
    </row>
    <row r="2052" spans="1:34" ht="15.75" customHeight="1">
      <c r="A2052" s="31" t="s">
        <v>64</v>
      </c>
      <c r="B2052" s="18" t="s">
        <v>7308</v>
      </c>
      <c r="C2052" s="37" t="s">
        <v>24</v>
      </c>
      <c r="D2052" s="20" t="s">
        <v>7309</v>
      </c>
      <c r="E2052" s="20" t="s">
        <v>7310</v>
      </c>
      <c r="F2052" s="19" t="s">
        <v>27</v>
      </c>
      <c r="G2052" s="19" t="s">
        <v>28</v>
      </c>
      <c r="H2052" s="37"/>
      <c r="I2052" s="21" t="s">
        <v>29</v>
      </c>
      <c r="J2052" s="21" t="s">
        <v>29</v>
      </c>
      <c r="K2052" s="22" t="s">
        <v>7311</v>
      </c>
      <c r="L2052" s="56">
        <v>45293</v>
      </c>
      <c r="O2052" s="42"/>
      <c r="P2052" s="40"/>
      <c r="Q2052" s="61"/>
      <c r="R2052" s="61"/>
      <c r="S2052" s="40"/>
      <c r="T2052" s="38"/>
      <c r="U2052" s="38"/>
      <c r="V2052" s="38"/>
      <c r="W2052" s="60"/>
      <c r="AB2052" s="42"/>
      <c r="AC2052" s="35"/>
      <c r="AD2052" s="38"/>
      <c r="AE2052" s="38"/>
      <c r="AF2052" s="38"/>
      <c r="AG2052" s="38"/>
      <c r="AH2052" s="60"/>
    </row>
    <row r="2053" spans="1:34" ht="15.75" customHeight="1">
      <c r="A2053" s="17">
        <v>3.5</v>
      </c>
      <c r="B2053" s="18" t="s">
        <v>7312</v>
      </c>
      <c r="C2053" s="37" t="s">
        <v>24</v>
      </c>
      <c r="D2053" s="20" t="s">
        <v>7313</v>
      </c>
      <c r="E2053" s="20" t="s">
        <v>7314</v>
      </c>
      <c r="F2053" s="19" t="s">
        <v>27</v>
      </c>
      <c r="G2053" s="19" t="s">
        <v>28</v>
      </c>
      <c r="H2053" s="37"/>
      <c r="I2053" s="21" t="s">
        <v>29</v>
      </c>
      <c r="J2053" s="21" t="s">
        <v>29</v>
      </c>
      <c r="K2053" s="22" t="s">
        <v>7315</v>
      </c>
      <c r="L2053" s="56">
        <v>45293</v>
      </c>
      <c r="O2053" s="42"/>
      <c r="P2053" s="40"/>
      <c r="Q2053" s="61"/>
      <c r="R2053" s="61"/>
      <c r="S2053" s="40"/>
      <c r="T2053" s="38"/>
      <c r="U2053" s="38"/>
      <c r="V2053" s="38"/>
      <c r="W2053" s="60"/>
      <c r="AB2053" s="42"/>
      <c r="AC2053" s="35"/>
      <c r="AD2053" s="38"/>
      <c r="AE2053" s="38"/>
      <c r="AF2053" s="38"/>
      <c r="AG2053" s="38"/>
      <c r="AH2053" s="60"/>
    </row>
    <row r="2054" spans="1:34" ht="15.75" customHeight="1">
      <c r="A2054" s="31" t="s">
        <v>73</v>
      </c>
      <c r="B2054" s="18" t="s">
        <v>7316</v>
      </c>
      <c r="C2054" s="37" t="s">
        <v>87</v>
      </c>
      <c r="D2054" s="20" t="s">
        <v>7317</v>
      </c>
      <c r="E2054" s="20" t="s">
        <v>7318</v>
      </c>
      <c r="F2054" s="19" t="s">
        <v>90</v>
      </c>
      <c r="G2054" s="19" t="s">
        <v>91</v>
      </c>
      <c r="H2054" s="37"/>
      <c r="I2054" s="21" t="s">
        <v>29</v>
      </c>
      <c r="J2054" s="21" t="s">
        <v>29</v>
      </c>
      <c r="K2054" s="22" t="s">
        <v>7319</v>
      </c>
      <c r="L2054" s="56">
        <v>45293</v>
      </c>
      <c r="O2054" s="42"/>
      <c r="P2054" s="40"/>
      <c r="Q2054" s="61"/>
      <c r="R2054" s="61"/>
      <c r="S2054" s="40"/>
      <c r="T2054" s="38"/>
      <c r="U2054" s="38"/>
      <c r="V2054" s="38"/>
      <c r="W2054" s="60"/>
      <c r="AB2054" s="42"/>
      <c r="AC2054" s="35"/>
      <c r="AD2054" s="38"/>
      <c r="AE2054" s="38"/>
      <c r="AF2054" s="38"/>
      <c r="AG2054" s="38"/>
      <c r="AH2054" s="60"/>
    </row>
    <row r="2055" spans="1:34" ht="15.75" customHeight="1">
      <c r="A2055" s="17">
        <v>3.8</v>
      </c>
      <c r="B2055" s="18" t="s">
        <v>7320</v>
      </c>
      <c r="C2055" s="37" t="s">
        <v>46</v>
      </c>
      <c r="D2055" s="20" t="s">
        <v>7321</v>
      </c>
      <c r="E2055" s="20" t="s">
        <v>7322</v>
      </c>
      <c r="F2055" s="37" t="s">
        <v>49</v>
      </c>
      <c r="G2055" s="19" t="s">
        <v>50</v>
      </c>
      <c r="H2055" s="37"/>
      <c r="I2055" s="21" t="s">
        <v>29</v>
      </c>
      <c r="J2055" s="21" t="s">
        <v>29</v>
      </c>
      <c r="K2055" s="22" t="s">
        <v>7323</v>
      </c>
      <c r="L2055" s="56">
        <v>45293</v>
      </c>
      <c r="O2055" s="42"/>
      <c r="P2055" s="40"/>
      <c r="Q2055" s="61"/>
      <c r="R2055" s="61"/>
      <c r="S2055" s="40"/>
      <c r="T2055" s="38"/>
      <c r="U2055" s="38"/>
      <c r="V2055" s="38"/>
      <c r="W2055" s="60"/>
      <c r="AB2055" s="42"/>
      <c r="AC2055" s="35"/>
      <c r="AD2055" s="38"/>
      <c r="AE2055" s="38"/>
      <c r="AF2055" s="38"/>
      <c r="AG2055" s="38"/>
      <c r="AH2055" s="60"/>
    </row>
    <row r="2056" spans="1:34" ht="15.75" customHeight="1">
      <c r="A2056" s="50" t="s">
        <v>82</v>
      </c>
      <c r="B2056" s="18" t="s">
        <v>7324</v>
      </c>
      <c r="C2056" s="37" t="s">
        <v>24</v>
      </c>
      <c r="D2056" s="20" t="s">
        <v>7325</v>
      </c>
      <c r="E2056" s="20" t="s">
        <v>7326</v>
      </c>
      <c r="F2056" s="19" t="s">
        <v>27</v>
      </c>
      <c r="G2056" s="19" t="s">
        <v>28</v>
      </c>
      <c r="H2056" s="37"/>
      <c r="I2056" s="21" t="s">
        <v>29</v>
      </c>
      <c r="J2056" s="21" t="s">
        <v>29</v>
      </c>
      <c r="K2056" s="22" t="s">
        <v>7327</v>
      </c>
      <c r="L2056" s="56">
        <v>45293</v>
      </c>
      <c r="O2056" s="42"/>
      <c r="P2056" s="40"/>
      <c r="Q2056" s="61"/>
      <c r="R2056" s="61"/>
      <c r="S2056" s="40"/>
      <c r="T2056" s="38"/>
      <c r="U2056" s="38"/>
      <c r="V2056" s="38"/>
      <c r="W2056" s="60"/>
      <c r="AB2056" s="42"/>
      <c r="AC2056" s="35"/>
      <c r="AD2056" s="38"/>
      <c r="AE2056" s="38"/>
      <c r="AF2056" s="38"/>
      <c r="AG2056" s="38"/>
      <c r="AH2056" s="60"/>
    </row>
    <row r="2057" spans="1:34" ht="15.75" customHeight="1">
      <c r="A2057" s="35" t="s">
        <v>7328</v>
      </c>
      <c r="B2057" s="18" t="s">
        <v>7329</v>
      </c>
      <c r="C2057" s="37" t="s">
        <v>24</v>
      </c>
      <c r="D2057" s="20" t="s">
        <v>7330</v>
      </c>
      <c r="E2057" s="20" t="s">
        <v>7331</v>
      </c>
      <c r="F2057" s="19" t="s">
        <v>27</v>
      </c>
      <c r="G2057" s="19" t="s">
        <v>28</v>
      </c>
      <c r="H2057" s="37"/>
      <c r="I2057" s="21" t="s">
        <v>29</v>
      </c>
      <c r="J2057" s="21" t="s">
        <v>29</v>
      </c>
      <c r="K2057" s="22" t="s">
        <v>7332</v>
      </c>
      <c r="L2057" s="56">
        <v>45293</v>
      </c>
      <c r="O2057" s="42"/>
      <c r="P2057" s="40"/>
      <c r="Q2057" s="61"/>
      <c r="R2057" s="61"/>
      <c r="S2057" s="40"/>
      <c r="T2057" s="38"/>
      <c r="U2057" s="38"/>
      <c r="V2057" s="38"/>
      <c r="W2057" s="60"/>
      <c r="AB2057" s="42"/>
      <c r="AC2057" s="35"/>
      <c r="AD2057" s="38"/>
      <c r="AE2057" s="38"/>
      <c r="AF2057" s="38"/>
      <c r="AG2057" s="38"/>
      <c r="AH2057" s="60"/>
    </row>
    <row r="2058" spans="1:34" ht="15.75" customHeight="1">
      <c r="A2058" s="31" t="s">
        <v>92</v>
      </c>
      <c r="B2058" s="18" t="s">
        <v>7333</v>
      </c>
      <c r="C2058" s="37" t="s">
        <v>46</v>
      </c>
      <c r="D2058" s="20" t="s">
        <v>7334</v>
      </c>
      <c r="E2058" s="20" t="s">
        <v>7335</v>
      </c>
      <c r="F2058" s="37" t="s">
        <v>49</v>
      </c>
      <c r="G2058" s="19" t="s">
        <v>50</v>
      </c>
      <c r="H2058" s="37"/>
      <c r="I2058" s="21" t="s">
        <v>29</v>
      </c>
      <c r="J2058" s="21" t="s">
        <v>29</v>
      </c>
      <c r="K2058" s="22" t="s">
        <v>7335</v>
      </c>
      <c r="L2058" s="56">
        <v>45293</v>
      </c>
      <c r="O2058" s="42"/>
      <c r="P2058" s="40"/>
      <c r="Q2058" s="61"/>
      <c r="R2058" s="61"/>
      <c r="S2058" s="40"/>
      <c r="T2058" s="38"/>
      <c r="U2058" s="38"/>
      <c r="V2058" s="38"/>
      <c r="W2058" s="60"/>
      <c r="AB2058" s="42"/>
      <c r="AC2058" s="35"/>
      <c r="AD2058" s="38"/>
      <c r="AE2058" s="38"/>
      <c r="AF2058" s="38"/>
      <c r="AG2058" s="38"/>
      <c r="AH2058" s="60"/>
    </row>
    <row r="2059" spans="1:34" ht="15.75" customHeight="1">
      <c r="A2059" s="33">
        <v>495</v>
      </c>
      <c r="B2059" s="18" t="s">
        <v>7336</v>
      </c>
      <c r="C2059" s="37" t="s">
        <v>46</v>
      </c>
      <c r="D2059" s="20" t="s">
        <v>7337</v>
      </c>
      <c r="E2059" s="20" t="s">
        <v>7338</v>
      </c>
      <c r="F2059" s="37" t="s">
        <v>49</v>
      </c>
      <c r="G2059" s="19" t="s">
        <v>50</v>
      </c>
      <c r="H2059" s="37"/>
      <c r="I2059" s="21" t="s">
        <v>29</v>
      </c>
      <c r="J2059" s="21" t="s">
        <v>29</v>
      </c>
      <c r="K2059" s="22" t="s">
        <v>7339</v>
      </c>
      <c r="L2059" s="56">
        <v>45293</v>
      </c>
      <c r="O2059" s="42"/>
      <c r="P2059" s="40"/>
      <c r="Q2059" s="61"/>
      <c r="R2059" s="61"/>
      <c r="S2059" s="40"/>
      <c r="T2059" s="38"/>
      <c r="U2059" s="38"/>
      <c r="V2059" s="38"/>
      <c r="W2059" s="60"/>
      <c r="AB2059" s="42"/>
      <c r="AC2059" s="35"/>
      <c r="AD2059" s="38"/>
      <c r="AE2059" s="38"/>
      <c r="AF2059" s="38"/>
      <c r="AG2059" s="38"/>
      <c r="AH2059" s="60"/>
    </row>
    <row r="2060" spans="1:34" ht="15.75" customHeight="1">
      <c r="A2060" s="31" t="s">
        <v>100</v>
      </c>
      <c r="B2060" s="18" t="s">
        <v>7340</v>
      </c>
      <c r="C2060" s="37" t="s">
        <v>24</v>
      </c>
      <c r="D2060" s="20" t="s">
        <v>7341</v>
      </c>
      <c r="E2060" s="20" t="s">
        <v>7342</v>
      </c>
      <c r="F2060" s="19" t="s">
        <v>27</v>
      </c>
      <c r="G2060" s="19" t="s">
        <v>28</v>
      </c>
      <c r="H2060" s="37"/>
      <c r="I2060" s="21" t="s">
        <v>29</v>
      </c>
      <c r="J2060" s="21" t="s">
        <v>29</v>
      </c>
      <c r="K2060" s="22" t="s">
        <v>7343</v>
      </c>
      <c r="L2060" s="56">
        <v>45293</v>
      </c>
      <c r="O2060" s="42"/>
      <c r="P2060" s="40"/>
      <c r="Q2060" s="61"/>
      <c r="R2060" s="61"/>
      <c r="S2060" s="40"/>
      <c r="T2060" s="38"/>
      <c r="U2060" s="38"/>
      <c r="V2060" s="38"/>
      <c r="W2060" s="60"/>
      <c r="AB2060" s="42"/>
      <c r="AC2060" s="35"/>
      <c r="AD2060" s="38"/>
      <c r="AE2060" s="38"/>
      <c r="AF2060" s="38"/>
      <c r="AG2060" s="38"/>
      <c r="AH2060" s="60"/>
    </row>
    <row r="2061" spans="1:34" ht="15.75" customHeight="1">
      <c r="A2061" s="17">
        <v>167</v>
      </c>
      <c r="B2061" s="18" t="s">
        <v>7344</v>
      </c>
      <c r="C2061" s="37" t="s">
        <v>24</v>
      </c>
      <c r="D2061" s="20" t="s">
        <v>7345</v>
      </c>
      <c r="E2061" s="20" t="s">
        <v>7346</v>
      </c>
      <c r="F2061" s="19" t="s">
        <v>27</v>
      </c>
      <c r="G2061" s="19" t="s">
        <v>28</v>
      </c>
      <c r="H2061" s="37"/>
      <c r="I2061" s="21" t="s">
        <v>29</v>
      </c>
      <c r="J2061" s="21" t="s">
        <v>29</v>
      </c>
      <c r="K2061" s="22" t="s">
        <v>7346</v>
      </c>
      <c r="L2061" s="56">
        <v>45293</v>
      </c>
      <c r="O2061" s="42"/>
      <c r="P2061" s="40"/>
      <c r="Q2061" s="61"/>
      <c r="R2061" s="61"/>
      <c r="S2061" s="40"/>
      <c r="T2061" s="38"/>
      <c r="U2061" s="38"/>
      <c r="V2061" s="38"/>
      <c r="W2061" s="60"/>
      <c r="AB2061" s="42"/>
      <c r="AC2061" s="35"/>
      <c r="AD2061" s="38"/>
      <c r="AE2061" s="38"/>
      <c r="AF2061" s="38"/>
      <c r="AG2061" s="38"/>
      <c r="AH2061" s="60"/>
    </row>
    <row r="2062" spans="1:34" ht="15.75" customHeight="1">
      <c r="A2062" s="91"/>
      <c r="B2062" s="18" t="s">
        <v>7347</v>
      </c>
      <c r="C2062" s="37" t="s">
        <v>24</v>
      </c>
      <c r="D2062" s="20" t="s">
        <v>7348</v>
      </c>
      <c r="E2062" s="20" t="s">
        <v>7349</v>
      </c>
      <c r="F2062" s="19" t="s">
        <v>27</v>
      </c>
      <c r="G2062" s="19" t="s">
        <v>28</v>
      </c>
      <c r="H2062" s="37"/>
      <c r="I2062" s="21" t="s">
        <v>29</v>
      </c>
      <c r="J2062" s="21" t="s">
        <v>29</v>
      </c>
      <c r="K2062" s="22" t="s">
        <v>7350</v>
      </c>
      <c r="L2062" s="56">
        <v>45293</v>
      </c>
      <c r="O2062" s="42"/>
      <c r="P2062" s="40"/>
      <c r="Q2062" s="61"/>
      <c r="R2062" s="61"/>
      <c r="S2062" s="40"/>
      <c r="T2062" s="38"/>
      <c r="U2062" s="38"/>
      <c r="V2062" s="38"/>
      <c r="W2062" s="60"/>
      <c r="AB2062" s="42"/>
      <c r="AC2062" s="35"/>
      <c r="AD2062" s="38"/>
      <c r="AE2062" s="38"/>
      <c r="AF2062" s="38"/>
      <c r="AG2062" s="38"/>
      <c r="AH2062" s="60"/>
    </row>
    <row r="2063" spans="1:34" ht="15.75" customHeight="1">
      <c r="A2063" s="92"/>
      <c r="B2063" s="18" t="s">
        <v>7351</v>
      </c>
      <c r="C2063" s="37" t="s">
        <v>24</v>
      </c>
      <c r="D2063" s="20" t="s">
        <v>7352</v>
      </c>
      <c r="E2063" s="20" t="s">
        <v>7353</v>
      </c>
      <c r="F2063" s="19" t="s">
        <v>27</v>
      </c>
      <c r="G2063" s="19" t="s">
        <v>28</v>
      </c>
      <c r="H2063" s="37"/>
      <c r="I2063" s="21" t="s">
        <v>29</v>
      </c>
      <c r="J2063" s="21" t="s">
        <v>29</v>
      </c>
      <c r="K2063" s="22" t="s">
        <v>7354</v>
      </c>
      <c r="L2063" s="56">
        <v>45293</v>
      </c>
      <c r="O2063" s="42"/>
      <c r="P2063" s="40"/>
      <c r="Q2063" s="61"/>
      <c r="R2063" s="61"/>
      <c r="S2063" s="40"/>
      <c r="T2063" s="38"/>
      <c r="U2063" s="38"/>
      <c r="V2063" s="38"/>
      <c r="W2063" s="60"/>
      <c r="AB2063" s="42"/>
      <c r="AC2063" s="35"/>
      <c r="AD2063" s="38"/>
      <c r="AE2063" s="38"/>
      <c r="AF2063" s="38"/>
      <c r="AG2063" s="38"/>
      <c r="AH2063" s="60"/>
    </row>
    <row r="2064" spans="1:34" ht="15.75" customHeight="1">
      <c r="A2064" s="93"/>
      <c r="B2064" s="18" t="s">
        <v>7355</v>
      </c>
      <c r="C2064" s="37" t="s">
        <v>46</v>
      </c>
      <c r="D2064" s="20" t="s">
        <v>7356</v>
      </c>
      <c r="E2064" s="20" t="s">
        <v>7357</v>
      </c>
      <c r="F2064" s="37" t="s">
        <v>49</v>
      </c>
      <c r="G2064" s="19" t="s">
        <v>50</v>
      </c>
      <c r="H2064" s="37"/>
      <c r="I2064" s="21" t="s">
        <v>29</v>
      </c>
      <c r="J2064" s="21" t="s">
        <v>29</v>
      </c>
      <c r="K2064" s="22" t="s">
        <v>7358</v>
      </c>
      <c r="L2064" s="56">
        <v>45293</v>
      </c>
      <c r="O2064" s="42"/>
      <c r="P2064" s="40"/>
      <c r="Q2064" s="61"/>
      <c r="R2064" s="61"/>
      <c r="S2064" s="40"/>
      <c r="T2064" s="38"/>
      <c r="U2064" s="38"/>
      <c r="V2064" s="38"/>
      <c r="W2064" s="60"/>
      <c r="AB2064" s="42"/>
      <c r="AC2064" s="35"/>
      <c r="AD2064" s="38"/>
      <c r="AE2064" s="38"/>
      <c r="AF2064" s="38"/>
      <c r="AG2064" s="38"/>
      <c r="AH2064" s="60"/>
    </row>
    <row r="2065" spans="1:34" ht="15.75" customHeight="1">
      <c r="A2065" s="94"/>
      <c r="B2065" s="18" t="s">
        <v>7359</v>
      </c>
      <c r="C2065" s="37" t="s">
        <v>87</v>
      </c>
      <c r="D2065" s="20" t="s">
        <v>7360</v>
      </c>
      <c r="E2065" s="20" t="s">
        <v>7361</v>
      </c>
      <c r="F2065" s="19" t="s">
        <v>90</v>
      </c>
      <c r="G2065" s="19" t="s">
        <v>91</v>
      </c>
      <c r="H2065" s="37"/>
      <c r="I2065" s="21" t="s">
        <v>29</v>
      </c>
      <c r="J2065" s="21" t="s">
        <v>29</v>
      </c>
      <c r="K2065" s="22" t="s">
        <v>7362</v>
      </c>
      <c r="L2065" s="56">
        <v>45293</v>
      </c>
      <c r="O2065" s="42"/>
      <c r="P2065" s="40"/>
      <c r="Q2065" s="61"/>
      <c r="R2065" s="61"/>
      <c r="S2065" s="40"/>
      <c r="T2065" s="38"/>
      <c r="U2065" s="38"/>
      <c r="V2065" s="38"/>
      <c r="W2065" s="60"/>
      <c r="AB2065" s="42"/>
      <c r="AC2065" s="35"/>
      <c r="AD2065" s="38"/>
      <c r="AE2065" s="38"/>
      <c r="AF2065" s="38"/>
      <c r="AG2065" s="38"/>
      <c r="AH2065" s="60"/>
    </row>
    <row r="2066" spans="1:34" ht="15.75" customHeight="1">
      <c r="A2066" s="93"/>
      <c r="B2066" s="18" t="s">
        <v>7363</v>
      </c>
      <c r="C2066" s="37" t="s">
        <v>87</v>
      </c>
      <c r="D2066" s="20" t="s">
        <v>7364</v>
      </c>
      <c r="E2066" s="20" t="s">
        <v>7365</v>
      </c>
      <c r="F2066" s="37" t="s">
        <v>49</v>
      </c>
      <c r="G2066" s="19" t="s">
        <v>50</v>
      </c>
      <c r="H2066" s="37"/>
      <c r="I2066" s="21" t="s">
        <v>29</v>
      </c>
      <c r="J2066" s="21" t="s">
        <v>29</v>
      </c>
      <c r="K2066" s="22" t="s">
        <v>7366</v>
      </c>
      <c r="L2066" s="56">
        <v>45293</v>
      </c>
      <c r="O2066" s="42"/>
      <c r="P2066" s="40"/>
      <c r="Q2066" s="61"/>
      <c r="R2066" s="61"/>
      <c r="S2066" s="40"/>
      <c r="T2066" s="38"/>
      <c r="U2066" s="38"/>
      <c r="V2066" s="38"/>
      <c r="W2066" s="60"/>
      <c r="AB2066" s="42"/>
      <c r="AC2066" s="35"/>
      <c r="AD2066" s="38"/>
      <c r="AE2066" s="38"/>
      <c r="AF2066" s="38"/>
      <c r="AG2066" s="38"/>
      <c r="AH2066" s="60"/>
    </row>
    <row r="2067" spans="1:34" ht="15.75" customHeight="1">
      <c r="A2067" s="94"/>
      <c r="B2067" s="38"/>
      <c r="C2067" s="37"/>
      <c r="D2067" s="20"/>
      <c r="E2067" s="20"/>
      <c r="F2067" s="37"/>
      <c r="G2067" s="37"/>
      <c r="H2067" s="37"/>
      <c r="I2067" s="21"/>
      <c r="J2067" s="21"/>
      <c r="K2067" s="22"/>
      <c r="L2067" s="56"/>
      <c r="O2067" s="42"/>
      <c r="P2067" s="40"/>
      <c r="Q2067" s="61"/>
      <c r="R2067" s="61"/>
      <c r="S2067" s="40"/>
      <c r="T2067" s="38"/>
      <c r="U2067" s="38"/>
      <c r="V2067" s="38"/>
      <c r="W2067" s="60"/>
      <c r="AB2067" s="42"/>
      <c r="AC2067" s="35"/>
      <c r="AD2067" s="38"/>
      <c r="AE2067" s="38"/>
      <c r="AF2067" s="38"/>
      <c r="AG2067" s="38"/>
      <c r="AH2067" s="60"/>
    </row>
    <row r="2068" spans="1:34" ht="15.75" customHeight="1">
      <c r="A2068" s="35" t="s">
        <v>7367</v>
      </c>
      <c r="B2068" s="18" t="s">
        <v>7368</v>
      </c>
      <c r="C2068" s="37" t="s">
        <v>87</v>
      </c>
      <c r="D2068" s="20" t="s">
        <v>7369</v>
      </c>
      <c r="E2068" s="20" t="s">
        <v>7370</v>
      </c>
      <c r="F2068" s="19" t="s">
        <v>90</v>
      </c>
      <c r="G2068" s="19" t="s">
        <v>91</v>
      </c>
      <c r="H2068" s="37"/>
      <c r="I2068" s="21" t="s">
        <v>29</v>
      </c>
      <c r="J2068" s="21" t="s">
        <v>29</v>
      </c>
      <c r="K2068" s="22" t="s">
        <v>7371</v>
      </c>
      <c r="L2068" s="56">
        <v>45293</v>
      </c>
      <c r="M2068" s="40"/>
      <c r="N2068" s="40"/>
      <c r="O2068" s="42"/>
      <c r="P2068" s="40"/>
      <c r="Q2068" s="61"/>
      <c r="R2068" s="61"/>
      <c r="S2068" s="40"/>
      <c r="T2068" s="38"/>
      <c r="U2068" s="38"/>
      <c r="V2068" s="38"/>
      <c r="W2068" s="60"/>
      <c r="AB2068" s="42"/>
      <c r="AC2068" s="35"/>
      <c r="AD2068" s="38"/>
      <c r="AE2068" s="38"/>
      <c r="AF2068" s="38"/>
      <c r="AG2068" s="38"/>
      <c r="AH2068" s="60"/>
    </row>
    <row r="2069" spans="1:34" ht="15.75" customHeight="1">
      <c r="A2069" s="54" t="s">
        <v>7372</v>
      </c>
      <c r="B2069" s="18" t="s">
        <v>7373</v>
      </c>
      <c r="C2069" s="37" t="s">
        <v>24</v>
      </c>
      <c r="D2069" s="20" t="s">
        <v>7374</v>
      </c>
      <c r="E2069" s="20" t="s">
        <v>7375</v>
      </c>
      <c r="F2069" s="19" t="s">
        <v>27</v>
      </c>
      <c r="G2069" s="19" t="s">
        <v>28</v>
      </c>
      <c r="H2069" s="37"/>
      <c r="I2069" s="21" t="s">
        <v>29</v>
      </c>
      <c r="J2069" s="21" t="s">
        <v>29</v>
      </c>
      <c r="K2069" s="22" t="s">
        <v>7376</v>
      </c>
      <c r="L2069" s="56">
        <v>45293</v>
      </c>
      <c r="O2069" s="42"/>
      <c r="P2069" s="40"/>
      <c r="Q2069" s="61"/>
      <c r="R2069" s="61"/>
      <c r="S2069" s="40"/>
      <c r="T2069" s="38"/>
      <c r="U2069" s="38"/>
      <c r="V2069" s="38"/>
      <c r="W2069" s="60"/>
      <c r="AB2069" s="42"/>
      <c r="AC2069" s="35"/>
      <c r="AD2069" s="38"/>
      <c r="AE2069" s="38"/>
      <c r="AF2069" s="38"/>
      <c r="AG2069" s="38"/>
      <c r="AH2069" s="60"/>
    </row>
    <row r="2070" spans="1:34" ht="15.75" customHeight="1">
      <c r="A2070" s="50" t="s">
        <v>39</v>
      </c>
      <c r="B2070" s="18" t="s">
        <v>7377</v>
      </c>
      <c r="C2070" s="37" t="s">
        <v>1430</v>
      </c>
      <c r="D2070" s="20" t="s">
        <v>7378</v>
      </c>
      <c r="E2070" s="20" t="s">
        <v>7379</v>
      </c>
      <c r="F2070" s="37" t="s">
        <v>49</v>
      </c>
      <c r="G2070" s="19" t="s">
        <v>50</v>
      </c>
      <c r="H2070" s="37"/>
      <c r="I2070" s="21" t="s">
        <v>233</v>
      </c>
      <c r="J2070" s="21" t="s">
        <v>233</v>
      </c>
      <c r="K2070" s="22" t="s">
        <v>7380</v>
      </c>
      <c r="L2070" s="56">
        <v>45293</v>
      </c>
      <c r="O2070" s="42"/>
      <c r="P2070" s="40"/>
      <c r="Q2070" s="61"/>
      <c r="R2070" s="61"/>
      <c r="S2070" s="40"/>
      <c r="T2070" s="38"/>
      <c r="U2070" s="38"/>
      <c r="V2070" s="38"/>
      <c r="W2070" s="60"/>
      <c r="AB2070" s="42"/>
      <c r="AC2070" s="35"/>
      <c r="AD2070" s="38"/>
      <c r="AE2070" s="38"/>
      <c r="AF2070" s="38"/>
      <c r="AG2070" s="38"/>
      <c r="AH2070" s="60"/>
    </row>
    <row r="2071" spans="1:34" ht="15.75" customHeight="1">
      <c r="A2071" s="35" t="s">
        <v>7381</v>
      </c>
      <c r="B2071" s="18" t="s">
        <v>7382</v>
      </c>
      <c r="C2071" s="37" t="s">
        <v>87</v>
      </c>
      <c r="D2071" s="20" t="s">
        <v>7383</v>
      </c>
      <c r="E2071" s="20" t="s">
        <v>7384</v>
      </c>
      <c r="F2071" s="19" t="s">
        <v>90</v>
      </c>
      <c r="G2071" s="19" t="s">
        <v>91</v>
      </c>
      <c r="H2071" s="37"/>
      <c r="I2071" s="21" t="s">
        <v>29</v>
      </c>
      <c r="J2071" s="21" t="s">
        <v>29</v>
      </c>
      <c r="K2071" s="22" t="s">
        <v>7385</v>
      </c>
      <c r="L2071" s="56">
        <v>45293</v>
      </c>
      <c r="O2071" s="42"/>
      <c r="P2071" s="40"/>
      <c r="Q2071" s="61"/>
      <c r="R2071" s="61"/>
      <c r="S2071" s="40"/>
      <c r="T2071" s="38"/>
      <c r="U2071" s="38"/>
      <c r="V2071" s="38"/>
      <c r="W2071" s="60"/>
      <c r="AB2071" s="42"/>
      <c r="AC2071" s="35"/>
      <c r="AD2071" s="38"/>
      <c r="AE2071" s="38"/>
      <c r="AF2071" s="38"/>
      <c r="AG2071" s="38"/>
      <c r="AH2071" s="60"/>
    </row>
    <row r="2072" spans="1:34" ht="15.75" customHeight="1">
      <c r="A2072" s="35" t="s">
        <v>7386</v>
      </c>
      <c r="B2072" s="18" t="s">
        <v>7387</v>
      </c>
      <c r="C2072" s="37" t="s">
        <v>87</v>
      </c>
      <c r="D2072" s="20" t="s">
        <v>7388</v>
      </c>
      <c r="E2072" s="20" t="s">
        <v>7389</v>
      </c>
      <c r="F2072" s="19" t="s">
        <v>90</v>
      </c>
      <c r="G2072" s="19" t="s">
        <v>91</v>
      </c>
      <c r="H2072" s="37"/>
      <c r="I2072" s="21" t="s">
        <v>29</v>
      </c>
      <c r="J2072" s="21" t="s">
        <v>29</v>
      </c>
      <c r="K2072" s="22" t="s">
        <v>7390</v>
      </c>
      <c r="L2072" s="56">
        <v>45293</v>
      </c>
      <c r="O2072" s="42"/>
      <c r="P2072" s="40"/>
      <c r="Q2072" s="61"/>
      <c r="R2072" s="61"/>
      <c r="S2072" s="40"/>
      <c r="T2072" s="38"/>
      <c r="U2072" s="38"/>
      <c r="V2072" s="38"/>
      <c r="W2072" s="60"/>
      <c r="AB2072" s="42"/>
      <c r="AC2072" s="35"/>
      <c r="AD2072" s="38"/>
      <c r="AE2072" s="38"/>
      <c r="AF2072" s="38"/>
      <c r="AG2072" s="38"/>
      <c r="AH2072" s="60"/>
    </row>
    <row r="2073" spans="1:34" ht="15.75" customHeight="1">
      <c r="A2073" s="31" t="s">
        <v>56</v>
      </c>
      <c r="B2073" s="18" t="s">
        <v>7391</v>
      </c>
      <c r="C2073" s="19" t="s">
        <v>24</v>
      </c>
      <c r="D2073" s="20" t="s">
        <v>7392</v>
      </c>
      <c r="E2073" s="20" t="s">
        <v>7393</v>
      </c>
      <c r="F2073" s="19" t="s">
        <v>27</v>
      </c>
      <c r="G2073" s="19" t="s">
        <v>28</v>
      </c>
      <c r="H2073" s="19"/>
      <c r="I2073" s="21" t="s">
        <v>29</v>
      </c>
      <c r="J2073" s="21" t="s">
        <v>29</v>
      </c>
      <c r="K2073" s="22" t="s">
        <v>7394</v>
      </c>
      <c r="L2073" s="56">
        <v>45293</v>
      </c>
      <c r="O2073" s="42"/>
      <c r="P2073" s="40"/>
      <c r="Q2073" s="61"/>
      <c r="R2073" s="61"/>
      <c r="S2073" s="40"/>
      <c r="T2073" s="38"/>
      <c r="U2073" s="38"/>
      <c r="V2073" s="38"/>
      <c r="W2073" s="60"/>
      <c r="AB2073" s="42"/>
      <c r="AC2073" s="35"/>
      <c r="AD2073" s="38"/>
      <c r="AE2073" s="38"/>
      <c r="AF2073" s="38"/>
      <c r="AG2073" s="38"/>
      <c r="AH2073" s="60"/>
    </row>
    <row r="2074" spans="1:34" ht="15.75" customHeight="1">
      <c r="A2074" s="17">
        <v>66</v>
      </c>
      <c r="B2074" s="18" t="s">
        <v>7395</v>
      </c>
      <c r="C2074" s="37" t="s">
        <v>87</v>
      </c>
      <c r="D2074" s="20" t="s">
        <v>7396</v>
      </c>
      <c r="E2074" s="20" t="s">
        <v>7397</v>
      </c>
      <c r="F2074" s="19" t="s">
        <v>90</v>
      </c>
      <c r="G2074" s="19" t="s">
        <v>91</v>
      </c>
      <c r="H2074" s="37"/>
      <c r="I2074" s="21" t="s">
        <v>29</v>
      </c>
      <c r="J2074" s="21" t="s">
        <v>29</v>
      </c>
      <c r="K2074" s="22" t="s">
        <v>7398</v>
      </c>
      <c r="L2074" s="56">
        <v>45293</v>
      </c>
      <c r="O2074" s="42"/>
      <c r="P2074" s="40"/>
      <c r="Q2074" s="61"/>
      <c r="R2074" s="61"/>
      <c r="S2074" s="40"/>
      <c r="T2074" s="38"/>
      <c r="U2074" s="38"/>
      <c r="V2074" s="38"/>
      <c r="W2074" s="60"/>
      <c r="AB2074" s="42"/>
      <c r="AC2074" s="35"/>
      <c r="AD2074" s="38"/>
      <c r="AE2074" s="38"/>
      <c r="AF2074" s="38"/>
      <c r="AG2074" s="38"/>
      <c r="AH2074" s="60"/>
    </row>
    <row r="2075" spans="1:34" ht="15.75" customHeight="1">
      <c r="A2075" s="31" t="s">
        <v>64</v>
      </c>
      <c r="B2075" s="38" t="s">
        <v>7399</v>
      </c>
      <c r="C2075" s="37" t="s">
        <v>1430</v>
      </c>
      <c r="D2075" s="20" t="s">
        <v>7400</v>
      </c>
      <c r="E2075" s="20" t="s">
        <v>7401</v>
      </c>
      <c r="F2075" s="37" t="s">
        <v>49</v>
      </c>
      <c r="G2075" s="19" t="s">
        <v>50</v>
      </c>
      <c r="H2075" s="37"/>
      <c r="I2075" s="21" t="s">
        <v>233</v>
      </c>
      <c r="J2075" s="21" t="s">
        <v>233</v>
      </c>
      <c r="K2075" s="22" t="s">
        <v>7401</v>
      </c>
      <c r="L2075" s="56">
        <v>45293</v>
      </c>
      <c r="O2075" s="42"/>
      <c r="P2075" s="40"/>
      <c r="Q2075" s="61"/>
      <c r="R2075" s="61"/>
      <c r="S2075" s="40"/>
      <c r="T2075" s="38"/>
      <c r="U2075" s="38"/>
      <c r="V2075" s="38"/>
      <c r="W2075" s="60"/>
      <c r="AB2075" s="42"/>
      <c r="AC2075" s="35"/>
      <c r="AD2075" s="38"/>
      <c r="AE2075" s="38"/>
      <c r="AF2075" s="38"/>
      <c r="AG2075" s="38"/>
      <c r="AH2075" s="60"/>
    </row>
    <row r="2076" spans="1:34" ht="15.75" customHeight="1">
      <c r="A2076" s="17">
        <v>3.4</v>
      </c>
      <c r="B2076" s="18" t="s">
        <v>7402</v>
      </c>
      <c r="C2076" s="37" t="s">
        <v>24</v>
      </c>
      <c r="D2076" s="20" t="s">
        <v>7403</v>
      </c>
      <c r="E2076" s="20" t="s">
        <v>7404</v>
      </c>
      <c r="F2076" s="19" t="s">
        <v>27</v>
      </c>
      <c r="G2076" s="19" t="s">
        <v>28</v>
      </c>
      <c r="H2076" s="19" t="s">
        <v>36</v>
      </c>
      <c r="I2076" s="21" t="s">
        <v>29</v>
      </c>
      <c r="J2076" s="21" t="s">
        <v>29</v>
      </c>
      <c r="K2076" s="22" t="s">
        <v>7405</v>
      </c>
      <c r="L2076" s="56">
        <v>45293</v>
      </c>
      <c r="O2076" s="42"/>
      <c r="P2076" s="40"/>
      <c r="Q2076" s="61"/>
      <c r="R2076" s="61"/>
      <c r="S2076" s="40"/>
      <c r="T2076" s="38"/>
      <c r="U2076" s="38"/>
      <c r="V2076" s="38"/>
      <c r="W2076" s="60"/>
      <c r="AB2076" s="42"/>
      <c r="AC2076" s="35"/>
      <c r="AD2076" s="38"/>
      <c r="AE2076" s="38"/>
      <c r="AF2076" s="38"/>
      <c r="AG2076" s="38"/>
      <c r="AH2076" s="60"/>
    </row>
    <row r="2077" spans="1:34" ht="15.75" customHeight="1">
      <c r="A2077" s="31" t="s">
        <v>73</v>
      </c>
      <c r="B2077" s="18" t="s">
        <v>7406</v>
      </c>
      <c r="C2077" s="37" t="s">
        <v>24</v>
      </c>
      <c r="D2077" s="20" t="s">
        <v>7407</v>
      </c>
      <c r="E2077" s="20" t="s">
        <v>7408</v>
      </c>
      <c r="F2077" s="19" t="s">
        <v>27</v>
      </c>
      <c r="G2077" s="19" t="s">
        <v>28</v>
      </c>
      <c r="H2077" s="37"/>
      <c r="I2077" s="21" t="s">
        <v>29</v>
      </c>
      <c r="J2077" s="21" t="s">
        <v>29</v>
      </c>
      <c r="K2077" s="22" t="s">
        <v>7409</v>
      </c>
      <c r="L2077" s="56">
        <v>45293</v>
      </c>
      <c r="O2077" s="42"/>
      <c r="P2077" s="40"/>
      <c r="Q2077" s="61"/>
      <c r="R2077" s="61"/>
      <c r="S2077" s="40"/>
      <c r="T2077" s="38"/>
      <c r="U2077" s="38"/>
      <c r="V2077" s="38"/>
      <c r="W2077" s="60"/>
      <c r="AB2077" s="42"/>
      <c r="AC2077" s="35"/>
      <c r="AD2077" s="38"/>
      <c r="AE2077" s="38"/>
      <c r="AF2077" s="38"/>
      <c r="AG2077" s="38"/>
      <c r="AH2077" s="60"/>
    </row>
    <row r="2078" spans="1:34" ht="15.75" customHeight="1">
      <c r="A2078" s="17">
        <v>3.4</v>
      </c>
      <c r="B2078" s="18" t="s">
        <v>7410</v>
      </c>
      <c r="C2078" s="37" t="s">
        <v>87</v>
      </c>
      <c r="D2078" s="20" t="s">
        <v>7411</v>
      </c>
      <c r="E2078" s="20" t="s">
        <v>7412</v>
      </c>
      <c r="F2078" s="19" t="s">
        <v>90</v>
      </c>
      <c r="G2078" s="19" t="s">
        <v>91</v>
      </c>
      <c r="H2078" s="37"/>
      <c r="I2078" s="21" t="s">
        <v>29</v>
      </c>
      <c r="J2078" s="21" t="s">
        <v>29</v>
      </c>
      <c r="K2078" s="22" t="s">
        <v>7413</v>
      </c>
      <c r="L2078" s="56">
        <v>45293</v>
      </c>
      <c r="O2078" s="42"/>
      <c r="P2078" s="40"/>
      <c r="Q2078" s="61"/>
      <c r="R2078" s="61"/>
      <c r="S2078" s="40"/>
      <c r="T2078" s="38"/>
      <c r="U2078" s="38"/>
      <c r="V2078" s="38"/>
      <c r="W2078" s="60"/>
      <c r="AB2078" s="42"/>
      <c r="AC2078" s="35"/>
      <c r="AD2078" s="38"/>
      <c r="AE2078" s="38"/>
      <c r="AF2078" s="38"/>
      <c r="AG2078" s="38"/>
      <c r="AH2078" s="60"/>
    </row>
    <row r="2079" spans="1:34" ht="15.75" customHeight="1">
      <c r="A2079" s="50" t="s">
        <v>82</v>
      </c>
      <c r="B2079" s="95" t="s">
        <v>7414</v>
      </c>
      <c r="C2079" s="37" t="s">
        <v>46</v>
      </c>
      <c r="D2079" s="20" t="s">
        <v>7415</v>
      </c>
      <c r="E2079" s="20" t="s">
        <v>7416</v>
      </c>
      <c r="F2079" s="19" t="s">
        <v>90</v>
      </c>
      <c r="G2079" s="19" t="s">
        <v>91</v>
      </c>
      <c r="H2079" s="37"/>
      <c r="I2079" s="21" t="s">
        <v>29</v>
      </c>
      <c r="J2079" s="21" t="s">
        <v>29</v>
      </c>
      <c r="K2079" s="22" t="s">
        <v>7417</v>
      </c>
      <c r="L2079" s="56">
        <v>45293</v>
      </c>
      <c r="O2079" s="42"/>
      <c r="P2079" s="40"/>
      <c r="Q2079" s="61"/>
      <c r="R2079" s="61"/>
      <c r="S2079" s="40"/>
      <c r="T2079" s="38"/>
      <c r="U2079" s="38"/>
      <c r="V2079" s="38"/>
      <c r="W2079" s="60"/>
      <c r="AB2079" s="42"/>
      <c r="AC2079" s="35"/>
      <c r="AD2079" s="38"/>
      <c r="AE2079" s="38"/>
      <c r="AF2079" s="38"/>
      <c r="AG2079" s="38"/>
      <c r="AH2079" s="60"/>
    </row>
    <row r="2080" spans="1:34" ht="15.75" customHeight="1">
      <c r="A2080" s="35" t="s">
        <v>7418</v>
      </c>
      <c r="B2080" s="18" t="s">
        <v>7419</v>
      </c>
      <c r="C2080" s="37" t="s">
        <v>46</v>
      </c>
      <c r="D2080" s="20" t="s">
        <v>7420</v>
      </c>
      <c r="E2080" s="20" t="s">
        <v>7421</v>
      </c>
      <c r="F2080" s="37" t="s">
        <v>49</v>
      </c>
      <c r="G2080" s="19" t="s">
        <v>50</v>
      </c>
      <c r="H2080" s="37"/>
      <c r="I2080" s="21" t="s">
        <v>29</v>
      </c>
      <c r="J2080" s="21" t="s">
        <v>29</v>
      </c>
      <c r="K2080" s="22" t="s">
        <v>7422</v>
      </c>
      <c r="L2080" s="56">
        <v>45293</v>
      </c>
      <c r="O2080" s="42"/>
      <c r="P2080" s="40"/>
      <c r="Q2080" s="61"/>
      <c r="R2080" s="61"/>
      <c r="S2080" s="40"/>
      <c r="T2080" s="38"/>
      <c r="U2080" s="38"/>
      <c r="V2080" s="38"/>
      <c r="W2080" s="60"/>
      <c r="AB2080" s="42"/>
      <c r="AC2080" s="35"/>
      <c r="AD2080" s="38"/>
      <c r="AE2080" s="38"/>
      <c r="AF2080" s="38"/>
      <c r="AG2080" s="38"/>
      <c r="AH2080" s="60"/>
    </row>
    <row r="2081" spans="1:34" ht="15.75" customHeight="1">
      <c r="A2081" s="31" t="s">
        <v>92</v>
      </c>
      <c r="B2081" s="18" t="s">
        <v>7423</v>
      </c>
      <c r="C2081" s="37" t="s">
        <v>46</v>
      </c>
      <c r="D2081" s="20" t="s">
        <v>7424</v>
      </c>
      <c r="E2081" s="20" t="s">
        <v>7425</v>
      </c>
      <c r="F2081" s="37" t="s">
        <v>49</v>
      </c>
      <c r="G2081" s="19" t="s">
        <v>50</v>
      </c>
      <c r="H2081" s="37"/>
      <c r="I2081" s="21" t="s">
        <v>29</v>
      </c>
      <c r="J2081" s="21" t="s">
        <v>29</v>
      </c>
      <c r="K2081" s="22" t="s">
        <v>7426</v>
      </c>
      <c r="L2081" s="56">
        <v>45293</v>
      </c>
      <c r="O2081" s="42"/>
      <c r="P2081" s="40"/>
      <c r="Q2081" s="61"/>
      <c r="R2081" s="61"/>
      <c r="S2081" s="40"/>
      <c r="T2081" s="38"/>
      <c r="U2081" s="38"/>
      <c r="V2081" s="38"/>
      <c r="W2081" s="60"/>
      <c r="AB2081" s="42"/>
      <c r="AC2081" s="35"/>
      <c r="AD2081" s="38"/>
      <c r="AE2081" s="38"/>
      <c r="AF2081" s="38"/>
      <c r="AG2081" s="38"/>
      <c r="AH2081" s="60"/>
    </row>
    <row r="2082" spans="1:34" ht="15.75" customHeight="1">
      <c r="A2082" s="33">
        <v>4464</v>
      </c>
      <c r="B2082" s="18" t="s">
        <v>7427</v>
      </c>
      <c r="C2082" s="37" t="s">
        <v>1470</v>
      </c>
      <c r="D2082" s="20" t="s">
        <v>7428</v>
      </c>
      <c r="E2082" s="20" t="s">
        <v>7429</v>
      </c>
      <c r="F2082" s="19" t="s">
        <v>3286</v>
      </c>
      <c r="G2082" s="37" t="s">
        <v>1461</v>
      </c>
      <c r="H2082" s="37"/>
      <c r="I2082" s="21" t="s">
        <v>233</v>
      </c>
      <c r="J2082" s="21" t="s">
        <v>233</v>
      </c>
      <c r="K2082" s="22" t="s">
        <v>7429</v>
      </c>
      <c r="L2082" s="56">
        <v>45293</v>
      </c>
      <c r="O2082" s="42"/>
      <c r="P2082" s="40"/>
      <c r="Q2082" s="61"/>
      <c r="R2082" s="61"/>
      <c r="S2082" s="40"/>
      <c r="T2082" s="38"/>
      <c r="U2082" s="38"/>
      <c r="V2082" s="38"/>
      <c r="W2082" s="60"/>
      <c r="AB2082" s="42"/>
      <c r="AC2082" s="35"/>
      <c r="AD2082" s="38"/>
      <c r="AE2082" s="38"/>
      <c r="AF2082" s="38"/>
      <c r="AG2082" s="38"/>
      <c r="AH2082" s="60"/>
    </row>
    <row r="2083" spans="1:34" ht="15.75" customHeight="1">
      <c r="A2083" s="31" t="s">
        <v>100</v>
      </c>
      <c r="B2083" s="18" t="s">
        <v>7430</v>
      </c>
      <c r="C2083" s="37" t="s">
        <v>46</v>
      </c>
      <c r="D2083" s="20" t="s">
        <v>7431</v>
      </c>
      <c r="E2083" s="20" t="s">
        <v>7432</v>
      </c>
      <c r="F2083" s="37" t="s">
        <v>49</v>
      </c>
      <c r="G2083" s="19" t="s">
        <v>50</v>
      </c>
      <c r="H2083" s="37"/>
      <c r="I2083" s="21" t="s">
        <v>29</v>
      </c>
      <c r="J2083" s="21" t="s">
        <v>29</v>
      </c>
      <c r="K2083" s="22" t="s">
        <v>7433</v>
      </c>
      <c r="L2083" s="56">
        <v>45293</v>
      </c>
      <c r="O2083" s="42"/>
      <c r="P2083" s="40"/>
      <c r="Q2083" s="61"/>
      <c r="R2083" s="61"/>
      <c r="S2083" s="40"/>
      <c r="T2083" s="38"/>
      <c r="U2083" s="38"/>
      <c r="V2083" s="38"/>
      <c r="W2083" s="60"/>
      <c r="AB2083" s="42"/>
      <c r="AC2083" s="35"/>
      <c r="AD2083" s="38"/>
      <c r="AE2083" s="38"/>
      <c r="AF2083" s="38"/>
      <c r="AG2083" s="38"/>
      <c r="AH2083" s="60"/>
    </row>
    <row r="2084" spans="1:34" ht="15.75" customHeight="1">
      <c r="A2084" s="17">
        <v>164</v>
      </c>
      <c r="B2084" s="18" t="s">
        <v>7434</v>
      </c>
      <c r="C2084" s="37" t="s">
        <v>87</v>
      </c>
      <c r="D2084" s="20" t="s">
        <v>7435</v>
      </c>
      <c r="E2084" s="20" t="s">
        <v>7436</v>
      </c>
      <c r="F2084" s="19" t="s">
        <v>90</v>
      </c>
      <c r="G2084" s="19" t="s">
        <v>91</v>
      </c>
      <c r="H2084" s="37"/>
      <c r="I2084" s="21" t="s">
        <v>29</v>
      </c>
      <c r="J2084" s="21" t="s">
        <v>29</v>
      </c>
      <c r="K2084" s="22" t="s">
        <v>7436</v>
      </c>
      <c r="L2084" s="56">
        <v>45293</v>
      </c>
      <c r="O2084" s="42"/>
      <c r="P2084" s="40"/>
      <c r="Q2084" s="61"/>
      <c r="R2084" s="61"/>
      <c r="S2084" s="40"/>
      <c r="T2084" s="38"/>
      <c r="U2084" s="38"/>
      <c r="V2084" s="38"/>
      <c r="W2084" s="60"/>
      <c r="AB2084" s="42"/>
      <c r="AC2084" s="35"/>
      <c r="AD2084" s="38"/>
      <c r="AE2084" s="38"/>
      <c r="AF2084" s="38"/>
      <c r="AG2084" s="38"/>
      <c r="AH2084" s="60"/>
    </row>
    <row r="2085" spans="1:34" ht="15.75" customHeight="1">
      <c r="A2085" s="35"/>
      <c r="B2085" s="18" t="s">
        <v>7437</v>
      </c>
      <c r="C2085" s="37" t="s">
        <v>87</v>
      </c>
      <c r="D2085" s="20" t="s">
        <v>7438</v>
      </c>
      <c r="E2085" s="20" t="s">
        <v>7439</v>
      </c>
      <c r="F2085" s="19" t="s">
        <v>90</v>
      </c>
      <c r="G2085" s="19" t="s">
        <v>91</v>
      </c>
      <c r="H2085" s="37"/>
      <c r="I2085" s="21" t="s">
        <v>29</v>
      </c>
      <c r="J2085" s="21" t="s">
        <v>29</v>
      </c>
      <c r="K2085" s="22" t="s">
        <v>7440</v>
      </c>
      <c r="L2085" s="56">
        <v>45293</v>
      </c>
      <c r="O2085" s="42"/>
      <c r="P2085" s="40"/>
      <c r="Q2085" s="61"/>
      <c r="R2085" s="61"/>
      <c r="S2085" s="40"/>
      <c r="T2085" s="38"/>
      <c r="U2085" s="38"/>
      <c r="V2085" s="38"/>
      <c r="W2085" s="60"/>
      <c r="AB2085" s="42"/>
      <c r="AC2085" s="35"/>
      <c r="AD2085" s="38"/>
      <c r="AE2085" s="38"/>
      <c r="AF2085" s="38"/>
      <c r="AG2085" s="38"/>
      <c r="AH2085" s="60"/>
    </row>
    <row r="2086" spans="1:34" ht="15.75" customHeight="1">
      <c r="A2086" s="96"/>
      <c r="B2086" s="29" t="s">
        <v>7368</v>
      </c>
      <c r="C2086" s="37" t="s">
        <v>87</v>
      </c>
      <c r="D2086" s="20" t="s">
        <v>7369</v>
      </c>
      <c r="E2086" s="20" t="s">
        <v>7370</v>
      </c>
      <c r="F2086" s="19" t="s">
        <v>90</v>
      </c>
      <c r="G2086" s="19" t="s">
        <v>91</v>
      </c>
      <c r="H2086" s="37"/>
      <c r="I2086" s="21" t="s">
        <v>29</v>
      </c>
      <c r="J2086" s="21" t="s">
        <v>29</v>
      </c>
      <c r="K2086" s="22" t="s">
        <v>7371</v>
      </c>
      <c r="L2086" s="56">
        <v>45293</v>
      </c>
      <c r="P2086" s="40"/>
      <c r="Q2086" s="61"/>
      <c r="R2086" s="61"/>
      <c r="S2086" s="40"/>
      <c r="T2086" s="38"/>
      <c r="U2086" s="38"/>
      <c r="V2086" s="38"/>
      <c r="W2086" s="60"/>
      <c r="AB2086" s="42"/>
      <c r="AC2086" s="35"/>
      <c r="AD2086" s="38"/>
      <c r="AE2086" s="38"/>
      <c r="AF2086" s="38"/>
      <c r="AG2086" s="38"/>
      <c r="AH2086" s="60"/>
    </row>
    <row r="2087" spans="1:34" ht="15.75" customHeight="1">
      <c r="A2087" s="96"/>
      <c r="B2087" s="18" t="s">
        <v>7441</v>
      </c>
      <c r="C2087" s="37" t="s">
        <v>24</v>
      </c>
      <c r="D2087" s="20" t="s">
        <v>7442</v>
      </c>
      <c r="E2087" s="20" t="s">
        <v>7443</v>
      </c>
      <c r="F2087" s="19" t="s">
        <v>27</v>
      </c>
      <c r="G2087" s="19" t="s">
        <v>28</v>
      </c>
      <c r="H2087" s="37"/>
      <c r="I2087" s="21" t="s">
        <v>29</v>
      </c>
      <c r="J2087" s="21" t="s">
        <v>29</v>
      </c>
      <c r="K2087" s="22" t="s">
        <v>7444</v>
      </c>
      <c r="L2087" s="56">
        <v>45293</v>
      </c>
      <c r="P2087" s="40"/>
      <c r="Q2087" s="61"/>
      <c r="R2087" s="61"/>
      <c r="S2087" s="40"/>
      <c r="T2087" s="38"/>
      <c r="U2087" s="38"/>
      <c r="V2087" s="38"/>
      <c r="W2087" s="60"/>
      <c r="AB2087" s="42"/>
      <c r="AC2087" s="35"/>
      <c r="AD2087" s="38"/>
      <c r="AE2087" s="38"/>
      <c r="AF2087" s="38"/>
      <c r="AG2087" s="38"/>
      <c r="AH2087" s="60"/>
    </row>
    <row r="2088" spans="1:34" ht="15.75" customHeight="1">
      <c r="A2088" s="96"/>
      <c r="B2088" s="29" t="s">
        <v>7445</v>
      </c>
      <c r="C2088" s="37" t="s">
        <v>46</v>
      </c>
      <c r="D2088" s="20" t="s">
        <v>7446</v>
      </c>
      <c r="E2088" s="20" t="s">
        <v>7447</v>
      </c>
      <c r="F2088" s="37" t="s">
        <v>286</v>
      </c>
      <c r="G2088" s="19" t="s">
        <v>50</v>
      </c>
      <c r="H2088" s="37"/>
      <c r="I2088" s="21" t="s">
        <v>233</v>
      </c>
      <c r="J2088" s="21" t="s">
        <v>29</v>
      </c>
      <c r="K2088" s="22" t="s">
        <v>7448</v>
      </c>
      <c r="L2088" s="56">
        <v>45293</v>
      </c>
      <c r="O2088" s="42"/>
      <c r="P2088" s="40"/>
      <c r="Q2088" s="61"/>
      <c r="R2088" s="61"/>
      <c r="S2088" s="40"/>
      <c r="T2088" s="38"/>
      <c r="U2088" s="38"/>
      <c r="V2088" s="38"/>
      <c r="W2088" s="60"/>
      <c r="AB2088" s="42"/>
      <c r="AC2088" s="35"/>
      <c r="AD2088" s="38"/>
      <c r="AE2088" s="38"/>
      <c r="AF2088" s="38"/>
      <c r="AG2088" s="38"/>
      <c r="AH2088" s="60"/>
    </row>
    <row r="2089" spans="1:34" ht="15.75" customHeight="1">
      <c r="A2089" s="96"/>
      <c r="B2089" s="18" t="s">
        <v>7449</v>
      </c>
      <c r="C2089" s="37" t="s">
        <v>87</v>
      </c>
      <c r="D2089" s="20" t="s">
        <v>7450</v>
      </c>
      <c r="E2089" s="20" t="s">
        <v>7451</v>
      </c>
      <c r="F2089" s="19" t="s">
        <v>90</v>
      </c>
      <c r="G2089" s="19" t="s">
        <v>91</v>
      </c>
      <c r="H2089" s="37"/>
      <c r="I2089" s="21" t="s">
        <v>29</v>
      </c>
      <c r="J2089" s="21" t="s">
        <v>29</v>
      </c>
      <c r="K2089" s="22" t="s">
        <v>7452</v>
      </c>
      <c r="L2089" s="56">
        <v>45293</v>
      </c>
      <c r="O2089" s="42"/>
      <c r="P2089" s="40"/>
      <c r="Q2089" s="61"/>
      <c r="R2089" s="61"/>
      <c r="S2089" s="40"/>
      <c r="T2089" s="38"/>
      <c r="U2089" s="38"/>
      <c r="V2089" s="38"/>
      <c r="W2089" s="60"/>
      <c r="AB2089" s="42"/>
      <c r="AC2089" s="35"/>
      <c r="AD2089" s="38"/>
      <c r="AE2089" s="38"/>
      <c r="AF2089" s="38"/>
      <c r="AG2089" s="38"/>
      <c r="AH2089" s="60"/>
    </row>
    <row r="2090" spans="1:34" ht="15.75" customHeight="1">
      <c r="A2090" s="97"/>
      <c r="B2090" s="18" t="s">
        <v>7453</v>
      </c>
      <c r="C2090" s="37" t="s">
        <v>24</v>
      </c>
      <c r="D2090" s="20" t="s">
        <v>7454</v>
      </c>
      <c r="E2090" s="20" t="s">
        <v>7455</v>
      </c>
      <c r="F2090" s="19" t="s">
        <v>27</v>
      </c>
      <c r="G2090" s="19" t="s">
        <v>28</v>
      </c>
      <c r="H2090" s="37"/>
      <c r="I2090" s="21" t="s">
        <v>29</v>
      </c>
      <c r="J2090" s="21" t="s">
        <v>29</v>
      </c>
      <c r="K2090" s="22" t="s">
        <v>7456</v>
      </c>
      <c r="L2090" s="56">
        <v>45293</v>
      </c>
      <c r="O2090" s="42"/>
      <c r="P2090" s="40"/>
      <c r="Q2090" s="61"/>
      <c r="R2090" s="61"/>
      <c r="S2090" s="40"/>
      <c r="T2090" s="38"/>
      <c r="U2090" s="38"/>
      <c r="V2090" s="38"/>
      <c r="W2090" s="60"/>
      <c r="AB2090" s="42"/>
      <c r="AC2090" s="35"/>
      <c r="AD2090" s="38"/>
      <c r="AE2090" s="38"/>
      <c r="AF2090" s="38"/>
      <c r="AG2090" s="38"/>
      <c r="AH2090" s="60"/>
    </row>
    <row r="2091" spans="1:34" ht="15.75" customHeight="1">
      <c r="A2091" s="98"/>
      <c r="B2091" s="18" t="s">
        <v>7457</v>
      </c>
      <c r="C2091" s="37" t="s">
        <v>24</v>
      </c>
      <c r="D2091" s="20" t="s">
        <v>7458</v>
      </c>
      <c r="E2091" s="20" t="s">
        <v>7459</v>
      </c>
      <c r="F2091" s="19" t="s">
        <v>27</v>
      </c>
      <c r="G2091" s="19" t="s">
        <v>28</v>
      </c>
      <c r="H2091" s="37"/>
      <c r="I2091" s="21" t="s">
        <v>29</v>
      </c>
      <c r="J2091" s="21" t="s">
        <v>29</v>
      </c>
      <c r="K2091" s="22" t="s">
        <v>7460</v>
      </c>
      <c r="L2091" s="56">
        <v>45293</v>
      </c>
      <c r="O2091" s="42"/>
      <c r="P2091" s="40"/>
      <c r="Q2091" s="61"/>
      <c r="R2091" s="61"/>
      <c r="S2091" s="40"/>
      <c r="T2091" s="38"/>
      <c r="U2091" s="38"/>
      <c r="V2091" s="38"/>
      <c r="W2091" s="60"/>
      <c r="AB2091" s="42"/>
      <c r="AC2091" s="35"/>
      <c r="AD2091" s="38"/>
      <c r="AE2091" s="38"/>
      <c r="AF2091" s="38"/>
      <c r="AG2091" s="38"/>
      <c r="AH2091" s="60"/>
    </row>
    <row r="2092" spans="1:34" ht="15.75" customHeight="1">
      <c r="A2092" s="98"/>
      <c r="B2092" s="34" t="s">
        <v>7461</v>
      </c>
      <c r="C2092" s="37" t="s">
        <v>87</v>
      </c>
      <c r="D2092" s="20" t="s">
        <v>7462</v>
      </c>
      <c r="E2092" s="20" t="s">
        <v>7463</v>
      </c>
      <c r="F2092" s="37" t="s">
        <v>49</v>
      </c>
      <c r="G2092" s="19" t="s">
        <v>50</v>
      </c>
      <c r="H2092" s="37"/>
      <c r="I2092" s="21" t="s">
        <v>29</v>
      </c>
      <c r="J2092" s="21" t="s">
        <v>29</v>
      </c>
      <c r="K2092" s="22" t="s">
        <v>7464</v>
      </c>
      <c r="L2092" s="56">
        <v>45293</v>
      </c>
      <c r="O2092" s="42"/>
      <c r="P2092" s="40"/>
      <c r="Q2092" s="61"/>
      <c r="R2092" s="61"/>
      <c r="S2092" s="40"/>
      <c r="T2092" s="38"/>
      <c r="U2092" s="38"/>
      <c r="V2092" s="38"/>
      <c r="W2092" s="60"/>
      <c r="AB2092" s="42"/>
      <c r="AC2092" s="35"/>
      <c r="AD2092" s="38"/>
      <c r="AE2092" s="38"/>
      <c r="AF2092" s="38"/>
      <c r="AG2092" s="38"/>
      <c r="AH2092" s="60"/>
    </row>
    <row r="2093" spans="1:34" ht="15.75" customHeight="1">
      <c r="A2093" s="97"/>
      <c r="B2093" s="34" t="s">
        <v>7465</v>
      </c>
      <c r="C2093" s="37" t="s">
        <v>87</v>
      </c>
      <c r="D2093" s="20" t="s">
        <v>7466</v>
      </c>
      <c r="E2093" s="20" t="s">
        <v>7467</v>
      </c>
      <c r="F2093" s="37" t="s">
        <v>49</v>
      </c>
      <c r="G2093" s="19" t="s">
        <v>50</v>
      </c>
      <c r="H2093" s="37"/>
      <c r="I2093" s="21" t="s">
        <v>29</v>
      </c>
      <c r="J2093" s="21" t="s">
        <v>29</v>
      </c>
      <c r="K2093" s="22" t="s">
        <v>7468</v>
      </c>
      <c r="L2093" s="56">
        <v>45293</v>
      </c>
      <c r="O2093" s="42"/>
      <c r="P2093" s="40"/>
      <c r="Q2093" s="61"/>
      <c r="R2093" s="61"/>
      <c r="S2093" s="40"/>
      <c r="T2093" s="38"/>
      <c r="U2093" s="38"/>
      <c r="V2093" s="38"/>
      <c r="W2093" s="60"/>
      <c r="AB2093" s="42"/>
      <c r="AC2093" s="35"/>
      <c r="AD2093" s="38"/>
      <c r="AE2093" s="38"/>
      <c r="AF2093" s="38"/>
      <c r="AG2093" s="38"/>
      <c r="AH2093" s="60"/>
    </row>
    <row r="2094" spans="1:34" ht="15.75" customHeight="1">
      <c r="A2094" s="97"/>
      <c r="B2094" s="18" t="s">
        <v>7469</v>
      </c>
      <c r="C2094" s="37" t="s">
        <v>87</v>
      </c>
      <c r="D2094" s="20" t="s">
        <v>7470</v>
      </c>
      <c r="E2094" s="20" t="s">
        <v>7471</v>
      </c>
      <c r="F2094" s="19" t="s">
        <v>90</v>
      </c>
      <c r="G2094" s="19" t="s">
        <v>91</v>
      </c>
      <c r="H2094" s="37"/>
      <c r="I2094" s="21" t="s">
        <v>29</v>
      </c>
      <c r="J2094" s="21" t="s">
        <v>29</v>
      </c>
      <c r="K2094" s="22" t="s">
        <v>7472</v>
      </c>
      <c r="L2094" s="56">
        <v>45293</v>
      </c>
      <c r="O2094" s="42"/>
      <c r="P2094" s="40"/>
      <c r="Q2094" s="61"/>
      <c r="R2094" s="61"/>
      <c r="S2094" s="40"/>
      <c r="T2094" s="38"/>
      <c r="U2094" s="38"/>
      <c r="V2094" s="38"/>
      <c r="W2094" s="60"/>
      <c r="AB2094" s="42"/>
      <c r="AC2094" s="35"/>
      <c r="AD2094" s="38"/>
      <c r="AE2094" s="38"/>
      <c r="AF2094" s="38"/>
      <c r="AG2094" s="38"/>
      <c r="AH2094" s="60"/>
    </row>
    <row r="2095" spans="1:34" ht="15.75" customHeight="1">
      <c r="A2095" s="98"/>
      <c r="B2095" s="18" t="s">
        <v>7473</v>
      </c>
      <c r="C2095" s="37" t="s">
        <v>46</v>
      </c>
      <c r="D2095" s="20" t="s">
        <v>7474</v>
      </c>
      <c r="E2095" s="20" t="s">
        <v>7475</v>
      </c>
      <c r="F2095" s="37" t="s">
        <v>49</v>
      </c>
      <c r="G2095" s="19" t="s">
        <v>50</v>
      </c>
      <c r="H2095" s="37"/>
      <c r="I2095" s="21" t="s">
        <v>29</v>
      </c>
      <c r="J2095" s="21" t="s">
        <v>29</v>
      </c>
      <c r="K2095" s="22" t="s">
        <v>7476</v>
      </c>
      <c r="L2095" s="56">
        <v>45293</v>
      </c>
      <c r="O2095" s="42"/>
      <c r="P2095" s="40"/>
      <c r="Q2095" s="61"/>
      <c r="R2095" s="61"/>
      <c r="S2095" s="40"/>
      <c r="T2095" s="38"/>
      <c r="U2095" s="38"/>
      <c r="V2095" s="38"/>
      <c r="W2095" s="60"/>
      <c r="AB2095" s="42"/>
      <c r="AC2095" s="35"/>
      <c r="AD2095" s="38"/>
      <c r="AE2095" s="38"/>
      <c r="AF2095" s="38"/>
      <c r="AG2095" s="38"/>
      <c r="AH2095" s="60"/>
    </row>
    <row r="2096" spans="1:34" ht="15.75" customHeight="1">
      <c r="A2096" s="98"/>
      <c r="B2096" s="18" t="s">
        <v>7477</v>
      </c>
      <c r="C2096" s="37" t="s">
        <v>87</v>
      </c>
      <c r="D2096" s="20" t="s">
        <v>7478</v>
      </c>
      <c r="E2096" s="20" t="s">
        <v>7479</v>
      </c>
      <c r="F2096" s="19" t="s">
        <v>90</v>
      </c>
      <c r="G2096" s="19" t="s">
        <v>91</v>
      </c>
      <c r="H2096" s="37"/>
      <c r="I2096" s="21" t="s">
        <v>29</v>
      </c>
      <c r="J2096" s="21" t="s">
        <v>29</v>
      </c>
      <c r="K2096" s="22" t="s">
        <v>7480</v>
      </c>
      <c r="L2096" s="56">
        <v>45293</v>
      </c>
      <c r="O2096" s="42"/>
      <c r="P2096" s="40"/>
      <c r="Q2096" s="61"/>
      <c r="R2096" s="61"/>
      <c r="S2096" s="40"/>
      <c r="T2096" s="38"/>
      <c r="U2096" s="38"/>
      <c r="V2096" s="38"/>
      <c r="W2096" s="60"/>
      <c r="AB2096" s="42"/>
      <c r="AC2096" s="35"/>
      <c r="AD2096" s="38"/>
      <c r="AE2096" s="38"/>
      <c r="AF2096" s="38"/>
      <c r="AG2096" s="38"/>
      <c r="AH2096" s="60"/>
    </row>
    <row r="2097" spans="1:34" ht="15.75" customHeight="1">
      <c r="A2097" s="97"/>
      <c r="B2097" s="18" t="s">
        <v>7481</v>
      </c>
      <c r="C2097" s="37" t="s">
        <v>87</v>
      </c>
      <c r="D2097" s="20" t="s">
        <v>7482</v>
      </c>
      <c r="E2097" s="20" t="s">
        <v>7483</v>
      </c>
      <c r="F2097" s="19" t="s">
        <v>90</v>
      </c>
      <c r="G2097" s="19" t="s">
        <v>91</v>
      </c>
      <c r="H2097" s="37"/>
      <c r="I2097" s="21" t="s">
        <v>29</v>
      </c>
      <c r="J2097" s="21" t="s">
        <v>29</v>
      </c>
      <c r="K2097" s="22" t="s">
        <v>7484</v>
      </c>
      <c r="L2097" s="56">
        <v>45293</v>
      </c>
      <c r="O2097" s="42"/>
      <c r="P2097" s="40"/>
      <c r="Q2097" s="61"/>
      <c r="R2097" s="61"/>
      <c r="S2097" s="40"/>
      <c r="T2097" s="38"/>
      <c r="U2097" s="38"/>
      <c r="V2097" s="38"/>
      <c r="W2097" s="60"/>
      <c r="AB2097" s="42"/>
      <c r="AC2097" s="35"/>
      <c r="AD2097" s="38"/>
      <c r="AE2097" s="38"/>
      <c r="AF2097" s="38"/>
      <c r="AG2097" s="38"/>
      <c r="AH2097" s="60"/>
    </row>
    <row r="2098" spans="1:34" ht="15.75" customHeight="1">
      <c r="A2098" s="98"/>
      <c r="B2098" s="18" t="s">
        <v>7485</v>
      </c>
      <c r="C2098" s="37" t="s">
        <v>24</v>
      </c>
      <c r="D2098" s="20" t="s">
        <v>7486</v>
      </c>
      <c r="E2098" s="20" t="s">
        <v>7487</v>
      </c>
      <c r="F2098" s="19" t="s">
        <v>27</v>
      </c>
      <c r="G2098" s="19" t="s">
        <v>28</v>
      </c>
      <c r="H2098" s="37"/>
      <c r="I2098" s="21" t="s">
        <v>29</v>
      </c>
      <c r="J2098" s="21" t="s">
        <v>29</v>
      </c>
      <c r="K2098" s="22" t="s">
        <v>7488</v>
      </c>
      <c r="L2098" s="56">
        <v>45293</v>
      </c>
      <c r="O2098" s="42"/>
      <c r="P2098" s="40"/>
      <c r="Q2098" s="61"/>
      <c r="R2098" s="61"/>
      <c r="S2098" s="40"/>
      <c r="T2098" s="38"/>
      <c r="U2098" s="38"/>
      <c r="V2098" s="38"/>
      <c r="W2098" s="60"/>
      <c r="AB2098" s="42"/>
      <c r="AC2098" s="35"/>
      <c r="AD2098" s="38"/>
      <c r="AE2098" s="38"/>
      <c r="AF2098" s="38"/>
      <c r="AG2098" s="38"/>
      <c r="AH2098" s="60"/>
    </row>
    <row r="2099" spans="1:34" ht="15.75" customHeight="1">
      <c r="A2099" s="98"/>
      <c r="B2099" s="18" t="s">
        <v>7489</v>
      </c>
      <c r="C2099" s="37" t="s">
        <v>24</v>
      </c>
      <c r="D2099" s="20" t="s">
        <v>7490</v>
      </c>
      <c r="E2099" s="20" t="s">
        <v>7491</v>
      </c>
      <c r="F2099" s="19" t="s">
        <v>27</v>
      </c>
      <c r="G2099" s="19" t="s">
        <v>28</v>
      </c>
      <c r="H2099" s="37"/>
      <c r="I2099" s="21" t="s">
        <v>29</v>
      </c>
      <c r="J2099" s="21" t="s">
        <v>29</v>
      </c>
      <c r="K2099" s="22" t="s">
        <v>7492</v>
      </c>
      <c r="L2099" s="56">
        <v>45293</v>
      </c>
      <c r="O2099" s="42"/>
      <c r="P2099" s="40"/>
      <c r="Q2099" s="61"/>
      <c r="R2099" s="61"/>
      <c r="S2099" s="40"/>
      <c r="T2099" s="38"/>
      <c r="U2099" s="38"/>
      <c r="V2099" s="38"/>
      <c r="W2099" s="60"/>
      <c r="AB2099" s="42"/>
      <c r="AC2099" s="35"/>
      <c r="AD2099" s="38"/>
      <c r="AE2099" s="38"/>
      <c r="AF2099" s="38"/>
      <c r="AG2099" s="38"/>
      <c r="AH2099" s="60"/>
    </row>
    <row r="2100" spans="1:34" ht="15.75" customHeight="1">
      <c r="A2100" s="98"/>
      <c r="B2100" s="18" t="s">
        <v>7493</v>
      </c>
      <c r="C2100" s="37" t="s">
        <v>87</v>
      </c>
      <c r="D2100" s="20" t="s">
        <v>7494</v>
      </c>
      <c r="E2100" s="20" t="s">
        <v>7495</v>
      </c>
      <c r="F2100" s="19" t="s">
        <v>90</v>
      </c>
      <c r="G2100" s="19" t="s">
        <v>91</v>
      </c>
      <c r="H2100" s="37"/>
      <c r="I2100" s="21" t="s">
        <v>29</v>
      </c>
      <c r="J2100" s="21" t="s">
        <v>29</v>
      </c>
      <c r="K2100" s="22" t="s">
        <v>7496</v>
      </c>
      <c r="L2100" s="56">
        <v>45293</v>
      </c>
      <c r="O2100" s="42"/>
      <c r="P2100" s="40"/>
      <c r="Q2100" s="61"/>
      <c r="R2100" s="61"/>
      <c r="S2100" s="40"/>
      <c r="T2100" s="38"/>
      <c r="U2100" s="38"/>
      <c r="V2100" s="38"/>
      <c r="W2100" s="60"/>
      <c r="AB2100" s="42"/>
      <c r="AC2100" s="35"/>
      <c r="AD2100" s="38"/>
      <c r="AE2100" s="38"/>
      <c r="AF2100" s="38"/>
      <c r="AG2100" s="38"/>
      <c r="AH2100" s="60"/>
    </row>
    <row r="2101" spans="1:34" ht="15.75" customHeight="1">
      <c r="A2101" s="97"/>
      <c r="B2101" s="18" t="s">
        <v>7497</v>
      </c>
      <c r="C2101" s="37" t="s">
        <v>87</v>
      </c>
      <c r="D2101" s="20" t="s">
        <v>7498</v>
      </c>
      <c r="E2101" s="20" t="s">
        <v>7499</v>
      </c>
      <c r="F2101" s="19" t="s">
        <v>90</v>
      </c>
      <c r="G2101" s="19" t="s">
        <v>91</v>
      </c>
      <c r="H2101" s="37"/>
      <c r="I2101" s="21" t="s">
        <v>29</v>
      </c>
      <c r="J2101" s="21" t="s">
        <v>29</v>
      </c>
      <c r="K2101" s="22" t="s">
        <v>7500</v>
      </c>
      <c r="L2101" s="56">
        <v>45293</v>
      </c>
      <c r="O2101" s="42"/>
      <c r="P2101" s="40"/>
      <c r="Q2101" s="61"/>
      <c r="R2101" s="61"/>
      <c r="S2101" s="40"/>
      <c r="T2101" s="38"/>
      <c r="U2101" s="38"/>
      <c r="V2101" s="38"/>
      <c r="W2101" s="60"/>
      <c r="AB2101" s="42"/>
      <c r="AC2101" s="35"/>
      <c r="AD2101" s="38"/>
      <c r="AE2101" s="38"/>
      <c r="AF2101" s="38"/>
      <c r="AG2101" s="38"/>
      <c r="AH2101" s="60"/>
    </row>
    <row r="2102" spans="1:34" ht="15.75" customHeight="1">
      <c r="A2102" s="98"/>
      <c r="B2102" s="18" t="s">
        <v>7501</v>
      </c>
      <c r="C2102" s="37" t="s">
        <v>87</v>
      </c>
      <c r="D2102" s="20" t="s">
        <v>7502</v>
      </c>
      <c r="E2102" s="20" t="s">
        <v>7503</v>
      </c>
      <c r="F2102" s="19" t="s">
        <v>90</v>
      </c>
      <c r="G2102" s="19" t="s">
        <v>91</v>
      </c>
      <c r="H2102" s="37"/>
      <c r="I2102" s="21" t="s">
        <v>29</v>
      </c>
      <c r="J2102" s="21" t="s">
        <v>29</v>
      </c>
      <c r="K2102" s="22" t="s">
        <v>7504</v>
      </c>
      <c r="L2102" s="56">
        <v>45293</v>
      </c>
      <c r="O2102" s="42"/>
      <c r="P2102" s="40"/>
      <c r="Q2102" s="61"/>
      <c r="R2102" s="61"/>
      <c r="S2102" s="40"/>
      <c r="T2102" s="38"/>
      <c r="U2102" s="38"/>
      <c r="V2102" s="38"/>
      <c r="W2102" s="60"/>
      <c r="AB2102" s="42"/>
      <c r="AC2102" s="35"/>
      <c r="AD2102" s="38"/>
      <c r="AE2102" s="38"/>
      <c r="AF2102" s="38"/>
      <c r="AG2102" s="38"/>
      <c r="AH2102" s="60"/>
    </row>
    <row r="2103" spans="1:34" ht="15.75" customHeight="1">
      <c r="A2103" s="98"/>
      <c r="B2103" s="18" t="s">
        <v>7505</v>
      </c>
      <c r="C2103" s="37" t="s">
        <v>24</v>
      </c>
      <c r="D2103" s="20" t="s">
        <v>7506</v>
      </c>
      <c r="E2103" s="20" t="s">
        <v>7507</v>
      </c>
      <c r="F2103" s="19" t="s">
        <v>27</v>
      </c>
      <c r="G2103" s="19" t="s">
        <v>28</v>
      </c>
      <c r="H2103" s="37"/>
      <c r="I2103" s="21" t="s">
        <v>29</v>
      </c>
      <c r="J2103" s="21" t="s">
        <v>29</v>
      </c>
      <c r="K2103" s="22" t="s">
        <v>7507</v>
      </c>
      <c r="L2103" s="56">
        <v>45293</v>
      </c>
      <c r="O2103" s="42"/>
      <c r="P2103" s="40"/>
      <c r="Q2103" s="61"/>
      <c r="R2103" s="61"/>
      <c r="S2103" s="40"/>
      <c r="T2103" s="38"/>
      <c r="U2103" s="38"/>
      <c r="V2103" s="38"/>
      <c r="W2103" s="60"/>
      <c r="AB2103" s="42"/>
      <c r="AC2103" s="35"/>
      <c r="AD2103" s="38"/>
      <c r="AE2103" s="38"/>
      <c r="AF2103" s="38"/>
      <c r="AG2103" s="38"/>
      <c r="AH2103" s="60"/>
    </row>
    <row r="2104" spans="1:34" ht="15.75" customHeight="1">
      <c r="A2104" s="97"/>
      <c r="B2104" s="18" t="s">
        <v>7508</v>
      </c>
      <c r="C2104" s="37" t="s">
        <v>87</v>
      </c>
      <c r="D2104" s="20" t="s">
        <v>7509</v>
      </c>
      <c r="E2104" s="20" t="s">
        <v>7510</v>
      </c>
      <c r="F2104" s="19" t="s">
        <v>90</v>
      </c>
      <c r="G2104" s="19" t="s">
        <v>91</v>
      </c>
      <c r="H2104" s="37"/>
      <c r="I2104" s="21" t="s">
        <v>29</v>
      </c>
      <c r="J2104" s="21" t="s">
        <v>29</v>
      </c>
      <c r="K2104" s="22" t="s">
        <v>7511</v>
      </c>
      <c r="L2104" s="56">
        <v>45293</v>
      </c>
      <c r="O2104" s="42"/>
      <c r="P2104" s="40"/>
      <c r="Q2104" s="61"/>
      <c r="R2104" s="61"/>
      <c r="S2104" s="40"/>
      <c r="T2104" s="38"/>
      <c r="U2104" s="38"/>
      <c r="V2104" s="38"/>
      <c r="W2104" s="60"/>
      <c r="AB2104" s="42"/>
      <c r="AC2104" s="35"/>
      <c r="AD2104" s="38"/>
      <c r="AE2104" s="38"/>
      <c r="AF2104" s="38"/>
      <c r="AG2104" s="38"/>
      <c r="AH2104" s="60"/>
    </row>
    <row r="2105" spans="1:34" ht="15.75" customHeight="1">
      <c r="A2105" s="98"/>
      <c r="B2105" s="18" t="s">
        <v>7512</v>
      </c>
      <c r="C2105" s="37" t="s">
        <v>87</v>
      </c>
      <c r="D2105" s="20" t="s">
        <v>7513</v>
      </c>
      <c r="E2105" s="20" t="s">
        <v>7514</v>
      </c>
      <c r="F2105" s="19" t="s">
        <v>90</v>
      </c>
      <c r="G2105" s="19" t="s">
        <v>91</v>
      </c>
      <c r="H2105" s="37"/>
      <c r="I2105" s="21" t="s">
        <v>29</v>
      </c>
      <c r="J2105" s="21" t="s">
        <v>29</v>
      </c>
      <c r="K2105" s="22" t="s">
        <v>7515</v>
      </c>
      <c r="L2105" s="56">
        <v>45293</v>
      </c>
      <c r="O2105" s="42"/>
      <c r="P2105" s="40"/>
      <c r="Q2105" s="61"/>
      <c r="R2105" s="61"/>
      <c r="S2105" s="40"/>
      <c r="T2105" s="38"/>
      <c r="U2105" s="38"/>
      <c r="V2105" s="38"/>
      <c r="W2105" s="60"/>
      <c r="AB2105" s="42"/>
      <c r="AC2105" s="35"/>
      <c r="AD2105" s="38"/>
      <c r="AE2105" s="38"/>
      <c r="AF2105" s="38"/>
      <c r="AG2105" s="38"/>
      <c r="AH2105" s="60"/>
    </row>
    <row r="2106" spans="1:34" ht="15.75" customHeight="1">
      <c r="A2106" s="98"/>
      <c r="B2106" s="18" t="s">
        <v>7516</v>
      </c>
      <c r="C2106" s="37" t="s">
        <v>87</v>
      </c>
      <c r="D2106" s="20" t="s">
        <v>7517</v>
      </c>
      <c r="E2106" s="20" t="s">
        <v>7518</v>
      </c>
      <c r="F2106" s="19" t="s">
        <v>90</v>
      </c>
      <c r="G2106" s="19" t="s">
        <v>91</v>
      </c>
      <c r="H2106" s="37"/>
      <c r="I2106" s="21" t="s">
        <v>29</v>
      </c>
      <c r="J2106" s="21" t="s">
        <v>29</v>
      </c>
      <c r="K2106" s="22" t="s">
        <v>7518</v>
      </c>
      <c r="L2106" s="56">
        <v>45293</v>
      </c>
      <c r="O2106" s="42"/>
      <c r="P2106" s="40"/>
      <c r="Q2106" s="61"/>
      <c r="R2106" s="61"/>
      <c r="S2106" s="40"/>
      <c r="T2106" s="38"/>
      <c r="U2106" s="38"/>
      <c r="V2106" s="38"/>
      <c r="W2106" s="60"/>
      <c r="AB2106" s="42"/>
      <c r="AC2106" s="35"/>
      <c r="AD2106" s="38"/>
      <c r="AE2106" s="38"/>
      <c r="AF2106" s="38"/>
      <c r="AG2106" s="38"/>
      <c r="AH2106" s="60"/>
    </row>
    <row r="2107" spans="1:34" ht="15.75" customHeight="1">
      <c r="A2107" s="97"/>
      <c r="B2107" s="18" t="s">
        <v>7519</v>
      </c>
      <c r="C2107" s="37" t="s">
        <v>46</v>
      </c>
      <c r="D2107" s="20" t="s">
        <v>7520</v>
      </c>
      <c r="E2107" s="20" t="s">
        <v>7521</v>
      </c>
      <c r="F2107" s="37" t="s">
        <v>49</v>
      </c>
      <c r="G2107" s="19" t="s">
        <v>50</v>
      </c>
      <c r="H2107" s="37"/>
      <c r="I2107" s="21" t="s">
        <v>29</v>
      </c>
      <c r="J2107" s="21" t="s">
        <v>29</v>
      </c>
      <c r="K2107" s="22" t="s">
        <v>7522</v>
      </c>
      <c r="L2107" s="56">
        <v>45293</v>
      </c>
      <c r="O2107" s="42"/>
      <c r="P2107" s="40"/>
      <c r="Q2107" s="61"/>
      <c r="R2107" s="61"/>
      <c r="S2107" s="40"/>
      <c r="T2107" s="38"/>
      <c r="U2107" s="38"/>
      <c r="V2107" s="38"/>
      <c r="W2107" s="60"/>
      <c r="AB2107" s="42"/>
      <c r="AC2107" s="35"/>
      <c r="AD2107" s="38"/>
      <c r="AE2107" s="38"/>
      <c r="AF2107" s="38"/>
      <c r="AG2107" s="38"/>
      <c r="AH2107" s="60"/>
    </row>
    <row r="2108" spans="1:34" ht="15.75" customHeight="1">
      <c r="A2108" s="98"/>
      <c r="B2108" s="34" t="s">
        <v>7523</v>
      </c>
      <c r="C2108" s="37" t="s">
        <v>87</v>
      </c>
      <c r="D2108" s="20" t="s">
        <v>7524</v>
      </c>
      <c r="E2108" s="20" t="s">
        <v>7525</v>
      </c>
      <c r="F2108" s="37" t="s">
        <v>49</v>
      </c>
      <c r="G2108" s="19" t="s">
        <v>50</v>
      </c>
      <c r="H2108" s="37"/>
      <c r="I2108" s="21" t="s">
        <v>29</v>
      </c>
      <c r="J2108" s="21" t="s">
        <v>29</v>
      </c>
      <c r="K2108" s="22" t="s">
        <v>7526</v>
      </c>
      <c r="L2108" s="56">
        <v>45293</v>
      </c>
      <c r="O2108" s="42"/>
      <c r="P2108" s="40"/>
      <c r="Q2108" s="61"/>
      <c r="R2108" s="61"/>
      <c r="S2108" s="40"/>
      <c r="T2108" s="38"/>
      <c r="U2108" s="38"/>
      <c r="V2108" s="38"/>
      <c r="W2108" s="60"/>
      <c r="AB2108" s="42"/>
      <c r="AC2108" s="35"/>
      <c r="AD2108" s="38"/>
      <c r="AE2108" s="38"/>
      <c r="AF2108" s="38"/>
      <c r="AG2108" s="38"/>
      <c r="AH2108" s="60"/>
    </row>
    <row r="2109" spans="1:34" ht="15.75" customHeight="1">
      <c r="A2109" s="35"/>
      <c r="B2109" s="38"/>
      <c r="C2109" s="37"/>
      <c r="D2109" s="20"/>
      <c r="E2109" s="20"/>
      <c r="F2109" s="37"/>
      <c r="G2109" s="37"/>
      <c r="H2109" s="37"/>
      <c r="I2109" s="21"/>
      <c r="J2109" s="21"/>
      <c r="K2109" s="22"/>
      <c r="L2109" s="56"/>
      <c r="O2109" s="42"/>
      <c r="P2109" s="40"/>
      <c r="Q2109" s="61"/>
      <c r="R2109" s="61"/>
      <c r="S2109" s="40"/>
      <c r="T2109" s="38"/>
      <c r="U2109" s="38"/>
      <c r="V2109" s="38"/>
      <c r="W2109" s="60"/>
      <c r="AB2109" s="42"/>
      <c r="AC2109" s="35"/>
      <c r="AD2109" s="38"/>
      <c r="AE2109" s="38"/>
      <c r="AF2109" s="38"/>
      <c r="AG2109" s="38"/>
      <c r="AH2109" s="60"/>
    </row>
    <row r="2110" spans="1:34" ht="15.75" customHeight="1">
      <c r="A2110" s="35" t="s">
        <v>7527</v>
      </c>
      <c r="B2110" s="72" t="s">
        <v>7528</v>
      </c>
      <c r="C2110" s="37" t="s">
        <v>24</v>
      </c>
      <c r="D2110" s="20" t="s">
        <v>7529</v>
      </c>
      <c r="E2110" s="20" t="s">
        <v>7530</v>
      </c>
      <c r="F2110" s="19" t="s">
        <v>27</v>
      </c>
      <c r="G2110" s="19" t="s">
        <v>28</v>
      </c>
      <c r="H2110" s="19" t="s">
        <v>36</v>
      </c>
      <c r="I2110" s="21" t="s">
        <v>29</v>
      </c>
      <c r="J2110" s="21" t="s">
        <v>29</v>
      </c>
      <c r="K2110" s="22" t="s">
        <v>7531</v>
      </c>
      <c r="L2110" s="56">
        <v>45293</v>
      </c>
      <c r="M2110" s="40"/>
      <c r="N2110" s="40"/>
      <c r="O2110" s="42"/>
      <c r="P2110" s="40"/>
      <c r="Q2110" s="61"/>
      <c r="R2110" s="61"/>
      <c r="S2110" s="40"/>
      <c r="T2110" s="38"/>
      <c r="U2110" s="38"/>
      <c r="V2110" s="38"/>
      <c r="W2110" s="60"/>
      <c r="AB2110" s="42"/>
      <c r="AC2110" s="35"/>
      <c r="AD2110" s="38"/>
      <c r="AE2110" s="38"/>
      <c r="AF2110" s="38"/>
      <c r="AG2110" s="38"/>
      <c r="AH2110" s="60"/>
    </row>
    <row r="2111" spans="1:34" ht="15.75" customHeight="1">
      <c r="A2111" s="54" t="s">
        <v>7532</v>
      </c>
      <c r="B2111" s="18" t="s">
        <v>7533</v>
      </c>
      <c r="C2111" s="37" t="s">
        <v>24</v>
      </c>
      <c r="D2111" s="20" t="s">
        <v>7534</v>
      </c>
      <c r="E2111" s="20" t="s">
        <v>7535</v>
      </c>
      <c r="F2111" s="19" t="s">
        <v>27</v>
      </c>
      <c r="G2111" s="19" t="s">
        <v>28</v>
      </c>
      <c r="H2111" s="37"/>
      <c r="I2111" s="21" t="s">
        <v>29</v>
      </c>
      <c r="J2111" s="21" t="s">
        <v>29</v>
      </c>
      <c r="K2111" s="22" t="s">
        <v>7535</v>
      </c>
      <c r="L2111" s="56">
        <v>45293</v>
      </c>
      <c r="O2111" s="42"/>
      <c r="P2111" s="40"/>
      <c r="Q2111" s="61"/>
      <c r="R2111" s="61"/>
      <c r="S2111" s="40"/>
      <c r="T2111" s="38"/>
      <c r="U2111" s="38"/>
      <c r="V2111" s="38"/>
      <c r="W2111" s="60"/>
      <c r="AB2111" s="42"/>
      <c r="AC2111" s="35"/>
      <c r="AD2111" s="38"/>
      <c r="AE2111" s="38"/>
      <c r="AF2111" s="38"/>
      <c r="AG2111" s="38"/>
      <c r="AH2111" s="60"/>
    </row>
    <row r="2112" spans="1:34" ht="15.75" customHeight="1">
      <c r="A2112" s="50" t="s">
        <v>39</v>
      </c>
      <c r="B2112" s="18" t="s">
        <v>7536</v>
      </c>
      <c r="C2112" s="37" t="s">
        <v>24</v>
      </c>
      <c r="D2112" s="20" t="s">
        <v>7537</v>
      </c>
      <c r="E2112" s="20" t="s">
        <v>7538</v>
      </c>
      <c r="F2112" s="19" t="s">
        <v>27</v>
      </c>
      <c r="G2112" s="19" t="s">
        <v>28</v>
      </c>
      <c r="H2112" s="37"/>
      <c r="I2112" s="21" t="s">
        <v>29</v>
      </c>
      <c r="J2112" s="21" t="s">
        <v>29</v>
      </c>
      <c r="K2112" s="22" t="s">
        <v>7539</v>
      </c>
      <c r="L2112" s="56">
        <v>45293</v>
      </c>
      <c r="O2112" s="42"/>
      <c r="P2112" s="40"/>
      <c r="Q2112" s="61"/>
      <c r="R2112" s="61"/>
      <c r="S2112" s="40"/>
      <c r="T2112" s="38"/>
      <c r="U2112" s="38"/>
      <c r="V2112" s="38"/>
      <c r="W2112" s="60"/>
      <c r="AB2112" s="42"/>
      <c r="AC2112" s="35"/>
      <c r="AD2112" s="38"/>
      <c r="AE2112" s="38"/>
      <c r="AF2112" s="38"/>
      <c r="AG2112" s="38"/>
      <c r="AH2112" s="60"/>
    </row>
    <row r="2113" spans="1:34" ht="15.75" customHeight="1">
      <c r="A2113" s="35" t="s">
        <v>7381</v>
      </c>
      <c r="B2113" s="18" t="s">
        <v>7540</v>
      </c>
      <c r="C2113" s="37" t="s">
        <v>46</v>
      </c>
      <c r="D2113" s="20" t="s">
        <v>7541</v>
      </c>
      <c r="E2113" s="20" t="s">
        <v>7542</v>
      </c>
      <c r="F2113" s="37" t="s">
        <v>49</v>
      </c>
      <c r="G2113" s="19" t="s">
        <v>50</v>
      </c>
      <c r="H2113" s="37"/>
      <c r="I2113" s="21" t="s">
        <v>29</v>
      </c>
      <c r="J2113" s="21" t="s">
        <v>29</v>
      </c>
      <c r="K2113" s="22" t="s">
        <v>7543</v>
      </c>
      <c r="L2113" s="56">
        <v>45293</v>
      </c>
      <c r="O2113" s="42"/>
      <c r="P2113" s="40"/>
      <c r="Q2113" s="61"/>
      <c r="R2113" s="61"/>
      <c r="S2113" s="40"/>
      <c r="T2113" s="38"/>
      <c r="U2113" s="38"/>
      <c r="V2113" s="38"/>
      <c r="W2113" s="60"/>
      <c r="AB2113" s="42"/>
      <c r="AC2113" s="35"/>
      <c r="AD2113" s="38"/>
      <c r="AE2113" s="38"/>
      <c r="AF2113" s="38"/>
      <c r="AG2113" s="38"/>
      <c r="AH2113" s="60"/>
    </row>
    <row r="2114" spans="1:34" ht="15.75" customHeight="1">
      <c r="A2114" s="35" t="s">
        <v>7544</v>
      </c>
      <c r="B2114" s="18" t="s">
        <v>7545</v>
      </c>
      <c r="C2114" s="37" t="s">
        <v>24</v>
      </c>
      <c r="D2114" s="20" t="s">
        <v>7546</v>
      </c>
      <c r="E2114" s="20" t="s">
        <v>7547</v>
      </c>
      <c r="F2114" s="19" t="s">
        <v>27</v>
      </c>
      <c r="G2114" s="19" t="s">
        <v>28</v>
      </c>
      <c r="H2114" s="37"/>
      <c r="I2114" s="21" t="s">
        <v>29</v>
      </c>
      <c r="J2114" s="21" t="s">
        <v>29</v>
      </c>
      <c r="K2114" s="22" t="s">
        <v>7548</v>
      </c>
      <c r="L2114" s="56">
        <v>45293</v>
      </c>
      <c r="O2114" s="42"/>
      <c r="P2114" s="40"/>
      <c r="Q2114" s="61"/>
      <c r="R2114" s="61"/>
      <c r="S2114" s="40"/>
      <c r="T2114" s="38"/>
      <c r="U2114" s="38"/>
      <c r="V2114" s="38"/>
      <c r="W2114" s="60"/>
      <c r="AB2114" s="42"/>
      <c r="AC2114" s="35"/>
      <c r="AD2114" s="38"/>
      <c r="AE2114" s="38"/>
      <c r="AF2114" s="38"/>
      <c r="AG2114" s="38"/>
      <c r="AH2114" s="60"/>
    </row>
    <row r="2115" spans="1:34" ht="15.75" customHeight="1">
      <c r="A2115" s="31" t="s">
        <v>56</v>
      </c>
      <c r="B2115" s="18" t="s">
        <v>7549</v>
      </c>
      <c r="C2115" s="37" t="s">
        <v>24</v>
      </c>
      <c r="D2115" s="20" t="s">
        <v>7550</v>
      </c>
      <c r="E2115" s="20" t="s">
        <v>7551</v>
      </c>
      <c r="F2115" s="19" t="s">
        <v>27</v>
      </c>
      <c r="G2115" s="19" t="s">
        <v>28</v>
      </c>
      <c r="H2115" s="37"/>
      <c r="I2115" s="21" t="s">
        <v>29</v>
      </c>
      <c r="J2115" s="21" t="s">
        <v>29</v>
      </c>
      <c r="K2115" s="22" t="s">
        <v>7551</v>
      </c>
      <c r="L2115" s="56">
        <v>45293</v>
      </c>
      <c r="O2115" s="42"/>
      <c r="P2115" s="40"/>
      <c r="Q2115" s="61"/>
      <c r="R2115" s="61"/>
      <c r="S2115" s="40"/>
      <c r="T2115" s="38"/>
      <c r="U2115" s="38"/>
      <c r="V2115" s="38"/>
      <c r="W2115" s="60"/>
      <c r="AB2115" s="42"/>
      <c r="AC2115" s="35"/>
      <c r="AD2115" s="38"/>
      <c r="AE2115" s="38"/>
      <c r="AF2115" s="38"/>
      <c r="AG2115" s="38"/>
      <c r="AH2115" s="60"/>
    </row>
    <row r="2116" spans="1:34" ht="15.75" customHeight="1">
      <c r="A2116" s="17">
        <v>68</v>
      </c>
      <c r="B2116" s="18" t="s">
        <v>7552</v>
      </c>
      <c r="C2116" s="37" t="s">
        <v>24</v>
      </c>
      <c r="D2116" s="20" t="s">
        <v>7553</v>
      </c>
      <c r="E2116" s="20" t="s">
        <v>7554</v>
      </c>
      <c r="F2116" s="19" t="s">
        <v>27</v>
      </c>
      <c r="G2116" s="19" t="s">
        <v>28</v>
      </c>
      <c r="H2116" s="37"/>
      <c r="I2116" s="21" t="s">
        <v>29</v>
      </c>
      <c r="J2116" s="21" t="s">
        <v>29</v>
      </c>
      <c r="K2116" s="22" t="s">
        <v>7554</v>
      </c>
      <c r="L2116" s="56">
        <v>45293</v>
      </c>
      <c r="O2116" s="42"/>
      <c r="P2116" s="40"/>
      <c r="Q2116" s="61"/>
      <c r="R2116" s="61"/>
      <c r="S2116" s="40"/>
      <c r="T2116" s="38"/>
      <c r="U2116" s="38"/>
      <c r="V2116" s="38"/>
      <c r="W2116" s="60"/>
      <c r="AB2116" s="42"/>
      <c r="AC2116" s="35"/>
      <c r="AD2116" s="38"/>
      <c r="AE2116" s="38"/>
      <c r="AF2116" s="38"/>
      <c r="AG2116" s="38"/>
      <c r="AH2116" s="60"/>
    </row>
    <row r="2117" spans="1:34" ht="15.75" customHeight="1">
      <c r="A2117" s="31" t="s">
        <v>64</v>
      </c>
      <c r="B2117" s="18" t="s">
        <v>7555</v>
      </c>
      <c r="C2117" s="37" t="s">
        <v>24</v>
      </c>
      <c r="D2117" s="20" t="s">
        <v>7556</v>
      </c>
      <c r="E2117" s="20" t="s">
        <v>7557</v>
      </c>
      <c r="F2117" s="19" t="s">
        <v>27</v>
      </c>
      <c r="G2117" s="19" t="s">
        <v>28</v>
      </c>
      <c r="H2117" s="37"/>
      <c r="I2117" s="21" t="s">
        <v>29</v>
      </c>
      <c r="J2117" s="21" t="s">
        <v>29</v>
      </c>
      <c r="K2117" s="22" t="s">
        <v>7558</v>
      </c>
      <c r="L2117" s="56">
        <v>45293</v>
      </c>
      <c r="O2117" s="42"/>
      <c r="P2117" s="40"/>
      <c r="Q2117" s="61"/>
      <c r="R2117" s="61"/>
      <c r="S2117" s="40"/>
      <c r="T2117" s="38"/>
      <c r="U2117" s="38"/>
      <c r="V2117" s="38"/>
      <c r="W2117" s="60"/>
      <c r="AB2117" s="42"/>
      <c r="AC2117" s="35"/>
      <c r="AD2117" s="38"/>
      <c r="AE2117" s="38"/>
      <c r="AF2117" s="38"/>
      <c r="AG2117" s="38"/>
      <c r="AH2117" s="60"/>
    </row>
    <row r="2118" spans="1:34" ht="15.75" customHeight="1">
      <c r="A2118" s="17">
        <v>3.6</v>
      </c>
      <c r="B2118" s="18" t="s">
        <v>7559</v>
      </c>
      <c r="C2118" s="37" t="s">
        <v>24</v>
      </c>
      <c r="D2118" s="20" t="s">
        <v>7560</v>
      </c>
      <c r="E2118" s="20" t="s">
        <v>7561</v>
      </c>
      <c r="F2118" s="19" t="s">
        <v>27</v>
      </c>
      <c r="G2118" s="19" t="s">
        <v>28</v>
      </c>
      <c r="H2118" s="37"/>
      <c r="I2118" s="21" t="s">
        <v>29</v>
      </c>
      <c r="J2118" s="21" t="s">
        <v>29</v>
      </c>
      <c r="K2118" s="22" t="s">
        <v>7562</v>
      </c>
      <c r="L2118" s="56">
        <v>45293</v>
      </c>
      <c r="O2118" s="42"/>
      <c r="P2118" s="40"/>
      <c r="Q2118" s="61"/>
      <c r="R2118" s="61"/>
      <c r="S2118" s="40"/>
      <c r="T2118" s="38"/>
      <c r="U2118" s="38"/>
      <c r="V2118" s="38"/>
      <c r="W2118" s="60"/>
      <c r="AB2118" s="42"/>
      <c r="AC2118" s="35"/>
      <c r="AD2118" s="38"/>
      <c r="AE2118" s="38"/>
      <c r="AF2118" s="38"/>
      <c r="AG2118" s="38"/>
      <c r="AH2118" s="60"/>
    </row>
    <row r="2119" spans="1:34" ht="15.75" customHeight="1">
      <c r="A2119" s="31" t="s">
        <v>73</v>
      </c>
      <c r="B2119" s="18" t="s">
        <v>7563</v>
      </c>
      <c r="C2119" s="37" t="s">
        <v>24</v>
      </c>
      <c r="D2119" s="20" t="s">
        <v>7564</v>
      </c>
      <c r="E2119" s="20" t="s">
        <v>7565</v>
      </c>
      <c r="F2119" s="19" t="s">
        <v>27</v>
      </c>
      <c r="G2119" s="19" t="s">
        <v>28</v>
      </c>
      <c r="H2119" s="19" t="s">
        <v>36</v>
      </c>
      <c r="I2119" s="21" t="s">
        <v>29</v>
      </c>
      <c r="J2119" s="21" t="s">
        <v>29</v>
      </c>
      <c r="K2119" s="22" t="s">
        <v>7566</v>
      </c>
      <c r="L2119" s="56">
        <v>45293</v>
      </c>
      <c r="O2119" s="42"/>
      <c r="P2119" s="40"/>
      <c r="Q2119" s="61"/>
      <c r="R2119" s="61"/>
      <c r="S2119" s="40"/>
      <c r="T2119" s="38"/>
      <c r="U2119" s="38"/>
      <c r="V2119" s="38"/>
      <c r="W2119" s="60"/>
      <c r="AB2119" s="42"/>
      <c r="AC2119" s="35"/>
      <c r="AD2119" s="38"/>
      <c r="AE2119" s="38"/>
      <c r="AF2119" s="38"/>
      <c r="AG2119" s="38"/>
      <c r="AH2119" s="60"/>
    </row>
    <row r="2120" spans="1:34" ht="15.75" customHeight="1">
      <c r="A2120" s="17">
        <v>3.8</v>
      </c>
      <c r="B2120" s="18" t="s">
        <v>7567</v>
      </c>
      <c r="C2120" s="37" t="s">
        <v>24</v>
      </c>
      <c r="D2120" s="20" t="s">
        <v>7568</v>
      </c>
      <c r="E2120" s="20" t="s">
        <v>7569</v>
      </c>
      <c r="F2120" s="19" t="s">
        <v>27</v>
      </c>
      <c r="G2120" s="19" t="s">
        <v>28</v>
      </c>
      <c r="H2120" s="37" t="s">
        <v>813</v>
      </c>
      <c r="I2120" s="21" t="s">
        <v>29</v>
      </c>
      <c r="J2120" s="21" t="s">
        <v>29</v>
      </c>
      <c r="K2120" s="22" t="s">
        <v>7570</v>
      </c>
      <c r="L2120" s="56">
        <v>45293</v>
      </c>
      <c r="O2120" s="42"/>
      <c r="P2120" s="40"/>
      <c r="Q2120" s="61"/>
      <c r="R2120" s="61"/>
      <c r="S2120" s="40"/>
      <c r="T2120" s="38"/>
      <c r="U2120" s="38"/>
      <c r="V2120" s="38"/>
      <c r="W2120" s="60"/>
      <c r="AB2120" s="42"/>
      <c r="AC2120" s="35"/>
      <c r="AD2120" s="38"/>
      <c r="AE2120" s="38"/>
      <c r="AF2120" s="38"/>
      <c r="AG2120" s="38"/>
      <c r="AH2120" s="60"/>
    </row>
    <row r="2121" spans="1:34" ht="15.75" customHeight="1">
      <c r="A2121" s="50" t="s">
        <v>82</v>
      </c>
      <c r="B2121" s="99" t="s">
        <v>7571</v>
      </c>
      <c r="C2121" s="19" t="s">
        <v>121</v>
      </c>
      <c r="D2121" s="20" t="s">
        <v>7572</v>
      </c>
      <c r="E2121" s="20" t="s">
        <v>7573</v>
      </c>
      <c r="F2121" s="37" t="s">
        <v>286</v>
      </c>
      <c r="G2121" s="37" t="s">
        <v>286</v>
      </c>
      <c r="H2121" s="37"/>
      <c r="I2121" s="21" t="s">
        <v>286</v>
      </c>
      <c r="J2121" s="21" t="s">
        <v>29</v>
      </c>
      <c r="K2121" s="22" t="s">
        <v>7573</v>
      </c>
      <c r="L2121" s="56">
        <v>45293</v>
      </c>
      <c r="O2121" s="42"/>
      <c r="P2121" s="40"/>
      <c r="Q2121" s="61"/>
      <c r="R2121" s="61"/>
      <c r="S2121" s="40"/>
      <c r="T2121" s="38"/>
      <c r="U2121" s="38"/>
      <c r="V2121" s="38"/>
      <c r="W2121" s="60"/>
      <c r="AB2121" s="42"/>
      <c r="AC2121" s="35"/>
      <c r="AD2121" s="38"/>
      <c r="AE2121" s="38"/>
      <c r="AF2121" s="38"/>
      <c r="AG2121" s="38"/>
      <c r="AH2121" s="60"/>
    </row>
    <row r="2122" spans="1:34" ht="15.75" customHeight="1">
      <c r="A2122" s="35" t="s">
        <v>7574</v>
      </c>
      <c r="B2122" s="18" t="s">
        <v>7575</v>
      </c>
      <c r="C2122" s="37" t="s">
        <v>24</v>
      </c>
      <c r="D2122" s="20" t="s">
        <v>7576</v>
      </c>
      <c r="E2122" s="20" t="s">
        <v>7577</v>
      </c>
      <c r="F2122" s="19" t="s">
        <v>27</v>
      </c>
      <c r="G2122" s="19" t="s">
        <v>28</v>
      </c>
      <c r="H2122" s="37"/>
      <c r="I2122" s="21" t="s">
        <v>29</v>
      </c>
      <c r="J2122" s="21" t="s">
        <v>29</v>
      </c>
      <c r="K2122" s="22" t="s">
        <v>7577</v>
      </c>
      <c r="L2122" s="56">
        <v>45293</v>
      </c>
      <c r="O2122" s="42"/>
      <c r="P2122" s="40"/>
      <c r="Q2122" s="61"/>
      <c r="R2122" s="61"/>
      <c r="S2122" s="40"/>
      <c r="T2122" s="38"/>
      <c r="U2122" s="38"/>
      <c r="V2122" s="38"/>
      <c r="W2122" s="60"/>
      <c r="AB2122" s="42"/>
      <c r="AC2122" s="35"/>
      <c r="AD2122" s="38"/>
      <c r="AE2122" s="38"/>
      <c r="AF2122" s="38"/>
      <c r="AG2122" s="38"/>
      <c r="AH2122" s="60"/>
    </row>
    <row r="2123" spans="1:34" ht="15.75" customHeight="1">
      <c r="A2123" s="31" t="s">
        <v>92</v>
      </c>
      <c r="B2123" s="18" t="s">
        <v>7578</v>
      </c>
      <c r="C2123" s="37" t="s">
        <v>46</v>
      </c>
      <c r="D2123" s="20" t="s">
        <v>7579</v>
      </c>
      <c r="E2123" s="20" t="s">
        <v>7580</v>
      </c>
      <c r="F2123" s="37" t="s">
        <v>49</v>
      </c>
      <c r="G2123" s="19" t="s">
        <v>50</v>
      </c>
      <c r="H2123" s="37"/>
      <c r="I2123" s="21" t="s">
        <v>29</v>
      </c>
      <c r="J2123" s="21" t="s">
        <v>29</v>
      </c>
      <c r="K2123" s="22" t="s">
        <v>7581</v>
      </c>
      <c r="L2123" s="56">
        <v>45293</v>
      </c>
      <c r="O2123" s="42"/>
      <c r="P2123" s="40"/>
      <c r="Q2123" s="61"/>
      <c r="R2123" s="61"/>
      <c r="S2123" s="40"/>
      <c r="T2123" s="38"/>
      <c r="U2123" s="38"/>
      <c r="V2123" s="38"/>
      <c r="W2123" s="60"/>
      <c r="AB2123" s="42"/>
      <c r="AC2123" s="35"/>
      <c r="AD2123" s="38"/>
      <c r="AE2123" s="38"/>
      <c r="AF2123" s="38"/>
      <c r="AG2123" s="38"/>
      <c r="AH2123" s="60"/>
    </row>
    <row r="2124" spans="1:34" ht="15.75" customHeight="1">
      <c r="A2124" s="33">
        <v>1266</v>
      </c>
      <c r="B2124" s="18" t="s">
        <v>7582</v>
      </c>
      <c r="C2124" s="37" t="s">
        <v>24</v>
      </c>
      <c r="D2124" s="20" t="s">
        <v>7583</v>
      </c>
      <c r="E2124" s="20" t="s">
        <v>7584</v>
      </c>
      <c r="F2124" s="19" t="s">
        <v>27</v>
      </c>
      <c r="G2124" s="19" t="s">
        <v>28</v>
      </c>
      <c r="H2124" s="37"/>
      <c r="I2124" s="21" t="s">
        <v>29</v>
      </c>
      <c r="J2124" s="21" t="s">
        <v>29</v>
      </c>
      <c r="K2124" s="22" t="s">
        <v>7585</v>
      </c>
      <c r="L2124" s="56">
        <v>45293</v>
      </c>
      <c r="O2124" s="42"/>
      <c r="P2124" s="40"/>
      <c r="Q2124" s="61"/>
      <c r="R2124" s="61"/>
      <c r="S2124" s="40"/>
      <c r="T2124" s="38"/>
      <c r="U2124" s="38"/>
      <c r="V2124" s="38"/>
      <c r="W2124" s="60"/>
      <c r="AB2124" s="42"/>
      <c r="AC2124" s="35"/>
      <c r="AD2124" s="38"/>
      <c r="AE2124" s="38"/>
      <c r="AF2124" s="38"/>
      <c r="AG2124" s="38"/>
      <c r="AH2124" s="60"/>
    </row>
    <row r="2125" spans="1:34" ht="15.75" customHeight="1">
      <c r="A2125" s="31" t="s">
        <v>100</v>
      </c>
      <c r="B2125" s="18" t="s">
        <v>7586</v>
      </c>
      <c r="C2125" s="37" t="s">
        <v>1603</v>
      </c>
      <c r="D2125" s="20" t="s">
        <v>7587</v>
      </c>
      <c r="E2125" s="20" t="s">
        <v>7588</v>
      </c>
      <c r="F2125" s="19" t="s">
        <v>27</v>
      </c>
      <c r="G2125" s="19" t="s">
        <v>1606</v>
      </c>
      <c r="H2125" s="37"/>
      <c r="I2125" s="21" t="s">
        <v>29</v>
      </c>
      <c r="J2125" s="21" t="s">
        <v>233</v>
      </c>
      <c r="K2125" s="22" t="s">
        <v>7589</v>
      </c>
      <c r="L2125" s="56">
        <v>45293</v>
      </c>
      <c r="O2125" s="42"/>
      <c r="P2125" s="40"/>
      <c r="Q2125" s="61"/>
      <c r="R2125" s="61"/>
      <c r="S2125" s="40"/>
      <c r="T2125" s="38"/>
      <c r="U2125" s="38"/>
      <c r="V2125" s="38"/>
      <c r="W2125" s="60"/>
      <c r="AB2125" s="42"/>
      <c r="AC2125" s="35"/>
      <c r="AD2125" s="38"/>
      <c r="AE2125" s="38"/>
      <c r="AF2125" s="38"/>
      <c r="AG2125" s="38"/>
      <c r="AH2125" s="60"/>
    </row>
    <row r="2126" spans="1:34" ht="15.75" customHeight="1">
      <c r="A2126" s="17">
        <v>163</v>
      </c>
      <c r="B2126" s="18" t="s">
        <v>7590</v>
      </c>
      <c r="C2126" s="37" t="s">
        <v>24</v>
      </c>
      <c r="D2126" s="20" t="s">
        <v>7591</v>
      </c>
      <c r="E2126" s="20" t="s">
        <v>7592</v>
      </c>
      <c r="F2126" s="19" t="s">
        <v>27</v>
      </c>
      <c r="G2126" s="19" t="s">
        <v>28</v>
      </c>
      <c r="H2126" s="37"/>
      <c r="I2126" s="21" t="s">
        <v>29</v>
      </c>
      <c r="J2126" s="21" t="s">
        <v>29</v>
      </c>
      <c r="K2126" s="22" t="s">
        <v>7592</v>
      </c>
      <c r="L2126" s="56">
        <v>45293</v>
      </c>
      <c r="O2126" s="42"/>
      <c r="P2126" s="40"/>
      <c r="Q2126" s="61"/>
      <c r="R2126" s="61"/>
      <c r="S2126" s="40"/>
      <c r="T2126" s="38"/>
      <c r="U2126" s="38"/>
      <c r="V2126" s="38"/>
      <c r="W2126" s="60"/>
      <c r="AB2126" s="42"/>
      <c r="AC2126" s="35"/>
      <c r="AD2126" s="38"/>
      <c r="AE2126" s="38"/>
      <c r="AF2126" s="38"/>
      <c r="AG2126" s="38"/>
      <c r="AH2126" s="60"/>
    </row>
    <row r="2127" spans="1:34" ht="15.75" customHeight="1">
      <c r="A2127" s="35"/>
      <c r="B2127" s="18" t="s">
        <v>7593</v>
      </c>
      <c r="C2127" s="37" t="s">
        <v>24</v>
      </c>
      <c r="D2127" s="20" t="s">
        <v>7594</v>
      </c>
      <c r="E2127" s="20" t="s">
        <v>7595</v>
      </c>
      <c r="F2127" s="19" t="s">
        <v>27</v>
      </c>
      <c r="G2127" s="19" t="s">
        <v>28</v>
      </c>
      <c r="H2127" s="19" t="s">
        <v>36</v>
      </c>
      <c r="I2127" s="21" t="s">
        <v>29</v>
      </c>
      <c r="J2127" s="21" t="s">
        <v>29</v>
      </c>
      <c r="K2127" s="22" t="s">
        <v>7596</v>
      </c>
      <c r="L2127" s="56">
        <v>45293</v>
      </c>
      <c r="O2127" s="42"/>
      <c r="P2127" s="40"/>
      <c r="Q2127" s="61"/>
      <c r="R2127" s="61"/>
      <c r="S2127" s="40"/>
      <c r="T2127" s="38"/>
      <c r="U2127" s="38"/>
      <c r="V2127" s="38"/>
      <c r="W2127" s="60"/>
      <c r="AB2127" s="42"/>
      <c r="AC2127" s="35"/>
      <c r="AD2127" s="38"/>
      <c r="AE2127" s="38"/>
      <c r="AF2127" s="38"/>
      <c r="AG2127" s="38"/>
      <c r="AH2127" s="60"/>
    </row>
    <row r="2128" spans="1:34" ht="15.75" customHeight="1">
      <c r="A2128" s="35"/>
      <c r="B2128" s="18" t="s">
        <v>7597</v>
      </c>
      <c r="C2128" s="37" t="s">
        <v>87</v>
      </c>
      <c r="D2128" s="20" t="s">
        <v>7598</v>
      </c>
      <c r="E2128" s="20" t="s">
        <v>7599</v>
      </c>
      <c r="F2128" s="19" t="s">
        <v>90</v>
      </c>
      <c r="G2128" s="19" t="s">
        <v>91</v>
      </c>
      <c r="H2128" s="37"/>
      <c r="I2128" s="21" t="s">
        <v>29</v>
      </c>
      <c r="J2128" s="21" t="s">
        <v>29</v>
      </c>
      <c r="K2128" s="22" t="s">
        <v>7600</v>
      </c>
      <c r="L2128" s="56">
        <v>45293</v>
      </c>
      <c r="O2128" s="42"/>
      <c r="P2128" s="40"/>
      <c r="Q2128" s="61"/>
      <c r="R2128" s="61"/>
      <c r="S2128" s="40"/>
      <c r="T2128" s="38"/>
      <c r="U2128" s="38"/>
      <c r="V2128" s="38"/>
      <c r="W2128" s="60"/>
      <c r="AB2128" s="42"/>
      <c r="AC2128" s="35"/>
      <c r="AD2128" s="38"/>
      <c r="AE2128" s="38"/>
      <c r="AF2128" s="38"/>
      <c r="AG2128" s="38"/>
      <c r="AH2128" s="60"/>
    </row>
    <row r="2129" spans="1:34" ht="15.75" customHeight="1">
      <c r="A2129" s="100"/>
      <c r="B2129" s="18" t="s">
        <v>7601</v>
      </c>
      <c r="C2129" s="37" t="s">
        <v>24</v>
      </c>
      <c r="D2129" s="20" t="s">
        <v>7602</v>
      </c>
      <c r="E2129" s="20" t="s">
        <v>7603</v>
      </c>
      <c r="F2129" s="19" t="s">
        <v>27</v>
      </c>
      <c r="G2129" s="19" t="s">
        <v>28</v>
      </c>
      <c r="H2129" s="37"/>
      <c r="I2129" s="21" t="s">
        <v>29</v>
      </c>
      <c r="J2129" s="21" t="s">
        <v>29</v>
      </c>
      <c r="K2129" s="22" t="s">
        <v>7603</v>
      </c>
      <c r="L2129" s="56">
        <v>45293</v>
      </c>
      <c r="O2129" s="42"/>
      <c r="P2129" s="40"/>
      <c r="Q2129" s="61"/>
      <c r="R2129" s="61"/>
      <c r="S2129" s="40"/>
      <c r="T2129" s="38"/>
      <c r="U2129" s="38"/>
      <c r="V2129" s="38"/>
      <c r="W2129" s="60"/>
      <c r="AB2129" s="42"/>
      <c r="AC2129" s="35"/>
      <c r="AD2129" s="38"/>
      <c r="AE2129" s="38"/>
      <c r="AF2129" s="38"/>
      <c r="AG2129" s="38"/>
      <c r="AH2129" s="60"/>
    </row>
    <row r="2130" spans="1:34" ht="15.75" customHeight="1">
      <c r="A2130" s="100"/>
      <c r="B2130" s="34" t="s">
        <v>7604</v>
      </c>
      <c r="C2130" s="37" t="s">
        <v>24</v>
      </c>
      <c r="D2130" s="20" t="s">
        <v>7605</v>
      </c>
      <c r="E2130" s="20" t="s">
        <v>7606</v>
      </c>
      <c r="F2130" s="19" t="s">
        <v>90</v>
      </c>
      <c r="G2130" s="19" t="s">
        <v>91</v>
      </c>
      <c r="H2130" s="37"/>
      <c r="I2130" s="21" t="s">
        <v>29</v>
      </c>
      <c r="J2130" s="21" t="s">
        <v>29</v>
      </c>
      <c r="K2130" s="22" t="s">
        <v>7606</v>
      </c>
      <c r="L2130" s="56">
        <v>45293</v>
      </c>
      <c r="O2130" s="42"/>
      <c r="P2130" s="40"/>
      <c r="Q2130" s="61"/>
      <c r="R2130" s="61"/>
      <c r="S2130" s="40"/>
      <c r="T2130" s="38"/>
      <c r="U2130" s="38"/>
      <c r="V2130" s="38"/>
      <c r="W2130" s="60"/>
      <c r="AB2130" s="42"/>
      <c r="AC2130" s="35"/>
      <c r="AD2130" s="38"/>
      <c r="AE2130" s="38"/>
      <c r="AF2130" s="38"/>
      <c r="AG2130" s="38"/>
      <c r="AH2130" s="60"/>
    </row>
    <row r="2131" spans="1:34" ht="15.75" customHeight="1">
      <c r="A2131" s="101"/>
      <c r="B2131" s="18" t="s">
        <v>7607</v>
      </c>
      <c r="C2131" s="37" t="s">
        <v>87</v>
      </c>
      <c r="D2131" s="20" t="s">
        <v>7608</v>
      </c>
      <c r="E2131" s="20" t="s">
        <v>7609</v>
      </c>
      <c r="F2131" s="19" t="s">
        <v>90</v>
      </c>
      <c r="G2131" s="19" t="s">
        <v>91</v>
      </c>
      <c r="H2131" s="37"/>
      <c r="I2131" s="21" t="s">
        <v>29</v>
      </c>
      <c r="J2131" s="21" t="s">
        <v>29</v>
      </c>
      <c r="K2131" s="22" t="s">
        <v>7610</v>
      </c>
      <c r="L2131" s="56">
        <v>45293</v>
      </c>
      <c r="O2131" s="42"/>
      <c r="P2131" s="40"/>
      <c r="Q2131" s="61"/>
      <c r="R2131" s="61"/>
      <c r="S2131" s="40"/>
      <c r="T2131" s="38"/>
      <c r="U2131" s="38"/>
      <c r="V2131" s="38"/>
      <c r="W2131" s="60"/>
      <c r="AB2131" s="42"/>
      <c r="AC2131" s="35"/>
      <c r="AD2131" s="38"/>
      <c r="AE2131" s="38"/>
      <c r="AF2131" s="38"/>
      <c r="AG2131" s="38"/>
      <c r="AH2131" s="60"/>
    </row>
    <row r="2132" spans="1:34" ht="15.75" customHeight="1">
      <c r="A2132" s="100"/>
      <c r="B2132" s="34" t="s">
        <v>7611</v>
      </c>
      <c r="C2132" s="37" t="s">
        <v>24</v>
      </c>
      <c r="D2132" s="20" t="s">
        <v>7612</v>
      </c>
      <c r="E2132" s="20" t="s">
        <v>7613</v>
      </c>
      <c r="F2132" s="19" t="s">
        <v>90</v>
      </c>
      <c r="G2132" s="19" t="s">
        <v>91</v>
      </c>
      <c r="H2132" s="37"/>
      <c r="I2132" s="21" t="s">
        <v>29</v>
      </c>
      <c r="J2132" s="21" t="s">
        <v>29</v>
      </c>
      <c r="K2132" s="22" t="s">
        <v>7613</v>
      </c>
      <c r="L2132" s="56">
        <v>45293</v>
      </c>
      <c r="O2132" s="42"/>
      <c r="P2132" s="40"/>
      <c r="Q2132" s="61"/>
      <c r="R2132" s="61"/>
      <c r="S2132" s="40"/>
      <c r="T2132" s="38"/>
      <c r="U2132" s="38"/>
      <c r="V2132" s="38"/>
      <c r="W2132" s="60"/>
      <c r="AB2132" s="42"/>
      <c r="AC2132" s="35"/>
      <c r="AD2132" s="38"/>
      <c r="AE2132" s="38"/>
      <c r="AF2132" s="38"/>
      <c r="AG2132" s="38"/>
      <c r="AH2132" s="60"/>
    </row>
    <row r="2133" spans="1:34" ht="15.75" customHeight="1">
      <c r="A2133" s="100"/>
      <c r="B2133" s="18" t="s">
        <v>7614</v>
      </c>
      <c r="C2133" s="37" t="s">
        <v>24</v>
      </c>
      <c r="D2133" s="20" t="s">
        <v>7615</v>
      </c>
      <c r="E2133" s="20" t="s">
        <v>7616</v>
      </c>
      <c r="F2133" s="19" t="s">
        <v>27</v>
      </c>
      <c r="G2133" s="19" t="s">
        <v>28</v>
      </c>
      <c r="H2133" s="37"/>
      <c r="I2133" s="21" t="s">
        <v>29</v>
      </c>
      <c r="J2133" s="21" t="s">
        <v>29</v>
      </c>
      <c r="K2133" s="22" t="s">
        <v>7617</v>
      </c>
      <c r="L2133" s="56">
        <v>45293</v>
      </c>
      <c r="O2133" s="42"/>
      <c r="P2133" s="40"/>
      <c r="Q2133" s="61"/>
      <c r="R2133" s="61"/>
      <c r="S2133" s="40"/>
      <c r="T2133" s="38"/>
      <c r="U2133" s="38"/>
      <c r="V2133" s="38"/>
      <c r="W2133" s="60"/>
      <c r="AB2133" s="42"/>
      <c r="AC2133" s="35"/>
      <c r="AD2133" s="38"/>
      <c r="AE2133" s="38"/>
      <c r="AF2133" s="38"/>
      <c r="AG2133" s="38"/>
      <c r="AH2133" s="60"/>
    </row>
    <row r="2134" spans="1:34" ht="15.75" customHeight="1">
      <c r="A2134" s="101"/>
      <c r="B2134" s="18" t="s">
        <v>7618</v>
      </c>
      <c r="C2134" s="37" t="s">
        <v>46</v>
      </c>
      <c r="D2134" s="20" t="s">
        <v>7619</v>
      </c>
      <c r="E2134" s="20" t="s">
        <v>7620</v>
      </c>
      <c r="F2134" s="37" t="s">
        <v>49</v>
      </c>
      <c r="G2134" s="19" t="s">
        <v>50</v>
      </c>
      <c r="H2134" s="37"/>
      <c r="I2134" s="21" t="s">
        <v>29</v>
      </c>
      <c r="J2134" s="21" t="s">
        <v>29</v>
      </c>
      <c r="K2134" s="22" t="s">
        <v>7621</v>
      </c>
      <c r="L2134" s="56">
        <v>45293</v>
      </c>
      <c r="O2134" s="42"/>
      <c r="P2134" s="40"/>
      <c r="Q2134" s="61"/>
      <c r="R2134" s="61"/>
      <c r="S2134" s="40"/>
      <c r="T2134" s="38"/>
      <c r="U2134" s="38"/>
      <c r="V2134" s="38"/>
      <c r="W2134" s="60"/>
      <c r="AB2134" s="42"/>
      <c r="AC2134" s="35"/>
      <c r="AD2134" s="38"/>
      <c r="AE2134" s="38"/>
      <c r="AF2134" s="38"/>
      <c r="AG2134" s="38"/>
      <c r="AH2134" s="60"/>
    </row>
    <row r="2135" spans="1:34" ht="15.75" customHeight="1">
      <c r="A2135" s="100"/>
      <c r="B2135" s="18" t="s">
        <v>7622</v>
      </c>
      <c r="C2135" s="37" t="s">
        <v>24</v>
      </c>
      <c r="D2135" s="20" t="s">
        <v>7623</v>
      </c>
      <c r="E2135" s="20" t="s">
        <v>7624</v>
      </c>
      <c r="F2135" s="19" t="s">
        <v>27</v>
      </c>
      <c r="G2135" s="19" t="s">
        <v>28</v>
      </c>
      <c r="H2135" s="37"/>
      <c r="I2135" s="21" t="s">
        <v>29</v>
      </c>
      <c r="J2135" s="21" t="s">
        <v>29</v>
      </c>
      <c r="K2135" s="22" t="s">
        <v>7624</v>
      </c>
      <c r="L2135" s="56">
        <v>45293</v>
      </c>
      <c r="O2135" s="42"/>
      <c r="P2135" s="40"/>
      <c r="Q2135" s="61"/>
      <c r="R2135" s="61"/>
      <c r="S2135" s="40"/>
      <c r="T2135" s="38"/>
      <c r="U2135" s="38"/>
      <c r="V2135" s="38"/>
      <c r="W2135" s="60"/>
      <c r="AB2135" s="42"/>
      <c r="AC2135" s="35"/>
      <c r="AD2135" s="38"/>
      <c r="AE2135" s="38"/>
      <c r="AF2135" s="38"/>
      <c r="AG2135" s="38"/>
      <c r="AH2135" s="60"/>
    </row>
    <row r="2136" spans="1:34" ht="15.75" customHeight="1">
      <c r="A2136" s="100"/>
      <c r="B2136" s="18" t="s">
        <v>7625</v>
      </c>
      <c r="C2136" s="37" t="s">
        <v>24</v>
      </c>
      <c r="D2136" s="20" t="s">
        <v>7626</v>
      </c>
      <c r="E2136" s="20" t="s">
        <v>7627</v>
      </c>
      <c r="F2136" s="19" t="s">
        <v>27</v>
      </c>
      <c r="G2136" s="19" t="s">
        <v>28</v>
      </c>
      <c r="H2136" s="37" t="s">
        <v>813</v>
      </c>
      <c r="I2136" s="21" t="s">
        <v>29</v>
      </c>
      <c r="J2136" s="21" t="s">
        <v>29</v>
      </c>
      <c r="K2136" s="22" t="s">
        <v>7628</v>
      </c>
      <c r="L2136" s="56">
        <v>45293</v>
      </c>
      <c r="O2136" s="42"/>
      <c r="P2136" s="40"/>
      <c r="Q2136" s="61"/>
      <c r="R2136" s="61"/>
      <c r="S2136" s="40"/>
      <c r="T2136" s="38"/>
      <c r="U2136" s="38"/>
      <c r="V2136" s="38"/>
      <c r="W2136" s="60"/>
      <c r="AB2136" s="42"/>
      <c r="AC2136" s="35"/>
      <c r="AD2136" s="38"/>
      <c r="AE2136" s="38"/>
      <c r="AF2136" s="38"/>
      <c r="AG2136" s="38"/>
      <c r="AH2136" s="60"/>
    </row>
    <row r="2137" spans="1:34" ht="15.75" customHeight="1">
      <c r="A2137" s="101"/>
      <c r="B2137" s="18" t="s">
        <v>7629</v>
      </c>
      <c r="C2137" s="37" t="s">
        <v>24</v>
      </c>
      <c r="D2137" s="20" t="s">
        <v>7630</v>
      </c>
      <c r="E2137" s="20" t="s">
        <v>7631</v>
      </c>
      <c r="F2137" s="19" t="s">
        <v>27</v>
      </c>
      <c r="G2137" s="19" t="s">
        <v>28</v>
      </c>
      <c r="H2137" s="37"/>
      <c r="I2137" s="21" t="s">
        <v>29</v>
      </c>
      <c r="J2137" s="21" t="s">
        <v>29</v>
      </c>
      <c r="K2137" s="22" t="s">
        <v>7632</v>
      </c>
      <c r="L2137" s="56">
        <v>45293</v>
      </c>
      <c r="O2137" s="42"/>
      <c r="P2137" s="40"/>
      <c r="Q2137" s="61"/>
      <c r="R2137" s="61"/>
      <c r="S2137" s="40"/>
      <c r="T2137" s="38"/>
      <c r="U2137" s="38"/>
      <c r="V2137" s="38"/>
      <c r="W2137" s="60"/>
      <c r="AB2137" s="42"/>
      <c r="AC2137" s="35"/>
      <c r="AD2137" s="38"/>
      <c r="AE2137" s="38"/>
      <c r="AF2137" s="38"/>
      <c r="AG2137" s="38"/>
      <c r="AH2137" s="60"/>
    </row>
    <row r="2138" spans="1:34" ht="15.75" customHeight="1">
      <c r="A2138" s="100"/>
      <c r="B2138" s="18" t="s">
        <v>7633</v>
      </c>
      <c r="C2138" s="37" t="s">
        <v>24</v>
      </c>
      <c r="D2138" s="20" t="s">
        <v>7634</v>
      </c>
      <c r="E2138" s="20" t="s">
        <v>7635</v>
      </c>
      <c r="F2138" s="19" t="s">
        <v>27</v>
      </c>
      <c r="G2138" s="19" t="s">
        <v>28</v>
      </c>
      <c r="H2138" s="37"/>
      <c r="I2138" s="21" t="s">
        <v>29</v>
      </c>
      <c r="J2138" s="21" t="s">
        <v>29</v>
      </c>
      <c r="K2138" s="22" t="s">
        <v>7636</v>
      </c>
      <c r="L2138" s="56">
        <v>45293</v>
      </c>
      <c r="O2138" s="42"/>
      <c r="P2138" s="40"/>
      <c r="Q2138" s="61"/>
      <c r="R2138" s="61"/>
      <c r="S2138" s="40"/>
      <c r="T2138" s="38"/>
      <c r="U2138" s="38"/>
      <c r="V2138" s="38"/>
      <c r="W2138" s="60"/>
      <c r="AB2138" s="42"/>
      <c r="AC2138" s="35"/>
      <c r="AD2138" s="38"/>
      <c r="AE2138" s="38"/>
      <c r="AF2138" s="38"/>
      <c r="AG2138" s="38"/>
      <c r="AH2138" s="60"/>
    </row>
    <row r="2139" spans="1:34" ht="15.75" customHeight="1">
      <c r="A2139" s="101"/>
      <c r="B2139" s="18" t="s">
        <v>7637</v>
      </c>
      <c r="C2139" s="37" t="s">
        <v>46</v>
      </c>
      <c r="D2139" s="20" t="s">
        <v>7638</v>
      </c>
      <c r="E2139" s="20" t="s">
        <v>7639</v>
      </c>
      <c r="F2139" s="37" t="s">
        <v>49</v>
      </c>
      <c r="G2139" s="19" t="s">
        <v>50</v>
      </c>
      <c r="H2139" s="37"/>
      <c r="I2139" s="21" t="s">
        <v>29</v>
      </c>
      <c r="J2139" s="21" t="s">
        <v>29</v>
      </c>
      <c r="K2139" s="22" t="s">
        <v>7640</v>
      </c>
      <c r="L2139" s="56">
        <v>45293</v>
      </c>
      <c r="O2139" s="42"/>
      <c r="P2139" s="40"/>
      <c r="Q2139" s="61"/>
      <c r="R2139" s="61"/>
      <c r="S2139" s="40"/>
      <c r="T2139" s="38"/>
      <c r="U2139" s="38"/>
      <c r="V2139" s="38"/>
      <c r="W2139" s="60"/>
      <c r="AB2139" s="42"/>
      <c r="AC2139" s="35"/>
      <c r="AD2139" s="38"/>
      <c r="AE2139" s="38"/>
      <c r="AF2139" s="38"/>
      <c r="AG2139" s="38"/>
      <c r="AH2139" s="60"/>
    </row>
    <row r="2140" spans="1:34" ht="15.75" customHeight="1">
      <c r="A2140" s="100"/>
      <c r="B2140" s="18" t="s">
        <v>7641</v>
      </c>
      <c r="C2140" s="37" t="s">
        <v>46</v>
      </c>
      <c r="D2140" s="20" t="s">
        <v>7642</v>
      </c>
      <c r="E2140" s="20" t="s">
        <v>7643</v>
      </c>
      <c r="F2140" s="37" t="s">
        <v>49</v>
      </c>
      <c r="G2140" s="19" t="s">
        <v>50</v>
      </c>
      <c r="H2140" s="37"/>
      <c r="I2140" s="21" t="s">
        <v>29</v>
      </c>
      <c r="J2140" s="21" t="s">
        <v>29</v>
      </c>
      <c r="K2140" s="22" t="s">
        <v>7644</v>
      </c>
      <c r="L2140" s="56">
        <v>45293</v>
      </c>
      <c r="O2140" s="42"/>
      <c r="P2140" s="40"/>
      <c r="Q2140" s="61"/>
      <c r="R2140" s="61"/>
      <c r="S2140" s="40"/>
      <c r="T2140" s="38"/>
      <c r="U2140" s="38"/>
      <c r="V2140" s="38"/>
      <c r="W2140" s="60"/>
      <c r="AB2140" s="42"/>
      <c r="AC2140" s="35"/>
      <c r="AD2140" s="38"/>
      <c r="AE2140" s="38"/>
      <c r="AF2140" s="38"/>
      <c r="AG2140" s="38"/>
      <c r="AH2140" s="60"/>
    </row>
    <row r="2141" spans="1:34" ht="15.75" customHeight="1">
      <c r="A2141" s="100"/>
      <c r="B2141" s="18" t="s">
        <v>7645</v>
      </c>
      <c r="C2141" s="37" t="s">
        <v>24</v>
      </c>
      <c r="D2141" s="20" t="s">
        <v>7646</v>
      </c>
      <c r="E2141" s="20" t="s">
        <v>7647</v>
      </c>
      <c r="F2141" s="19" t="s">
        <v>27</v>
      </c>
      <c r="G2141" s="19" t="s">
        <v>28</v>
      </c>
      <c r="H2141" s="37"/>
      <c r="I2141" s="21" t="s">
        <v>29</v>
      </c>
      <c r="J2141" s="21" t="s">
        <v>29</v>
      </c>
      <c r="K2141" s="22" t="s">
        <v>7648</v>
      </c>
      <c r="L2141" s="56">
        <v>45293</v>
      </c>
      <c r="O2141" s="42"/>
      <c r="P2141" s="40"/>
      <c r="Q2141" s="61"/>
      <c r="R2141" s="61"/>
      <c r="S2141" s="40"/>
      <c r="T2141" s="38"/>
      <c r="U2141" s="38"/>
      <c r="V2141" s="38"/>
      <c r="W2141" s="60"/>
      <c r="AB2141" s="42"/>
      <c r="AC2141" s="35"/>
      <c r="AD2141" s="38"/>
      <c r="AE2141" s="38"/>
      <c r="AF2141" s="38"/>
      <c r="AG2141" s="38"/>
      <c r="AH2141" s="60"/>
    </row>
    <row r="2142" spans="1:34" ht="15.75" customHeight="1">
      <c r="A2142" s="101"/>
      <c r="B2142" s="18" t="s">
        <v>7649</v>
      </c>
      <c r="C2142" s="37" t="s">
        <v>24</v>
      </c>
      <c r="D2142" s="20" t="s">
        <v>7650</v>
      </c>
      <c r="E2142" s="20" t="s">
        <v>7651</v>
      </c>
      <c r="F2142" s="19" t="s">
        <v>27</v>
      </c>
      <c r="G2142" s="19" t="s">
        <v>28</v>
      </c>
      <c r="H2142" s="37" t="s">
        <v>813</v>
      </c>
      <c r="I2142" s="21" t="s">
        <v>29</v>
      </c>
      <c r="J2142" s="21" t="s">
        <v>29</v>
      </c>
      <c r="K2142" s="22" t="s">
        <v>7652</v>
      </c>
      <c r="L2142" s="56">
        <v>45293</v>
      </c>
      <c r="O2142" s="42"/>
      <c r="P2142" s="40"/>
      <c r="Q2142" s="61"/>
      <c r="R2142" s="61"/>
      <c r="S2142" s="40"/>
      <c r="T2142" s="38"/>
      <c r="U2142" s="38"/>
      <c r="V2142" s="38"/>
      <c r="W2142" s="60"/>
      <c r="AB2142" s="42"/>
      <c r="AC2142" s="35"/>
      <c r="AD2142" s="38"/>
      <c r="AE2142" s="38"/>
      <c r="AF2142" s="38"/>
      <c r="AG2142" s="38"/>
      <c r="AH2142" s="60"/>
    </row>
    <row r="2143" spans="1:34" ht="15.75" customHeight="1">
      <c r="A2143" s="100"/>
      <c r="B2143" s="38" t="s">
        <v>7653</v>
      </c>
      <c r="C2143" s="37" t="s">
        <v>46</v>
      </c>
      <c r="D2143" s="20" t="s">
        <v>7654</v>
      </c>
      <c r="E2143" s="20" t="s">
        <v>7655</v>
      </c>
      <c r="F2143" s="37" t="s">
        <v>286</v>
      </c>
      <c r="G2143" s="19" t="s">
        <v>50</v>
      </c>
      <c r="H2143" s="37"/>
      <c r="I2143" s="21" t="s">
        <v>286</v>
      </c>
      <c r="J2143" s="21" t="s">
        <v>29</v>
      </c>
      <c r="K2143" s="22" t="s">
        <v>7656</v>
      </c>
      <c r="L2143" s="56">
        <v>45293</v>
      </c>
      <c r="O2143" s="42"/>
      <c r="P2143" s="40"/>
      <c r="Q2143" s="61"/>
      <c r="R2143" s="61"/>
      <c r="S2143" s="40"/>
      <c r="T2143" s="38"/>
      <c r="U2143" s="38"/>
      <c r="V2143" s="38"/>
      <c r="W2143" s="60"/>
      <c r="AB2143" s="42"/>
      <c r="AC2143" s="35"/>
      <c r="AD2143" s="38"/>
      <c r="AE2143" s="38"/>
      <c r="AF2143" s="38"/>
      <c r="AG2143" s="38"/>
      <c r="AH2143" s="60"/>
    </row>
    <row r="2144" spans="1:34" ht="15.75" customHeight="1">
      <c r="A2144" s="100"/>
      <c r="B2144" s="18" t="s">
        <v>7657</v>
      </c>
      <c r="C2144" s="37" t="s">
        <v>412</v>
      </c>
      <c r="D2144" s="20" t="s">
        <v>7658</v>
      </c>
      <c r="E2144" s="20"/>
      <c r="F2144" s="19" t="s">
        <v>414</v>
      </c>
      <c r="G2144" s="37" t="s">
        <v>415</v>
      </c>
      <c r="H2144" s="37"/>
      <c r="I2144" s="21" t="s">
        <v>233</v>
      </c>
      <c r="J2144" s="21" t="s">
        <v>233</v>
      </c>
      <c r="K2144" s="22"/>
      <c r="L2144" s="56">
        <v>45293</v>
      </c>
      <c r="O2144" s="42"/>
      <c r="P2144" s="40"/>
      <c r="Q2144" s="61"/>
      <c r="R2144" s="61"/>
      <c r="S2144" s="40"/>
      <c r="T2144" s="38"/>
      <c r="U2144" s="38"/>
      <c r="V2144" s="38"/>
      <c r="W2144" s="60"/>
      <c r="AB2144" s="42"/>
      <c r="AC2144" s="35"/>
      <c r="AD2144" s="38"/>
      <c r="AE2144" s="38"/>
      <c r="AF2144" s="38"/>
      <c r="AG2144" s="38"/>
      <c r="AH2144" s="60"/>
    </row>
    <row r="2145" spans="1:34" ht="15.75" customHeight="1">
      <c r="A2145" s="100"/>
      <c r="B2145" s="18" t="s">
        <v>7659</v>
      </c>
      <c r="C2145" s="37" t="s">
        <v>412</v>
      </c>
      <c r="D2145" s="20" t="s">
        <v>7660</v>
      </c>
      <c r="E2145" s="20"/>
      <c r="F2145" s="19" t="s">
        <v>414</v>
      </c>
      <c r="G2145" s="19" t="s">
        <v>415</v>
      </c>
      <c r="H2145" s="37"/>
      <c r="I2145" s="21" t="s">
        <v>233</v>
      </c>
      <c r="J2145" s="21" t="s">
        <v>233</v>
      </c>
      <c r="K2145" s="22"/>
      <c r="L2145" s="56">
        <v>45293</v>
      </c>
      <c r="O2145" s="42"/>
      <c r="P2145" s="40"/>
      <c r="Q2145" s="61"/>
      <c r="R2145" s="61"/>
      <c r="S2145" s="40"/>
      <c r="T2145" s="38"/>
      <c r="U2145" s="38"/>
      <c r="V2145" s="38"/>
      <c r="W2145" s="60"/>
      <c r="AB2145" s="42"/>
      <c r="AC2145" s="35"/>
      <c r="AD2145" s="38"/>
      <c r="AE2145" s="38"/>
      <c r="AF2145" s="38"/>
      <c r="AG2145" s="38"/>
      <c r="AH2145" s="60"/>
    </row>
    <row r="2146" spans="1:34" ht="15.75" customHeight="1">
      <c r="A2146" s="101"/>
      <c r="B2146" s="18" t="s">
        <v>7661</v>
      </c>
      <c r="C2146" s="37" t="s">
        <v>412</v>
      </c>
      <c r="D2146" s="20" t="s">
        <v>7662</v>
      </c>
      <c r="E2146" s="20"/>
      <c r="F2146" s="19" t="s">
        <v>414</v>
      </c>
      <c r="G2146" s="37" t="s">
        <v>415</v>
      </c>
      <c r="H2146" s="37"/>
      <c r="I2146" s="21" t="s">
        <v>233</v>
      </c>
      <c r="J2146" s="21" t="s">
        <v>233</v>
      </c>
      <c r="K2146" s="22"/>
      <c r="L2146" s="56">
        <v>45293</v>
      </c>
      <c r="O2146" s="42"/>
      <c r="P2146" s="40"/>
      <c r="Q2146" s="61"/>
      <c r="R2146" s="61"/>
      <c r="S2146" s="40"/>
      <c r="T2146" s="38"/>
      <c r="U2146" s="38"/>
      <c r="V2146" s="38"/>
      <c r="W2146" s="60"/>
      <c r="AB2146" s="42"/>
      <c r="AC2146" s="35"/>
      <c r="AD2146" s="38"/>
      <c r="AE2146" s="38"/>
      <c r="AF2146" s="38"/>
      <c r="AG2146" s="38"/>
      <c r="AH2146" s="60"/>
    </row>
    <row r="2147" spans="1:34" ht="15.75" customHeight="1">
      <c r="A2147" s="100"/>
      <c r="B2147" s="18" t="s">
        <v>7663</v>
      </c>
      <c r="C2147" s="37" t="s">
        <v>412</v>
      </c>
      <c r="D2147" s="20" t="s">
        <v>7664</v>
      </c>
      <c r="E2147" s="20"/>
      <c r="F2147" s="19" t="s">
        <v>414</v>
      </c>
      <c r="G2147" s="19" t="s">
        <v>415</v>
      </c>
      <c r="H2147" s="37"/>
      <c r="I2147" s="21" t="s">
        <v>233</v>
      </c>
      <c r="J2147" s="21" t="s">
        <v>233</v>
      </c>
      <c r="K2147" s="22"/>
      <c r="L2147" s="56">
        <v>45293</v>
      </c>
      <c r="O2147" s="42"/>
      <c r="P2147" s="40"/>
      <c r="Q2147" s="61"/>
      <c r="R2147" s="61"/>
      <c r="S2147" s="40"/>
      <c r="T2147" s="38"/>
      <c r="U2147" s="38"/>
      <c r="V2147" s="38"/>
      <c r="W2147" s="60"/>
      <c r="AB2147" s="42"/>
      <c r="AC2147" s="35"/>
      <c r="AD2147" s="38"/>
      <c r="AE2147" s="38"/>
      <c r="AF2147" s="38"/>
      <c r="AG2147" s="38"/>
      <c r="AH2147" s="60"/>
    </row>
    <row r="2148" spans="1:34" ht="15.75" customHeight="1">
      <c r="A2148" s="100"/>
      <c r="B2148" s="18" t="s">
        <v>7665</v>
      </c>
      <c r="C2148" s="37" t="s">
        <v>412</v>
      </c>
      <c r="D2148" s="20" t="s">
        <v>7666</v>
      </c>
      <c r="E2148" s="20"/>
      <c r="F2148" s="19" t="s">
        <v>414</v>
      </c>
      <c r="G2148" s="37" t="s">
        <v>415</v>
      </c>
      <c r="H2148" s="37"/>
      <c r="I2148" s="21" t="s">
        <v>233</v>
      </c>
      <c r="J2148" s="21" t="s">
        <v>233</v>
      </c>
      <c r="K2148" s="22"/>
      <c r="L2148" s="56">
        <v>45293</v>
      </c>
      <c r="O2148" s="42"/>
      <c r="P2148" s="40"/>
      <c r="Q2148" s="61"/>
      <c r="R2148" s="61"/>
      <c r="S2148" s="40"/>
      <c r="T2148" s="38"/>
      <c r="U2148" s="38"/>
      <c r="V2148" s="38"/>
      <c r="W2148" s="60"/>
      <c r="AB2148" s="42"/>
      <c r="AC2148" s="35"/>
      <c r="AD2148" s="38"/>
      <c r="AE2148" s="38"/>
      <c r="AF2148" s="38"/>
      <c r="AG2148" s="38"/>
      <c r="AH2148" s="60"/>
    </row>
    <row r="2149" spans="1:34" ht="15.75" customHeight="1">
      <c r="A2149" s="101"/>
      <c r="B2149" s="18" t="s">
        <v>7667</v>
      </c>
      <c r="C2149" s="37" t="s">
        <v>412</v>
      </c>
      <c r="D2149" s="20" t="s">
        <v>7668</v>
      </c>
      <c r="E2149" s="20"/>
      <c r="F2149" s="19" t="s">
        <v>414</v>
      </c>
      <c r="G2149" s="19" t="s">
        <v>415</v>
      </c>
      <c r="H2149" s="37"/>
      <c r="I2149" s="21" t="s">
        <v>233</v>
      </c>
      <c r="J2149" s="21" t="s">
        <v>233</v>
      </c>
      <c r="K2149" s="22"/>
      <c r="L2149" s="56">
        <v>45293</v>
      </c>
      <c r="O2149" s="42"/>
      <c r="P2149" s="40"/>
      <c r="Q2149" s="61"/>
      <c r="R2149" s="61"/>
      <c r="S2149" s="40"/>
      <c r="T2149" s="38"/>
      <c r="U2149" s="38"/>
      <c r="V2149" s="38"/>
      <c r="W2149" s="60"/>
      <c r="AB2149" s="42"/>
      <c r="AC2149" s="35"/>
      <c r="AD2149" s="38"/>
      <c r="AE2149" s="38"/>
      <c r="AF2149" s="38"/>
      <c r="AG2149" s="38"/>
      <c r="AH2149" s="60"/>
    </row>
    <row r="2150" spans="1:34" ht="15.75" customHeight="1">
      <c r="A2150" s="100"/>
      <c r="B2150" s="18" t="s">
        <v>7669</v>
      </c>
      <c r="C2150" s="37" t="s">
        <v>46</v>
      </c>
      <c r="D2150" s="20" t="s">
        <v>7670</v>
      </c>
      <c r="E2150" s="20" t="s">
        <v>7671</v>
      </c>
      <c r="F2150" s="37" t="s">
        <v>49</v>
      </c>
      <c r="G2150" s="19" t="s">
        <v>50</v>
      </c>
      <c r="H2150" s="37"/>
      <c r="I2150" s="21" t="s">
        <v>29</v>
      </c>
      <c r="J2150" s="21" t="s">
        <v>29</v>
      </c>
      <c r="K2150" s="22" t="s">
        <v>7672</v>
      </c>
      <c r="L2150" s="56">
        <v>45293</v>
      </c>
      <c r="O2150" s="42"/>
      <c r="P2150" s="40"/>
      <c r="Q2150" s="61"/>
      <c r="R2150" s="61"/>
      <c r="S2150" s="40"/>
      <c r="T2150" s="38"/>
      <c r="U2150" s="38"/>
      <c r="V2150" s="38"/>
      <c r="W2150" s="60"/>
      <c r="AB2150" s="42"/>
      <c r="AC2150" s="35"/>
      <c r="AD2150" s="38"/>
      <c r="AE2150" s="38"/>
      <c r="AF2150" s="38"/>
      <c r="AG2150" s="38"/>
      <c r="AH2150" s="60"/>
    </row>
    <row r="2151" spans="1:34" ht="15.75" customHeight="1">
      <c r="A2151" s="100"/>
      <c r="B2151" s="18" t="s">
        <v>7673</v>
      </c>
      <c r="C2151" s="37" t="s">
        <v>24</v>
      </c>
      <c r="D2151" s="20" t="s">
        <v>7674</v>
      </c>
      <c r="E2151" s="20" t="s">
        <v>7675</v>
      </c>
      <c r="F2151" s="19" t="s">
        <v>27</v>
      </c>
      <c r="G2151" s="19" t="s">
        <v>28</v>
      </c>
      <c r="H2151" s="37"/>
      <c r="I2151" s="21" t="s">
        <v>29</v>
      </c>
      <c r="J2151" s="21" t="s">
        <v>29</v>
      </c>
      <c r="K2151" s="22" t="s">
        <v>7675</v>
      </c>
      <c r="L2151" s="56">
        <v>45293</v>
      </c>
      <c r="O2151" s="42"/>
      <c r="P2151" s="40"/>
      <c r="Q2151" s="61"/>
      <c r="R2151" s="61"/>
      <c r="S2151" s="40"/>
      <c r="T2151" s="38"/>
      <c r="U2151" s="38"/>
      <c r="V2151" s="38"/>
      <c r="W2151" s="60"/>
      <c r="AB2151" s="42"/>
      <c r="AC2151" s="35"/>
      <c r="AD2151" s="38"/>
      <c r="AE2151" s="38"/>
      <c r="AF2151" s="38"/>
      <c r="AG2151" s="38"/>
      <c r="AH2151" s="60"/>
    </row>
    <row r="2152" spans="1:34" ht="15.75" customHeight="1">
      <c r="A2152" s="101"/>
      <c r="B2152" s="18" t="s">
        <v>7676</v>
      </c>
      <c r="C2152" s="37" t="s">
        <v>46</v>
      </c>
      <c r="D2152" s="20" t="s">
        <v>7677</v>
      </c>
      <c r="E2152" s="20"/>
      <c r="F2152" s="37" t="s">
        <v>49</v>
      </c>
      <c r="G2152" s="19" t="s">
        <v>50</v>
      </c>
      <c r="H2152" s="37"/>
      <c r="I2152" s="21" t="s">
        <v>29</v>
      </c>
      <c r="J2152" s="21" t="s">
        <v>29</v>
      </c>
      <c r="K2152" s="22"/>
      <c r="L2152" s="56">
        <v>45293</v>
      </c>
      <c r="O2152" s="42"/>
      <c r="P2152" s="40"/>
      <c r="Q2152" s="61"/>
      <c r="R2152" s="61"/>
      <c r="S2152" s="40"/>
      <c r="T2152" s="38"/>
      <c r="U2152" s="38"/>
      <c r="V2152" s="38"/>
      <c r="W2152" s="60"/>
      <c r="AB2152" s="42"/>
      <c r="AC2152" s="35"/>
      <c r="AD2152" s="38"/>
      <c r="AE2152" s="38"/>
      <c r="AF2152" s="38"/>
      <c r="AG2152" s="38"/>
      <c r="AH2152" s="60"/>
    </row>
    <row r="2153" spans="1:34" ht="15.75" customHeight="1">
      <c r="A2153" s="100"/>
      <c r="B2153" s="18" t="s">
        <v>7678</v>
      </c>
      <c r="C2153" s="37" t="s">
        <v>87</v>
      </c>
      <c r="D2153" s="20" t="s">
        <v>7679</v>
      </c>
      <c r="E2153" s="20" t="s">
        <v>7680</v>
      </c>
      <c r="F2153" s="19" t="s">
        <v>90</v>
      </c>
      <c r="G2153" s="19" t="s">
        <v>91</v>
      </c>
      <c r="H2153" s="37"/>
      <c r="I2153" s="21" t="s">
        <v>29</v>
      </c>
      <c r="J2153" s="21" t="s">
        <v>29</v>
      </c>
      <c r="K2153" s="22" t="s">
        <v>7680</v>
      </c>
      <c r="L2153" s="56">
        <v>45293</v>
      </c>
      <c r="O2153" s="42"/>
      <c r="P2153" s="40"/>
      <c r="Q2153" s="61"/>
      <c r="R2153" s="61"/>
      <c r="S2153" s="40"/>
      <c r="T2153" s="38"/>
      <c r="U2153" s="38"/>
      <c r="V2153" s="38"/>
      <c r="W2153" s="60"/>
      <c r="AB2153" s="42"/>
      <c r="AC2153" s="35"/>
      <c r="AD2153" s="38"/>
      <c r="AE2153" s="38"/>
      <c r="AF2153" s="38"/>
      <c r="AG2153" s="38"/>
      <c r="AH2153" s="60"/>
    </row>
    <row r="2154" spans="1:34" ht="15.75" customHeight="1">
      <c r="A2154" s="100"/>
      <c r="B2154" s="18" t="s">
        <v>7681</v>
      </c>
      <c r="C2154" s="37" t="s">
        <v>87</v>
      </c>
      <c r="D2154" s="20" t="s">
        <v>7682</v>
      </c>
      <c r="E2154" s="20"/>
      <c r="F2154" s="19" t="s">
        <v>90</v>
      </c>
      <c r="G2154" s="19" t="s">
        <v>91</v>
      </c>
      <c r="H2154" s="37"/>
      <c r="I2154" s="21" t="s">
        <v>29</v>
      </c>
      <c r="J2154" s="21" t="s">
        <v>29</v>
      </c>
      <c r="K2154" s="22"/>
      <c r="L2154" s="56">
        <v>45293</v>
      </c>
      <c r="O2154" s="42"/>
      <c r="P2154" s="40"/>
      <c r="Q2154" s="61"/>
      <c r="R2154" s="61"/>
      <c r="S2154" s="40"/>
      <c r="T2154" s="38"/>
      <c r="U2154" s="38"/>
      <c r="V2154" s="38"/>
      <c r="W2154" s="60"/>
      <c r="AB2154" s="42"/>
      <c r="AC2154" s="35"/>
      <c r="AD2154" s="38"/>
      <c r="AE2154" s="38"/>
      <c r="AF2154" s="38"/>
      <c r="AG2154" s="38"/>
      <c r="AH2154" s="60"/>
    </row>
    <row r="2155" spans="1:34" ht="15.75" customHeight="1">
      <c r="A2155" s="101"/>
      <c r="B2155" s="38"/>
      <c r="C2155" s="37"/>
      <c r="D2155" s="20"/>
      <c r="E2155" s="20"/>
      <c r="F2155" s="37"/>
      <c r="G2155" s="37"/>
      <c r="H2155" s="37"/>
      <c r="I2155" s="21"/>
      <c r="J2155" s="21"/>
      <c r="K2155" s="22"/>
      <c r="L2155" s="39"/>
      <c r="O2155" s="42"/>
      <c r="P2155" s="40"/>
      <c r="Q2155" s="61"/>
      <c r="R2155" s="61"/>
      <c r="S2155" s="40"/>
      <c r="T2155" s="38"/>
      <c r="U2155" s="38"/>
      <c r="V2155" s="38"/>
      <c r="W2155" s="60"/>
      <c r="AB2155" s="42"/>
      <c r="AC2155" s="35"/>
      <c r="AD2155" s="38"/>
      <c r="AE2155" s="38"/>
      <c r="AF2155" s="38"/>
      <c r="AG2155" s="38"/>
      <c r="AH2155" s="60"/>
    </row>
    <row r="2156" spans="1:34" ht="15.75" customHeight="1">
      <c r="A2156" s="35" t="s">
        <v>7683</v>
      </c>
      <c r="B2156" s="36" t="s">
        <v>7684</v>
      </c>
      <c r="C2156" s="19" t="s">
        <v>121</v>
      </c>
      <c r="D2156" s="20" t="s">
        <v>7685</v>
      </c>
      <c r="E2156" s="20" t="s">
        <v>7686</v>
      </c>
      <c r="F2156" s="19" t="s">
        <v>27</v>
      </c>
      <c r="G2156" s="21" t="s">
        <v>359</v>
      </c>
      <c r="H2156" s="37"/>
      <c r="I2156" s="21" t="s">
        <v>29</v>
      </c>
      <c r="J2156" s="21" t="s">
        <v>359</v>
      </c>
      <c r="K2156" s="22" t="s">
        <v>7687</v>
      </c>
      <c r="L2156" s="56">
        <v>45086</v>
      </c>
      <c r="M2156" s="40"/>
      <c r="N2156" s="40"/>
      <c r="O2156" s="42"/>
      <c r="P2156" s="40"/>
      <c r="Q2156" s="61"/>
      <c r="R2156" s="61"/>
      <c r="S2156" s="40"/>
      <c r="T2156" s="38"/>
      <c r="U2156" s="38"/>
      <c r="V2156" s="38"/>
      <c r="W2156" s="60"/>
      <c r="AB2156" s="42"/>
      <c r="AC2156" s="35"/>
      <c r="AD2156" s="38"/>
      <c r="AE2156" s="38"/>
      <c r="AF2156" s="38"/>
      <c r="AG2156" s="38"/>
      <c r="AH2156" s="60"/>
    </row>
    <row r="2157" spans="1:34" ht="15.75" customHeight="1">
      <c r="A2157" s="54" t="s">
        <v>7688</v>
      </c>
      <c r="B2157" s="18" t="s">
        <v>7689</v>
      </c>
      <c r="C2157" s="37" t="s">
        <v>46</v>
      </c>
      <c r="D2157" s="20" t="s">
        <v>7690</v>
      </c>
      <c r="E2157" s="20" t="s">
        <v>7691</v>
      </c>
      <c r="F2157" s="37" t="s">
        <v>49</v>
      </c>
      <c r="G2157" s="19" t="s">
        <v>50</v>
      </c>
      <c r="H2157" s="37"/>
      <c r="I2157" s="21" t="s">
        <v>29</v>
      </c>
      <c r="J2157" s="21" t="s">
        <v>29</v>
      </c>
      <c r="K2157" s="22" t="s">
        <v>7692</v>
      </c>
      <c r="L2157" s="56">
        <v>45086</v>
      </c>
      <c r="O2157" s="42"/>
      <c r="P2157" s="40"/>
      <c r="Q2157" s="61"/>
      <c r="R2157" s="61"/>
      <c r="S2157" s="40"/>
      <c r="T2157" s="38"/>
      <c r="U2157" s="38"/>
      <c r="V2157" s="38"/>
      <c r="W2157" s="60"/>
      <c r="AB2157" s="42"/>
      <c r="AC2157" s="35"/>
      <c r="AD2157" s="38"/>
      <c r="AE2157" s="38"/>
      <c r="AF2157" s="38"/>
      <c r="AG2157" s="38"/>
      <c r="AH2157" s="60"/>
    </row>
    <row r="2158" spans="1:34" ht="15.75" customHeight="1">
      <c r="A2158" s="50" t="s">
        <v>39</v>
      </c>
      <c r="B2158" s="18" t="s">
        <v>7693</v>
      </c>
      <c r="C2158" s="37" t="s">
        <v>24</v>
      </c>
      <c r="D2158" s="20" t="s">
        <v>7694</v>
      </c>
      <c r="E2158" s="20" t="s">
        <v>7695</v>
      </c>
      <c r="F2158" s="19" t="s">
        <v>27</v>
      </c>
      <c r="G2158" s="19" t="s">
        <v>28</v>
      </c>
      <c r="H2158" s="37"/>
      <c r="I2158" s="21" t="s">
        <v>29</v>
      </c>
      <c r="J2158" s="21" t="s">
        <v>29</v>
      </c>
      <c r="K2158" s="22" t="s">
        <v>7696</v>
      </c>
      <c r="L2158" s="56">
        <v>45086</v>
      </c>
      <c r="O2158" s="42"/>
      <c r="P2158" s="40"/>
      <c r="Q2158" s="61"/>
      <c r="R2158" s="61"/>
      <c r="S2158" s="40"/>
      <c r="T2158" s="38"/>
      <c r="U2158" s="38"/>
      <c r="V2158" s="38"/>
      <c r="W2158" s="60"/>
      <c r="AB2158" s="42"/>
      <c r="AC2158" s="35"/>
      <c r="AD2158" s="38"/>
      <c r="AE2158" s="38"/>
      <c r="AF2158" s="38"/>
      <c r="AG2158" s="38"/>
      <c r="AH2158" s="60"/>
    </row>
    <row r="2159" spans="1:34" ht="15.75" customHeight="1">
      <c r="A2159" s="35" t="s">
        <v>7381</v>
      </c>
      <c r="B2159" s="18" t="s">
        <v>7697</v>
      </c>
      <c r="C2159" s="37" t="s">
        <v>1430</v>
      </c>
      <c r="D2159" s="20" t="s">
        <v>7698</v>
      </c>
      <c r="E2159" s="20" t="s">
        <v>7699</v>
      </c>
      <c r="F2159" s="55" t="s">
        <v>1445</v>
      </c>
      <c r="G2159" s="55" t="s">
        <v>1432</v>
      </c>
      <c r="H2159" s="37"/>
      <c r="I2159" s="21" t="s">
        <v>233</v>
      </c>
      <c r="J2159" s="21" t="s">
        <v>233</v>
      </c>
      <c r="K2159" s="22" t="s">
        <v>7700</v>
      </c>
      <c r="L2159" s="56">
        <v>45086</v>
      </c>
      <c r="O2159" s="42"/>
      <c r="P2159" s="40"/>
      <c r="Q2159" s="61"/>
      <c r="R2159" s="61"/>
      <c r="S2159" s="40"/>
      <c r="T2159" s="38"/>
      <c r="U2159" s="38"/>
      <c r="V2159" s="38"/>
      <c r="W2159" s="60"/>
      <c r="AB2159" s="42"/>
      <c r="AC2159" s="35"/>
      <c r="AD2159" s="38"/>
      <c r="AE2159" s="38"/>
      <c r="AF2159" s="38"/>
      <c r="AG2159" s="38"/>
      <c r="AH2159" s="60"/>
    </row>
    <row r="2160" spans="1:34" ht="15.75" customHeight="1">
      <c r="A2160" s="35" t="s">
        <v>7544</v>
      </c>
      <c r="B2160" s="34" t="s">
        <v>7701</v>
      </c>
      <c r="C2160" s="37" t="s">
        <v>87</v>
      </c>
      <c r="D2160" s="20" t="s">
        <v>7702</v>
      </c>
      <c r="E2160" s="20" t="s">
        <v>7703</v>
      </c>
      <c r="F2160" s="37" t="s">
        <v>49</v>
      </c>
      <c r="G2160" s="19" t="s">
        <v>50</v>
      </c>
      <c r="H2160" s="37"/>
      <c r="I2160" s="21" t="s">
        <v>29</v>
      </c>
      <c r="J2160" s="21" t="s">
        <v>29</v>
      </c>
      <c r="K2160" s="22" t="s">
        <v>7704</v>
      </c>
      <c r="L2160" s="56">
        <v>45086</v>
      </c>
      <c r="O2160" s="42"/>
      <c r="P2160" s="40"/>
      <c r="Q2160" s="61"/>
      <c r="R2160" s="61"/>
      <c r="S2160" s="40"/>
      <c r="T2160" s="38"/>
      <c r="U2160" s="38"/>
      <c r="V2160" s="38"/>
      <c r="W2160" s="60"/>
      <c r="AB2160" s="42"/>
      <c r="AC2160" s="35"/>
      <c r="AD2160" s="38"/>
      <c r="AE2160" s="38"/>
      <c r="AF2160" s="38"/>
      <c r="AG2160" s="38"/>
      <c r="AH2160" s="60"/>
    </row>
    <row r="2161" spans="1:34" ht="15.75" customHeight="1">
      <c r="A2161" s="31" t="s">
        <v>56</v>
      </c>
      <c r="B2161" s="18" t="s">
        <v>7705</v>
      </c>
      <c r="C2161" s="37" t="s">
        <v>1430</v>
      </c>
      <c r="D2161" s="20" t="s">
        <v>7706</v>
      </c>
      <c r="E2161" s="20" t="s">
        <v>7707</v>
      </c>
      <c r="F2161" s="55" t="s">
        <v>1445</v>
      </c>
      <c r="G2161" s="55" t="s">
        <v>1432</v>
      </c>
      <c r="H2161" s="37"/>
      <c r="I2161" s="21" t="s">
        <v>233</v>
      </c>
      <c r="J2161" s="21" t="s">
        <v>233</v>
      </c>
      <c r="K2161" s="22" t="s">
        <v>7708</v>
      </c>
      <c r="L2161" s="56">
        <v>45086</v>
      </c>
      <c r="O2161" s="42"/>
      <c r="P2161" s="40"/>
      <c r="Q2161" s="61"/>
      <c r="R2161" s="61"/>
      <c r="S2161" s="40"/>
      <c r="T2161" s="38"/>
      <c r="U2161" s="38"/>
      <c r="V2161" s="38"/>
      <c r="W2161" s="60"/>
      <c r="AB2161" s="42"/>
      <c r="AC2161" s="35"/>
      <c r="AD2161" s="38"/>
      <c r="AE2161" s="38"/>
      <c r="AF2161" s="38"/>
      <c r="AG2161" s="38"/>
      <c r="AH2161" s="60"/>
    </row>
    <row r="2162" spans="1:34" ht="15.75" customHeight="1">
      <c r="A2162" s="17">
        <v>68</v>
      </c>
      <c r="B2162" s="18" t="s">
        <v>7709</v>
      </c>
      <c r="C2162" s="37" t="s">
        <v>24</v>
      </c>
      <c r="D2162" s="20" t="s">
        <v>7710</v>
      </c>
      <c r="E2162" s="20" t="s">
        <v>7711</v>
      </c>
      <c r="F2162" s="19" t="s">
        <v>27</v>
      </c>
      <c r="G2162" s="19" t="s">
        <v>28</v>
      </c>
      <c r="H2162" s="37"/>
      <c r="I2162" s="21" t="s">
        <v>29</v>
      </c>
      <c r="J2162" s="21" t="s">
        <v>29</v>
      </c>
      <c r="K2162" s="22" t="s">
        <v>7712</v>
      </c>
      <c r="L2162" s="56">
        <v>45086</v>
      </c>
      <c r="O2162" s="42"/>
      <c r="P2162" s="40"/>
      <c r="Q2162" s="61"/>
      <c r="R2162" s="61"/>
      <c r="S2162" s="40"/>
      <c r="T2162" s="38"/>
      <c r="U2162" s="38"/>
      <c r="V2162" s="38"/>
      <c r="W2162" s="60"/>
      <c r="AB2162" s="42"/>
      <c r="AC2162" s="35"/>
      <c r="AD2162" s="38"/>
      <c r="AE2162" s="38"/>
      <c r="AF2162" s="38"/>
      <c r="AG2162" s="38"/>
      <c r="AH2162" s="60"/>
    </row>
    <row r="2163" spans="1:34" ht="15.75" customHeight="1">
      <c r="A2163" s="31" t="s">
        <v>64</v>
      </c>
      <c r="B2163" s="18" t="s">
        <v>7713</v>
      </c>
      <c r="C2163" s="37" t="s">
        <v>24</v>
      </c>
      <c r="D2163" s="20" t="s">
        <v>7714</v>
      </c>
      <c r="E2163" s="20" t="s">
        <v>7715</v>
      </c>
      <c r="F2163" s="19" t="s">
        <v>27</v>
      </c>
      <c r="G2163" s="19" t="s">
        <v>28</v>
      </c>
      <c r="H2163" s="37" t="s">
        <v>813</v>
      </c>
      <c r="I2163" s="21" t="s">
        <v>29</v>
      </c>
      <c r="J2163" s="21" t="s">
        <v>29</v>
      </c>
      <c r="K2163" s="22" t="s">
        <v>7716</v>
      </c>
      <c r="L2163" s="56">
        <v>45086</v>
      </c>
      <c r="O2163" s="42"/>
      <c r="P2163" s="40"/>
      <c r="Q2163" s="61"/>
      <c r="R2163" s="61"/>
      <c r="S2163" s="40"/>
      <c r="T2163" s="38"/>
      <c r="U2163" s="38"/>
      <c r="V2163" s="38"/>
      <c r="W2163" s="60"/>
      <c r="AB2163" s="42"/>
      <c r="AC2163" s="35"/>
      <c r="AD2163" s="38"/>
      <c r="AE2163" s="38"/>
      <c r="AF2163" s="38"/>
      <c r="AG2163" s="38"/>
      <c r="AH2163" s="60"/>
    </row>
    <row r="2164" spans="1:34" ht="15.75" customHeight="1">
      <c r="A2164" s="17">
        <v>3.4</v>
      </c>
      <c r="B2164" s="18" t="s">
        <v>7717</v>
      </c>
      <c r="C2164" s="37" t="s">
        <v>46</v>
      </c>
      <c r="D2164" s="20" t="s">
        <v>7718</v>
      </c>
      <c r="E2164" s="20" t="s">
        <v>7719</v>
      </c>
      <c r="F2164" s="37" t="s">
        <v>49</v>
      </c>
      <c r="G2164" s="19" t="s">
        <v>50</v>
      </c>
      <c r="H2164" s="37"/>
      <c r="I2164" s="21" t="s">
        <v>29</v>
      </c>
      <c r="J2164" s="21" t="s">
        <v>29</v>
      </c>
      <c r="K2164" s="22" t="s">
        <v>7720</v>
      </c>
      <c r="L2164" s="56">
        <v>45086</v>
      </c>
      <c r="O2164" s="42"/>
      <c r="P2164" s="40"/>
      <c r="Q2164" s="61"/>
      <c r="R2164" s="61"/>
      <c r="S2164" s="40"/>
      <c r="T2164" s="38"/>
      <c r="U2164" s="38"/>
      <c r="V2164" s="38"/>
      <c r="W2164" s="60"/>
      <c r="AB2164" s="42"/>
      <c r="AC2164" s="35"/>
      <c r="AD2164" s="38"/>
      <c r="AE2164" s="38"/>
      <c r="AF2164" s="38"/>
      <c r="AG2164" s="38"/>
      <c r="AH2164" s="60"/>
    </row>
    <row r="2165" spans="1:34" ht="15.75" customHeight="1">
      <c r="A2165" s="31" t="s">
        <v>73</v>
      </c>
      <c r="B2165" s="18" t="s">
        <v>7721</v>
      </c>
      <c r="C2165" s="37" t="s">
        <v>24</v>
      </c>
      <c r="D2165" s="20" t="s">
        <v>7722</v>
      </c>
      <c r="E2165" s="20" t="s">
        <v>7723</v>
      </c>
      <c r="F2165" s="19" t="s">
        <v>27</v>
      </c>
      <c r="G2165" s="19" t="s">
        <v>28</v>
      </c>
      <c r="H2165" s="37"/>
      <c r="I2165" s="21" t="s">
        <v>29</v>
      </c>
      <c r="J2165" s="21" t="s">
        <v>29</v>
      </c>
      <c r="K2165" s="22" t="s">
        <v>7724</v>
      </c>
      <c r="L2165" s="56">
        <v>45086</v>
      </c>
      <c r="O2165" s="42"/>
      <c r="P2165" s="40"/>
      <c r="Q2165" s="61"/>
      <c r="R2165" s="61"/>
      <c r="S2165" s="40"/>
      <c r="T2165" s="38"/>
      <c r="U2165" s="38"/>
      <c r="V2165" s="38"/>
      <c r="W2165" s="60"/>
      <c r="AB2165" s="42"/>
      <c r="AC2165" s="35"/>
      <c r="AD2165" s="38"/>
      <c r="AE2165" s="38"/>
      <c r="AF2165" s="38"/>
      <c r="AG2165" s="38"/>
      <c r="AH2165" s="60"/>
    </row>
    <row r="2166" spans="1:34" ht="15.75" customHeight="1">
      <c r="A2166" s="17">
        <v>3.6</v>
      </c>
      <c r="B2166" s="18" t="s">
        <v>7725</v>
      </c>
      <c r="C2166" s="37" t="s">
        <v>46</v>
      </c>
      <c r="D2166" s="20" t="s">
        <v>7726</v>
      </c>
      <c r="E2166" s="20" t="s">
        <v>7727</v>
      </c>
      <c r="F2166" s="37" t="s">
        <v>49</v>
      </c>
      <c r="G2166" s="19" t="s">
        <v>50</v>
      </c>
      <c r="H2166" s="37"/>
      <c r="I2166" s="21" t="s">
        <v>29</v>
      </c>
      <c r="J2166" s="21" t="s">
        <v>29</v>
      </c>
      <c r="K2166" s="22" t="s">
        <v>7728</v>
      </c>
      <c r="L2166" s="56">
        <v>45086</v>
      </c>
      <c r="O2166" s="42"/>
      <c r="P2166" s="40"/>
      <c r="Q2166" s="61"/>
      <c r="R2166" s="61"/>
      <c r="S2166" s="40"/>
      <c r="T2166" s="38"/>
      <c r="U2166" s="38"/>
      <c r="V2166" s="38"/>
      <c r="W2166" s="60"/>
      <c r="AB2166" s="42"/>
      <c r="AC2166" s="35"/>
      <c r="AD2166" s="38"/>
      <c r="AE2166" s="38"/>
      <c r="AF2166" s="38"/>
      <c r="AG2166" s="38"/>
      <c r="AH2166" s="60"/>
    </row>
    <row r="2167" spans="1:34" ht="15.75" customHeight="1">
      <c r="A2167" s="50" t="s">
        <v>82</v>
      </c>
      <c r="B2167" s="34" t="s">
        <v>7729</v>
      </c>
      <c r="C2167" s="37" t="s">
        <v>24</v>
      </c>
      <c r="D2167" s="20" t="s">
        <v>7730</v>
      </c>
      <c r="E2167" s="20" t="s">
        <v>7731</v>
      </c>
      <c r="F2167" s="19" t="s">
        <v>90</v>
      </c>
      <c r="G2167" s="19" t="s">
        <v>91</v>
      </c>
      <c r="H2167" s="37"/>
      <c r="I2167" s="21" t="s">
        <v>29</v>
      </c>
      <c r="J2167" s="21" t="s">
        <v>29</v>
      </c>
      <c r="K2167" s="22" t="s">
        <v>7732</v>
      </c>
      <c r="L2167" s="56">
        <v>45086</v>
      </c>
      <c r="O2167" s="42"/>
      <c r="P2167" s="40"/>
      <c r="Q2167" s="61"/>
      <c r="R2167" s="61"/>
      <c r="S2167" s="40"/>
      <c r="T2167" s="38"/>
      <c r="U2167" s="38"/>
      <c r="V2167" s="38"/>
      <c r="W2167" s="60"/>
      <c r="AB2167" s="42"/>
      <c r="AC2167" s="35"/>
      <c r="AD2167" s="38"/>
      <c r="AE2167" s="38"/>
      <c r="AF2167" s="38"/>
      <c r="AG2167" s="38"/>
      <c r="AH2167" s="60"/>
    </row>
    <row r="2168" spans="1:34" ht="15.75" customHeight="1">
      <c r="A2168" s="35" t="s">
        <v>801</v>
      </c>
      <c r="B2168" s="18" t="s">
        <v>7733</v>
      </c>
      <c r="C2168" s="37" t="s">
        <v>87</v>
      </c>
      <c r="D2168" s="20" t="s">
        <v>7734</v>
      </c>
      <c r="E2168" s="20" t="s">
        <v>7735</v>
      </c>
      <c r="F2168" s="19" t="s">
        <v>90</v>
      </c>
      <c r="G2168" s="19" t="s">
        <v>91</v>
      </c>
      <c r="H2168" s="37"/>
      <c r="I2168" s="21" t="s">
        <v>29</v>
      </c>
      <c r="J2168" s="21" t="s">
        <v>29</v>
      </c>
      <c r="K2168" s="22" t="s">
        <v>7736</v>
      </c>
      <c r="L2168" s="56">
        <v>45086</v>
      </c>
      <c r="O2168" s="42"/>
      <c r="P2168" s="40"/>
      <c r="Q2168" s="61"/>
      <c r="R2168" s="61"/>
      <c r="S2168" s="40"/>
      <c r="T2168" s="38"/>
      <c r="U2168" s="38"/>
      <c r="V2168" s="38"/>
      <c r="W2168" s="60"/>
      <c r="AB2168" s="42"/>
      <c r="AC2168" s="35"/>
      <c r="AD2168" s="38"/>
      <c r="AE2168" s="38"/>
      <c r="AF2168" s="38"/>
      <c r="AG2168" s="38"/>
      <c r="AH2168" s="60"/>
    </row>
    <row r="2169" spans="1:34" ht="15.75" customHeight="1">
      <c r="A2169" s="31" t="s">
        <v>92</v>
      </c>
      <c r="B2169" s="18" t="s">
        <v>7737</v>
      </c>
      <c r="C2169" s="37" t="s">
        <v>24</v>
      </c>
      <c r="D2169" s="20" t="s">
        <v>7738</v>
      </c>
      <c r="E2169" s="20" t="s">
        <v>7739</v>
      </c>
      <c r="F2169" s="19" t="s">
        <v>27</v>
      </c>
      <c r="G2169" s="19" t="s">
        <v>28</v>
      </c>
      <c r="H2169" s="37"/>
      <c r="I2169" s="21" t="s">
        <v>29</v>
      </c>
      <c r="J2169" s="21" t="s">
        <v>29</v>
      </c>
      <c r="K2169" s="22" t="s">
        <v>7740</v>
      </c>
      <c r="L2169" s="56">
        <v>45086</v>
      </c>
      <c r="O2169" s="42"/>
      <c r="P2169" s="40"/>
      <c r="Q2169" s="61"/>
      <c r="R2169" s="61"/>
      <c r="S2169" s="40"/>
      <c r="T2169" s="38"/>
      <c r="U2169" s="38"/>
      <c r="V2169" s="38"/>
      <c r="W2169" s="60"/>
      <c r="AB2169" s="42"/>
      <c r="AC2169" s="35"/>
      <c r="AD2169" s="38"/>
      <c r="AE2169" s="38"/>
      <c r="AF2169" s="38"/>
      <c r="AG2169" s="38"/>
      <c r="AH2169" s="60"/>
    </row>
    <row r="2170" spans="1:34" ht="15.75" customHeight="1">
      <c r="A2170" s="33">
        <v>1897</v>
      </c>
      <c r="B2170" s="18" t="s">
        <v>7741</v>
      </c>
      <c r="C2170" s="37" t="s">
        <v>24</v>
      </c>
      <c r="D2170" s="20" t="s">
        <v>7742</v>
      </c>
      <c r="E2170" s="20" t="s">
        <v>7743</v>
      </c>
      <c r="F2170" s="19" t="s">
        <v>27</v>
      </c>
      <c r="G2170" s="19" t="s">
        <v>28</v>
      </c>
      <c r="H2170" s="37" t="s">
        <v>813</v>
      </c>
      <c r="I2170" s="21" t="s">
        <v>29</v>
      </c>
      <c r="J2170" s="21" t="s">
        <v>29</v>
      </c>
      <c r="K2170" s="22" t="s">
        <v>7744</v>
      </c>
      <c r="L2170" s="56">
        <v>45086</v>
      </c>
      <c r="O2170" s="42"/>
      <c r="P2170" s="40"/>
      <c r="Q2170" s="61"/>
      <c r="R2170" s="61"/>
      <c r="S2170" s="40"/>
      <c r="T2170" s="38"/>
      <c r="U2170" s="38"/>
      <c r="V2170" s="38"/>
      <c r="W2170" s="60"/>
      <c r="AB2170" s="42"/>
      <c r="AC2170" s="35"/>
      <c r="AD2170" s="38"/>
      <c r="AE2170" s="38"/>
      <c r="AF2170" s="38"/>
      <c r="AG2170" s="38"/>
      <c r="AH2170" s="60"/>
    </row>
    <row r="2171" spans="1:34" ht="15.75" customHeight="1">
      <c r="A2171" s="31" t="s">
        <v>100</v>
      </c>
      <c r="B2171" s="34" t="s">
        <v>7745</v>
      </c>
      <c r="C2171" s="37" t="s">
        <v>24</v>
      </c>
      <c r="D2171" s="20" t="s">
        <v>7746</v>
      </c>
      <c r="E2171" s="20" t="s">
        <v>7747</v>
      </c>
      <c r="F2171" s="19" t="s">
        <v>90</v>
      </c>
      <c r="G2171" s="19" t="s">
        <v>91</v>
      </c>
      <c r="H2171" s="37"/>
      <c r="I2171" s="21" t="s">
        <v>29</v>
      </c>
      <c r="J2171" s="21" t="s">
        <v>29</v>
      </c>
      <c r="K2171" s="22" t="s">
        <v>7748</v>
      </c>
      <c r="L2171" s="56">
        <v>45086</v>
      </c>
      <c r="O2171" s="42"/>
      <c r="P2171" s="40"/>
      <c r="Q2171" s="61"/>
      <c r="R2171" s="61"/>
      <c r="S2171" s="40"/>
      <c r="T2171" s="38"/>
      <c r="U2171" s="38"/>
      <c r="V2171" s="38"/>
      <c r="W2171" s="60"/>
      <c r="AB2171" s="42"/>
      <c r="AC2171" s="35"/>
      <c r="AD2171" s="38"/>
      <c r="AE2171" s="38"/>
      <c r="AF2171" s="38"/>
      <c r="AG2171" s="38"/>
      <c r="AH2171" s="60"/>
    </row>
    <row r="2172" spans="1:34" ht="15.75" customHeight="1">
      <c r="A2172" s="17">
        <v>165</v>
      </c>
      <c r="B2172" s="18" t="s">
        <v>7749</v>
      </c>
      <c r="C2172" s="37" t="s">
        <v>46</v>
      </c>
      <c r="D2172" s="20" t="s">
        <v>7750</v>
      </c>
      <c r="E2172" s="20" t="s">
        <v>7751</v>
      </c>
      <c r="F2172" s="37" t="s">
        <v>49</v>
      </c>
      <c r="G2172" s="19" t="s">
        <v>50</v>
      </c>
      <c r="H2172" s="37"/>
      <c r="I2172" s="21" t="s">
        <v>29</v>
      </c>
      <c r="J2172" s="21" t="s">
        <v>29</v>
      </c>
      <c r="K2172" s="22" t="s">
        <v>7752</v>
      </c>
      <c r="L2172" s="56">
        <v>45086</v>
      </c>
      <c r="O2172" s="42"/>
      <c r="P2172" s="40"/>
      <c r="Q2172" s="61"/>
      <c r="R2172" s="61"/>
      <c r="S2172" s="40"/>
      <c r="T2172" s="38"/>
      <c r="U2172" s="38"/>
      <c r="V2172" s="38"/>
      <c r="W2172" s="60"/>
      <c r="AB2172" s="42"/>
      <c r="AC2172" s="35"/>
      <c r="AD2172" s="38"/>
      <c r="AE2172" s="38"/>
      <c r="AF2172" s="38"/>
      <c r="AG2172" s="38"/>
      <c r="AH2172" s="60"/>
    </row>
    <row r="2173" spans="1:34" ht="15.75" customHeight="1">
      <c r="A2173" s="35"/>
      <c r="B2173" s="18" t="s">
        <v>7753</v>
      </c>
      <c r="C2173" s="37" t="s">
        <v>24</v>
      </c>
      <c r="D2173" s="20" t="s">
        <v>7754</v>
      </c>
      <c r="E2173" s="20" t="s">
        <v>7755</v>
      </c>
      <c r="F2173" s="19" t="s">
        <v>27</v>
      </c>
      <c r="G2173" s="19" t="s">
        <v>28</v>
      </c>
      <c r="H2173" s="37"/>
      <c r="I2173" s="21" t="s">
        <v>29</v>
      </c>
      <c r="J2173" s="21" t="s">
        <v>29</v>
      </c>
      <c r="K2173" s="22" t="s">
        <v>7756</v>
      </c>
      <c r="L2173" s="56">
        <v>45086</v>
      </c>
      <c r="O2173" s="42"/>
      <c r="P2173" s="40"/>
      <c r="Q2173" s="61"/>
      <c r="R2173" s="61"/>
      <c r="S2173" s="40"/>
      <c r="T2173" s="38"/>
      <c r="U2173" s="38"/>
      <c r="V2173" s="38"/>
      <c r="W2173" s="60"/>
      <c r="AB2173" s="42"/>
      <c r="AC2173" s="35"/>
      <c r="AD2173" s="38"/>
      <c r="AE2173" s="38"/>
      <c r="AF2173" s="38"/>
      <c r="AG2173" s="38"/>
      <c r="AH2173" s="60"/>
    </row>
    <row r="2174" spans="1:34" ht="15.75" customHeight="1">
      <c r="A2174" s="102"/>
      <c r="B2174" s="18" t="s">
        <v>7757</v>
      </c>
      <c r="C2174" s="37" t="s">
        <v>24</v>
      </c>
      <c r="D2174" s="20" t="s">
        <v>7758</v>
      </c>
      <c r="E2174" s="20" t="s">
        <v>7759</v>
      </c>
      <c r="F2174" s="19" t="s">
        <v>27</v>
      </c>
      <c r="G2174" s="19" t="s">
        <v>28</v>
      </c>
      <c r="H2174" s="37"/>
      <c r="I2174" s="21" t="s">
        <v>29</v>
      </c>
      <c r="J2174" s="21" t="s">
        <v>29</v>
      </c>
      <c r="K2174" s="22" t="s">
        <v>7760</v>
      </c>
      <c r="L2174" s="56">
        <v>45086</v>
      </c>
      <c r="P2174" s="40"/>
      <c r="Q2174" s="61"/>
      <c r="R2174" s="61"/>
      <c r="S2174" s="40"/>
      <c r="T2174" s="38"/>
      <c r="U2174" s="38"/>
      <c r="V2174" s="38"/>
      <c r="W2174" s="60"/>
      <c r="AB2174" s="42"/>
      <c r="AC2174" s="35"/>
      <c r="AD2174" s="38"/>
      <c r="AE2174" s="38"/>
      <c r="AF2174" s="38"/>
      <c r="AG2174" s="38"/>
      <c r="AH2174" s="60"/>
    </row>
    <row r="2175" spans="1:34" ht="15.75" customHeight="1">
      <c r="A2175" s="102"/>
      <c r="B2175" s="29" t="s">
        <v>7761</v>
      </c>
      <c r="C2175" s="37" t="s">
        <v>24</v>
      </c>
      <c r="D2175" s="20" t="s">
        <v>7762</v>
      </c>
      <c r="E2175" s="20" t="s">
        <v>7763</v>
      </c>
      <c r="F2175" s="19" t="s">
        <v>27</v>
      </c>
      <c r="G2175" s="19" t="s">
        <v>28</v>
      </c>
      <c r="H2175" s="37"/>
      <c r="I2175" s="21" t="s">
        <v>29</v>
      </c>
      <c r="J2175" s="21" t="s">
        <v>29</v>
      </c>
      <c r="K2175" s="22" t="s">
        <v>7764</v>
      </c>
      <c r="L2175" s="56">
        <v>45086</v>
      </c>
      <c r="O2175" s="42"/>
      <c r="P2175" s="40"/>
      <c r="Q2175" s="61"/>
      <c r="R2175" s="61"/>
      <c r="S2175" s="40"/>
      <c r="T2175" s="38"/>
      <c r="U2175" s="38"/>
      <c r="V2175" s="38"/>
      <c r="W2175" s="60"/>
      <c r="AB2175" s="42"/>
      <c r="AC2175" s="35"/>
      <c r="AD2175" s="38"/>
      <c r="AE2175" s="38"/>
      <c r="AF2175" s="38"/>
      <c r="AG2175" s="38"/>
      <c r="AH2175" s="60"/>
    </row>
    <row r="2176" spans="1:34" ht="15.75" customHeight="1">
      <c r="A2176" s="103"/>
      <c r="B2176" s="18" t="s">
        <v>7765</v>
      </c>
      <c r="C2176" s="37" t="s">
        <v>24</v>
      </c>
      <c r="D2176" s="20" t="s">
        <v>7766</v>
      </c>
      <c r="E2176" s="20" t="s">
        <v>7767</v>
      </c>
      <c r="F2176" s="19" t="s">
        <v>27</v>
      </c>
      <c r="G2176" s="19" t="s">
        <v>28</v>
      </c>
      <c r="H2176" s="37"/>
      <c r="I2176" s="21" t="s">
        <v>29</v>
      </c>
      <c r="J2176" s="21" t="s">
        <v>29</v>
      </c>
      <c r="K2176" s="22" t="s">
        <v>7768</v>
      </c>
      <c r="L2176" s="56">
        <v>45086</v>
      </c>
      <c r="O2176" s="42"/>
      <c r="P2176" s="40"/>
      <c r="Q2176" s="61"/>
      <c r="R2176" s="61"/>
      <c r="S2176" s="40"/>
      <c r="T2176" s="38"/>
      <c r="U2176" s="38"/>
      <c r="V2176" s="38"/>
      <c r="W2176" s="60"/>
      <c r="AB2176" s="42"/>
      <c r="AC2176" s="35"/>
      <c r="AD2176" s="38"/>
      <c r="AE2176" s="38"/>
      <c r="AF2176" s="38"/>
      <c r="AG2176" s="38"/>
      <c r="AH2176" s="60"/>
    </row>
    <row r="2177" spans="1:34" ht="15.75" customHeight="1">
      <c r="A2177" s="104"/>
      <c r="B2177" s="18" t="s">
        <v>7769</v>
      </c>
      <c r="C2177" s="37" t="s">
        <v>46</v>
      </c>
      <c r="D2177" s="20" t="s">
        <v>7770</v>
      </c>
      <c r="E2177" s="20" t="s">
        <v>7771</v>
      </c>
      <c r="F2177" s="37" t="s">
        <v>49</v>
      </c>
      <c r="G2177" s="19" t="s">
        <v>50</v>
      </c>
      <c r="H2177" s="37"/>
      <c r="I2177" s="21" t="s">
        <v>29</v>
      </c>
      <c r="J2177" s="21" t="s">
        <v>29</v>
      </c>
      <c r="K2177" s="22" t="s">
        <v>7772</v>
      </c>
      <c r="L2177" s="56">
        <v>45086</v>
      </c>
      <c r="O2177" s="42"/>
      <c r="P2177" s="40"/>
      <c r="Q2177" s="61"/>
      <c r="R2177" s="61"/>
      <c r="S2177" s="40"/>
      <c r="T2177" s="38"/>
      <c r="U2177" s="38"/>
      <c r="V2177" s="38"/>
      <c r="W2177" s="60"/>
      <c r="AB2177" s="42"/>
      <c r="AC2177" s="35"/>
      <c r="AD2177" s="38"/>
      <c r="AE2177" s="38"/>
      <c r="AF2177" s="38"/>
      <c r="AG2177" s="38"/>
      <c r="AH2177" s="60"/>
    </row>
    <row r="2178" spans="1:34" ht="15.75" customHeight="1">
      <c r="A2178" s="102"/>
      <c r="B2178" s="18" t="s">
        <v>7773</v>
      </c>
      <c r="C2178" s="37" t="s">
        <v>24</v>
      </c>
      <c r="D2178" s="20" t="s">
        <v>7774</v>
      </c>
      <c r="E2178" s="20" t="s">
        <v>7775</v>
      </c>
      <c r="F2178" s="19" t="s">
        <v>27</v>
      </c>
      <c r="G2178" s="19" t="s">
        <v>28</v>
      </c>
      <c r="H2178" s="37"/>
      <c r="I2178" s="21" t="s">
        <v>29</v>
      </c>
      <c r="J2178" s="21" t="s">
        <v>29</v>
      </c>
      <c r="K2178" s="22" t="s">
        <v>7776</v>
      </c>
      <c r="L2178" s="56">
        <v>45086</v>
      </c>
      <c r="O2178" s="42"/>
      <c r="P2178" s="40"/>
      <c r="Q2178" s="61"/>
      <c r="R2178" s="61"/>
      <c r="S2178" s="40"/>
      <c r="T2178" s="38"/>
      <c r="U2178" s="38"/>
      <c r="V2178" s="38"/>
      <c r="W2178" s="60"/>
      <c r="AB2178" s="42"/>
      <c r="AC2178" s="35"/>
      <c r="AD2178" s="38"/>
      <c r="AE2178" s="38"/>
      <c r="AF2178" s="38"/>
      <c r="AG2178" s="38"/>
      <c r="AH2178" s="60"/>
    </row>
    <row r="2179" spans="1:34" ht="15.75" customHeight="1">
      <c r="A2179" s="102"/>
      <c r="B2179" s="18" t="s">
        <v>7777</v>
      </c>
      <c r="C2179" s="37" t="s">
        <v>24</v>
      </c>
      <c r="D2179" s="20" t="s">
        <v>7778</v>
      </c>
      <c r="E2179" s="20" t="s">
        <v>7779</v>
      </c>
      <c r="F2179" s="19" t="s">
        <v>27</v>
      </c>
      <c r="G2179" s="19" t="s">
        <v>28</v>
      </c>
      <c r="H2179" s="37" t="s">
        <v>813</v>
      </c>
      <c r="I2179" s="21" t="s">
        <v>29</v>
      </c>
      <c r="J2179" s="21" t="s">
        <v>29</v>
      </c>
      <c r="K2179" s="22" t="s">
        <v>7780</v>
      </c>
      <c r="L2179" s="56">
        <v>45086</v>
      </c>
      <c r="O2179" s="42"/>
      <c r="P2179" s="40"/>
      <c r="Q2179" s="61"/>
      <c r="R2179" s="61"/>
      <c r="S2179" s="40"/>
      <c r="T2179" s="38"/>
      <c r="U2179" s="38"/>
      <c r="V2179" s="38"/>
      <c r="W2179" s="60"/>
      <c r="AB2179" s="42"/>
      <c r="AC2179" s="35"/>
      <c r="AD2179" s="38"/>
      <c r="AE2179" s="38"/>
      <c r="AF2179" s="38"/>
      <c r="AG2179" s="38"/>
      <c r="AH2179" s="60"/>
    </row>
    <row r="2180" spans="1:34" ht="15.75" customHeight="1">
      <c r="A2180" s="103"/>
      <c r="B2180" s="34" t="s">
        <v>7781</v>
      </c>
      <c r="C2180" s="37" t="s">
        <v>24</v>
      </c>
      <c r="D2180" s="20" t="s">
        <v>7782</v>
      </c>
      <c r="E2180" s="20" t="s">
        <v>7783</v>
      </c>
      <c r="F2180" s="19" t="s">
        <v>90</v>
      </c>
      <c r="G2180" s="19" t="s">
        <v>91</v>
      </c>
      <c r="H2180" s="37"/>
      <c r="I2180" s="21" t="s">
        <v>29</v>
      </c>
      <c r="J2180" s="21" t="s">
        <v>29</v>
      </c>
      <c r="K2180" s="22" t="s">
        <v>7784</v>
      </c>
      <c r="L2180" s="56">
        <v>45086</v>
      </c>
      <c r="O2180" s="42"/>
      <c r="P2180" s="40"/>
      <c r="Q2180" s="61"/>
      <c r="R2180" s="61"/>
      <c r="S2180" s="40"/>
      <c r="T2180" s="38"/>
      <c r="U2180" s="38"/>
      <c r="V2180" s="38"/>
      <c r="W2180" s="60"/>
      <c r="AB2180" s="42"/>
      <c r="AC2180" s="35"/>
      <c r="AD2180" s="38"/>
      <c r="AE2180" s="38"/>
      <c r="AF2180" s="38"/>
      <c r="AG2180" s="38"/>
      <c r="AH2180" s="60"/>
    </row>
    <row r="2181" spans="1:34" ht="15.75" customHeight="1">
      <c r="A2181" s="104"/>
      <c r="B2181" s="18" t="s">
        <v>7785</v>
      </c>
      <c r="C2181" s="37" t="s">
        <v>46</v>
      </c>
      <c r="D2181" s="20" t="s">
        <v>7786</v>
      </c>
      <c r="E2181" s="20" t="s">
        <v>7787</v>
      </c>
      <c r="F2181" s="37" t="s">
        <v>49</v>
      </c>
      <c r="G2181" s="19" t="s">
        <v>50</v>
      </c>
      <c r="H2181" s="37"/>
      <c r="I2181" s="21" t="s">
        <v>29</v>
      </c>
      <c r="J2181" s="21" t="s">
        <v>29</v>
      </c>
      <c r="K2181" s="22" t="s">
        <v>7788</v>
      </c>
      <c r="L2181" s="56">
        <v>45086</v>
      </c>
      <c r="O2181" s="42"/>
      <c r="P2181" s="40"/>
      <c r="Q2181" s="61"/>
      <c r="R2181" s="61"/>
      <c r="S2181" s="40"/>
      <c r="T2181" s="38"/>
      <c r="U2181" s="38"/>
      <c r="V2181" s="38"/>
      <c r="W2181" s="60"/>
      <c r="AB2181" s="42"/>
      <c r="AC2181" s="35"/>
      <c r="AD2181" s="38"/>
      <c r="AE2181" s="38"/>
      <c r="AF2181" s="38"/>
      <c r="AG2181" s="38"/>
      <c r="AH2181" s="60"/>
    </row>
    <row r="2182" spans="1:34" ht="15.75" customHeight="1">
      <c r="A2182" s="102"/>
      <c r="B2182" s="18" t="s">
        <v>7789</v>
      </c>
      <c r="C2182" s="37" t="s">
        <v>46</v>
      </c>
      <c r="D2182" s="20" t="s">
        <v>7790</v>
      </c>
      <c r="E2182" s="20" t="s">
        <v>7791</v>
      </c>
      <c r="F2182" s="37" t="s">
        <v>49</v>
      </c>
      <c r="G2182" s="19" t="s">
        <v>50</v>
      </c>
      <c r="H2182" s="37"/>
      <c r="I2182" s="21" t="s">
        <v>29</v>
      </c>
      <c r="J2182" s="21" t="s">
        <v>29</v>
      </c>
      <c r="K2182" s="22" t="s">
        <v>7792</v>
      </c>
      <c r="L2182" s="56">
        <v>45086</v>
      </c>
      <c r="O2182" s="42"/>
      <c r="P2182" s="40"/>
      <c r="Q2182" s="61"/>
      <c r="R2182" s="61"/>
      <c r="S2182" s="40"/>
      <c r="T2182" s="38"/>
      <c r="U2182" s="38"/>
      <c r="V2182" s="38"/>
      <c r="W2182" s="60"/>
      <c r="AB2182" s="42"/>
      <c r="AC2182" s="35"/>
      <c r="AD2182" s="38"/>
      <c r="AE2182" s="38"/>
      <c r="AF2182" s="38"/>
      <c r="AG2182" s="38"/>
      <c r="AH2182" s="60"/>
    </row>
    <row r="2183" spans="1:34" ht="15.75" customHeight="1">
      <c r="A2183" s="102"/>
      <c r="B2183" s="18" t="s">
        <v>7793</v>
      </c>
      <c r="C2183" s="37" t="s">
        <v>228</v>
      </c>
      <c r="D2183" s="20" t="s">
        <v>7794</v>
      </c>
      <c r="E2183" s="20" t="s">
        <v>7795</v>
      </c>
      <c r="F2183" s="19" t="s">
        <v>231</v>
      </c>
      <c r="G2183" s="19" t="s">
        <v>232</v>
      </c>
      <c r="H2183" s="37"/>
      <c r="I2183" s="21" t="s">
        <v>233</v>
      </c>
      <c r="J2183" s="21" t="s">
        <v>233</v>
      </c>
      <c r="K2183" s="22" t="s">
        <v>7796</v>
      </c>
      <c r="L2183" s="56">
        <v>45086</v>
      </c>
      <c r="O2183" s="42"/>
      <c r="P2183" s="40"/>
      <c r="Q2183" s="61"/>
      <c r="R2183" s="61"/>
      <c r="S2183" s="40"/>
      <c r="T2183" s="38"/>
      <c r="U2183" s="38"/>
      <c r="V2183" s="38"/>
      <c r="W2183" s="60"/>
      <c r="AB2183" s="42"/>
      <c r="AC2183" s="35"/>
      <c r="AD2183" s="38"/>
      <c r="AE2183" s="38"/>
      <c r="AF2183" s="38"/>
      <c r="AG2183" s="38"/>
      <c r="AH2183" s="60"/>
    </row>
    <row r="2184" spans="1:34" ht="15.75" customHeight="1">
      <c r="A2184" s="103"/>
      <c r="B2184" s="38" t="s">
        <v>7797</v>
      </c>
      <c r="C2184" s="37" t="s">
        <v>46</v>
      </c>
      <c r="D2184" s="20" t="s">
        <v>7798</v>
      </c>
      <c r="E2184" s="20" t="s">
        <v>7799</v>
      </c>
      <c r="F2184" s="37" t="s">
        <v>286</v>
      </c>
      <c r="G2184" s="19" t="s">
        <v>50</v>
      </c>
      <c r="H2184" s="37"/>
      <c r="I2184" s="21" t="s">
        <v>286</v>
      </c>
      <c r="J2184" s="21" t="s">
        <v>46</v>
      </c>
      <c r="K2184" s="22" t="s">
        <v>7800</v>
      </c>
      <c r="L2184" s="56"/>
      <c r="O2184" s="42"/>
      <c r="P2184" s="40"/>
      <c r="Q2184" s="61"/>
      <c r="R2184" s="61"/>
      <c r="S2184" s="40"/>
      <c r="T2184" s="38"/>
      <c r="U2184" s="38"/>
      <c r="V2184" s="38"/>
      <c r="W2184" s="60"/>
      <c r="AB2184" s="42"/>
      <c r="AC2184" s="35"/>
      <c r="AD2184" s="38"/>
      <c r="AE2184" s="38"/>
      <c r="AF2184" s="38"/>
      <c r="AG2184" s="38"/>
      <c r="AH2184" s="60"/>
    </row>
    <row r="2185" spans="1:34" ht="15.75" customHeight="1">
      <c r="A2185" s="103"/>
      <c r="B2185" s="18" t="s">
        <v>7801</v>
      </c>
      <c r="C2185" s="37" t="s">
        <v>24</v>
      </c>
      <c r="D2185" s="20" t="s">
        <v>7802</v>
      </c>
      <c r="E2185" s="20" t="s">
        <v>7803</v>
      </c>
      <c r="F2185" s="19" t="s">
        <v>27</v>
      </c>
      <c r="G2185" s="19" t="s">
        <v>28</v>
      </c>
      <c r="H2185" s="37"/>
      <c r="I2185" s="21" t="s">
        <v>29</v>
      </c>
      <c r="J2185" s="21" t="s">
        <v>29</v>
      </c>
      <c r="K2185" s="22" t="s">
        <v>7804</v>
      </c>
      <c r="L2185" s="56">
        <v>45086</v>
      </c>
      <c r="O2185" s="42"/>
      <c r="P2185" s="40"/>
      <c r="Q2185" s="61"/>
      <c r="R2185" s="61"/>
      <c r="S2185" s="40"/>
      <c r="T2185" s="38"/>
      <c r="U2185" s="38"/>
      <c r="V2185" s="38"/>
      <c r="W2185" s="60"/>
      <c r="AB2185" s="42"/>
      <c r="AC2185" s="35"/>
      <c r="AD2185" s="38"/>
      <c r="AE2185" s="38"/>
      <c r="AF2185" s="38"/>
      <c r="AG2185" s="38"/>
      <c r="AH2185" s="60"/>
    </row>
    <row r="2186" spans="1:34" ht="15.75" customHeight="1">
      <c r="A2186" s="104"/>
      <c r="B2186" s="18" t="s">
        <v>7805</v>
      </c>
      <c r="C2186" s="37" t="s">
        <v>87</v>
      </c>
      <c r="D2186" s="20" t="s">
        <v>7806</v>
      </c>
      <c r="E2186" s="20" t="s">
        <v>7807</v>
      </c>
      <c r="F2186" s="19" t="s">
        <v>90</v>
      </c>
      <c r="G2186" s="19" t="s">
        <v>91</v>
      </c>
      <c r="H2186" s="37"/>
      <c r="I2186" s="21" t="s">
        <v>29</v>
      </c>
      <c r="J2186" s="21" t="s">
        <v>29</v>
      </c>
      <c r="K2186" s="22" t="s">
        <v>7808</v>
      </c>
      <c r="L2186" s="56">
        <v>45086</v>
      </c>
      <c r="O2186" s="42"/>
      <c r="P2186" s="40"/>
      <c r="Q2186" s="61"/>
      <c r="R2186" s="61"/>
      <c r="S2186" s="40"/>
      <c r="T2186" s="38"/>
      <c r="U2186" s="38"/>
      <c r="V2186" s="38"/>
      <c r="W2186" s="60"/>
      <c r="AB2186" s="42"/>
      <c r="AC2186" s="35"/>
      <c r="AD2186" s="38"/>
      <c r="AE2186" s="38"/>
      <c r="AF2186" s="38"/>
      <c r="AG2186" s="38"/>
      <c r="AH2186" s="60"/>
    </row>
    <row r="2187" spans="1:34" ht="15.75" customHeight="1">
      <c r="A2187" s="102"/>
      <c r="B2187" s="38"/>
      <c r="C2187" s="37"/>
      <c r="D2187" s="20"/>
      <c r="E2187" s="20"/>
      <c r="F2187" s="37"/>
      <c r="G2187" s="37"/>
      <c r="H2187" s="37"/>
      <c r="I2187" s="21"/>
      <c r="J2187" s="21"/>
      <c r="K2187" s="22"/>
      <c r="L2187" s="39"/>
      <c r="O2187" s="42"/>
      <c r="P2187" s="40"/>
      <c r="Q2187" s="61"/>
      <c r="R2187" s="61"/>
      <c r="S2187" s="40"/>
      <c r="T2187" s="38"/>
      <c r="U2187" s="38"/>
      <c r="V2187" s="38"/>
      <c r="W2187" s="60"/>
      <c r="AB2187" s="42"/>
      <c r="AC2187" s="35"/>
      <c r="AD2187" s="38"/>
      <c r="AE2187" s="38"/>
      <c r="AF2187" s="38"/>
      <c r="AG2187" s="38"/>
      <c r="AH2187" s="60"/>
    </row>
    <row r="2188" spans="1:34" ht="15.75" customHeight="1">
      <c r="A2188" s="102"/>
      <c r="B2188" s="38"/>
      <c r="C2188" s="37"/>
      <c r="D2188" s="20"/>
      <c r="E2188" s="20"/>
      <c r="F2188" s="37"/>
      <c r="G2188" s="37"/>
      <c r="H2188" s="37"/>
      <c r="I2188" s="21"/>
      <c r="J2188" s="21"/>
      <c r="K2188" s="22"/>
      <c r="L2188" s="39"/>
      <c r="O2188" s="42"/>
      <c r="P2188" s="40"/>
      <c r="Q2188" s="61"/>
      <c r="R2188" s="61"/>
      <c r="S2188" s="40"/>
      <c r="T2188" s="38"/>
      <c r="U2188" s="38"/>
      <c r="V2188" s="38"/>
      <c r="W2188" s="60"/>
      <c r="AB2188" s="42"/>
      <c r="AC2188" s="35"/>
      <c r="AD2188" s="38"/>
      <c r="AE2188" s="38"/>
      <c r="AF2188" s="38"/>
      <c r="AG2188" s="38"/>
      <c r="AH2188" s="60"/>
    </row>
    <row r="2189" spans="1:34" ht="15.75" customHeight="1">
      <c r="A2189" s="54" t="s">
        <v>7809</v>
      </c>
      <c r="B2189" s="18" t="s">
        <v>7810</v>
      </c>
      <c r="C2189" s="37" t="s">
        <v>228</v>
      </c>
      <c r="D2189" s="20" t="s">
        <v>7811</v>
      </c>
      <c r="E2189" s="20" t="s">
        <v>7812</v>
      </c>
      <c r="F2189" s="19" t="s">
        <v>231</v>
      </c>
      <c r="G2189" s="19" t="s">
        <v>232</v>
      </c>
      <c r="H2189" s="37"/>
      <c r="I2189" s="21" t="s">
        <v>233</v>
      </c>
      <c r="J2189" s="21" t="s">
        <v>233</v>
      </c>
      <c r="K2189" s="22" t="s">
        <v>7813</v>
      </c>
      <c r="L2189" s="56">
        <v>45086</v>
      </c>
      <c r="M2189" s="40"/>
      <c r="N2189" s="40"/>
      <c r="O2189" s="42"/>
      <c r="P2189" s="40"/>
      <c r="Q2189" s="61"/>
      <c r="R2189" s="61"/>
      <c r="S2189" s="40"/>
      <c r="T2189" s="38"/>
      <c r="U2189" s="38"/>
      <c r="V2189" s="38"/>
      <c r="W2189" s="60"/>
      <c r="AB2189" s="42"/>
      <c r="AC2189" s="35"/>
      <c r="AD2189" s="38"/>
      <c r="AE2189" s="38"/>
      <c r="AF2189" s="38"/>
      <c r="AG2189" s="38"/>
      <c r="AH2189" s="60"/>
    </row>
    <row r="2190" spans="1:34" ht="15.75" customHeight="1">
      <c r="A2190" s="54" t="s">
        <v>2714</v>
      </c>
      <c r="B2190" s="34" t="s">
        <v>7814</v>
      </c>
      <c r="C2190" s="37" t="s">
        <v>24</v>
      </c>
      <c r="D2190" s="20" t="s">
        <v>7815</v>
      </c>
      <c r="E2190" s="20" t="s">
        <v>7816</v>
      </c>
      <c r="F2190" s="19" t="s">
        <v>90</v>
      </c>
      <c r="G2190" s="19" t="s">
        <v>91</v>
      </c>
      <c r="H2190" s="37"/>
      <c r="I2190" s="21" t="s">
        <v>29</v>
      </c>
      <c r="J2190" s="21" t="s">
        <v>29</v>
      </c>
      <c r="K2190" s="22" t="s">
        <v>7817</v>
      </c>
      <c r="L2190" s="56">
        <v>45086</v>
      </c>
      <c r="O2190" s="42"/>
      <c r="P2190" s="40"/>
      <c r="Q2190" s="61"/>
      <c r="R2190" s="61"/>
      <c r="S2190" s="40"/>
      <c r="T2190" s="38"/>
      <c r="U2190" s="38"/>
      <c r="V2190" s="38"/>
      <c r="W2190" s="60"/>
      <c r="AB2190" s="42"/>
      <c r="AC2190" s="35"/>
      <c r="AD2190" s="38"/>
      <c r="AE2190" s="38"/>
      <c r="AF2190" s="38"/>
      <c r="AG2190" s="38"/>
      <c r="AH2190" s="60"/>
    </row>
    <row r="2191" spans="1:34" ht="15.75" customHeight="1">
      <c r="A2191" s="50" t="s">
        <v>39</v>
      </c>
      <c r="B2191" s="29" t="s">
        <v>7818</v>
      </c>
      <c r="C2191" s="37" t="s">
        <v>46</v>
      </c>
      <c r="D2191" s="20" t="s">
        <v>7819</v>
      </c>
      <c r="E2191" s="20" t="s">
        <v>7820</v>
      </c>
      <c r="F2191" s="37" t="s">
        <v>286</v>
      </c>
      <c r="G2191" s="19" t="s">
        <v>50</v>
      </c>
      <c r="H2191" s="37"/>
      <c r="I2191" s="21" t="s">
        <v>286</v>
      </c>
      <c r="J2191" s="21" t="s">
        <v>29</v>
      </c>
      <c r="K2191" s="22" t="s">
        <v>7820</v>
      </c>
      <c r="L2191" s="56"/>
      <c r="O2191" s="42"/>
      <c r="P2191" s="40"/>
      <c r="Q2191" s="61"/>
      <c r="R2191" s="61"/>
      <c r="S2191" s="40"/>
      <c r="T2191" s="38"/>
      <c r="U2191" s="38"/>
      <c r="V2191" s="38"/>
      <c r="W2191" s="60"/>
      <c r="AB2191" s="42"/>
      <c r="AC2191" s="35"/>
      <c r="AD2191" s="38"/>
      <c r="AE2191" s="38"/>
      <c r="AF2191" s="38"/>
      <c r="AG2191" s="38"/>
      <c r="AH2191" s="60"/>
    </row>
    <row r="2192" spans="1:34" ht="15.75" customHeight="1">
      <c r="A2192" s="35" t="s">
        <v>7821</v>
      </c>
      <c r="B2192" s="18" t="s">
        <v>7822</v>
      </c>
      <c r="C2192" s="37" t="s">
        <v>1470</v>
      </c>
      <c r="D2192" s="20" t="s">
        <v>7823</v>
      </c>
      <c r="E2192" s="20" t="s">
        <v>7824</v>
      </c>
      <c r="F2192" s="19" t="s">
        <v>3286</v>
      </c>
      <c r="G2192" s="19" t="s">
        <v>1461</v>
      </c>
      <c r="H2192" s="37"/>
      <c r="I2192" s="21" t="s">
        <v>233</v>
      </c>
      <c r="J2192" s="21" t="s">
        <v>233</v>
      </c>
      <c r="K2192" s="22" t="s">
        <v>7825</v>
      </c>
      <c r="L2192" s="56">
        <v>45086</v>
      </c>
      <c r="O2192" s="42"/>
      <c r="P2192" s="40"/>
      <c r="Q2192" s="61"/>
      <c r="R2192" s="61"/>
      <c r="S2192" s="40"/>
      <c r="T2192" s="38"/>
      <c r="U2192" s="38"/>
      <c r="V2192" s="38"/>
      <c r="W2192" s="60"/>
      <c r="AB2192" s="42"/>
      <c r="AC2192" s="35"/>
      <c r="AD2192" s="38"/>
      <c r="AE2192" s="38"/>
      <c r="AF2192" s="38"/>
      <c r="AG2192" s="38"/>
      <c r="AH2192" s="60"/>
    </row>
    <row r="2193" spans="1:34" ht="15.75" customHeight="1">
      <c r="A2193" s="35" t="s">
        <v>7826</v>
      </c>
      <c r="B2193" s="18" t="s">
        <v>7827</v>
      </c>
      <c r="C2193" s="37" t="s">
        <v>87</v>
      </c>
      <c r="D2193" s="20" t="s">
        <v>7828</v>
      </c>
      <c r="E2193" s="20" t="s">
        <v>7829</v>
      </c>
      <c r="F2193" s="37" t="s">
        <v>49</v>
      </c>
      <c r="G2193" s="19" t="s">
        <v>91</v>
      </c>
      <c r="H2193" s="37"/>
      <c r="I2193" s="21" t="s">
        <v>29</v>
      </c>
      <c r="J2193" s="21" t="s">
        <v>29</v>
      </c>
      <c r="K2193" s="22" t="s">
        <v>7830</v>
      </c>
      <c r="L2193" s="56">
        <v>45086</v>
      </c>
      <c r="O2193" s="42"/>
      <c r="P2193" s="40"/>
      <c r="Q2193" s="61"/>
      <c r="R2193" s="61"/>
      <c r="S2193" s="40"/>
      <c r="T2193" s="38"/>
      <c r="U2193" s="38"/>
      <c r="V2193" s="38"/>
      <c r="W2193" s="60"/>
      <c r="AB2193" s="42"/>
      <c r="AC2193" s="35"/>
      <c r="AD2193" s="38"/>
      <c r="AE2193" s="38"/>
      <c r="AF2193" s="38"/>
      <c r="AG2193" s="38"/>
      <c r="AH2193" s="60"/>
    </row>
    <row r="2194" spans="1:34" ht="15.75" customHeight="1">
      <c r="A2194" s="31" t="s">
        <v>56</v>
      </c>
      <c r="B2194" s="18" t="s">
        <v>7831</v>
      </c>
      <c r="C2194" s="37" t="s">
        <v>87</v>
      </c>
      <c r="D2194" s="20" t="s">
        <v>7832</v>
      </c>
      <c r="E2194" s="20" t="s">
        <v>7833</v>
      </c>
      <c r="F2194" s="19" t="s">
        <v>90</v>
      </c>
      <c r="G2194" s="19" t="s">
        <v>91</v>
      </c>
      <c r="H2194" s="37"/>
      <c r="I2194" s="21" t="s">
        <v>29</v>
      </c>
      <c r="J2194" s="21" t="s">
        <v>29</v>
      </c>
      <c r="K2194" s="22" t="s">
        <v>7834</v>
      </c>
      <c r="L2194" s="56">
        <v>45086</v>
      </c>
      <c r="O2194" s="42"/>
      <c r="P2194" s="40"/>
      <c r="Q2194" s="61"/>
      <c r="R2194" s="61"/>
      <c r="S2194" s="40"/>
      <c r="T2194" s="38"/>
      <c r="U2194" s="38"/>
      <c r="V2194" s="38"/>
      <c r="W2194" s="60"/>
      <c r="AB2194" s="42"/>
      <c r="AC2194" s="35"/>
      <c r="AD2194" s="38"/>
      <c r="AE2194" s="38"/>
      <c r="AF2194" s="38"/>
      <c r="AG2194" s="38"/>
      <c r="AH2194" s="60"/>
    </row>
    <row r="2195" spans="1:34" ht="15.75" customHeight="1">
      <c r="A2195" s="17">
        <v>64</v>
      </c>
      <c r="B2195" s="18" t="s">
        <v>7835</v>
      </c>
      <c r="C2195" s="37" t="s">
        <v>24</v>
      </c>
      <c r="D2195" s="20" t="s">
        <v>7836</v>
      </c>
      <c r="E2195" s="20" t="s">
        <v>7837</v>
      </c>
      <c r="F2195" s="19" t="s">
        <v>27</v>
      </c>
      <c r="G2195" s="19" t="s">
        <v>28</v>
      </c>
      <c r="H2195" s="37" t="s">
        <v>762</v>
      </c>
      <c r="I2195" s="21" t="s">
        <v>29</v>
      </c>
      <c r="J2195" s="21" t="s">
        <v>29</v>
      </c>
      <c r="K2195" s="22" t="s">
        <v>7838</v>
      </c>
      <c r="L2195" s="56">
        <v>45086</v>
      </c>
      <c r="O2195" s="42"/>
      <c r="P2195" s="40"/>
      <c r="Q2195" s="61"/>
      <c r="R2195" s="61"/>
      <c r="S2195" s="40"/>
      <c r="T2195" s="38"/>
      <c r="U2195" s="38"/>
      <c r="V2195" s="38"/>
      <c r="W2195" s="60"/>
      <c r="AB2195" s="42"/>
      <c r="AC2195" s="35"/>
      <c r="AD2195" s="38"/>
      <c r="AE2195" s="38"/>
      <c r="AF2195" s="38"/>
      <c r="AG2195" s="38"/>
      <c r="AH2195" s="60"/>
    </row>
    <row r="2196" spans="1:34" ht="15.75" customHeight="1">
      <c r="A2196" s="31" t="s">
        <v>64</v>
      </c>
      <c r="B2196" s="18" t="s">
        <v>7839</v>
      </c>
      <c r="C2196" s="37" t="s">
        <v>24</v>
      </c>
      <c r="D2196" s="20" t="s">
        <v>7840</v>
      </c>
      <c r="E2196" s="20" t="s">
        <v>7841</v>
      </c>
      <c r="F2196" s="19" t="s">
        <v>27</v>
      </c>
      <c r="G2196" s="19" t="s">
        <v>28</v>
      </c>
      <c r="H2196" s="37"/>
      <c r="I2196" s="21" t="s">
        <v>29</v>
      </c>
      <c r="J2196" s="21" t="s">
        <v>29</v>
      </c>
      <c r="K2196" s="22" t="s">
        <v>7842</v>
      </c>
      <c r="L2196" s="56">
        <v>45086</v>
      </c>
      <c r="O2196" s="42"/>
      <c r="P2196" s="40"/>
      <c r="Q2196" s="61"/>
      <c r="R2196" s="61"/>
      <c r="S2196" s="40"/>
      <c r="T2196" s="38"/>
      <c r="U2196" s="38"/>
      <c r="V2196" s="38"/>
      <c r="W2196" s="60"/>
      <c r="AB2196" s="42"/>
      <c r="AC2196" s="35"/>
      <c r="AD2196" s="38"/>
      <c r="AE2196" s="38"/>
      <c r="AF2196" s="38"/>
      <c r="AG2196" s="38"/>
      <c r="AH2196" s="60"/>
    </row>
    <row r="2197" spans="1:34" ht="15.75" customHeight="1">
      <c r="A2197" s="17">
        <v>3.3</v>
      </c>
      <c r="B2197" s="18" t="s">
        <v>7843</v>
      </c>
      <c r="C2197" s="37" t="s">
        <v>87</v>
      </c>
      <c r="D2197" s="20" t="s">
        <v>7844</v>
      </c>
      <c r="E2197" s="20" t="s">
        <v>7845</v>
      </c>
      <c r="F2197" s="19" t="s">
        <v>90</v>
      </c>
      <c r="G2197" s="19" t="s">
        <v>91</v>
      </c>
      <c r="H2197" s="37"/>
      <c r="I2197" s="21" t="s">
        <v>29</v>
      </c>
      <c r="J2197" s="21" t="s">
        <v>29</v>
      </c>
      <c r="K2197" s="22" t="s">
        <v>7846</v>
      </c>
      <c r="L2197" s="56">
        <v>45086</v>
      </c>
      <c r="O2197" s="42"/>
      <c r="P2197" s="40"/>
      <c r="Q2197" s="61"/>
      <c r="R2197" s="61"/>
      <c r="S2197" s="40"/>
      <c r="T2197" s="38"/>
      <c r="U2197" s="38"/>
      <c r="V2197" s="38"/>
      <c r="W2197" s="60"/>
      <c r="AB2197" s="42"/>
      <c r="AC2197" s="35"/>
      <c r="AD2197" s="38"/>
      <c r="AE2197" s="38"/>
      <c r="AF2197" s="38"/>
      <c r="AG2197" s="38"/>
      <c r="AH2197" s="60"/>
    </row>
    <row r="2198" spans="1:34" ht="15.75" customHeight="1">
      <c r="A2198" s="31" t="s">
        <v>73</v>
      </c>
      <c r="B2198" s="18" t="s">
        <v>7847</v>
      </c>
      <c r="C2198" s="37" t="s">
        <v>1470</v>
      </c>
      <c r="D2198" s="20" t="s">
        <v>7848</v>
      </c>
      <c r="E2198" s="20" t="s">
        <v>7849</v>
      </c>
      <c r="F2198" s="19" t="s">
        <v>3286</v>
      </c>
      <c r="G2198" s="37" t="s">
        <v>1461</v>
      </c>
      <c r="H2198" s="37"/>
      <c r="I2198" s="21" t="s">
        <v>233</v>
      </c>
      <c r="J2198" s="21" t="s">
        <v>233</v>
      </c>
      <c r="K2198" s="22" t="s">
        <v>7850</v>
      </c>
      <c r="L2198" s="56">
        <v>45086</v>
      </c>
      <c r="O2198" s="42"/>
      <c r="P2198" s="40"/>
      <c r="Q2198" s="61"/>
      <c r="R2198" s="61"/>
      <c r="S2198" s="40"/>
      <c r="T2198" s="38"/>
      <c r="U2198" s="38"/>
      <c r="V2198" s="38"/>
      <c r="W2198" s="60"/>
      <c r="AB2198" s="42"/>
      <c r="AC2198" s="35"/>
      <c r="AD2198" s="38"/>
      <c r="AE2198" s="38"/>
      <c r="AF2198" s="38"/>
      <c r="AG2198" s="38"/>
      <c r="AH2198" s="60"/>
    </row>
    <row r="2199" spans="1:34" ht="15.75" customHeight="1">
      <c r="A2199" s="17">
        <v>3.5</v>
      </c>
      <c r="B2199" s="18" t="s">
        <v>7851</v>
      </c>
      <c r="C2199" s="37" t="s">
        <v>228</v>
      </c>
      <c r="D2199" s="20" t="s">
        <v>7852</v>
      </c>
      <c r="E2199" s="20"/>
      <c r="F2199" s="19" t="s">
        <v>231</v>
      </c>
      <c r="G2199" s="19" t="s">
        <v>232</v>
      </c>
      <c r="H2199" s="37"/>
      <c r="I2199" s="21" t="s">
        <v>233</v>
      </c>
      <c r="J2199" s="21" t="s">
        <v>233</v>
      </c>
      <c r="K2199" s="22"/>
      <c r="L2199" s="56">
        <v>45086</v>
      </c>
      <c r="O2199" s="42"/>
      <c r="P2199" s="40"/>
      <c r="Q2199" s="61"/>
      <c r="R2199" s="61"/>
      <c r="S2199" s="40"/>
      <c r="T2199" s="38"/>
      <c r="U2199" s="38"/>
      <c r="V2199" s="38"/>
      <c r="W2199" s="60"/>
      <c r="AB2199" s="42"/>
      <c r="AC2199" s="35"/>
      <c r="AD2199" s="38"/>
      <c r="AE2199" s="38"/>
      <c r="AF2199" s="38"/>
      <c r="AG2199" s="38"/>
      <c r="AH2199" s="60"/>
    </row>
    <row r="2200" spans="1:34" ht="15.75" customHeight="1">
      <c r="A2200" s="50" t="s">
        <v>82</v>
      </c>
      <c r="B2200" s="18" t="s">
        <v>7853</v>
      </c>
      <c r="C2200" s="37" t="s">
        <v>87</v>
      </c>
      <c r="D2200" s="20" t="s">
        <v>7854</v>
      </c>
      <c r="E2200" s="20" t="s">
        <v>7855</v>
      </c>
      <c r="F2200" s="19" t="s">
        <v>90</v>
      </c>
      <c r="G2200" s="19" t="s">
        <v>91</v>
      </c>
      <c r="H2200" s="37"/>
      <c r="I2200" s="21" t="s">
        <v>29</v>
      </c>
      <c r="J2200" s="21" t="s">
        <v>29</v>
      </c>
      <c r="K2200" s="22" t="s">
        <v>7856</v>
      </c>
      <c r="L2200" s="56">
        <v>45086</v>
      </c>
      <c r="O2200" s="42"/>
      <c r="P2200" s="40"/>
      <c r="Q2200" s="61"/>
      <c r="R2200" s="61"/>
      <c r="S2200" s="40"/>
      <c r="T2200" s="38"/>
      <c r="U2200" s="38"/>
      <c r="V2200" s="38"/>
      <c r="W2200" s="60"/>
      <c r="AB2200" s="42"/>
      <c r="AC2200" s="35"/>
      <c r="AD2200" s="38"/>
      <c r="AE2200" s="38"/>
      <c r="AF2200" s="38"/>
      <c r="AG2200" s="38"/>
      <c r="AH2200" s="60"/>
    </row>
    <row r="2201" spans="1:34" ht="15.75" customHeight="1">
      <c r="A2201" s="35" t="s">
        <v>7857</v>
      </c>
      <c r="B2201" s="18" t="s">
        <v>7858</v>
      </c>
      <c r="C2201" s="37" t="s">
        <v>24</v>
      </c>
      <c r="D2201" s="20" t="s">
        <v>7859</v>
      </c>
      <c r="E2201" s="20" t="s">
        <v>7860</v>
      </c>
      <c r="F2201" s="19" t="s">
        <v>27</v>
      </c>
      <c r="G2201" s="19" t="s">
        <v>28</v>
      </c>
      <c r="H2201" s="19" t="s">
        <v>36</v>
      </c>
      <c r="I2201" s="21" t="s">
        <v>29</v>
      </c>
      <c r="J2201" s="21" t="s">
        <v>29</v>
      </c>
      <c r="K2201" s="22" t="s">
        <v>7861</v>
      </c>
      <c r="L2201" s="56">
        <v>45086</v>
      </c>
      <c r="O2201" s="42"/>
      <c r="P2201" s="40"/>
      <c r="Q2201" s="61"/>
      <c r="R2201" s="61"/>
      <c r="S2201" s="40"/>
      <c r="T2201" s="38"/>
      <c r="U2201" s="38"/>
      <c r="V2201" s="38"/>
      <c r="W2201" s="60"/>
      <c r="AB2201" s="42"/>
      <c r="AC2201" s="35"/>
      <c r="AD2201" s="38"/>
      <c r="AE2201" s="38"/>
      <c r="AF2201" s="38"/>
      <c r="AG2201" s="38"/>
      <c r="AH2201" s="60"/>
    </row>
    <row r="2202" spans="1:34" ht="15.75" customHeight="1">
      <c r="A2202" s="31" t="s">
        <v>92</v>
      </c>
      <c r="B2202" s="34" t="s">
        <v>7862</v>
      </c>
      <c r="C2202" s="37" t="s">
        <v>24</v>
      </c>
      <c r="D2202" s="20" t="s">
        <v>7863</v>
      </c>
      <c r="E2202" s="20" t="s">
        <v>7864</v>
      </c>
      <c r="F2202" s="19" t="s">
        <v>90</v>
      </c>
      <c r="G2202" s="19" t="s">
        <v>91</v>
      </c>
      <c r="H2202" s="37"/>
      <c r="I2202" s="21" t="s">
        <v>29</v>
      </c>
      <c r="J2202" s="21" t="s">
        <v>29</v>
      </c>
      <c r="K2202" s="22" t="s">
        <v>7865</v>
      </c>
      <c r="L2202" s="56">
        <v>45086</v>
      </c>
      <c r="O2202" s="42"/>
      <c r="P2202" s="40"/>
      <c r="Q2202" s="61"/>
      <c r="R2202" s="61"/>
      <c r="S2202" s="40"/>
      <c r="T2202" s="38"/>
      <c r="U2202" s="38"/>
      <c r="V2202" s="38"/>
      <c r="W2202" s="60"/>
      <c r="AB2202" s="42"/>
      <c r="AC2202" s="35"/>
      <c r="AD2202" s="38"/>
      <c r="AE2202" s="38"/>
      <c r="AF2202" s="38"/>
      <c r="AG2202" s="38"/>
      <c r="AH2202" s="60"/>
    </row>
    <row r="2203" spans="1:34" ht="15.75" customHeight="1">
      <c r="A2203" s="33">
        <v>1221</v>
      </c>
      <c r="B2203" s="18" t="s">
        <v>7866</v>
      </c>
      <c r="C2203" s="37" t="s">
        <v>1470</v>
      </c>
      <c r="D2203" s="20" t="s">
        <v>7867</v>
      </c>
      <c r="E2203" s="20" t="s">
        <v>7868</v>
      </c>
      <c r="F2203" s="19" t="s">
        <v>3286</v>
      </c>
      <c r="G2203" s="19" t="s">
        <v>1461</v>
      </c>
      <c r="H2203" s="37"/>
      <c r="I2203" s="21" t="s">
        <v>233</v>
      </c>
      <c r="J2203" s="21" t="s">
        <v>233</v>
      </c>
      <c r="K2203" s="22" t="s">
        <v>7869</v>
      </c>
      <c r="L2203" s="56">
        <v>45086</v>
      </c>
      <c r="O2203" s="42"/>
      <c r="P2203" s="40"/>
      <c r="Q2203" s="61"/>
      <c r="R2203" s="61"/>
      <c r="S2203" s="40"/>
      <c r="T2203" s="38"/>
      <c r="U2203" s="38"/>
      <c r="V2203" s="38"/>
      <c r="W2203" s="60"/>
      <c r="AB2203" s="42"/>
      <c r="AC2203" s="35"/>
      <c r="AD2203" s="38"/>
      <c r="AE2203" s="38"/>
      <c r="AF2203" s="38"/>
      <c r="AG2203" s="38"/>
      <c r="AH2203" s="60"/>
    </row>
    <row r="2204" spans="1:34" ht="15.75" customHeight="1">
      <c r="A2204" s="31" t="s">
        <v>100</v>
      </c>
      <c r="B2204" s="18" t="s">
        <v>7870</v>
      </c>
      <c r="C2204" s="37" t="s">
        <v>87</v>
      </c>
      <c r="D2204" s="20" t="s">
        <v>7871</v>
      </c>
      <c r="E2204" s="20" t="s">
        <v>7872</v>
      </c>
      <c r="F2204" s="19" t="s">
        <v>90</v>
      </c>
      <c r="G2204" s="19" t="s">
        <v>91</v>
      </c>
      <c r="H2204" s="37"/>
      <c r="I2204" s="21" t="s">
        <v>29</v>
      </c>
      <c r="J2204" s="21" t="s">
        <v>29</v>
      </c>
      <c r="K2204" s="22" t="s">
        <v>7873</v>
      </c>
      <c r="L2204" s="56">
        <v>45086</v>
      </c>
      <c r="O2204" s="42"/>
      <c r="P2204" s="40"/>
      <c r="Q2204" s="61"/>
      <c r="R2204" s="61"/>
      <c r="S2204" s="40"/>
      <c r="T2204" s="38"/>
      <c r="U2204" s="38"/>
      <c r="V2204" s="38"/>
      <c r="W2204" s="60"/>
      <c r="AB2204" s="42"/>
      <c r="AC2204" s="35"/>
      <c r="AD2204" s="38"/>
      <c r="AE2204" s="38"/>
      <c r="AF2204" s="38"/>
      <c r="AG2204" s="38"/>
      <c r="AH2204" s="60"/>
    </row>
    <row r="2205" spans="1:34" ht="15.75" customHeight="1">
      <c r="A2205" s="17">
        <v>160</v>
      </c>
      <c r="B2205" s="29" t="s">
        <v>7874</v>
      </c>
      <c r="C2205" s="37" t="s">
        <v>24</v>
      </c>
      <c r="D2205" s="20" t="s">
        <v>7875</v>
      </c>
      <c r="E2205" s="20" t="s">
        <v>7876</v>
      </c>
      <c r="F2205" s="19" t="s">
        <v>27</v>
      </c>
      <c r="G2205" s="19" t="s">
        <v>28</v>
      </c>
      <c r="H2205" s="19" t="s">
        <v>36</v>
      </c>
      <c r="I2205" s="21" t="s">
        <v>29</v>
      </c>
      <c r="J2205" s="21" t="s">
        <v>29</v>
      </c>
      <c r="K2205" s="22" t="s">
        <v>7877</v>
      </c>
      <c r="L2205" s="56">
        <v>45086</v>
      </c>
      <c r="O2205" s="42"/>
      <c r="P2205" s="40"/>
      <c r="Q2205" s="61"/>
      <c r="R2205" s="61"/>
      <c r="S2205" s="40"/>
      <c r="T2205" s="38"/>
      <c r="U2205" s="38"/>
      <c r="V2205" s="38"/>
      <c r="W2205" s="60"/>
      <c r="AB2205" s="42"/>
      <c r="AC2205" s="35"/>
      <c r="AD2205" s="38"/>
      <c r="AE2205" s="38"/>
      <c r="AF2205" s="38"/>
      <c r="AG2205" s="38"/>
      <c r="AH2205" s="60"/>
    </row>
    <row r="2206" spans="1:34" ht="15.75" customHeight="1">
      <c r="A2206" s="35"/>
      <c r="B2206" s="18" t="s">
        <v>7878</v>
      </c>
      <c r="C2206" s="37" t="s">
        <v>24</v>
      </c>
      <c r="D2206" s="20" t="s">
        <v>7879</v>
      </c>
      <c r="E2206" s="20" t="s">
        <v>7880</v>
      </c>
      <c r="F2206" s="19" t="s">
        <v>27</v>
      </c>
      <c r="G2206" s="19" t="s">
        <v>28</v>
      </c>
      <c r="H2206" s="19" t="s">
        <v>36</v>
      </c>
      <c r="I2206" s="21" t="s">
        <v>29</v>
      </c>
      <c r="J2206" s="21" t="s">
        <v>29</v>
      </c>
      <c r="K2206" s="22" t="s">
        <v>7881</v>
      </c>
      <c r="L2206" s="56">
        <v>45086</v>
      </c>
      <c r="O2206" s="42"/>
      <c r="P2206" s="40"/>
      <c r="Q2206" s="61"/>
      <c r="R2206" s="61"/>
      <c r="S2206" s="40"/>
      <c r="T2206" s="38"/>
      <c r="U2206" s="38"/>
      <c r="V2206" s="38"/>
      <c r="W2206" s="60"/>
      <c r="AB2206" s="42"/>
      <c r="AC2206" s="35"/>
      <c r="AD2206" s="38"/>
      <c r="AE2206" s="38"/>
      <c r="AF2206" s="38"/>
      <c r="AG2206" s="38"/>
      <c r="AH2206" s="60"/>
    </row>
    <row r="2207" spans="1:34" ht="15.75" customHeight="1">
      <c r="A2207" s="87"/>
      <c r="B2207" s="34" t="s">
        <v>7882</v>
      </c>
      <c r="C2207" s="37" t="s">
        <v>24</v>
      </c>
      <c r="D2207" s="20" t="s">
        <v>7883</v>
      </c>
      <c r="E2207" s="20" t="s">
        <v>7884</v>
      </c>
      <c r="F2207" s="19" t="s">
        <v>90</v>
      </c>
      <c r="G2207" s="19" t="s">
        <v>91</v>
      </c>
      <c r="H2207" s="37"/>
      <c r="I2207" s="21" t="s">
        <v>29</v>
      </c>
      <c r="J2207" s="21" t="s">
        <v>29</v>
      </c>
      <c r="K2207" s="22" t="s">
        <v>7885</v>
      </c>
      <c r="L2207" s="56">
        <v>45086</v>
      </c>
      <c r="O2207" s="42"/>
      <c r="P2207" s="40"/>
      <c r="Q2207" s="61"/>
      <c r="R2207" s="61"/>
      <c r="S2207" s="40"/>
      <c r="T2207" s="38"/>
      <c r="U2207" s="38"/>
      <c r="V2207" s="38"/>
      <c r="W2207" s="60"/>
      <c r="AB2207" s="42"/>
      <c r="AC2207" s="35"/>
      <c r="AD2207" s="38"/>
      <c r="AE2207" s="38"/>
      <c r="AF2207" s="38"/>
      <c r="AG2207" s="38"/>
      <c r="AH2207" s="60"/>
    </row>
    <row r="2208" spans="1:34" ht="15.75" customHeight="1">
      <c r="A2208" s="35"/>
      <c r="B2208" s="18" t="s">
        <v>7886</v>
      </c>
      <c r="C2208" s="37" t="s">
        <v>87</v>
      </c>
      <c r="D2208" s="20" t="s">
        <v>7887</v>
      </c>
      <c r="E2208" s="20" t="s">
        <v>7888</v>
      </c>
      <c r="F2208" s="19" t="s">
        <v>90</v>
      </c>
      <c r="G2208" s="19" t="s">
        <v>91</v>
      </c>
      <c r="H2208" s="37"/>
      <c r="I2208" s="21" t="s">
        <v>29</v>
      </c>
      <c r="J2208" s="21" t="s">
        <v>29</v>
      </c>
      <c r="K2208" s="22" t="s">
        <v>7889</v>
      </c>
      <c r="L2208" s="56">
        <v>45086</v>
      </c>
      <c r="O2208" s="42"/>
      <c r="P2208" s="40"/>
      <c r="Q2208" s="61"/>
      <c r="R2208" s="61"/>
      <c r="S2208" s="40"/>
      <c r="T2208" s="38"/>
      <c r="U2208" s="38"/>
      <c r="V2208" s="38"/>
      <c r="W2208" s="60"/>
      <c r="AB2208" s="42"/>
      <c r="AC2208" s="35"/>
      <c r="AD2208" s="38"/>
      <c r="AE2208" s="38"/>
      <c r="AF2208" s="38"/>
      <c r="AG2208" s="38"/>
      <c r="AH2208" s="60"/>
    </row>
    <row r="2209" spans="1:34" ht="15.75" customHeight="1">
      <c r="A2209" s="35"/>
      <c r="B2209" s="18" t="s">
        <v>7890</v>
      </c>
      <c r="C2209" s="37" t="s">
        <v>87</v>
      </c>
      <c r="D2209" s="20" t="s">
        <v>7891</v>
      </c>
      <c r="E2209" s="20" t="s">
        <v>7892</v>
      </c>
      <c r="F2209" s="37" t="s">
        <v>49</v>
      </c>
      <c r="G2209" s="19" t="s">
        <v>91</v>
      </c>
      <c r="H2209" s="37"/>
      <c r="I2209" s="21" t="s">
        <v>29</v>
      </c>
      <c r="J2209" s="21" t="s">
        <v>29</v>
      </c>
      <c r="K2209" s="22" t="s">
        <v>7893</v>
      </c>
      <c r="L2209" s="56">
        <v>45086</v>
      </c>
      <c r="O2209" s="42"/>
      <c r="P2209" s="40"/>
      <c r="Q2209" s="61"/>
      <c r="R2209" s="61"/>
      <c r="S2209" s="40"/>
      <c r="T2209" s="38"/>
      <c r="U2209" s="38"/>
      <c r="V2209" s="38"/>
      <c r="W2209" s="60"/>
      <c r="AB2209" s="42"/>
      <c r="AC2209" s="35"/>
      <c r="AD2209" s="38"/>
      <c r="AE2209" s="38"/>
      <c r="AF2209" s="38"/>
      <c r="AG2209" s="38"/>
      <c r="AH2209" s="60"/>
    </row>
    <row r="2210" spans="1:34" ht="15.75" customHeight="1">
      <c r="A2210" s="35"/>
      <c r="B2210" s="18" t="s">
        <v>7894</v>
      </c>
      <c r="C2210" s="37" t="s">
        <v>46</v>
      </c>
      <c r="D2210" s="20" t="s">
        <v>7895</v>
      </c>
      <c r="E2210" s="20" t="s">
        <v>7896</v>
      </c>
      <c r="F2210" s="37" t="s">
        <v>49</v>
      </c>
      <c r="G2210" s="19" t="s">
        <v>50</v>
      </c>
      <c r="H2210" s="37"/>
      <c r="I2210" s="21" t="s">
        <v>29</v>
      </c>
      <c r="J2210" s="21" t="s">
        <v>29</v>
      </c>
      <c r="K2210" s="22" t="s">
        <v>7897</v>
      </c>
      <c r="L2210" s="56">
        <v>45086</v>
      </c>
      <c r="O2210" s="42"/>
      <c r="P2210" s="40"/>
      <c r="Q2210" s="61"/>
      <c r="R2210" s="61"/>
      <c r="S2210" s="40"/>
      <c r="T2210" s="38"/>
      <c r="U2210" s="38"/>
      <c r="V2210" s="38"/>
      <c r="W2210" s="60"/>
      <c r="AB2210" s="42"/>
      <c r="AC2210" s="35"/>
      <c r="AD2210" s="38"/>
      <c r="AE2210" s="38"/>
      <c r="AF2210" s="38"/>
      <c r="AG2210" s="38"/>
      <c r="AH2210" s="60"/>
    </row>
    <row r="2211" spans="1:34" ht="15.75" customHeight="1">
      <c r="A2211" s="35"/>
      <c r="B2211" s="18" t="s">
        <v>7898</v>
      </c>
      <c r="C2211" s="37" t="s">
        <v>87</v>
      </c>
      <c r="D2211" s="20" t="s">
        <v>7899</v>
      </c>
      <c r="E2211" s="20" t="s">
        <v>7900</v>
      </c>
      <c r="F2211" s="19" t="s">
        <v>90</v>
      </c>
      <c r="G2211" s="19" t="s">
        <v>91</v>
      </c>
      <c r="H2211" s="37"/>
      <c r="I2211" s="21" t="s">
        <v>29</v>
      </c>
      <c r="J2211" s="21" t="s">
        <v>29</v>
      </c>
      <c r="K2211" s="22" t="s">
        <v>7901</v>
      </c>
      <c r="L2211" s="56">
        <v>45086</v>
      </c>
      <c r="O2211" s="42"/>
      <c r="P2211" s="40"/>
      <c r="Q2211" s="61"/>
      <c r="R2211" s="61"/>
      <c r="S2211" s="40"/>
      <c r="T2211" s="38"/>
      <c r="U2211" s="38"/>
      <c r="V2211" s="38"/>
      <c r="W2211" s="60"/>
      <c r="AB2211" s="42"/>
      <c r="AC2211" s="35"/>
      <c r="AD2211" s="38"/>
      <c r="AE2211" s="38"/>
      <c r="AF2211" s="38"/>
      <c r="AG2211" s="38"/>
      <c r="AH2211" s="60"/>
    </row>
    <row r="2212" spans="1:34" ht="15.75" customHeight="1">
      <c r="A2212" s="35"/>
      <c r="B2212" s="34" t="s">
        <v>7902</v>
      </c>
      <c r="C2212" s="37" t="s">
        <v>87</v>
      </c>
      <c r="D2212" s="20" t="s">
        <v>7903</v>
      </c>
      <c r="E2212" s="20" t="s">
        <v>7904</v>
      </c>
      <c r="F2212" s="37" t="s">
        <v>49</v>
      </c>
      <c r="G2212" s="19" t="s">
        <v>50</v>
      </c>
      <c r="H2212" s="37"/>
      <c r="I2212" s="21" t="s">
        <v>29</v>
      </c>
      <c r="J2212" s="21" t="s">
        <v>29</v>
      </c>
      <c r="K2212" s="22" t="s">
        <v>7905</v>
      </c>
      <c r="L2212" s="56">
        <v>45086</v>
      </c>
      <c r="O2212" s="42"/>
      <c r="P2212" s="40"/>
      <c r="Q2212" s="61"/>
      <c r="R2212" s="61"/>
      <c r="S2212" s="40"/>
      <c r="T2212" s="38"/>
      <c r="U2212" s="38"/>
      <c r="V2212" s="38"/>
      <c r="W2212" s="60"/>
      <c r="AB2212" s="42"/>
      <c r="AC2212" s="35"/>
      <c r="AD2212" s="38"/>
      <c r="AE2212" s="38"/>
      <c r="AF2212" s="38"/>
      <c r="AG2212" s="38"/>
      <c r="AH2212" s="60"/>
    </row>
    <row r="2213" spans="1:34" ht="15.75" customHeight="1">
      <c r="A2213" s="35"/>
      <c r="B2213" s="18" t="s">
        <v>7906</v>
      </c>
      <c r="C2213" s="37" t="s">
        <v>24</v>
      </c>
      <c r="D2213" s="20" t="s">
        <v>7907</v>
      </c>
      <c r="E2213" s="20" t="s">
        <v>7908</v>
      </c>
      <c r="F2213" s="19" t="s">
        <v>27</v>
      </c>
      <c r="G2213" s="19" t="s">
        <v>28</v>
      </c>
      <c r="H2213" s="37" t="s">
        <v>762</v>
      </c>
      <c r="I2213" s="21" t="s">
        <v>29</v>
      </c>
      <c r="J2213" s="21" t="s">
        <v>29</v>
      </c>
      <c r="K2213" s="22" t="s">
        <v>7909</v>
      </c>
      <c r="L2213" s="56">
        <v>45086</v>
      </c>
      <c r="O2213" s="42"/>
      <c r="P2213" s="40"/>
      <c r="Q2213" s="61"/>
      <c r="R2213" s="61"/>
      <c r="S2213" s="40"/>
      <c r="T2213" s="38"/>
      <c r="U2213" s="38"/>
      <c r="V2213" s="38"/>
      <c r="W2213" s="60"/>
      <c r="AB2213" s="42"/>
      <c r="AC2213" s="35"/>
      <c r="AD2213" s="38"/>
      <c r="AE2213" s="38"/>
      <c r="AF2213" s="38"/>
      <c r="AG2213" s="38"/>
      <c r="AH2213" s="60"/>
    </row>
    <row r="2214" spans="1:34" ht="15.75" customHeight="1">
      <c r="A2214" s="35"/>
      <c r="B2214" s="36" t="s">
        <v>7910</v>
      </c>
      <c r="C2214" s="37" t="s">
        <v>121</v>
      </c>
      <c r="D2214" s="20" t="s">
        <v>7911</v>
      </c>
      <c r="E2214" s="20" t="s">
        <v>7912</v>
      </c>
      <c r="F2214" s="37" t="s">
        <v>49</v>
      </c>
      <c r="G2214" s="19" t="s">
        <v>50</v>
      </c>
      <c r="H2214" s="37"/>
      <c r="I2214" s="21" t="s">
        <v>29</v>
      </c>
      <c r="J2214" s="21" t="s">
        <v>29</v>
      </c>
      <c r="K2214" s="22" t="s">
        <v>7913</v>
      </c>
      <c r="L2214" s="56">
        <v>45086</v>
      </c>
      <c r="O2214" s="42"/>
      <c r="P2214" s="40"/>
      <c r="Q2214" s="61"/>
      <c r="R2214" s="61"/>
      <c r="S2214" s="40"/>
      <c r="T2214" s="38"/>
      <c r="U2214" s="38"/>
      <c r="V2214" s="38"/>
      <c r="W2214" s="60"/>
      <c r="AB2214" s="42"/>
      <c r="AC2214" s="35"/>
      <c r="AD2214" s="38"/>
      <c r="AE2214" s="38"/>
      <c r="AF2214" s="38"/>
      <c r="AG2214" s="38"/>
      <c r="AH2214" s="60"/>
    </row>
    <row r="2215" spans="1:34" ht="15.75" customHeight="1">
      <c r="A2215" s="35"/>
      <c r="B2215" s="18" t="s">
        <v>7914</v>
      </c>
      <c r="C2215" s="37" t="s">
        <v>87</v>
      </c>
      <c r="D2215" s="20" t="s">
        <v>7915</v>
      </c>
      <c r="E2215" s="20" t="s">
        <v>7916</v>
      </c>
      <c r="F2215" s="19" t="s">
        <v>90</v>
      </c>
      <c r="G2215" s="19" t="s">
        <v>91</v>
      </c>
      <c r="H2215" s="37"/>
      <c r="I2215" s="21" t="s">
        <v>29</v>
      </c>
      <c r="J2215" s="21" t="s">
        <v>29</v>
      </c>
      <c r="K2215" s="22" t="s">
        <v>7917</v>
      </c>
      <c r="L2215" s="56">
        <v>45086</v>
      </c>
      <c r="O2215" s="42"/>
      <c r="P2215" s="40"/>
      <c r="Q2215" s="61"/>
      <c r="R2215" s="61"/>
      <c r="S2215" s="40"/>
      <c r="T2215" s="38"/>
      <c r="U2215" s="38"/>
      <c r="V2215" s="38"/>
      <c r="W2215" s="60"/>
      <c r="AB2215" s="42"/>
      <c r="AC2215" s="35"/>
      <c r="AD2215" s="38"/>
      <c r="AE2215" s="38"/>
      <c r="AF2215" s="38"/>
      <c r="AG2215" s="38"/>
      <c r="AH2215" s="60"/>
    </row>
    <row r="2216" spans="1:34" ht="15.75" customHeight="1">
      <c r="A2216" s="35"/>
      <c r="B2216" s="18" t="s">
        <v>7918</v>
      </c>
      <c r="C2216" s="37" t="s">
        <v>1470</v>
      </c>
      <c r="D2216" s="20" t="s">
        <v>7919</v>
      </c>
      <c r="E2216" s="20" t="s">
        <v>7920</v>
      </c>
      <c r="F2216" s="19" t="s">
        <v>3286</v>
      </c>
      <c r="G2216" s="37" t="s">
        <v>1461</v>
      </c>
      <c r="H2216" s="37"/>
      <c r="I2216" s="21" t="s">
        <v>233</v>
      </c>
      <c r="J2216" s="21" t="s">
        <v>233</v>
      </c>
      <c r="K2216" s="22" t="s">
        <v>7921</v>
      </c>
      <c r="L2216" s="56">
        <v>45086</v>
      </c>
      <c r="O2216" s="42"/>
      <c r="P2216" s="40"/>
      <c r="Q2216" s="61"/>
      <c r="R2216" s="61"/>
      <c r="S2216" s="40"/>
      <c r="T2216" s="38"/>
      <c r="U2216" s="38"/>
      <c r="V2216" s="38"/>
      <c r="W2216" s="60"/>
      <c r="AB2216" s="42"/>
      <c r="AC2216" s="35"/>
      <c r="AD2216" s="38"/>
      <c r="AE2216" s="38"/>
      <c r="AF2216" s="38"/>
      <c r="AG2216" s="38"/>
      <c r="AH2216" s="60"/>
    </row>
    <row r="2217" spans="1:34" ht="15.75" customHeight="1">
      <c r="A2217" s="35"/>
      <c r="B2217" s="18" t="s">
        <v>7922</v>
      </c>
      <c r="C2217" s="37" t="s">
        <v>87</v>
      </c>
      <c r="D2217" s="20" t="s">
        <v>7923</v>
      </c>
      <c r="E2217" s="20" t="s">
        <v>7924</v>
      </c>
      <c r="F2217" s="19" t="s">
        <v>90</v>
      </c>
      <c r="G2217" s="19" t="s">
        <v>91</v>
      </c>
      <c r="H2217" s="37"/>
      <c r="I2217" s="21" t="s">
        <v>29</v>
      </c>
      <c r="J2217" s="21" t="s">
        <v>29</v>
      </c>
      <c r="K2217" s="22" t="s">
        <v>7925</v>
      </c>
      <c r="L2217" s="56">
        <v>45086</v>
      </c>
      <c r="O2217" s="42"/>
      <c r="P2217" s="40"/>
      <c r="Q2217" s="61"/>
      <c r="R2217" s="61"/>
      <c r="S2217" s="40"/>
      <c r="T2217" s="38"/>
      <c r="U2217" s="38"/>
      <c r="V2217" s="38"/>
      <c r="W2217" s="60"/>
      <c r="AB2217" s="42"/>
      <c r="AC2217" s="35"/>
      <c r="AD2217" s="38"/>
      <c r="AE2217" s="38"/>
      <c r="AF2217" s="38"/>
      <c r="AG2217" s="38"/>
      <c r="AH2217" s="60"/>
    </row>
    <row r="2218" spans="1:34" ht="15.75" customHeight="1">
      <c r="A2218" s="35"/>
      <c r="B2218" s="34" t="s">
        <v>7926</v>
      </c>
      <c r="C2218" s="37" t="s">
        <v>121</v>
      </c>
      <c r="D2218" s="20" t="s">
        <v>7927</v>
      </c>
      <c r="E2218" s="20" t="s">
        <v>7928</v>
      </c>
      <c r="F2218" s="19" t="s">
        <v>90</v>
      </c>
      <c r="G2218" s="19" t="s">
        <v>91</v>
      </c>
      <c r="H2218" s="37"/>
      <c r="I2218" s="21" t="s">
        <v>29</v>
      </c>
      <c r="J2218" s="21" t="s">
        <v>29</v>
      </c>
      <c r="K2218" s="22" t="s">
        <v>7929</v>
      </c>
      <c r="L2218" s="56">
        <v>45086</v>
      </c>
      <c r="O2218" s="42"/>
      <c r="P2218" s="40"/>
      <c r="Q2218" s="61"/>
      <c r="R2218" s="61"/>
      <c r="S2218" s="40"/>
      <c r="T2218" s="38"/>
      <c r="U2218" s="38"/>
      <c r="V2218" s="38"/>
      <c r="W2218" s="60"/>
      <c r="AB2218" s="42"/>
      <c r="AC2218" s="35"/>
      <c r="AD2218" s="38"/>
      <c r="AE2218" s="38"/>
      <c r="AF2218" s="38"/>
      <c r="AG2218" s="38"/>
      <c r="AH2218" s="60"/>
    </row>
    <row r="2219" spans="1:34" ht="15.75" customHeight="1">
      <c r="A2219" s="35"/>
      <c r="B2219" s="18" t="s">
        <v>7930</v>
      </c>
      <c r="C2219" s="37" t="s">
        <v>87</v>
      </c>
      <c r="D2219" s="20" t="s">
        <v>7931</v>
      </c>
      <c r="E2219" s="20" t="s">
        <v>7932</v>
      </c>
      <c r="F2219" s="19" t="s">
        <v>90</v>
      </c>
      <c r="G2219" s="19" t="s">
        <v>91</v>
      </c>
      <c r="H2219" s="37"/>
      <c r="I2219" s="21" t="s">
        <v>29</v>
      </c>
      <c r="J2219" s="21" t="s">
        <v>29</v>
      </c>
      <c r="K2219" s="22" t="s">
        <v>7933</v>
      </c>
      <c r="L2219" s="56">
        <v>45086</v>
      </c>
      <c r="O2219" s="42"/>
      <c r="P2219" s="40"/>
      <c r="Q2219" s="61"/>
      <c r="R2219" s="61"/>
      <c r="S2219" s="40"/>
      <c r="T2219" s="38"/>
      <c r="U2219" s="38"/>
      <c r="V2219" s="38"/>
      <c r="W2219" s="60"/>
      <c r="AB2219" s="42"/>
      <c r="AC2219" s="35"/>
      <c r="AD2219" s="38"/>
      <c r="AE2219" s="38"/>
      <c r="AF2219" s="38"/>
      <c r="AG2219" s="38"/>
      <c r="AH2219" s="60"/>
    </row>
    <row r="2220" spans="1:34" ht="15.75" customHeight="1">
      <c r="A2220" s="35"/>
      <c r="B2220" s="29" t="s">
        <v>7934</v>
      </c>
      <c r="C2220" s="37" t="s">
        <v>46</v>
      </c>
      <c r="D2220" s="20" t="s">
        <v>7935</v>
      </c>
      <c r="E2220" s="20" t="s">
        <v>7936</v>
      </c>
      <c r="F2220" s="37" t="s">
        <v>286</v>
      </c>
      <c r="G2220" s="19" t="s">
        <v>50</v>
      </c>
      <c r="H2220" s="37"/>
      <c r="I2220" s="21" t="s">
        <v>286</v>
      </c>
      <c r="J2220" s="21" t="s">
        <v>29</v>
      </c>
      <c r="K2220" s="22" t="s">
        <v>7937</v>
      </c>
      <c r="L2220" s="56"/>
      <c r="O2220" s="42"/>
      <c r="P2220" s="40"/>
      <c r="Q2220" s="61"/>
      <c r="R2220" s="61"/>
      <c r="S2220" s="40"/>
      <c r="T2220" s="38"/>
      <c r="U2220" s="38"/>
      <c r="V2220" s="38"/>
      <c r="W2220" s="60"/>
      <c r="AB2220" s="42"/>
      <c r="AC2220" s="35"/>
      <c r="AD2220" s="38"/>
      <c r="AE2220" s="38"/>
      <c r="AF2220" s="38"/>
      <c r="AG2220" s="38"/>
      <c r="AH2220" s="60"/>
    </row>
    <row r="2221" spans="1:34" ht="15.75" customHeight="1">
      <c r="A2221" s="35"/>
      <c r="B2221" s="18" t="s">
        <v>7938</v>
      </c>
      <c r="C2221" s="37" t="s">
        <v>24</v>
      </c>
      <c r="D2221" s="20" t="s">
        <v>7939</v>
      </c>
      <c r="E2221" s="20" t="s">
        <v>7940</v>
      </c>
      <c r="F2221" s="19" t="s">
        <v>27</v>
      </c>
      <c r="G2221" s="19" t="s">
        <v>28</v>
      </c>
      <c r="H2221" s="37"/>
      <c r="I2221" s="21" t="s">
        <v>29</v>
      </c>
      <c r="J2221" s="21" t="s">
        <v>29</v>
      </c>
      <c r="K2221" s="22" t="s">
        <v>7941</v>
      </c>
      <c r="L2221" s="56">
        <v>45086</v>
      </c>
      <c r="O2221" s="42"/>
      <c r="P2221" s="40"/>
      <c r="Q2221" s="61"/>
      <c r="R2221" s="61"/>
      <c r="S2221" s="40"/>
      <c r="T2221" s="38"/>
      <c r="U2221" s="38"/>
      <c r="V2221" s="38"/>
      <c r="W2221" s="60"/>
      <c r="AB2221" s="42"/>
      <c r="AC2221" s="35"/>
      <c r="AD2221" s="38"/>
      <c r="AE2221" s="38"/>
      <c r="AF2221" s="38"/>
      <c r="AG2221" s="38"/>
      <c r="AH2221" s="60"/>
    </row>
    <row r="2222" spans="1:34" ht="15.75" customHeight="1">
      <c r="A2222" s="35"/>
      <c r="B2222" s="18" t="s">
        <v>7942</v>
      </c>
      <c r="C2222" s="37" t="s">
        <v>24</v>
      </c>
      <c r="D2222" s="20" t="s">
        <v>7943</v>
      </c>
      <c r="E2222" s="20" t="s">
        <v>7944</v>
      </c>
      <c r="F2222" s="19" t="s">
        <v>27</v>
      </c>
      <c r="G2222" s="19" t="s">
        <v>28</v>
      </c>
      <c r="H2222" s="37"/>
      <c r="I2222" s="21" t="s">
        <v>29</v>
      </c>
      <c r="J2222" s="21" t="s">
        <v>29</v>
      </c>
      <c r="K2222" s="22" t="s">
        <v>7945</v>
      </c>
      <c r="L2222" s="56">
        <v>45086</v>
      </c>
      <c r="O2222" s="42"/>
      <c r="P2222" s="40"/>
      <c r="Q2222" s="61"/>
      <c r="R2222" s="61"/>
      <c r="S2222" s="40"/>
      <c r="T2222" s="38"/>
      <c r="U2222" s="38"/>
      <c r="V2222" s="38"/>
      <c r="W2222" s="60"/>
      <c r="AB2222" s="42"/>
      <c r="AC2222" s="35"/>
      <c r="AD2222" s="38"/>
      <c r="AE2222" s="38"/>
      <c r="AF2222" s="38"/>
      <c r="AG2222" s="38"/>
      <c r="AH2222" s="60"/>
    </row>
    <row r="2223" spans="1:34" ht="15.75" customHeight="1">
      <c r="A2223" s="35"/>
      <c r="B2223" s="18" t="s">
        <v>7946</v>
      </c>
      <c r="C2223" s="37" t="s">
        <v>1470</v>
      </c>
      <c r="D2223" s="20" t="s">
        <v>7947</v>
      </c>
      <c r="E2223" s="20" t="s">
        <v>7948</v>
      </c>
      <c r="F2223" s="19" t="s">
        <v>3286</v>
      </c>
      <c r="G2223" s="19" t="s">
        <v>1461</v>
      </c>
      <c r="H2223" s="37"/>
      <c r="I2223" s="21" t="s">
        <v>233</v>
      </c>
      <c r="J2223" s="21" t="s">
        <v>233</v>
      </c>
      <c r="K2223" s="22" t="s">
        <v>7949</v>
      </c>
      <c r="L2223" s="56">
        <v>45086</v>
      </c>
      <c r="O2223" s="42"/>
      <c r="P2223" s="40"/>
      <c r="Q2223" s="61"/>
      <c r="R2223" s="61"/>
      <c r="S2223" s="40"/>
      <c r="T2223" s="38"/>
      <c r="U2223" s="38"/>
      <c r="V2223" s="38"/>
      <c r="W2223" s="60"/>
      <c r="AB2223" s="42"/>
      <c r="AC2223" s="35"/>
      <c r="AD2223" s="38"/>
      <c r="AE2223" s="38"/>
      <c r="AF2223" s="38"/>
      <c r="AG2223" s="38"/>
      <c r="AH2223" s="60"/>
    </row>
    <row r="2224" spans="1:34" ht="15.75" customHeight="1">
      <c r="A2224" s="35"/>
      <c r="B2224" s="18" t="s">
        <v>7950</v>
      </c>
      <c r="C2224" s="37" t="s">
        <v>87</v>
      </c>
      <c r="D2224" s="20" t="s">
        <v>7951</v>
      </c>
      <c r="E2224" s="20" t="s">
        <v>7952</v>
      </c>
      <c r="F2224" s="19" t="s">
        <v>90</v>
      </c>
      <c r="G2224" s="19" t="s">
        <v>91</v>
      </c>
      <c r="H2224" s="37"/>
      <c r="I2224" s="21" t="s">
        <v>29</v>
      </c>
      <c r="J2224" s="21" t="s">
        <v>29</v>
      </c>
      <c r="K2224" s="22" t="s">
        <v>7953</v>
      </c>
      <c r="L2224" s="56">
        <v>45086</v>
      </c>
      <c r="O2224" s="42"/>
      <c r="P2224" s="40"/>
      <c r="Q2224" s="61"/>
      <c r="R2224" s="61"/>
      <c r="S2224" s="40"/>
      <c r="T2224" s="38"/>
      <c r="U2224" s="38"/>
      <c r="V2224" s="38"/>
      <c r="W2224" s="60"/>
      <c r="AB2224" s="42"/>
      <c r="AC2224" s="35"/>
      <c r="AD2224" s="38"/>
      <c r="AE2224" s="38"/>
      <c r="AF2224" s="38"/>
      <c r="AG2224" s="38"/>
      <c r="AH2224" s="60"/>
    </row>
    <row r="2225" spans="1:34" ht="15.75" customHeight="1">
      <c r="A2225" s="35"/>
      <c r="B2225" s="18" t="s">
        <v>7954</v>
      </c>
      <c r="C2225" s="37" t="s">
        <v>46</v>
      </c>
      <c r="D2225" s="20" t="s">
        <v>7955</v>
      </c>
      <c r="E2225" s="20" t="s">
        <v>7956</v>
      </c>
      <c r="F2225" s="37" t="s">
        <v>49</v>
      </c>
      <c r="G2225" s="19" t="s">
        <v>50</v>
      </c>
      <c r="H2225" s="19" t="s">
        <v>36</v>
      </c>
      <c r="I2225" s="21" t="s">
        <v>29</v>
      </c>
      <c r="J2225" s="21" t="s">
        <v>29</v>
      </c>
      <c r="K2225" s="22" t="s">
        <v>7957</v>
      </c>
      <c r="L2225" s="56">
        <v>45086</v>
      </c>
      <c r="O2225" s="42"/>
      <c r="P2225" s="40"/>
      <c r="Q2225" s="61"/>
      <c r="R2225" s="61"/>
      <c r="S2225" s="40"/>
      <c r="T2225" s="38"/>
      <c r="U2225" s="38"/>
      <c r="V2225" s="38"/>
      <c r="W2225" s="60"/>
      <c r="AB2225" s="42"/>
      <c r="AC2225" s="35"/>
      <c r="AD2225" s="38"/>
      <c r="AE2225" s="38"/>
      <c r="AF2225" s="38"/>
      <c r="AG2225" s="38"/>
      <c r="AH2225" s="60"/>
    </row>
    <row r="2226" spans="1:34" ht="15.75" customHeight="1">
      <c r="A2226" s="35"/>
      <c r="B2226" s="18" t="s">
        <v>7958</v>
      </c>
      <c r="C2226" s="37" t="s">
        <v>87</v>
      </c>
      <c r="D2226" s="20" t="s">
        <v>7959</v>
      </c>
      <c r="E2226" s="20" t="s">
        <v>7960</v>
      </c>
      <c r="F2226" s="19" t="s">
        <v>90</v>
      </c>
      <c r="G2226" s="19" t="s">
        <v>91</v>
      </c>
      <c r="H2226" s="37"/>
      <c r="I2226" s="21" t="s">
        <v>29</v>
      </c>
      <c r="J2226" s="21" t="s">
        <v>29</v>
      </c>
      <c r="K2226" s="22" t="s">
        <v>7961</v>
      </c>
      <c r="L2226" s="56">
        <v>45086</v>
      </c>
      <c r="O2226" s="42"/>
      <c r="P2226" s="40"/>
      <c r="Q2226" s="61"/>
      <c r="R2226" s="61"/>
      <c r="S2226" s="40"/>
      <c r="T2226" s="38"/>
      <c r="U2226" s="38"/>
      <c r="V2226" s="38"/>
      <c r="W2226" s="60"/>
      <c r="AB2226" s="42"/>
      <c r="AC2226" s="35"/>
      <c r="AD2226" s="38"/>
      <c r="AE2226" s="38"/>
      <c r="AF2226" s="38"/>
      <c r="AG2226" s="38"/>
      <c r="AH2226" s="60"/>
    </row>
    <row r="2227" spans="1:34" ht="15.75" customHeight="1">
      <c r="A2227" s="35"/>
      <c r="B2227" s="18" t="s">
        <v>7962</v>
      </c>
      <c r="C2227" s="37" t="s">
        <v>1470</v>
      </c>
      <c r="D2227" s="20" t="s">
        <v>7963</v>
      </c>
      <c r="E2227" s="20" t="s">
        <v>7964</v>
      </c>
      <c r="F2227" s="19" t="s">
        <v>3286</v>
      </c>
      <c r="G2227" s="37" t="s">
        <v>1461</v>
      </c>
      <c r="H2227" s="37"/>
      <c r="I2227" s="21" t="s">
        <v>233</v>
      </c>
      <c r="J2227" s="21" t="s">
        <v>233</v>
      </c>
      <c r="K2227" s="22" t="s">
        <v>7965</v>
      </c>
      <c r="L2227" s="56">
        <v>45086</v>
      </c>
      <c r="O2227" s="42"/>
      <c r="P2227" s="40"/>
      <c r="Q2227" s="61"/>
      <c r="R2227" s="61"/>
      <c r="S2227" s="40"/>
      <c r="T2227" s="38"/>
      <c r="U2227" s="38"/>
      <c r="V2227" s="38"/>
      <c r="W2227" s="60"/>
      <c r="AB2227" s="42"/>
      <c r="AC2227" s="35"/>
      <c r="AD2227" s="38"/>
      <c r="AE2227" s="38"/>
      <c r="AF2227" s="38"/>
      <c r="AG2227" s="38"/>
      <c r="AH2227" s="60"/>
    </row>
    <row r="2228" spans="1:34" ht="15.75" customHeight="1">
      <c r="A2228" s="35"/>
      <c r="B2228" s="18" t="s">
        <v>7966</v>
      </c>
      <c r="C2228" s="37" t="s">
        <v>87</v>
      </c>
      <c r="D2228" s="20" t="s">
        <v>7967</v>
      </c>
      <c r="E2228" s="20" t="s">
        <v>7968</v>
      </c>
      <c r="F2228" s="19" t="s">
        <v>90</v>
      </c>
      <c r="G2228" s="19" t="s">
        <v>91</v>
      </c>
      <c r="H2228" s="37"/>
      <c r="I2228" s="21" t="s">
        <v>29</v>
      </c>
      <c r="J2228" s="21" t="s">
        <v>29</v>
      </c>
      <c r="K2228" s="22" t="s">
        <v>7969</v>
      </c>
      <c r="L2228" s="56">
        <v>45086</v>
      </c>
      <c r="O2228" s="42"/>
      <c r="P2228" s="40"/>
      <c r="Q2228" s="61"/>
      <c r="R2228" s="61"/>
      <c r="S2228" s="40"/>
      <c r="T2228" s="38"/>
      <c r="U2228" s="38"/>
      <c r="V2228" s="38"/>
      <c r="W2228" s="60"/>
      <c r="AB2228" s="42"/>
      <c r="AC2228" s="35"/>
      <c r="AD2228" s="38"/>
      <c r="AE2228" s="38"/>
      <c r="AF2228" s="38"/>
      <c r="AG2228" s="38"/>
      <c r="AH2228" s="60"/>
    </row>
    <row r="2229" spans="1:34" ht="15.75" customHeight="1">
      <c r="A2229" s="35"/>
      <c r="B2229" s="29" t="s">
        <v>7970</v>
      </c>
      <c r="C2229" s="37" t="s">
        <v>46</v>
      </c>
      <c r="D2229" s="20" t="s">
        <v>7971</v>
      </c>
      <c r="E2229" s="20" t="s">
        <v>7972</v>
      </c>
      <c r="F2229" s="37" t="s">
        <v>286</v>
      </c>
      <c r="G2229" s="19" t="s">
        <v>50</v>
      </c>
      <c r="H2229" s="37"/>
      <c r="I2229" s="21" t="s">
        <v>286</v>
      </c>
      <c r="J2229" s="21" t="s">
        <v>29</v>
      </c>
      <c r="K2229" s="22" t="s">
        <v>7973</v>
      </c>
      <c r="L2229" s="56"/>
      <c r="O2229" s="42"/>
      <c r="P2229" s="40"/>
      <c r="Q2229" s="61"/>
      <c r="R2229" s="61"/>
      <c r="S2229" s="40"/>
      <c r="T2229" s="38"/>
      <c r="U2229" s="38"/>
      <c r="V2229" s="38"/>
      <c r="W2229" s="60"/>
      <c r="AB2229" s="42"/>
      <c r="AC2229" s="35"/>
      <c r="AD2229" s="38"/>
      <c r="AE2229" s="38"/>
      <c r="AF2229" s="38"/>
      <c r="AG2229" s="38"/>
      <c r="AH2229" s="60"/>
    </row>
    <row r="2230" spans="1:34" ht="15.75" customHeight="1">
      <c r="A2230" s="35"/>
      <c r="B2230" s="34" t="s">
        <v>7974</v>
      </c>
      <c r="C2230" s="37" t="s">
        <v>24</v>
      </c>
      <c r="D2230" s="20" t="s">
        <v>7975</v>
      </c>
      <c r="E2230" s="20" t="s">
        <v>7976</v>
      </c>
      <c r="F2230" s="19" t="s">
        <v>90</v>
      </c>
      <c r="G2230" s="19" t="s">
        <v>91</v>
      </c>
      <c r="H2230" s="37"/>
      <c r="I2230" s="21" t="s">
        <v>29</v>
      </c>
      <c r="J2230" s="21" t="s">
        <v>29</v>
      </c>
      <c r="K2230" s="22" t="s">
        <v>7977</v>
      </c>
      <c r="L2230" s="56">
        <v>45086</v>
      </c>
      <c r="O2230" s="42"/>
      <c r="P2230" s="40"/>
      <c r="Q2230" s="61"/>
      <c r="R2230" s="61"/>
      <c r="S2230" s="40"/>
      <c r="T2230" s="38"/>
      <c r="U2230" s="38"/>
      <c r="V2230" s="38"/>
      <c r="W2230" s="60"/>
      <c r="AB2230" s="42"/>
      <c r="AC2230" s="35"/>
      <c r="AD2230" s="38"/>
      <c r="AE2230" s="38"/>
      <c r="AF2230" s="38"/>
      <c r="AG2230" s="38"/>
      <c r="AH2230" s="60"/>
    </row>
    <row r="2231" spans="1:34" ht="15.75" customHeight="1">
      <c r="A2231" s="35"/>
      <c r="B2231" s="18" t="s">
        <v>7978</v>
      </c>
      <c r="C2231" s="37" t="s">
        <v>24</v>
      </c>
      <c r="D2231" s="20" t="s">
        <v>7979</v>
      </c>
      <c r="E2231" s="20" t="s">
        <v>7980</v>
      </c>
      <c r="F2231" s="19" t="s">
        <v>27</v>
      </c>
      <c r="G2231" s="19" t="s">
        <v>28</v>
      </c>
      <c r="H2231" s="37"/>
      <c r="I2231" s="21" t="s">
        <v>29</v>
      </c>
      <c r="J2231" s="21" t="s">
        <v>29</v>
      </c>
      <c r="K2231" s="22" t="s">
        <v>7981</v>
      </c>
      <c r="L2231" s="56">
        <v>45086</v>
      </c>
      <c r="O2231" s="42"/>
      <c r="P2231" s="40"/>
      <c r="Q2231" s="61"/>
      <c r="R2231" s="61"/>
      <c r="S2231" s="40"/>
      <c r="T2231" s="38"/>
      <c r="U2231" s="38"/>
      <c r="V2231" s="38"/>
      <c r="W2231" s="60"/>
      <c r="AB2231" s="42"/>
      <c r="AC2231" s="35"/>
      <c r="AD2231" s="38"/>
      <c r="AE2231" s="38"/>
      <c r="AF2231" s="38"/>
      <c r="AG2231" s="38"/>
      <c r="AH2231" s="60"/>
    </row>
    <row r="2232" spans="1:34" ht="15.75" customHeight="1">
      <c r="A2232" s="35"/>
      <c r="B2232" s="18" t="s">
        <v>7982</v>
      </c>
      <c r="C2232" s="37" t="s">
        <v>46</v>
      </c>
      <c r="D2232" s="20" t="s">
        <v>7983</v>
      </c>
      <c r="E2232" s="20" t="s">
        <v>7984</v>
      </c>
      <c r="F2232" s="37" t="s">
        <v>49</v>
      </c>
      <c r="G2232" s="19" t="s">
        <v>50</v>
      </c>
      <c r="H2232" s="37"/>
      <c r="I2232" s="21" t="s">
        <v>29</v>
      </c>
      <c r="J2232" s="21" t="s">
        <v>29</v>
      </c>
      <c r="K2232" s="22" t="s">
        <v>7985</v>
      </c>
      <c r="L2232" s="56">
        <v>45086</v>
      </c>
      <c r="O2232" s="42"/>
      <c r="P2232" s="40"/>
      <c r="Q2232" s="61"/>
      <c r="R2232" s="61"/>
      <c r="S2232" s="40"/>
      <c r="T2232" s="38"/>
      <c r="U2232" s="38"/>
      <c r="V2232" s="38"/>
      <c r="W2232" s="60"/>
      <c r="AB2232" s="42"/>
      <c r="AC2232" s="35"/>
      <c r="AD2232" s="38"/>
      <c r="AE2232" s="38"/>
      <c r="AF2232" s="38"/>
      <c r="AG2232" s="38"/>
      <c r="AH2232" s="60"/>
    </row>
    <row r="2233" spans="1:34" ht="15.75" customHeight="1">
      <c r="A2233" s="35"/>
      <c r="B2233" s="18" t="s">
        <v>7986</v>
      </c>
      <c r="C2233" s="37" t="s">
        <v>228</v>
      </c>
      <c r="D2233" s="20" t="s">
        <v>7987</v>
      </c>
      <c r="E2233" s="20" t="s">
        <v>7988</v>
      </c>
      <c r="F2233" s="19" t="s">
        <v>231</v>
      </c>
      <c r="G2233" s="19" t="s">
        <v>232</v>
      </c>
      <c r="H2233" s="37"/>
      <c r="I2233" s="21" t="s">
        <v>233</v>
      </c>
      <c r="J2233" s="21" t="s">
        <v>233</v>
      </c>
      <c r="K2233" s="22" t="s">
        <v>7989</v>
      </c>
      <c r="L2233" s="56">
        <v>45086</v>
      </c>
      <c r="O2233" s="42"/>
      <c r="P2233" s="40"/>
      <c r="Q2233" s="61"/>
      <c r="R2233" s="61"/>
      <c r="S2233" s="40"/>
      <c r="T2233" s="38"/>
      <c r="U2233" s="38"/>
      <c r="V2233" s="38"/>
      <c r="W2233" s="60"/>
      <c r="AB2233" s="42"/>
      <c r="AC2233" s="35"/>
      <c r="AD2233" s="38"/>
      <c r="AE2233" s="38"/>
      <c r="AF2233" s="38"/>
      <c r="AG2233" s="38"/>
      <c r="AH2233" s="60"/>
    </row>
    <row r="2234" spans="1:34" ht="15.75" customHeight="1">
      <c r="A2234" s="35"/>
      <c r="B2234" s="18" t="s">
        <v>7990</v>
      </c>
      <c r="C2234" s="37" t="s">
        <v>24</v>
      </c>
      <c r="D2234" s="20" t="s">
        <v>7991</v>
      </c>
      <c r="E2234" s="20" t="s">
        <v>7992</v>
      </c>
      <c r="F2234" s="19" t="s">
        <v>27</v>
      </c>
      <c r="G2234" s="19" t="s">
        <v>28</v>
      </c>
      <c r="H2234" s="19" t="s">
        <v>36</v>
      </c>
      <c r="I2234" s="21" t="s">
        <v>29</v>
      </c>
      <c r="J2234" s="21" t="s">
        <v>29</v>
      </c>
      <c r="K2234" s="22" t="s">
        <v>7993</v>
      </c>
      <c r="L2234" s="56">
        <v>45086</v>
      </c>
      <c r="O2234" s="42"/>
      <c r="P2234" s="40"/>
      <c r="Q2234" s="61"/>
      <c r="R2234" s="61"/>
      <c r="S2234" s="40"/>
      <c r="T2234" s="38"/>
      <c r="U2234" s="38"/>
      <c r="V2234" s="38"/>
      <c r="W2234" s="60"/>
      <c r="AB2234" s="42"/>
      <c r="AC2234" s="35"/>
      <c r="AD2234" s="38"/>
      <c r="AE2234" s="38"/>
      <c r="AF2234" s="38"/>
      <c r="AG2234" s="38"/>
      <c r="AH2234" s="60"/>
    </row>
    <row r="2235" spans="1:34" ht="15.75" customHeight="1">
      <c r="A2235" s="35"/>
      <c r="B2235" s="36" t="s">
        <v>7994</v>
      </c>
      <c r="C2235" s="19" t="s">
        <v>121</v>
      </c>
      <c r="D2235" s="20" t="s">
        <v>7995</v>
      </c>
      <c r="E2235" s="20" t="s">
        <v>7996</v>
      </c>
      <c r="F2235" s="19" t="s">
        <v>90</v>
      </c>
      <c r="G2235" s="37" t="s">
        <v>452</v>
      </c>
      <c r="H2235" s="37"/>
      <c r="I2235" s="21" t="s">
        <v>29</v>
      </c>
      <c r="J2235" s="21" t="s">
        <v>452</v>
      </c>
      <c r="K2235" s="22" t="s">
        <v>7997</v>
      </c>
      <c r="L2235" s="56">
        <v>45086</v>
      </c>
      <c r="O2235" s="42"/>
      <c r="P2235" s="40"/>
      <c r="Q2235" s="61"/>
      <c r="R2235" s="61"/>
      <c r="S2235" s="40"/>
      <c r="T2235" s="38"/>
      <c r="U2235" s="38"/>
      <c r="V2235" s="38"/>
      <c r="W2235" s="60"/>
      <c r="AB2235" s="42"/>
      <c r="AC2235" s="35"/>
      <c r="AD2235" s="38"/>
      <c r="AE2235" s="38"/>
      <c r="AF2235" s="38"/>
      <c r="AG2235" s="38"/>
      <c r="AH2235" s="60"/>
    </row>
    <row r="2236" spans="1:34" ht="15.75" customHeight="1">
      <c r="A2236" s="35"/>
      <c r="B2236" s="18" t="s">
        <v>7998</v>
      </c>
      <c r="C2236" s="37" t="s">
        <v>24</v>
      </c>
      <c r="D2236" s="20" t="s">
        <v>7999</v>
      </c>
      <c r="E2236" s="20" t="s">
        <v>8000</v>
      </c>
      <c r="F2236" s="19" t="s">
        <v>27</v>
      </c>
      <c r="G2236" s="19" t="s">
        <v>28</v>
      </c>
      <c r="H2236" s="37"/>
      <c r="I2236" s="21" t="s">
        <v>29</v>
      </c>
      <c r="J2236" s="21" t="s">
        <v>29</v>
      </c>
      <c r="K2236" s="22" t="s">
        <v>8001</v>
      </c>
      <c r="L2236" s="56">
        <v>45086</v>
      </c>
      <c r="O2236" s="42"/>
      <c r="P2236" s="40"/>
      <c r="Q2236" s="61"/>
      <c r="R2236" s="61"/>
      <c r="S2236" s="40"/>
      <c r="T2236" s="38"/>
      <c r="U2236" s="38"/>
      <c r="V2236" s="38"/>
      <c r="W2236" s="60"/>
      <c r="AB2236" s="42"/>
      <c r="AC2236" s="35"/>
      <c r="AD2236" s="38"/>
      <c r="AE2236" s="38"/>
      <c r="AF2236" s="38"/>
      <c r="AG2236" s="38"/>
      <c r="AH2236" s="60"/>
    </row>
    <row r="2237" spans="1:34" ht="15.75" customHeight="1">
      <c r="A2237" s="35"/>
      <c r="B2237" s="18" t="s">
        <v>8002</v>
      </c>
      <c r="C2237" s="37" t="s">
        <v>24</v>
      </c>
      <c r="D2237" s="20" t="s">
        <v>8003</v>
      </c>
      <c r="E2237" s="20" t="s">
        <v>8004</v>
      </c>
      <c r="F2237" s="19" t="s">
        <v>27</v>
      </c>
      <c r="G2237" s="19" t="s">
        <v>28</v>
      </c>
      <c r="H2237" s="37"/>
      <c r="I2237" s="21" t="s">
        <v>29</v>
      </c>
      <c r="J2237" s="21" t="s">
        <v>29</v>
      </c>
      <c r="K2237" s="22" t="s">
        <v>8005</v>
      </c>
      <c r="L2237" s="56">
        <v>45086</v>
      </c>
      <c r="O2237" s="42"/>
      <c r="P2237" s="40"/>
      <c r="Q2237" s="61"/>
      <c r="R2237" s="61"/>
      <c r="S2237" s="40"/>
      <c r="T2237" s="38"/>
      <c r="U2237" s="38"/>
      <c r="V2237" s="38"/>
      <c r="W2237" s="60"/>
      <c r="AB2237" s="42"/>
      <c r="AC2237" s="35"/>
      <c r="AD2237" s="38"/>
      <c r="AE2237" s="38"/>
      <c r="AF2237" s="38"/>
      <c r="AG2237" s="38"/>
      <c r="AH2237" s="60"/>
    </row>
    <row r="2238" spans="1:34" ht="15.75" customHeight="1">
      <c r="A2238" s="35"/>
      <c r="B2238" s="18" t="s">
        <v>8006</v>
      </c>
      <c r="C2238" s="37" t="s">
        <v>24</v>
      </c>
      <c r="D2238" s="20" t="s">
        <v>8007</v>
      </c>
      <c r="E2238" s="20" t="s">
        <v>8008</v>
      </c>
      <c r="F2238" s="19" t="s">
        <v>27</v>
      </c>
      <c r="G2238" s="19" t="s">
        <v>28</v>
      </c>
      <c r="H2238" s="37" t="s">
        <v>762</v>
      </c>
      <c r="I2238" s="21" t="s">
        <v>29</v>
      </c>
      <c r="J2238" s="21" t="s">
        <v>29</v>
      </c>
      <c r="K2238" s="22" t="s">
        <v>8009</v>
      </c>
      <c r="L2238" s="56">
        <v>45086</v>
      </c>
      <c r="O2238" s="42"/>
      <c r="P2238" s="40"/>
      <c r="Q2238" s="61"/>
      <c r="R2238" s="61"/>
      <c r="S2238" s="40"/>
      <c r="T2238" s="38"/>
      <c r="U2238" s="38"/>
      <c r="V2238" s="38"/>
      <c r="W2238" s="60"/>
      <c r="AB2238" s="42"/>
      <c r="AC2238" s="35"/>
      <c r="AD2238" s="38"/>
      <c r="AE2238" s="38"/>
      <c r="AF2238" s="38"/>
      <c r="AG2238" s="38"/>
      <c r="AH2238" s="60"/>
    </row>
    <row r="2239" spans="1:34" ht="15.75" customHeight="1">
      <c r="A2239" s="35"/>
      <c r="B2239" s="18" t="s">
        <v>8010</v>
      </c>
      <c r="C2239" s="37" t="s">
        <v>24</v>
      </c>
      <c r="D2239" s="20" t="s">
        <v>8011</v>
      </c>
      <c r="E2239" s="20" t="s">
        <v>8012</v>
      </c>
      <c r="F2239" s="19" t="s">
        <v>27</v>
      </c>
      <c r="G2239" s="19" t="s">
        <v>28</v>
      </c>
      <c r="H2239" s="37"/>
      <c r="I2239" s="21" t="s">
        <v>29</v>
      </c>
      <c r="J2239" s="21" t="s">
        <v>29</v>
      </c>
      <c r="K2239" s="22" t="s">
        <v>8013</v>
      </c>
      <c r="L2239" s="56">
        <v>45086</v>
      </c>
      <c r="O2239" s="42"/>
      <c r="P2239" s="40"/>
      <c r="Q2239" s="61"/>
      <c r="R2239" s="61"/>
      <c r="S2239" s="40"/>
      <c r="T2239" s="38"/>
      <c r="U2239" s="38"/>
      <c r="V2239" s="38"/>
      <c r="W2239" s="60"/>
      <c r="AB2239" s="42"/>
      <c r="AC2239" s="35"/>
      <c r="AD2239" s="38"/>
      <c r="AE2239" s="38"/>
      <c r="AF2239" s="38"/>
      <c r="AG2239" s="38"/>
      <c r="AH2239" s="60"/>
    </row>
    <row r="2240" spans="1:34" ht="15.75" customHeight="1">
      <c r="A2240" s="35"/>
      <c r="B2240" s="18" t="s">
        <v>8014</v>
      </c>
      <c r="C2240" s="37" t="s">
        <v>24</v>
      </c>
      <c r="D2240" s="20" t="s">
        <v>8015</v>
      </c>
      <c r="E2240" s="20" t="s">
        <v>8016</v>
      </c>
      <c r="F2240" s="19" t="s">
        <v>27</v>
      </c>
      <c r="G2240" s="19" t="s">
        <v>28</v>
      </c>
      <c r="H2240" s="37"/>
      <c r="I2240" s="21" t="s">
        <v>29</v>
      </c>
      <c r="J2240" s="21" t="s">
        <v>29</v>
      </c>
      <c r="K2240" s="22" t="s">
        <v>8017</v>
      </c>
      <c r="L2240" s="56">
        <v>45086</v>
      </c>
      <c r="O2240" s="42"/>
      <c r="P2240" s="40"/>
      <c r="Q2240" s="61"/>
      <c r="R2240" s="61"/>
      <c r="S2240" s="40"/>
      <c r="T2240" s="38"/>
      <c r="U2240" s="38"/>
      <c r="V2240" s="38"/>
      <c r="W2240" s="60"/>
      <c r="AB2240" s="42"/>
      <c r="AC2240" s="35"/>
      <c r="AD2240" s="38"/>
      <c r="AE2240" s="38"/>
      <c r="AF2240" s="38"/>
      <c r="AG2240" s="38"/>
      <c r="AH2240" s="60"/>
    </row>
    <row r="2241" spans="1:34" ht="15.75" customHeight="1">
      <c r="A2241" s="35"/>
      <c r="B2241" s="18" t="s">
        <v>8018</v>
      </c>
      <c r="C2241" s="37" t="s">
        <v>46</v>
      </c>
      <c r="D2241" s="20" t="s">
        <v>8019</v>
      </c>
      <c r="E2241" s="20" t="s">
        <v>8020</v>
      </c>
      <c r="F2241" s="37" t="s">
        <v>49</v>
      </c>
      <c r="G2241" s="19" t="s">
        <v>50</v>
      </c>
      <c r="H2241" s="37"/>
      <c r="I2241" s="21" t="s">
        <v>29</v>
      </c>
      <c r="J2241" s="21" t="s">
        <v>29</v>
      </c>
      <c r="K2241" s="22" t="s">
        <v>8021</v>
      </c>
      <c r="L2241" s="56">
        <v>45086</v>
      </c>
      <c r="O2241" s="42"/>
      <c r="P2241" s="40"/>
      <c r="Q2241" s="61"/>
      <c r="R2241" s="61"/>
      <c r="S2241" s="40"/>
      <c r="T2241" s="38"/>
      <c r="U2241" s="38"/>
      <c r="V2241" s="38"/>
      <c r="W2241" s="60"/>
      <c r="AB2241" s="42"/>
      <c r="AC2241" s="35"/>
      <c r="AD2241" s="38"/>
      <c r="AE2241" s="38"/>
      <c r="AF2241" s="38"/>
      <c r="AG2241" s="38"/>
      <c r="AH2241" s="60"/>
    </row>
    <row r="2242" spans="1:34" ht="15.75" customHeight="1">
      <c r="A2242" s="35"/>
      <c r="B2242" s="18" t="s">
        <v>8022</v>
      </c>
      <c r="C2242" s="37" t="s">
        <v>1470</v>
      </c>
      <c r="D2242" s="20" t="s">
        <v>8023</v>
      </c>
      <c r="E2242" s="20"/>
      <c r="F2242" s="19" t="s">
        <v>3286</v>
      </c>
      <c r="G2242" s="19" t="s">
        <v>1461</v>
      </c>
      <c r="H2242" s="37"/>
      <c r="I2242" s="21" t="s">
        <v>233</v>
      </c>
      <c r="J2242" s="21" t="s">
        <v>233</v>
      </c>
      <c r="K2242" s="22"/>
      <c r="L2242" s="56">
        <v>45086</v>
      </c>
      <c r="O2242" s="42"/>
      <c r="P2242" s="40"/>
      <c r="Q2242" s="61"/>
      <c r="R2242" s="61"/>
      <c r="S2242" s="40"/>
      <c r="T2242" s="38"/>
      <c r="U2242" s="38"/>
      <c r="V2242" s="38"/>
      <c r="W2242" s="60"/>
      <c r="AB2242" s="42"/>
      <c r="AC2242" s="35"/>
      <c r="AD2242" s="38"/>
      <c r="AE2242" s="38"/>
      <c r="AF2242" s="38"/>
      <c r="AG2242" s="38"/>
      <c r="AH2242" s="60"/>
    </row>
    <row r="2243" spans="1:34" ht="15.75" customHeight="1">
      <c r="A2243" s="35"/>
      <c r="B2243" s="38"/>
      <c r="C2243" s="37"/>
      <c r="D2243" s="20"/>
      <c r="E2243" s="20"/>
      <c r="F2243" s="37"/>
      <c r="G2243" s="37"/>
      <c r="H2243" s="37"/>
      <c r="I2243" s="21"/>
      <c r="J2243" s="21"/>
      <c r="K2243" s="22"/>
      <c r="L2243" s="39"/>
      <c r="O2243" s="42"/>
      <c r="P2243" s="40"/>
      <c r="Q2243" s="61"/>
      <c r="R2243" s="61"/>
      <c r="S2243" s="40"/>
      <c r="T2243" s="38"/>
      <c r="U2243" s="38"/>
      <c r="V2243" s="38"/>
      <c r="W2243" s="60"/>
      <c r="AB2243" s="42"/>
      <c r="AC2243" s="35"/>
      <c r="AD2243" s="38"/>
      <c r="AE2243" s="38"/>
      <c r="AF2243" s="38"/>
      <c r="AG2243" s="38"/>
      <c r="AH2243" s="60"/>
    </row>
    <row r="2244" spans="1:34" ht="15.75" customHeight="1">
      <c r="A2244" s="35" t="s">
        <v>8024</v>
      </c>
      <c r="B2244" s="18" t="s">
        <v>8025</v>
      </c>
      <c r="C2244" s="37" t="s">
        <v>87</v>
      </c>
      <c r="D2244" s="20" t="s">
        <v>8026</v>
      </c>
      <c r="E2244" s="20" t="s">
        <v>8027</v>
      </c>
      <c r="F2244" s="19" t="s">
        <v>90</v>
      </c>
      <c r="G2244" s="19" t="s">
        <v>91</v>
      </c>
      <c r="H2244" s="37"/>
      <c r="I2244" s="21" t="s">
        <v>29</v>
      </c>
      <c r="J2244" s="21" t="s">
        <v>29</v>
      </c>
      <c r="K2244" s="22" t="s">
        <v>8028</v>
      </c>
      <c r="L2244" s="56">
        <v>45089</v>
      </c>
      <c r="M2244" s="40"/>
      <c r="N2244" s="40"/>
      <c r="O2244" s="42"/>
      <c r="P2244" s="40"/>
      <c r="Q2244" s="61"/>
      <c r="R2244" s="61"/>
      <c r="S2244" s="40"/>
      <c r="T2244" s="38"/>
      <c r="U2244" s="38"/>
      <c r="V2244" s="38"/>
      <c r="W2244" s="60"/>
      <c r="AB2244" s="42"/>
      <c r="AC2244" s="35"/>
      <c r="AD2244" s="38"/>
      <c r="AE2244" s="38"/>
      <c r="AF2244" s="38"/>
      <c r="AG2244" s="38"/>
      <c r="AH2244" s="60"/>
    </row>
    <row r="2245" spans="1:34" ht="15.75" customHeight="1">
      <c r="A2245" s="54" t="s">
        <v>2628</v>
      </c>
      <c r="B2245" s="29" t="s">
        <v>8029</v>
      </c>
      <c r="C2245" s="37" t="s">
        <v>46</v>
      </c>
      <c r="D2245" s="20" t="s">
        <v>8030</v>
      </c>
      <c r="E2245" s="20" t="s">
        <v>8031</v>
      </c>
      <c r="F2245" s="37" t="s">
        <v>286</v>
      </c>
      <c r="G2245" s="19" t="s">
        <v>50</v>
      </c>
      <c r="H2245" s="37"/>
      <c r="I2245" s="21" t="s">
        <v>286</v>
      </c>
      <c r="J2245" s="21" t="s">
        <v>29</v>
      </c>
      <c r="K2245" s="22" t="s">
        <v>8032</v>
      </c>
      <c r="L2245" s="56"/>
      <c r="O2245" s="42"/>
      <c r="P2245" s="40"/>
      <c r="Q2245" s="61"/>
      <c r="R2245" s="61"/>
      <c r="S2245" s="40"/>
      <c r="T2245" s="38"/>
      <c r="U2245" s="38"/>
      <c r="V2245" s="38"/>
      <c r="W2245" s="60"/>
      <c r="AB2245" s="42"/>
      <c r="AC2245" s="35"/>
      <c r="AD2245" s="38"/>
      <c r="AE2245" s="38"/>
      <c r="AF2245" s="38"/>
      <c r="AG2245" s="38"/>
      <c r="AH2245" s="60"/>
    </row>
    <row r="2246" spans="1:34" ht="15.75" customHeight="1">
      <c r="A2246" s="50" t="s">
        <v>39</v>
      </c>
      <c r="B2246" s="18" t="s">
        <v>8033</v>
      </c>
      <c r="C2246" s="37" t="s">
        <v>87</v>
      </c>
      <c r="D2246" s="20" t="s">
        <v>8034</v>
      </c>
      <c r="E2246" s="20" t="s">
        <v>8035</v>
      </c>
      <c r="F2246" s="19" t="s">
        <v>90</v>
      </c>
      <c r="G2246" s="19" t="s">
        <v>91</v>
      </c>
      <c r="H2246" s="37"/>
      <c r="I2246" s="21" t="s">
        <v>29</v>
      </c>
      <c r="J2246" s="21" t="s">
        <v>29</v>
      </c>
      <c r="K2246" s="22" t="s">
        <v>8036</v>
      </c>
      <c r="L2246" s="56">
        <v>45089</v>
      </c>
      <c r="O2246" s="42"/>
      <c r="P2246" s="40"/>
      <c r="Q2246" s="61"/>
      <c r="R2246" s="61"/>
      <c r="S2246" s="40"/>
      <c r="T2246" s="38"/>
      <c r="U2246" s="38"/>
      <c r="V2246" s="38"/>
      <c r="W2246" s="60"/>
      <c r="AB2246" s="42"/>
      <c r="AC2246" s="35"/>
      <c r="AD2246" s="38"/>
      <c r="AE2246" s="38"/>
      <c r="AF2246" s="38"/>
      <c r="AG2246" s="38"/>
      <c r="AH2246" s="60"/>
    </row>
    <row r="2247" spans="1:34" ht="15.75" customHeight="1">
      <c r="A2247" s="35" t="s">
        <v>7821</v>
      </c>
      <c r="B2247" s="18" t="s">
        <v>8037</v>
      </c>
      <c r="C2247" s="37" t="s">
        <v>24</v>
      </c>
      <c r="D2247" s="20" t="s">
        <v>8038</v>
      </c>
      <c r="E2247" s="20" t="s">
        <v>8039</v>
      </c>
      <c r="F2247" s="19" t="s">
        <v>27</v>
      </c>
      <c r="G2247" s="19" t="s">
        <v>28</v>
      </c>
      <c r="H2247" s="37"/>
      <c r="I2247" s="21" t="s">
        <v>29</v>
      </c>
      <c r="J2247" s="21" t="s">
        <v>29</v>
      </c>
      <c r="K2247" s="22" t="s">
        <v>8040</v>
      </c>
      <c r="L2247" s="56">
        <v>45089</v>
      </c>
      <c r="O2247" s="42"/>
      <c r="P2247" s="40"/>
      <c r="Q2247" s="61"/>
      <c r="R2247" s="61"/>
      <c r="S2247" s="40"/>
      <c r="T2247" s="38"/>
      <c r="U2247" s="38"/>
      <c r="V2247" s="38"/>
      <c r="W2247" s="60"/>
      <c r="AB2247" s="42"/>
      <c r="AC2247" s="35"/>
      <c r="AD2247" s="38"/>
      <c r="AE2247" s="38"/>
      <c r="AF2247" s="38"/>
      <c r="AG2247" s="38"/>
      <c r="AH2247" s="60"/>
    </row>
    <row r="2248" spans="1:34" ht="15.75" customHeight="1">
      <c r="A2248" s="35" t="s">
        <v>6504</v>
      </c>
      <c r="B2248" s="29" t="s">
        <v>8041</v>
      </c>
      <c r="C2248" s="37" t="s">
        <v>46</v>
      </c>
      <c r="D2248" s="20" t="s">
        <v>8042</v>
      </c>
      <c r="E2248" s="20" t="s">
        <v>8043</v>
      </c>
      <c r="F2248" s="37" t="s">
        <v>286</v>
      </c>
      <c r="G2248" s="19" t="s">
        <v>50</v>
      </c>
      <c r="H2248" s="37"/>
      <c r="I2248" s="21" t="s">
        <v>286</v>
      </c>
      <c r="J2248" s="21" t="s">
        <v>29</v>
      </c>
      <c r="K2248" s="22" t="s">
        <v>8044</v>
      </c>
      <c r="L2248" s="56"/>
      <c r="O2248" s="42"/>
      <c r="P2248" s="40"/>
      <c r="Q2248" s="61"/>
      <c r="R2248" s="61"/>
      <c r="S2248" s="40"/>
      <c r="T2248" s="38"/>
      <c r="U2248" s="38"/>
      <c r="V2248" s="38"/>
      <c r="W2248" s="60"/>
      <c r="AB2248" s="42"/>
      <c r="AC2248" s="35"/>
      <c r="AD2248" s="38"/>
      <c r="AE2248" s="38"/>
      <c r="AF2248" s="38"/>
      <c r="AG2248" s="38"/>
      <c r="AH2248" s="60"/>
    </row>
    <row r="2249" spans="1:34" ht="15.75" customHeight="1">
      <c r="A2249" s="31" t="s">
        <v>56</v>
      </c>
      <c r="B2249" s="18" t="s">
        <v>8045</v>
      </c>
      <c r="C2249" s="37" t="s">
        <v>1430</v>
      </c>
      <c r="D2249" s="20" t="s">
        <v>8046</v>
      </c>
      <c r="E2249" s="20" t="s">
        <v>8047</v>
      </c>
      <c r="F2249" s="37" t="s">
        <v>49</v>
      </c>
      <c r="G2249" s="19" t="s">
        <v>50</v>
      </c>
      <c r="H2249" s="37"/>
      <c r="I2249" s="21" t="s">
        <v>233</v>
      </c>
      <c r="J2249" s="21" t="s">
        <v>233</v>
      </c>
      <c r="K2249" s="22" t="s">
        <v>8048</v>
      </c>
      <c r="L2249" s="56">
        <v>45089</v>
      </c>
      <c r="O2249" s="42"/>
      <c r="P2249" s="40"/>
      <c r="Q2249" s="61"/>
      <c r="R2249" s="61"/>
      <c r="S2249" s="40"/>
      <c r="T2249" s="38"/>
      <c r="U2249" s="38"/>
      <c r="V2249" s="38"/>
      <c r="W2249" s="60"/>
      <c r="AB2249" s="42"/>
      <c r="AC2249" s="35"/>
      <c r="AD2249" s="38"/>
      <c r="AE2249" s="38"/>
      <c r="AF2249" s="38"/>
      <c r="AG2249" s="38"/>
      <c r="AH2249" s="60"/>
    </row>
    <row r="2250" spans="1:34" ht="15.75" customHeight="1">
      <c r="A2250" s="17">
        <v>73</v>
      </c>
      <c r="B2250" s="29" t="s">
        <v>8049</v>
      </c>
      <c r="C2250" s="37" t="s">
        <v>46</v>
      </c>
      <c r="D2250" s="20" t="s">
        <v>8050</v>
      </c>
      <c r="E2250" s="20" t="s">
        <v>8051</v>
      </c>
      <c r="F2250" s="37" t="s">
        <v>286</v>
      </c>
      <c r="G2250" s="19" t="s">
        <v>50</v>
      </c>
      <c r="H2250" s="37"/>
      <c r="I2250" s="21" t="s">
        <v>286</v>
      </c>
      <c r="J2250" s="21" t="s">
        <v>29</v>
      </c>
      <c r="K2250" s="22" t="s">
        <v>8052</v>
      </c>
      <c r="L2250" s="56"/>
      <c r="O2250" s="42"/>
      <c r="P2250" s="40"/>
      <c r="Q2250" s="61"/>
      <c r="R2250" s="61"/>
      <c r="S2250" s="40"/>
      <c r="T2250" s="38"/>
      <c r="U2250" s="38"/>
      <c r="V2250" s="38"/>
      <c r="W2250" s="60"/>
      <c r="AB2250" s="42"/>
      <c r="AC2250" s="35"/>
      <c r="AD2250" s="38"/>
      <c r="AE2250" s="38"/>
      <c r="AF2250" s="38"/>
      <c r="AG2250" s="38"/>
      <c r="AH2250" s="60"/>
    </row>
    <row r="2251" spans="1:34" ht="15.75" customHeight="1">
      <c r="A2251" s="31" t="s">
        <v>64</v>
      </c>
      <c r="B2251" s="29" t="s">
        <v>8053</v>
      </c>
      <c r="C2251" s="37" t="s">
        <v>24</v>
      </c>
      <c r="D2251" s="20" t="s">
        <v>8054</v>
      </c>
      <c r="E2251" s="20" t="s">
        <v>8055</v>
      </c>
      <c r="F2251" s="19" t="s">
        <v>27</v>
      </c>
      <c r="G2251" s="19" t="s">
        <v>28</v>
      </c>
      <c r="H2251" s="37"/>
      <c r="I2251" s="21" t="s">
        <v>29</v>
      </c>
      <c r="J2251" s="21" t="s">
        <v>29</v>
      </c>
      <c r="K2251" s="22" t="s">
        <v>8056</v>
      </c>
      <c r="L2251" s="56">
        <v>45089</v>
      </c>
      <c r="O2251" s="42"/>
      <c r="P2251" s="40"/>
      <c r="Q2251" s="61"/>
      <c r="R2251" s="61"/>
      <c r="S2251" s="40"/>
      <c r="T2251" s="38"/>
      <c r="U2251" s="38"/>
      <c r="V2251" s="38"/>
      <c r="W2251" s="60"/>
      <c r="AB2251" s="42"/>
      <c r="AC2251" s="35"/>
      <c r="AD2251" s="38"/>
      <c r="AE2251" s="38"/>
      <c r="AF2251" s="38"/>
      <c r="AG2251" s="38"/>
      <c r="AH2251" s="60"/>
    </row>
    <row r="2252" spans="1:34" ht="15.75" customHeight="1">
      <c r="A2252" s="17">
        <v>3.6</v>
      </c>
      <c r="B2252" s="18" t="s">
        <v>8057</v>
      </c>
      <c r="C2252" s="37" t="s">
        <v>1470</v>
      </c>
      <c r="D2252" s="20" t="s">
        <v>8058</v>
      </c>
      <c r="E2252" s="20" t="s">
        <v>8059</v>
      </c>
      <c r="F2252" s="55" t="s">
        <v>1445</v>
      </c>
      <c r="G2252" s="37" t="s">
        <v>1461</v>
      </c>
      <c r="H2252" s="37"/>
      <c r="I2252" s="21" t="s">
        <v>233</v>
      </c>
      <c r="J2252" s="21" t="s">
        <v>233</v>
      </c>
      <c r="K2252" s="22" t="s">
        <v>8060</v>
      </c>
      <c r="L2252" s="56">
        <v>45089</v>
      </c>
      <c r="O2252" s="42"/>
      <c r="P2252" s="40"/>
      <c r="Q2252" s="61"/>
      <c r="R2252" s="61"/>
      <c r="S2252" s="40"/>
      <c r="T2252" s="38"/>
      <c r="U2252" s="38"/>
      <c r="V2252" s="38"/>
      <c r="W2252" s="60"/>
      <c r="AB2252" s="42"/>
      <c r="AC2252" s="35"/>
      <c r="AD2252" s="38"/>
      <c r="AE2252" s="38"/>
      <c r="AF2252" s="38"/>
      <c r="AG2252" s="38"/>
      <c r="AH2252" s="60"/>
    </row>
    <row r="2253" spans="1:34" ht="15.75" customHeight="1">
      <c r="A2253" s="31" t="s">
        <v>73</v>
      </c>
      <c r="B2253" s="18" t="s">
        <v>8061</v>
      </c>
      <c r="C2253" s="37" t="s">
        <v>24</v>
      </c>
      <c r="D2253" s="20" t="s">
        <v>8062</v>
      </c>
      <c r="E2253" s="20" t="s">
        <v>8063</v>
      </c>
      <c r="F2253" s="19" t="s">
        <v>27</v>
      </c>
      <c r="G2253" s="19" t="s">
        <v>28</v>
      </c>
      <c r="H2253" s="37"/>
      <c r="I2253" s="21" t="s">
        <v>29</v>
      </c>
      <c r="J2253" s="21" t="s">
        <v>29</v>
      </c>
      <c r="K2253" s="22" t="s">
        <v>8064</v>
      </c>
      <c r="L2253" s="56">
        <v>45089</v>
      </c>
      <c r="O2253" s="42"/>
      <c r="P2253" s="40"/>
      <c r="Q2253" s="61"/>
      <c r="R2253" s="61"/>
      <c r="S2253" s="40"/>
      <c r="T2253" s="38"/>
      <c r="U2253" s="38"/>
      <c r="V2253" s="38"/>
      <c r="W2253" s="60"/>
      <c r="AB2253" s="42"/>
      <c r="AC2253" s="35"/>
      <c r="AD2253" s="38"/>
      <c r="AE2253" s="38"/>
      <c r="AF2253" s="38"/>
      <c r="AG2253" s="38"/>
      <c r="AH2253" s="60"/>
    </row>
    <row r="2254" spans="1:34" ht="15.75" customHeight="1">
      <c r="A2254" s="17">
        <v>3.7</v>
      </c>
      <c r="B2254" s="29" t="s">
        <v>8065</v>
      </c>
      <c r="C2254" s="37" t="s">
        <v>87</v>
      </c>
      <c r="D2254" s="20" t="s">
        <v>8066</v>
      </c>
      <c r="E2254" s="20" t="s">
        <v>8067</v>
      </c>
      <c r="F2254" s="19" t="s">
        <v>90</v>
      </c>
      <c r="G2254" s="19" t="s">
        <v>91</v>
      </c>
      <c r="H2254" s="37"/>
      <c r="I2254" s="21" t="s">
        <v>29</v>
      </c>
      <c r="J2254" s="21" t="s">
        <v>29</v>
      </c>
      <c r="K2254" s="22" t="s">
        <v>8068</v>
      </c>
      <c r="L2254" s="56">
        <v>45089</v>
      </c>
      <c r="O2254" s="42"/>
      <c r="P2254" s="40"/>
      <c r="Q2254" s="61"/>
      <c r="R2254" s="61"/>
      <c r="S2254" s="40"/>
      <c r="T2254" s="38"/>
      <c r="U2254" s="38"/>
      <c r="V2254" s="38"/>
      <c r="W2254" s="60"/>
      <c r="AB2254" s="42"/>
      <c r="AC2254" s="35"/>
      <c r="AD2254" s="38"/>
      <c r="AE2254" s="38"/>
      <c r="AF2254" s="38"/>
      <c r="AG2254" s="38"/>
      <c r="AH2254" s="60"/>
    </row>
    <row r="2255" spans="1:34" ht="15.75" customHeight="1">
      <c r="A2255" s="50" t="s">
        <v>82</v>
      </c>
      <c r="B2255" s="18" t="s">
        <v>8069</v>
      </c>
      <c r="C2255" s="37" t="s">
        <v>24</v>
      </c>
      <c r="D2255" s="20" t="s">
        <v>8070</v>
      </c>
      <c r="E2255" s="20" t="s">
        <v>8071</v>
      </c>
      <c r="F2255" s="19" t="s">
        <v>27</v>
      </c>
      <c r="G2255" s="19" t="s">
        <v>28</v>
      </c>
      <c r="H2255" s="37"/>
      <c r="I2255" s="21" t="s">
        <v>29</v>
      </c>
      <c r="J2255" s="21" t="s">
        <v>29</v>
      </c>
      <c r="K2255" s="22" t="s">
        <v>8072</v>
      </c>
      <c r="L2255" s="56">
        <v>45089</v>
      </c>
      <c r="O2255" s="42"/>
      <c r="P2255" s="40"/>
      <c r="Q2255" s="61"/>
      <c r="R2255" s="61"/>
      <c r="S2255" s="40"/>
      <c r="T2255" s="38"/>
      <c r="U2255" s="38"/>
      <c r="V2255" s="38"/>
      <c r="W2255" s="60"/>
      <c r="AB2255" s="42"/>
      <c r="AC2255" s="35"/>
      <c r="AD2255" s="38"/>
      <c r="AE2255" s="38"/>
      <c r="AF2255" s="38"/>
      <c r="AG2255" s="38"/>
      <c r="AH2255" s="60"/>
    </row>
    <row r="2256" spans="1:34" ht="15.75" customHeight="1">
      <c r="A2256" s="35" t="s">
        <v>8073</v>
      </c>
      <c r="B2256" s="36" t="s">
        <v>8074</v>
      </c>
      <c r="C2256" s="19" t="s">
        <v>121</v>
      </c>
      <c r="D2256" s="20" t="s">
        <v>8075</v>
      </c>
      <c r="E2256" s="20" t="s">
        <v>8076</v>
      </c>
      <c r="F2256" s="19" t="s">
        <v>27</v>
      </c>
      <c r="G2256" s="37" t="s">
        <v>452</v>
      </c>
      <c r="H2256" s="37"/>
      <c r="I2256" s="21" t="s">
        <v>29</v>
      </c>
      <c r="J2256" s="21" t="s">
        <v>452</v>
      </c>
      <c r="K2256" s="22" t="s">
        <v>8077</v>
      </c>
      <c r="L2256" s="56">
        <v>45089</v>
      </c>
      <c r="O2256" s="42"/>
      <c r="P2256" s="40"/>
      <c r="Q2256" s="61"/>
      <c r="R2256" s="61"/>
      <c r="S2256" s="40"/>
      <c r="T2256" s="38"/>
      <c r="U2256" s="38"/>
      <c r="V2256" s="38"/>
      <c r="W2256" s="60"/>
      <c r="AB2256" s="42"/>
      <c r="AC2256" s="35"/>
      <c r="AD2256" s="38"/>
      <c r="AE2256" s="38"/>
      <c r="AF2256" s="38"/>
      <c r="AG2256" s="38"/>
      <c r="AH2256" s="60"/>
    </row>
    <row r="2257" spans="1:34" ht="15.75" customHeight="1">
      <c r="A2257" s="31" t="s">
        <v>92</v>
      </c>
      <c r="B2257" s="18" t="s">
        <v>8078</v>
      </c>
      <c r="C2257" s="37" t="s">
        <v>87</v>
      </c>
      <c r="D2257" s="20" t="s">
        <v>8079</v>
      </c>
      <c r="E2257" s="20" t="s">
        <v>8080</v>
      </c>
      <c r="F2257" s="19" t="s">
        <v>90</v>
      </c>
      <c r="G2257" s="19" t="s">
        <v>91</v>
      </c>
      <c r="H2257" s="37"/>
      <c r="I2257" s="21" t="s">
        <v>29</v>
      </c>
      <c r="J2257" s="21" t="s">
        <v>29</v>
      </c>
      <c r="K2257" s="22" t="s">
        <v>8081</v>
      </c>
      <c r="L2257" s="56">
        <v>45089</v>
      </c>
      <c r="O2257" s="42"/>
      <c r="P2257" s="40"/>
      <c r="Q2257" s="61"/>
      <c r="R2257" s="61"/>
      <c r="S2257" s="40"/>
      <c r="T2257" s="38"/>
      <c r="U2257" s="38"/>
      <c r="V2257" s="38"/>
      <c r="W2257" s="60"/>
      <c r="AB2257" s="42"/>
      <c r="AC2257" s="35"/>
      <c r="AD2257" s="38"/>
      <c r="AE2257" s="38"/>
      <c r="AF2257" s="38"/>
      <c r="AG2257" s="38"/>
      <c r="AH2257" s="60"/>
    </row>
    <row r="2258" spans="1:34" ht="15.75" customHeight="1">
      <c r="A2258" s="33">
        <v>3281</v>
      </c>
      <c r="B2258" s="18" t="s">
        <v>8082</v>
      </c>
      <c r="C2258" s="37" t="s">
        <v>87</v>
      </c>
      <c r="D2258" s="20" t="s">
        <v>8083</v>
      </c>
      <c r="E2258" s="20" t="s">
        <v>8084</v>
      </c>
      <c r="F2258" s="19" t="s">
        <v>90</v>
      </c>
      <c r="G2258" s="19" t="s">
        <v>91</v>
      </c>
      <c r="H2258" s="37"/>
      <c r="I2258" s="21" t="s">
        <v>29</v>
      </c>
      <c r="J2258" s="21" t="s">
        <v>29</v>
      </c>
      <c r="K2258" s="22" t="s">
        <v>8085</v>
      </c>
      <c r="L2258" s="56">
        <v>45089</v>
      </c>
      <c r="O2258" s="42"/>
      <c r="P2258" s="40"/>
      <c r="Q2258" s="61"/>
      <c r="R2258" s="61"/>
      <c r="S2258" s="40"/>
      <c r="T2258" s="38"/>
      <c r="U2258" s="38"/>
      <c r="V2258" s="38"/>
      <c r="W2258" s="60"/>
      <c r="AB2258" s="42"/>
      <c r="AC2258" s="35"/>
      <c r="AD2258" s="38"/>
      <c r="AE2258" s="38"/>
      <c r="AF2258" s="38"/>
      <c r="AG2258" s="38"/>
      <c r="AH2258" s="60"/>
    </row>
    <row r="2259" spans="1:34" ht="15.75" customHeight="1">
      <c r="A2259" s="31" t="s">
        <v>100</v>
      </c>
      <c r="B2259" s="18" t="s">
        <v>8086</v>
      </c>
      <c r="C2259" s="37" t="s">
        <v>1638</v>
      </c>
      <c r="D2259" s="20" t="s">
        <v>8087</v>
      </c>
      <c r="E2259" s="20"/>
      <c r="F2259" s="37" t="s">
        <v>1399</v>
      </c>
      <c r="G2259" s="19" t="s">
        <v>1641</v>
      </c>
      <c r="H2259" s="37"/>
      <c r="I2259" s="21" t="s">
        <v>1371</v>
      </c>
      <c r="J2259" s="21" t="s">
        <v>1371</v>
      </c>
      <c r="K2259" s="22"/>
      <c r="L2259" s="56">
        <v>45089</v>
      </c>
      <c r="O2259" s="42"/>
      <c r="P2259" s="40"/>
      <c r="Q2259" s="61"/>
      <c r="R2259" s="61"/>
      <c r="S2259" s="40"/>
      <c r="T2259" s="38"/>
      <c r="U2259" s="38"/>
      <c r="V2259" s="38"/>
      <c r="W2259" s="60"/>
      <c r="AB2259" s="42"/>
      <c r="AC2259" s="35"/>
      <c r="AD2259" s="38"/>
      <c r="AE2259" s="38"/>
      <c r="AF2259" s="38"/>
      <c r="AG2259" s="38"/>
      <c r="AH2259" s="60"/>
    </row>
    <row r="2260" spans="1:34" ht="15.75" customHeight="1">
      <c r="A2260" s="17">
        <v>163</v>
      </c>
      <c r="B2260" s="29" t="s">
        <v>8088</v>
      </c>
      <c r="C2260" s="37" t="s">
        <v>46</v>
      </c>
      <c r="D2260" s="20" t="s">
        <v>8089</v>
      </c>
      <c r="E2260" s="20" t="s">
        <v>8090</v>
      </c>
      <c r="F2260" s="37" t="s">
        <v>286</v>
      </c>
      <c r="G2260" s="19" t="s">
        <v>50</v>
      </c>
      <c r="H2260" s="37"/>
      <c r="I2260" s="21" t="s">
        <v>286</v>
      </c>
      <c r="J2260" s="21" t="s">
        <v>29</v>
      </c>
      <c r="K2260" s="22" t="s">
        <v>8091</v>
      </c>
      <c r="L2260" s="56"/>
      <c r="O2260" s="42"/>
      <c r="P2260" s="40"/>
      <c r="Q2260" s="61"/>
      <c r="R2260" s="61"/>
      <c r="S2260" s="40"/>
      <c r="T2260" s="38"/>
      <c r="U2260" s="38"/>
      <c r="V2260" s="38"/>
      <c r="W2260" s="60"/>
      <c r="AB2260" s="42"/>
      <c r="AC2260" s="35"/>
      <c r="AD2260" s="38"/>
      <c r="AE2260" s="38"/>
      <c r="AF2260" s="38"/>
      <c r="AG2260" s="38"/>
      <c r="AH2260" s="60"/>
    </row>
    <row r="2261" spans="1:34" ht="15.75" customHeight="1">
      <c r="A2261" s="35"/>
      <c r="B2261" s="18" t="s">
        <v>8092</v>
      </c>
      <c r="C2261" s="37" t="s">
        <v>46</v>
      </c>
      <c r="D2261" s="20" t="s">
        <v>8093</v>
      </c>
      <c r="E2261" s="20"/>
      <c r="F2261" s="37" t="s">
        <v>49</v>
      </c>
      <c r="G2261" s="19" t="s">
        <v>50</v>
      </c>
      <c r="H2261" s="37"/>
      <c r="I2261" s="21" t="s">
        <v>29</v>
      </c>
      <c r="J2261" s="21" t="s">
        <v>29</v>
      </c>
      <c r="K2261" s="22"/>
      <c r="L2261" s="56">
        <v>45089</v>
      </c>
      <c r="O2261" s="42"/>
      <c r="P2261" s="40"/>
      <c r="Q2261" s="61"/>
      <c r="R2261" s="61"/>
      <c r="S2261" s="40"/>
      <c r="T2261" s="38"/>
      <c r="U2261" s="38"/>
      <c r="V2261" s="38"/>
      <c r="W2261" s="60"/>
      <c r="AB2261" s="42"/>
      <c r="AC2261" s="35"/>
      <c r="AD2261" s="38"/>
      <c r="AE2261" s="38"/>
      <c r="AF2261" s="38"/>
      <c r="AG2261" s="38"/>
      <c r="AH2261" s="60"/>
    </row>
    <row r="2262" spans="1:34" ht="15.75" customHeight="1">
      <c r="A2262" s="35"/>
      <c r="B2262" s="18" t="s">
        <v>8094</v>
      </c>
      <c r="C2262" s="37" t="s">
        <v>228</v>
      </c>
      <c r="D2262" s="20" t="s">
        <v>8095</v>
      </c>
      <c r="E2262" s="20" t="s">
        <v>8096</v>
      </c>
      <c r="F2262" s="19" t="s">
        <v>231</v>
      </c>
      <c r="G2262" s="19" t="s">
        <v>232</v>
      </c>
      <c r="H2262" s="37"/>
      <c r="I2262" s="21" t="s">
        <v>233</v>
      </c>
      <c r="J2262" s="21" t="s">
        <v>233</v>
      </c>
      <c r="K2262" s="22" t="s">
        <v>8097</v>
      </c>
      <c r="L2262" s="56">
        <v>45089</v>
      </c>
      <c r="O2262" s="42"/>
      <c r="P2262" s="40"/>
      <c r="Q2262" s="61"/>
      <c r="R2262" s="61"/>
      <c r="S2262" s="40"/>
      <c r="T2262" s="38"/>
      <c r="U2262" s="38"/>
      <c r="V2262" s="38"/>
      <c r="W2262" s="60"/>
      <c r="AB2262" s="42"/>
      <c r="AC2262" s="35"/>
      <c r="AD2262" s="38"/>
      <c r="AE2262" s="38"/>
      <c r="AF2262" s="38"/>
      <c r="AG2262" s="38"/>
      <c r="AH2262" s="60"/>
    </row>
    <row r="2263" spans="1:34" ht="15.75" customHeight="1">
      <c r="A2263" s="35"/>
      <c r="B2263" s="18" t="s">
        <v>8098</v>
      </c>
      <c r="C2263" s="37" t="s">
        <v>46</v>
      </c>
      <c r="D2263" s="20" t="s">
        <v>8099</v>
      </c>
      <c r="E2263" s="20" t="s">
        <v>8100</v>
      </c>
      <c r="F2263" s="37" t="s">
        <v>49</v>
      </c>
      <c r="G2263" s="19" t="s">
        <v>50</v>
      </c>
      <c r="H2263" s="37"/>
      <c r="I2263" s="21" t="s">
        <v>29</v>
      </c>
      <c r="J2263" s="21" t="s">
        <v>29</v>
      </c>
      <c r="K2263" s="22" t="s">
        <v>8101</v>
      </c>
      <c r="L2263" s="56">
        <v>45089</v>
      </c>
      <c r="O2263" s="42"/>
      <c r="P2263" s="40"/>
      <c r="Q2263" s="61"/>
      <c r="R2263" s="61"/>
      <c r="S2263" s="40"/>
      <c r="T2263" s="38"/>
      <c r="U2263" s="38"/>
      <c r="V2263" s="38"/>
      <c r="W2263" s="60"/>
      <c r="AB2263" s="42"/>
      <c r="AC2263" s="35"/>
      <c r="AD2263" s="38"/>
      <c r="AE2263" s="38"/>
      <c r="AF2263" s="38"/>
      <c r="AG2263" s="38"/>
      <c r="AH2263" s="60"/>
    </row>
    <row r="2264" spans="1:34" ht="15.75" customHeight="1">
      <c r="A2264" s="35"/>
      <c r="B2264" s="18" t="s">
        <v>8102</v>
      </c>
      <c r="C2264" s="37" t="s">
        <v>87</v>
      </c>
      <c r="D2264" s="20" t="s">
        <v>8103</v>
      </c>
      <c r="E2264" s="20" t="s">
        <v>8104</v>
      </c>
      <c r="F2264" s="19" t="s">
        <v>90</v>
      </c>
      <c r="G2264" s="19" t="s">
        <v>91</v>
      </c>
      <c r="H2264" s="37"/>
      <c r="I2264" s="21" t="s">
        <v>29</v>
      </c>
      <c r="J2264" s="21" t="s">
        <v>29</v>
      </c>
      <c r="K2264" s="22" t="s">
        <v>8105</v>
      </c>
      <c r="L2264" s="56">
        <v>45089</v>
      </c>
      <c r="O2264" s="42"/>
      <c r="P2264" s="40"/>
      <c r="Q2264" s="61"/>
      <c r="R2264" s="61"/>
      <c r="S2264" s="40"/>
      <c r="T2264" s="38"/>
      <c r="U2264" s="38"/>
      <c r="V2264" s="38"/>
      <c r="W2264" s="60"/>
      <c r="AB2264" s="42"/>
      <c r="AC2264" s="35"/>
      <c r="AD2264" s="38"/>
      <c r="AE2264" s="38"/>
      <c r="AF2264" s="38"/>
      <c r="AG2264" s="38"/>
      <c r="AH2264" s="60"/>
    </row>
    <row r="2265" spans="1:34" ht="15.75" customHeight="1">
      <c r="A2265" s="35"/>
      <c r="B2265" s="18" t="s">
        <v>8106</v>
      </c>
      <c r="C2265" s="37" t="s">
        <v>24</v>
      </c>
      <c r="D2265" s="20" t="s">
        <v>8107</v>
      </c>
      <c r="E2265" s="20" t="s">
        <v>8108</v>
      </c>
      <c r="F2265" s="19" t="s">
        <v>27</v>
      </c>
      <c r="G2265" s="19" t="s">
        <v>28</v>
      </c>
      <c r="H2265" s="37" t="s">
        <v>762</v>
      </c>
      <c r="I2265" s="21" t="s">
        <v>29</v>
      </c>
      <c r="J2265" s="21" t="s">
        <v>29</v>
      </c>
      <c r="K2265" s="22" t="s">
        <v>8109</v>
      </c>
      <c r="L2265" s="56">
        <v>45089</v>
      </c>
      <c r="O2265" s="42"/>
      <c r="P2265" s="40"/>
      <c r="Q2265" s="61"/>
      <c r="R2265" s="61"/>
      <c r="S2265" s="40"/>
      <c r="T2265" s="38"/>
      <c r="U2265" s="38"/>
      <c r="V2265" s="38"/>
      <c r="W2265" s="60"/>
      <c r="AB2265" s="42"/>
      <c r="AC2265" s="35"/>
      <c r="AD2265" s="38"/>
      <c r="AE2265" s="38"/>
      <c r="AF2265" s="38"/>
      <c r="AG2265" s="38"/>
      <c r="AH2265" s="60"/>
    </row>
    <row r="2266" spans="1:34" ht="15.75" customHeight="1">
      <c r="A2266" s="105"/>
      <c r="B2266" s="18" t="s">
        <v>8110</v>
      </c>
      <c r="C2266" s="37" t="s">
        <v>87</v>
      </c>
      <c r="D2266" s="20" t="s">
        <v>8111</v>
      </c>
      <c r="E2266" s="20"/>
      <c r="F2266" s="19" t="s">
        <v>90</v>
      </c>
      <c r="G2266" s="19" t="s">
        <v>91</v>
      </c>
      <c r="H2266" s="37"/>
      <c r="I2266" s="21" t="s">
        <v>29</v>
      </c>
      <c r="J2266" s="21" t="s">
        <v>29</v>
      </c>
      <c r="K2266" s="22"/>
      <c r="L2266" s="56">
        <v>45089</v>
      </c>
      <c r="O2266" s="42"/>
      <c r="P2266" s="40"/>
      <c r="Q2266" s="61"/>
      <c r="R2266" s="61"/>
      <c r="S2266" s="40"/>
      <c r="T2266" s="38"/>
      <c r="U2266" s="38"/>
      <c r="V2266" s="38"/>
      <c r="W2266" s="60"/>
      <c r="AB2266" s="42"/>
      <c r="AC2266" s="35"/>
      <c r="AD2266" s="38"/>
      <c r="AE2266" s="38"/>
      <c r="AF2266" s="38"/>
      <c r="AG2266" s="38"/>
      <c r="AH2266" s="60"/>
    </row>
    <row r="2267" spans="1:34" ht="15.75" customHeight="1">
      <c r="A2267" s="105"/>
      <c r="B2267" s="18" t="s">
        <v>8112</v>
      </c>
      <c r="C2267" s="37" t="s">
        <v>24</v>
      </c>
      <c r="D2267" s="20" t="s">
        <v>8113</v>
      </c>
      <c r="E2267" s="20" t="s">
        <v>8114</v>
      </c>
      <c r="F2267" s="19" t="s">
        <v>27</v>
      </c>
      <c r="G2267" s="19" t="s">
        <v>28</v>
      </c>
      <c r="H2267" s="37"/>
      <c r="I2267" s="21" t="s">
        <v>29</v>
      </c>
      <c r="J2267" s="21" t="s">
        <v>29</v>
      </c>
      <c r="K2267" s="22" t="s">
        <v>8115</v>
      </c>
      <c r="L2267" s="56">
        <v>45089</v>
      </c>
      <c r="O2267" s="42"/>
      <c r="P2267" s="40"/>
      <c r="Q2267" s="61"/>
      <c r="R2267" s="61"/>
      <c r="S2267" s="40"/>
      <c r="T2267" s="38"/>
      <c r="U2267" s="38"/>
      <c r="V2267" s="38"/>
      <c r="W2267" s="60"/>
      <c r="AB2267" s="42"/>
      <c r="AC2267" s="35"/>
      <c r="AD2267" s="38"/>
      <c r="AE2267" s="38"/>
      <c r="AF2267" s="38"/>
      <c r="AG2267" s="38"/>
      <c r="AH2267" s="60"/>
    </row>
    <row r="2268" spans="1:34" ht="15.75" customHeight="1">
      <c r="A2268" s="105"/>
      <c r="B2268" s="29" t="s">
        <v>8116</v>
      </c>
      <c r="C2268" s="37" t="s">
        <v>46</v>
      </c>
      <c r="D2268" s="20" t="s">
        <v>8117</v>
      </c>
      <c r="E2268" s="20" t="s">
        <v>8118</v>
      </c>
      <c r="F2268" s="37" t="s">
        <v>286</v>
      </c>
      <c r="G2268" s="19" t="s">
        <v>50</v>
      </c>
      <c r="H2268" s="37"/>
      <c r="I2268" s="21" t="s">
        <v>286</v>
      </c>
      <c r="J2268" s="21" t="s">
        <v>29</v>
      </c>
      <c r="K2268" s="22" t="s">
        <v>8119</v>
      </c>
      <c r="L2268" s="56"/>
      <c r="O2268" s="42"/>
      <c r="P2268" s="40"/>
      <c r="Q2268" s="61"/>
      <c r="R2268" s="61"/>
      <c r="S2268" s="40"/>
      <c r="T2268" s="38"/>
      <c r="U2268" s="38"/>
      <c r="V2268" s="38"/>
      <c r="W2268" s="60"/>
      <c r="AB2268" s="42"/>
      <c r="AC2268" s="35"/>
      <c r="AD2268" s="38"/>
      <c r="AE2268" s="38"/>
      <c r="AF2268" s="38"/>
      <c r="AG2268" s="38"/>
      <c r="AH2268" s="60"/>
    </row>
    <row r="2269" spans="1:34" ht="15.75" customHeight="1">
      <c r="A2269" s="105"/>
      <c r="B2269" s="18" t="s">
        <v>8120</v>
      </c>
      <c r="C2269" s="37" t="s">
        <v>46</v>
      </c>
      <c r="D2269" s="20" t="s">
        <v>8121</v>
      </c>
      <c r="E2269" s="20" t="s">
        <v>8122</v>
      </c>
      <c r="F2269" s="37" t="s">
        <v>49</v>
      </c>
      <c r="G2269" s="19" t="s">
        <v>50</v>
      </c>
      <c r="H2269" s="37"/>
      <c r="I2269" s="21" t="s">
        <v>29</v>
      </c>
      <c r="J2269" s="21" t="s">
        <v>29</v>
      </c>
      <c r="K2269" s="22" t="s">
        <v>8123</v>
      </c>
      <c r="L2269" s="56">
        <v>45089</v>
      </c>
      <c r="O2269" s="42"/>
      <c r="P2269" s="40"/>
      <c r="Q2269" s="61"/>
      <c r="R2269" s="61"/>
      <c r="S2269" s="40"/>
      <c r="T2269" s="38"/>
      <c r="U2269" s="38"/>
      <c r="V2269" s="38"/>
      <c r="W2269" s="60"/>
      <c r="AB2269" s="42"/>
      <c r="AC2269" s="35"/>
      <c r="AD2269" s="38"/>
      <c r="AE2269" s="38"/>
      <c r="AF2269" s="38"/>
      <c r="AG2269" s="38"/>
      <c r="AH2269" s="60"/>
    </row>
    <row r="2270" spans="1:34" ht="15.75" customHeight="1">
      <c r="A2270" s="105"/>
      <c r="B2270" s="18" t="s">
        <v>8124</v>
      </c>
      <c r="C2270" s="37" t="s">
        <v>87</v>
      </c>
      <c r="D2270" s="20" t="s">
        <v>8125</v>
      </c>
      <c r="E2270" s="20" t="s">
        <v>8126</v>
      </c>
      <c r="F2270" s="19" t="s">
        <v>90</v>
      </c>
      <c r="G2270" s="19" t="s">
        <v>91</v>
      </c>
      <c r="H2270" s="37"/>
      <c r="I2270" s="21" t="s">
        <v>29</v>
      </c>
      <c r="J2270" s="21" t="s">
        <v>29</v>
      </c>
      <c r="K2270" s="22" t="s">
        <v>8127</v>
      </c>
      <c r="L2270" s="56">
        <v>45089</v>
      </c>
      <c r="O2270" s="42"/>
      <c r="P2270" s="40"/>
      <c r="Q2270" s="61"/>
      <c r="R2270" s="61"/>
      <c r="S2270" s="40"/>
      <c r="T2270" s="38"/>
      <c r="U2270" s="38"/>
      <c r="V2270" s="38"/>
      <c r="W2270" s="60"/>
      <c r="AB2270" s="42"/>
      <c r="AC2270" s="35"/>
      <c r="AD2270" s="38"/>
      <c r="AE2270" s="38"/>
      <c r="AF2270" s="38"/>
      <c r="AG2270" s="38"/>
      <c r="AH2270" s="60"/>
    </row>
    <row r="2271" spans="1:34" ht="15.75" customHeight="1">
      <c r="A2271" s="105"/>
      <c r="B2271" s="18" t="s">
        <v>8128</v>
      </c>
      <c r="C2271" s="37" t="s">
        <v>24</v>
      </c>
      <c r="D2271" s="20" t="s">
        <v>8129</v>
      </c>
      <c r="E2271" s="20" t="s">
        <v>8130</v>
      </c>
      <c r="F2271" s="19" t="s">
        <v>27</v>
      </c>
      <c r="G2271" s="19" t="s">
        <v>28</v>
      </c>
      <c r="H2271" s="37"/>
      <c r="I2271" s="21" t="s">
        <v>29</v>
      </c>
      <c r="J2271" s="21" t="s">
        <v>29</v>
      </c>
      <c r="K2271" s="22" t="s">
        <v>8131</v>
      </c>
      <c r="L2271" s="56">
        <v>45089</v>
      </c>
      <c r="O2271" s="42"/>
      <c r="P2271" s="40"/>
      <c r="Q2271" s="61"/>
      <c r="R2271" s="61"/>
      <c r="S2271" s="40"/>
      <c r="T2271" s="38"/>
      <c r="U2271" s="38"/>
      <c r="V2271" s="38"/>
      <c r="W2271" s="60"/>
      <c r="AB2271" s="42"/>
      <c r="AC2271" s="35"/>
      <c r="AD2271" s="38"/>
      <c r="AE2271" s="38"/>
      <c r="AF2271" s="38"/>
      <c r="AG2271" s="38"/>
      <c r="AH2271" s="60"/>
    </row>
    <row r="2272" spans="1:34" ht="15.75" customHeight="1">
      <c r="A2272" s="105"/>
      <c r="B2272" s="18" t="s">
        <v>8132</v>
      </c>
      <c r="C2272" s="37" t="s">
        <v>24</v>
      </c>
      <c r="D2272" s="20" t="s">
        <v>8133</v>
      </c>
      <c r="E2272" s="20" t="s">
        <v>8134</v>
      </c>
      <c r="F2272" s="19" t="s">
        <v>27</v>
      </c>
      <c r="G2272" s="19" t="s">
        <v>28</v>
      </c>
      <c r="H2272" s="37"/>
      <c r="I2272" s="21" t="s">
        <v>29</v>
      </c>
      <c r="J2272" s="21" t="s">
        <v>29</v>
      </c>
      <c r="K2272" s="22" t="s">
        <v>8135</v>
      </c>
      <c r="L2272" s="56">
        <v>45089</v>
      </c>
      <c r="O2272" s="42"/>
      <c r="P2272" s="40"/>
      <c r="Q2272" s="61"/>
      <c r="R2272" s="61"/>
      <c r="S2272" s="40"/>
      <c r="T2272" s="38"/>
      <c r="U2272" s="38"/>
      <c r="V2272" s="38"/>
      <c r="W2272" s="60"/>
      <c r="AB2272" s="42"/>
      <c r="AC2272" s="35"/>
      <c r="AD2272" s="38"/>
      <c r="AE2272" s="38"/>
      <c r="AF2272" s="38"/>
      <c r="AG2272" s="38"/>
      <c r="AH2272" s="60"/>
    </row>
    <row r="2273" spans="1:34" ht="15.75" customHeight="1">
      <c r="A2273" s="105"/>
      <c r="B2273" s="18" t="s">
        <v>8136</v>
      </c>
      <c r="C2273" s="37" t="s">
        <v>24</v>
      </c>
      <c r="D2273" s="20" t="s">
        <v>8137</v>
      </c>
      <c r="E2273" s="20" t="s">
        <v>8138</v>
      </c>
      <c r="F2273" s="19" t="s">
        <v>27</v>
      </c>
      <c r="G2273" s="19" t="s">
        <v>28</v>
      </c>
      <c r="H2273" s="37"/>
      <c r="I2273" s="21" t="s">
        <v>29</v>
      </c>
      <c r="J2273" s="21" t="s">
        <v>29</v>
      </c>
      <c r="K2273" s="22" t="s">
        <v>8139</v>
      </c>
      <c r="L2273" s="56">
        <v>45089</v>
      </c>
      <c r="O2273" s="42"/>
      <c r="P2273" s="40"/>
      <c r="Q2273" s="61"/>
      <c r="R2273" s="61"/>
      <c r="S2273" s="40"/>
      <c r="T2273" s="38"/>
      <c r="U2273" s="38"/>
      <c r="V2273" s="38"/>
      <c r="W2273" s="60"/>
      <c r="AB2273" s="42"/>
      <c r="AC2273" s="35"/>
      <c r="AD2273" s="38"/>
      <c r="AE2273" s="38"/>
      <c r="AF2273" s="38"/>
      <c r="AG2273" s="38"/>
      <c r="AH2273" s="60"/>
    </row>
    <row r="2274" spans="1:34" ht="15.75" customHeight="1">
      <c r="A2274" s="105"/>
      <c r="B2274" s="18" t="s">
        <v>8140</v>
      </c>
      <c r="C2274" s="37" t="s">
        <v>1470</v>
      </c>
      <c r="D2274" s="20" t="s">
        <v>8141</v>
      </c>
      <c r="E2274" s="20" t="s">
        <v>8142</v>
      </c>
      <c r="F2274" s="19" t="s">
        <v>3286</v>
      </c>
      <c r="G2274" s="19" t="s">
        <v>1461</v>
      </c>
      <c r="H2274" s="37"/>
      <c r="I2274" s="21" t="s">
        <v>233</v>
      </c>
      <c r="J2274" s="21" t="s">
        <v>233</v>
      </c>
      <c r="K2274" s="22" t="s">
        <v>8143</v>
      </c>
      <c r="L2274" s="56">
        <v>45089</v>
      </c>
      <c r="O2274" s="42"/>
      <c r="P2274" s="40"/>
      <c r="Q2274" s="61"/>
      <c r="R2274" s="61"/>
      <c r="S2274" s="40"/>
      <c r="T2274" s="38"/>
      <c r="U2274" s="38"/>
      <c r="V2274" s="38"/>
      <c r="W2274" s="60"/>
      <c r="AB2274" s="42"/>
      <c r="AC2274" s="35"/>
      <c r="AD2274" s="38"/>
      <c r="AE2274" s="38"/>
      <c r="AF2274" s="38"/>
      <c r="AG2274" s="38"/>
      <c r="AH2274" s="60"/>
    </row>
    <row r="2275" spans="1:34" ht="15.75" customHeight="1">
      <c r="A2275" s="105"/>
      <c r="B2275" s="18" t="s">
        <v>8144</v>
      </c>
      <c r="C2275" s="37" t="s">
        <v>87</v>
      </c>
      <c r="D2275" s="20" t="s">
        <v>8145</v>
      </c>
      <c r="E2275" s="20" t="s">
        <v>8146</v>
      </c>
      <c r="F2275" s="19" t="s">
        <v>90</v>
      </c>
      <c r="G2275" s="19" t="s">
        <v>91</v>
      </c>
      <c r="H2275" s="37"/>
      <c r="I2275" s="21" t="s">
        <v>29</v>
      </c>
      <c r="J2275" s="21" t="s">
        <v>29</v>
      </c>
      <c r="K2275" s="22" t="s">
        <v>8147</v>
      </c>
      <c r="L2275" s="56">
        <v>45089</v>
      </c>
      <c r="O2275" s="42"/>
      <c r="P2275" s="40"/>
      <c r="Q2275" s="61"/>
      <c r="R2275" s="61"/>
      <c r="S2275" s="40"/>
      <c r="T2275" s="38"/>
      <c r="U2275" s="38"/>
      <c r="V2275" s="38"/>
      <c r="W2275" s="60"/>
      <c r="AB2275" s="42"/>
      <c r="AC2275" s="35"/>
      <c r="AD2275" s="38"/>
      <c r="AE2275" s="38"/>
      <c r="AF2275" s="38"/>
      <c r="AG2275" s="38"/>
      <c r="AH2275" s="60"/>
    </row>
    <row r="2276" spans="1:34" ht="15.75" customHeight="1">
      <c r="A2276" s="105"/>
      <c r="B2276" s="34" t="s">
        <v>8148</v>
      </c>
      <c r="C2276" s="37" t="s">
        <v>24</v>
      </c>
      <c r="D2276" s="20" t="s">
        <v>8149</v>
      </c>
      <c r="E2276" s="20" t="s">
        <v>8150</v>
      </c>
      <c r="F2276" s="19" t="s">
        <v>90</v>
      </c>
      <c r="G2276" s="19" t="s">
        <v>91</v>
      </c>
      <c r="H2276" s="37"/>
      <c r="I2276" s="21" t="s">
        <v>29</v>
      </c>
      <c r="J2276" s="21" t="s">
        <v>29</v>
      </c>
      <c r="K2276" s="22" t="s">
        <v>8151</v>
      </c>
      <c r="L2276" s="56">
        <v>45089</v>
      </c>
      <c r="O2276" s="42"/>
      <c r="P2276" s="40"/>
      <c r="Q2276" s="61"/>
      <c r="R2276" s="61"/>
      <c r="S2276" s="40"/>
      <c r="T2276" s="38"/>
      <c r="U2276" s="38"/>
      <c r="V2276" s="38"/>
      <c r="W2276" s="60"/>
      <c r="AB2276" s="42"/>
      <c r="AC2276" s="35"/>
      <c r="AD2276" s="38"/>
      <c r="AE2276" s="38"/>
      <c r="AF2276" s="38"/>
      <c r="AG2276" s="38"/>
      <c r="AH2276" s="60"/>
    </row>
    <row r="2277" spans="1:34" ht="15.75" customHeight="1">
      <c r="A2277" s="105"/>
      <c r="B2277" s="18" t="s">
        <v>8152</v>
      </c>
      <c r="C2277" s="37" t="s">
        <v>24</v>
      </c>
      <c r="D2277" s="20" t="s">
        <v>8153</v>
      </c>
      <c r="E2277" s="20" t="s">
        <v>8154</v>
      </c>
      <c r="F2277" s="19" t="s">
        <v>27</v>
      </c>
      <c r="G2277" s="19" t="s">
        <v>28</v>
      </c>
      <c r="H2277" s="37"/>
      <c r="I2277" s="21" t="s">
        <v>29</v>
      </c>
      <c r="J2277" s="21" t="s">
        <v>29</v>
      </c>
      <c r="K2277" s="22" t="s">
        <v>8155</v>
      </c>
      <c r="L2277" s="56">
        <v>45089</v>
      </c>
      <c r="O2277" s="42"/>
      <c r="P2277" s="40"/>
      <c r="Q2277" s="61"/>
      <c r="R2277" s="61"/>
      <c r="S2277" s="40"/>
      <c r="T2277" s="38"/>
      <c r="U2277" s="38"/>
      <c r="V2277" s="38"/>
      <c r="W2277" s="60"/>
      <c r="AB2277" s="42"/>
      <c r="AC2277" s="35"/>
      <c r="AD2277" s="38"/>
      <c r="AE2277" s="38"/>
      <c r="AF2277" s="38"/>
      <c r="AG2277" s="38"/>
      <c r="AH2277" s="60"/>
    </row>
    <row r="2278" spans="1:34" ht="15.75" customHeight="1">
      <c r="A2278" s="105"/>
      <c r="B2278" s="18" t="s">
        <v>8156</v>
      </c>
      <c r="C2278" s="37" t="s">
        <v>24</v>
      </c>
      <c r="D2278" s="20" t="s">
        <v>8157</v>
      </c>
      <c r="E2278" s="20" t="s">
        <v>8158</v>
      </c>
      <c r="F2278" s="19" t="s">
        <v>27</v>
      </c>
      <c r="G2278" s="19" t="s">
        <v>28</v>
      </c>
      <c r="H2278" s="37"/>
      <c r="I2278" s="21" t="s">
        <v>29</v>
      </c>
      <c r="J2278" s="21" t="s">
        <v>29</v>
      </c>
      <c r="K2278" s="22" t="s">
        <v>8159</v>
      </c>
      <c r="L2278" s="56">
        <v>45089</v>
      </c>
      <c r="O2278" s="42"/>
      <c r="P2278" s="40"/>
      <c r="Q2278" s="61"/>
      <c r="R2278" s="61"/>
      <c r="S2278" s="40"/>
      <c r="T2278" s="38"/>
      <c r="U2278" s="38"/>
      <c r="V2278" s="38"/>
      <c r="W2278" s="60"/>
      <c r="AB2278" s="42"/>
      <c r="AC2278" s="35"/>
      <c r="AD2278" s="38"/>
      <c r="AE2278" s="38"/>
      <c r="AF2278" s="38"/>
      <c r="AG2278" s="38"/>
      <c r="AH2278" s="60"/>
    </row>
    <row r="2279" spans="1:34" ht="15.75" customHeight="1">
      <c r="A2279" s="105"/>
      <c r="B2279" s="36" t="s">
        <v>8160</v>
      </c>
      <c r="C2279" s="37" t="s">
        <v>121</v>
      </c>
      <c r="D2279" s="20" t="s">
        <v>8161</v>
      </c>
      <c r="E2279" s="20" t="s">
        <v>8162</v>
      </c>
      <c r="F2279" s="19" t="s">
        <v>90</v>
      </c>
      <c r="G2279" s="19" t="s">
        <v>91</v>
      </c>
      <c r="H2279" s="37"/>
      <c r="I2279" s="21" t="s">
        <v>29</v>
      </c>
      <c r="J2279" s="21" t="s">
        <v>29</v>
      </c>
      <c r="K2279" s="22" t="s">
        <v>8163</v>
      </c>
      <c r="L2279" s="56">
        <v>45089</v>
      </c>
      <c r="O2279" s="42"/>
      <c r="P2279" s="40"/>
      <c r="Q2279" s="61"/>
      <c r="R2279" s="61"/>
      <c r="S2279" s="40"/>
      <c r="T2279" s="38"/>
      <c r="U2279" s="38"/>
      <c r="V2279" s="38"/>
      <c r="W2279" s="60"/>
      <c r="AB2279" s="42"/>
      <c r="AC2279" s="35"/>
      <c r="AD2279" s="38"/>
      <c r="AE2279" s="38"/>
      <c r="AF2279" s="38"/>
      <c r="AG2279" s="38"/>
      <c r="AH2279" s="60"/>
    </row>
    <row r="2280" spans="1:34" ht="15.75" customHeight="1">
      <c r="A2280" s="105"/>
      <c r="B2280" s="18" t="s">
        <v>8164</v>
      </c>
      <c r="C2280" s="37" t="s">
        <v>24</v>
      </c>
      <c r="D2280" s="20" t="s">
        <v>8165</v>
      </c>
      <c r="E2280" s="20" t="s">
        <v>8166</v>
      </c>
      <c r="F2280" s="19" t="s">
        <v>27</v>
      </c>
      <c r="G2280" s="19" t="s">
        <v>28</v>
      </c>
      <c r="H2280" s="37"/>
      <c r="I2280" s="21" t="s">
        <v>29</v>
      </c>
      <c r="J2280" s="21" t="s">
        <v>29</v>
      </c>
      <c r="K2280" s="22" t="s">
        <v>8167</v>
      </c>
      <c r="L2280" s="56">
        <v>45089</v>
      </c>
      <c r="O2280" s="42"/>
      <c r="P2280" s="40"/>
      <c r="Q2280" s="61"/>
      <c r="R2280" s="61"/>
      <c r="S2280" s="40"/>
      <c r="T2280" s="38"/>
      <c r="U2280" s="38"/>
      <c r="V2280" s="38"/>
      <c r="W2280" s="60"/>
      <c r="AB2280" s="42"/>
      <c r="AC2280" s="35"/>
      <c r="AD2280" s="38"/>
      <c r="AE2280" s="38"/>
      <c r="AF2280" s="38"/>
      <c r="AG2280" s="38"/>
      <c r="AH2280" s="60"/>
    </row>
    <row r="2281" spans="1:34" ht="15.75" customHeight="1">
      <c r="A2281" s="105"/>
      <c r="B2281" s="18" t="s">
        <v>8168</v>
      </c>
      <c r="C2281" s="37" t="s">
        <v>46</v>
      </c>
      <c r="D2281" s="20" t="s">
        <v>8169</v>
      </c>
      <c r="E2281" s="20" t="s">
        <v>8170</v>
      </c>
      <c r="F2281" s="37" t="s">
        <v>49</v>
      </c>
      <c r="G2281" s="19" t="s">
        <v>50</v>
      </c>
      <c r="H2281" s="37"/>
      <c r="I2281" s="21" t="s">
        <v>29</v>
      </c>
      <c r="J2281" s="21" t="s">
        <v>29</v>
      </c>
      <c r="K2281" s="22" t="s">
        <v>8171</v>
      </c>
      <c r="L2281" s="56">
        <v>45089</v>
      </c>
      <c r="O2281" s="42"/>
      <c r="P2281" s="40"/>
      <c r="Q2281" s="61"/>
      <c r="R2281" s="61"/>
      <c r="S2281" s="40"/>
      <c r="T2281" s="38"/>
      <c r="U2281" s="38"/>
      <c r="V2281" s="38"/>
      <c r="W2281" s="60"/>
      <c r="AB2281" s="42"/>
      <c r="AC2281" s="35"/>
      <c r="AD2281" s="38"/>
      <c r="AE2281" s="38"/>
      <c r="AF2281" s="38"/>
      <c r="AG2281" s="38"/>
      <c r="AH2281" s="60"/>
    </row>
    <row r="2282" spans="1:34" ht="15.75" customHeight="1">
      <c r="A2282" s="105"/>
      <c r="B2282" s="38" t="s">
        <v>8172</v>
      </c>
      <c r="C2282" s="37" t="s">
        <v>46</v>
      </c>
      <c r="D2282" s="20" t="s">
        <v>8173</v>
      </c>
      <c r="E2282" s="20" t="s">
        <v>8174</v>
      </c>
      <c r="F2282" s="37" t="s">
        <v>286</v>
      </c>
      <c r="G2282" s="19" t="s">
        <v>50</v>
      </c>
      <c r="H2282" s="37"/>
      <c r="I2282" s="21" t="s">
        <v>286</v>
      </c>
      <c r="J2282" s="21" t="s">
        <v>29</v>
      </c>
      <c r="K2282" s="22" t="s">
        <v>8175</v>
      </c>
      <c r="L2282" s="56"/>
      <c r="O2282" s="42"/>
      <c r="P2282" s="40"/>
      <c r="Q2282" s="61"/>
      <c r="R2282" s="61"/>
      <c r="S2282" s="40"/>
      <c r="T2282" s="38"/>
      <c r="U2282" s="38"/>
      <c r="V2282" s="38"/>
      <c r="W2282" s="60"/>
      <c r="AB2282" s="42"/>
      <c r="AC2282" s="35"/>
      <c r="AD2282" s="38"/>
      <c r="AE2282" s="38"/>
      <c r="AF2282" s="38"/>
      <c r="AG2282" s="38"/>
      <c r="AH2282" s="60"/>
    </row>
    <row r="2283" spans="1:34" ht="15.75" customHeight="1">
      <c r="A2283" s="105"/>
      <c r="B2283" s="18" t="s">
        <v>8176</v>
      </c>
      <c r="C2283" s="37" t="s">
        <v>24</v>
      </c>
      <c r="D2283" s="20" t="s">
        <v>8177</v>
      </c>
      <c r="E2283" s="20" t="s">
        <v>8178</v>
      </c>
      <c r="F2283" s="19" t="s">
        <v>27</v>
      </c>
      <c r="G2283" s="19" t="s">
        <v>28</v>
      </c>
      <c r="H2283" s="37"/>
      <c r="I2283" s="21" t="s">
        <v>29</v>
      </c>
      <c r="J2283" s="21" t="s">
        <v>29</v>
      </c>
      <c r="K2283" s="22" t="s">
        <v>8179</v>
      </c>
      <c r="L2283" s="56">
        <v>45089</v>
      </c>
      <c r="O2283" s="42"/>
      <c r="P2283" s="40"/>
      <c r="Q2283" s="61"/>
      <c r="R2283" s="61"/>
      <c r="S2283" s="40"/>
      <c r="T2283" s="38"/>
      <c r="U2283" s="38"/>
      <c r="V2283" s="38"/>
      <c r="W2283" s="60"/>
      <c r="AB2283" s="42"/>
      <c r="AC2283" s="35"/>
      <c r="AD2283" s="38"/>
      <c r="AE2283" s="38"/>
      <c r="AF2283" s="38"/>
      <c r="AG2283" s="38"/>
      <c r="AH2283" s="60"/>
    </row>
    <row r="2284" spans="1:34" ht="15.75" customHeight="1">
      <c r="A2284" s="105"/>
      <c r="B2284" s="18" t="s">
        <v>8180</v>
      </c>
      <c r="C2284" s="37" t="s">
        <v>87</v>
      </c>
      <c r="D2284" s="20" t="s">
        <v>8181</v>
      </c>
      <c r="E2284" s="20" t="s">
        <v>8182</v>
      </c>
      <c r="F2284" s="19" t="s">
        <v>90</v>
      </c>
      <c r="G2284" s="19" t="s">
        <v>91</v>
      </c>
      <c r="H2284" s="37"/>
      <c r="I2284" s="21" t="s">
        <v>29</v>
      </c>
      <c r="J2284" s="21" t="s">
        <v>29</v>
      </c>
      <c r="K2284" s="22" t="s">
        <v>8183</v>
      </c>
      <c r="L2284" s="56">
        <v>45089</v>
      </c>
      <c r="O2284" s="42"/>
      <c r="P2284" s="40"/>
      <c r="Q2284" s="61"/>
      <c r="R2284" s="61"/>
      <c r="S2284" s="40"/>
      <c r="T2284" s="38"/>
      <c r="U2284" s="38"/>
      <c r="V2284" s="38"/>
      <c r="W2284" s="60"/>
      <c r="AB2284" s="42"/>
      <c r="AC2284" s="35"/>
      <c r="AD2284" s="38"/>
      <c r="AE2284" s="38"/>
      <c r="AF2284" s="38"/>
      <c r="AG2284" s="38"/>
      <c r="AH2284" s="60"/>
    </row>
    <row r="2285" spans="1:34" ht="15.75" customHeight="1">
      <c r="A2285" s="105"/>
      <c r="B2285" s="18" t="s">
        <v>8184</v>
      </c>
      <c r="C2285" s="37" t="s">
        <v>24</v>
      </c>
      <c r="D2285" s="20" t="s">
        <v>8185</v>
      </c>
      <c r="E2285" s="20" t="s">
        <v>8186</v>
      </c>
      <c r="F2285" s="19" t="s">
        <v>27</v>
      </c>
      <c r="G2285" s="19" t="s">
        <v>28</v>
      </c>
      <c r="H2285" s="37"/>
      <c r="I2285" s="21" t="s">
        <v>29</v>
      </c>
      <c r="J2285" s="21" t="s">
        <v>29</v>
      </c>
      <c r="K2285" s="22" t="s">
        <v>8187</v>
      </c>
      <c r="L2285" s="56">
        <v>45089</v>
      </c>
      <c r="O2285" s="42"/>
      <c r="P2285" s="40"/>
      <c r="Q2285" s="61"/>
      <c r="R2285" s="61"/>
      <c r="S2285" s="40"/>
      <c r="T2285" s="38"/>
      <c r="U2285" s="38"/>
      <c r="V2285" s="38"/>
      <c r="W2285" s="60"/>
      <c r="AB2285" s="42"/>
      <c r="AC2285" s="35"/>
      <c r="AD2285" s="38"/>
      <c r="AE2285" s="38"/>
      <c r="AF2285" s="38"/>
      <c r="AG2285" s="38"/>
      <c r="AH2285" s="60"/>
    </row>
    <row r="2286" spans="1:34" ht="15.75" customHeight="1">
      <c r="A2286" s="105"/>
      <c r="B2286" s="18" t="s">
        <v>8188</v>
      </c>
      <c r="C2286" s="37" t="s">
        <v>87</v>
      </c>
      <c r="D2286" s="20" t="s">
        <v>8189</v>
      </c>
      <c r="E2286" s="20" t="s">
        <v>8190</v>
      </c>
      <c r="F2286" s="19" t="s">
        <v>90</v>
      </c>
      <c r="G2286" s="19" t="s">
        <v>91</v>
      </c>
      <c r="H2286" s="37"/>
      <c r="I2286" s="21" t="s">
        <v>29</v>
      </c>
      <c r="J2286" s="21" t="s">
        <v>29</v>
      </c>
      <c r="K2286" s="22" t="s">
        <v>8191</v>
      </c>
      <c r="L2286" s="56">
        <v>45089</v>
      </c>
      <c r="O2286" s="42"/>
      <c r="P2286" s="40"/>
      <c r="Q2286" s="61"/>
      <c r="R2286" s="61"/>
      <c r="S2286" s="40"/>
      <c r="T2286" s="38"/>
      <c r="U2286" s="38"/>
      <c r="V2286" s="38"/>
      <c r="W2286" s="60"/>
      <c r="AB2286" s="42"/>
      <c r="AC2286" s="35"/>
      <c r="AD2286" s="38"/>
      <c r="AE2286" s="38"/>
      <c r="AF2286" s="38"/>
      <c r="AG2286" s="38"/>
      <c r="AH2286" s="60"/>
    </row>
    <row r="2287" spans="1:34" ht="15.75" customHeight="1">
      <c r="A2287" s="105"/>
      <c r="B2287" s="34" t="s">
        <v>8192</v>
      </c>
      <c r="C2287" s="37" t="s">
        <v>24</v>
      </c>
      <c r="D2287" s="20" t="s">
        <v>8193</v>
      </c>
      <c r="E2287" s="20" t="s">
        <v>8194</v>
      </c>
      <c r="F2287" s="19" t="s">
        <v>90</v>
      </c>
      <c r="G2287" s="19" t="s">
        <v>91</v>
      </c>
      <c r="H2287" s="37"/>
      <c r="I2287" s="21" t="s">
        <v>29</v>
      </c>
      <c r="J2287" s="21" t="s">
        <v>29</v>
      </c>
      <c r="K2287" s="22" t="s">
        <v>8195</v>
      </c>
      <c r="L2287" s="56">
        <v>45089</v>
      </c>
      <c r="O2287" s="42"/>
      <c r="P2287" s="40"/>
      <c r="Q2287" s="61"/>
      <c r="R2287" s="61"/>
      <c r="S2287" s="40"/>
      <c r="T2287" s="38"/>
      <c r="U2287" s="38"/>
      <c r="V2287" s="38"/>
      <c r="W2287" s="60"/>
      <c r="AB2287" s="42"/>
      <c r="AC2287" s="35"/>
      <c r="AD2287" s="38"/>
      <c r="AE2287" s="38"/>
      <c r="AF2287" s="38"/>
      <c r="AG2287" s="38"/>
      <c r="AH2287" s="60"/>
    </row>
    <row r="2288" spans="1:34" ht="15.75" customHeight="1">
      <c r="A2288" s="105"/>
      <c r="B2288" s="18" t="s">
        <v>8196</v>
      </c>
      <c r="C2288" s="37" t="s">
        <v>1470</v>
      </c>
      <c r="D2288" s="20" t="s">
        <v>8197</v>
      </c>
      <c r="E2288" s="20"/>
      <c r="F2288" s="19" t="s">
        <v>3286</v>
      </c>
      <c r="G2288" s="37" t="s">
        <v>1461</v>
      </c>
      <c r="H2288" s="37"/>
      <c r="I2288" s="21" t="s">
        <v>233</v>
      </c>
      <c r="J2288" s="21" t="s">
        <v>233</v>
      </c>
      <c r="K2288" s="22"/>
      <c r="L2288" s="56">
        <v>45089</v>
      </c>
      <c r="O2288" s="42"/>
      <c r="P2288" s="40"/>
      <c r="Q2288" s="61"/>
      <c r="R2288" s="61"/>
      <c r="S2288" s="40"/>
      <c r="T2288" s="38"/>
      <c r="U2288" s="38"/>
      <c r="V2288" s="38"/>
      <c r="W2288" s="60"/>
      <c r="AB2288" s="42"/>
      <c r="AC2288" s="35"/>
      <c r="AD2288" s="38"/>
      <c r="AE2288" s="38"/>
      <c r="AF2288" s="38"/>
      <c r="AG2288" s="38"/>
      <c r="AH2288" s="60"/>
    </row>
    <row r="2289" spans="1:34" ht="15.75" customHeight="1">
      <c r="A2289" s="105"/>
      <c r="B2289" s="18" t="s">
        <v>8198</v>
      </c>
      <c r="C2289" s="37" t="s">
        <v>24</v>
      </c>
      <c r="D2289" s="20" t="s">
        <v>8199</v>
      </c>
      <c r="E2289" s="20" t="s">
        <v>8200</v>
      </c>
      <c r="F2289" s="19" t="s">
        <v>27</v>
      </c>
      <c r="G2289" s="19" t="s">
        <v>28</v>
      </c>
      <c r="H2289" s="37"/>
      <c r="I2289" s="21" t="s">
        <v>29</v>
      </c>
      <c r="J2289" s="21" t="s">
        <v>29</v>
      </c>
      <c r="K2289" s="22" t="s">
        <v>8201</v>
      </c>
      <c r="L2289" s="56">
        <v>45089</v>
      </c>
      <c r="O2289" s="42"/>
      <c r="P2289" s="40"/>
      <c r="Q2289" s="61"/>
      <c r="R2289" s="61"/>
      <c r="S2289" s="40"/>
      <c r="T2289" s="38"/>
      <c r="U2289" s="38"/>
      <c r="V2289" s="38"/>
      <c r="W2289" s="60"/>
      <c r="AB2289" s="42"/>
      <c r="AC2289" s="35"/>
      <c r="AD2289" s="38"/>
      <c r="AE2289" s="38"/>
      <c r="AF2289" s="38"/>
      <c r="AG2289" s="38"/>
      <c r="AH2289" s="60"/>
    </row>
    <row r="2290" spans="1:34" ht="15.75" customHeight="1">
      <c r="A2290" s="105"/>
      <c r="B2290" s="36" t="s">
        <v>8202</v>
      </c>
      <c r="C2290" s="19" t="s">
        <v>121</v>
      </c>
      <c r="D2290" s="20" t="s">
        <v>8203</v>
      </c>
      <c r="E2290" s="20" t="s">
        <v>8204</v>
      </c>
      <c r="F2290" s="19" t="s">
        <v>90</v>
      </c>
      <c r="G2290" s="37" t="s">
        <v>452</v>
      </c>
      <c r="H2290" s="37"/>
      <c r="I2290" s="21" t="s">
        <v>29</v>
      </c>
      <c r="J2290" s="21" t="s">
        <v>452</v>
      </c>
      <c r="K2290" s="22" t="s">
        <v>8205</v>
      </c>
      <c r="L2290" s="56">
        <v>45089</v>
      </c>
      <c r="O2290" s="42"/>
      <c r="P2290" s="40"/>
      <c r="Q2290" s="61"/>
      <c r="R2290" s="61"/>
      <c r="S2290" s="40"/>
      <c r="T2290" s="38"/>
      <c r="U2290" s="38"/>
      <c r="V2290" s="38"/>
      <c r="W2290" s="60"/>
      <c r="AB2290" s="42"/>
      <c r="AC2290" s="35"/>
      <c r="AD2290" s="38"/>
      <c r="AE2290" s="38"/>
      <c r="AF2290" s="38"/>
      <c r="AG2290" s="38"/>
      <c r="AH2290" s="60"/>
    </row>
    <row r="2291" spans="1:34" ht="15.75" customHeight="1">
      <c r="A2291" s="105"/>
      <c r="B2291" s="18" t="s">
        <v>8206</v>
      </c>
      <c r="C2291" s="37" t="s">
        <v>46</v>
      </c>
      <c r="D2291" s="20" t="s">
        <v>8207</v>
      </c>
      <c r="E2291" s="20" t="s">
        <v>8208</v>
      </c>
      <c r="F2291" s="37" t="s">
        <v>49</v>
      </c>
      <c r="G2291" s="19" t="s">
        <v>50</v>
      </c>
      <c r="H2291" s="37"/>
      <c r="I2291" s="21" t="s">
        <v>29</v>
      </c>
      <c r="J2291" s="21" t="s">
        <v>29</v>
      </c>
      <c r="K2291" s="22" t="s">
        <v>8209</v>
      </c>
      <c r="L2291" s="56">
        <v>45089</v>
      </c>
      <c r="O2291" s="42"/>
      <c r="P2291" s="40"/>
      <c r="Q2291" s="61"/>
      <c r="R2291" s="61"/>
      <c r="S2291" s="40"/>
      <c r="T2291" s="38"/>
      <c r="U2291" s="38"/>
      <c r="V2291" s="38"/>
      <c r="W2291" s="60"/>
      <c r="AB2291" s="42"/>
      <c r="AC2291" s="35"/>
      <c r="AD2291" s="38"/>
      <c r="AE2291" s="38"/>
      <c r="AF2291" s="38"/>
      <c r="AG2291" s="38"/>
      <c r="AH2291" s="60"/>
    </row>
    <row r="2292" spans="1:34" ht="15.75" customHeight="1">
      <c r="A2292" s="105"/>
      <c r="B2292" s="18" t="s">
        <v>8210</v>
      </c>
      <c r="C2292" s="37" t="s">
        <v>24</v>
      </c>
      <c r="D2292" s="20" t="s">
        <v>8211</v>
      </c>
      <c r="E2292" s="20" t="s">
        <v>8212</v>
      </c>
      <c r="F2292" s="19" t="s">
        <v>27</v>
      </c>
      <c r="G2292" s="19" t="s">
        <v>28</v>
      </c>
      <c r="H2292" s="37"/>
      <c r="I2292" s="21" t="s">
        <v>29</v>
      </c>
      <c r="J2292" s="21" t="s">
        <v>29</v>
      </c>
      <c r="K2292" s="22" t="s">
        <v>8213</v>
      </c>
      <c r="L2292" s="56">
        <v>45089</v>
      </c>
      <c r="O2292" s="42"/>
      <c r="P2292" s="40"/>
      <c r="Q2292" s="61"/>
      <c r="R2292" s="61"/>
      <c r="S2292" s="40"/>
      <c r="T2292" s="38"/>
      <c r="U2292" s="38"/>
      <c r="V2292" s="38"/>
      <c r="W2292" s="60"/>
      <c r="AB2292" s="42"/>
      <c r="AC2292" s="35"/>
      <c r="AD2292" s="38"/>
      <c r="AE2292" s="38"/>
      <c r="AF2292" s="38"/>
      <c r="AG2292" s="38"/>
      <c r="AH2292" s="60"/>
    </row>
    <row r="2293" spans="1:34" ht="15.75" customHeight="1">
      <c r="A2293" s="105"/>
      <c r="B2293" s="18" t="s">
        <v>8214</v>
      </c>
      <c r="C2293" s="37" t="s">
        <v>87</v>
      </c>
      <c r="D2293" s="20" t="s">
        <v>8215</v>
      </c>
      <c r="E2293" s="20" t="s">
        <v>8216</v>
      </c>
      <c r="F2293" s="19" t="s">
        <v>90</v>
      </c>
      <c r="G2293" s="19" t="s">
        <v>91</v>
      </c>
      <c r="H2293" s="37"/>
      <c r="I2293" s="21" t="s">
        <v>29</v>
      </c>
      <c r="J2293" s="21" t="s">
        <v>29</v>
      </c>
      <c r="K2293" s="22" t="s">
        <v>8217</v>
      </c>
      <c r="L2293" s="56">
        <v>45089</v>
      </c>
      <c r="O2293" s="42"/>
      <c r="P2293" s="40"/>
      <c r="Q2293" s="61"/>
      <c r="R2293" s="61"/>
      <c r="S2293" s="40"/>
      <c r="T2293" s="38"/>
      <c r="U2293" s="38"/>
      <c r="V2293" s="38"/>
      <c r="W2293" s="60"/>
      <c r="AB2293" s="42"/>
      <c r="AC2293" s="35"/>
      <c r="AD2293" s="38"/>
      <c r="AE2293" s="38"/>
      <c r="AF2293" s="38"/>
      <c r="AG2293" s="38"/>
      <c r="AH2293" s="60"/>
    </row>
    <row r="2294" spans="1:34" ht="15.75" customHeight="1">
      <c r="A2294" s="105"/>
      <c r="B2294" s="18" t="s">
        <v>8218</v>
      </c>
      <c r="C2294" s="37" t="s">
        <v>24</v>
      </c>
      <c r="D2294" s="20" t="s">
        <v>8219</v>
      </c>
      <c r="E2294" s="20" t="s">
        <v>8220</v>
      </c>
      <c r="F2294" s="19" t="s">
        <v>27</v>
      </c>
      <c r="G2294" s="19" t="s">
        <v>28</v>
      </c>
      <c r="H2294" s="37"/>
      <c r="I2294" s="21" t="s">
        <v>29</v>
      </c>
      <c r="J2294" s="21" t="s">
        <v>29</v>
      </c>
      <c r="K2294" s="22" t="s">
        <v>8221</v>
      </c>
      <c r="L2294" s="56">
        <v>45089</v>
      </c>
      <c r="O2294" s="42"/>
      <c r="P2294" s="40"/>
      <c r="Q2294" s="61"/>
      <c r="R2294" s="61"/>
      <c r="S2294" s="40"/>
      <c r="T2294" s="38"/>
      <c r="U2294" s="38"/>
      <c r="V2294" s="38"/>
      <c r="W2294" s="60"/>
      <c r="AB2294" s="42"/>
      <c r="AC2294" s="35"/>
      <c r="AD2294" s="38"/>
      <c r="AE2294" s="38"/>
      <c r="AF2294" s="38"/>
      <c r="AG2294" s="38"/>
      <c r="AH2294" s="60"/>
    </row>
    <row r="2295" spans="1:34" ht="15.75" customHeight="1">
      <c r="A2295" s="105"/>
      <c r="B2295" s="18" t="s">
        <v>8222</v>
      </c>
      <c r="C2295" s="37" t="s">
        <v>46</v>
      </c>
      <c r="D2295" s="20" t="s">
        <v>8223</v>
      </c>
      <c r="E2295" s="20" t="s">
        <v>8224</v>
      </c>
      <c r="F2295" s="37" t="s">
        <v>49</v>
      </c>
      <c r="G2295" s="19" t="s">
        <v>50</v>
      </c>
      <c r="H2295" s="37"/>
      <c r="I2295" s="21" t="s">
        <v>29</v>
      </c>
      <c r="J2295" s="21" t="s">
        <v>29</v>
      </c>
      <c r="K2295" s="22" t="s">
        <v>8225</v>
      </c>
      <c r="L2295" s="56">
        <v>45089</v>
      </c>
      <c r="O2295" s="42"/>
      <c r="P2295" s="40"/>
      <c r="Q2295" s="61"/>
      <c r="R2295" s="61"/>
      <c r="S2295" s="40"/>
      <c r="T2295" s="38"/>
      <c r="U2295" s="38"/>
      <c r="V2295" s="38"/>
      <c r="W2295" s="60"/>
      <c r="AB2295" s="42"/>
      <c r="AC2295" s="35"/>
      <c r="AD2295" s="38"/>
      <c r="AE2295" s="38"/>
      <c r="AF2295" s="38"/>
      <c r="AG2295" s="38"/>
      <c r="AH2295" s="60"/>
    </row>
    <row r="2296" spans="1:34" ht="15.75" customHeight="1">
      <c r="A2296" s="105"/>
      <c r="B2296" s="18" t="s">
        <v>8226</v>
      </c>
      <c r="C2296" s="37" t="s">
        <v>87</v>
      </c>
      <c r="D2296" s="20" t="s">
        <v>8227</v>
      </c>
      <c r="E2296" s="20" t="s">
        <v>8228</v>
      </c>
      <c r="F2296" s="19" t="s">
        <v>90</v>
      </c>
      <c r="G2296" s="19" t="s">
        <v>91</v>
      </c>
      <c r="H2296" s="37"/>
      <c r="I2296" s="21" t="s">
        <v>29</v>
      </c>
      <c r="J2296" s="21" t="s">
        <v>29</v>
      </c>
      <c r="K2296" s="22" t="s">
        <v>8229</v>
      </c>
      <c r="L2296" s="56">
        <v>45089</v>
      </c>
      <c r="O2296" s="42"/>
      <c r="P2296" s="40"/>
      <c r="Q2296" s="61"/>
      <c r="R2296" s="61"/>
      <c r="S2296" s="40"/>
      <c r="T2296" s="38"/>
      <c r="U2296" s="38"/>
      <c r="V2296" s="38"/>
      <c r="W2296" s="60"/>
      <c r="AB2296" s="42"/>
      <c r="AC2296" s="35"/>
      <c r="AD2296" s="38"/>
      <c r="AE2296" s="38"/>
      <c r="AF2296" s="38"/>
      <c r="AG2296" s="38"/>
      <c r="AH2296" s="60"/>
    </row>
    <row r="2297" spans="1:34" ht="15.75" customHeight="1">
      <c r="A2297" s="105"/>
      <c r="B2297" s="18" t="s">
        <v>8230</v>
      </c>
      <c r="C2297" s="37" t="s">
        <v>24</v>
      </c>
      <c r="D2297" s="20" t="s">
        <v>8231</v>
      </c>
      <c r="E2297" s="20" t="s">
        <v>8232</v>
      </c>
      <c r="F2297" s="19" t="s">
        <v>27</v>
      </c>
      <c r="G2297" s="19" t="s">
        <v>28</v>
      </c>
      <c r="H2297" s="37" t="s">
        <v>762</v>
      </c>
      <c r="I2297" s="21" t="s">
        <v>29</v>
      </c>
      <c r="J2297" s="21" t="s">
        <v>29</v>
      </c>
      <c r="K2297" s="22" t="s">
        <v>8233</v>
      </c>
      <c r="L2297" s="56">
        <v>45089</v>
      </c>
      <c r="O2297" s="42"/>
      <c r="P2297" s="40"/>
      <c r="Q2297" s="61"/>
      <c r="R2297" s="61"/>
      <c r="S2297" s="40"/>
      <c r="T2297" s="38"/>
      <c r="U2297" s="38"/>
      <c r="V2297" s="38"/>
      <c r="W2297" s="60"/>
      <c r="AB2297" s="42"/>
      <c r="AC2297" s="35"/>
      <c r="AD2297" s="38"/>
      <c r="AE2297" s="38"/>
      <c r="AF2297" s="38"/>
      <c r="AG2297" s="38"/>
      <c r="AH2297" s="60"/>
    </row>
    <row r="2298" spans="1:34" ht="15.75" customHeight="1">
      <c r="A2298" s="105"/>
      <c r="B2298" s="18" t="s">
        <v>8234</v>
      </c>
      <c r="C2298" s="37" t="s">
        <v>1430</v>
      </c>
      <c r="D2298" s="20" t="s">
        <v>8235</v>
      </c>
      <c r="E2298" s="20"/>
      <c r="F2298" s="37" t="s">
        <v>49</v>
      </c>
      <c r="G2298" s="19" t="s">
        <v>50</v>
      </c>
      <c r="H2298" s="37"/>
      <c r="I2298" s="21" t="s">
        <v>233</v>
      </c>
      <c r="J2298" s="21" t="s">
        <v>233</v>
      </c>
      <c r="K2298" s="22"/>
      <c r="L2298" s="56">
        <v>45089</v>
      </c>
      <c r="O2298" s="42"/>
      <c r="P2298" s="40"/>
      <c r="Q2298" s="61"/>
      <c r="R2298" s="61"/>
      <c r="S2298" s="40"/>
      <c r="T2298" s="38"/>
      <c r="U2298" s="38"/>
      <c r="V2298" s="38"/>
      <c r="W2298" s="60"/>
      <c r="AB2298" s="42"/>
      <c r="AC2298" s="35"/>
      <c r="AD2298" s="38"/>
      <c r="AE2298" s="38"/>
      <c r="AF2298" s="38"/>
      <c r="AG2298" s="38"/>
      <c r="AH2298" s="60"/>
    </row>
    <row r="2299" spans="1:34" ht="15.75" customHeight="1">
      <c r="A2299" s="105"/>
      <c r="B2299" s="18" t="s">
        <v>8236</v>
      </c>
      <c r="C2299" s="37" t="s">
        <v>24</v>
      </c>
      <c r="D2299" s="20" t="s">
        <v>8237</v>
      </c>
      <c r="E2299" s="20" t="s">
        <v>8238</v>
      </c>
      <c r="F2299" s="19" t="s">
        <v>27</v>
      </c>
      <c r="G2299" s="19" t="s">
        <v>28</v>
      </c>
      <c r="H2299" s="19" t="s">
        <v>36</v>
      </c>
      <c r="I2299" s="21" t="s">
        <v>29</v>
      </c>
      <c r="J2299" s="21" t="s">
        <v>29</v>
      </c>
      <c r="K2299" s="22" t="s">
        <v>8239</v>
      </c>
      <c r="L2299" s="56">
        <v>45089</v>
      </c>
      <c r="O2299" s="42"/>
      <c r="P2299" s="40"/>
      <c r="Q2299" s="61"/>
      <c r="R2299" s="61"/>
      <c r="S2299" s="40"/>
      <c r="T2299" s="38"/>
      <c r="U2299" s="38"/>
      <c r="V2299" s="38"/>
      <c r="W2299" s="60"/>
      <c r="AB2299" s="42"/>
      <c r="AC2299" s="35"/>
      <c r="AD2299" s="38"/>
      <c r="AE2299" s="38"/>
      <c r="AF2299" s="38"/>
      <c r="AG2299" s="38"/>
      <c r="AH2299" s="60"/>
    </row>
    <row r="2300" spans="1:34" ht="15.75" customHeight="1">
      <c r="A2300" s="105"/>
      <c r="B2300" s="38"/>
      <c r="C2300" s="37"/>
      <c r="D2300" s="25"/>
      <c r="E2300" s="25"/>
      <c r="F2300" s="37"/>
      <c r="G2300" s="37"/>
      <c r="H2300" s="37"/>
      <c r="I2300" s="37"/>
      <c r="J2300" s="37"/>
      <c r="K2300" s="22"/>
      <c r="L2300" s="39"/>
      <c r="O2300" s="42"/>
      <c r="P2300" s="40"/>
      <c r="Q2300" s="61"/>
      <c r="R2300" s="61"/>
      <c r="S2300" s="40"/>
      <c r="T2300" s="38"/>
      <c r="U2300" s="38"/>
      <c r="V2300" s="38"/>
      <c r="W2300" s="60"/>
      <c r="AB2300" s="42"/>
      <c r="AC2300" s="35"/>
      <c r="AD2300" s="38"/>
      <c r="AE2300" s="38"/>
      <c r="AF2300" s="38"/>
      <c r="AG2300" s="38"/>
      <c r="AH2300" s="60"/>
    </row>
    <row r="2301" spans="1:34" ht="15.75" customHeight="1">
      <c r="A2301" s="105"/>
      <c r="B2301" s="38"/>
      <c r="C2301" s="37"/>
      <c r="D2301" s="20"/>
      <c r="E2301" s="20"/>
      <c r="F2301" s="37"/>
      <c r="G2301" s="37"/>
      <c r="H2301" s="37"/>
      <c r="I2301" s="21"/>
      <c r="J2301" s="21"/>
      <c r="K2301" s="22"/>
      <c r="L2301" s="39"/>
      <c r="O2301" s="42"/>
      <c r="P2301" s="40"/>
      <c r="Q2301" s="61"/>
      <c r="R2301" s="61"/>
      <c r="S2301" s="40"/>
      <c r="T2301" s="38"/>
      <c r="U2301" s="38"/>
      <c r="V2301" s="38"/>
      <c r="W2301" s="60"/>
      <c r="AB2301" s="42"/>
      <c r="AC2301" s="35"/>
      <c r="AD2301" s="38"/>
      <c r="AE2301" s="38"/>
      <c r="AF2301" s="38"/>
      <c r="AG2301" s="38"/>
      <c r="AH2301" s="60"/>
    </row>
    <row r="2302" spans="1:34" ht="15.75" customHeight="1">
      <c r="A2302" s="35" t="s">
        <v>8240</v>
      </c>
      <c r="B2302" s="41"/>
      <c r="C2302" s="106"/>
      <c r="D2302" s="107"/>
      <c r="E2302" s="107"/>
      <c r="F2302" s="106"/>
      <c r="G2302" s="106"/>
      <c r="H2302" s="106"/>
      <c r="I2302" s="108"/>
      <c r="J2302" s="108"/>
      <c r="K2302" s="109"/>
      <c r="L2302" s="110"/>
      <c r="M2302" s="40"/>
      <c r="N2302" s="40"/>
      <c r="O2302" s="42"/>
      <c r="P2302" s="40"/>
      <c r="Q2302" s="61"/>
      <c r="R2302" s="61"/>
      <c r="S2302" s="40"/>
      <c r="T2302" s="38"/>
      <c r="U2302" s="38"/>
      <c r="V2302" s="38"/>
      <c r="W2302" s="60"/>
      <c r="AB2302" s="42"/>
      <c r="AC2302" s="35"/>
      <c r="AD2302" s="38"/>
      <c r="AE2302" s="38"/>
      <c r="AF2302" s="38"/>
      <c r="AG2302" s="38"/>
      <c r="AH2302" s="60"/>
    </row>
    <row r="2303" spans="1:34" ht="15.75" customHeight="1">
      <c r="A2303" s="54" t="s">
        <v>8241</v>
      </c>
      <c r="B2303" s="41"/>
      <c r="C2303" s="106"/>
      <c r="D2303" s="107"/>
      <c r="E2303" s="107"/>
      <c r="F2303" s="106"/>
      <c r="G2303" s="106"/>
      <c r="H2303" s="106"/>
      <c r="I2303" s="108"/>
      <c r="J2303" s="108"/>
      <c r="K2303" s="109"/>
      <c r="L2303" s="110"/>
      <c r="O2303" s="42"/>
      <c r="P2303" s="40"/>
      <c r="Q2303" s="61"/>
      <c r="R2303" s="61"/>
      <c r="S2303" s="40"/>
      <c r="T2303" s="38"/>
      <c r="U2303" s="38"/>
      <c r="V2303" s="38"/>
      <c r="W2303" s="60"/>
      <c r="AB2303" s="42"/>
      <c r="AC2303" s="35"/>
      <c r="AD2303" s="38"/>
      <c r="AE2303" s="38"/>
      <c r="AF2303" s="38"/>
      <c r="AG2303" s="38"/>
      <c r="AH2303" s="60"/>
    </row>
    <row r="2304" spans="1:34" ht="15.75" customHeight="1">
      <c r="A2304" s="50" t="s">
        <v>39</v>
      </c>
      <c r="B2304" s="41"/>
      <c r="C2304" s="106"/>
      <c r="D2304" s="107"/>
      <c r="E2304" s="107"/>
      <c r="F2304" s="106"/>
      <c r="G2304" s="106"/>
      <c r="H2304" s="106"/>
      <c r="I2304" s="108"/>
      <c r="J2304" s="108"/>
      <c r="K2304" s="109"/>
      <c r="L2304" s="110"/>
      <c r="O2304" s="42"/>
      <c r="P2304" s="40"/>
      <c r="Q2304" s="61"/>
      <c r="R2304" s="61"/>
      <c r="S2304" s="40"/>
      <c r="T2304" s="38"/>
      <c r="U2304" s="38"/>
      <c r="V2304" s="38"/>
      <c r="W2304" s="60"/>
      <c r="AB2304" s="42"/>
      <c r="AC2304" s="35"/>
      <c r="AD2304" s="38"/>
      <c r="AE2304" s="38"/>
      <c r="AF2304" s="38"/>
      <c r="AG2304" s="38"/>
      <c r="AH2304" s="60"/>
    </row>
    <row r="2305" spans="1:34" ht="15.75" customHeight="1">
      <c r="A2305" s="35" t="s">
        <v>7821</v>
      </c>
      <c r="B2305" s="41"/>
      <c r="C2305" s="106"/>
      <c r="D2305" s="107"/>
      <c r="E2305" s="107"/>
      <c r="F2305" s="106"/>
      <c r="G2305" s="106"/>
      <c r="H2305" s="106"/>
      <c r="I2305" s="108"/>
      <c r="J2305" s="108"/>
      <c r="K2305" s="109"/>
      <c r="L2305" s="110"/>
      <c r="O2305" s="42"/>
      <c r="P2305" s="40"/>
      <c r="Q2305" s="61"/>
      <c r="R2305" s="61"/>
      <c r="S2305" s="40"/>
      <c r="T2305" s="38"/>
      <c r="U2305" s="38"/>
      <c r="V2305" s="38"/>
      <c r="W2305" s="60"/>
      <c r="AB2305" s="42"/>
      <c r="AC2305" s="35"/>
      <c r="AD2305" s="38"/>
      <c r="AE2305" s="38"/>
      <c r="AF2305" s="38"/>
      <c r="AG2305" s="38"/>
      <c r="AH2305" s="60"/>
    </row>
    <row r="2306" spans="1:34" ht="15.75" customHeight="1">
      <c r="A2306" s="35" t="s">
        <v>3902</v>
      </c>
      <c r="B2306" s="41"/>
      <c r="C2306" s="106"/>
      <c r="D2306" s="107"/>
      <c r="E2306" s="107"/>
      <c r="F2306" s="106"/>
      <c r="G2306" s="106"/>
      <c r="H2306" s="106"/>
      <c r="I2306" s="108"/>
      <c r="J2306" s="108"/>
      <c r="K2306" s="109"/>
      <c r="L2306" s="110"/>
      <c r="O2306" s="42"/>
      <c r="P2306" s="40"/>
      <c r="Q2306" s="61"/>
      <c r="R2306" s="61"/>
      <c r="S2306" s="40"/>
      <c r="T2306" s="38"/>
      <c r="U2306" s="38"/>
      <c r="V2306" s="38"/>
      <c r="W2306" s="60"/>
      <c r="AB2306" s="42"/>
      <c r="AC2306" s="35"/>
      <c r="AD2306" s="38"/>
      <c r="AE2306" s="38"/>
      <c r="AF2306" s="38"/>
      <c r="AG2306" s="38"/>
      <c r="AH2306" s="60"/>
    </row>
    <row r="2307" spans="1:34" ht="15.75" customHeight="1">
      <c r="A2307" s="111" t="s">
        <v>56</v>
      </c>
      <c r="B2307" s="41"/>
      <c r="C2307" s="106"/>
      <c r="D2307" s="107"/>
      <c r="E2307" s="107"/>
      <c r="F2307" s="106"/>
      <c r="G2307" s="106"/>
      <c r="H2307" s="106"/>
      <c r="I2307" s="108"/>
      <c r="J2307" s="108"/>
      <c r="K2307" s="109"/>
      <c r="L2307" s="110"/>
      <c r="O2307" s="42"/>
      <c r="P2307" s="40"/>
      <c r="Q2307" s="61"/>
      <c r="R2307" s="61"/>
      <c r="S2307" s="40"/>
      <c r="T2307" s="38"/>
      <c r="U2307" s="38"/>
      <c r="V2307" s="38"/>
      <c r="W2307" s="60"/>
      <c r="AB2307" s="42"/>
      <c r="AC2307" s="35"/>
      <c r="AD2307" s="38"/>
      <c r="AE2307" s="38"/>
      <c r="AF2307" s="38"/>
      <c r="AG2307" s="38"/>
      <c r="AH2307" s="60"/>
    </row>
    <row r="2308" spans="1:34" ht="15.75" customHeight="1">
      <c r="A2308" s="75">
        <v>69</v>
      </c>
      <c r="B2308" s="41"/>
      <c r="C2308" s="106"/>
      <c r="D2308" s="107"/>
      <c r="E2308" s="107"/>
      <c r="F2308" s="106"/>
      <c r="G2308" s="106"/>
      <c r="H2308" s="106"/>
      <c r="I2308" s="108"/>
      <c r="J2308" s="108"/>
      <c r="K2308" s="109"/>
      <c r="L2308" s="110"/>
      <c r="O2308" s="42"/>
      <c r="P2308" s="40"/>
      <c r="Q2308" s="61"/>
      <c r="R2308" s="61"/>
      <c r="S2308" s="40"/>
      <c r="T2308" s="38"/>
      <c r="U2308" s="38"/>
      <c r="V2308" s="38"/>
      <c r="W2308" s="60"/>
      <c r="AB2308" s="42"/>
      <c r="AC2308" s="35"/>
      <c r="AD2308" s="38"/>
      <c r="AE2308" s="38"/>
      <c r="AF2308" s="38"/>
      <c r="AG2308" s="38"/>
      <c r="AH2308" s="60"/>
    </row>
    <row r="2309" spans="1:34" ht="15.75" customHeight="1">
      <c r="A2309" s="111" t="s">
        <v>64</v>
      </c>
      <c r="B2309" s="41"/>
      <c r="C2309" s="106"/>
      <c r="D2309" s="107"/>
      <c r="E2309" s="107"/>
      <c r="F2309" s="106"/>
      <c r="G2309" s="106"/>
      <c r="H2309" s="106"/>
      <c r="I2309" s="108"/>
      <c r="J2309" s="108"/>
      <c r="K2309" s="109"/>
      <c r="L2309" s="110"/>
      <c r="O2309" s="42"/>
      <c r="P2309" s="40"/>
      <c r="Q2309" s="61"/>
      <c r="R2309" s="61"/>
      <c r="S2309" s="40"/>
      <c r="T2309" s="38"/>
      <c r="U2309" s="38"/>
      <c r="V2309" s="38"/>
      <c r="W2309" s="60"/>
      <c r="AB2309" s="42"/>
      <c r="AC2309" s="35"/>
      <c r="AD2309" s="38"/>
      <c r="AE2309" s="38"/>
      <c r="AF2309" s="38"/>
      <c r="AG2309" s="38"/>
      <c r="AH2309" s="60"/>
    </row>
    <row r="2310" spans="1:34" ht="15.75" customHeight="1">
      <c r="A2310" s="75">
        <v>3.3</v>
      </c>
      <c r="B2310" s="41"/>
      <c r="C2310" s="106"/>
      <c r="D2310" s="107"/>
      <c r="E2310" s="107"/>
      <c r="F2310" s="106"/>
      <c r="G2310" s="106"/>
      <c r="H2310" s="106"/>
      <c r="I2310" s="108"/>
      <c r="J2310" s="108"/>
      <c r="K2310" s="109"/>
      <c r="L2310" s="110"/>
      <c r="O2310" s="42"/>
      <c r="P2310" s="40"/>
      <c r="Q2310" s="61"/>
      <c r="R2310" s="61"/>
      <c r="S2310" s="40"/>
      <c r="T2310" s="38"/>
      <c r="U2310" s="38"/>
      <c r="V2310" s="38"/>
      <c r="W2310" s="60"/>
      <c r="AB2310" s="42"/>
      <c r="AC2310" s="35"/>
      <c r="AD2310" s="38"/>
      <c r="AE2310" s="38"/>
      <c r="AF2310" s="38"/>
      <c r="AG2310" s="38"/>
      <c r="AH2310" s="60"/>
    </row>
    <row r="2311" spans="1:34" ht="15.75" customHeight="1">
      <c r="A2311" s="111" t="s">
        <v>73</v>
      </c>
      <c r="B2311" s="41"/>
      <c r="C2311" s="106"/>
      <c r="D2311" s="107"/>
      <c r="E2311" s="107"/>
      <c r="F2311" s="106"/>
      <c r="G2311" s="106"/>
      <c r="H2311" s="106"/>
      <c r="I2311" s="108"/>
      <c r="J2311" s="108"/>
      <c r="K2311" s="109"/>
      <c r="L2311" s="110"/>
      <c r="O2311" s="42"/>
      <c r="P2311" s="40"/>
      <c r="Q2311" s="61"/>
      <c r="R2311" s="61"/>
      <c r="S2311" s="40"/>
      <c r="T2311" s="38"/>
      <c r="U2311" s="38"/>
      <c r="V2311" s="38"/>
      <c r="W2311" s="60"/>
      <c r="AB2311" s="42"/>
      <c r="AC2311" s="35"/>
      <c r="AD2311" s="38"/>
      <c r="AE2311" s="38"/>
      <c r="AF2311" s="38"/>
      <c r="AG2311" s="38"/>
      <c r="AH2311" s="60"/>
    </row>
    <row r="2312" spans="1:34" ht="15.75" customHeight="1">
      <c r="A2312" s="75">
        <v>3.6</v>
      </c>
      <c r="B2312" s="41"/>
      <c r="C2312" s="106"/>
      <c r="D2312" s="107"/>
      <c r="E2312" s="107"/>
      <c r="F2312" s="106"/>
      <c r="G2312" s="106"/>
      <c r="H2312" s="106"/>
      <c r="I2312" s="108"/>
      <c r="J2312" s="108"/>
      <c r="K2312" s="109"/>
      <c r="L2312" s="110"/>
      <c r="O2312" s="42"/>
      <c r="P2312" s="40"/>
      <c r="Q2312" s="61"/>
      <c r="R2312" s="61"/>
      <c r="S2312" s="40"/>
      <c r="T2312" s="38"/>
      <c r="U2312" s="38"/>
      <c r="V2312" s="38"/>
      <c r="W2312" s="60"/>
      <c r="AB2312" s="42"/>
      <c r="AC2312" s="35"/>
      <c r="AD2312" s="38"/>
      <c r="AE2312" s="38"/>
      <c r="AF2312" s="38"/>
      <c r="AG2312" s="38"/>
      <c r="AH2312" s="60"/>
    </row>
    <row r="2313" spans="1:34" ht="15.75" customHeight="1">
      <c r="A2313" s="111" t="s">
        <v>82</v>
      </c>
      <c r="B2313" s="41"/>
      <c r="C2313" s="106"/>
      <c r="D2313" s="107"/>
      <c r="E2313" s="107"/>
      <c r="F2313" s="106"/>
      <c r="G2313" s="106"/>
      <c r="H2313" s="106"/>
      <c r="I2313" s="108"/>
      <c r="J2313" s="108"/>
      <c r="K2313" s="109"/>
      <c r="L2313" s="110"/>
      <c r="O2313" s="42"/>
      <c r="P2313" s="40"/>
      <c r="Q2313" s="61"/>
      <c r="R2313" s="61"/>
      <c r="S2313" s="40"/>
      <c r="T2313" s="38"/>
      <c r="U2313" s="38"/>
      <c r="V2313" s="38"/>
      <c r="W2313" s="60"/>
      <c r="AB2313" s="42"/>
      <c r="AC2313" s="35"/>
      <c r="AD2313" s="38"/>
      <c r="AE2313" s="38"/>
      <c r="AF2313" s="38"/>
      <c r="AG2313" s="38"/>
      <c r="AH2313" s="60"/>
    </row>
    <row r="2314" spans="1:34" ht="15.75" customHeight="1">
      <c r="A2314" s="75" t="s">
        <v>8242</v>
      </c>
      <c r="B2314" s="41"/>
      <c r="C2314" s="106"/>
      <c r="D2314" s="107"/>
      <c r="E2314" s="107"/>
      <c r="F2314" s="106"/>
      <c r="G2314" s="106"/>
      <c r="H2314" s="106"/>
      <c r="I2314" s="108"/>
      <c r="J2314" s="108"/>
      <c r="K2314" s="109"/>
      <c r="L2314" s="110"/>
      <c r="O2314" s="42"/>
      <c r="P2314" s="40"/>
      <c r="Q2314" s="61"/>
      <c r="R2314" s="61"/>
      <c r="S2314" s="40"/>
      <c r="T2314" s="38"/>
      <c r="U2314" s="38"/>
      <c r="V2314" s="38"/>
      <c r="W2314" s="60"/>
      <c r="AB2314" s="42"/>
      <c r="AC2314" s="35"/>
      <c r="AD2314" s="38"/>
      <c r="AE2314" s="38"/>
      <c r="AF2314" s="38"/>
      <c r="AG2314" s="38"/>
      <c r="AH2314" s="60"/>
    </row>
    <row r="2315" spans="1:34" ht="15.75" customHeight="1">
      <c r="A2315" s="111" t="s">
        <v>92</v>
      </c>
      <c r="B2315" s="41"/>
      <c r="C2315" s="106"/>
      <c r="D2315" s="107"/>
      <c r="E2315" s="107"/>
      <c r="F2315" s="106"/>
      <c r="G2315" s="106"/>
      <c r="H2315" s="106"/>
      <c r="I2315" s="108"/>
      <c r="J2315" s="108"/>
      <c r="K2315" s="109"/>
      <c r="L2315" s="110"/>
      <c r="O2315" s="42"/>
      <c r="P2315" s="40"/>
      <c r="Q2315" s="61"/>
      <c r="R2315" s="61"/>
      <c r="S2315" s="40"/>
      <c r="T2315" s="38"/>
      <c r="U2315" s="38"/>
      <c r="V2315" s="38"/>
      <c r="W2315" s="60"/>
      <c r="AB2315" s="42"/>
      <c r="AC2315" s="35"/>
      <c r="AD2315" s="38"/>
      <c r="AE2315" s="38"/>
      <c r="AF2315" s="38"/>
      <c r="AG2315" s="38"/>
      <c r="AH2315" s="60"/>
    </row>
    <row r="2316" spans="1:34" ht="15.75" customHeight="1">
      <c r="A2316" s="112">
        <v>9579</v>
      </c>
      <c r="B2316" s="41"/>
      <c r="C2316" s="106"/>
      <c r="D2316" s="107"/>
      <c r="E2316" s="107"/>
      <c r="F2316" s="106"/>
      <c r="G2316" s="106"/>
      <c r="H2316" s="106"/>
      <c r="I2316" s="108"/>
      <c r="J2316" s="108"/>
      <c r="K2316" s="109"/>
      <c r="L2316" s="110"/>
      <c r="O2316" s="42"/>
      <c r="P2316" s="40"/>
      <c r="Q2316" s="61"/>
      <c r="R2316" s="61"/>
      <c r="S2316" s="40"/>
      <c r="T2316" s="38"/>
      <c r="U2316" s="38"/>
      <c r="V2316" s="38"/>
      <c r="W2316" s="60"/>
      <c r="AB2316" s="42"/>
      <c r="AC2316" s="35"/>
      <c r="AD2316" s="38"/>
      <c r="AE2316" s="38"/>
      <c r="AF2316" s="38"/>
      <c r="AG2316" s="38"/>
      <c r="AH2316" s="60"/>
    </row>
    <row r="2317" spans="1:34" ht="15.75" customHeight="1">
      <c r="A2317" s="111" t="s">
        <v>100</v>
      </c>
      <c r="B2317" s="41"/>
      <c r="C2317" s="106"/>
      <c r="D2317" s="107"/>
      <c r="E2317" s="107"/>
      <c r="F2317" s="106"/>
      <c r="G2317" s="106"/>
      <c r="H2317" s="106"/>
      <c r="I2317" s="108"/>
      <c r="J2317" s="108"/>
      <c r="K2317" s="109"/>
      <c r="L2317" s="110"/>
      <c r="O2317" s="42"/>
      <c r="P2317" s="40"/>
      <c r="Q2317" s="61"/>
      <c r="R2317" s="61"/>
      <c r="S2317" s="40"/>
      <c r="T2317" s="38"/>
      <c r="U2317" s="38"/>
      <c r="V2317" s="38"/>
      <c r="W2317" s="60"/>
      <c r="AB2317" s="42"/>
      <c r="AC2317" s="35"/>
      <c r="AD2317" s="38"/>
      <c r="AE2317" s="38"/>
      <c r="AF2317" s="38"/>
      <c r="AG2317" s="38"/>
      <c r="AH2317" s="60"/>
    </row>
    <row r="2318" spans="1:34" ht="15.75" customHeight="1">
      <c r="A2318" s="75">
        <v>163</v>
      </c>
      <c r="B2318" s="41"/>
      <c r="C2318" s="106"/>
      <c r="D2318" s="107"/>
      <c r="E2318" s="107"/>
      <c r="F2318" s="106"/>
      <c r="G2318" s="106"/>
      <c r="H2318" s="106"/>
      <c r="I2318" s="108"/>
      <c r="J2318" s="108"/>
      <c r="K2318" s="109"/>
      <c r="L2318" s="110"/>
      <c r="O2318" s="42"/>
      <c r="P2318" s="40"/>
      <c r="Q2318" s="61"/>
      <c r="R2318" s="61"/>
      <c r="S2318" s="40"/>
      <c r="T2318" s="38"/>
      <c r="U2318" s="38"/>
      <c r="V2318" s="38"/>
      <c r="W2318" s="60"/>
      <c r="AB2318" s="42"/>
      <c r="AC2318" s="35"/>
      <c r="AD2318" s="38"/>
      <c r="AE2318" s="38"/>
      <c r="AF2318" s="38"/>
      <c r="AG2318" s="38"/>
      <c r="AH2318" s="60"/>
    </row>
    <row r="2319" spans="1:34" ht="15.75" customHeight="1">
      <c r="A2319" s="35"/>
      <c r="B2319" s="38"/>
      <c r="C2319" s="37"/>
      <c r="D2319" s="20"/>
      <c r="E2319" s="20"/>
      <c r="F2319" s="37"/>
      <c r="G2319" s="37"/>
      <c r="H2319" s="37"/>
      <c r="I2319" s="21"/>
      <c r="J2319" s="21"/>
      <c r="K2319" s="22"/>
      <c r="L2319" s="39"/>
      <c r="O2319" s="42"/>
      <c r="P2319" s="40"/>
      <c r="Q2319" s="61"/>
      <c r="R2319" s="61"/>
      <c r="S2319" s="40"/>
      <c r="T2319" s="38"/>
      <c r="U2319" s="38"/>
      <c r="V2319" s="38"/>
      <c r="W2319" s="60"/>
      <c r="AB2319" s="42"/>
      <c r="AC2319" s="35"/>
      <c r="AD2319" s="38"/>
      <c r="AE2319" s="38"/>
      <c r="AF2319" s="38"/>
      <c r="AG2319" s="38"/>
      <c r="AH2319" s="60"/>
    </row>
    <row r="2320" spans="1:34" ht="15.75" customHeight="1">
      <c r="A2320" s="35" t="s">
        <v>8243</v>
      </c>
      <c r="B2320" s="18" t="s">
        <v>8244</v>
      </c>
      <c r="C2320" s="37" t="s">
        <v>87</v>
      </c>
      <c r="D2320" s="20" t="s">
        <v>8245</v>
      </c>
      <c r="E2320" s="20" t="s">
        <v>8246</v>
      </c>
      <c r="F2320" s="19" t="s">
        <v>90</v>
      </c>
      <c r="G2320" s="19" t="s">
        <v>91</v>
      </c>
      <c r="H2320" s="37"/>
      <c r="I2320" s="21" t="s">
        <v>29</v>
      </c>
      <c r="J2320" s="21" t="s">
        <v>29</v>
      </c>
      <c r="K2320" s="22" t="s">
        <v>8247</v>
      </c>
      <c r="L2320" s="56">
        <v>45089</v>
      </c>
      <c r="M2320" s="40"/>
      <c r="N2320" s="40"/>
      <c r="O2320" s="42"/>
      <c r="P2320" s="40"/>
      <c r="Q2320" s="61"/>
      <c r="R2320" s="61"/>
      <c r="S2320" s="40"/>
      <c r="T2320" s="38"/>
      <c r="U2320" s="38"/>
      <c r="V2320" s="38"/>
      <c r="W2320" s="60"/>
      <c r="AB2320" s="42"/>
      <c r="AC2320" s="35"/>
      <c r="AD2320" s="38"/>
      <c r="AE2320" s="38"/>
      <c r="AF2320" s="38"/>
      <c r="AG2320" s="38"/>
      <c r="AH2320" s="60"/>
    </row>
    <row r="2321" spans="1:34" ht="15.75" customHeight="1">
      <c r="A2321" s="54" t="s">
        <v>2628</v>
      </c>
      <c r="B2321" s="18" t="s">
        <v>8248</v>
      </c>
      <c r="C2321" s="37" t="s">
        <v>46</v>
      </c>
      <c r="D2321" s="20" t="s">
        <v>8249</v>
      </c>
      <c r="E2321" s="20" t="s">
        <v>8250</v>
      </c>
      <c r="F2321" s="37" t="s">
        <v>49</v>
      </c>
      <c r="G2321" s="19" t="s">
        <v>50</v>
      </c>
      <c r="H2321" s="37"/>
      <c r="I2321" s="21" t="s">
        <v>29</v>
      </c>
      <c r="J2321" s="21" t="s">
        <v>29</v>
      </c>
      <c r="K2321" s="22" t="s">
        <v>8251</v>
      </c>
      <c r="L2321" s="56">
        <v>45089</v>
      </c>
      <c r="O2321" s="42"/>
      <c r="P2321" s="40"/>
      <c r="Q2321" s="61"/>
      <c r="R2321" s="61"/>
      <c r="S2321" s="40"/>
      <c r="T2321" s="38"/>
      <c r="U2321" s="38"/>
      <c r="V2321" s="38"/>
      <c r="W2321" s="60"/>
      <c r="AB2321" s="42"/>
      <c r="AC2321" s="35"/>
      <c r="AD2321" s="38"/>
      <c r="AE2321" s="38"/>
      <c r="AF2321" s="38"/>
      <c r="AG2321" s="38"/>
      <c r="AH2321" s="60"/>
    </row>
    <row r="2322" spans="1:34" ht="15.75" customHeight="1">
      <c r="A2322" s="50" t="s">
        <v>39</v>
      </c>
      <c r="B2322" s="18" t="s">
        <v>8252</v>
      </c>
      <c r="C2322" s="37" t="s">
        <v>24</v>
      </c>
      <c r="D2322" s="20" t="s">
        <v>8253</v>
      </c>
      <c r="E2322" s="20" t="s">
        <v>8254</v>
      </c>
      <c r="F2322" s="19" t="s">
        <v>27</v>
      </c>
      <c r="G2322" s="19" t="s">
        <v>28</v>
      </c>
      <c r="H2322" s="37"/>
      <c r="I2322" s="21" t="s">
        <v>29</v>
      </c>
      <c r="J2322" s="21" t="s">
        <v>29</v>
      </c>
      <c r="K2322" s="22" t="s">
        <v>8255</v>
      </c>
      <c r="L2322" s="56">
        <v>45089</v>
      </c>
      <c r="O2322" s="42"/>
      <c r="P2322" s="40"/>
      <c r="Q2322" s="61"/>
      <c r="R2322" s="61"/>
      <c r="S2322" s="40"/>
      <c r="T2322" s="38"/>
      <c r="U2322" s="38"/>
      <c r="V2322" s="38"/>
      <c r="W2322" s="60"/>
      <c r="AB2322" s="42"/>
      <c r="AC2322" s="35"/>
      <c r="AD2322" s="38"/>
      <c r="AE2322" s="38"/>
      <c r="AF2322" s="38"/>
      <c r="AG2322" s="38"/>
      <c r="AH2322" s="60"/>
    </row>
    <row r="2323" spans="1:34" ht="15.75" customHeight="1">
      <c r="A2323" s="35" t="s">
        <v>7821</v>
      </c>
      <c r="B2323" s="18" t="s">
        <v>8256</v>
      </c>
      <c r="C2323" s="37" t="s">
        <v>24</v>
      </c>
      <c r="D2323" s="20" t="s">
        <v>8257</v>
      </c>
      <c r="E2323" s="20" t="s">
        <v>8258</v>
      </c>
      <c r="F2323" s="19" t="s">
        <v>27</v>
      </c>
      <c r="G2323" s="19" t="s">
        <v>28</v>
      </c>
      <c r="H2323" s="37"/>
      <c r="I2323" s="21" t="s">
        <v>29</v>
      </c>
      <c r="J2323" s="21" t="s">
        <v>29</v>
      </c>
      <c r="K2323" s="22" t="s">
        <v>8259</v>
      </c>
      <c r="L2323" s="56">
        <v>45089</v>
      </c>
      <c r="O2323" s="42"/>
      <c r="P2323" s="40"/>
      <c r="Q2323" s="61"/>
      <c r="R2323" s="61"/>
      <c r="S2323" s="40"/>
      <c r="T2323" s="38"/>
      <c r="U2323" s="38"/>
      <c r="V2323" s="38"/>
      <c r="W2323" s="60"/>
      <c r="AB2323" s="42"/>
      <c r="AC2323" s="35"/>
      <c r="AD2323" s="38"/>
      <c r="AE2323" s="38"/>
      <c r="AF2323" s="38"/>
      <c r="AG2323" s="38"/>
      <c r="AH2323" s="60"/>
    </row>
    <row r="2324" spans="1:34" ht="15.75" customHeight="1">
      <c r="A2324" s="35" t="s">
        <v>4283</v>
      </c>
      <c r="B2324" s="34" t="s">
        <v>8260</v>
      </c>
      <c r="C2324" s="37" t="s">
        <v>24</v>
      </c>
      <c r="D2324" s="20" t="s">
        <v>8261</v>
      </c>
      <c r="E2324" s="20" t="s">
        <v>8262</v>
      </c>
      <c r="F2324" s="19" t="s">
        <v>90</v>
      </c>
      <c r="G2324" s="19" t="s">
        <v>91</v>
      </c>
      <c r="H2324" s="37"/>
      <c r="I2324" s="21" t="s">
        <v>29</v>
      </c>
      <c r="J2324" s="21" t="s">
        <v>29</v>
      </c>
      <c r="K2324" s="22" t="s">
        <v>8263</v>
      </c>
      <c r="L2324" s="56">
        <v>45089</v>
      </c>
      <c r="O2324" s="42"/>
      <c r="P2324" s="40"/>
      <c r="Q2324" s="61"/>
      <c r="R2324" s="61"/>
      <c r="S2324" s="40"/>
      <c r="T2324" s="38"/>
      <c r="U2324" s="38"/>
      <c r="V2324" s="38"/>
      <c r="W2324" s="60"/>
      <c r="AB2324" s="42"/>
      <c r="AC2324" s="35"/>
      <c r="AD2324" s="38"/>
      <c r="AE2324" s="38"/>
      <c r="AF2324" s="38"/>
      <c r="AG2324" s="38"/>
      <c r="AH2324" s="60"/>
    </row>
    <row r="2325" spans="1:34" ht="15.75" customHeight="1">
      <c r="A2325" s="111" t="s">
        <v>8264</v>
      </c>
      <c r="B2325" s="18" t="s">
        <v>8265</v>
      </c>
      <c r="C2325" s="37" t="s">
        <v>24</v>
      </c>
      <c r="D2325" s="20" t="s">
        <v>8266</v>
      </c>
      <c r="E2325" s="20" t="s">
        <v>8267</v>
      </c>
      <c r="F2325" s="19" t="s">
        <v>27</v>
      </c>
      <c r="G2325" s="19" t="s">
        <v>28</v>
      </c>
      <c r="H2325" s="37"/>
      <c r="I2325" s="21" t="s">
        <v>29</v>
      </c>
      <c r="J2325" s="21" t="s">
        <v>29</v>
      </c>
      <c r="K2325" s="22" t="s">
        <v>8268</v>
      </c>
      <c r="L2325" s="56">
        <v>45089</v>
      </c>
      <c r="O2325" s="42"/>
      <c r="P2325" s="40"/>
      <c r="Q2325" s="61"/>
      <c r="R2325" s="61"/>
      <c r="S2325" s="40"/>
      <c r="T2325" s="38"/>
      <c r="U2325" s="38"/>
      <c r="V2325" s="38"/>
      <c r="W2325" s="60"/>
      <c r="AB2325" s="42"/>
      <c r="AC2325" s="35"/>
      <c r="AD2325" s="38"/>
      <c r="AE2325" s="38"/>
      <c r="AF2325" s="38"/>
      <c r="AG2325" s="38"/>
      <c r="AH2325" s="60"/>
    </row>
    <row r="2326" spans="1:34" ht="15.75" customHeight="1">
      <c r="A2326" s="75">
        <v>67</v>
      </c>
      <c r="B2326" s="34" t="s">
        <v>8269</v>
      </c>
      <c r="C2326" s="37" t="s">
        <v>87</v>
      </c>
      <c r="D2326" s="20" t="s">
        <v>8270</v>
      </c>
      <c r="E2326" s="20" t="s">
        <v>8271</v>
      </c>
      <c r="F2326" s="37" t="s">
        <v>49</v>
      </c>
      <c r="G2326" s="19" t="s">
        <v>50</v>
      </c>
      <c r="H2326" s="37"/>
      <c r="I2326" s="21" t="s">
        <v>29</v>
      </c>
      <c r="J2326" s="21" t="s">
        <v>29</v>
      </c>
      <c r="K2326" s="22" t="s">
        <v>8272</v>
      </c>
      <c r="L2326" s="56">
        <v>45089</v>
      </c>
      <c r="O2326" s="42"/>
      <c r="P2326" s="40"/>
      <c r="Q2326" s="61"/>
      <c r="R2326" s="61"/>
      <c r="S2326" s="40"/>
      <c r="T2326" s="38"/>
      <c r="U2326" s="38"/>
      <c r="V2326" s="38"/>
      <c r="W2326" s="60"/>
      <c r="AB2326" s="42"/>
      <c r="AC2326" s="35"/>
      <c r="AD2326" s="38"/>
      <c r="AE2326" s="38"/>
      <c r="AF2326" s="38"/>
      <c r="AG2326" s="38"/>
      <c r="AH2326" s="60"/>
    </row>
    <row r="2327" spans="1:34" ht="15.75" customHeight="1">
      <c r="A2327" s="111" t="s">
        <v>64</v>
      </c>
      <c r="B2327" s="18" t="s">
        <v>8273</v>
      </c>
      <c r="C2327" s="37" t="s">
        <v>24</v>
      </c>
      <c r="D2327" s="20" t="s">
        <v>8274</v>
      </c>
      <c r="E2327" s="20" t="s">
        <v>8275</v>
      </c>
      <c r="F2327" s="19" t="s">
        <v>27</v>
      </c>
      <c r="G2327" s="19" t="s">
        <v>28</v>
      </c>
      <c r="H2327" s="37"/>
      <c r="I2327" s="21" t="s">
        <v>29</v>
      </c>
      <c r="J2327" s="21" t="s">
        <v>29</v>
      </c>
      <c r="K2327" s="22" t="s">
        <v>8276</v>
      </c>
      <c r="L2327" s="56">
        <v>45089</v>
      </c>
      <c r="O2327" s="42"/>
      <c r="P2327" s="40"/>
      <c r="Q2327" s="61"/>
      <c r="R2327" s="61"/>
      <c r="S2327" s="40"/>
      <c r="T2327" s="38"/>
      <c r="U2327" s="38"/>
      <c r="V2327" s="38"/>
      <c r="W2327" s="60"/>
      <c r="AB2327" s="42"/>
      <c r="AC2327" s="35"/>
      <c r="AD2327" s="38"/>
      <c r="AE2327" s="38"/>
      <c r="AF2327" s="38"/>
      <c r="AG2327" s="38"/>
      <c r="AH2327" s="60"/>
    </row>
    <row r="2328" spans="1:34" ht="15.75" customHeight="1">
      <c r="A2328" s="75">
        <v>3.4</v>
      </c>
      <c r="B2328" s="18" t="s">
        <v>8277</v>
      </c>
      <c r="C2328" s="37" t="s">
        <v>87</v>
      </c>
      <c r="D2328" s="20" t="s">
        <v>8278</v>
      </c>
      <c r="E2328" s="20" t="s">
        <v>8279</v>
      </c>
      <c r="F2328" s="19" t="s">
        <v>90</v>
      </c>
      <c r="G2328" s="19" t="s">
        <v>91</v>
      </c>
      <c r="H2328" s="37"/>
      <c r="I2328" s="21" t="s">
        <v>29</v>
      </c>
      <c r="J2328" s="21" t="s">
        <v>29</v>
      </c>
      <c r="K2328" s="22" t="s">
        <v>8280</v>
      </c>
      <c r="L2328" s="56">
        <v>45089</v>
      </c>
      <c r="O2328" s="42"/>
      <c r="P2328" s="40"/>
      <c r="Q2328" s="61"/>
      <c r="R2328" s="61"/>
      <c r="S2328" s="40"/>
      <c r="T2328" s="38"/>
      <c r="U2328" s="38"/>
      <c r="V2328" s="38"/>
      <c r="W2328" s="60"/>
      <c r="AB2328" s="42"/>
      <c r="AC2328" s="35"/>
      <c r="AD2328" s="38"/>
      <c r="AE2328" s="38"/>
      <c r="AF2328" s="38"/>
      <c r="AG2328" s="38"/>
      <c r="AH2328" s="60"/>
    </row>
    <row r="2329" spans="1:34" ht="15.75" customHeight="1">
      <c r="A2329" s="111" t="s">
        <v>73</v>
      </c>
      <c r="B2329" s="29" t="s">
        <v>8281</v>
      </c>
      <c r="C2329" s="37" t="s">
        <v>1486</v>
      </c>
      <c r="D2329" s="20" t="s">
        <v>8282</v>
      </c>
      <c r="E2329" s="20" t="s">
        <v>8283</v>
      </c>
      <c r="F2329" s="37" t="s">
        <v>1489</v>
      </c>
      <c r="G2329" s="37" t="s">
        <v>1490</v>
      </c>
      <c r="H2329" s="37"/>
      <c r="I2329" s="21" t="s">
        <v>1371</v>
      </c>
      <c r="J2329" s="21" t="s">
        <v>1371</v>
      </c>
      <c r="K2329" s="22" t="s">
        <v>8284</v>
      </c>
      <c r="L2329" s="56"/>
      <c r="O2329" s="42"/>
      <c r="P2329" s="40"/>
      <c r="Q2329" s="61"/>
      <c r="R2329" s="61"/>
      <c r="S2329" s="40"/>
      <c r="T2329" s="38"/>
      <c r="U2329" s="38"/>
      <c r="V2329" s="38"/>
      <c r="W2329" s="60"/>
      <c r="AB2329" s="42"/>
      <c r="AC2329" s="35"/>
      <c r="AD2329" s="38"/>
      <c r="AE2329" s="38"/>
      <c r="AF2329" s="38"/>
      <c r="AG2329" s="38"/>
      <c r="AH2329" s="60"/>
    </row>
    <row r="2330" spans="1:34" ht="15.75" customHeight="1">
      <c r="A2330" s="75">
        <v>3.7</v>
      </c>
      <c r="B2330" s="18" t="s">
        <v>8285</v>
      </c>
      <c r="C2330" s="37" t="s">
        <v>24</v>
      </c>
      <c r="D2330" s="20" t="s">
        <v>8286</v>
      </c>
      <c r="E2330" s="20" t="s">
        <v>8287</v>
      </c>
      <c r="F2330" s="19" t="s">
        <v>27</v>
      </c>
      <c r="G2330" s="19" t="s">
        <v>28</v>
      </c>
      <c r="H2330" s="37"/>
      <c r="I2330" s="21" t="s">
        <v>29</v>
      </c>
      <c r="J2330" s="21" t="s">
        <v>29</v>
      </c>
      <c r="K2330" s="22" t="s">
        <v>8288</v>
      </c>
      <c r="L2330" s="56">
        <v>45089</v>
      </c>
      <c r="O2330" s="42"/>
      <c r="P2330" s="40"/>
      <c r="Q2330" s="61"/>
      <c r="R2330" s="61"/>
      <c r="S2330" s="40"/>
      <c r="T2330" s="38"/>
      <c r="U2330" s="38"/>
      <c r="V2330" s="38"/>
      <c r="W2330" s="60"/>
      <c r="AB2330" s="42"/>
      <c r="AC2330" s="35"/>
      <c r="AD2330" s="38"/>
      <c r="AE2330" s="38"/>
      <c r="AF2330" s="38"/>
      <c r="AG2330" s="38"/>
      <c r="AH2330" s="60"/>
    </row>
    <row r="2331" spans="1:34" ht="15.75" customHeight="1">
      <c r="A2331" s="111" t="s">
        <v>82</v>
      </c>
      <c r="B2331" s="38" t="s">
        <v>8289</v>
      </c>
      <c r="C2331" s="37" t="s">
        <v>24</v>
      </c>
      <c r="D2331" s="20" t="s">
        <v>8290</v>
      </c>
      <c r="E2331" s="20" t="s">
        <v>8291</v>
      </c>
      <c r="F2331" s="19" t="s">
        <v>27</v>
      </c>
      <c r="G2331" s="19" t="s">
        <v>28</v>
      </c>
      <c r="H2331" s="37"/>
      <c r="I2331" s="21" t="s">
        <v>29</v>
      </c>
      <c r="J2331" s="21" t="s">
        <v>29</v>
      </c>
      <c r="K2331" s="22" t="s">
        <v>8292</v>
      </c>
      <c r="L2331" s="56"/>
      <c r="O2331" s="42"/>
      <c r="P2331" s="40"/>
      <c r="Q2331" s="61"/>
      <c r="R2331" s="61"/>
      <c r="S2331" s="40"/>
      <c r="T2331" s="38"/>
      <c r="U2331" s="38"/>
      <c r="V2331" s="38"/>
      <c r="W2331" s="60"/>
      <c r="AB2331" s="42"/>
      <c r="AC2331" s="35"/>
      <c r="AD2331" s="38"/>
      <c r="AE2331" s="38"/>
      <c r="AF2331" s="38"/>
      <c r="AG2331" s="38"/>
      <c r="AH2331" s="60"/>
    </row>
    <row r="2332" spans="1:34" ht="15.75" customHeight="1">
      <c r="A2332" s="75" t="s">
        <v>8293</v>
      </c>
      <c r="B2332" s="18" t="s">
        <v>8294</v>
      </c>
      <c r="C2332" s="37" t="s">
        <v>87</v>
      </c>
      <c r="D2332" s="20" t="s">
        <v>8295</v>
      </c>
      <c r="E2332" s="20" t="s">
        <v>8296</v>
      </c>
      <c r="F2332" s="19" t="s">
        <v>90</v>
      </c>
      <c r="G2332" s="19" t="s">
        <v>91</v>
      </c>
      <c r="H2332" s="37"/>
      <c r="I2332" s="21" t="s">
        <v>29</v>
      </c>
      <c r="J2332" s="21" t="s">
        <v>29</v>
      </c>
      <c r="K2332" s="22" t="s">
        <v>8297</v>
      </c>
      <c r="L2332" s="56">
        <v>45089</v>
      </c>
      <c r="O2332" s="42"/>
      <c r="P2332" s="40"/>
      <c r="Q2332" s="61"/>
      <c r="R2332" s="61"/>
      <c r="S2332" s="40"/>
      <c r="T2332" s="38"/>
      <c r="U2332" s="38"/>
      <c r="V2332" s="38"/>
      <c r="W2332" s="60"/>
      <c r="AB2332" s="42"/>
      <c r="AC2332" s="35"/>
      <c r="AD2332" s="38"/>
      <c r="AE2332" s="38"/>
      <c r="AF2332" s="38"/>
      <c r="AG2332" s="38"/>
      <c r="AH2332" s="60"/>
    </row>
    <row r="2333" spans="1:34" ht="15.75" customHeight="1">
      <c r="A2333" s="111" t="s">
        <v>92</v>
      </c>
      <c r="B2333" s="18" t="s">
        <v>8298</v>
      </c>
      <c r="C2333" s="37" t="s">
        <v>24</v>
      </c>
      <c r="D2333" s="20" t="s">
        <v>8299</v>
      </c>
      <c r="E2333" s="20" t="s">
        <v>8300</v>
      </c>
      <c r="F2333" s="19" t="s">
        <v>27</v>
      </c>
      <c r="G2333" s="19" t="s">
        <v>28</v>
      </c>
      <c r="H2333" s="37"/>
      <c r="I2333" s="21" t="s">
        <v>29</v>
      </c>
      <c r="J2333" s="21" t="s">
        <v>29</v>
      </c>
      <c r="K2333" s="22" t="s">
        <v>8301</v>
      </c>
      <c r="L2333" s="56">
        <v>45089</v>
      </c>
      <c r="O2333" s="42"/>
      <c r="P2333" s="40"/>
      <c r="Q2333" s="61"/>
      <c r="R2333" s="61"/>
      <c r="S2333" s="40"/>
      <c r="T2333" s="38"/>
      <c r="U2333" s="38"/>
      <c r="V2333" s="38"/>
      <c r="W2333" s="60"/>
      <c r="AB2333" s="42"/>
      <c r="AC2333" s="35"/>
      <c r="AD2333" s="38"/>
      <c r="AE2333" s="38"/>
      <c r="AF2333" s="38"/>
      <c r="AG2333" s="38"/>
      <c r="AH2333" s="60"/>
    </row>
    <row r="2334" spans="1:34" ht="15.75" customHeight="1">
      <c r="A2334" s="112">
        <v>953</v>
      </c>
      <c r="B2334" s="18" t="s">
        <v>8302</v>
      </c>
      <c r="C2334" s="37" t="s">
        <v>87</v>
      </c>
      <c r="D2334" s="20" t="s">
        <v>8303</v>
      </c>
      <c r="E2334" s="20" t="s">
        <v>8304</v>
      </c>
      <c r="F2334" s="19" t="s">
        <v>90</v>
      </c>
      <c r="G2334" s="19" t="s">
        <v>91</v>
      </c>
      <c r="H2334" s="37"/>
      <c r="I2334" s="21" t="s">
        <v>29</v>
      </c>
      <c r="J2334" s="21" t="s">
        <v>29</v>
      </c>
      <c r="K2334" s="22" t="s">
        <v>8305</v>
      </c>
      <c r="L2334" s="56">
        <v>45089</v>
      </c>
      <c r="O2334" s="42"/>
      <c r="P2334" s="40"/>
      <c r="Q2334" s="61"/>
      <c r="R2334" s="61"/>
      <c r="S2334" s="40"/>
      <c r="T2334" s="38"/>
      <c r="U2334" s="38"/>
      <c r="V2334" s="38"/>
      <c r="W2334" s="60"/>
      <c r="AB2334" s="42"/>
      <c r="AC2334" s="35"/>
      <c r="AD2334" s="38"/>
      <c r="AE2334" s="38"/>
      <c r="AF2334" s="38"/>
      <c r="AG2334" s="38"/>
      <c r="AH2334" s="60"/>
    </row>
    <row r="2335" spans="1:34" ht="15.75" customHeight="1">
      <c r="A2335" s="111" t="s">
        <v>100</v>
      </c>
      <c r="B2335" s="18" t="s">
        <v>8306</v>
      </c>
      <c r="C2335" s="37" t="s">
        <v>87</v>
      </c>
      <c r="D2335" s="20" t="s">
        <v>8307</v>
      </c>
      <c r="E2335" s="20" t="s">
        <v>8308</v>
      </c>
      <c r="F2335" s="19" t="s">
        <v>90</v>
      </c>
      <c r="G2335" s="19" t="s">
        <v>91</v>
      </c>
      <c r="H2335" s="37"/>
      <c r="I2335" s="21" t="s">
        <v>29</v>
      </c>
      <c r="J2335" s="21" t="s">
        <v>29</v>
      </c>
      <c r="K2335" s="22" t="s">
        <v>8309</v>
      </c>
      <c r="L2335" s="56">
        <v>45089</v>
      </c>
      <c r="O2335" s="42"/>
      <c r="P2335" s="40"/>
      <c r="Q2335" s="61"/>
      <c r="R2335" s="61"/>
      <c r="S2335" s="40"/>
      <c r="T2335" s="38"/>
      <c r="U2335" s="38"/>
      <c r="V2335" s="38"/>
      <c r="W2335" s="60"/>
      <c r="AB2335" s="42"/>
      <c r="AC2335" s="35"/>
      <c r="AD2335" s="38"/>
      <c r="AE2335" s="38"/>
      <c r="AF2335" s="38"/>
      <c r="AG2335" s="38"/>
      <c r="AH2335" s="60"/>
    </row>
    <row r="2336" spans="1:34" ht="15.75" customHeight="1">
      <c r="A2336" s="75">
        <v>165</v>
      </c>
      <c r="B2336" s="18" t="s">
        <v>8310</v>
      </c>
      <c r="C2336" s="37" t="s">
        <v>46</v>
      </c>
      <c r="D2336" s="20" t="s">
        <v>8311</v>
      </c>
      <c r="E2336" s="20" t="s">
        <v>8312</v>
      </c>
      <c r="F2336" s="37" t="s">
        <v>49</v>
      </c>
      <c r="G2336" s="19" t="s">
        <v>50</v>
      </c>
      <c r="H2336" s="37"/>
      <c r="I2336" s="21" t="s">
        <v>29</v>
      </c>
      <c r="J2336" s="21" t="s">
        <v>29</v>
      </c>
      <c r="K2336" s="22" t="s">
        <v>8313</v>
      </c>
      <c r="L2336" s="56">
        <v>45089</v>
      </c>
      <c r="O2336" s="42"/>
      <c r="P2336" s="40"/>
      <c r="Q2336" s="61"/>
      <c r="R2336" s="61"/>
      <c r="S2336" s="40"/>
      <c r="T2336" s="38"/>
      <c r="U2336" s="38"/>
      <c r="V2336" s="38"/>
      <c r="W2336" s="60"/>
      <c r="AB2336" s="42"/>
      <c r="AC2336" s="35"/>
      <c r="AD2336" s="38"/>
      <c r="AE2336" s="38"/>
      <c r="AF2336" s="38"/>
      <c r="AG2336" s="38"/>
      <c r="AH2336" s="60"/>
    </row>
    <row r="2337" spans="1:34" ht="15.75" customHeight="1">
      <c r="A2337" s="35"/>
      <c r="B2337" s="18" t="s">
        <v>8314</v>
      </c>
      <c r="C2337" s="37" t="s">
        <v>24</v>
      </c>
      <c r="D2337" s="20" t="s">
        <v>8315</v>
      </c>
      <c r="E2337" s="20" t="s">
        <v>8316</v>
      </c>
      <c r="F2337" s="19" t="s">
        <v>27</v>
      </c>
      <c r="G2337" s="19" t="s">
        <v>28</v>
      </c>
      <c r="H2337" s="19" t="s">
        <v>36</v>
      </c>
      <c r="I2337" s="21" t="s">
        <v>29</v>
      </c>
      <c r="J2337" s="21" t="s">
        <v>29</v>
      </c>
      <c r="K2337" s="22" t="s">
        <v>8317</v>
      </c>
      <c r="L2337" s="56">
        <v>45089</v>
      </c>
      <c r="O2337" s="42"/>
      <c r="P2337" s="40"/>
      <c r="Q2337" s="61"/>
      <c r="R2337" s="61"/>
      <c r="S2337" s="40"/>
      <c r="T2337" s="38"/>
      <c r="U2337" s="38"/>
      <c r="V2337" s="38"/>
      <c r="W2337" s="60"/>
      <c r="AB2337" s="42"/>
      <c r="AC2337" s="35"/>
      <c r="AD2337" s="38"/>
      <c r="AE2337" s="38"/>
      <c r="AF2337" s="38"/>
      <c r="AG2337" s="38"/>
      <c r="AH2337" s="60"/>
    </row>
    <row r="2338" spans="1:34" ht="15.75" customHeight="1">
      <c r="A2338" s="35"/>
      <c r="B2338" s="29" t="s">
        <v>8318</v>
      </c>
      <c r="C2338" s="37" t="s">
        <v>24</v>
      </c>
      <c r="D2338" s="20" t="s">
        <v>8319</v>
      </c>
      <c r="E2338" s="20" t="s">
        <v>8320</v>
      </c>
      <c r="F2338" s="19" t="s">
        <v>27</v>
      </c>
      <c r="G2338" s="19" t="s">
        <v>28</v>
      </c>
      <c r="H2338" s="37"/>
      <c r="I2338" s="21" t="s">
        <v>29</v>
      </c>
      <c r="J2338" s="21" t="s">
        <v>29</v>
      </c>
      <c r="K2338" s="22" t="s">
        <v>8321</v>
      </c>
      <c r="L2338" s="56">
        <v>45089</v>
      </c>
      <c r="O2338" s="42"/>
      <c r="P2338" s="40"/>
      <c r="Q2338" s="61"/>
      <c r="R2338" s="61"/>
      <c r="S2338" s="40"/>
      <c r="T2338" s="38"/>
      <c r="U2338" s="38"/>
      <c r="V2338" s="38"/>
      <c r="W2338" s="60"/>
      <c r="AB2338" s="42"/>
      <c r="AC2338" s="35"/>
      <c r="AD2338" s="38"/>
      <c r="AE2338" s="38"/>
      <c r="AF2338" s="38"/>
      <c r="AG2338" s="38"/>
      <c r="AH2338" s="60"/>
    </row>
    <row r="2339" spans="1:34" ht="15.75" customHeight="1">
      <c r="A2339" s="35"/>
      <c r="B2339" s="34" t="s">
        <v>8322</v>
      </c>
      <c r="C2339" s="37" t="s">
        <v>24</v>
      </c>
      <c r="D2339" s="20" t="s">
        <v>8323</v>
      </c>
      <c r="E2339" s="20" t="s">
        <v>8324</v>
      </c>
      <c r="F2339" s="19" t="s">
        <v>90</v>
      </c>
      <c r="G2339" s="19" t="s">
        <v>91</v>
      </c>
      <c r="H2339" s="37"/>
      <c r="I2339" s="21" t="s">
        <v>29</v>
      </c>
      <c r="J2339" s="21" t="s">
        <v>29</v>
      </c>
      <c r="K2339" s="22" t="s">
        <v>8325</v>
      </c>
      <c r="L2339" s="56">
        <v>45089</v>
      </c>
      <c r="O2339" s="42"/>
      <c r="P2339" s="40"/>
      <c r="Q2339" s="61"/>
      <c r="R2339" s="61"/>
      <c r="S2339" s="40"/>
      <c r="T2339" s="38"/>
      <c r="U2339" s="38"/>
      <c r="V2339" s="38"/>
      <c r="W2339" s="60"/>
      <c r="AB2339" s="42"/>
      <c r="AC2339" s="35"/>
      <c r="AD2339" s="38"/>
      <c r="AE2339" s="38"/>
      <c r="AF2339" s="38"/>
      <c r="AG2339" s="38"/>
      <c r="AH2339" s="60"/>
    </row>
    <row r="2340" spans="1:34" ht="15.75" customHeight="1">
      <c r="A2340" s="35"/>
      <c r="B2340" s="29" t="s">
        <v>8326</v>
      </c>
      <c r="C2340" s="37" t="s">
        <v>87</v>
      </c>
      <c r="D2340" s="20" t="s">
        <v>8327</v>
      </c>
      <c r="E2340" s="20" t="s">
        <v>8328</v>
      </c>
      <c r="F2340" s="19" t="s">
        <v>90</v>
      </c>
      <c r="G2340" s="19" t="s">
        <v>91</v>
      </c>
      <c r="H2340" s="55"/>
      <c r="I2340" s="21" t="s">
        <v>29</v>
      </c>
      <c r="J2340" s="21" t="s">
        <v>29</v>
      </c>
      <c r="K2340" s="22" t="s">
        <v>8329</v>
      </c>
      <c r="L2340" s="56"/>
      <c r="O2340" s="42"/>
      <c r="P2340" s="40"/>
      <c r="Q2340" s="61"/>
      <c r="R2340" s="61"/>
      <c r="S2340" s="40"/>
      <c r="T2340" s="38"/>
      <c r="U2340" s="38"/>
      <c r="V2340" s="38"/>
      <c r="W2340" s="60"/>
      <c r="AB2340" s="42"/>
      <c r="AC2340" s="35"/>
      <c r="AD2340" s="38"/>
      <c r="AE2340" s="38"/>
      <c r="AF2340" s="38"/>
      <c r="AG2340" s="38"/>
      <c r="AH2340" s="60"/>
    </row>
    <row r="2341" spans="1:34" ht="15.75" customHeight="1">
      <c r="A2341" s="35"/>
      <c r="B2341" s="18" t="s">
        <v>8330</v>
      </c>
      <c r="C2341" s="55" t="s">
        <v>24</v>
      </c>
      <c r="D2341" s="20" t="s">
        <v>8331</v>
      </c>
      <c r="E2341" s="20" t="s">
        <v>8332</v>
      </c>
      <c r="F2341" s="19" t="s">
        <v>27</v>
      </c>
      <c r="G2341" s="19" t="s">
        <v>28</v>
      </c>
      <c r="H2341" s="19" t="s">
        <v>36</v>
      </c>
      <c r="I2341" s="21" t="s">
        <v>29</v>
      </c>
      <c r="J2341" s="21" t="s">
        <v>29</v>
      </c>
      <c r="K2341" s="22" t="s">
        <v>8333</v>
      </c>
      <c r="L2341" s="56">
        <v>45089</v>
      </c>
      <c r="O2341" s="42"/>
      <c r="P2341" s="40"/>
      <c r="Q2341" s="61"/>
      <c r="R2341" s="61"/>
      <c r="S2341" s="40"/>
      <c r="T2341" s="38"/>
      <c r="U2341" s="38"/>
      <c r="V2341" s="38"/>
      <c r="W2341" s="60"/>
      <c r="AB2341" s="42"/>
      <c r="AC2341" s="35"/>
      <c r="AD2341" s="38"/>
      <c r="AE2341" s="38"/>
      <c r="AF2341" s="38"/>
      <c r="AG2341" s="38"/>
      <c r="AH2341" s="60"/>
    </row>
    <row r="2342" spans="1:34" ht="15.75" customHeight="1">
      <c r="A2342" s="35"/>
      <c r="B2342" s="18" t="s">
        <v>8334</v>
      </c>
      <c r="C2342" s="55" t="s">
        <v>24</v>
      </c>
      <c r="D2342" s="20" t="s">
        <v>8335</v>
      </c>
      <c r="E2342" s="20" t="s">
        <v>8336</v>
      </c>
      <c r="F2342" s="19" t="s">
        <v>27</v>
      </c>
      <c r="G2342" s="19" t="s">
        <v>28</v>
      </c>
      <c r="H2342" s="19" t="s">
        <v>36</v>
      </c>
      <c r="I2342" s="21" t="s">
        <v>29</v>
      </c>
      <c r="J2342" s="21" t="s">
        <v>29</v>
      </c>
      <c r="K2342" s="22" t="s">
        <v>8337</v>
      </c>
      <c r="L2342" s="56">
        <v>45089</v>
      </c>
      <c r="O2342" s="42"/>
      <c r="P2342" s="40"/>
      <c r="Q2342" s="61"/>
      <c r="R2342" s="61"/>
      <c r="S2342" s="40"/>
      <c r="T2342" s="38"/>
      <c r="U2342" s="38"/>
      <c r="V2342" s="38"/>
      <c r="W2342" s="60"/>
      <c r="AB2342" s="42"/>
      <c r="AC2342" s="35"/>
      <c r="AD2342" s="38"/>
      <c r="AE2342" s="38"/>
      <c r="AF2342" s="38"/>
      <c r="AG2342" s="38"/>
      <c r="AH2342" s="60"/>
    </row>
    <row r="2343" spans="1:34" ht="15.75" customHeight="1">
      <c r="A2343" s="35"/>
      <c r="B2343" s="18" t="s">
        <v>8338</v>
      </c>
      <c r="C2343" s="37" t="s">
        <v>24</v>
      </c>
      <c r="D2343" s="20" t="s">
        <v>8339</v>
      </c>
      <c r="E2343" s="20" t="s">
        <v>8340</v>
      </c>
      <c r="F2343" s="19" t="s">
        <v>27</v>
      </c>
      <c r="G2343" s="19" t="s">
        <v>28</v>
      </c>
      <c r="H2343" s="37"/>
      <c r="I2343" s="21" t="s">
        <v>29</v>
      </c>
      <c r="J2343" s="21" t="s">
        <v>29</v>
      </c>
      <c r="K2343" s="22" t="s">
        <v>8341</v>
      </c>
      <c r="L2343" s="56">
        <v>45089</v>
      </c>
      <c r="O2343" s="42"/>
      <c r="P2343" s="40"/>
      <c r="Q2343" s="61"/>
      <c r="R2343" s="61"/>
      <c r="S2343" s="40"/>
      <c r="T2343" s="38"/>
      <c r="U2343" s="38"/>
      <c r="V2343" s="38"/>
      <c r="W2343" s="60"/>
      <c r="AB2343" s="42"/>
      <c r="AC2343" s="35"/>
      <c r="AD2343" s="38"/>
      <c r="AE2343" s="38"/>
      <c r="AF2343" s="38"/>
      <c r="AG2343" s="38"/>
      <c r="AH2343" s="60"/>
    </row>
    <row r="2344" spans="1:34" ht="15.75" customHeight="1">
      <c r="A2344" s="35"/>
      <c r="B2344" s="18" t="s">
        <v>8342</v>
      </c>
      <c r="C2344" s="37" t="s">
        <v>412</v>
      </c>
      <c r="D2344" s="20" t="s">
        <v>8343</v>
      </c>
      <c r="E2344" s="20" t="s">
        <v>8344</v>
      </c>
      <c r="F2344" s="19" t="s">
        <v>414</v>
      </c>
      <c r="G2344" s="37" t="s">
        <v>415</v>
      </c>
      <c r="H2344" s="37" t="s">
        <v>813</v>
      </c>
      <c r="I2344" s="21" t="s">
        <v>233</v>
      </c>
      <c r="J2344" s="21" t="s">
        <v>233</v>
      </c>
      <c r="K2344" s="22" t="s">
        <v>8345</v>
      </c>
      <c r="L2344" s="56">
        <v>45089</v>
      </c>
      <c r="O2344" s="42"/>
      <c r="P2344" s="40"/>
      <c r="Q2344" s="61"/>
      <c r="R2344" s="61"/>
      <c r="S2344" s="40"/>
      <c r="T2344" s="38"/>
      <c r="U2344" s="38"/>
      <c r="V2344" s="38"/>
      <c r="W2344" s="60"/>
      <c r="AB2344" s="42"/>
      <c r="AC2344" s="35"/>
      <c r="AD2344" s="38"/>
      <c r="AE2344" s="38"/>
      <c r="AF2344" s="38"/>
      <c r="AG2344" s="38"/>
      <c r="AH2344" s="60"/>
    </row>
    <row r="2345" spans="1:34" ht="15.75" customHeight="1">
      <c r="A2345" s="35"/>
      <c r="B2345" s="29" t="s">
        <v>8346</v>
      </c>
      <c r="C2345" s="8" t="s">
        <v>24</v>
      </c>
      <c r="D2345" s="20" t="s">
        <v>8347</v>
      </c>
      <c r="E2345" s="20" t="s">
        <v>8348</v>
      </c>
      <c r="F2345" s="19" t="s">
        <v>27</v>
      </c>
      <c r="G2345" s="19" t="s">
        <v>28</v>
      </c>
      <c r="H2345" s="19" t="s">
        <v>36</v>
      </c>
      <c r="I2345" s="21" t="s">
        <v>29</v>
      </c>
      <c r="J2345" s="21" t="s">
        <v>29</v>
      </c>
      <c r="K2345" s="22" t="s">
        <v>8349</v>
      </c>
      <c r="L2345" s="56">
        <v>45089</v>
      </c>
      <c r="O2345" s="42"/>
      <c r="P2345" s="40"/>
      <c r="Q2345" s="61"/>
      <c r="R2345" s="61"/>
      <c r="S2345" s="40"/>
      <c r="T2345" s="38"/>
      <c r="U2345" s="38"/>
      <c r="V2345" s="38"/>
      <c r="W2345" s="60"/>
      <c r="AB2345" s="42"/>
      <c r="AC2345" s="35"/>
      <c r="AD2345" s="38"/>
      <c r="AE2345" s="38"/>
      <c r="AF2345" s="38"/>
      <c r="AG2345" s="38"/>
      <c r="AH2345" s="60"/>
    </row>
    <row r="2346" spans="1:34" ht="15.75" customHeight="1">
      <c r="A2346" s="35"/>
      <c r="B2346" s="18" t="s">
        <v>8350</v>
      </c>
      <c r="C2346" s="37" t="s">
        <v>24</v>
      </c>
      <c r="D2346" s="20" t="s">
        <v>8351</v>
      </c>
      <c r="E2346" s="20" t="s">
        <v>8352</v>
      </c>
      <c r="F2346" s="19" t="s">
        <v>90</v>
      </c>
      <c r="G2346" s="19" t="s">
        <v>91</v>
      </c>
      <c r="H2346" s="37"/>
      <c r="I2346" s="21" t="s">
        <v>29</v>
      </c>
      <c r="J2346" s="21" t="s">
        <v>29</v>
      </c>
      <c r="K2346" s="22" t="s">
        <v>8353</v>
      </c>
      <c r="L2346" s="56">
        <v>45089</v>
      </c>
      <c r="O2346" s="42"/>
      <c r="P2346" s="40"/>
      <c r="Q2346" s="61"/>
      <c r="R2346" s="61"/>
      <c r="S2346" s="40"/>
      <c r="T2346" s="38"/>
      <c r="U2346" s="38"/>
      <c r="V2346" s="38"/>
      <c r="W2346" s="60"/>
      <c r="AB2346" s="42"/>
      <c r="AC2346" s="35"/>
      <c r="AD2346" s="38"/>
      <c r="AE2346" s="38"/>
      <c r="AF2346" s="38"/>
      <c r="AG2346" s="38"/>
      <c r="AH2346" s="60"/>
    </row>
    <row r="2347" spans="1:34" ht="15.75" customHeight="1">
      <c r="A2347" s="35"/>
      <c r="B2347" s="18" t="s">
        <v>8354</v>
      </c>
      <c r="C2347" s="37" t="s">
        <v>87</v>
      </c>
      <c r="D2347" s="20" t="s">
        <v>8355</v>
      </c>
      <c r="E2347" s="20" t="s">
        <v>8356</v>
      </c>
      <c r="F2347" s="19" t="s">
        <v>90</v>
      </c>
      <c r="G2347" s="19" t="s">
        <v>91</v>
      </c>
      <c r="H2347" s="37"/>
      <c r="I2347" s="21" t="s">
        <v>29</v>
      </c>
      <c r="J2347" s="21" t="s">
        <v>233</v>
      </c>
      <c r="K2347" s="22" t="s">
        <v>8357</v>
      </c>
      <c r="L2347" s="56">
        <v>45089</v>
      </c>
      <c r="O2347" s="42"/>
      <c r="P2347" s="40"/>
      <c r="Q2347" s="61"/>
      <c r="R2347" s="61"/>
      <c r="S2347" s="40"/>
      <c r="T2347" s="38"/>
      <c r="U2347" s="38"/>
      <c r="V2347" s="38"/>
      <c r="W2347" s="60"/>
      <c r="AB2347" s="42"/>
      <c r="AC2347" s="35"/>
      <c r="AD2347" s="38"/>
      <c r="AE2347" s="38"/>
      <c r="AF2347" s="38"/>
      <c r="AG2347" s="38"/>
      <c r="AH2347" s="60"/>
    </row>
    <row r="2348" spans="1:34" ht="15.75" customHeight="1">
      <c r="A2348" s="35"/>
      <c r="B2348" s="34" t="s">
        <v>8358</v>
      </c>
      <c r="C2348" s="37" t="s">
        <v>24</v>
      </c>
      <c r="D2348" s="20" t="s">
        <v>8359</v>
      </c>
      <c r="E2348" s="20" t="s">
        <v>8360</v>
      </c>
      <c r="F2348" s="19" t="s">
        <v>90</v>
      </c>
      <c r="G2348" s="19" t="s">
        <v>91</v>
      </c>
      <c r="H2348" s="37"/>
      <c r="I2348" s="21" t="s">
        <v>29</v>
      </c>
      <c r="J2348" s="21" t="s">
        <v>29</v>
      </c>
      <c r="K2348" s="22" t="s">
        <v>8361</v>
      </c>
      <c r="L2348" s="56">
        <v>45089</v>
      </c>
      <c r="O2348" s="42"/>
      <c r="P2348" s="40"/>
      <c r="Q2348" s="61"/>
      <c r="R2348" s="61"/>
      <c r="S2348" s="40"/>
      <c r="T2348" s="38"/>
      <c r="U2348" s="38"/>
      <c r="V2348" s="38"/>
      <c r="W2348" s="60"/>
      <c r="AB2348" s="42"/>
      <c r="AC2348" s="35"/>
      <c r="AD2348" s="38"/>
      <c r="AE2348" s="38"/>
      <c r="AF2348" s="38"/>
      <c r="AG2348" s="38"/>
      <c r="AH2348" s="60"/>
    </row>
    <row r="2349" spans="1:34" ht="15.75" customHeight="1">
      <c r="A2349" s="35"/>
      <c r="B2349" s="29" t="s">
        <v>8362</v>
      </c>
      <c r="C2349" s="37" t="s">
        <v>46</v>
      </c>
      <c r="D2349" s="20" t="s">
        <v>8363</v>
      </c>
      <c r="E2349" s="20"/>
      <c r="F2349" s="37" t="s">
        <v>286</v>
      </c>
      <c r="G2349" s="19" t="s">
        <v>50</v>
      </c>
      <c r="H2349" s="37"/>
      <c r="I2349" s="21" t="s">
        <v>286</v>
      </c>
      <c r="J2349" s="21" t="s">
        <v>29</v>
      </c>
      <c r="K2349" s="22"/>
      <c r="L2349" s="56"/>
      <c r="O2349" s="42"/>
      <c r="P2349" s="40"/>
      <c r="Q2349" s="61"/>
      <c r="R2349" s="61"/>
      <c r="S2349" s="40"/>
      <c r="T2349" s="38"/>
      <c r="U2349" s="38"/>
      <c r="V2349" s="38"/>
      <c r="W2349" s="60"/>
      <c r="AB2349" s="42"/>
      <c r="AC2349" s="35"/>
      <c r="AD2349" s="38"/>
      <c r="AE2349" s="38"/>
      <c r="AF2349" s="38"/>
      <c r="AG2349" s="38"/>
      <c r="AH2349" s="60"/>
    </row>
    <row r="2350" spans="1:34" ht="15.75" customHeight="1">
      <c r="A2350" s="35"/>
      <c r="B2350" s="18" t="s">
        <v>8364</v>
      </c>
      <c r="C2350" s="37" t="s">
        <v>46</v>
      </c>
      <c r="D2350" s="20" t="s">
        <v>55</v>
      </c>
      <c r="E2350" s="20" t="s">
        <v>8365</v>
      </c>
      <c r="F2350" s="37" t="s">
        <v>49</v>
      </c>
      <c r="G2350" s="19" t="s">
        <v>50</v>
      </c>
      <c r="H2350" s="37"/>
      <c r="I2350" s="21" t="s">
        <v>29</v>
      </c>
      <c r="J2350" s="21" t="s">
        <v>29</v>
      </c>
      <c r="K2350" s="22" t="s">
        <v>8366</v>
      </c>
      <c r="L2350" s="56">
        <v>45089</v>
      </c>
      <c r="O2350" s="42"/>
      <c r="P2350" s="40"/>
      <c r="Q2350" s="61"/>
      <c r="R2350" s="61"/>
      <c r="S2350" s="40"/>
      <c r="T2350" s="38"/>
      <c r="U2350" s="38"/>
      <c r="V2350" s="38"/>
      <c r="W2350" s="60"/>
      <c r="AB2350" s="42"/>
      <c r="AC2350" s="35"/>
      <c r="AD2350" s="38"/>
      <c r="AE2350" s="38"/>
      <c r="AF2350" s="38"/>
      <c r="AG2350" s="38"/>
      <c r="AH2350" s="60"/>
    </row>
    <row r="2351" spans="1:34" ht="15.75" customHeight="1">
      <c r="A2351" s="35"/>
      <c r="B2351" s="18" t="s">
        <v>8367</v>
      </c>
      <c r="C2351" s="37" t="s">
        <v>87</v>
      </c>
      <c r="D2351" s="20" t="s">
        <v>8368</v>
      </c>
      <c r="E2351" s="20" t="s">
        <v>8369</v>
      </c>
      <c r="F2351" s="19" t="s">
        <v>90</v>
      </c>
      <c r="G2351" s="19" t="s">
        <v>91</v>
      </c>
      <c r="H2351" s="37"/>
      <c r="I2351" s="21" t="s">
        <v>29</v>
      </c>
      <c r="J2351" s="21" t="s">
        <v>29</v>
      </c>
      <c r="K2351" s="22" t="s">
        <v>8370</v>
      </c>
      <c r="L2351" s="56">
        <v>45089</v>
      </c>
      <c r="O2351" s="42"/>
      <c r="P2351" s="40"/>
      <c r="Q2351" s="61"/>
      <c r="R2351" s="61"/>
      <c r="S2351" s="40"/>
      <c r="T2351" s="38"/>
      <c r="U2351" s="38"/>
      <c r="V2351" s="38"/>
      <c r="W2351" s="60"/>
      <c r="AB2351" s="42"/>
      <c r="AC2351" s="35"/>
      <c r="AD2351" s="38"/>
      <c r="AE2351" s="38"/>
      <c r="AF2351" s="38"/>
      <c r="AG2351" s="38"/>
      <c r="AH2351" s="60"/>
    </row>
    <row r="2352" spans="1:34" ht="15.75" customHeight="1">
      <c r="A2352" s="35"/>
      <c r="B2352" s="29" t="s">
        <v>8371</v>
      </c>
      <c r="C2352" s="37" t="s">
        <v>1638</v>
      </c>
      <c r="D2352" s="20" t="s">
        <v>8372</v>
      </c>
      <c r="E2352" s="20" t="s">
        <v>8373</v>
      </c>
      <c r="F2352" s="37" t="s">
        <v>1399</v>
      </c>
      <c r="G2352" s="19" t="s">
        <v>1641</v>
      </c>
      <c r="H2352" s="37"/>
      <c r="I2352" s="21" t="s">
        <v>1371</v>
      </c>
      <c r="J2352" s="21" t="s">
        <v>1371</v>
      </c>
      <c r="K2352" s="22" t="s">
        <v>8374</v>
      </c>
      <c r="L2352" s="56"/>
      <c r="O2352" s="42"/>
      <c r="P2352" s="40"/>
      <c r="Q2352" s="61"/>
      <c r="R2352" s="61"/>
      <c r="S2352" s="40"/>
      <c r="T2352" s="38"/>
      <c r="U2352" s="38"/>
      <c r="V2352" s="38"/>
      <c r="W2352" s="60"/>
      <c r="AB2352" s="42"/>
      <c r="AC2352" s="35"/>
      <c r="AD2352" s="38"/>
      <c r="AE2352" s="38"/>
      <c r="AF2352" s="38"/>
      <c r="AG2352" s="38"/>
      <c r="AH2352" s="60"/>
    </row>
    <row r="2353" spans="1:34" ht="15.75" customHeight="1">
      <c r="A2353" s="35"/>
      <c r="B2353" s="34" t="s">
        <v>8375</v>
      </c>
      <c r="C2353" s="37" t="s">
        <v>24</v>
      </c>
      <c r="D2353" s="20" t="s">
        <v>8376</v>
      </c>
      <c r="E2353" s="20" t="s">
        <v>8377</v>
      </c>
      <c r="F2353" s="19" t="s">
        <v>90</v>
      </c>
      <c r="G2353" s="19" t="s">
        <v>91</v>
      </c>
      <c r="H2353" s="37"/>
      <c r="I2353" s="21" t="s">
        <v>29</v>
      </c>
      <c r="J2353" s="21" t="s">
        <v>29</v>
      </c>
      <c r="K2353" s="22" t="s">
        <v>8378</v>
      </c>
      <c r="L2353" s="56">
        <v>45089</v>
      </c>
      <c r="O2353" s="42"/>
      <c r="P2353" s="40"/>
      <c r="Q2353" s="61"/>
      <c r="R2353" s="61"/>
      <c r="S2353" s="40"/>
      <c r="T2353" s="38"/>
      <c r="U2353" s="38"/>
      <c r="V2353" s="38"/>
      <c r="W2353" s="60"/>
      <c r="AB2353" s="42"/>
      <c r="AC2353" s="35"/>
      <c r="AD2353" s="38"/>
      <c r="AE2353" s="38"/>
      <c r="AF2353" s="38"/>
      <c r="AG2353" s="38"/>
      <c r="AH2353" s="60"/>
    </row>
    <row r="2354" spans="1:34" ht="15.75" customHeight="1">
      <c r="A2354" s="35"/>
      <c r="B2354" s="18" t="s">
        <v>8379</v>
      </c>
      <c r="C2354" s="37" t="s">
        <v>87</v>
      </c>
      <c r="D2354" s="20" t="s">
        <v>8380</v>
      </c>
      <c r="E2354" s="20" t="s">
        <v>8381</v>
      </c>
      <c r="F2354" s="19" t="s">
        <v>90</v>
      </c>
      <c r="G2354" s="19" t="s">
        <v>91</v>
      </c>
      <c r="H2354" s="37"/>
      <c r="I2354" s="21" t="s">
        <v>29</v>
      </c>
      <c r="J2354" s="21" t="s">
        <v>29</v>
      </c>
      <c r="K2354" s="22" t="s">
        <v>8382</v>
      </c>
      <c r="L2354" s="56">
        <v>45089</v>
      </c>
      <c r="O2354" s="42"/>
      <c r="P2354" s="40"/>
      <c r="Q2354" s="61"/>
      <c r="R2354" s="61"/>
      <c r="S2354" s="40"/>
      <c r="T2354" s="38"/>
      <c r="U2354" s="38"/>
      <c r="V2354" s="38"/>
      <c r="W2354" s="60"/>
      <c r="AB2354" s="42"/>
      <c r="AC2354" s="35"/>
      <c r="AD2354" s="38"/>
      <c r="AE2354" s="38"/>
      <c r="AF2354" s="38"/>
      <c r="AG2354" s="38"/>
      <c r="AH2354" s="60"/>
    </row>
    <row r="2355" spans="1:34" ht="15.75" customHeight="1">
      <c r="A2355" s="35"/>
      <c r="B2355" s="18" t="s">
        <v>8383</v>
      </c>
      <c r="C2355" s="37" t="s">
        <v>87</v>
      </c>
      <c r="D2355" s="20" t="s">
        <v>8384</v>
      </c>
      <c r="E2355" s="20" t="s">
        <v>8385</v>
      </c>
      <c r="F2355" s="19" t="s">
        <v>90</v>
      </c>
      <c r="G2355" s="19" t="s">
        <v>91</v>
      </c>
      <c r="H2355" s="37"/>
      <c r="I2355" s="21" t="s">
        <v>29</v>
      </c>
      <c r="J2355" s="21" t="s">
        <v>29</v>
      </c>
      <c r="K2355" s="22" t="s">
        <v>8386</v>
      </c>
      <c r="L2355" s="56">
        <v>45089</v>
      </c>
      <c r="O2355" s="42"/>
      <c r="P2355" s="40"/>
      <c r="Q2355" s="61"/>
      <c r="R2355" s="61"/>
      <c r="S2355" s="40"/>
      <c r="T2355" s="38"/>
      <c r="U2355" s="38"/>
      <c r="V2355" s="38"/>
      <c r="W2355" s="60"/>
      <c r="AB2355" s="42"/>
      <c r="AC2355" s="35"/>
      <c r="AD2355" s="38"/>
      <c r="AE2355" s="38"/>
      <c r="AF2355" s="38"/>
      <c r="AG2355" s="38"/>
      <c r="AH2355" s="60"/>
    </row>
    <row r="2356" spans="1:34" ht="15.75" customHeight="1">
      <c r="A2356" s="35"/>
      <c r="B2356" s="38" t="s">
        <v>8387</v>
      </c>
      <c r="C2356" s="37" t="s">
        <v>24</v>
      </c>
      <c r="D2356" s="20" t="s">
        <v>8388</v>
      </c>
      <c r="E2356" s="20" t="s">
        <v>8389</v>
      </c>
      <c r="F2356" s="19" t="s">
        <v>27</v>
      </c>
      <c r="G2356" s="19" t="s">
        <v>28</v>
      </c>
      <c r="H2356" s="37"/>
      <c r="I2356" s="21" t="s">
        <v>29</v>
      </c>
      <c r="J2356" s="21" t="s">
        <v>29</v>
      </c>
      <c r="K2356" s="22" t="s">
        <v>8390</v>
      </c>
      <c r="L2356" s="56"/>
      <c r="O2356" s="42"/>
      <c r="P2356" s="40"/>
      <c r="Q2356" s="61"/>
      <c r="R2356" s="61"/>
      <c r="S2356" s="40"/>
      <c r="T2356" s="38"/>
      <c r="U2356" s="38"/>
      <c r="V2356" s="38"/>
      <c r="W2356" s="60"/>
      <c r="AB2356" s="42"/>
      <c r="AC2356" s="35"/>
      <c r="AD2356" s="38"/>
      <c r="AE2356" s="38"/>
      <c r="AF2356" s="38"/>
      <c r="AG2356" s="38"/>
      <c r="AH2356" s="60"/>
    </row>
    <row r="2357" spans="1:34" ht="15.75" customHeight="1">
      <c r="A2357" s="35"/>
      <c r="B2357" s="29" t="s">
        <v>8391</v>
      </c>
      <c r="C2357" s="37" t="s">
        <v>24</v>
      </c>
      <c r="D2357" s="20" t="s">
        <v>8392</v>
      </c>
      <c r="E2357" s="20" t="s">
        <v>8393</v>
      </c>
      <c r="F2357" s="19" t="s">
        <v>27</v>
      </c>
      <c r="G2357" s="19" t="s">
        <v>28</v>
      </c>
      <c r="H2357" s="37"/>
      <c r="I2357" s="21" t="s">
        <v>29</v>
      </c>
      <c r="J2357" s="21" t="s">
        <v>29</v>
      </c>
      <c r="K2357" s="22" t="s">
        <v>8394</v>
      </c>
      <c r="L2357" s="56"/>
      <c r="O2357" s="42"/>
      <c r="P2357" s="40"/>
      <c r="Q2357" s="61"/>
      <c r="R2357" s="61"/>
      <c r="S2357" s="40"/>
      <c r="T2357" s="38"/>
      <c r="U2357" s="38"/>
      <c r="V2357" s="38"/>
      <c r="W2357" s="60"/>
      <c r="AB2357" s="42"/>
      <c r="AC2357" s="35"/>
      <c r="AD2357" s="38"/>
      <c r="AE2357" s="38"/>
      <c r="AF2357" s="38"/>
      <c r="AG2357" s="38"/>
      <c r="AH2357" s="60"/>
    </row>
    <row r="2358" spans="1:34" ht="15.75" customHeight="1">
      <c r="A2358" s="35"/>
      <c r="B2358" s="18" t="s">
        <v>8395</v>
      </c>
      <c r="C2358" s="37" t="s">
        <v>87</v>
      </c>
      <c r="D2358" s="20" t="s">
        <v>8396</v>
      </c>
      <c r="E2358" s="20" t="s">
        <v>8397</v>
      </c>
      <c r="F2358" s="19" t="s">
        <v>90</v>
      </c>
      <c r="G2358" s="19" t="s">
        <v>91</v>
      </c>
      <c r="H2358" s="37"/>
      <c r="I2358" s="21" t="s">
        <v>29</v>
      </c>
      <c r="J2358" s="21" t="s">
        <v>29</v>
      </c>
      <c r="K2358" s="22" t="s">
        <v>8397</v>
      </c>
      <c r="L2358" s="56">
        <v>45089</v>
      </c>
      <c r="O2358" s="42"/>
      <c r="P2358" s="40"/>
      <c r="Q2358" s="61"/>
      <c r="R2358" s="61"/>
      <c r="S2358" s="40"/>
      <c r="T2358" s="38"/>
      <c r="U2358" s="38"/>
      <c r="V2358" s="38"/>
      <c r="W2358" s="60"/>
      <c r="AB2358" s="42"/>
      <c r="AC2358" s="35"/>
      <c r="AD2358" s="38"/>
      <c r="AE2358" s="38"/>
      <c r="AF2358" s="38"/>
      <c r="AG2358" s="38"/>
      <c r="AH2358" s="60"/>
    </row>
    <row r="2359" spans="1:34" ht="15.75" customHeight="1">
      <c r="A2359" s="35"/>
      <c r="B2359" s="38"/>
      <c r="C2359" s="37"/>
      <c r="D2359" s="20"/>
      <c r="E2359" s="20"/>
      <c r="F2359" s="37"/>
      <c r="G2359" s="37"/>
      <c r="H2359" s="37"/>
      <c r="I2359" s="21"/>
      <c r="J2359" s="21"/>
      <c r="K2359" s="22"/>
      <c r="L2359" s="39"/>
      <c r="O2359" s="42"/>
      <c r="P2359" s="40"/>
      <c r="Q2359" s="61"/>
      <c r="R2359" s="61"/>
      <c r="S2359" s="40"/>
      <c r="T2359" s="38"/>
      <c r="U2359" s="38"/>
      <c r="V2359" s="38"/>
      <c r="W2359" s="60"/>
      <c r="AB2359" s="42"/>
      <c r="AC2359" s="35"/>
      <c r="AD2359" s="38"/>
      <c r="AE2359" s="38"/>
      <c r="AF2359" s="38"/>
      <c r="AG2359" s="38"/>
      <c r="AH2359" s="60"/>
    </row>
    <row r="2360" spans="1:34" ht="15.75" customHeight="1">
      <c r="A2360" s="35" t="s">
        <v>8398</v>
      </c>
      <c r="B2360" s="29" t="s">
        <v>8399</v>
      </c>
      <c r="C2360" s="8" t="s">
        <v>24</v>
      </c>
      <c r="D2360" s="20" t="s">
        <v>8400</v>
      </c>
      <c r="E2360" s="20" t="s">
        <v>8401</v>
      </c>
      <c r="F2360" s="19" t="s">
        <v>27</v>
      </c>
      <c r="G2360" s="19" t="s">
        <v>28</v>
      </c>
      <c r="H2360" s="8"/>
      <c r="I2360" s="21" t="s">
        <v>29</v>
      </c>
      <c r="J2360" s="21" t="s">
        <v>29</v>
      </c>
      <c r="K2360" s="22" t="s">
        <v>8402</v>
      </c>
      <c r="L2360" s="56">
        <v>45089</v>
      </c>
      <c r="M2360" s="40"/>
      <c r="N2360" s="40"/>
      <c r="O2360" s="42"/>
      <c r="P2360" s="40"/>
      <c r="Q2360" s="61"/>
      <c r="R2360" s="61"/>
      <c r="S2360" s="40"/>
      <c r="T2360" s="38"/>
      <c r="U2360" s="38"/>
      <c r="V2360" s="38"/>
      <c r="W2360" s="60"/>
      <c r="AB2360" s="42"/>
      <c r="AC2360" s="35"/>
      <c r="AD2360" s="38"/>
      <c r="AE2360" s="38"/>
      <c r="AF2360" s="38"/>
      <c r="AG2360" s="38"/>
      <c r="AH2360" s="60"/>
    </row>
    <row r="2361" spans="1:34" ht="15.75" customHeight="1">
      <c r="A2361" s="54" t="s">
        <v>5334</v>
      </c>
      <c r="B2361" s="18" t="s">
        <v>8403</v>
      </c>
      <c r="C2361" s="37" t="s">
        <v>24</v>
      </c>
      <c r="D2361" s="20" t="s">
        <v>8404</v>
      </c>
      <c r="E2361" s="20" t="s">
        <v>8405</v>
      </c>
      <c r="F2361" s="19" t="s">
        <v>27</v>
      </c>
      <c r="G2361" s="19" t="s">
        <v>28</v>
      </c>
      <c r="H2361" s="37"/>
      <c r="I2361" s="21" t="s">
        <v>29</v>
      </c>
      <c r="J2361" s="21" t="s">
        <v>29</v>
      </c>
      <c r="K2361" s="22" t="s">
        <v>8406</v>
      </c>
      <c r="L2361" s="56">
        <v>45089</v>
      </c>
      <c r="O2361" s="42"/>
      <c r="P2361" s="40"/>
      <c r="Q2361" s="61"/>
      <c r="R2361" s="61"/>
      <c r="S2361" s="40"/>
      <c r="T2361" s="38"/>
      <c r="U2361" s="38"/>
      <c r="V2361" s="38"/>
      <c r="W2361" s="60"/>
      <c r="AB2361" s="42"/>
      <c r="AC2361" s="35"/>
      <c r="AD2361" s="38"/>
      <c r="AE2361" s="38"/>
      <c r="AF2361" s="38"/>
      <c r="AG2361" s="38"/>
      <c r="AH2361" s="60"/>
    </row>
    <row r="2362" spans="1:34" ht="15.75" customHeight="1">
      <c r="A2362" s="50" t="s">
        <v>39</v>
      </c>
      <c r="B2362" s="18" t="s">
        <v>8407</v>
      </c>
      <c r="C2362" s="37" t="s">
        <v>412</v>
      </c>
      <c r="D2362" s="20" t="s">
        <v>8408</v>
      </c>
      <c r="E2362" s="20" t="s">
        <v>8409</v>
      </c>
      <c r="F2362" s="19" t="s">
        <v>414</v>
      </c>
      <c r="G2362" s="19" t="s">
        <v>415</v>
      </c>
      <c r="H2362" s="37"/>
      <c r="I2362" s="21" t="s">
        <v>233</v>
      </c>
      <c r="J2362" s="21" t="s">
        <v>233</v>
      </c>
      <c r="K2362" s="22" t="s">
        <v>8410</v>
      </c>
      <c r="L2362" s="56">
        <v>45089</v>
      </c>
      <c r="O2362" s="42"/>
      <c r="P2362" s="40"/>
      <c r="Q2362" s="61"/>
      <c r="R2362" s="61"/>
      <c r="S2362" s="40"/>
      <c r="T2362" s="38"/>
      <c r="U2362" s="38"/>
      <c r="V2362" s="38"/>
      <c r="W2362" s="60"/>
      <c r="AB2362" s="42"/>
      <c r="AC2362" s="35"/>
      <c r="AD2362" s="38"/>
      <c r="AE2362" s="38"/>
      <c r="AF2362" s="38"/>
      <c r="AG2362" s="38"/>
      <c r="AH2362" s="60"/>
    </row>
    <row r="2363" spans="1:34" ht="15.75" customHeight="1">
      <c r="A2363" s="35" t="s">
        <v>7821</v>
      </c>
      <c r="B2363" s="18" t="s">
        <v>8411</v>
      </c>
      <c r="C2363" s="37" t="s">
        <v>46</v>
      </c>
      <c r="D2363" s="20" t="s">
        <v>8412</v>
      </c>
      <c r="E2363" s="20" t="s">
        <v>8413</v>
      </c>
      <c r="F2363" s="37" t="s">
        <v>49</v>
      </c>
      <c r="G2363" s="19" t="s">
        <v>50</v>
      </c>
      <c r="H2363" s="37"/>
      <c r="I2363" s="21" t="s">
        <v>29</v>
      </c>
      <c r="J2363" s="21" t="s">
        <v>29</v>
      </c>
      <c r="K2363" s="22" t="s">
        <v>8414</v>
      </c>
      <c r="L2363" s="56">
        <v>45089</v>
      </c>
      <c r="O2363" s="42"/>
      <c r="P2363" s="40"/>
      <c r="Q2363" s="61"/>
      <c r="R2363" s="61"/>
      <c r="S2363" s="40"/>
      <c r="T2363" s="38"/>
      <c r="U2363" s="38"/>
      <c r="V2363" s="38"/>
      <c r="W2363" s="60"/>
      <c r="AB2363" s="42"/>
      <c r="AC2363" s="35"/>
      <c r="AD2363" s="38"/>
      <c r="AE2363" s="38"/>
      <c r="AF2363" s="38"/>
      <c r="AG2363" s="38"/>
      <c r="AH2363" s="60"/>
    </row>
    <row r="2364" spans="1:34" ht="15.75" customHeight="1">
      <c r="A2364" s="35" t="s">
        <v>8415</v>
      </c>
      <c r="B2364" s="18" t="s">
        <v>8416</v>
      </c>
      <c r="C2364" s="37" t="s">
        <v>46</v>
      </c>
      <c r="D2364" s="20" t="s">
        <v>8417</v>
      </c>
      <c r="E2364" s="20" t="s">
        <v>8418</v>
      </c>
      <c r="F2364" s="37" t="s">
        <v>49</v>
      </c>
      <c r="G2364" s="19" t="s">
        <v>50</v>
      </c>
      <c r="H2364" s="37"/>
      <c r="I2364" s="21" t="s">
        <v>29</v>
      </c>
      <c r="J2364" s="21" t="s">
        <v>29</v>
      </c>
      <c r="K2364" s="22" t="s">
        <v>8419</v>
      </c>
      <c r="L2364" s="56">
        <v>45089</v>
      </c>
      <c r="O2364" s="42"/>
      <c r="P2364" s="40"/>
      <c r="Q2364" s="61"/>
      <c r="R2364" s="61"/>
      <c r="S2364" s="40"/>
      <c r="T2364" s="38"/>
      <c r="U2364" s="38"/>
      <c r="V2364" s="38"/>
      <c r="W2364" s="60"/>
      <c r="AB2364" s="42"/>
      <c r="AC2364" s="35"/>
      <c r="AD2364" s="38"/>
      <c r="AE2364" s="38"/>
      <c r="AF2364" s="38"/>
      <c r="AG2364" s="38"/>
      <c r="AH2364" s="60"/>
    </row>
    <row r="2365" spans="1:34" ht="15.75" customHeight="1">
      <c r="A2365" s="111" t="s">
        <v>56</v>
      </c>
      <c r="B2365" s="18" t="s">
        <v>8420</v>
      </c>
      <c r="C2365" s="37" t="s">
        <v>228</v>
      </c>
      <c r="D2365" s="20" t="s">
        <v>8421</v>
      </c>
      <c r="E2365" s="20"/>
      <c r="F2365" s="19" t="s">
        <v>231</v>
      </c>
      <c r="G2365" s="19" t="s">
        <v>232</v>
      </c>
      <c r="H2365" s="37"/>
      <c r="I2365" s="21" t="s">
        <v>233</v>
      </c>
      <c r="J2365" s="21" t="s">
        <v>233</v>
      </c>
      <c r="K2365" s="22"/>
      <c r="L2365" s="56">
        <v>45089</v>
      </c>
      <c r="O2365" s="42"/>
      <c r="P2365" s="40"/>
      <c r="Q2365" s="61"/>
      <c r="R2365" s="61"/>
      <c r="S2365" s="40"/>
      <c r="T2365" s="38"/>
      <c r="U2365" s="38"/>
      <c r="V2365" s="38"/>
      <c r="W2365" s="60"/>
      <c r="AB2365" s="42"/>
      <c r="AC2365" s="35"/>
      <c r="AD2365" s="38"/>
      <c r="AE2365" s="38"/>
      <c r="AF2365" s="38"/>
      <c r="AG2365" s="38"/>
      <c r="AH2365" s="60"/>
    </row>
    <row r="2366" spans="1:34" ht="15.75" customHeight="1">
      <c r="A2366" s="75">
        <v>59</v>
      </c>
      <c r="B2366" s="18" t="s">
        <v>8422</v>
      </c>
      <c r="C2366" s="37" t="s">
        <v>24</v>
      </c>
      <c r="D2366" s="20" t="s">
        <v>8423</v>
      </c>
      <c r="E2366" s="20" t="s">
        <v>8424</v>
      </c>
      <c r="F2366" s="19" t="s">
        <v>27</v>
      </c>
      <c r="G2366" s="19" t="s">
        <v>28</v>
      </c>
      <c r="H2366" s="37"/>
      <c r="I2366" s="21" t="s">
        <v>29</v>
      </c>
      <c r="J2366" s="21" t="s">
        <v>29</v>
      </c>
      <c r="K2366" s="22" t="s">
        <v>8425</v>
      </c>
      <c r="L2366" s="56">
        <v>45089</v>
      </c>
      <c r="O2366" s="42"/>
      <c r="P2366" s="40"/>
      <c r="Q2366" s="61"/>
      <c r="R2366" s="61"/>
      <c r="S2366" s="40"/>
      <c r="T2366" s="38"/>
      <c r="U2366" s="38"/>
      <c r="V2366" s="38"/>
      <c r="W2366" s="60"/>
      <c r="AB2366" s="42"/>
      <c r="AC2366" s="35"/>
      <c r="AD2366" s="38"/>
      <c r="AE2366" s="38"/>
      <c r="AF2366" s="38"/>
      <c r="AG2366" s="38"/>
      <c r="AH2366" s="60"/>
    </row>
    <row r="2367" spans="1:34" ht="15.75" customHeight="1">
      <c r="A2367" s="111" t="s">
        <v>64</v>
      </c>
      <c r="B2367" s="18" t="s">
        <v>8426</v>
      </c>
      <c r="C2367" s="37" t="s">
        <v>24</v>
      </c>
      <c r="D2367" s="20" t="s">
        <v>8427</v>
      </c>
      <c r="E2367" s="20" t="s">
        <v>8428</v>
      </c>
      <c r="F2367" s="19" t="s">
        <v>27</v>
      </c>
      <c r="G2367" s="19" t="s">
        <v>28</v>
      </c>
      <c r="H2367" s="37"/>
      <c r="I2367" s="21" t="s">
        <v>29</v>
      </c>
      <c r="J2367" s="21" t="s">
        <v>29</v>
      </c>
      <c r="K2367" s="22" t="s">
        <v>8429</v>
      </c>
      <c r="L2367" s="56">
        <v>45089</v>
      </c>
      <c r="O2367" s="42"/>
      <c r="P2367" s="40"/>
      <c r="Q2367" s="61"/>
      <c r="R2367" s="61"/>
      <c r="S2367" s="40"/>
      <c r="T2367" s="38"/>
      <c r="U2367" s="38"/>
      <c r="V2367" s="38"/>
      <c r="W2367" s="60"/>
      <c r="AB2367" s="42"/>
      <c r="AC2367" s="35"/>
      <c r="AD2367" s="38"/>
      <c r="AE2367" s="38"/>
      <c r="AF2367" s="38"/>
      <c r="AG2367" s="38"/>
      <c r="AH2367" s="60"/>
    </row>
    <row r="2368" spans="1:34" ht="15.75" customHeight="1">
      <c r="A2368" s="75">
        <v>3.2</v>
      </c>
      <c r="B2368" s="18" t="s">
        <v>8430</v>
      </c>
      <c r="C2368" s="37" t="s">
        <v>24</v>
      </c>
      <c r="D2368" s="20" t="s">
        <v>8431</v>
      </c>
      <c r="E2368" s="20" t="s">
        <v>8432</v>
      </c>
      <c r="F2368" s="19" t="s">
        <v>27</v>
      </c>
      <c r="G2368" s="19" t="s">
        <v>28</v>
      </c>
      <c r="H2368" s="37"/>
      <c r="I2368" s="21" t="s">
        <v>29</v>
      </c>
      <c r="J2368" s="21" t="s">
        <v>29</v>
      </c>
      <c r="K2368" s="22" t="s">
        <v>8433</v>
      </c>
      <c r="L2368" s="56">
        <v>45089</v>
      </c>
      <c r="O2368" s="42"/>
      <c r="P2368" s="40"/>
      <c r="Q2368" s="61"/>
      <c r="R2368" s="61"/>
      <c r="S2368" s="40"/>
      <c r="T2368" s="38"/>
      <c r="U2368" s="38"/>
      <c r="V2368" s="38"/>
      <c r="W2368" s="60"/>
      <c r="AB2368" s="42"/>
      <c r="AC2368" s="35"/>
      <c r="AD2368" s="38"/>
      <c r="AE2368" s="38"/>
      <c r="AF2368" s="38"/>
      <c r="AG2368" s="38"/>
      <c r="AH2368" s="60"/>
    </row>
    <row r="2369" spans="1:34" ht="15.75" customHeight="1">
      <c r="A2369" s="111" t="s">
        <v>73</v>
      </c>
      <c r="B2369" s="18" t="s">
        <v>8434</v>
      </c>
      <c r="C2369" s="37" t="s">
        <v>412</v>
      </c>
      <c r="D2369" s="20" t="s">
        <v>8435</v>
      </c>
      <c r="E2369" s="20"/>
      <c r="F2369" s="19" t="s">
        <v>414</v>
      </c>
      <c r="G2369" s="37" t="s">
        <v>415</v>
      </c>
      <c r="H2369" s="37"/>
      <c r="I2369" s="21" t="s">
        <v>233</v>
      </c>
      <c r="J2369" s="21" t="s">
        <v>233</v>
      </c>
      <c r="K2369" s="22"/>
      <c r="L2369" s="56">
        <v>45089</v>
      </c>
      <c r="O2369" s="42"/>
      <c r="P2369" s="40"/>
      <c r="Q2369" s="61"/>
      <c r="R2369" s="61"/>
      <c r="S2369" s="40"/>
      <c r="T2369" s="38"/>
      <c r="U2369" s="38"/>
      <c r="V2369" s="38"/>
      <c r="W2369" s="60"/>
      <c r="AB2369" s="42"/>
      <c r="AC2369" s="35"/>
      <c r="AD2369" s="38"/>
      <c r="AE2369" s="38"/>
      <c r="AF2369" s="38"/>
      <c r="AG2369" s="38"/>
      <c r="AH2369" s="60"/>
    </row>
    <row r="2370" spans="1:34" ht="15.75" customHeight="1">
      <c r="A2370" s="75">
        <v>3.7</v>
      </c>
      <c r="B2370" s="18" t="s">
        <v>8436</v>
      </c>
      <c r="C2370" s="37" t="s">
        <v>24</v>
      </c>
      <c r="D2370" s="20" t="s">
        <v>8437</v>
      </c>
      <c r="E2370" s="20" t="s">
        <v>8438</v>
      </c>
      <c r="F2370" s="19" t="s">
        <v>27</v>
      </c>
      <c r="G2370" s="19" t="s">
        <v>28</v>
      </c>
      <c r="H2370" s="37"/>
      <c r="I2370" s="21" t="s">
        <v>29</v>
      </c>
      <c r="J2370" s="21" t="s">
        <v>29</v>
      </c>
      <c r="K2370" s="22" t="s">
        <v>8439</v>
      </c>
      <c r="L2370" s="56">
        <v>45089</v>
      </c>
      <c r="O2370" s="42"/>
      <c r="P2370" s="40"/>
      <c r="Q2370" s="61"/>
      <c r="R2370" s="61"/>
      <c r="S2370" s="40"/>
      <c r="T2370" s="38"/>
      <c r="U2370" s="38"/>
      <c r="V2370" s="38"/>
      <c r="W2370" s="60"/>
      <c r="AB2370" s="42"/>
      <c r="AC2370" s="35"/>
      <c r="AD2370" s="38"/>
      <c r="AE2370" s="38"/>
      <c r="AF2370" s="38"/>
      <c r="AG2370" s="38"/>
      <c r="AH2370" s="60"/>
    </row>
    <row r="2371" spans="1:34" ht="15.75" customHeight="1">
      <c r="A2371" s="111" t="s">
        <v>82</v>
      </c>
      <c r="B2371" s="18" t="s">
        <v>8440</v>
      </c>
      <c r="C2371" s="37" t="s">
        <v>412</v>
      </c>
      <c r="D2371" s="20" t="s">
        <v>8441</v>
      </c>
      <c r="E2371" s="20" t="s">
        <v>8442</v>
      </c>
      <c r="F2371" s="19" t="s">
        <v>414</v>
      </c>
      <c r="G2371" s="19" t="s">
        <v>415</v>
      </c>
      <c r="H2371" s="37"/>
      <c r="I2371" s="21" t="s">
        <v>233</v>
      </c>
      <c r="J2371" s="21" t="s">
        <v>233</v>
      </c>
      <c r="K2371" s="22" t="s">
        <v>8443</v>
      </c>
      <c r="L2371" s="56">
        <v>45089</v>
      </c>
      <c r="O2371" s="42"/>
      <c r="P2371" s="40"/>
      <c r="Q2371" s="61"/>
      <c r="R2371" s="61"/>
      <c r="S2371" s="40"/>
      <c r="T2371" s="38"/>
      <c r="U2371" s="38"/>
      <c r="V2371" s="38"/>
      <c r="W2371" s="60"/>
      <c r="AB2371" s="42"/>
      <c r="AC2371" s="35"/>
      <c r="AD2371" s="38"/>
      <c r="AE2371" s="38"/>
      <c r="AF2371" s="38"/>
      <c r="AG2371" s="38"/>
      <c r="AH2371" s="60"/>
    </row>
    <row r="2372" spans="1:34" ht="15.75" customHeight="1">
      <c r="A2372" s="75" t="s">
        <v>8444</v>
      </c>
      <c r="B2372" s="18" t="s">
        <v>8445</v>
      </c>
      <c r="C2372" s="37" t="s">
        <v>87</v>
      </c>
      <c r="D2372" s="20" t="s">
        <v>8446</v>
      </c>
      <c r="E2372" s="20" t="s">
        <v>8447</v>
      </c>
      <c r="F2372" s="19" t="s">
        <v>90</v>
      </c>
      <c r="G2372" s="19" t="s">
        <v>91</v>
      </c>
      <c r="H2372" s="37"/>
      <c r="I2372" s="21" t="s">
        <v>29</v>
      </c>
      <c r="J2372" s="21" t="s">
        <v>29</v>
      </c>
      <c r="K2372" s="22" t="s">
        <v>8448</v>
      </c>
      <c r="L2372" s="56">
        <v>45089</v>
      </c>
      <c r="O2372" s="42"/>
      <c r="P2372" s="40"/>
      <c r="Q2372" s="61"/>
      <c r="R2372" s="61"/>
      <c r="S2372" s="40"/>
      <c r="T2372" s="38"/>
      <c r="U2372" s="38"/>
      <c r="V2372" s="38"/>
      <c r="W2372" s="60"/>
      <c r="AB2372" s="42"/>
      <c r="AC2372" s="35"/>
      <c r="AD2372" s="38"/>
      <c r="AE2372" s="38"/>
      <c r="AF2372" s="38"/>
      <c r="AG2372" s="38"/>
      <c r="AH2372" s="60"/>
    </row>
    <row r="2373" spans="1:34" ht="15.75" customHeight="1">
      <c r="A2373" s="111" t="s">
        <v>92</v>
      </c>
      <c r="B2373" s="18" t="s">
        <v>8449</v>
      </c>
      <c r="C2373" s="37" t="s">
        <v>87</v>
      </c>
      <c r="D2373" s="20" t="s">
        <v>8450</v>
      </c>
      <c r="E2373" s="20" t="s">
        <v>8451</v>
      </c>
      <c r="F2373" s="19" t="s">
        <v>90</v>
      </c>
      <c r="G2373" s="19" t="s">
        <v>91</v>
      </c>
      <c r="H2373" s="37"/>
      <c r="I2373" s="21" t="s">
        <v>29</v>
      </c>
      <c r="J2373" s="21" t="s">
        <v>29</v>
      </c>
      <c r="K2373" s="22" t="s">
        <v>8452</v>
      </c>
      <c r="L2373" s="56">
        <v>45089</v>
      </c>
      <c r="O2373" s="42"/>
      <c r="P2373" s="40"/>
      <c r="Q2373" s="61"/>
      <c r="R2373" s="61"/>
      <c r="S2373" s="40"/>
      <c r="T2373" s="38"/>
      <c r="U2373" s="38"/>
      <c r="V2373" s="38"/>
      <c r="W2373" s="60"/>
      <c r="AB2373" s="42"/>
      <c r="AC2373" s="35"/>
      <c r="AD2373" s="38"/>
      <c r="AE2373" s="38"/>
      <c r="AF2373" s="38"/>
      <c r="AG2373" s="38"/>
      <c r="AH2373" s="60"/>
    </row>
    <row r="2374" spans="1:34" ht="15.75" customHeight="1">
      <c r="A2374" s="112">
        <v>1315</v>
      </c>
      <c r="B2374" s="18" t="s">
        <v>8453</v>
      </c>
      <c r="C2374" s="37" t="s">
        <v>87</v>
      </c>
      <c r="D2374" s="20" t="s">
        <v>8454</v>
      </c>
      <c r="E2374" s="20" t="s">
        <v>8455</v>
      </c>
      <c r="F2374" s="19" t="s">
        <v>90</v>
      </c>
      <c r="G2374" s="19" t="s">
        <v>91</v>
      </c>
      <c r="H2374" s="37"/>
      <c r="I2374" s="21" t="s">
        <v>29</v>
      </c>
      <c r="J2374" s="21" t="s">
        <v>29</v>
      </c>
      <c r="K2374" s="22" t="s">
        <v>8456</v>
      </c>
      <c r="L2374" s="56">
        <v>45089</v>
      </c>
      <c r="O2374" s="42"/>
      <c r="P2374" s="40"/>
      <c r="Q2374" s="61"/>
      <c r="R2374" s="61"/>
      <c r="S2374" s="40"/>
      <c r="T2374" s="38"/>
      <c r="U2374" s="38"/>
      <c r="V2374" s="38"/>
      <c r="W2374" s="60"/>
      <c r="AB2374" s="42"/>
      <c r="AC2374" s="35"/>
      <c r="AD2374" s="38"/>
      <c r="AE2374" s="38"/>
      <c r="AF2374" s="38"/>
      <c r="AG2374" s="38"/>
      <c r="AH2374" s="60"/>
    </row>
    <row r="2375" spans="1:34" ht="15.75" customHeight="1">
      <c r="A2375" s="111" t="s">
        <v>100</v>
      </c>
      <c r="B2375" s="18" t="s">
        <v>8457</v>
      </c>
      <c r="C2375" s="37" t="s">
        <v>87</v>
      </c>
      <c r="D2375" s="20" t="s">
        <v>8458</v>
      </c>
      <c r="E2375" s="20" t="s">
        <v>8459</v>
      </c>
      <c r="F2375" s="19" t="s">
        <v>90</v>
      </c>
      <c r="G2375" s="19" t="s">
        <v>91</v>
      </c>
      <c r="H2375" s="37"/>
      <c r="I2375" s="21" t="s">
        <v>29</v>
      </c>
      <c r="J2375" s="21" t="s">
        <v>29</v>
      </c>
      <c r="K2375" s="22" t="s">
        <v>8460</v>
      </c>
      <c r="L2375" s="56">
        <v>45089</v>
      </c>
      <c r="O2375" s="42"/>
      <c r="P2375" s="40"/>
      <c r="Q2375" s="61"/>
      <c r="R2375" s="61"/>
      <c r="S2375" s="40"/>
      <c r="T2375" s="38"/>
      <c r="U2375" s="38"/>
      <c r="V2375" s="38"/>
      <c r="W2375" s="60"/>
      <c r="AB2375" s="42"/>
      <c r="AC2375" s="35"/>
      <c r="AD2375" s="38"/>
      <c r="AE2375" s="38"/>
      <c r="AF2375" s="38"/>
      <c r="AG2375" s="38"/>
      <c r="AH2375" s="60"/>
    </row>
    <row r="2376" spans="1:34" ht="15.75" customHeight="1">
      <c r="A2376" s="75">
        <v>167</v>
      </c>
      <c r="B2376" s="18" t="s">
        <v>8461</v>
      </c>
      <c r="C2376" s="37" t="s">
        <v>1638</v>
      </c>
      <c r="D2376" s="20" t="s">
        <v>8462</v>
      </c>
      <c r="E2376" s="20" t="s">
        <v>8463</v>
      </c>
      <c r="F2376" s="37" t="s">
        <v>1399</v>
      </c>
      <c r="G2376" s="19" t="s">
        <v>1641</v>
      </c>
      <c r="H2376" s="37"/>
      <c r="I2376" s="21" t="s">
        <v>1371</v>
      </c>
      <c r="J2376" s="21" t="s">
        <v>1371</v>
      </c>
      <c r="K2376" s="22" t="s">
        <v>8464</v>
      </c>
      <c r="L2376" s="56">
        <v>45089</v>
      </c>
      <c r="O2376" s="42"/>
      <c r="P2376" s="40"/>
      <c r="Q2376" s="61"/>
      <c r="R2376" s="61"/>
      <c r="S2376" s="40"/>
      <c r="T2376" s="38"/>
      <c r="U2376" s="38"/>
      <c r="V2376" s="38"/>
      <c r="W2376" s="60"/>
      <c r="AB2376" s="42"/>
      <c r="AC2376" s="35"/>
      <c r="AD2376" s="38"/>
      <c r="AE2376" s="38"/>
      <c r="AF2376" s="38"/>
      <c r="AG2376" s="38"/>
      <c r="AH2376" s="60"/>
    </row>
    <row r="2377" spans="1:34" ht="15.75" customHeight="1">
      <c r="A2377" s="35"/>
      <c r="B2377" s="18" t="s">
        <v>8465</v>
      </c>
      <c r="C2377" s="37" t="s">
        <v>228</v>
      </c>
      <c r="D2377" s="20" t="s">
        <v>8466</v>
      </c>
      <c r="E2377" s="20"/>
      <c r="F2377" s="19" t="s">
        <v>231</v>
      </c>
      <c r="G2377" s="19" t="s">
        <v>232</v>
      </c>
      <c r="H2377" s="37"/>
      <c r="I2377" s="21" t="s">
        <v>233</v>
      </c>
      <c r="J2377" s="21" t="s">
        <v>233</v>
      </c>
      <c r="K2377" s="22"/>
      <c r="L2377" s="56">
        <v>45089</v>
      </c>
      <c r="O2377" s="42"/>
      <c r="P2377" s="40"/>
      <c r="Q2377" s="61"/>
      <c r="R2377" s="61"/>
      <c r="S2377" s="40"/>
      <c r="T2377" s="38"/>
      <c r="U2377" s="38"/>
      <c r="V2377" s="38"/>
      <c r="W2377" s="60"/>
      <c r="AB2377" s="42"/>
      <c r="AC2377" s="35"/>
      <c r="AD2377" s="38"/>
      <c r="AE2377" s="38"/>
      <c r="AF2377" s="38"/>
      <c r="AG2377" s="38"/>
      <c r="AH2377" s="60"/>
    </row>
    <row r="2378" spans="1:34" ht="15.75" customHeight="1">
      <c r="A2378" s="35"/>
      <c r="B2378" s="34" t="s">
        <v>8467</v>
      </c>
      <c r="C2378" s="37" t="s">
        <v>24</v>
      </c>
      <c r="D2378" s="20" t="s">
        <v>8468</v>
      </c>
      <c r="E2378" s="20" t="s">
        <v>8469</v>
      </c>
      <c r="F2378" s="19" t="s">
        <v>90</v>
      </c>
      <c r="G2378" s="19" t="s">
        <v>91</v>
      </c>
      <c r="H2378" s="37"/>
      <c r="I2378" s="21" t="s">
        <v>29</v>
      </c>
      <c r="J2378" s="21" t="s">
        <v>29</v>
      </c>
      <c r="K2378" s="22" t="s">
        <v>8470</v>
      </c>
      <c r="L2378" s="56">
        <v>45089</v>
      </c>
      <c r="O2378" s="42"/>
      <c r="P2378" s="40"/>
      <c r="Q2378" s="61"/>
      <c r="R2378" s="61"/>
      <c r="S2378" s="40"/>
      <c r="T2378" s="38"/>
      <c r="U2378" s="38"/>
      <c r="V2378" s="38"/>
      <c r="W2378" s="60"/>
      <c r="AB2378" s="42"/>
      <c r="AC2378" s="35"/>
      <c r="AD2378" s="38"/>
      <c r="AE2378" s="38"/>
      <c r="AF2378" s="38"/>
      <c r="AG2378" s="38"/>
      <c r="AH2378" s="60"/>
    </row>
    <row r="2379" spans="1:34" ht="15.75" customHeight="1">
      <c r="A2379" s="35"/>
      <c r="B2379" s="18" t="s">
        <v>8471</v>
      </c>
      <c r="C2379" s="37" t="s">
        <v>24</v>
      </c>
      <c r="D2379" s="20" t="s">
        <v>8472</v>
      </c>
      <c r="E2379" s="20" t="s">
        <v>8473</v>
      </c>
      <c r="F2379" s="19" t="s">
        <v>27</v>
      </c>
      <c r="G2379" s="19" t="s">
        <v>28</v>
      </c>
      <c r="H2379" s="37"/>
      <c r="I2379" s="21" t="s">
        <v>29</v>
      </c>
      <c r="J2379" s="21" t="s">
        <v>29</v>
      </c>
      <c r="K2379" s="22" t="s">
        <v>8474</v>
      </c>
      <c r="L2379" s="56">
        <v>45089</v>
      </c>
      <c r="O2379" s="42"/>
      <c r="P2379" s="40"/>
      <c r="Q2379" s="61"/>
      <c r="R2379" s="61"/>
      <c r="S2379" s="40"/>
      <c r="T2379" s="38"/>
      <c r="U2379" s="38"/>
      <c r="V2379" s="38"/>
      <c r="W2379" s="60"/>
      <c r="AB2379" s="42"/>
      <c r="AC2379" s="35"/>
      <c r="AD2379" s="38"/>
      <c r="AE2379" s="38"/>
      <c r="AF2379" s="38"/>
      <c r="AG2379" s="38"/>
      <c r="AH2379" s="60"/>
    </row>
    <row r="2380" spans="1:34" ht="15.75" customHeight="1">
      <c r="A2380" s="35"/>
      <c r="B2380" s="18" t="s">
        <v>8475</v>
      </c>
      <c r="C2380" s="37" t="s">
        <v>412</v>
      </c>
      <c r="D2380" s="20" t="s">
        <v>8476</v>
      </c>
      <c r="E2380" s="20" t="s">
        <v>8477</v>
      </c>
      <c r="F2380" s="19" t="s">
        <v>414</v>
      </c>
      <c r="G2380" s="37" t="s">
        <v>415</v>
      </c>
      <c r="H2380" s="37"/>
      <c r="I2380" s="21" t="s">
        <v>233</v>
      </c>
      <c r="J2380" s="21" t="s">
        <v>233</v>
      </c>
      <c r="K2380" s="22" t="s">
        <v>8478</v>
      </c>
      <c r="L2380" s="56">
        <v>45089</v>
      </c>
      <c r="O2380" s="42"/>
      <c r="P2380" s="40"/>
      <c r="Q2380" s="61"/>
      <c r="R2380" s="61"/>
      <c r="S2380" s="40"/>
      <c r="T2380" s="38"/>
      <c r="U2380" s="38"/>
      <c r="V2380" s="38"/>
      <c r="W2380" s="60"/>
      <c r="AB2380" s="42"/>
      <c r="AC2380" s="35"/>
      <c r="AD2380" s="38"/>
      <c r="AE2380" s="38"/>
      <c r="AF2380" s="38"/>
      <c r="AG2380" s="38"/>
      <c r="AH2380" s="60"/>
    </row>
    <row r="2381" spans="1:34" ht="15.75" customHeight="1">
      <c r="A2381" s="35"/>
      <c r="B2381" s="18" t="s">
        <v>8479</v>
      </c>
      <c r="C2381" s="37" t="s">
        <v>412</v>
      </c>
      <c r="D2381" s="20" t="s">
        <v>8480</v>
      </c>
      <c r="E2381" s="20"/>
      <c r="F2381" s="19" t="s">
        <v>414</v>
      </c>
      <c r="G2381" s="19" t="s">
        <v>415</v>
      </c>
      <c r="H2381" s="37"/>
      <c r="I2381" s="21" t="s">
        <v>233</v>
      </c>
      <c r="J2381" s="21" t="s">
        <v>233</v>
      </c>
      <c r="K2381" s="22"/>
      <c r="L2381" s="56">
        <v>45089</v>
      </c>
      <c r="O2381" s="42"/>
      <c r="P2381" s="40"/>
      <c r="Q2381" s="61"/>
      <c r="R2381" s="61"/>
      <c r="S2381" s="40"/>
      <c r="T2381" s="38"/>
      <c r="U2381" s="38"/>
      <c r="V2381" s="38"/>
      <c r="W2381" s="60"/>
      <c r="AB2381" s="42"/>
      <c r="AC2381" s="35"/>
      <c r="AD2381" s="38"/>
      <c r="AE2381" s="38"/>
      <c r="AF2381" s="38"/>
      <c r="AG2381" s="38"/>
      <c r="AH2381" s="60"/>
    </row>
    <row r="2382" spans="1:34" ht="15.75" customHeight="1">
      <c r="A2382" s="35"/>
      <c r="B2382" s="18" t="s">
        <v>8481</v>
      </c>
      <c r="C2382" s="37" t="s">
        <v>24</v>
      </c>
      <c r="D2382" s="20" t="s">
        <v>8482</v>
      </c>
      <c r="E2382" s="20" t="s">
        <v>8483</v>
      </c>
      <c r="F2382" s="19" t="s">
        <v>27</v>
      </c>
      <c r="G2382" s="19" t="s">
        <v>28</v>
      </c>
      <c r="H2382" s="37"/>
      <c r="I2382" s="21" t="s">
        <v>29</v>
      </c>
      <c r="J2382" s="21" t="s">
        <v>29</v>
      </c>
      <c r="K2382" s="22" t="s">
        <v>8484</v>
      </c>
      <c r="L2382" s="56">
        <v>45089</v>
      </c>
      <c r="O2382" s="42"/>
      <c r="P2382" s="40"/>
      <c r="Q2382" s="61"/>
      <c r="R2382" s="61"/>
      <c r="S2382" s="40"/>
      <c r="T2382" s="38"/>
      <c r="U2382" s="38"/>
      <c r="V2382" s="38"/>
      <c r="W2382" s="60"/>
      <c r="AB2382" s="42"/>
      <c r="AC2382" s="35"/>
      <c r="AD2382" s="38"/>
      <c r="AE2382" s="38"/>
      <c r="AF2382" s="38"/>
      <c r="AG2382" s="38"/>
      <c r="AH2382" s="60"/>
    </row>
    <row r="2383" spans="1:34" ht="15.75" customHeight="1">
      <c r="A2383" s="35"/>
      <c r="B2383" s="18" t="s">
        <v>8485</v>
      </c>
      <c r="C2383" s="37" t="s">
        <v>24</v>
      </c>
      <c r="D2383" s="20" t="s">
        <v>8486</v>
      </c>
      <c r="E2383" s="20" t="s">
        <v>8487</v>
      </c>
      <c r="F2383" s="19" t="s">
        <v>27</v>
      </c>
      <c r="G2383" s="19" t="s">
        <v>28</v>
      </c>
      <c r="H2383" s="37"/>
      <c r="I2383" s="21" t="s">
        <v>29</v>
      </c>
      <c r="J2383" s="21" t="s">
        <v>29</v>
      </c>
      <c r="K2383" s="22" t="s">
        <v>8488</v>
      </c>
      <c r="L2383" s="56">
        <v>45089</v>
      </c>
      <c r="O2383" s="42"/>
      <c r="P2383" s="40"/>
      <c r="Q2383" s="61"/>
      <c r="R2383" s="61"/>
      <c r="S2383" s="40"/>
      <c r="T2383" s="38"/>
      <c r="U2383" s="38"/>
      <c r="V2383" s="38"/>
      <c r="W2383" s="60"/>
      <c r="AB2383" s="42"/>
      <c r="AC2383" s="35"/>
      <c r="AD2383" s="38"/>
      <c r="AE2383" s="38"/>
      <c r="AF2383" s="38"/>
      <c r="AG2383" s="38"/>
      <c r="AH2383" s="60"/>
    </row>
    <row r="2384" spans="1:34" ht="15.75" customHeight="1">
      <c r="A2384" s="35"/>
      <c r="B2384" s="34" t="s">
        <v>8489</v>
      </c>
      <c r="C2384" s="37" t="s">
        <v>87</v>
      </c>
      <c r="D2384" s="20" t="s">
        <v>8490</v>
      </c>
      <c r="E2384" s="20" t="s">
        <v>8491</v>
      </c>
      <c r="F2384" s="37" t="s">
        <v>49</v>
      </c>
      <c r="G2384" s="19" t="s">
        <v>50</v>
      </c>
      <c r="H2384" s="37"/>
      <c r="I2384" s="21" t="s">
        <v>29</v>
      </c>
      <c r="J2384" s="21" t="s">
        <v>29</v>
      </c>
      <c r="K2384" s="22" t="s">
        <v>8492</v>
      </c>
      <c r="L2384" s="56">
        <v>45089</v>
      </c>
      <c r="O2384" s="42"/>
      <c r="P2384" s="40"/>
      <c r="Q2384" s="61"/>
      <c r="R2384" s="61"/>
      <c r="S2384" s="40"/>
      <c r="T2384" s="38"/>
      <c r="U2384" s="38"/>
      <c r="V2384" s="38"/>
      <c r="W2384" s="60"/>
      <c r="AB2384" s="42"/>
      <c r="AC2384" s="35"/>
      <c r="AD2384" s="38"/>
      <c r="AE2384" s="38"/>
      <c r="AF2384" s="38"/>
      <c r="AG2384" s="38"/>
      <c r="AH2384" s="60"/>
    </row>
    <row r="2385" spans="1:34" ht="15.75" customHeight="1">
      <c r="A2385" s="35"/>
      <c r="B2385" s="18" t="s">
        <v>8493</v>
      </c>
      <c r="C2385" s="37" t="s">
        <v>412</v>
      </c>
      <c r="D2385" s="20" t="s">
        <v>8494</v>
      </c>
      <c r="E2385" s="20"/>
      <c r="F2385" s="19" t="s">
        <v>414</v>
      </c>
      <c r="G2385" s="37" t="s">
        <v>415</v>
      </c>
      <c r="H2385" s="37"/>
      <c r="I2385" s="21" t="s">
        <v>233</v>
      </c>
      <c r="J2385" s="21" t="s">
        <v>233</v>
      </c>
      <c r="K2385" s="22"/>
      <c r="L2385" s="56">
        <v>45089</v>
      </c>
      <c r="O2385" s="42"/>
      <c r="P2385" s="40"/>
      <c r="Q2385" s="61"/>
      <c r="R2385" s="61"/>
      <c r="S2385" s="40"/>
      <c r="T2385" s="38"/>
      <c r="U2385" s="38"/>
      <c r="V2385" s="38"/>
      <c r="W2385" s="60"/>
      <c r="AB2385" s="42"/>
      <c r="AC2385" s="35"/>
      <c r="AD2385" s="38"/>
      <c r="AE2385" s="38"/>
      <c r="AF2385" s="38"/>
      <c r="AG2385" s="38"/>
      <c r="AH2385" s="60"/>
    </row>
    <row r="2386" spans="1:34" ht="15.75" customHeight="1">
      <c r="A2386" s="35"/>
      <c r="B2386" s="38"/>
      <c r="C2386" s="37"/>
      <c r="D2386" s="20"/>
      <c r="E2386" s="20"/>
      <c r="F2386" s="37"/>
      <c r="G2386" s="37"/>
      <c r="H2386" s="37"/>
      <c r="I2386" s="21"/>
      <c r="J2386" s="21"/>
      <c r="K2386" s="22"/>
      <c r="L2386" s="39"/>
      <c r="O2386" s="42"/>
      <c r="P2386" s="40"/>
      <c r="Q2386" s="61"/>
      <c r="R2386" s="61"/>
      <c r="S2386" s="40"/>
      <c r="T2386" s="38"/>
      <c r="U2386" s="38"/>
      <c r="V2386" s="38"/>
      <c r="W2386" s="60"/>
      <c r="AB2386" s="42"/>
      <c r="AC2386" s="35"/>
      <c r="AD2386" s="38"/>
      <c r="AE2386" s="38"/>
      <c r="AF2386" s="38"/>
      <c r="AG2386" s="38"/>
      <c r="AH2386" s="60"/>
    </row>
    <row r="2387" spans="1:34" ht="15.75" customHeight="1">
      <c r="A2387" s="35" t="s">
        <v>8495</v>
      </c>
      <c r="B2387" s="29" t="s">
        <v>8496</v>
      </c>
      <c r="C2387" s="8" t="s">
        <v>24</v>
      </c>
      <c r="D2387" s="20" t="s">
        <v>8497</v>
      </c>
      <c r="E2387" s="20" t="s">
        <v>8498</v>
      </c>
      <c r="F2387" s="19" t="s">
        <v>27</v>
      </c>
      <c r="G2387" s="19" t="s">
        <v>28</v>
      </c>
      <c r="H2387" s="19" t="s">
        <v>36</v>
      </c>
      <c r="I2387" s="21" t="s">
        <v>29</v>
      </c>
      <c r="J2387" s="21" t="s">
        <v>29</v>
      </c>
      <c r="K2387" s="22" t="s">
        <v>8499</v>
      </c>
      <c r="L2387" s="56">
        <v>45089</v>
      </c>
      <c r="M2387" s="40"/>
      <c r="N2387" s="40"/>
      <c r="O2387" s="42"/>
      <c r="P2387" s="40"/>
      <c r="Q2387" s="61"/>
      <c r="R2387" s="61"/>
      <c r="S2387" s="40"/>
      <c r="T2387" s="38"/>
      <c r="U2387" s="38"/>
      <c r="V2387" s="38"/>
      <c r="W2387" s="60"/>
      <c r="AB2387" s="42"/>
      <c r="AC2387" s="35"/>
      <c r="AD2387" s="38"/>
      <c r="AE2387" s="38"/>
      <c r="AF2387" s="38"/>
      <c r="AG2387" s="38"/>
      <c r="AH2387" s="60"/>
    </row>
    <row r="2388" spans="1:34" ht="15.75" customHeight="1">
      <c r="A2388" s="54" t="s">
        <v>8500</v>
      </c>
      <c r="B2388" s="18" t="s">
        <v>8501</v>
      </c>
      <c r="C2388" s="37" t="s">
        <v>24</v>
      </c>
      <c r="D2388" s="20" t="s">
        <v>8502</v>
      </c>
      <c r="E2388" s="20" t="s">
        <v>8503</v>
      </c>
      <c r="F2388" s="19" t="s">
        <v>27</v>
      </c>
      <c r="G2388" s="19" t="s">
        <v>28</v>
      </c>
      <c r="H2388" s="19" t="s">
        <v>36</v>
      </c>
      <c r="I2388" s="21" t="s">
        <v>29</v>
      </c>
      <c r="J2388" s="21" t="s">
        <v>29</v>
      </c>
      <c r="K2388" s="22" t="s">
        <v>8504</v>
      </c>
      <c r="L2388" s="56">
        <v>45089</v>
      </c>
      <c r="O2388" s="42"/>
      <c r="P2388" s="40"/>
      <c r="Q2388" s="61"/>
      <c r="R2388" s="61"/>
      <c r="S2388" s="40"/>
      <c r="T2388" s="38"/>
      <c r="U2388" s="38"/>
      <c r="V2388" s="38"/>
      <c r="W2388" s="60"/>
      <c r="AB2388" s="42"/>
      <c r="AC2388" s="35"/>
      <c r="AD2388" s="38"/>
      <c r="AE2388" s="38"/>
      <c r="AF2388" s="38"/>
      <c r="AG2388" s="38"/>
      <c r="AH2388" s="60"/>
    </row>
    <row r="2389" spans="1:34" ht="15.75" customHeight="1">
      <c r="A2389" s="50" t="s">
        <v>39</v>
      </c>
      <c r="B2389" s="18" t="s">
        <v>8505</v>
      </c>
      <c r="C2389" s="37" t="s">
        <v>46</v>
      </c>
      <c r="D2389" s="20" t="s">
        <v>8506</v>
      </c>
      <c r="E2389" s="20" t="s">
        <v>8507</v>
      </c>
      <c r="F2389" s="37" t="s">
        <v>49</v>
      </c>
      <c r="G2389" s="19" t="s">
        <v>50</v>
      </c>
      <c r="H2389" s="37"/>
      <c r="I2389" s="21" t="s">
        <v>29</v>
      </c>
      <c r="J2389" s="21" t="s">
        <v>29</v>
      </c>
      <c r="K2389" s="22" t="s">
        <v>8507</v>
      </c>
      <c r="L2389" s="56">
        <v>45089</v>
      </c>
      <c r="O2389" s="42"/>
      <c r="P2389" s="40"/>
      <c r="Q2389" s="61"/>
      <c r="R2389" s="61"/>
      <c r="S2389" s="40"/>
      <c r="T2389" s="38"/>
      <c r="U2389" s="38"/>
      <c r="V2389" s="38"/>
      <c r="W2389" s="60"/>
      <c r="AB2389" s="42"/>
      <c r="AC2389" s="35"/>
      <c r="AD2389" s="38"/>
      <c r="AE2389" s="38"/>
      <c r="AF2389" s="38"/>
      <c r="AG2389" s="38"/>
      <c r="AH2389" s="60"/>
    </row>
    <row r="2390" spans="1:34" ht="15.75" customHeight="1">
      <c r="A2390" s="35" t="s">
        <v>8508</v>
      </c>
      <c r="B2390" s="18" t="s">
        <v>8509</v>
      </c>
      <c r="C2390" s="37" t="s">
        <v>24</v>
      </c>
      <c r="D2390" s="20" t="s">
        <v>8510</v>
      </c>
      <c r="E2390" s="20" t="s">
        <v>8511</v>
      </c>
      <c r="F2390" s="19" t="s">
        <v>27</v>
      </c>
      <c r="G2390" s="19" t="s">
        <v>28</v>
      </c>
      <c r="H2390" s="37"/>
      <c r="I2390" s="21" t="s">
        <v>29</v>
      </c>
      <c r="J2390" s="21" t="s">
        <v>29</v>
      </c>
      <c r="K2390" s="22" t="s">
        <v>8512</v>
      </c>
      <c r="L2390" s="56">
        <v>45089</v>
      </c>
      <c r="O2390" s="42"/>
      <c r="P2390" s="40"/>
      <c r="Q2390" s="61"/>
      <c r="R2390" s="61"/>
      <c r="S2390" s="40"/>
      <c r="T2390" s="38"/>
      <c r="U2390" s="38"/>
      <c r="V2390" s="38"/>
      <c r="W2390" s="60"/>
      <c r="AB2390" s="42"/>
      <c r="AC2390" s="35"/>
      <c r="AD2390" s="38"/>
      <c r="AE2390" s="38"/>
      <c r="AF2390" s="38"/>
      <c r="AG2390" s="38"/>
      <c r="AH2390" s="60"/>
    </row>
    <row r="2391" spans="1:34" ht="15.75" customHeight="1">
      <c r="A2391" s="35" t="s">
        <v>8513</v>
      </c>
      <c r="B2391" s="18" t="s">
        <v>8514</v>
      </c>
      <c r="C2391" s="37" t="s">
        <v>46</v>
      </c>
      <c r="D2391" s="20" t="s">
        <v>8515</v>
      </c>
      <c r="E2391" s="20" t="s">
        <v>8516</v>
      </c>
      <c r="F2391" s="37" t="s">
        <v>49</v>
      </c>
      <c r="G2391" s="19" t="s">
        <v>50</v>
      </c>
      <c r="H2391" s="37"/>
      <c r="I2391" s="21" t="s">
        <v>29</v>
      </c>
      <c r="J2391" s="21" t="s">
        <v>29</v>
      </c>
      <c r="K2391" s="22" t="s">
        <v>8517</v>
      </c>
      <c r="L2391" s="56">
        <v>45089</v>
      </c>
      <c r="O2391" s="42"/>
      <c r="P2391" s="40"/>
      <c r="Q2391" s="61"/>
      <c r="R2391" s="61"/>
      <c r="S2391" s="40"/>
      <c r="T2391" s="38"/>
      <c r="U2391" s="38"/>
      <c r="V2391" s="38"/>
      <c r="W2391" s="60"/>
      <c r="AB2391" s="42"/>
      <c r="AC2391" s="35"/>
      <c r="AD2391" s="38"/>
      <c r="AE2391" s="38"/>
      <c r="AF2391" s="38"/>
      <c r="AG2391" s="38"/>
      <c r="AH2391" s="60"/>
    </row>
    <row r="2392" spans="1:34" ht="15.75" customHeight="1">
      <c r="A2392" s="111" t="s">
        <v>56</v>
      </c>
      <c r="B2392" s="18" t="s">
        <v>8518</v>
      </c>
      <c r="C2392" s="37" t="s">
        <v>24</v>
      </c>
      <c r="D2392" s="20" t="s">
        <v>8519</v>
      </c>
      <c r="E2392" s="20" t="s">
        <v>8520</v>
      </c>
      <c r="F2392" s="19" t="s">
        <v>27</v>
      </c>
      <c r="G2392" s="19" t="s">
        <v>28</v>
      </c>
      <c r="H2392" s="37"/>
      <c r="I2392" s="21" t="s">
        <v>29</v>
      </c>
      <c r="J2392" s="21" t="s">
        <v>29</v>
      </c>
      <c r="K2392" s="22" t="s">
        <v>8521</v>
      </c>
      <c r="L2392" s="56">
        <v>45089</v>
      </c>
      <c r="O2392" s="42"/>
      <c r="P2392" s="40"/>
      <c r="Q2392" s="61"/>
      <c r="R2392" s="61"/>
      <c r="S2392" s="40"/>
      <c r="T2392" s="38"/>
      <c r="U2392" s="38"/>
      <c r="V2392" s="38"/>
      <c r="W2392" s="60"/>
      <c r="AB2392" s="42"/>
      <c r="AC2392" s="35"/>
      <c r="AD2392" s="38"/>
      <c r="AE2392" s="38"/>
      <c r="AF2392" s="38"/>
      <c r="AG2392" s="38"/>
      <c r="AH2392" s="60"/>
    </row>
    <row r="2393" spans="1:34" ht="15.75" customHeight="1">
      <c r="A2393" s="75">
        <v>60</v>
      </c>
      <c r="B2393" s="34" t="s">
        <v>8522</v>
      </c>
      <c r="C2393" s="37" t="s">
        <v>87</v>
      </c>
      <c r="D2393" s="20" t="s">
        <v>8523</v>
      </c>
      <c r="E2393" s="20" t="s">
        <v>8524</v>
      </c>
      <c r="F2393" s="37" t="s">
        <v>49</v>
      </c>
      <c r="G2393" s="19" t="s">
        <v>50</v>
      </c>
      <c r="H2393" s="37"/>
      <c r="I2393" s="21" t="s">
        <v>29</v>
      </c>
      <c r="J2393" s="21" t="s">
        <v>29</v>
      </c>
      <c r="K2393" s="22" t="s">
        <v>8525</v>
      </c>
      <c r="L2393" s="56">
        <v>45089</v>
      </c>
      <c r="O2393" s="42"/>
      <c r="P2393" s="40"/>
      <c r="Q2393" s="61"/>
      <c r="R2393" s="61"/>
      <c r="S2393" s="40"/>
      <c r="T2393" s="38"/>
      <c r="U2393" s="38"/>
      <c r="V2393" s="38"/>
      <c r="W2393" s="60"/>
      <c r="AB2393" s="42"/>
      <c r="AC2393" s="35"/>
      <c r="AD2393" s="38"/>
      <c r="AE2393" s="38"/>
      <c r="AF2393" s="38"/>
      <c r="AG2393" s="38"/>
      <c r="AH2393" s="60"/>
    </row>
    <row r="2394" spans="1:34" ht="15.75" customHeight="1">
      <c r="A2394" s="111" t="s">
        <v>64</v>
      </c>
      <c r="B2394" s="29" t="s">
        <v>8526</v>
      </c>
      <c r="C2394" s="37" t="s">
        <v>24</v>
      </c>
      <c r="D2394" s="20" t="s">
        <v>8497</v>
      </c>
      <c r="E2394" s="20" t="s">
        <v>8498</v>
      </c>
      <c r="F2394" s="19" t="s">
        <v>27</v>
      </c>
      <c r="G2394" s="19" t="s">
        <v>28</v>
      </c>
      <c r="H2394" s="19" t="s">
        <v>36</v>
      </c>
      <c r="I2394" s="21" t="s">
        <v>29</v>
      </c>
      <c r="J2394" s="21" t="s">
        <v>29</v>
      </c>
      <c r="K2394" s="22" t="s">
        <v>8527</v>
      </c>
      <c r="L2394" s="56">
        <v>45089</v>
      </c>
      <c r="O2394" s="42"/>
      <c r="P2394" s="40"/>
      <c r="Q2394" s="61"/>
      <c r="R2394" s="61"/>
      <c r="S2394" s="40"/>
      <c r="T2394" s="38"/>
      <c r="U2394" s="38"/>
      <c r="V2394" s="38"/>
      <c r="W2394" s="60"/>
      <c r="AB2394" s="42"/>
      <c r="AC2394" s="35"/>
      <c r="AD2394" s="38"/>
      <c r="AE2394" s="38"/>
      <c r="AF2394" s="38"/>
      <c r="AG2394" s="38"/>
      <c r="AH2394" s="60"/>
    </row>
    <row r="2395" spans="1:34" ht="15.75" customHeight="1">
      <c r="A2395" s="75">
        <v>3.3</v>
      </c>
      <c r="B2395" s="18" t="s">
        <v>8528</v>
      </c>
      <c r="C2395" s="37" t="s">
        <v>24</v>
      </c>
      <c r="D2395" s="20" t="s">
        <v>8529</v>
      </c>
      <c r="E2395" s="20" t="s">
        <v>8530</v>
      </c>
      <c r="F2395" s="19" t="s">
        <v>27</v>
      </c>
      <c r="G2395" s="19" t="s">
        <v>28</v>
      </c>
      <c r="H2395" s="19" t="s">
        <v>36</v>
      </c>
      <c r="I2395" s="21" t="s">
        <v>29</v>
      </c>
      <c r="J2395" s="21" t="s">
        <v>29</v>
      </c>
      <c r="K2395" s="22" t="s">
        <v>8531</v>
      </c>
      <c r="L2395" s="56">
        <v>45089</v>
      </c>
      <c r="O2395" s="42"/>
      <c r="P2395" s="40"/>
      <c r="Q2395" s="61"/>
      <c r="R2395" s="61"/>
      <c r="S2395" s="40"/>
      <c r="T2395" s="38"/>
      <c r="U2395" s="38"/>
      <c r="V2395" s="38"/>
      <c r="W2395" s="60"/>
      <c r="AB2395" s="42"/>
      <c r="AC2395" s="35"/>
      <c r="AD2395" s="38"/>
      <c r="AE2395" s="38"/>
      <c r="AF2395" s="38"/>
      <c r="AG2395" s="38"/>
      <c r="AH2395" s="60"/>
    </row>
    <row r="2396" spans="1:34" ht="15.75" customHeight="1">
      <c r="A2396" s="111" t="s">
        <v>73</v>
      </c>
      <c r="B2396" s="18" t="s">
        <v>8532</v>
      </c>
      <c r="C2396" s="37" t="s">
        <v>46</v>
      </c>
      <c r="D2396" s="20" t="s">
        <v>8533</v>
      </c>
      <c r="E2396" s="20" t="s">
        <v>8534</v>
      </c>
      <c r="F2396" s="37" t="s">
        <v>49</v>
      </c>
      <c r="G2396" s="19" t="s">
        <v>50</v>
      </c>
      <c r="H2396" s="37"/>
      <c r="I2396" s="21" t="s">
        <v>29</v>
      </c>
      <c r="J2396" s="21" t="s">
        <v>29</v>
      </c>
      <c r="K2396" s="22" t="s">
        <v>8535</v>
      </c>
      <c r="L2396" s="56">
        <v>45089</v>
      </c>
      <c r="O2396" s="42"/>
      <c r="P2396" s="40"/>
      <c r="Q2396" s="61"/>
      <c r="R2396" s="61"/>
      <c r="S2396" s="40"/>
      <c r="T2396" s="38"/>
      <c r="U2396" s="38"/>
      <c r="V2396" s="38"/>
      <c r="W2396" s="60"/>
      <c r="AB2396" s="42"/>
      <c r="AC2396" s="35"/>
      <c r="AD2396" s="38"/>
      <c r="AE2396" s="38"/>
      <c r="AF2396" s="38"/>
      <c r="AG2396" s="38"/>
      <c r="AH2396" s="60"/>
    </row>
    <row r="2397" spans="1:34" ht="15.75" customHeight="1">
      <c r="A2397" s="75">
        <v>3.8</v>
      </c>
      <c r="B2397" s="18" t="s">
        <v>8536</v>
      </c>
      <c r="C2397" s="37" t="s">
        <v>46</v>
      </c>
      <c r="D2397" s="20" t="s">
        <v>8537</v>
      </c>
      <c r="E2397" s="20" t="s">
        <v>8538</v>
      </c>
      <c r="F2397" s="37" t="s">
        <v>49</v>
      </c>
      <c r="G2397" s="19" t="s">
        <v>50</v>
      </c>
      <c r="H2397" s="37"/>
      <c r="I2397" s="21" t="s">
        <v>29</v>
      </c>
      <c r="J2397" s="21" t="s">
        <v>29</v>
      </c>
      <c r="K2397" s="22" t="s">
        <v>8539</v>
      </c>
      <c r="L2397" s="56">
        <v>45089</v>
      </c>
      <c r="O2397" s="42"/>
      <c r="P2397" s="40"/>
      <c r="Q2397" s="61"/>
      <c r="R2397" s="61"/>
      <c r="S2397" s="40"/>
      <c r="T2397" s="38"/>
      <c r="U2397" s="38"/>
      <c r="V2397" s="38"/>
      <c r="W2397" s="60"/>
      <c r="AB2397" s="42"/>
      <c r="AC2397" s="35"/>
      <c r="AD2397" s="38"/>
      <c r="AE2397" s="38"/>
      <c r="AF2397" s="38"/>
      <c r="AG2397" s="38"/>
      <c r="AH2397" s="60"/>
    </row>
    <row r="2398" spans="1:34" ht="15.75" customHeight="1">
      <c r="A2398" s="111" t="s">
        <v>82</v>
      </c>
      <c r="B2398" s="18" t="s">
        <v>8540</v>
      </c>
      <c r="C2398" s="37" t="s">
        <v>46</v>
      </c>
      <c r="D2398" s="20" t="s">
        <v>8541</v>
      </c>
      <c r="E2398" s="20" t="s">
        <v>8542</v>
      </c>
      <c r="F2398" s="37" t="s">
        <v>49</v>
      </c>
      <c r="G2398" s="19" t="s">
        <v>50</v>
      </c>
      <c r="H2398" s="37"/>
      <c r="I2398" s="21" t="s">
        <v>29</v>
      </c>
      <c r="J2398" s="21" t="s">
        <v>29</v>
      </c>
      <c r="K2398" s="22" t="s">
        <v>8543</v>
      </c>
      <c r="L2398" s="56">
        <v>45089</v>
      </c>
      <c r="O2398" s="42"/>
      <c r="P2398" s="40"/>
      <c r="Q2398" s="61"/>
      <c r="R2398" s="61"/>
      <c r="S2398" s="40"/>
      <c r="T2398" s="38"/>
      <c r="U2398" s="38"/>
      <c r="V2398" s="38"/>
      <c r="W2398" s="60"/>
      <c r="AB2398" s="42"/>
      <c r="AC2398" s="35"/>
      <c r="AD2398" s="38"/>
      <c r="AE2398" s="38"/>
      <c r="AF2398" s="38"/>
      <c r="AG2398" s="38"/>
      <c r="AH2398" s="60"/>
    </row>
    <row r="2399" spans="1:34" ht="15.75" customHeight="1">
      <c r="A2399" s="75" t="s">
        <v>8544</v>
      </c>
      <c r="B2399" s="34" t="s">
        <v>8545</v>
      </c>
      <c r="C2399" s="37" t="s">
        <v>121</v>
      </c>
      <c r="D2399" s="20" t="s">
        <v>8546</v>
      </c>
      <c r="E2399" s="20" t="s">
        <v>8547</v>
      </c>
      <c r="F2399" s="19" t="s">
        <v>90</v>
      </c>
      <c r="G2399" s="19" t="s">
        <v>91</v>
      </c>
      <c r="H2399" s="37"/>
      <c r="I2399" s="21" t="s">
        <v>29</v>
      </c>
      <c r="J2399" s="21" t="s">
        <v>29</v>
      </c>
      <c r="K2399" s="22" t="s">
        <v>8548</v>
      </c>
      <c r="L2399" s="56">
        <v>45089</v>
      </c>
      <c r="O2399" s="42"/>
      <c r="P2399" s="40"/>
      <c r="Q2399" s="61"/>
      <c r="R2399" s="61"/>
      <c r="S2399" s="40"/>
      <c r="T2399" s="38"/>
      <c r="U2399" s="38"/>
      <c r="V2399" s="38"/>
      <c r="W2399" s="60"/>
      <c r="AB2399" s="42"/>
      <c r="AC2399" s="35"/>
      <c r="AD2399" s="38"/>
      <c r="AE2399" s="38"/>
      <c r="AF2399" s="38"/>
      <c r="AG2399" s="38"/>
      <c r="AH2399" s="60"/>
    </row>
    <row r="2400" spans="1:34" ht="15.75" customHeight="1">
      <c r="A2400" s="111" t="s">
        <v>92</v>
      </c>
      <c r="B2400" s="18" t="s">
        <v>8549</v>
      </c>
      <c r="C2400" s="37" t="s">
        <v>24</v>
      </c>
      <c r="D2400" s="20" t="s">
        <v>8550</v>
      </c>
      <c r="E2400" s="20" t="s">
        <v>8551</v>
      </c>
      <c r="F2400" s="19" t="s">
        <v>27</v>
      </c>
      <c r="G2400" s="19" t="s">
        <v>28</v>
      </c>
      <c r="H2400" s="19" t="s">
        <v>36</v>
      </c>
      <c r="I2400" s="21" t="s">
        <v>29</v>
      </c>
      <c r="J2400" s="21" t="s">
        <v>29</v>
      </c>
      <c r="K2400" s="22" t="s">
        <v>8552</v>
      </c>
      <c r="L2400" s="56">
        <v>45089</v>
      </c>
      <c r="O2400" s="42"/>
      <c r="P2400" s="40"/>
      <c r="Q2400" s="61"/>
      <c r="R2400" s="61"/>
      <c r="S2400" s="40"/>
      <c r="T2400" s="38"/>
      <c r="U2400" s="38"/>
      <c r="V2400" s="38"/>
      <c r="W2400" s="60"/>
      <c r="AB2400" s="42"/>
      <c r="AC2400" s="35"/>
      <c r="AD2400" s="38"/>
      <c r="AE2400" s="38"/>
      <c r="AF2400" s="38"/>
      <c r="AG2400" s="38"/>
      <c r="AH2400" s="60"/>
    </row>
    <row r="2401" spans="1:34" ht="15.75" customHeight="1">
      <c r="A2401" s="112">
        <v>659</v>
      </c>
      <c r="B2401" s="18" t="s">
        <v>8553</v>
      </c>
      <c r="C2401" s="37" t="s">
        <v>24</v>
      </c>
      <c r="D2401" s="20" t="s">
        <v>8554</v>
      </c>
      <c r="E2401" s="20" t="s">
        <v>8555</v>
      </c>
      <c r="F2401" s="19" t="s">
        <v>27</v>
      </c>
      <c r="G2401" s="19" t="s">
        <v>28</v>
      </c>
      <c r="H2401" s="37"/>
      <c r="I2401" s="21" t="s">
        <v>29</v>
      </c>
      <c r="J2401" s="21" t="s">
        <v>29</v>
      </c>
      <c r="K2401" s="22" t="s">
        <v>8556</v>
      </c>
      <c r="L2401" s="56">
        <v>45089</v>
      </c>
      <c r="O2401" s="42"/>
      <c r="P2401" s="40"/>
      <c r="Q2401" s="61"/>
      <c r="R2401" s="61"/>
      <c r="S2401" s="40"/>
      <c r="T2401" s="38"/>
      <c r="U2401" s="38"/>
      <c r="V2401" s="38"/>
      <c r="W2401" s="60"/>
      <c r="AB2401" s="42"/>
      <c r="AC2401" s="35"/>
      <c r="AD2401" s="38"/>
      <c r="AE2401" s="38"/>
      <c r="AF2401" s="38"/>
      <c r="AG2401" s="38"/>
      <c r="AH2401" s="60"/>
    </row>
    <row r="2402" spans="1:34" ht="15.75" customHeight="1">
      <c r="A2402" s="111" t="s">
        <v>100</v>
      </c>
      <c r="B2402" s="18" t="s">
        <v>8557</v>
      </c>
      <c r="C2402" s="37" t="s">
        <v>46</v>
      </c>
      <c r="D2402" s="20" t="s">
        <v>8558</v>
      </c>
      <c r="E2402" s="20" t="s">
        <v>8559</v>
      </c>
      <c r="F2402" s="37" t="s">
        <v>49</v>
      </c>
      <c r="G2402" s="19" t="s">
        <v>50</v>
      </c>
      <c r="H2402" s="37"/>
      <c r="I2402" s="21" t="s">
        <v>29</v>
      </c>
      <c r="J2402" s="21" t="s">
        <v>29</v>
      </c>
      <c r="K2402" s="22" t="s">
        <v>8560</v>
      </c>
      <c r="L2402" s="56">
        <v>45089</v>
      </c>
      <c r="O2402" s="42"/>
      <c r="P2402" s="40"/>
      <c r="Q2402" s="61"/>
      <c r="R2402" s="61"/>
      <c r="S2402" s="40"/>
      <c r="T2402" s="38"/>
      <c r="U2402" s="38"/>
      <c r="V2402" s="38"/>
      <c r="W2402" s="60"/>
      <c r="AB2402" s="42"/>
      <c r="AC2402" s="35"/>
      <c r="AD2402" s="38"/>
      <c r="AE2402" s="38"/>
      <c r="AF2402" s="38"/>
      <c r="AG2402" s="38"/>
      <c r="AH2402" s="60"/>
    </row>
    <row r="2403" spans="1:34" ht="15.75" customHeight="1">
      <c r="A2403" s="75">
        <v>165</v>
      </c>
      <c r="B2403" s="18" t="s">
        <v>8561</v>
      </c>
      <c r="C2403" s="37" t="s">
        <v>46</v>
      </c>
      <c r="D2403" s="20" t="s">
        <v>8562</v>
      </c>
      <c r="E2403" s="20" t="s">
        <v>8563</v>
      </c>
      <c r="F2403" s="37" t="s">
        <v>49</v>
      </c>
      <c r="G2403" s="19" t="s">
        <v>50</v>
      </c>
      <c r="H2403" s="37"/>
      <c r="I2403" s="21" t="s">
        <v>29</v>
      </c>
      <c r="J2403" s="21" t="s">
        <v>29</v>
      </c>
      <c r="K2403" s="22" t="s">
        <v>8564</v>
      </c>
      <c r="L2403" s="56">
        <v>45089</v>
      </c>
      <c r="O2403" s="42"/>
      <c r="P2403" s="40"/>
      <c r="Q2403" s="61"/>
      <c r="R2403" s="61"/>
      <c r="S2403" s="40"/>
      <c r="T2403" s="38"/>
      <c r="U2403" s="38"/>
      <c r="V2403" s="38"/>
      <c r="W2403" s="60"/>
      <c r="AB2403" s="42"/>
      <c r="AC2403" s="35"/>
      <c r="AD2403" s="38"/>
      <c r="AE2403" s="38"/>
      <c r="AF2403" s="38"/>
      <c r="AG2403" s="38"/>
      <c r="AH2403" s="60"/>
    </row>
    <row r="2404" spans="1:34" ht="15.75" customHeight="1">
      <c r="A2404" s="35"/>
      <c r="B2404" s="18" t="s">
        <v>8565</v>
      </c>
      <c r="C2404" s="37" t="s">
        <v>24</v>
      </c>
      <c r="D2404" s="20" t="s">
        <v>8566</v>
      </c>
      <c r="E2404" s="20" t="s">
        <v>8567</v>
      </c>
      <c r="F2404" s="19" t="s">
        <v>27</v>
      </c>
      <c r="G2404" s="19" t="s">
        <v>28</v>
      </c>
      <c r="H2404" s="19" t="s">
        <v>36</v>
      </c>
      <c r="I2404" s="21" t="s">
        <v>29</v>
      </c>
      <c r="J2404" s="21" t="s">
        <v>29</v>
      </c>
      <c r="K2404" s="22" t="s">
        <v>8568</v>
      </c>
      <c r="L2404" s="56">
        <v>45089</v>
      </c>
      <c r="O2404" s="42"/>
      <c r="P2404" s="40"/>
      <c r="Q2404" s="61"/>
      <c r="R2404" s="61"/>
      <c r="S2404" s="40"/>
      <c r="T2404" s="38"/>
      <c r="U2404" s="38"/>
      <c r="V2404" s="38"/>
      <c r="W2404" s="60"/>
      <c r="AB2404" s="42"/>
      <c r="AC2404" s="35"/>
      <c r="AD2404" s="38"/>
      <c r="AE2404" s="38"/>
      <c r="AF2404" s="38"/>
      <c r="AG2404" s="38"/>
      <c r="AH2404" s="60"/>
    </row>
    <row r="2405" spans="1:34" ht="15.75" customHeight="1">
      <c r="A2405" s="35"/>
      <c r="B2405" s="18" t="s">
        <v>8569</v>
      </c>
      <c r="C2405" s="37" t="s">
        <v>1486</v>
      </c>
      <c r="D2405" s="20" t="s">
        <v>8570</v>
      </c>
      <c r="E2405" s="20" t="s">
        <v>8571</v>
      </c>
      <c r="F2405" s="37" t="s">
        <v>1489</v>
      </c>
      <c r="G2405" s="37" t="s">
        <v>1490</v>
      </c>
      <c r="H2405" s="37"/>
      <c r="I2405" s="21" t="s">
        <v>1371</v>
      </c>
      <c r="J2405" s="21" t="s">
        <v>1371</v>
      </c>
      <c r="K2405" s="22" t="s">
        <v>8572</v>
      </c>
      <c r="L2405" s="56">
        <v>45089</v>
      </c>
      <c r="O2405" s="42"/>
      <c r="P2405" s="40"/>
      <c r="Q2405" s="61"/>
      <c r="R2405" s="61"/>
      <c r="S2405" s="40"/>
      <c r="T2405" s="38"/>
      <c r="U2405" s="38"/>
      <c r="V2405" s="38"/>
      <c r="W2405" s="60"/>
      <c r="AB2405" s="42"/>
      <c r="AC2405" s="35"/>
      <c r="AD2405" s="38"/>
      <c r="AE2405" s="38"/>
      <c r="AF2405" s="38"/>
      <c r="AG2405" s="38"/>
      <c r="AH2405" s="60"/>
    </row>
    <row r="2406" spans="1:34" ht="15.75" customHeight="1">
      <c r="A2406" s="35"/>
      <c r="B2406" s="18" t="s">
        <v>8573</v>
      </c>
      <c r="C2406" s="37" t="s">
        <v>1486</v>
      </c>
      <c r="D2406" s="20" t="s">
        <v>8574</v>
      </c>
      <c r="E2406" s="20" t="s">
        <v>8575</v>
      </c>
      <c r="F2406" s="37" t="s">
        <v>1489</v>
      </c>
      <c r="G2406" s="37" t="s">
        <v>1490</v>
      </c>
      <c r="H2406" s="37"/>
      <c r="I2406" s="21" t="s">
        <v>1371</v>
      </c>
      <c r="J2406" s="21" t="s">
        <v>1371</v>
      </c>
      <c r="K2406" s="22" t="s">
        <v>8576</v>
      </c>
      <c r="L2406" s="56">
        <v>45089</v>
      </c>
      <c r="O2406" s="42"/>
      <c r="P2406" s="40"/>
      <c r="Q2406" s="61"/>
      <c r="R2406" s="61"/>
      <c r="S2406" s="40"/>
      <c r="T2406" s="38"/>
      <c r="U2406" s="38"/>
      <c r="V2406" s="38"/>
      <c r="W2406" s="60"/>
      <c r="AB2406" s="42"/>
      <c r="AC2406" s="35"/>
      <c r="AD2406" s="38"/>
      <c r="AE2406" s="38"/>
      <c r="AF2406" s="38"/>
      <c r="AG2406" s="38"/>
      <c r="AH2406" s="60"/>
    </row>
    <row r="2407" spans="1:34" ht="15.75" customHeight="1">
      <c r="A2407" s="35"/>
      <c r="B2407" s="18" t="s">
        <v>8577</v>
      </c>
      <c r="C2407" s="37" t="s">
        <v>1638</v>
      </c>
      <c r="D2407" s="20" t="s">
        <v>8578</v>
      </c>
      <c r="E2407" s="20" t="s">
        <v>8579</v>
      </c>
      <c r="F2407" s="37" t="s">
        <v>1399</v>
      </c>
      <c r="G2407" s="19" t="s">
        <v>1641</v>
      </c>
      <c r="H2407" s="37"/>
      <c r="I2407" s="21" t="s">
        <v>1371</v>
      </c>
      <c r="J2407" s="21" t="s">
        <v>1371</v>
      </c>
      <c r="K2407" s="22" t="s">
        <v>8580</v>
      </c>
      <c r="L2407" s="56">
        <v>45089</v>
      </c>
      <c r="O2407" s="42"/>
      <c r="P2407" s="40"/>
      <c r="Q2407" s="61"/>
      <c r="R2407" s="61"/>
      <c r="S2407" s="40"/>
      <c r="T2407" s="38"/>
      <c r="U2407" s="38"/>
      <c r="V2407" s="38"/>
      <c r="W2407" s="60"/>
      <c r="AB2407" s="42"/>
      <c r="AC2407" s="35"/>
      <c r="AD2407" s="38"/>
      <c r="AE2407" s="38"/>
      <c r="AF2407" s="38"/>
      <c r="AG2407" s="38"/>
      <c r="AH2407" s="60"/>
    </row>
    <row r="2408" spans="1:34" ht="15.75" customHeight="1">
      <c r="A2408" s="35"/>
      <c r="B2408" s="18" t="s">
        <v>8581</v>
      </c>
      <c r="C2408" s="37" t="s">
        <v>1366</v>
      </c>
      <c r="D2408" s="20" t="s">
        <v>8582</v>
      </c>
      <c r="E2408" s="20" t="s">
        <v>8583</v>
      </c>
      <c r="F2408" s="55" t="s">
        <v>1369</v>
      </c>
      <c r="G2408" s="55" t="s">
        <v>1370</v>
      </c>
      <c r="H2408" s="37"/>
      <c r="I2408" s="21" t="s">
        <v>1371</v>
      </c>
      <c r="J2408" s="21" t="s">
        <v>1371</v>
      </c>
      <c r="K2408" s="22" t="s">
        <v>8584</v>
      </c>
      <c r="L2408" s="56">
        <v>45089</v>
      </c>
      <c r="O2408" s="42"/>
      <c r="P2408" s="40"/>
      <c r="Q2408" s="61"/>
      <c r="R2408" s="61"/>
      <c r="S2408" s="40"/>
      <c r="T2408" s="38"/>
      <c r="U2408" s="38"/>
      <c r="V2408" s="38"/>
      <c r="W2408" s="60"/>
      <c r="AB2408" s="42"/>
      <c r="AC2408" s="35"/>
      <c r="AD2408" s="38"/>
      <c r="AE2408" s="38"/>
      <c r="AF2408" s="38"/>
      <c r="AG2408" s="38"/>
      <c r="AH2408" s="60"/>
    </row>
    <row r="2409" spans="1:34" ht="15.75" customHeight="1">
      <c r="A2409" s="35"/>
      <c r="B2409" s="18" t="s">
        <v>8585</v>
      </c>
      <c r="C2409" s="37" t="s">
        <v>1486</v>
      </c>
      <c r="D2409" s="20" t="s">
        <v>8586</v>
      </c>
      <c r="E2409" s="20" t="s">
        <v>8587</v>
      </c>
      <c r="F2409" s="37" t="s">
        <v>1489</v>
      </c>
      <c r="G2409" s="37" t="s">
        <v>1490</v>
      </c>
      <c r="H2409" s="37"/>
      <c r="I2409" s="21" t="s">
        <v>1371</v>
      </c>
      <c r="J2409" s="21" t="s">
        <v>1371</v>
      </c>
      <c r="K2409" s="22" t="s">
        <v>8588</v>
      </c>
      <c r="L2409" s="56">
        <v>45089</v>
      </c>
      <c r="O2409" s="42"/>
      <c r="P2409" s="40"/>
      <c r="Q2409" s="61"/>
      <c r="R2409" s="61"/>
      <c r="S2409" s="40"/>
      <c r="T2409" s="38"/>
      <c r="U2409" s="38"/>
      <c r="V2409" s="38"/>
      <c r="W2409" s="60"/>
      <c r="AB2409" s="42"/>
      <c r="AC2409" s="35"/>
      <c r="AD2409" s="38"/>
      <c r="AE2409" s="38"/>
      <c r="AF2409" s="38"/>
      <c r="AG2409" s="38"/>
      <c r="AH2409" s="60"/>
    </row>
    <row r="2410" spans="1:34" ht="15.75" customHeight="1">
      <c r="A2410" s="35"/>
      <c r="B2410" s="18" t="s">
        <v>8589</v>
      </c>
      <c r="C2410" s="37" t="s">
        <v>1486</v>
      </c>
      <c r="D2410" s="20" t="s">
        <v>8590</v>
      </c>
      <c r="E2410" s="20"/>
      <c r="F2410" s="37" t="s">
        <v>1489</v>
      </c>
      <c r="G2410" s="37" t="s">
        <v>1490</v>
      </c>
      <c r="H2410" s="37"/>
      <c r="I2410" s="21" t="s">
        <v>1371</v>
      </c>
      <c r="J2410" s="21" t="s">
        <v>1371</v>
      </c>
      <c r="K2410" s="22"/>
      <c r="L2410" s="56">
        <v>45089</v>
      </c>
      <c r="O2410" s="42"/>
      <c r="P2410" s="40"/>
      <c r="Q2410" s="61"/>
      <c r="R2410" s="61"/>
      <c r="S2410" s="40"/>
      <c r="T2410" s="38"/>
      <c r="U2410" s="38"/>
      <c r="V2410" s="38"/>
      <c r="W2410" s="60"/>
      <c r="AB2410" s="42"/>
      <c r="AC2410" s="35"/>
      <c r="AD2410" s="38"/>
      <c r="AE2410" s="38"/>
      <c r="AF2410" s="38"/>
      <c r="AG2410" s="38"/>
      <c r="AH2410" s="60"/>
    </row>
    <row r="2411" spans="1:34" ht="15.75" customHeight="1">
      <c r="A2411" s="35"/>
      <c r="B2411" s="38"/>
      <c r="C2411" s="37"/>
      <c r="D2411" s="20"/>
      <c r="E2411" s="20"/>
      <c r="F2411" s="37"/>
      <c r="G2411" s="37"/>
      <c r="H2411" s="37"/>
      <c r="I2411" s="21"/>
      <c r="J2411" s="21"/>
      <c r="K2411" s="22"/>
      <c r="L2411" s="39"/>
      <c r="O2411" s="42"/>
      <c r="P2411" s="40"/>
      <c r="Q2411" s="61"/>
      <c r="R2411" s="61"/>
      <c r="S2411" s="40"/>
      <c r="T2411" s="38"/>
      <c r="U2411" s="38"/>
      <c r="V2411" s="38"/>
      <c r="W2411" s="60"/>
      <c r="AB2411" s="42"/>
      <c r="AC2411" s="35"/>
      <c r="AD2411" s="38"/>
      <c r="AE2411" s="38"/>
      <c r="AF2411" s="38"/>
      <c r="AG2411" s="38"/>
      <c r="AH2411" s="60"/>
    </row>
    <row r="2412" spans="1:34" ht="15.75" customHeight="1">
      <c r="A2412" s="35" t="s">
        <v>8591</v>
      </c>
      <c r="B2412" s="18" t="s">
        <v>8592</v>
      </c>
      <c r="C2412" s="37" t="s">
        <v>46</v>
      </c>
      <c r="D2412" s="20" t="s">
        <v>8593</v>
      </c>
      <c r="E2412" s="20" t="s">
        <v>8594</v>
      </c>
      <c r="F2412" s="37" t="s">
        <v>49</v>
      </c>
      <c r="G2412" s="19" t="s">
        <v>50</v>
      </c>
      <c r="H2412" s="37"/>
      <c r="I2412" s="21" t="s">
        <v>29</v>
      </c>
      <c r="J2412" s="21" t="s">
        <v>29</v>
      </c>
      <c r="K2412" s="22" t="s">
        <v>8594</v>
      </c>
      <c r="L2412" s="56">
        <v>45090</v>
      </c>
      <c r="M2412" s="40"/>
      <c r="N2412" s="40"/>
      <c r="O2412" s="42"/>
      <c r="P2412" s="40"/>
      <c r="Q2412" s="61"/>
      <c r="R2412" s="61"/>
      <c r="S2412" s="40"/>
      <c r="T2412" s="38"/>
      <c r="U2412" s="38"/>
      <c r="V2412" s="38"/>
      <c r="W2412" s="60"/>
      <c r="AB2412" s="42"/>
      <c r="AC2412" s="35"/>
      <c r="AD2412" s="38"/>
      <c r="AE2412" s="38"/>
      <c r="AF2412" s="38"/>
      <c r="AG2412" s="38"/>
      <c r="AH2412" s="60"/>
    </row>
    <row r="2413" spans="1:34" ht="15.75" customHeight="1">
      <c r="A2413" s="54" t="s">
        <v>2714</v>
      </c>
      <c r="B2413" s="18" t="s">
        <v>8595</v>
      </c>
      <c r="C2413" s="37" t="s">
        <v>87</v>
      </c>
      <c r="D2413" s="20" t="s">
        <v>8596</v>
      </c>
      <c r="E2413" s="20" t="s">
        <v>8597</v>
      </c>
      <c r="F2413" s="19" t="s">
        <v>90</v>
      </c>
      <c r="G2413" s="19" t="s">
        <v>91</v>
      </c>
      <c r="H2413" s="37"/>
      <c r="I2413" s="21" t="s">
        <v>29</v>
      </c>
      <c r="J2413" s="21" t="s">
        <v>29</v>
      </c>
      <c r="K2413" s="22" t="s">
        <v>8598</v>
      </c>
      <c r="L2413" s="56">
        <v>45090</v>
      </c>
      <c r="O2413" s="42"/>
      <c r="P2413" s="40"/>
      <c r="Q2413" s="61"/>
      <c r="R2413" s="61"/>
      <c r="S2413" s="40"/>
      <c r="T2413" s="38"/>
      <c r="U2413" s="38"/>
      <c r="V2413" s="38"/>
      <c r="W2413" s="60"/>
      <c r="AB2413" s="42"/>
      <c r="AC2413" s="35"/>
      <c r="AD2413" s="38"/>
      <c r="AE2413" s="38"/>
      <c r="AF2413" s="38"/>
      <c r="AG2413" s="38"/>
      <c r="AH2413" s="60"/>
    </row>
    <row r="2414" spans="1:34" ht="15.75" customHeight="1">
      <c r="A2414" s="50" t="s">
        <v>39</v>
      </c>
      <c r="B2414" s="18" t="s">
        <v>8599</v>
      </c>
      <c r="C2414" s="37" t="s">
        <v>87</v>
      </c>
      <c r="D2414" s="20" t="s">
        <v>8600</v>
      </c>
      <c r="E2414" s="20" t="s">
        <v>8601</v>
      </c>
      <c r="F2414" s="19" t="s">
        <v>90</v>
      </c>
      <c r="G2414" s="19" t="s">
        <v>91</v>
      </c>
      <c r="H2414" s="37"/>
      <c r="I2414" s="21" t="s">
        <v>29</v>
      </c>
      <c r="J2414" s="21" t="s">
        <v>29</v>
      </c>
      <c r="K2414" s="22" t="s">
        <v>8601</v>
      </c>
      <c r="L2414" s="56">
        <v>45090</v>
      </c>
      <c r="O2414" s="42"/>
      <c r="P2414" s="40"/>
      <c r="Q2414" s="61"/>
      <c r="R2414" s="61"/>
      <c r="S2414" s="40"/>
      <c r="T2414" s="38"/>
      <c r="U2414" s="38"/>
      <c r="V2414" s="38"/>
      <c r="W2414" s="60"/>
      <c r="AB2414" s="42"/>
      <c r="AC2414" s="35"/>
      <c r="AD2414" s="38"/>
      <c r="AE2414" s="38"/>
      <c r="AF2414" s="38"/>
      <c r="AG2414" s="38"/>
      <c r="AH2414" s="60"/>
    </row>
    <row r="2415" spans="1:34" ht="15.75" customHeight="1">
      <c r="A2415" s="35" t="s">
        <v>8508</v>
      </c>
      <c r="B2415" s="18" t="s">
        <v>8602</v>
      </c>
      <c r="C2415" s="37" t="s">
        <v>24</v>
      </c>
      <c r="D2415" s="20" t="s">
        <v>8603</v>
      </c>
      <c r="E2415" s="20" t="s">
        <v>8604</v>
      </c>
      <c r="F2415" s="19" t="s">
        <v>27</v>
      </c>
      <c r="G2415" s="19" t="s">
        <v>28</v>
      </c>
      <c r="H2415" s="37"/>
      <c r="I2415" s="21" t="s">
        <v>29</v>
      </c>
      <c r="J2415" s="21" t="s">
        <v>29</v>
      </c>
      <c r="K2415" s="22" t="s">
        <v>8605</v>
      </c>
      <c r="L2415" s="56">
        <v>45090</v>
      </c>
      <c r="O2415" s="42"/>
      <c r="P2415" s="40"/>
      <c r="Q2415" s="61"/>
      <c r="R2415" s="61"/>
      <c r="S2415" s="40"/>
      <c r="T2415" s="38"/>
      <c r="U2415" s="38"/>
      <c r="V2415" s="38"/>
      <c r="W2415" s="60"/>
      <c r="AB2415" s="42"/>
      <c r="AC2415" s="35"/>
      <c r="AD2415" s="38"/>
      <c r="AE2415" s="38"/>
      <c r="AF2415" s="38"/>
      <c r="AG2415" s="38"/>
      <c r="AH2415" s="60"/>
    </row>
    <row r="2416" spans="1:34" ht="15.75" customHeight="1">
      <c r="A2416" s="35" t="s">
        <v>8606</v>
      </c>
      <c r="B2416" s="18" t="s">
        <v>8607</v>
      </c>
      <c r="C2416" s="37" t="s">
        <v>87</v>
      </c>
      <c r="D2416" s="20" t="s">
        <v>8608</v>
      </c>
      <c r="E2416" s="20" t="s">
        <v>8594</v>
      </c>
      <c r="F2416" s="19" t="s">
        <v>90</v>
      </c>
      <c r="G2416" s="19" t="s">
        <v>91</v>
      </c>
      <c r="H2416" s="37"/>
      <c r="I2416" s="21" t="s">
        <v>29</v>
      </c>
      <c r="J2416" s="21" t="s">
        <v>29</v>
      </c>
      <c r="K2416" s="22" t="s">
        <v>8594</v>
      </c>
      <c r="L2416" s="56">
        <v>45090</v>
      </c>
      <c r="O2416" s="42"/>
      <c r="P2416" s="40"/>
      <c r="Q2416" s="61"/>
      <c r="R2416" s="61"/>
      <c r="S2416" s="40"/>
      <c r="T2416" s="38"/>
      <c r="U2416" s="38"/>
      <c r="V2416" s="38"/>
      <c r="W2416" s="60"/>
      <c r="AB2416" s="42"/>
      <c r="AC2416" s="35"/>
      <c r="AD2416" s="38"/>
      <c r="AE2416" s="38"/>
      <c r="AF2416" s="38"/>
      <c r="AG2416" s="38"/>
      <c r="AH2416" s="60"/>
    </row>
    <row r="2417" spans="1:34" ht="15.75" customHeight="1">
      <c r="A2417" s="111" t="s">
        <v>56</v>
      </c>
      <c r="B2417" s="18" t="s">
        <v>8609</v>
      </c>
      <c r="C2417" s="37" t="s">
        <v>46</v>
      </c>
      <c r="D2417" s="20" t="s">
        <v>8610</v>
      </c>
      <c r="E2417" s="20"/>
      <c r="F2417" s="37" t="s">
        <v>49</v>
      </c>
      <c r="G2417" s="19" t="s">
        <v>50</v>
      </c>
      <c r="H2417" s="37"/>
      <c r="I2417" s="21" t="s">
        <v>29</v>
      </c>
      <c r="J2417" s="21" t="s">
        <v>29</v>
      </c>
      <c r="K2417" s="22"/>
      <c r="L2417" s="56">
        <v>45090</v>
      </c>
      <c r="O2417" s="42"/>
      <c r="P2417" s="40"/>
      <c r="Q2417" s="61"/>
      <c r="R2417" s="61"/>
      <c r="S2417" s="40"/>
      <c r="T2417" s="38"/>
      <c r="U2417" s="38"/>
      <c r="V2417" s="38"/>
      <c r="W2417" s="60"/>
      <c r="AB2417" s="42"/>
      <c r="AC2417" s="35"/>
      <c r="AD2417" s="38"/>
      <c r="AE2417" s="38"/>
      <c r="AF2417" s="38"/>
      <c r="AG2417" s="38"/>
      <c r="AH2417" s="60"/>
    </row>
    <row r="2418" spans="1:34" ht="15.75" customHeight="1">
      <c r="A2418" s="75">
        <v>56</v>
      </c>
      <c r="B2418" s="18" t="s">
        <v>8611</v>
      </c>
      <c r="C2418" s="37" t="s">
        <v>46</v>
      </c>
      <c r="D2418" s="20" t="s">
        <v>8612</v>
      </c>
      <c r="E2418" s="20" t="s">
        <v>8613</v>
      </c>
      <c r="F2418" s="37" t="s">
        <v>49</v>
      </c>
      <c r="G2418" s="19" t="s">
        <v>50</v>
      </c>
      <c r="H2418" s="37"/>
      <c r="I2418" s="21" t="s">
        <v>29</v>
      </c>
      <c r="J2418" s="21" t="s">
        <v>29</v>
      </c>
      <c r="K2418" s="22" t="s">
        <v>8613</v>
      </c>
      <c r="L2418" s="56">
        <v>45090</v>
      </c>
      <c r="O2418" s="42"/>
      <c r="P2418" s="40"/>
      <c r="Q2418" s="61"/>
      <c r="R2418" s="61"/>
      <c r="S2418" s="40"/>
      <c r="T2418" s="38"/>
      <c r="U2418" s="38"/>
      <c r="V2418" s="38"/>
      <c r="W2418" s="60"/>
      <c r="AB2418" s="42"/>
      <c r="AC2418" s="35"/>
      <c r="AD2418" s="38"/>
      <c r="AE2418" s="38"/>
      <c r="AF2418" s="38"/>
      <c r="AG2418" s="38"/>
      <c r="AH2418" s="60"/>
    </row>
    <row r="2419" spans="1:34" ht="15.75" customHeight="1">
      <c r="A2419" s="111" t="s">
        <v>64</v>
      </c>
      <c r="B2419" s="29" t="s">
        <v>8614</v>
      </c>
      <c r="C2419" s="37" t="s">
        <v>24</v>
      </c>
      <c r="D2419" s="20" t="s">
        <v>8615</v>
      </c>
      <c r="E2419" s="20" t="s">
        <v>8616</v>
      </c>
      <c r="F2419" s="19" t="s">
        <v>27</v>
      </c>
      <c r="G2419" s="19" t="s">
        <v>28</v>
      </c>
      <c r="H2419" s="37" t="s">
        <v>813</v>
      </c>
      <c r="I2419" s="21" t="s">
        <v>29</v>
      </c>
      <c r="J2419" s="21" t="s">
        <v>29</v>
      </c>
      <c r="K2419" s="22" t="s">
        <v>8617</v>
      </c>
      <c r="L2419" s="56"/>
      <c r="O2419" s="42"/>
      <c r="P2419" s="40"/>
      <c r="Q2419" s="61"/>
      <c r="R2419" s="61"/>
      <c r="S2419" s="40"/>
      <c r="T2419" s="38"/>
      <c r="U2419" s="38"/>
      <c r="V2419" s="38"/>
      <c r="W2419" s="60"/>
      <c r="AB2419" s="42"/>
      <c r="AC2419" s="35"/>
      <c r="AD2419" s="38"/>
      <c r="AE2419" s="38"/>
      <c r="AF2419" s="38"/>
      <c r="AG2419" s="38"/>
      <c r="AH2419" s="60"/>
    </row>
    <row r="2420" spans="1:34" ht="15.75" customHeight="1">
      <c r="A2420" s="75">
        <v>3.2</v>
      </c>
      <c r="B2420" s="18" t="s">
        <v>8618</v>
      </c>
      <c r="C2420" s="37" t="s">
        <v>24</v>
      </c>
      <c r="D2420" s="20" t="s">
        <v>8619</v>
      </c>
      <c r="E2420" s="20" t="s">
        <v>8620</v>
      </c>
      <c r="F2420" s="19" t="s">
        <v>27</v>
      </c>
      <c r="G2420" s="19" t="s">
        <v>28</v>
      </c>
      <c r="H2420" s="37"/>
      <c r="I2420" s="21" t="s">
        <v>29</v>
      </c>
      <c r="J2420" s="21" t="s">
        <v>29</v>
      </c>
      <c r="K2420" s="22" t="s">
        <v>8621</v>
      </c>
      <c r="L2420" s="56">
        <v>45090</v>
      </c>
      <c r="O2420" s="42"/>
      <c r="P2420" s="40"/>
      <c r="Q2420" s="61"/>
      <c r="R2420" s="61"/>
      <c r="S2420" s="40"/>
      <c r="T2420" s="38"/>
      <c r="U2420" s="38"/>
      <c r="V2420" s="38"/>
      <c r="W2420" s="60"/>
      <c r="AB2420" s="42"/>
      <c r="AC2420" s="35"/>
      <c r="AD2420" s="38"/>
      <c r="AE2420" s="38"/>
      <c r="AF2420" s="38"/>
      <c r="AG2420" s="38"/>
      <c r="AH2420" s="60"/>
    </row>
    <row r="2421" spans="1:34" ht="15.75" customHeight="1">
      <c r="A2421" s="111" t="s">
        <v>73</v>
      </c>
      <c r="B2421" s="18" t="s">
        <v>8622</v>
      </c>
      <c r="C2421" s="37" t="s">
        <v>46</v>
      </c>
      <c r="D2421" s="20" t="s">
        <v>8623</v>
      </c>
      <c r="E2421" s="20" t="s">
        <v>8624</v>
      </c>
      <c r="F2421" s="37" t="s">
        <v>49</v>
      </c>
      <c r="G2421" s="19" t="s">
        <v>50</v>
      </c>
      <c r="H2421" s="37"/>
      <c r="I2421" s="21" t="s">
        <v>29</v>
      </c>
      <c r="J2421" s="21" t="s">
        <v>29</v>
      </c>
      <c r="K2421" s="22" t="s">
        <v>8625</v>
      </c>
      <c r="L2421" s="56">
        <v>45090</v>
      </c>
      <c r="O2421" s="42"/>
      <c r="P2421" s="40"/>
      <c r="Q2421" s="61"/>
      <c r="R2421" s="61"/>
      <c r="S2421" s="40"/>
      <c r="T2421" s="38"/>
      <c r="U2421" s="38"/>
      <c r="V2421" s="38"/>
      <c r="W2421" s="60"/>
      <c r="AB2421" s="42"/>
      <c r="AC2421" s="35"/>
      <c r="AD2421" s="38"/>
      <c r="AE2421" s="38"/>
      <c r="AF2421" s="38"/>
      <c r="AG2421" s="38"/>
      <c r="AH2421" s="60"/>
    </row>
    <row r="2422" spans="1:34" ht="15.75" customHeight="1">
      <c r="A2422" s="75">
        <v>3.5</v>
      </c>
      <c r="B2422" s="18" t="s">
        <v>8626</v>
      </c>
      <c r="C2422" s="37" t="s">
        <v>24</v>
      </c>
      <c r="D2422" s="20" t="s">
        <v>8627</v>
      </c>
      <c r="E2422" s="20" t="s">
        <v>8628</v>
      </c>
      <c r="F2422" s="19" t="s">
        <v>27</v>
      </c>
      <c r="G2422" s="19" t="s">
        <v>28</v>
      </c>
      <c r="H2422" s="37"/>
      <c r="I2422" s="21" t="s">
        <v>29</v>
      </c>
      <c r="J2422" s="21" t="s">
        <v>29</v>
      </c>
      <c r="K2422" s="22" t="s">
        <v>8629</v>
      </c>
      <c r="L2422" s="56">
        <v>45090</v>
      </c>
      <c r="O2422" s="42"/>
      <c r="P2422" s="40"/>
      <c r="Q2422" s="61"/>
      <c r="R2422" s="61"/>
      <c r="S2422" s="40"/>
      <c r="T2422" s="38"/>
      <c r="U2422" s="38"/>
      <c r="V2422" s="38"/>
      <c r="W2422" s="60"/>
      <c r="AB2422" s="42"/>
      <c r="AC2422" s="35"/>
      <c r="AD2422" s="38"/>
      <c r="AE2422" s="38"/>
      <c r="AF2422" s="38"/>
      <c r="AG2422" s="38"/>
      <c r="AH2422" s="60"/>
    </row>
    <row r="2423" spans="1:34" ht="15.75" customHeight="1">
      <c r="A2423" s="111" t="s">
        <v>82</v>
      </c>
      <c r="B2423" s="18" t="s">
        <v>8630</v>
      </c>
      <c r="C2423" s="37" t="s">
        <v>87</v>
      </c>
      <c r="D2423" s="20" t="s">
        <v>8631</v>
      </c>
      <c r="E2423" s="20" t="s">
        <v>8613</v>
      </c>
      <c r="F2423" s="19" t="s">
        <v>90</v>
      </c>
      <c r="G2423" s="19" t="s">
        <v>91</v>
      </c>
      <c r="H2423" s="37"/>
      <c r="I2423" s="21" t="s">
        <v>29</v>
      </c>
      <c r="J2423" s="21" t="s">
        <v>29</v>
      </c>
      <c r="K2423" s="22" t="s">
        <v>8613</v>
      </c>
      <c r="L2423" s="56">
        <v>45090</v>
      </c>
      <c r="O2423" s="42"/>
      <c r="P2423" s="40"/>
      <c r="Q2423" s="61"/>
      <c r="R2423" s="61"/>
      <c r="S2423" s="40"/>
      <c r="T2423" s="38"/>
      <c r="U2423" s="38"/>
      <c r="V2423" s="38"/>
      <c r="W2423" s="60"/>
      <c r="AB2423" s="42"/>
      <c r="AC2423" s="35"/>
      <c r="AD2423" s="38"/>
      <c r="AE2423" s="38"/>
      <c r="AF2423" s="38"/>
      <c r="AG2423" s="38"/>
      <c r="AH2423" s="60"/>
    </row>
    <row r="2424" spans="1:34" ht="15.75" customHeight="1">
      <c r="A2424" s="75" t="s">
        <v>8632</v>
      </c>
      <c r="B2424" s="18" t="s">
        <v>8633</v>
      </c>
      <c r="C2424" s="19" t="s">
        <v>24</v>
      </c>
      <c r="D2424" s="20" t="s">
        <v>8634</v>
      </c>
      <c r="E2424" s="20" t="s">
        <v>8601</v>
      </c>
      <c r="F2424" s="19" t="s">
        <v>27</v>
      </c>
      <c r="G2424" s="19" t="s">
        <v>28</v>
      </c>
      <c r="H2424" s="19" t="s">
        <v>36</v>
      </c>
      <c r="I2424" s="21" t="s">
        <v>29</v>
      </c>
      <c r="J2424" s="21" t="s">
        <v>29</v>
      </c>
      <c r="K2424" s="22" t="s">
        <v>8601</v>
      </c>
      <c r="L2424" s="56">
        <v>45090</v>
      </c>
      <c r="O2424" s="42"/>
      <c r="P2424" s="40"/>
      <c r="Q2424" s="61"/>
      <c r="R2424" s="61"/>
      <c r="S2424" s="40"/>
      <c r="T2424" s="38"/>
      <c r="U2424" s="38"/>
      <c r="V2424" s="38"/>
      <c r="W2424" s="60"/>
      <c r="AB2424" s="42"/>
      <c r="AC2424" s="35"/>
      <c r="AD2424" s="38"/>
      <c r="AE2424" s="38"/>
      <c r="AF2424" s="38"/>
      <c r="AG2424" s="38"/>
      <c r="AH2424" s="60"/>
    </row>
    <row r="2425" spans="1:34" ht="15.75" customHeight="1">
      <c r="A2425" s="111" t="s">
        <v>92</v>
      </c>
      <c r="B2425" s="18" t="s">
        <v>8635</v>
      </c>
      <c r="C2425" s="37" t="s">
        <v>46</v>
      </c>
      <c r="D2425" s="20" t="s">
        <v>8636</v>
      </c>
      <c r="E2425" s="20" t="s">
        <v>8637</v>
      </c>
      <c r="F2425" s="37" t="s">
        <v>49</v>
      </c>
      <c r="G2425" s="19" t="s">
        <v>50</v>
      </c>
      <c r="H2425" s="37"/>
      <c r="I2425" s="21" t="s">
        <v>29</v>
      </c>
      <c r="J2425" s="21" t="s">
        <v>29</v>
      </c>
      <c r="K2425" s="22" t="s">
        <v>8638</v>
      </c>
      <c r="L2425" s="56">
        <v>45090</v>
      </c>
      <c r="O2425" s="42"/>
      <c r="P2425" s="40"/>
      <c r="Q2425" s="61"/>
      <c r="R2425" s="61"/>
      <c r="S2425" s="40"/>
      <c r="T2425" s="38"/>
      <c r="U2425" s="38"/>
      <c r="V2425" s="38"/>
      <c r="W2425" s="60"/>
      <c r="AB2425" s="42"/>
      <c r="AC2425" s="35"/>
      <c r="AD2425" s="38"/>
      <c r="AE2425" s="38"/>
      <c r="AF2425" s="38"/>
      <c r="AG2425" s="38"/>
      <c r="AH2425" s="60"/>
    </row>
    <row r="2426" spans="1:34" ht="15.75" customHeight="1">
      <c r="A2426" s="112">
        <v>940</v>
      </c>
      <c r="B2426" s="95" t="s">
        <v>8639</v>
      </c>
      <c r="C2426" s="37" t="s">
        <v>24</v>
      </c>
      <c r="D2426" s="20" t="s">
        <v>8640</v>
      </c>
      <c r="E2426" s="20" t="s">
        <v>8641</v>
      </c>
      <c r="F2426" s="19" t="s">
        <v>90</v>
      </c>
      <c r="G2426" s="19" t="s">
        <v>91</v>
      </c>
      <c r="H2426" s="37"/>
      <c r="I2426" s="21" t="s">
        <v>29</v>
      </c>
      <c r="J2426" s="21" t="s">
        <v>29</v>
      </c>
      <c r="K2426" s="22" t="s">
        <v>8642</v>
      </c>
      <c r="L2426" s="56"/>
      <c r="O2426" s="42"/>
      <c r="P2426" s="40"/>
      <c r="Q2426" s="61"/>
      <c r="R2426" s="61"/>
      <c r="S2426" s="40"/>
      <c r="T2426" s="38"/>
      <c r="U2426" s="38"/>
      <c r="V2426" s="38"/>
      <c r="W2426" s="60"/>
      <c r="AB2426" s="42"/>
      <c r="AC2426" s="35"/>
      <c r="AD2426" s="38"/>
      <c r="AE2426" s="38"/>
      <c r="AF2426" s="38"/>
      <c r="AG2426" s="38"/>
      <c r="AH2426" s="60"/>
    </row>
    <row r="2427" spans="1:34" ht="15.75" customHeight="1">
      <c r="A2427" s="111" t="s">
        <v>100</v>
      </c>
      <c r="B2427" s="18" t="s">
        <v>8643</v>
      </c>
      <c r="C2427" s="37" t="s">
        <v>24</v>
      </c>
      <c r="D2427" s="20" t="s">
        <v>8644</v>
      </c>
      <c r="E2427" s="20" t="s">
        <v>8594</v>
      </c>
      <c r="F2427" s="19" t="s">
        <v>27</v>
      </c>
      <c r="G2427" s="19" t="s">
        <v>28</v>
      </c>
      <c r="H2427" s="37"/>
      <c r="I2427" s="21" t="s">
        <v>29</v>
      </c>
      <c r="J2427" s="21" t="s">
        <v>29</v>
      </c>
      <c r="K2427" s="22" t="s">
        <v>8594</v>
      </c>
      <c r="L2427" s="56">
        <v>45090</v>
      </c>
      <c r="O2427" s="42"/>
      <c r="P2427" s="40"/>
      <c r="Q2427" s="61"/>
      <c r="R2427" s="61"/>
      <c r="S2427" s="40"/>
      <c r="T2427" s="38"/>
      <c r="U2427" s="38"/>
      <c r="V2427" s="38"/>
      <c r="W2427" s="60"/>
      <c r="AB2427" s="42"/>
      <c r="AC2427" s="35"/>
      <c r="AD2427" s="38"/>
      <c r="AE2427" s="38"/>
      <c r="AF2427" s="38"/>
      <c r="AG2427" s="38"/>
      <c r="AH2427" s="60"/>
    </row>
    <row r="2428" spans="1:34" ht="15.75" customHeight="1">
      <c r="A2428" s="75">
        <v>163</v>
      </c>
      <c r="B2428" s="18" t="s">
        <v>8645</v>
      </c>
      <c r="C2428" s="37" t="s">
        <v>46</v>
      </c>
      <c r="D2428" s="20" t="s">
        <v>8646</v>
      </c>
      <c r="E2428" s="20" t="s">
        <v>8647</v>
      </c>
      <c r="F2428" s="37" t="s">
        <v>49</v>
      </c>
      <c r="G2428" s="19" t="s">
        <v>50</v>
      </c>
      <c r="H2428" s="37"/>
      <c r="I2428" s="21" t="s">
        <v>29</v>
      </c>
      <c r="J2428" s="21" t="s">
        <v>29</v>
      </c>
      <c r="K2428" s="22" t="s">
        <v>8648</v>
      </c>
      <c r="L2428" s="56">
        <v>45090</v>
      </c>
      <c r="O2428" s="42"/>
      <c r="P2428" s="40"/>
      <c r="Q2428" s="61"/>
      <c r="R2428" s="61"/>
      <c r="S2428" s="40"/>
      <c r="T2428" s="38"/>
      <c r="U2428" s="38"/>
      <c r="V2428" s="38"/>
      <c r="W2428" s="60"/>
      <c r="AB2428" s="42"/>
      <c r="AC2428" s="35"/>
      <c r="AD2428" s="38"/>
      <c r="AE2428" s="38"/>
      <c r="AF2428" s="38"/>
      <c r="AG2428" s="38"/>
      <c r="AH2428" s="60"/>
    </row>
    <row r="2429" spans="1:34" ht="15.75" customHeight="1">
      <c r="B2429" s="18" t="s">
        <v>8649</v>
      </c>
      <c r="C2429" s="37" t="s">
        <v>46</v>
      </c>
      <c r="D2429" s="20" t="s">
        <v>8650</v>
      </c>
      <c r="E2429" s="20"/>
      <c r="F2429" s="37" t="s">
        <v>49</v>
      </c>
      <c r="G2429" s="19" t="s">
        <v>50</v>
      </c>
      <c r="H2429" s="37"/>
      <c r="I2429" s="21" t="s">
        <v>29</v>
      </c>
      <c r="J2429" s="21" t="s">
        <v>29</v>
      </c>
      <c r="K2429" s="22"/>
      <c r="L2429" s="56">
        <v>45090</v>
      </c>
      <c r="O2429" s="42"/>
      <c r="P2429" s="40"/>
      <c r="Q2429" s="61"/>
      <c r="R2429" s="61"/>
      <c r="S2429" s="40"/>
      <c r="T2429" s="38"/>
      <c r="U2429" s="38"/>
      <c r="V2429" s="38"/>
      <c r="W2429" s="60"/>
      <c r="AB2429" s="42"/>
      <c r="AC2429" s="35"/>
      <c r="AD2429" s="38"/>
      <c r="AE2429" s="38"/>
      <c r="AF2429" s="38"/>
      <c r="AG2429" s="38"/>
      <c r="AH2429" s="60"/>
    </row>
    <row r="2430" spans="1:34" ht="15.75" customHeight="1">
      <c r="B2430" s="18" t="s">
        <v>8651</v>
      </c>
      <c r="C2430" s="37" t="s">
        <v>24</v>
      </c>
      <c r="D2430" s="20" t="s">
        <v>8652</v>
      </c>
      <c r="E2430" s="20" t="s">
        <v>8653</v>
      </c>
      <c r="F2430" s="19" t="s">
        <v>27</v>
      </c>
      <c r="G2430" s="19" t="s">
        <v>28</v>
      </c>
      <c r="H2430" s="19" t="s">
        <v>36</v>
      </c>
      <c r="I2430" s="21" t="s">
        <v>29</v>
      </c>
      <c r="J2430" s="21" t="s">
        <v>29</v>
      </c>
      <c r="K2430" s="22" t="s">
        <v>8654</v>
      </c>
      <c r="L2430" s="56">
        <v>45090</v>
      </c>
      <c r="O2430" s="42"/>
      <c r="P2430" s="40"/>
      <c r="Q2430" s="61"/>
      <c r="R2430" s="61"/>
      <c r="S2430" s="40"/>
      <c r="T2430" s="38"/>
      <c r="U2430" s="38"/>
      <c r="V2430" s="38"/>
      <c r="W2430" s="60"/>
      <c r="AB2430" s="42"/>
      <c r="AC2430" s="35"/>
      <c r="AD2430" s="38"/>
      <c r="AE2430" s="38"/>
      <c r="AF2430" s="38"/>
      <c r="AG2430" s="38"/>
      <c r="AH2430" s="60"/>
    </row>
    <row r="2431" spans="1:34" ht="15.75" customHeight="1">
      <c r="A2431" s="35"/>
      <c r="B2431" s="18" t="s">
        <v>8655</v>
      </c>
      <c r="C2431" s="37" t="s">
        <v>24</v>
      </c>
      <c r="D2431" s="20" t="s">
        <v>8656</v>
      </c>
      <c r="E2431" s="20" t="s">
        <v>8594</v>
      </c>
      <c r="F2431" s="19" t="s">
        <v>27</v>
      </c>
      <c r="G2431" s="19" t="s">
        <v>28</v>
      </c>
      <c r="H2431" s="37" t="s">
        <v>813</v>
      </c>
      <c r="I2431" s="21" t="s">
        <v>29</v>
      </c>
      <c r="J2431" s="21" t="s">
        <v>29</v>
      </c>
      <c r="K2431" s="22" t="s">
        <v>8594</v>
      </c>
      <c r="L2431" s="56">
        <v>45090</v>
      </c>
      <c r="O2431" s="42"/>
      <c r="P2431" s="40"/>
      <c r="Q2431" s="61"/>
      <c r="R2431" s="61"/>
      <c r="S2431" s="40"/>
      <c r="T2431" s="38"/>
      <c r="U2431" s="38"/>
      <c r="V2431" s="38"/>
      <c r="W2431" s="60"/>
      <c r="AB2431" s="42"/>
      <c r="AC2431" s="35"/>
      <c r="AD2431" s="38"/>
      <c r="AE2431" s="38"/>
      <c r="AF2431" s="38"/>
      <c r="AG2431" s="38"/>
      <c r="AH2431" s="60"/>
    </row>
    <row r="2432" spans="1:34" ht="15.75" customHeight="1">
      <c r="A2432" s="35"/>
      <c r="B2432" s="18" t="s">
        <v>8657</v>
      </c>
      <c r="C2432" s="37" t="s">
        <v>24</v>
      </c>
      <c r="D2432" s="20" t="s">
        <v>8658</v>
      </c>
      <c r="E2432" s="20" t="s">
        <v>8613</v>
      </c>
      <c r="F2432" s="19" t="s">
        <v>27</v>
      </c>
      <c r="G2432" s="19" t="s">
        <v>28</v>
      </c>
      <c r="H2432" s="37"/>
      <c r="I2432" s="21" t="s">
        <v>29</v>
      </c>
      <c r="J2432" s="21" t="s">
        <v>29</v>
      </c>
      <c r="K2432" s="22" t="s">
        <v>8613</v>
      </c>
      <c r="L2432" s="56">
        <v>45090</v>
      </c>
      <c r="O2432" s="42"/>
      <c r="P2432" s="40"/>
      <c r="Q2432" s="61"/>
      <c r="R2432" s="61"/>
      <c r="S2432" s="40"/>
      <c r="T2432" s="38"/>
      <c r="U2432" s="38"/>
      <c r="V2432" s="38"/>
      <c r="W2432" s="60"/>
      <c r="AB2432" s="42"/>
      <c r="AC2432" s="35"/>
      <c r="AD2432" s="38"/>
      <c r="AE2432" s="38"/>
      <c r="AF2432" s="38"/>
      <c r="AG2432" s="38"/>
      <c r="AH2432" s="60"/>
    </row>
    <row r="2433" spans="1:34" ht="15.75" customHeight="1">
      <c r="A2433" s="35"/>
      <c r="B2433" s="18" t="s">
        <v>8659</v>
      </c>
      <c r="C2433" s="37" t="s">
        <v>87</v>
      </c>
      <c r="D2433" s="20" t="s">
        <v>8660</v>
      </c>
      <c r="E2433" s="20" t="s">
        <v>8601</v>
      </c>
      <c r="F2433" s="19" t="s">
        <v>90</v>
      </c>
      <c r="G2433" s="19" t="s">
        <v>91</v>
      </c>
      <c r="H2433" s="37"/>
      <c r="I2433" s="21" t="s">
        <v>29</v>
      </c>
      <c r="J2433" s="21" t="s">
        <v>29</v>
      </c>
      <c r="K2433" s="22" t="s">
        <v>8601</v>
      </c>
      <c r="L2433" s="56">
        <v>45090</v>
      </c>
      <c r="O2433" s="42"/>
      <c r="P2433" s="40"/>
      <c r="Q2433" s="61"/>
      <c r="R2433" s="61"/>
      <c r="S2433" s="40"/>
      <c r="T2433" s="38"/>
      <c r="U2433" s="38"/>
      <c r="V2433" s="38"/>
      <c r="W2433" s="60"/>
      <c r="AB2433" s="42"/>
      <c r="AC2433" s="35"/>
      <c r="AD2433" s="38"/>
      <c r="AE2433" s="38"/>
      <c r="AF2433" s="38"/>
      <c r="AG2433" s="38"/>
      <c r="AH2433" s="60"/>
    </row>
    <row r="2434" spans="1:34" ht="15.75" customHeight="1">
      <c r="A2434" s="35"/>
      <c r="B2434" s="18" t="s">
        <v>8661</v>
      </c>
      <c r="C2434" s="37" t="s">
        <v>46</v>
      </c>
      <c r="D2434" s="20" t="s">
        <v>8662</v>
      </c>
      <c r="E2434" s="20" t="s">
        <v>8663</v>
      </c>
      <c r="F2434" s="37" t="s">
        <v>49</v>
      </c>
      <c r="G2434" s="19" t="s">
        <v>50</v>
      </c>
      <c r="H2434" s="37"/>
      <c r="I2434" s="21" t="s">
        <v>29</v>
      </c>
      <c r="J2434" s="21" t="s">
        <v>29</v>
      </c>
      <c r="K2434" s="22" t="s">
        <v>8663</v>
      </c>
      <c r="L2434" s="56">
        <v>45090</v>
      </c>
      <c r="O2434" s="42"/>
      <c r="P2434" s="40"/>
      <c r="Q2434" s="61"/>
      <c r="R2434" s="61"/>
      <c r="S2434" s="40"/>
      <c r="T2434" s="38"/>
      <c r="U2434" s="38"/>
      <c r="V2434" s="38"/>
      <c r="W2434" s="60"/>
      <c r="AB2434" s="42"/>
      <c r="AC2434" s="35"/>
      <c r="AD2434" s="38"/>
      <c r="AE2434" s="38"/>
      <c r="AF2434" s="38"/>
      <c r="AG2434" s="38"/>
      <c r="AH2434" s="60"/>
    </row>
    <row r="2435" spans="1:34" ht="15.75" customHeight="1">
      <c r="A2435" s="35"/>
      <c r="B2435" s="18" t="s">
        <v>8664</v>
      </c>
      <c r="C2435" s="37" t="s">
        <v>46</v>
      </c>
      <c r="D2435" s="20" t="s">
        <v>8665</v>
      </c>
      <c r="E2435" s="20" t="s">
        <v>8666</v>
      </c>
      <c r="F2435" s="37" t="s">
        <v>49</v>
      </c>
      <c r="G2435" s="19" t="s">
        <v>50</v>
      </c>
      <c r="H2435" s="37"/>
      <c r="I2435" s="21" t="s">
        <v>29</v>
      </c>
      <c r="J2435" s="21" t="s">
        <v>29</v>
      </c>
      <c r="K2435" s="22" t="s">
        <v>8666</v>
      </c>
      <c r="L2435" s="56">
        <v>45090</v>
      </c>
      <c r="O2435" s="42"/>
      <c r="P2435" s="40"/>
      <c r="Q2435" s="61"/>
      <c r="R2435" s="61"/>
      <c r="S2435" s="40"/>
      <c r="T2435" s="38"/>
      <c r="U2435" s="38"/>
      <c r="V2435" s="38"/>
      <c r="W2435" s="60"/>
      <c r="AB2435" s="42"/>
      <c r="AC2435" s="35"/>
      <c r="AD2435" s="38"/>
      <c r="AE2435" s="38"/>
      <c r="AF2435" s="38"/>
      <c r="AG2435" s="38"/>
      <c r="AH2435" s="60"/>
    </row>
    <row r="2436" spans="1:34" ht="15.75" customHeight="1">
      <c r="A2436" s="35"/>
      <c r="B2436" s="18" t="s">
        <v>8667</v>
      </c>
      <c r="C2436" s="37" t="s">
        <v>46</v>
      </c>
      <c r="D2436" s="20" t="s">
        <v>8668</v>
      </c>
      <c r="E2436" s="20" t="s">
        <v>8594</v>
      </c>
      <c r="F2436" s="37" t="s">
        <v>49</v>
      </c>
      <c r="G2436" s="19" t="s">
        <v>50</v>
      </c>
      <c r="H2436" s="37"/>
      <c r="I2436" s="21" t="s">
        <v>29</v>
      </c>
      <c r="J2436" s="21" t="s">
        <v>29</v>
      </c>
      <c r="K2436" s="22" t="s">
        <v>8594</v>
      </c>
      <c r="L2436" s="56">
        <v>45090</v>
      </c>
      <c r="O2436" s="42"/>
      <c r="P2436" s="40"/>
      <c r="Q2436" s="61"/>
      <c r="R2436" s="61"/>
      <c r="S2436" s="40"/>
      <c r="T2436" s="38"/>
      <c r="U2436" s="38"/>
      <c r="V2436" s="38"/>
      <c r="W2436" s="60"/>
      <c r="AB2436" s="42"/>
      <c r="AC2436" s="35"/>
      <c r="AD2436" s="38"/>
      <c r="AE2436" s="38"/>
      <c r="AF2436" s="38"/>
      <c r="AG2436" s="38"/>
      <c r="AH2436" s="60"/>
    </row>
    <row r="2437" spans="1:34" ht="15.75" customHeight="1">
      <c r="A2437" s="35"/>
      <c r="B2437" s="18" t="s">
        <v>8669</v>
      </c>
      <c r="C2437" s="37" t="s">
        <v>46</v>
      </c>
      <c r="D2437" s="20" t="s">
        <v>8670</v>
      </c>
      <c r="E2437" s="20"/>
      <c r="F2437" s="37" t="s">
        <v>49</v>
      </c>
      <c r="G2437" s="19" t="s">
        <v>50</v>
      </c>
      <c r="H2437" s="37"/>
      <c r="I2437" s="21" t="s">
        <v>29</v>
      </c>
      <c r="J2437" s="21" t="s">
        <v>29</v>
      </c>
      <c r="K2437" s="22"/>
      <c r="L2437" s="56">
        <v>45090</v>
      </c>
      <c r="O2437" s="42"/>
      <c r="P2437" s="40"/>
      <c r="Q2437" s="61"/>
      <c r="R2437" s="61"/>
      <c r="S2437" s="40"/>
      <c r="T2437" s="38"/>
      <c r="U2437" s="38"/>
      <c r="V2437" s="38"/>
      <c r="W2437" s="60"/>
      <c r="AB2437" s="42"/>
      <c r="AC2437" s="35"/>
      <c r="AD2437" s="38"/>
      <c r="AE2437" s="38"/>
      <c r="AF2437" s="38"/>
      <c r="AG2437" s="38"/>
      <c r="AH2437" s="60"/>
    </row>
    <row r="2438" spans="1:34" ht="15.75" customHeight="1">
      <c r="A2438" s="35"/>
      <c r="B2438" s="18" t="s">
        <v>8671</v>
      </c>
      <c r="C2438" s="37" t="s">
        <v>24</v>
      </c>
      <c r="D2438" s="20" t="s">
        <v>8672</v>
      </c>
      <c r="E2438" s="20" t="s">
        <v>8594</v>
      </c>
      <c r="F2438" s="19" t="s">
        <v>27</v>
      </c>
      <c r="G2438" s="19" t="s">
        <v>28</v>
      </c>
      <c r="H2438" s="37"/>
      <c r="I2438" s="21" t="s">
        <v>29</v>
      </c>
      <c r="J2438" s="21" t="s">
        <v>29</v>
      </c>
      <c r="K2438" s="22" t="s">
        <v>8594</v>
      </c>
      <c r="L2438" s="56">
        <v>45090</v>
      </c>
      <c r="O2438" s="42"/>
      <c r="P2438" s="40"/>
      <c r="Q2438" s="61"/>
      <c r="R2438" s="61"/>
      <c r="S2438" s="40"/>
      <c r="T2438" s="38"/>
      <c r="U2438" s="38"/>
      <c r="V2438" s="38"/>
      <c r="W2438" s="60"/>
      <c r="AB2438" s="42"/>
      <c r="AC2438" s="35"/>
      <c r="AD2438" s="38"/>
      <c r="AE2438" s="38"/>
      <c r="AF2438" s="38"/>
      <c r="AG2438" s="38"/>
      <c r="AH2438" s="60"/>
    </row>
    <row r="2439" spans="1:34" ht="15.75" customHeight="1">
      <c r="A2439" s="35"/>
      <c r="B2439" s="18" t="s">
        <v>8673</v>
      </c>
      <c r="C2439" s="37" t="s">
        <v>24</v>
      </c>
      <c r="D2439" s="20" t="s">
        <v>8674</v>
      </c>
      <c r="E2439" s="20" t="s">
        <v>8675</v>
      </c>
      <c r="F2439" s="19" t="s">
        <v>27</v>
      </c>
      <c r="G2439" s="19" t="s">
        <v>28</v>
      </c>
      <c r="H2439" s="19" t="s">
        <v>36</v>
      </c>
      <c r="I2439" s="21" t="s">
        <v>29</v>
      </c>
      <c r="J2439" s="21" t="s">
        <v>29</v>
      </c>
      <c r="K2439" s="22" t="s">
        <v>8676</v>
      </c>
      <c r="L2439" s="56">
        <v>45090</v>
      </c>
      <c r="O2439" s="42"/>
      <c r="P2439" s="40"/>
      <c r="Q2439" s="61"/>
      <c r="R2439" s="61"/>
      <c r="S2439" s="40"/>
      <c r="T2439" s="38"/>
      <c r="U2439" s="38"/>
      <c r="V2439" s="38"/>
      <c r="W2439" s="60"/>
      <c r="AB2439" s="42"/>
      <c r="AC2439" s="35"/>
      <c r="AD2439" s="38"/>
      <c r="AE2439" s="38"/>
      <c r="AF2439" s="38"/>
      <c r="AG2439" s="38"/>
      <c r="AH2439" s="60"/>
    </row>
    <row r="2440" spans="1:34" ht="15.75" customHeight="1">
      <c r="A2440" s="35"/>
      <c r="B2440" s="18" t="s">
        <v>8677</v>
      </c>
      <c r="C2440" s="37" t="s">
        <v>87</v>
      </c>
      <c r="D2440" s="20" t="s">
        <v>8678</v>
      </c>
      <c r="E2440" s="20" t="s">
        <v>8679</v>
      </c>
      <c r="F2440" s="19" t="s">
        <v>90</v>
      </c>
      <c r="G2440" s="19" t="s">
        <v>91</v>
      </c>
      <c r="H2440" s="37"/>
      <c r="I2440" s="21" t="s">
        <v>29</v>
      </c>
      <c r="J2440" s="21" t="s">
        <v>29</v>
      </c>
      <c r="K2440" s="22" t="s">
        <v>8680</v>
      </c>
      <c r="L2440" s="56">
        <v>45090</v>
      </c>
      <c r="O2440" s="42"/>
      <c r="P2440" s="40"/>
      <c r="Q2440" s="61"/>
      <c r="R2440" s="61"/>
      <c r="S2440" s="40"/>
      <c r="T2440" s="38"/>
      <c r="U2440" s="38"/>
      <c r="V2440" s="38"/>
      <c r="W2440" s="60"/>
      <c r="AB2440" s="42"/>
      <c r="AC2440" s="35"/>
      <c r="AD2440" s="38"/>
      <c r="AE2440" s="38"/>
      <c r="AF2440" s="38"/>
      <c r="AG2440" s="38"/>
      <c r="AH2440" s="60"/>
    </row>
    <row r="2441" spans="1:34" ht="15.75" customHeight="1">
      <c r="A2441" s="35"/>
      <c r="B2441" s="18" t="s">
        <v>8681</v>
      </c>
      <c r="C2441" s="37" t="s">
        <v>24</v>
      </c>
      <c r="D2441" s="20" t="s">
        <v>8682</v>
      </c>
      <c r="E2441" s="20" t="s">
        <v>8683</v>
      </c>
      <c r="F2441" s="19" t="s">
        <v>27</v>
      </c>
      <c r="G2441" s="19" t="s">
        <v>28</v>
      </c>
      <c r="H2441" s="37"/>
      <c r="I2441" s="21" t="s">
        <v>29</v>
      </c>
      <c r="J2441" s="21" t="s">
        <v>29</v>
      </c>
      <c r="K2441" s="22" t="s">
        <v>8684</v>
      </c>
      <c r="L2441" s="56">
        <v>45090</v>
      </c>
      <c r="O2441" s="42"/>
      <c r="P2441" s="40"/>
      <c r="Q2441" s="61"/>
      <c r="R2441" s="61"/>
      <c r="S2441" s="40"/>
      <c r="T2441" s="38"/>
      <c r="U2441" s="38"/>
      <c r="V2441" s="38"/>
      <c r="W2441" s="60"/>
      <c r="AB2441" s="42"/>
      <c r="AC2441" s="35"/>
      <c r="AD2441" s="38"/>
      <c r="AE2441" s="38"/>
      <c r="AF2441" s="38"/>
      <c r="AG2441" s="38"/>
      <c r="AH2441" s="60"/>
    </row>
    <row r="2442" spans="1:34" ht="15.75" customHeight="1">
      <c r="A2442" s="35"/>
      <c r="B2442" s="18" t="s">
        <v>8685</v>
      </c>
      <c r="C2442" s="37" t="s">
        <v>46</v>
      </c>
      <c r="D2442" s="20" t="s">
        <v>8686</v>
      </c>
      <c r="E2442" s="20" t="s">
        <v>8687</v>
      </c>
      <c r="F2442" s="37" t="s">
        <v>49</v>
      </c>
      <c r="G2442" s="19" t="s">
        <v>50</v>
      </c>
      <c r="H2442" s="37"/>
      <c r="I2442" s="21" t="s">
        <v>29</v>
      </c>
      <c r="J2442" s="21" t="s">
        <v>29</v>
      </c>
      <c r="K2442" s="22" t="s">
        <v>8688</v>
      </c>
      <c r="L2442" s="56">
        <v>45090</v>
      </c>
      <c r="O2442" s="42"/>
      <c r="P2442" s="40"/>
      <c r="Q2442" s="61"/>
      <c r="R2442" s="61"/>
      <c r="S2442" s="40"/>
      <c r="T2442" s="38"/>
      <c r="U2442" s="38"/>
      <c r="V2442" s="38"/>
      <c r="W2442" s="60"/>
      <c r="AB2442" s="42"/>
      <c r="AC2442" s="35"/>
      <c r="AD2442" s="38"/>
      <c r="AE2442" s="38"/>
      <c r="AF2442" s="38"/>
      <c r="AG2442" s="38"/>
      <c r="AH2442" s="60"/>
    </row>
    <row r="2443" spans="1:34" ht="15.75" customHeight="1">
      <c r="A2443" s="35"/>
      <c r="B2443" s="18" t="s">
        <v>8689</v>
      </c>
      <c r="C2443" s="37" t="s">
        <v>24</v>
      </c>
      <c r="D2443" s="20" t="s">
        <v>8690</v>
      </c>
      <c r="E2443" s="20" t="s">
        <v>8601</v>
      </c>
      <c r="F2443" s="19" t="s">
        <v>27</v>
      </c>
      <c r="G2443" s="19" t="s">
        <v>28</v>
      </c>
      <c r="H2443" s="37"/>
      <c r="I2443" s="21" t="s">
        <v>29</v>
      </c>
      <c r="J2443" s="21" t="s">
        <v>29</v>
      </c>
      <c r="K2443" s="22" t="s">
        <v>8601</v>
      </c>
      <c r="L2443" s="56">
        <v>45090</v>
      </c>
      <c r="O2443" s="42"/>
      <c r="P2443" s="40"/>
      <c r="Q2443" s="61"/>
      <c r="R2443" s="61"/>
      <c r="S2443" s="40"/>
      <c r="T2443" s="38"/>
      <c r="U2443" s="38"/>
      <c r="V2443" s="38"/>
      <c r="W2443" s="60"/>
      <c r="AB2443" s="42"/>
      <c r="AC2443" s="35"/>
      <c r="AD2443" s="38"/>
      <c r="AE2443" s="38"/>
      <c r="AF2443" s="38"/>
      <c r="AG2443" s="38"/>
      <c r="AH2443" s="60"/>
    </row>
    <row r="2444" spans="1:34" ht="15.75" customHeight="1">
      <c r="A2444" s="35"/>
      <c r="B2444" s="18" t="s">
        <v>8691</v>
      </c>
      <c r="C2444" s="37" t="s">
        <v>24</v>
      </c>
      <c r="D2444" s="20" t="s">
        <v>8692</v>
      </c>
      <c r="E2444" s="20" t="s">
        <v>8613</v>
      </c>
      <c r="F2444" s="19" t="s">
        <v>27</v>
      </c>
      <c r="G2444" s="19" t="s">
        <v>28</v>
      </c>
      <c r="H2444" s="37"/>
      <c r="I2444" s="21" t="s">
        <v>29</v>
      </c>
      <c r="J2444" s="21" t="s">
        <v>29</v>
      </c>
      <c r="K2444" s="22" t="s">
        <v>8613</v>
      </c>
      <c r="L2444" s="56">
        <v>45090</v>
      </c>
      <c r="O2444" s="42"/>
      <c r="P2444" s="40"/>
      <c r="Q2444" s="61"/>
      <c r="R2444" s="61"/>
      <c r="S2444" s="40"/>
      <c r="T2444" s="38"/>
      <c r="U2444" s="38"/>
      <c r="V2444" s="38"/>
      <c r="W2444" s="60"/>
      <c r="AB2444" s="42"/>
      <c r="AC2444" s="35"/>
      <c r="AD2444" s="38"/>
      <c r="AE2444" s="38"/>
      <c r="AF2444" s="38"/>
      <c r="AG2444" s="38"/>
      <c r="AH2444" s="60"/>
    </row>
    <row r="2445" spans="1:34" ht="15.75" customHeight="1">
      <c r="A2445" s="35"/>
      <c r="B2445" s="29" t="s">
        <v>8693</v>
      </c>
      <c r="C2445" s="37" t="s">
        <v>87</v>
      </c>
      <c r="D2445" s="20" t="s">
        <v>8694</v>
      </c>
      <c r="E2445" s="20" t="s">
        <v>8695</v>
      </c>
      <c r="F2445" s="19" t="s">
        <v>90</v>
      </c>
      <c r="G2445" s="19" t="s">
        <v>91</v>
      </c>
      <c r="H2445" s="37"/>
      <c r="I2445" s="21" t="s">
        <v>29</v>
      </c>
      <c r="J2445" s="21" t="s">
        <v>29</v>
      </c>
      <c r="K2445" s="22" t="s">
        <v>8696</v>
      </c>
      <c r="L2445" s="56"/>
      <c r="O2445" s="42"/>
      <c r="P2445" s="40"/>
      <c r="Q2445" s="61"/>
      <c r="R2445" s="61"/>
      <c r="S2445" s="40"/>
      <c r="T2445" s="38"/>
      <c r="U2445" s="38"/>
      <c r="V2445" s="38"/>
      <c r="W2445" s="60"/>
      <c r="AB2445" s="42"/>
      <c r="AC2445" s="35"/>
      <c r="AD2445" s="38"/>
      <c r="AE2445" s="38"/>
      <c r="AF2445" s="38"/>
      <c r="AG2445" s="38"/>
      <c r="AH2445" s="60"/>
    </row>
    <row r="2446" spans="1:34" ht="15.75" customHeight="1">
      <c r="A2446" s="35"/>
      <c r="B2446" s="36" t="s">
        <v>8697</v>
      </c>
      <c r="C2446" s="19" t="s">
        <v>121</v>
      </c>
      <c r="D2446" s="20" t="s">
        <v>8698</v>
      </c>
      <c r="E2446" s="20" t="s">
        <v>8604</v>
      </c>
      <c r="F2446" s="19" t="s">
        <v>90</v>
      </c>
      <c r="G2446" s="37" t="s">
        <v>452</v>
      </c>
      <c r="H2446" s="37"/>
      <c r="I2446" s="21" t="s">
        <v>29</v>
      </c>
      <c r="J2446" s="21" t="s">
        <v>452</v>
      </c>
      <c r="K2446" s="22" t="s">
        <v>8604</v>
      </c>
      <c r="L2446" s="56">
        <v>45090</v>
      </c>
      <c r="O2446" s="42"/>
      <c r="P2446" s="40"/>
      <c r="Q2446" s="61"/>
      <c r="R2446" s="61"/>
      <c r="S2446" s="40"/>
      <c r="T2446" s="38"/>
      <c r="U2446" s="38"/>
      <c r="V2446" s="38"/>
      <c r="W2446" s="60"/>
      <c r="AB2446" s="42"/>
      <c r="AC2446" s="35"/>
      <c r="AD2446" s="38"/>
      <c r="AE2446" s="38"/>
      <c r="AF2446" s="38"/>
      <c r="AG2446" s="38"/>
      <c r="AH2446" s="60"/>
    </row>
    <row r="2447" spans="1:34" ht="15.75" customHeight="1">
      <c r="A2447" s="35"/>
      <c r="B2447" s="18" t="s">
        <v>8699</v>
      </c>
      <c r="C2447" s="37" t="s">
        <v>24</v>
      </c>
      <c r="D2447" s="20" t="s">
        <v>8700</v>
      </c>
      <c r="E2447" s="20" t="s">
        <v>8701</v>
      </c>
      <c r="F2447" s="19" t="s">
        <v>27</v>
      </c>
      <c r="G2447" s="19" t="s">
        <v>28</v>
      </c>
      <c r="H2447" s="37"/>
      <c r="I2447" s="21" t="s">
        <v>29</v>
      </c>
      <c r="J2447" s="21" t="s">
        <v>29</v>
      </c>
      <c r="K2447" s="22" t="s">
        <v>8702</v>
      </c>
      <c r="L2447" s="56">
        <v>45090</v>
      </c>
      <c r="O2447" s="42"/>
      <c r="P2447" s="40"/>
      <c r="Q2447" s="61"/>
      <c r="R2447" s="61"/>
      <c r="S2447" s="40"/>
      <c r="T2447" s="38"/>
      <c r="U2447" s="38"/>
      <c r="V2447" s="38"/>
      <c r="W2447" s="60"/>
      <c r="AB2447" s="42"/>
      <c r="AC2447" s="35"/>
      <c r="AD2447" s="38"/>
      <c r="AE2447" s="38"/>
      <c r="AF2447" s="38"/>
      <c r="AG2447" s="38"/>
      <c r="AH2447" s="60"/>
    </row>
    <row r="2448" spans="1:34" ht="15.75" customHeight="1">
      <c r="A2448" s="35"/>
      <c r="B2448" s="18" t="s">
        <v>8703</v>
      </c>
      <c r="C2448" s="37" t="s">
        <v>87</v>
      </c>
      <c r="D2448" s="20" t="s">
        <v>8704</v>
      </c>
      <c r="E2448" s="20" t="s">
        <v>8705</v>
      </c>
      <c r="F2448" s="19" t="s">
        <v>90</v>
      </c>
      <c r="G2448" s="19" t="s">
        <v>91</v>
      </c>
      <c r="H2448" s="19" t="s">
        <v>36</v>
      </c>
      <c r="I2448" s="21" t="s">
        <v>29</v>
      </c>
      <c r="J2448" s="21" t="s">
        <v>29</v>
      </c>
      <c r="K2448" s="22" t="s">
        <v>8706</v>
      </c>
      <c r="L2448" s="56">
        <v>45090</v>
      </c>
      <c r="O2448" s="42"/>
      <c r="P2448" s="40"/>
      <c r="Q2448" s="61"/>
      <c r="R2448" s="61"/>
      <c r="S2448" s="40"/>
      <c r="T2448" s="38"/>
      <c r="U2448" s="38"/>
      <c r="V2448" s="38"/>
      <c r="W2448" s="60"/>
      <c r="AB2448" s="42"/>
      <c r="AC2448" s="35"/>
      <c r="AD2448" s="38"/>
      <c r="AE2448" s="38"/>
      <c r="AF2448" s="38"/>
      <c r="AG2448" s="38"/>
      <c r="AH2448" s="60"/>
    </row>
    <row r="2449" spans="1:34" ht="15.75" customHeight="1">
      <c r="A2449" s="35"/>
      <c r="B2449" s="18" t="s">
        <v>8707</v>
      </c>
      <c r="C2449" s="37" t="s">
        <v>46</v>
      </c>
      <c r="D2449" s="20" t="s">
        <v>8708</v>
      </c>
      <c r="E2449" s="20" t="s">
        <v>8709</v>
      </c>
      <c r="F2449" s="37" t="s">
        <v>49</v>
      </c>
      <c r="G2449" s="19" t="s">
        <v>50</v>
      </c>
      <c r="H2449" s="37"/>
      <c r="I2449" s="21" t="s">
        <v>29</v>
      </c>
      <c r="J2449" s="21" t="s">
        <v>29</v>
      </c>
      <c r="K2449" s="22" t="s">
        <v>8613</v>
      </c>
      <c r="L2449" s="56">
        <v>45090</v>
      </c>
      <c r="O2449" s="42"/>
      <c r="P2449" s="40"/>
      <c r="Q2449" s="61"/>
      <c r="R2449" s="61"/>
      <c r="S2449" s="40"/>
      <c r="T2449" s="38"/>
      <c r="U2449" s="38"/>
      <c r="V2449" s="38"/>
      <c r="W2449" s="60"/>
      <c r="AB2449" s="42"/>
      <c r="AC2449" s="35"/>
      <c r="AD2449" s="38"/>
      <c r="AE2449" s="38"/>
      <c r="AF2449" s="38"/>
      <c r="AG2449" s="38"/>
      <c r="AH2449" s="60"/>
    </row>
    <row r="2450" spans="1:34" ht="15.75" customHeight="1">
      <c r="A2450" s="35"/>
      <c r="B2450" s="18" t="s">
        <v>8710</v>
      </c>
      <c r="C2450" s="37" t="s">
        <v>24</v>
      </c>
      <c r="D2450" s="20" t="s">
        <v>8711</v>
      </c>
      <c r="E2450" s="20" t="s">
        <v>8594</v>
      </c>
      <c r="F2450" s="19" t="s">
        <v>27</v>
      </c>
      <c r="G2450" s="19" t="s">
        <v>28</v>
      </c>
      <c r="H2450" s="37"/>
      <c r="I2450" s="21" t="s">
        <v>29</v>
      </c>
      <c r="J2450" s="21" t="s">
        <v>29</v>
      </c>
      <c r="K2450" s="22" t="s">
        <v>8594</v>
      </c>
      <c r="L2450" s="56">
        <v>45090</v>
      </c>
      <c r="O2450" s="42"/>
      <c r="P2450" s="40"/>
      <c r="Q2450" s="61"/>
      <c r="R2450" s="61"/>
      <c r="S2450" s="40"/>
      <c r="T2450" s="38"/>
      <c r="U2450" s="38"/>
      <c r="V2450" s="38"/>
      <c r="W2450" s="60"/>
      <c r="AB2450" s="42"/>
      <c r="AC2450" s="35"/>
      <c r="AD2450" s="38"/>
      <c r="AE2450" s="38"/>
      <c r="AF2450" s="38"/>
      <c r="AG2450" s="38"/>
      <c r="AH2450" s="60"/>
    </row>
    <row r="2451" spans="1:34" ht="15.75" customHeight="1">
      <c r="A2451" s="35"/>
      <c r="B2451" s="29" t="s">
        <v>8712</v>
      </c>
      <c r="C2451" s="37" t="s">
        <v>24</v>
      </c>
      <c r="D2451" s="20" t="s">
        <v>8713</v>
      </c>
      <c r="E2451" s="20" t="s">
        <v>8714</v>
      </c>
      <c r="F2451" s="19" t="s">
        <v>27</v>
      </c>
      <c r="G2451" s="19" t="s">
        <v>28</v>
      </c>
      <c r="H2451" s="37"/>
      <c r="I2451" s="21" t="s">
        <v>29</v>
      </c>
      <c r="J2451" s="21" t="s">
        <v>29</v>
      </c>
      <c r="K2451" s="22" t="s">
        <v>8715</v>
      </c>
      <c r="L2451" s="56"/>
      <c r="O2451" s="42"/>
      <c r="P2451" s="40"/>
      <c r="Q2451" s="61"/>
      <c r="R2451" s="61"/>
      <c r="S2451" s="40"/>
      <c r="T2451" s="38"/>
      <c r="U2451" s="38"/>
      <c r="V2451" s="38"/>
      <c r="W2451" s="60"/>
      <c r="AB2451" s="42"/>
      <c r="AC2451" s="35"/>
      <c r="AD2451" s="38"/>
      <c r="AE2451" s="38"/>
      <c r="AF2451" s="38"/>
      <c r="AG2451" s="38"/>
      <c r="AH2451" s="60"/>
    </row>
    <row r="2452" spans="1:34" ht="15.75" customHeight="1">
      <c r="A2452" s="35"/>
      <c r="B2452" s="18" t="s">
        <v>8716</v>
      </c>
      <c r="C2452" s="37" t="s">
        <v>24</v>
      </c>
      <c r="D2452" s="20" t="s">
        <v>8717</v>
      </c>
      <c r="E2452" s="20" t="s">
        <v>8613</v>
      </c>
      <c r="F2452" s="19" t="s">
        <v>27</v>
      </c>
      <c r="G2452" s="19" t="s">
        <v>28</v>
      </c>
      <c r="H2452" s="37"/>
      <c r="I2452" s="21" t="s">
        <v>29</v>
      </c>
      <c r="J2452" s="21" t="s">
        <v>29</v>
      </c>
      <c r="K2452" s="22" t="s">
        <v>8613</v>
      </c>
      <c r="L2452" s="56">
        <v>45090</v>
      </c>
      <c r="O2452" s="42"/>
      <c r="P2452" s="40"/>
      <c r="Q2452" s="61"/>
      <c r="R2452" s="61"/>
      <c r="S2452" s="40"/>
      <c r="T2452" s="38"/>
      <c r="U2452" s="38"/>
      <c r="V2452" s="38"/>
      <c r="W2452" s="60"/>
      <c r="AB2452" s="42"/>
      <c r="AC2452" s="35"/>
      <c r="AD2452" s="38"/>
      <c r="AE2452" s="38"/>
      <c r="AF2452" s="38"/>
      <c r="AG2452" s="38"/>
      <c r="AH2452" s="60"/>
    </row>
    <row r="2453" spans="1:34" ht="15.75" customHeight="1">
      <c r="A2453" s="35"/>
      <c r="B2453" s="36" t="s">
        <v>8718</v>
      </c>
      <c r="C2453" s="19" t="s">
        <v>121</v>
      </c>
      <c r="D2453" s="20" t="s">
        <v>8719</v>
      </c>
      <c r="E2453" s="20" t="s">
        <v>8663</v>
      </c>
      <c r="F2453" s="19" t="s">
        <v>27</v>
      </c>
      <c r="G2453" s="37" t="s">
        <v>452</v>
      </c>
      <c r="H2453" s="37"/>
      <c r="I2453" s="21" t="s">
        <v>29</v>
      </c>
      <c r="J2453" s="21" t="s">
        <v>452</v>
      </c>
      <c r="K2453" s="22" t="s">
        <v>8663</v>
      </c>
      <c r="L2453" s="56">
        <v>45090</v>
      </c>
      <c r="O2453" s="42"/>
      <c r="P2453" s="40"/>
      <c r="Q2453" s="61"/>
      <c r="R2453" s="61"/>
      <c r="S2453" s="40"/>
      <c r="T2453" s="38"/>
      <c r="U2453" s="38"/>
      <c r="V2453" s="38"/>
      <c r="W2453" s="60"/>
      <c r="AB2453" s="42"/>
      <c r="AC2453" s="35"/>
      <c r="AD2453" s="38"/>
      <c r="AE2453" s="38"/>
      <c r="AF2453" s="38"/>
      <c r="AG2453" s="38"/>
      <c r="AH2453" s="60"/>
    </row>
    <row r="2454" spans="1:34" ht="15.75" customHeight="1">
      <c r="A2454" s="35"/>
      <c r="B2454" s="18" t="s">
        <v>8720</v>
      </c>
      <c r="C2454" s="37" t="s">
        <v>46</v>
      </c>
      <c r="D2454" s="20" t="s">
        <v>8721</v>
      </c>
      <c r="E2454" s="20" t="s">
        <v>8594</v>
      </c>
      <c r="F2454" s="37" t="s">
        <v>49</v>
      </c>
      <c r="G2454" s="19" t="s">
        <v>50</v>
      </c>
      <c r="H2454" s="37"/>
      <c r="I2454" s="21" t="s">
        <v>29</v>
      </c>
      <c r="J2454" s="21" t="s">
        <v>29</v>
      </c>
      <c r="K2454" s="22" t="s">
        <v>8594</v>
      </c>
      <c r="L2454" s="56">
        <v>45090</v>
      </c>
      <c r="O2454" s="42"/>
      <c r="P2454" s="40"/>
      <c r="Q2454" s="61"/>
      <c r="R2454" s="61"/>
      <c r="S2454" s="40"/>
      <c r="T2454" s="38"/>
      <c r="U2454" s="38"/>
      <c r="V2454" s="38"/>
      <c r="W2454" s="60"/>
      <c r="AB2454" s="42"/>
      <c r="AC2454" s="35"/>
      <c r="AD2454" s="38"/>
      <c r="AE2454" s="38"/>
      <c r="AF2454" s="38"/>
      <c r="AG2454" s="38"/>
      <c r="AH2454" s="60"/>
    </row>
    <row r="2455" spans="1:34" ht="15.75" customHeight="1">
      <c r="A2455" s="35"/>
      <c r="B2455" s="18" t="s">
        <v>8722</v>
      </c>
      <c r="C2455" s="37" t="s">
        <v>24</v>
      </c>
      <c r="D2455" s="20" t="s">
        <v>8723</v>
      </c>
      <c r="E2455" s="20" t="s">
        <v>8724</v>
      </c>
      <c r="F2455" s="19" t="s">
        <v>27</v>
      </c>
      <c r="G2455" s="19" t="s">
        <v>28</v>
      </c>
      <c r="H2455" s="19" t="s">
        <v>36</v>
      </c>
      <c r="I2455" s="21" t="s">
        <v>29</v>
      </c>
      <c r="J2455" s="21" t="s">
        <v>29</v>
      </c>
      <c r="K2455" s="22" t="s">
        <v>8724</v>
      </c>
      <c r="L2455" s="56">
        <v>45090</v>
      </c>
      <c r="O2455" s="42"/>
      <c r="P2455" s="40"/>
      <c r="Q2455" s="61"/>
      <c r="R2455" s="61"/>
      <c r="S2455" s="40"/>
      <c r="T2455" s="38"/>
      <c r="U2455" s="38"/>
      <c r="V2455" s="38"/>
      <c r="W2455" s="60"/>
      <c r="AB2455" s="42"/>
      <c r="AC2455" s="35"/>
      <c r="AD2455" s="38"/>
      <c r="AE2455" s="38"/>
      <c r="AF2455" s="38"/>
      <c r="AG2455" s="38"/>
      <c r="AH2455" s="60"/>
    </row>
    <row r="2456" spans="1:34" ht="15.75" customHeight="1">
      <c r="A2456" s="35"/>
      <c r="B2456" s="18" t="s">
        <v>8725</v>
      </c>
      <c r="C2456" s="37" t="s">
        <v>87</v>
      </c>
      <c r="D2456" s="20" t="s">
        <v>8726</v>
      </c>
      <c r="E2456" s="20" t="s">
        <v>8727</v>
      </c>
      <c r="F2456" s="19" t="s">
        <v>90</v>
      </c>
      <c r="G2456" s="19" t="s">
        <v>91</v>
      </c>
      <c r="H2456" s="37"/>
      <c r="I2456" s="21" t="s">
        <v>29</v>
      </c>
      <c r="J2456" s="21" t="s">
        <v>29</v>
      </c>
      <c r="K2456" s="22" t="s">
        <v>8728</v>
      </c>
      <c r="L2456" s="56">
        <v>45090</v>
      </c>
      <c r="O2456" s="42"/>
      <c r="P2456" s="40"/>
      <c r="Q2456" s="61"/>
      <c r="R2456" s="61"/>
      <c r="S2456" s="40"/>
      <c r="T2456" s="38"/>
      <c r="U2456" s="38"/>
      <c r="V2456" s="38"/>
      <c r="W2456" s="60"/>
      <c r="AB2456" s="42"/>
      <c r="AC2456" s="35"/>
      <c r="AD2456" s="38"/>
      <c r="AE2456" s="38"/>
      <c r="AF2456" s="38"/>
      <c r="AG2456" s="38"/>
      <c r="AH2456" s="60"/>
    </row>
    <row r="2457" spans="1:34" ht="15.75" customHeight="1">
      <c r="A2457" s="35"/>
      <c r="B2457" s="36" t="s">
        <v>8729</v>
      </c>
      <c r="C2457" s="19" t="s">
        <v>121</v>
      </c>
      <c r="D2457" s="20" t="s">
        <v>8730</v>
      </c>
      <c r="E2457" s="20" t="s">
        <v>8731</v>
      </c>
      <c r="F2457" s="19" t="s">
        <v>90</v>
      </c>
      <c r="G2457" s="37" t="s">
        <v>452</v>
      </c>
      <c r="H2457" s="37"/>
      <c r="I2457" s="21" t="s">
        <v>29</v>
      </c>
      <c r="J2457" s="21" t="s">
        <v>452</v>
      </c>
      <c r="K2457" s="22" t="s">
        <v>8732</v>
      </c>
      <c r="L2457" s="56">
        <v>45090</v>
      </c>
      <c r="O2457" s="42"/>
      <c r="P2457" s="40"/>
      <c r="Q2457" s="61"/>
      <c r="R2457" s="61"/>
      <c r="S2457" s="40"/>
      <c r="T2457" s="38"/>
      <c r="U2457" s="38"/>
      <c r="V2457" s="38"/>
      <c r="W2457" s="60"/>
      <c r="AB2457" s="42"/>
      <c r="AC2457" s="35"/>
      <c r="AD2457" s="38"/>
      <c r="AE2457" s="38"/>
      <c r="AF2457" s="38"/>
      <c r="AG2457" s="38"/>
      <c r="AH2457" s="60"/>
    </row>
    <row r="2458" spans="1:34" ht="15.75" customHeight="1">
      <c r="A2458" s="35"/>
      <c r="B2458" s="18" t="s">
        <v>8733</v>
      </c>
      <c r="C2458" s="37" t="s">
        <v>24</v>
      </c>
      <c r="D2458" s="20" t="s">
        <v>8734</v>
      </c>
      <c r="E2458" s="20" t="s">
        <v>8735</v>
      </c>
      <c r="F2458" s="19" t="s">
        <v>27</v>
      </c>
      <c r="G2458" s="19" t="s">
        <v>28</v>
      </c>
      <c r="H2458" s="37"/>
      <c r="I2458" s="21" t="s">
        <v>29</v>
      </c>
      <c r="J2458" s="21" t="s">
        <v>29</v>
      </c>
      <c r="K2458" s="22" t="s">
        <v>8736</v>
      </c>
      <c r="L2458" s="56">
        <v>45090</v>
      </c>
      <c r="O2458" s="42"/>
      <c r="P2458" s="40"/>
      <c r="Q2458" s="61"/>
      <c r="R2458" s="61"/>
      <c r="S2458" s="40"/>
      <c r="T2458" s="38"/>
      <c r="U2458" s="38"/>
      <c r="V2458" s="38"/>
      <c r="W2458" s="60"/>
      <c r="AB2458" s="42"/>
      <c r="AC2458" s="35"/>
      <c r="AD2458" s="38"/>
      <c r="AE2458" s="38"/>
      <c r="AF2458" s="38"/>
      <c r="AG2458" s="38"/>
      <c r="AH2458" s="60"/>
    </row>
    <row r="2459" spans="1:34" ht="15.75" customHeight="1">
      <c r="A2459" s="35"/>
      <c r="B2459" s="18" t="s">
        <v>8737</v>
      </c>
      <c r="C2459" s="37" t="s">
        <v>46</v>
      </c>
      <c r="D2459" s="20" t="s">
        <v>8738</v>
      </c>
      <c r="E2459" s="20" t="s">
        <v>8739</v>
      </c>
      <c r="F2459" s="37" t="s">
        <v>49</v>
      </c>
      <c r="G2459" s="19" t="s">
        <v>50</v>
      </c>
      <c r="H2459" s="37"/>
      <c r="I2459" s="21" t="s">
        <v>29</v>
      </c>
      <c r="J2459" s="21" t="s">
        <v>29</v>
      </c>
      <c r="K2459" s="22" t="s">
        <v>8740</v>
      </c>
      <c r="L2459" s="56">
        <v>45090</v>
      </c>
      <c r="O2459" s="42"/>
      <c r="P2459" s="40"/>
      <c r="Q2459" s="61"/>
      <c r="R2459" s="61"/>
      <c r="S2459" s="40"/>
      <c r="T2459" s="38"/>
      <c r="U2459" s="38"/>
      <c r="V2459" s="38"/>
      <c r="W2459" s="60"/>
      <c r="AB2459" s="42"/>
      <c r="AC2459" s="35"/>
      <c r="AD2459" s="38"/>
      <c r="AE2459" s="38"/>
      <c r="AF2459" s="38"/>
      <c r="AG2459" s="38"/>
      <c r="AH2459" s="60"/>
    </row>
    <row r="2460" spans="1:34" ht="15.75" customHeight="1">
      <c r="A2460" s="35"/>
      <c r="B2460" s="18" t="s">
        <v>8741</v>
      </c>
      <c r="C2460" s="37" t="s">
        <v>87</v>
      </c>
      <c r="D2460" s="20" t="s">
        <v>8742</v>
      </c>
      <c r="E2460" s="20" t="s">
        <v>8743</v>
      </c>
      <c r="F2460" s="19" t="s">
        <v>90</v>
      </c>
      <c r="G2460" s="19" t="s">
        <v>91</v>
      </c>
      <c r="H2460" s="37"/>
      <c r="I2460" s="21" t="s">
        <v>29</v>
      </c>
      <c r="J2460" s="21" t="s">
        <v>29</v>
      </c>
      <c r="K2460" s="22" t="s">
        <v>8744</v>
      </c>
      <c r="L2460" s="56">
        <v>45090</v>
      </c>
      <c r="O2460" s="42"/>
      <c r="P2460" s="40"/>
      <c r="Q2460" s="61"/>
      <c r="R2460" s="61"/>
      <c r="S2460" s="40"/>
      <c r="T2460" s="38"/>
      <c r="U2460" s="38"/>
      <c r="V2460" s="38"/>
      <c r="W2460" s="60"/>
      <c r="AB2460" s="42"/>
      <c r="AC2460" s="35"/>
      <c r="AD2460" s="38"/>
      <c r="AE2460" s="38"/>
      <c r="AF2460" s="38"/>
      <c r="AG2460" s="38"/>
      <c r="AH2460" s="60"/>
    </row>
    <row r="2461" spans="1:34" ht="15.75" customHeight="1">
      <c r="A2461" s="35"/>
      <c r="B2461" s="18" t="s">
        <v>8745</v>
      </c>
      <c r="C2461" s="37" t="s">
        <v>24</v>
      </c>
      <c r="D2461" s="20" t="s">
        <v>8746</v>
      </c>
      <c r="E2461" s="20" t="s">
        <v>8594</v>
      </c>
      <c r="F2461" s="19" t="s">
        <v>27</v>
      </c>
      <c r="G2461" s="19" t="s">
        <v>28</v>
      </c>
      <c r="H2461" s="37"/>
      <c r="I2461" s="21" t="s">
        <v>29</v>
      </c>
      <c r="J2461" s="21" t="s">
        <v>29</v>
      </c>
      <c r="K2461" s="22" t="s">
        <v>8594</v>
      </c>
      <c r="L2461" s="56">
        <v>45090</v>
      </c>
      <c r="O2461" s="42"/>
      <c r="P2461" s="40"/>
      <c r="Q2461" s="61"/>
      <c r="R2461" s="61"/>
      <c r="S2461" s="40"/>
      <c r="T2461" s="38"/>
      <c r="U2461" s="38"/>
      <c r="V2461" s="38"/>
      <c r="W2461" s="60"/>
      <c r="AB2461" s="42"/>
      <c r="AC2461" s="35"/>
      <c r="AD2461" s="38"/>
      <c r="AE2461" s="38"/>
      <c r="AF2461" s="38"/>
      <c r="AG2461" s="38"/>
      <c r="AH2461" s="60"/>
    </row>
    <row r="2462" spans="1:34" ht="15.75" customHeight="1">
      <c r="A2462" s="35"/>
      <c r="B2462" s="29" t="s">
        <v>8747</v>
      </c>
      <c r="C2462" s="37" t="s">
        <v>24</v>
      </c>
      <c r="D2462" s="20" t="s">
        <v>8748</v>
      </c>
      <c r="E2462" s="20" t="s">
        <v>8749</v>
      </c>
      <c r="F2462" s="19" t="s">
        <v>27</v>
      </c>
      <c r="G2462" s="19" t="s">
        <v>28</v>
      </c>
      <c r="H2462" s="37"/>
      <c r="I2462" s="21" t="s">
        <v>29</v>
      </c>
      <c r="J2462" s="21" t="s">
        <v>29</v>
      </c>
      <c r="K2462" s="22" t="s">
        <v>8750</v>
      </c>
      <c r="L2462" s="113"/>
      <c r="O2462" s="42"/>
      <c r="P2462" s="40"/>
      <c r="Q2462" s="61"/>
      <c r="R2462" s="61"/>
      <c r="S2462" s="40"/>
      <c r="T2462" s="38"/>
      <c r="U2462" s="38"/>
      <c r="V2462" s="38"/>
      <c r="W2462" s="60"/>
      <c r="AB2462" s="42"/>
      <c r="AC2462" s="35"/>
      <c r="AD2462" s="38"/>
      <c r="AE2462" s="38"/>
      <c r="AF2462" s="38"/>
      <c r="AG2462" s="38"/>
      <c r="AH2462" s="60"/>
    </row>
    <row r="2463" spans="1:34" ht="15.75" customHeight="1">
      <c r="A2463" s="35"/>
      <c r="B2463" s="38"/>
      <c r="C2463" s="37"/>
      <c r="D2463" s="20"/>
      <c r="E2463" s="20"/>
      <c r="F2463" s="37"/>
      <c r="G2463" s="37"/>
      <c r="H2463" s="37"/>
      <c r="I2463" s="21"/>
      <c r="J2463" s="21"/>
      <c r="K2463" s="22"/>
      <c r="L2463" s="56"/>
      <c r="M2463" s="40"/>
      <c r="N2463" s="40"/>
      <c r="O2463" s="42"/>
      <c r="P2463" s="40"/>
      <c r="Q2463" s="61"/>
      <c r="R2463" s="61"/>
      <c r="S2463" s="40"/>
      <c r="T2463" s="38"/>
      <c r="U2463" s="38"/>
      <c r="V2463" s="38"/>
      <c r="W2463" s="60"/>
      <c r="AB2463" s="42"/>
      <c r="AC2463" s="35"/>
      <c r="AD2463" s="38"/>
      <c r="AE2463" s="38"/>
      <c r="AF2463" s="38"/>
      <c r="AG2463" s="38"/>
      <c r="AH2463" s="60"/>
    </row>
    <row r="2464" spans="1:34" ht="15.75" customHeight="1">
      <c r="A2464" s="35" t="s">
        <v>8751</v>
      </c>
      <c r="B2464" s="18" t="s">
        <v>8752</v>
      </c>
      <c r="C2464" s="37" t="s">
        <v>24</v>
      </c>
      <c r="D2464" s="20" t="s">
        <v>8753</v>
      </c>
      <c r="E2464" s="20" t="s">
        <v>8754</v>
      </c>
      <c r="F2464" s="19" t="s">
        <v>27</v>
      </c>
      <c r="G2464" s="19" t="s">
        <v>28</v>
      </c>
      <c r="H2464" s="37"/>
      <c r="I2464" s="21" t="s">
        <v>29</v>
      </c>
      <c r="J2464" s="21" t="s">
        <v>29</v>
      </c>
      <c r="K2464" s="22" t="s">
        <v>8755</v>
      </c>
      <c r="L2464" s="56">
        <v>45090</v>
      </c>
      <c r="M2464" s="40"/>
      <c r="N2464" s="40"/>
      <c r="O2464" s="42"/>
      <c r="P2464" s="40"/>
      <c r="Q2464" s="61"/>
      <c r="R2464" s="61"/>
      <c r="S2464" s="40"/>
      <c r="T2464" s="38"/>
      <c r="U2464" s="38"/>
      <c r="V2464" s="38"/>
      <c r="W2464" s="60"/>
      <c r="AB2464" s="42"/>
      <c r="AC2464" s="35"/>
      <c r="AD2464" s="38"/>
      <c r="AE2464" s="38"/>
      <c r="AF2464" s="38"/>
      <c r="AG2464" s="38"/>
      <c r="AH2464" s="60"/>
    </row>
    <row r="2465" spans="1:34" ht="15.75" customHeight="1">
      <c r="A2465" s="54" t="s">
        <v>2714</v>
      </c>
      <c r="B2465" s="18" t="s">
        <v>8756</v>
      </c>
      <c r="C2465" s="37" t="s">
        <v>87</v>
      </c>
      <c r="D2465" s="20" t="s">
        <v>8757</v>
      </c>
      <c r="E2465" s="20" t="s">
        <v>8758</v>
      </c>
      <c r="F2465" s="19" t="s">
        <v>90</v>
      </c>
      <c r="G2465" s="19" t="s">
        <v>91</v>
      </c>
      <c r="H2465" s="37"/>
      <c r="I2465" s="21" t="s">
        <v>29</v>
      </c>
      <c r="J2465" s="21" t="s">
        <v>29</v>
      </c>
      <c r="K2465" s="22" t="s">
        <v>8759</v>
      </c>
      <c r="L2465" s="56">
        <v>45090</v>
      </c>
      <c r="M2465" s="40"/>
      <c r="N2465" s="40"/>
      <c r="O2465" s="42"/>
      <c r="P2465" s="40"/>
      <c r="Q2465" s="61"/>
      <c r="R2465" s="61"/>
      <c r="S2465" s="40"/>
      <c r="T2465" s="38"/>
      <c r="U2465" s="38"/>
      <c r="V2465" s="38"/>
      <c r="W2465" s="60"/>
      <c r="AB2465" s="42"/>
      <c r="AC2465" s="35"/>
      <c r="AD2465" s="38"/>
      <c r="AE2465" s="38"/>
      <c r="AF2465" s="38"/>
      <c r="AG2465" s="38"/>
      <c r="AH2465" s="60"/>
    </row>
    <row r="2466" spans="1:34" ht="15.75" customHeight="1">
      <c r="A2466" s="50" t="s">
        <v>39</v>
      </c>
      <c r="B2466" s="18" t="s">
        <v>8760</v>
      </c>
      <c r="C2466" s="37" t="s">
        <v>46</v>
      </c>
      <c r="D2466" s="20" t="s">
        <v>8761</v>
      </c>
      <c r="E2466" s="20" t="s">
        <v>8762</v>
      </c>
      <c r="F2466" s="37" t="s">
        <v>49</v>
      </c>
      <c r="G2466" s="19" t="s">
        <v>50</v>
      </c>
      <c r="H2466" s="37"/>
      <c r="I2466" s="21" t="s">
        <v>29</v>
      </c>
      <c r="J2466" s="21" t="s">
        <v>29</v>
      </c>
      <c r="K2466" s="22" t="s">
        <v>8763</v>
      </c>
      <c r="L2466" s="56">
        <v>45090</v>
      </c>
      <c r="M2466" s="40"/>
      <c r="N2466" s="40"/>
      <c r="O2466" s="42"/>
      <c r="P2466" s="40"/>
      <c r="Q2466" s="61"/>
      <c r="R2466" s="61"/>
      <c r="S2466" s="40"/>
      <c r="T2466" s="38"/>
      <c r="U2466" s="38"/>
      <c r="V2466" s="38"/>
      <c r="W2466" s="60"/>
      <c r="AB2466" s="42"/>
      <c r="AC2466" s="35"/>
      <c r="AD2466" s="38"/>
      <c r="AE2466" s="38"/>
      <c r="AF2466" s="38"/>
      <c r="AG2466" s="38"/>
      <c r="AH2466" s="60"/>
    </row>
    <row r="2467" spans="1:34" ht="15.75" customHeight="1">
      <c r="A2467" s="35" t="s">
        <v>8508</v>
      </c>
      <c r="B2467" s="18" t="s">
        <v>8764</v>
      </c>
      <c r="C2467" s="37" t="s">
        <v>24</v>
      </c>
      <c r="D2467" s="20" t="s">
        <v>8765</v>
      </c>
      <c r="E2467" s="20" t="s">
        <v>8766</v>
      </c>
      <c r="F2467" s="19" t="s">
        <v>27</v>
      </c>
      <c r="G2467" s="19" t="s">
        <v>28</v>
      </c>
      <c r="H2467" s="37"/>
      <c r="I2467" s="21" t="s">
        <v>29</v>
      </c>
      <c r="J2467" s="21" t="s">
        <v>29</v>
      </c>
      <c r="K2467" s="22" t="s">
        <v>8767</v>
      </c>
      <c r="L2467" s="56">
        <v>45090</v>
      </c>
      <c r="M2467" s="40"/>
      <c r="N2467" s="40"/>
      <c r="O2467" s="42"/>
      <c r="P2467" s="40"/>
      <c r="Q2467" s="61"/>
      <c r="R2467" s="61"/>
      <c r="S2467" s="40"/>
      <c r="T2467" s="38"/>
      <c r="U2467" s="38"/>
      <c r="V2467" s="38"/>
      <c r="W2467" s="60"/>
      <c r="AB2467" s="42"/>
      <c r="AC2467" s="35"/>
      <c r="AD2467" s="38"/>
      <c r="AE2467" s="38"/>
      <c r="AF2467" s="38"/>
      <c r="AG2467" s="38"/>
      <c r="AH2467" s="60"/>
    </row>
    <row r="2468" spans="1:34" ht="15.75" customHeight="1">
      <c r="A2468" s="35" t="s">
        <v>7295</v>
      </c>
      <c r="B2468" s="18" t="s">
        <v>8768</v>
      </c>
      <c r="C2468" s="37" t="s">
        <v>46</v>
      </c>
      <c r="D2468" s="20" t="s">
        <v>8769</v>
      </c>
      <c r="E2468" s="20" t="s">
        <v>8770</v>
      </c>
      <c r="F2468" s="37" t="s">
        <v>49</v>
      </c>
      <c r="G2468" s="19" t="s">
        <v>50</v>
      </c>
      <c r="H2468" s="37"/>
      <c r="I2468" s="21" t="s">
        <v>29</v>
      </c>
      <c r="J2468" s="21" t="s">
        <v>29</v>
      </c>
      <c r="K2468" s="22" t="s">
        <v>8771</v>
      </c>
      <c r="L2468" s="56">
        <v>45090</v>
      </c>
      <c r="M2468" s="40"/>
      <c r="N2468" s="40"/>
      <c r="O2468" s="42"/>
      <c r="P2468" s="40"/>
      <c r="Q2468" s="61"/>
      <c r="R2468" s="61"/>
      <c r="S2468" s="40"/>
      <c r="T2468" s="38"/>
      <c r="U2468" s="38"/>
      <c r="V2468" s="38"/>
      <c r="W2468" s="60"/>
      <c r="AB2468" s="42"/>
      <c r="AC2468" s="35"/>
      <c r="AD2468" s="38"/>
      <c r="AE2468" s="38"/>
      <c r="AF2468" s="38"/>
      <c r="AG2468" s="38"/>
      <c r="AH2468" s="60"/>
    </row>
    <row r="2469" spans="1:34" ht="15.75" customHeight="1">
      <c r="A2469" s="111" t="s">
        <v>56</v>
      </c>
      <c r="B2469" s="18" t="s">
        <v>8772</v>
      </c>
      <c r="C2469" s="37" t="s">
        <v>24</v>
      </c>
      <c r="D2469" s="20" t="s">
        <v>8773</v>
      </c>
      <c r="E2469" s="20" t="s">
        <v>8774</v>
      </c>
      <c r="F2469" s="19" t="s">
        <v>27</v>
      </c>
      <c r="G2469" s="19" t="s">
        <v>28</v>
      </c>
      <c r="H2469" s="37"/>
      <c r="I2469" s="21" t="s">
        <v>29</v>
      </c>
      <c r="J2469" s="21" t="s">
        <v>29</v>
      </c>
      <c r="K2469" s="22" t="s">
        <v>8775</v>
      </c>
      <c r="L2469" s="56">
        <v>45090</v>
      </c>
      <c r="M2469" s="40"/>
      <c r="N2469" s="40"/>
      <c r="O2469" s="42"/>
      <c r="P2469" s="40"/>
      <c r="Q2469" s="61"/>
      <c r="R2469" s="61"/>
      <c r="S2469" s="40"/>
      <c r="T2469" s="38"/>
      <c r="U2469" s="38"/>
      <c r="V2469" s="38"/>
      <c r="W2469" s="60"/>
      <c r="AB2469" s="42"/>
      <c r="AC2469" s="35"/>
      <c r="AD2469" s="38"/>
      <c r="AE2469" s="38"/>
      <c r="AF2469" s="38"/>
      <c r="AG2469" s="38"/>
      <c r="AH2469" s="60"/>
    </row>
    <row r="2470" spans="1:34" ht="15.75" customHeight="1">
      <c r="A2470" s="75">
        <v>65</v>
      </c>
      <c r="B2470" s="18" t="s">
        <v>8776</v>
      </c>
      <c r="C2470" s="37" t="s">
        <v>24</v>
      </c>
      <c r="D2470" s="20" t="s">
        <v>8777</v>
      </c>
      <c r="E2470" s="20" t="s">
        <v>8778</v>
      </c>
      <c r="F2470" s="19" t="s">
        <v>27</v>
      </c>
      <c r="G2470" s="19" t="s">
        <v>28</v>
      </c>
      <c r="H2470" s="37"/>
      <c r="I2470" s="21" t="s">
        <v>29</v>
      </c>
      <c r="J2470" s="21" t="s">
        <v>29</v>
      </c>
      <c r="K2470" s="22" t="s">
        <v>8779</v>
      </c>
      <c r="L2470" s="56">
        <v>45090</v>
      </c>
      <c r="M2470" s="40"/>
      <c r="N2470" s="40"/>
      <c r="O2470" s="42"/>
      <c r="P2470" s="40"/>
      <c r="Q2470" s="61"/>
      <c r="R2470" s="61"/>
      <c r="S2470" s="40"/>
      <c r="T2470" s="38"/>
      <c r="U2470" s="38"/>
      <c r="V2470" s="38"/>
      <c r="W2470" s="60"/>
      <c r="AB2470" s="42"/>
      <c r="AC2470" s="35"/>
      <c r="AD2470" s="38"/>
      <c r="AE2470" s="38"/>
      <c r="AF2470" s="38"/>
      <c r="AG2470" s="38"/>
      <c r="AH2470" s="60"/>
    </row>
    <row r="2471" spans="1:34" ht="15.75" customHeight="1">
      <c r="A2471" s="111" t="s">
        <v>64</v>
      </c>
      <c r="B2471" s="18" t="s">
        <v>8780</v>
      </c>
      <c r="C2471" s="37" t="s">
        <v>24</v>
      </c>
      <c r="D2471" s="20" t="s">
        <v>8781</v>
      </c>
      <c r="E2471" s="20" t="s">
        <v>8782</v>
      </c>
      <c r="F2471" s="19" t="s">
        <v>27</v>
      </c>
      <c r="G2471" s="19" t="s">
        <v>28</v>
      </c>
      <c r="H2471" s="37"/>
      <c r="I2471" s="21" t="s">
        <v>29</v>
      </c>
      <c r="J2471" s="21" t="s">
        <v>29</v>
      </c>
      <c r="K2471" s="22" t="s">
        <v>8783</v>
      </c>
      <c r="L2471" s="56">
        <v>45090</v>
      </c>
      <c r="M2471" s="40"/>
      <c r="N2471" s="40"/>
      <c r="O2471" s="42"/>
      <c r="P2471" s="40"/>
      <c r="Q2471" s="61"/>
      <c r="R2471" s="61"/>
      <c r="S2471" s="40"/>
      <c r="T2471" s="38"/>
      <c r="U2471" s="38"/>
      <c r="V2471" s="38"/>
      <c r="W2471" s="60"/>
      <c r="AB2471" s="42"/>
      <c r="AC2471" s="35"/>
      <c r="AD2471" s="38"/>
      <c r="AE2471" s="38"/>
      <c r="AF2471" s="38"/>
      <c r="AG2471" s="38"/>
      <c r="AH2471" s="60"/>
    </row>
    <row r="2472" spans="1:34" ht="15.75" customHeight="1">
      <c r="A2472" s="75">
        <v>3.4</v>
      </c>
      <c r="B2472" s="18" t="s">
        <v>8784</v>
      </c>
      <c r="C2472" s="37" t="s">
        <v>24</v>
      </c>
      <c r="D2472" s="20" t="s">
        <v>8785</v>
      </c>
      <c r="E2472" s="20" t="s">
        <v>8786</v>
      </c>
      <c r="F2472" s="19" t="s">
        <v>27</v>
      </c>
      <c r="G2472" s="19" t="s">
        <v>28</v>
      </c>
      <c r="H2472" s="37"/>
      <c r="I2472" s="21" t="s">
        <v>29</v>
      </c>
      <c r="J2472" s="21" t="s">
        <v>29</v>
      </c>
      <c r="K2472" s="22" t="s">
        <v>8787</v>
      </c>
      <c r="L2472" s="56">
        <v>45090</v>
      </c>
      <c r="M2472" s="40"/>
      <c r="N2472" s="40"/>
      <c r="O2472" s="42"/>
      <c r="P2472" s="40"/>
      <c r="Q2472" s="61"/>
      <c r="R2472" s="61"/>
      <c r="S2472" s="40"/>
      <c r="T2472" s="38"/>
      <c r="U2472" s="38"/>
      <c r="V2472" s="38"/>
      <c r="W2472" s="60"/>
      <c r="AB2472" s="42"/>
      <c r="AC2472" s="35"/>
      <c r="AD2472" s="38"/>
      <c r="AE2472" s="38"/>
      <c r="AF2472" s="38"/>
      <c r="AG2472" s="38"/>
      <c r="AH2472" s="60"/>
    </row>
    <row r="2473" spans="1:34" ht="15.75" customHeight="1">
      <c r="A2473" s="111" t="s">
        <v>73</v>
      </c>
      <c r="B2473" s="29" t="s">
        <v>8788</v>
      </c>
      <c r="C2473" s="37" t="s">
        <v>24</v>
      </c>
      <c r="D2473" s="20" t="s">
        <v>8789</v>
      </c>
      <c r="E2473" s="20" t="s">
        <v>8790</v>
      </c>
      <c r="F2473" s="19" t="s">
        <v>27</v>
      </c>
      <c r="G2473" s="19" t="s">
        <v>28</v>
      </c>
      <c r="H2473" s="37"/>
      <c r="I2473" s="21" t="s">
        <v>29</v>
      </c>
      <c r="J2473" s="21" t="s">
        <v>29</v>
      </c>
      <c r="K2473" s="22" t="s">
        <v>8791</v>
      </c>
      <c r="L2473" s="56">
        <v>45090</v>
      </c>
      <c r="M2473" s="40"/>
      <c r="N2473" s="40"/>
      <c r="O2473" s="42"/>
      <c r="P2473" s="40"/>
      <c r="Q2473" s="61"/>
      <c r="R2473" s="61"/>
      <c r="S2473" s="40"/>
      <c r="T2473" s="38"/>
      <c r="U2473" s="38"/>
      <c r="V2473" s="38"/>
      <c r="W2473" s="60"/>
      <c r="AB2473" s="42"/>
      <c r="AC2473" s="35"/>
      <c r="AD2473" s="38"/>
      <c r="AE2473" s="38"/>
      <c r="AF2473" s="38"/>
      <c r="AG2473" s="38"/>
      <c r="AH2473" s="60"/>
    </row>
    <row r="2474" spans="1:34" ht="15.75" customHeight="1">
      <c r="A2474" s="75">
        <v>3.6</v>
      </c>
      <c r="B2474" s="18" t="s">
        <v>8792</v>
      </c>
      <c r="C2474" s="37" t="s">
        <v>24</v>
      </c>
      <c r="D2474" s="20" t="s">
        <v>8793</v>
      </c>
      <c r="E2474" s="20" t="s">
        <v>8794</v>
      </c>
      <c r="F2474" s="19" t="s">
        <v>27</v>
      </c>
      <c r="G2474" s="19" t="s">
        <v>28</v>
      </c>
      <c r="H2474" s="37"/>
      <c r="I2474" s="21" t="s">
        <v>29</v>
      </c>
      <c r="J2474" s="21" t="s">
        <v>29</v>
      </c>
      <c r="K2474" s="22" t="s">
        <v>8795</v>
      </c>
      <c r="L2474" s="56">
        <v>45090</v>
      </c>
      <c r="M2474" s="40"/>
      <c r="N2474" s="40"/>
      <c r="O2474" s="42"/>
      <c r="P2474" s="40"/>
      <c r="Q2474" s="61"/>
      <c r="R2474" s="61"/>
      <c r="S2474" s="40"/>
      <c r="T2474" s="38"/>
      <c r="U2474" s="38"/>
      <c r="V2474" s="38"/>
      <c r="W2474" s="60"/>
      <c r="AB2474" s="42"/>
      <c r="AC2474" s="35"/>
      <c r="AD2474" s="38"/>
      <c r="AE2474" s="38"/>
      <c r="AF2474" s="38"/>
      <c r="AG2474" s="38"/>
      <c r="AH2474" s="60"/>
    </row>
    <row r="2475" spans="1:34" ht="15.75" customHeight="1">
      <c r="A2475" s="111" t="s">
        <v>82</v>
      </c>
      <c r="B2475" s="18" t="s">
        <v>8796</v>
      </c>
      <c r="C2475" s="37" t="s">
        <v>24</v>
      </c>
      <c r="D2475" s="20" t="s">
        <v>8797</v>
      </c>
      <c r="E2475" s="20" t="s">
        <v>8798</v>
      </c>
      <c r="F2475" s="19" t="s">
        <v>27</v>
      </c>
      <c r="G2475" s="19" t="s">
        <v>28</v>
      </c>
      <c r="H2475" s="37"/>
      <c r="I2475" s="21" t="s">
        <v>29</v>
      </c>
      <c r="J2475" s="21" t="s">
        <v>29</v>
      </c>
      <c r="K2475" s="22" t="s">
        <v>8799</v>
      </c>
      <c r="L2475" s="56">
        <v>45090</v>
      </c>
      <c r="M2475" s="40"/>
      <c r="N2475" s="40"/>
      <c r="O2475" s="42"/>
      <c r="P2475" s="40"/>
      <c r="Q2475" s="61"/>
      <c r="R2475" s="61"/>
      <c r="S2475" s="40"/>
      <c r="T2475" s="38"/>
      <c r="U2475" s="38"/>
      <c r="V2475" s="38"/>
      <c r="W2475" s="60"/>
      <c r="AB2475" s="42"/>
      <c r="AC2475" s="35"/>
      <c r="AD2475" s="38"/>
      <c r="AE2475" s="38"/>
      <c r="AF2475" s="38"/>
      <c r="AG2475" s="38"/>
      <c r="AH2475" s="60"/>
    </row>
    <row r="2476" spans="1:34" ht="15.75" customHeight="1">
      <c r="A2476" s="75" t="s">
        <v>8800</v>
      </c>
      <c r="B2476" s="18" t="s">
        <v>8801</v>
      </c>
      <c r="C2476" s="37" t="s">
        <v>87</v>
      </c>
      <c r="D2476" s="20" t="s">
        <v>8802</v>
      </c>
      <c r="E2476" s="20" t="s">
        <v>8803</v>
      </c>
      <c r="F2476" s="19" t="s">
        <v>90</v>
      </c>
      <c r="G2476" s="19" t="s">
        <v>91</v>
      </c>
      <c r="H2476" s="37"/>
      <c r="I2476" s="21" t="s">
        <v>29</v>
      </c>
      <c r="J2476" s="21" t="s">
        <v>29</v>
      </c>
      <c r="K2476" s="22" t="s">
        <v>8804</v>
      </c>
      <c r="L2476" s="56">
        <v>45090</v>
      </c>
      <c r="M2476" s="40"/>
      <c r="N2476" s="40"/>
      <c r="O2476" s="42"/>
      <c r="P2476" s="40"/>
      <c r="Q2476" s="61"/>
      <c r="R2476" s="61"/>
      <c r="S2476" s="40"/>
      <c r="T2476" s="38"/>
      <c r="U2476" s="38"/>
      <c r="V2476" s="38"/>
      <c r="W2476" s="60"/>
      <c r="AB2476" s="42"/>
      <c r="AC2476" s="35"/>
      <c r="AD2476" s="38"/>
      <c r="AE2476" s="38"/>
      <c r="AF2476" s="38"/>
      <c r="AG2476" s="38"/>
      <c r="AH2476" s="60"/>
    </row>
    <row r="2477" spans="1:34" ht="15.75" customHeight="1">
      <c r="A2477" s="111" t="s">
        <v>92</v>
      </c>
      <c r="B2477" s="18" t="s">
        <v>8805</v>
      </c>
      <c r="C2477" s="37" t="s">
        <v>87</v>
      </c>
      <c r="D2477" s="20" t="s">
        <v>8806</v>
      </c>
      <c r="E2477" s="20" t="s">
        <v>8807</v>
      </c>
      <c r="F2477" s="19" t="s">
        <v>90</v>
      </c>
      <c r="G2477" s="19" t="s">
        <v>91</v>
      </c>
      <c r="H2477" s="37"/>
      <c r="I2477" s="21" t="s">
        <v>29</v>
      </c>
      <c r="J2477" s="21" t="s">
        <v>29</v>
      </c>
      <c r="K2477" s="22" t="s">
        <v>8808</v>
      </c>
      <c r="L2477" s="56">
        <v>45090</v>
      </c>
      <c r="M2477" s="40"/>
      <c r="N2477" s="40"/>
      <c r="O2477" s="42"/>
      <c r="P2477" s="40"/>
      <c r="Q2477" s="61"/>
      <c r="R2477" s="61"/>
      <c r="S2477" s="40"/>
      <c r="T2477" s="38"/>
      <c r="U2477" s="38"/>
      <c r="V2477" s="38"/>
      <c r="W2477" s="60"/>
      <c r="AB2477" s="42"/>
      <c r="AC2477" s="35"/>
      <c r="AD2477" s="38"/>
      <c r="AE2477" s="38"/>
      <c r="AF2477" s="38"/>
      <c r="AG2477" s="38"/>
      <c r="AH2477" s="60"/>
    </row>
    <row r="2478" spans="1:34" ht="15.75" customHeight="1">
      <c r="A2478" s="112">
        <v>641</v>
      </c>
      <c r="B2478" s="18" t="s">
        <v>8809</v>
      </c>
      <c r="C2478" s="37" t="s">
        <v>24</v>
      </c>
      <c r="D2478" s="20" t="s">
        <v>8810</v>
      </c>
      <c r="E2478" s="20" t="s">
        <v>8811</v>
      </c>
      <c r="F2478" s="19" t="s">
        <v>27</v>
      </c>
      <c r="G2478" s="19" t="s">
        <v>28</v>
      </c>
      <c r="H2478" s="37"/>
      <c r="I2478" s="21" t="s">
        <v>29</v>
      </c>
      <c r="J2478" s="21" t="s">
        <v>29</v>
      </c>
      <c r="K2478" s="22" t="s">
        <v>8812</v>
      </c>
      <c r="L2478" s="56">
        <v>45090</v>
      </c>
      <c r="M2478" s="40"/>
      <c r="N2478" s="40"/>
      <c r="O2478" s="42"/>
      <c r="P2478" s="40"/>
      <c r="Q2478" s="61"/>
      <c r="R2478" s="61"/>
      <c r="S2478" s="40"/>
      <c r="T2478" s="38"/>
      <c r="U2478" s="38"/>
      <c r="V2478" s="38"/>
      <c r="W2478" s="60"/>
      <c r="AB2478" s="42"/>
      <c r="AC2478" s="35"/>
      <c r="AD2478" s="38"/>
      <c r="AE2478" s="38"/>
      <c r="AF2478" s="38"/>
      <c r="AG2478" s="38"/>
      <c r="AH2478" s="60"/>
    </row>
    <row r="2479" spans="1:34" ht="15.75" customHeight="1">
      <c r="A2479" s="111" t="s">
        <v>100</v>
      </c>
      <c r="B2479" s="18" t="s">
        <v>8813</v>
      </c>
      <c r="C2479" s="37" t="s">
        <v>87</v>
      </c>
      <c r="D2479" s="20" t="s">
        <v>8814</v>
      </c>
      <c r="E2479" s="20" t="s">
        <v>8815</v>
      </c>
      <c r="F2479" s="19" t="s">
        <v>90</v>
      </c>
      <c r="G2479" s="19" t="s">
        <v>91</v>
      </c>
      <c r="H2479" s="37"/>
      <c r="I2479" s="21" t="s">
        <v>29</v>
      </c>
      <c r="J2479" s="21" t="s">
        <v>29</v>
      </c>
      <c r="K2479" s="22" t="s">
        <v>8816</v>
      </c>
      <c r="L2479" s="56">
        <v>45090</v>
      </c>
      <c r="M2479" s="40"/>
      <c r="N2479" s="40"/>
      <c r="O2479" s="42"/>
      <c r="P2479" s="40"/>
      <c r="Q2479" s="61"/>
      <c r="R2479" s="61"/>
      <c r="S2479" s="40"/>
      <c r="T2479" s="38"/>
      <c r="U2479" s="38"/>
      <c r="V2479" s="38"/>
      <c r="W2479" s="60"/>
      <c r="AB2479" s="42"/>
      <c r="AC2479" s="35"/>
      <c r="AD2479" s="38"/>
      <c r="AE2479" s="38"/>
      <c r="AF2479" s="38"/>
      <c r="AG2479" s="38"/>
      <c r="AH2479" s="60"/>
    </row>
    <row r="2480" spans="1:34" ht="15.75" customHeight="1">
      <c r="A2480" s="35" t="s">
        <v>55</v>
      </c>
      <c r="B2480" s="36" t="s">
        <v>8817</v>
      </c>
      <c r="C2480" s="19" t="s">
        <v>121</v>
      </c>
      <c r="D2480" s="20" t="s">
        <v>8818</v>
      </c>
      <c r="E2480" s="20"/>
      <c r="F2480" s="55" t="s">
        <v>1369</v>
      </c>
      <c r="G2480" s="37" t="s">
        <v>452</v>
      </c>
      <c r="H2480" s="37"/>
      <c r="I2480" s="21" t="s">
        <v>1371</v>
      </c>
      <c r="J2480" s="21" t="s">
        <v>452</v>
      </c>
      <c r="K2480" s="22"/>
      <c r="L2480" s="56">
        <v>45090</v>
      </c>
      <c r="M2480" s="40"/>
      <c r="N2480" s="40"/>
      <c r="O2480" s="42"/>
      <c r="P2480" s="40"/>
      <c r="Q2480" s="61"/>
      <c r="R2480" s="61"/>
      <c r="S2480" s="40"/>
      <c r="T2480" s="38"/>
      <c r="U2480" s="38"/>
      <c r="V2480" s="38"/>
      <c r="W2480" s="60"/>
      <c r="AB2480" s="42"/>
      <c r="AC2480" s="35"/>
      <c r="AD2480" s="38"/>
      <c r="AE2480" s="38"/>
      <c r="AF2480" s="38"/>
      <c r="AG2480" s="38"/>
      <c r="AH2480" s="60"/>
    </row>
    <row r="2481" spans="1:34" ht="15.75" customHeight="1">
      <c r="A2481" s="35"/>
      <c r="B2481" s="29" t="s">
        <v>8819</v>
      </c>
      <c r="C2481" s="37" t="s">
        <v>1638</v>
      </c>
      <c r="D2481" s="20" t="s">
        <v>8820</v>
      </c>
      <c r="E2481" s="20" t="s">
        <v>8821</v>
      </c>
      <c r="F2481" s="37" t="s">
        <v>1399</v>
      </c>
      <c r="G2481" s="19" t="s">
        <v>1641</v>
      </c>
      <c r="H2481" s="37"/>
      <c r="I2481" s="21" t="s">
        <v>1371</v>
      </c>
      <c r="J2481" s="21" t="s">
        <v>1371</v>
      </c>
      <c r="K2481" s="22" t="s">
        <v>8822</v>
      </c>
      <c r="L2481" s="56">
        <v>45090</v>
      </c>
      <c r="M2481" s="40"/>
      <c r="N2481" s="40"/>
      <c r="O2481" s="42"/>
      <c r="P2481" s="40"/>
      <c r="Q2481" s="61"/>
      <c r="R2481" s="61"/>
      <c r="S2481" s="40"/>
      <c r="T2481" s="38"/>
      <c r="U2481" s="38"/>
      <c r="V2481" s="38"/>
      <c r="W2481" s="60"/>
      <c r="AB2481" s="42"/>
      <c r="AC2481" s="35"/>
      <c r="AD2481" s="38"/>
      <c r="AE2481" s="38"/>
      <c r="AF2481" s="38"/>
      <c r="AG2481" s="38"/>
      <c r="AH2481" s="60"/>
    </row>
    <row r="2482" spans="1:34" ht="15.75" customHeight="1">
      <c r="A2482" s="35"/>
      <c r="B2482" s="38"/>
      <c r="C2482" s="37"/>
      <c r="D2482" s="20"/>
      <c r="E2482" s="20"/>
      <c r="F2482" s="37"/>
      <c r="G2482" s="37"/>
      <c r="H2482" s="37"/>
      <c r="I2482" s="21"/>
      <c r="J2482" s="21"/>
      <c r="K2482" s="22"/>
      <c r="L2482" s="113"/>
      <c r="O2482" s="42"/>
      <c r="P2482" s="40"/>
      <c r="Q2482" s="61"/>
      <c r="R2482" s="61"/>
      <c r="S2482" s="40"/>
      <c r="T2482" s="38"/>
      <c r="U2482" s="38"/>
      <c r="V2482" s="38"/>
      <c r="W2482" s="60"/>
      <c r="AB2482" s="42"/>
      <c r="AC2482" s="35"/>
      <c r="AD2482" s="38"/>
      <c r="AE2482" s="38"/>
      <c r="AF2482" s="38"/>
      <c r="AG2482" s="38"/>
      <c r="AH2482" s="60"/>
    </row>
    <row r="2483" spans="1:34" ht="15.75" customHeight="1">
      <c r="A2483" s="38" t="s">
        <v>8823</v>
      </c>
      <c r="B2483" s="18" t="s">
        <v>8824</v>
      </c>
      <c r="C2483" s="37" t="s">
        <v>46</v>
      </c>
      <c r="D2483" s="20" t="s">
        <v>8825</v>
      </c>
      <c r="E2483" s="20" t="s">
        <v>8826</v>
      </c>
      <c r="F2483" s="37" t="s">
        <v>49</v>
      </c>
      <c r="G2483" s="19" t="s">
        <v>50</v>
      </c>
      <c r="H2483" s="37"/>
      <c r="I2483" s="21" t="s">
        <v>29</v>
      </c>
      <c r="J2483" s="21" t="s">
        <v>29</v>
      </c>
      <c r="K2483" s="22" t="s">
        <v>8827</v>
      </c>
      <c r="L2483" s="56">
        <v>45090</v>
      </c>
      <c r="M2483" s="40"/>
      <c r="N2483" s="40"/>
      <c r="O2483" s="42"/>
      <c r="P2483" s="40"/>
      <c r="Q2483" s="61"/>
      <c r="R2483" s="61"/>
      <c r="S2483" s="40"/>
      <c r="T2483" s="38"/>
      <c r="U2483" s="38"/>
      <c r="V2483" s="38"/>
      <c r="W2483" s="60"/>
      <c r="AB2483" s="42"/>
      <c r="AC2483" s="35"/>
      <c r="AD2483" s="38"/>
      <c r="AE2483" s="38"/>
      <c r="AF2483" s="38"/>
      <c r="AG2483" s="38"/>
      <c r="AH2483" s="60"/>
    </row>
    <row r="2484" spans="1:34" ht="15.75" customHeight="1">
      <c r="A2484" s="54" t="s">
        <v>2714</v>
      </c>
      <c r="B2484" s="18" t="s">
        <v>8828</v>
      </c>
      <c r="C2484" s="37" t="s">
        <v>87</v>
      </c>
      <c r="D2484" s="20" t="s">
        <v>8829</v>
      </c>
      <c r="E2484" s="20" t="s">
        <v>8830</v>
      </c>
      <c r="F2484" s="19" t="s">
        <v>90</v>
      </c>
      <c r="G2484" s="19" t="s">
        <v>91</v>
      </c>
      <c r="H2484" s="37"/>
      <c r="I2484" s="21" t="s">
        <v>29</v>
      </c>
      <c r="J2484" s="21" t="s">
        <v>29</v>
      </c>
      <c r="K2484" s="22" t="s">
        <v>8831</v>
      </c>
      <c r="L2484" s="56">
        <v>45090</v>
      </c>
      <c r="O2484" s="42"/>
      <c r="P2484" s="40"/>
      <c r="Q2484" s="61"/>
      <c r="R2484" s="61"/>
      <c r="S2484" s="40"/>
      <c r="T2484" s="38"/>
      <c r="U2484" s="38"/>
      <c r="V2484" s="38"/>
      <c r="W2484" s="60"/>
      <c r="AB2484" s="42"/>
      <c r="AC2484" s="35"/>
      <c r="AD2484" s="38"/>
      <c r="AE2484" s="38"/>
      <c r="AF2484" s="38"/>
      <c r="AG2484" s="38"/>
      <c r="AH2484" s="60"/>
    </row>
    <row r="2485" spans="1:34" ht="15.75" customHeight="1">
      <c r="A2485" s="114" t="s">
        <v>39</v>
      </c>
      <c r="B2485" s="29" t="s">
        <v>8832</v>
      </c>
      <c r="C2485" s="37" t="s">
        <v>24</v>
      </c>
      <c r="D2485" s="20" t="s">
        <v>8833</v>
      </c>
      <c r="E2485" s="20" t="s">
        <v>8834</v>
      </c>
      <c r="F2485" s="19" t="s">
        <v>27</v>
      </c>
      <c r="G2485" s="19" t="s">
        <v>28</v>
      </c>
      <c r="H2485" s="37"/>
      <c r="I2485" s="21" t="s">
        <v>29</v>
      </c>
      <c r="J2485" s="21" t="s">
        <v>29</v>
      </c>
      <c r="K2485" s="22" t="s">
        <v>8835</v>
      </c>
      <c r="L2485" s="56">
        <v>45090</v>
      </c>
      <c r="O2485" s="42"/>
      <c r="P2485" s="40"/>
      <c r="Q2485" s="61"/>
      <c r="R2485" s="61"/>
      <c r="S2485" s="40"/>
      <c r="T2485" s="38"/>
      <c r="U2485" s="38"/>
      <c r="V2485" s="38"/>
      <c r="W2485" s="60"/>
      <c r="AB2485" s="42"/>
      <c r="AC2485" s="35"/>
      <c r="AD2485" s="38"/>
      <c r="AE2485" s="38"/>
      <c r="AF2485" s="38"/>
      <c r="AG2485" s="38"/>
      <c r="AH2485" s="60"/>
    </row>
    <row r="2486" spans="1:34" ht="15.75" customHeight="1">
      <c r="A2486" s="38" t="s">
        <v>8836</v>
      </c>
      <c r="B2486" s="18" t="s">
        <v>8837</v>
      </c>
      <c r="C2486" s="37" t="s">
        <v>46</v>
      </c>
      <c r="D2486" s="20" t="s">
        <v>8838</v>
      </c>
      <c r="E2486" s="20" t="s">
        <v>8839</v>
      </c>
      <c r="F2486" s="37" t="s">
        <v>49</v>
      </c>
      <c r="G2486" s="19" t="s">
        <v>50</v>
      </c>
      <c r="H2486" s="37"/>
      <c r="I2486" s="21" t="s">
        <v>29</v>
      </c>
      <c r="J2486" s="21" t="s">
        <v>29</v>
      </c>
      <c r="K2486" s="22" t="s">
        <v>8840</v>
      </c>
      <c r="L2486" s="56">
        <v>45090</v>
      </c>
      <c r="O2486" s="42"/>
      <c r="P2486" s="40"/>
      <c r="Q2486" s="61"/>
      <c r="R2486" s="61"/>
      <c r="S2486" s="40"/>
      <c r="T2486" s="38"/>
      <c r="U2486" s="38"/>
      <c r="V2486" s="38"/>
      <c r="W2486" s="60"/>
      <c r="AB2486" s="42"/>
      <c r="AC2486" s="35"/>
      <c r="AD2486" s="38"/>
      <c r="AE2486" s="38"/>
      <c r="AF2486" s="38"/>
      <c r="AG2486" s="38"/>
      <c r="AH2486" s="60"/>
    </row>
    <row r="2487" spans="1:34" ht="15.75" customHeight="1">
      <c r="A2487" s="38" t="s">
        <v>7544</v>
      </c>
      <c r="B2487" s="29" t="s">
        <v>8841</v>
      </c>
      <c r="C2487" s="37" t="s">
        <v>87</v>
      </c>
      <c r="D2487" s="20" t="s">
        <v>8842</v>
      </c>
      <c r="E2487" s="20" t="s">
        <v>8843</v>
      </c>
      <c r="F2487" s="19" t="s">
        <v>90</v>
      </c>
      <c r="G2487" s="19" t="s">
        <v>91</v>
      </c>
      <c r="H2487" s="37"/>
      <c r="I2487" s="21" t="s">
        <v>29</v>
      </c>
      <c r="J2487" s="21" t="s">
        <v>29</v>
      </c>
      <c r="K2487" s="22" t="s">
        <v>8844</v>
      </c>
      <c r="L2487" s="56"/>
      <c r="O2487" s="42"/>
      <c r="P2487" s="40"/>
      <c r="Q2487" s="61"/>
      <c r="R2487" s="61"/>
      <c r="S2487" s="40"/>
      <c r="T2487" s="38"/>
      <c r="U2487" s="38"/>
      <c r="V2487" s="38"/>
      <c r="W2487" s="60"/>
      <c r="AB2487" s="42"/>
      <c r="AC2487" s="35"/>
      <c r="AD2487" s="38"/>
      <c r="AE2487" s="38"/>
      <c r="AF2487" s="38"/>
      <c r="AG2487" s="38"/>
      <c r="AH2487" s="60"/>
    </row>
    <row r="2488" spans="1:34" ht="15.75" customHeight="1">
      <c r="A2488" s="111" t="s">
        <v>56</v>
      </c>
      <c r="B2488" s="18" t="s">
        <v>8845</v>
      </c>
      <c r="C2488" s="37" t="s">
        <v>24</v>
      </c>
      <c r="D2488" s="20" t="s">
        <v>8846</v>
      </c>
      <c r="E2488" s="20" t="s">
        <v>8847</v>
      </c>
      <c r="F2488" s="19" t="s">
        <v>27</v>
      </c>
      <c r="G2488" s="19" t="s">
        <v>28</v>
      </c>
      <c r="H2488" s="37" t="s">
        <v>813</v>
      </c>
      <c r="I2488" s="21" t="s">
        <v>29</v>
      </c>
      <c r="J2488" s="21" t="s">
        <v>29</v>
      </c>
      <c r="K2488" s="22" t="s">
        <v>8848</v>
      </c>
      <c r="L2488" s="56">
        <v>45090</v>
      </c>
      <c r="O2488" s="42"/>
      <c r="P2488" s="40"/>
      <c r="Q2488" s="61"/>
      <c r="R2488" s="61"/>
      <c r="S2488" s="40"/>
      <c r="T2488" s="38"/>
      <c r="U2488" s="38"/>
      <c r="V2488" s="38"/>
      <c r="W2488" s="60"/>
      <c r="AB2488" s="42"/>
      <c r="AC2488" s="35"/>
      <c r="AD2488" s="38"/>
      <c r="AE2488" s="38"/>
      <c r="AF2488" s="38"/>
      <c r="AG2488" s="38"/>
      <c r="AH2488" s="60"/>
    </row>
    <row r="2489" spans="1:34" ht="15.75" customHeight="1">
      <c r="A2489" s="75">
        <v>68</v>
      </c>
      <c r="B2489" s="18" t="s">
        <v>8849</v>
      </c>
      <c r="C2489" s="37" t="s">
        <v>24</v>
      </c>
      <c r="D2489" s="20" t="s">
        <v>8850</v>
      </c>
      <c r="E2489" s="20" t="s">
        <v>8851</v>
      </c>
      <c r="F2489" s="19" t="s">
        <v>27</v>
      </c>
      <c r="G2489" s="19" t="s">
        <v>28</v>
      </c>
      <c r="H2489" s="37"/>
      <c r="I2489" s="21" t="s">
        <v>29</v>
      </c>
      <c r="J2489" s="21" t="s">
        <v>29</v>
      </c>
      <c r="K2489" s="22" t="s">
        <v>8852</v>
      </c>
      <c r="L2489" s="56">
        <v>45090</v>
      </c>
      <c r="O2489" s="42"/>
      <c r="P2489" s="40"/>
      <c r="Q2489" s="61"/>
      <c r="R2489" s="61"/>
      <c r="S2489" s="40"/>
      <c r="T2489" s="38"/>
      <c r="U2489" s="38"/>
      <c r="V2489" s="38"/>
      <c r="W2489" s="60"/>
      <c r="AB2489" s="42"/>
      <c r="AC2489" s="35"/>
      <c r="AD2489" s="38"/>
      <c r="AE2489" s="38"/>
      <c r="AF2489" s="38"/>
      <c r="AG2489" s="38"/>
      <c r="AH2489" s="60"/>
    </row>
    <row r="2490" spans="1:34" ht="15.75" customHeight="1">
      <c r="A2490" s="111" t="s">
        <v>64</v>
      </c>
      <c r="B2490" s="18" t="s">
        <v>8853</v>
      </c>
      <c r="C2490" s="37" t="s">
        <v>24</v>
      </c>
      <c r="D2490" s="20" t="s">
        <v>8854</v>
      </c>
      <c r="E2490" s="20" t="s">
        <v>8855</v>
      </c>
      <c r="F2490" s="19" t="s">
        <v>27</v>
      </c>
      <c r="G2490" s="19" t="s">
        <v>28</v>
      </c>
      <c r="H2490" s="37"/>
      <c r="I2490" s="21" t="s">
        <v>29</v>
      </c>
      <c r="J2490" s="21" t="s">
        <v>29</v>
      </c>
      <c r="K2490" s="22" t="s">
        <v>8856</v>
      </c>
      <c r="L2490" s="56">
        <v>45090</v>
      </c>
      <c r="O2490" s="42"/>
      <c r="P2490" s="40"/>
      <c r="Q2490" s="61"/>
      <c r="R2490" s="61"/>
      <c r="S2490" s="40"/>
      <c r="T2490" s="38"/>
      <c r="U2490" s="38"/>
      <c r="V2490" s="38"/>
      <c r="W2490" s="60"/>
      <c r="AB2490" s="42"/>
      <c r="AC2490" s="35"/>
      <c r="AD2490" s="38"/>
      <c r="AE2490" s="38"/>
      <c r="AF2490" s="38"/>
      <c r="AG2490" s="38"/>
      <c r="AH2490" s="60"/>
    </row>
    <row r="2491" spans="1:34" ht="15.75" customHeight="1">
      <c r="A2491" s="75">
        <v>3.2</v>
      </c>
      <c r="B2491" s="18" t="s">
        <v>8857</v>
      </c>
      <c r="C2491" s="37" t="s">
        <v>24</v>
      </c>
      <c r="D2491" s="20" t="s">
        <v>8858</v>
      </c>
      <c r="E2491" s="20" t="s">
        <v>8859</v>
      </c>
      <c r="F2491" s="19" t="s">
        <v>27</v>
      </c>
      <c r="G2491" s="19" t="s">
        <v>28</v>
      </c>
      <c r="H2491" s="37"/>
      <c r="I2491" s="21" t="s">
        <v>29</v>
      </c>
      <c r="J2491" s="21" t="s">
        <v>29</v>
      </c>
      <c r="K2491" s="22" t="s">
        <v>8860</v>
      </c>
      <c r="L2491" s="56">
        <v>45090</v>
      </c>
      <c r="O2491" s="42"/>
      <c r="P2491" s="40"/>
      <c r="Q2491" s="61"/>
      <c r="R2491" s="61"/>
      <c r="S2491" s="40"/>
      <c r="T2491" s="38"/>
      <c r="U2491" s="38"/>
      <c r="V2491" s="38"/>
      <c r="W2491" s="60"/>
      <c r="AB2491" s="42"/>
      <c r="AC2491" s="35"/>
      <c r="AD2491" s="38"/>
      <c r="AE2491" s="38"/>
      <c r="AF2491" s="38"/>
      <c r="AG2491" s="38"/>
      <c r="AH2491" s="60"/>
    </row>
    <row r="2492" spans="1:34" ht="15.75" customHeight="1">
      <c r="A2492" s="111" t="s">
        <v>73</v>
      </c>
      <c r="B2492" s="18" t="s">
        <v>8861</v>
      </c>
      <c r="C2492" s="37" t="s">
        <v>24</v>
      </c>
      <c r="D2492" s="20" t="s">
        <v>8862</v>
      </c>
      <c r="E2492" s="20" t="s">
        <v>8863</v>
      </c>
      <c r="F2492" s="19" t="s">
        <v>27</v>
      </c>
      <c r="G2492" s="19" t="s">
        <v>28</v>
      </c>
      <c r="H2492" s="37"/>
      <c r="I2492" s="21" t="s">
        <v>29</v>
      </c>
      <c r="J2492" s="21" t="s">
        <v>29</v>
      </c>
      <c r="K2492" s="22" t="s">
        <v>8864</v>
      </c>
      <c r="L2492" s="56">
        <v>45090</v>
      </c>
      <c r="O2492" s="42"/>
      <c r="P2492" s="40"/>
      <c r="Q2492" s="61"/>
      <c r="R2492" s="61"/>
      <c r="S2492" s="40"/>
      <c r="T2492" s="38"/>
      <c r="U2492" s="38"/>
      <c r="V2492" s="38"/>
      <c r="W2492" s="60"/>
      <c r="AB2492" s="42"/>
      <c r="AC2492" s="35"/>
      <c r="AD2492" s="38"/>
      <c r="AE2492" s="38"/>
      <c r="AF2492" s="38"/>
      <c r="AG2492" s="38"/>
      <c r="AH2492" s="60"/>
    </row>
    <row r="2493" spans="1:34" ht="15.75" customHeight="1">
      <c r="A2493" s="75">
        <v>3.5</v>
      </c>
      <c r="B2493" s="29" t="s">
        <v>8865</v>
      </c>
      <c r="C2493" s="37" t="s">
        <v>412</v>
      </c>
      <c r="D2493" s="20" t="s">
        <v>8866</v>
      </c>
      <c r="E2493" s="20" t="s">
        <v>8867</v>
      </c>
      <c r="F2493" s="19" t="s">
        <v>414</v>
      </c>
      <c r="G2493" s="19" t="s">
        <v>415</v>
      </c>
      <c r="H2493" s="37"/>
      <c r="I2493" s="21" t="s">
        <v>233</v>
      </c>
      <c r="J2493" s="21" t="s">
        <v>233</v>
      </c>
      <c r="K2493" s="22" t="s">
        <v>8868</v>
      </c>
      <c r="L2493" s="56"/>
      <c r="O2493" s="42"/>
      <c r="P2493" s="40"/>
      <c r="Q2493" s="61"/>
      <c r="R2493" s="61"/>
      <c r="S2493" s="40"/>
      <c r="T2493" s="38"/>
      <c r="U2493" s="38"/>
      <c r="V2493" s="38"/>
      <c r="W2493" s="60"/>
      <c r="AB2493" s="42"/>
      <c r="AC2493" s="35"/>
      <c r="AD2493" s="38"/>
      <c r="AE2493" s="38"/>
      <c r="AF2493" s="38"/>
      <c r="AG2493" s="38"/>
      <c r="AH2493" s="60"/>
    </row>
    <row r="2494" spans="1:34" ht="15.75" customHeight="1">
      <c r="A2494" s="111" t="s">
        <v>82</v>
      </c>
      <c r="B2494" s="18" t="s">
        <v>8869</v>
      </c>
      <c r="C2494" s="37" t="s">
        <v>24</v>
      </c>
      <c r="D2494" s="20" t="s">
        <v>8870</v>
      </c>
      <c r="E2494" s="20" t="s">
        <v>8871</v>
      </c>
      <c r="F2494" s="19" t="s">
        <v>27</v>
      </c>
      <c r="G2494" s="19" t="s">
        <v>28</v>
      </c>
      <c r="H2494" s="37"/>
      <c r="I2494" s="21" t="s">
        <v>29</v>
      </c>
      <c r="J2494" s="21" t="s">
        <v>29</v>
      </c>
      <c r="K2494" s="22" t="s">
        <v>8872</v>
      </c>
      <c r="L2494" s="56">
        <v>45090</v>
      </c>
      <c r="O2494" s="42"/>
      <c r="P2494" s="40"/>
      <c r="Q2494" s="61"/>
      <c r="R2494" s="61"/>
      <c r="S2494" s="40"/>
      <c r="T2494" s="38"/>
      <c r="U2494" s="38"/>
      <c r="V2494" s="38"/>
      <c r="W2494" s="60"/>
      <c r="AB2494" s="42"/>
      <c r="AC2494" s="35"/>
      <c r="AD2494" s="38"/>
      <c r="AE2494" s="38"/>
      <c r="AF2494" s="38"/>
      <c r="AG2494" s="38"/>
      <c r="AH2494" s="60"/>
    </row>
    <row r="2495" spans="1:34" ht="15.75" customHeight="1">
      <c r="A2495" s="75" t="s">
        <v>8873</v>
      </c>
      <c r="B2495" s="18" t="s">
        <v>8874</v>
      </c>
      <c r="C2495" s="37" t="s">
        <v>87</v>
      </c>
      <c r="D2495" s="20" t="s">
        <v>8875</v>
      </c>
      <c r="E2495" s="20" t="s">
        <v>8876</v>
      </c>
      <c r="F2495" s="19" t="s">
        <v>90</v>
      </c>
      <c r="G2495" s="19" t="s">
        <v>91</v>
      </c>
      <c r="H2495" s="37"/>
      <c r="I2495" s="21" t="s">
        <v>29</v>
      </c>
      <c r="J2495" s="21" t="s">
        <v>29</v>
      </c>
      <c r="K2495" s="22" t="s">
        <v>8877</v>
      </c>
      <c r="L2495" s="56">
        <v>45090</v>
      </c>
      <c r="O2495" s="42"/>
      <c r="P2495" s="40"/>
      <c r="Q2495" s="61"/>
      <c r="R2495" s="61"/>
      <c r="S2495" s="40"/>
      <c r="T2495" s="38"/>
      <c r="U2495" s="38"/>
      <c r="V2495" s="38"/>
      <c r="W2495" s="60"/>
      <c r="AB2495" s="42"/>
      <c r="AC2495" s="35"/>
      <c r="AD2495" s="38"/>
      <c r="AE2495" s="38"/>
      <c r="AF2495" s="38"/>
      <c r="AG2495" s="38"/>
      <c r="AH2495" s="60"/>
    </row>
    <row r="2496" spans="1:34" ht="15.75" customHeight="1">
      <c r="A2496" s="111" t="s">
        <v>92</v>
      </c>
      <c r="B2496" s="18" t="s">
        <v>8878</v>
      </c>
      <c r="C2496" s="37" t="s">
        <v>24</v>
      </c>
      <c r="D2496" s="20" t="s">
        <v>8879</v>
      </c>
      <c r="E2496" s="20" t="s">
        <v>8880</v>
      </c>
      <c r="F2496" s="19" t="s">
        <v>27</v>
      </c>
      <c r="G2496" s="19" t="s">
        <v>28</v>
      </c>
      <c r="H2496" s="37"/>
      <c r="I2496" s="21" t="s">
        <v>29</v>
      </c>
      <c r="J2496" s="21" t="s">
        <v>29</v>
      </c>
      <c r="K2496" s="22" t="s">
        <v>8881</v>
      </c>
      <c r="L2496" s="56">
        <v>45090</v>
      </c>
      <c r="O2496" s="42"/>
      <c r="P2496" s="40"/>
      <c r="Q2496" s="61"/>
      <c r="R2496" s="61"/>
      <c r="S2496" s="40"/>
      <c r="T2496" s="38"/>
      <c r="U2496" s="38"/>
      <c r="V2496" s="38"/>
      <c r="W2496" s="60"/>
      <c r="AB2496" s="42"/>
      <c r="AC2496" s="35"/>
      <c r="AD2496" s="38"/>
      <c r="AE2496" s="38"/>
      <c r="AF2496" s="38"/>
      <c r="AG2496" s="38"/>
      <c r="AH2496" s="60"/>
    </row>
    <row r="2497" spans="1:34" ht="15.75" customHeight="1">
      <c r="A2497" s="112">
        <v>1230</v>
      </c>
      <c r="B2497" s="18" t="s">
        <v>8882</v>
      </c>
      <c r="C2497" s="37" t="s">
        <v>46</v>
      </c>
      <c r="D2497" s="20" t="s">
        <v>8883</v>
      </c>
      <c r="E2497" s="20" t="s">
        <v>8884</v>
      </c>
      <c r="F2497" s="37" t="s">
        <v>49</v>
      </c>
      <c r="G2497" s="19" t="s">
        <v>50</v>
      </c>
      <c r="H2497" s="37"/>
      <c r="I2497" s="21" t="s">
        <v>29</v>
      </c>
      <c r="J2497" s="21" t="s">
        <v>29</v>
      </c>
      <c r="K2497" s="22" t="s">
        <v>8885</v>
      </c>
      <c r="L2497" s="56">
        <v>45090</v>
      </c>
      <c r="O2497" s="42"/>
      <c r="P2497" s="40"/>
      <c r="Q2497" s="61"/>
      <c r="R2497" s="61"/>
      <c r="S2497" s="40"/>
      <c r="T2497" s="38"/>
      <c r="U2497" s="38"/>
      <c r="V2497" s="38"/>
      <c r="W2497" s="60"/>
      <c r="AB2497" s="42"/>
      <c r="AC2497" s="35"/>
      <c r="AD2497" s="38"/>
      <c r="AE2497" s="38"/>
      <c r="AF2497" s="38"/>
      <c r="AG2497" s="38"/>
      <c r="AH2497" s="60"/>
    </row>
    <row r="2498" spans="1:34" ht="15.75" customHeight="1">
      <c r="A2498" s="111" t="s">
        <v>100</v>
      </c>
      <c r="B2498" s="18" t="s">
        <v>8886</v>
      </c>
      <c r="C2498" s="37" t="s">
        <v>87</v>
      </c>
      <c r="D2498" s="20" t="s">
        <v>8887</v>
      </c>
      <c r="E2498" s="20" t="s">
        <v>8888</v>
      </c>
      <c r="F2498" s="19" t="s">
        <v>90</v>
      </c>
      <c r="G2498" s="19" t="s">
        <v>91</v>
      </c>
      <c r="H2498" s="37"/>
      <c r="I2498" s="21" t="s">
        <v>29</v>
      </c>
      <c r="J2498" s="21" t="s">
        <v>29</v>
      </c>
      <c r="K2498" s="22" t="s">
        <v>8889</v>
      </c>
      <c r="L2498" s="56">
        <v>45090</v>
      </c>
      <c r="O2498" s="42"/>
      <c r="P2498" s="40"/>
      <c r="Q2498" s="61"/>
      <c r="R2498" s="61"/>
      <c r="S2498" s="40"/>
      <c r="T2498" s="38"/>
      <c r="U2498" s="38"/>
      <c r="V2498" s="38"/>
      <c r="W2498" s="60"/>
      <c r="AB2498" s="42"/>
      <c r="AC2498" s="35"/>
      <c r="AD2498" s="38"/>
      <c r="AE2498" s="38"/>
      <c r="AF2498" s="38"/>
      <c r="AG2498" s="38"/>
      <c r="AH2498" s="60"/>
    </row>
    <row r="2499" spans="1:34" ht="15.75" customHeight="1">
      <c r="A2499" s="75">
        <v>165</v>
      </c>
      <c r="B2499" s="29" t="s">
        <v>8890</v>
      </c>
      <c r="C2499" s="37" t="s">
        <v>87</v>
      </c>
      <c r="D2499" s="20" t="s">
        <v>8891</v>
      </c>
      <c r="E2499" s="20" t="s">
        <v>8892</v>
      </c>
      <c r="F2499" s="19" t="s">
        <v>90</v>
      </c>
      <c r="G2499" s="19" t="s">
        <v>91</v>
      </c>
      <c r="H2499" s="37"/>
      <c r="I2499" s="21" t="s">
        <v>29</v>
      </c>
      <c r="J2499" s="21" t="s">
        <v>29</v>
      </c>
      <c r="K2499" s="22" t="s">
        <v>8893</v>
      </c>
      <c r="L2499" s="56">
        <v>45090</v>
      </c>
      <c r="O2499" s="42"/>
      <c r="P2499" s="40"/>
      <c r="Q2499" s="61"/>
      <c r="R2499" s="61"/>
      <c r="S2499" s="40"/>
      <c r="T2499" s="38"/>
      <c r="U2499" s="38"/>
      <c r="V2499" s="38"/>
      <c r="W2499" s="60"/>
      <c r="AB2499" s="42"/>
      <c r="AC2499" s="35"/>
      <c r="AD2499" s="38"/>
      <c r="AE2499" s="38"/>
      <c r="AF2499" s="38"/>
      <c r="AG2499" s="38"/>
      <c r="AH2499" s="60"/>
    </row>
    <row r="2500" spans="1:34" ht="15.75" customHeight="1">
      <c r="B2500" s="18" t="s">
        <v>8894</v>
      </c>
      <c r="C2500" s="37" t="s">
        <v>24</v>
      </c>
      <c r="D2500" s="20" t="s">
        <v>8895</v>
      </c>
      <c r="E2500" s="20" t="s">
        <v>8896</v>
      </c>
      <c r="F2500" s="19" t="s">
        <v>27</v>
      </c>
      <c r="G2500" s="19" t="s">
        <v>28</v>
      </c>
      <c r="H2500" s="37"/>
      <c r="I2500" s="21" t="s">
        <v>29</v>
      </c>
      <c r="J2500" s="21" t="s">
        <v>29</v>
      </c>
      <c r="K2500" s="22" t="s">
        <v>8897</v>
      </c>
      <c r="L2500" s="56">
        <v>45090</v>
      </c>
      <c r="O2500" s="42"/>
      <c r="P2500" s="40"/>
      <c r="Q2500" s="61"/>
      <c r="R2500" s="61"/>
      <c r="S2500" s="40"/>
      <c r="T2500" s="38"/>
      <c r="U2500" s="38"/>
      <c r="V2500" s="38"/>
      <c r="W2500" s="60"/>
      <c r="AB2500" s="42"/>
      <c r="AC2500" s="35"/>
      <c r="AD2500" s="38"/>
      <c r="AE2500" s="38"/>
      <c r="AF2500" s="38"/>
      <c r="AG2500" s="38"/>
      <c r="AH2500" s="60"/>
    </row>
    <row r="2501" spans="1:34" ht="15.75" customHeight="1">
      <c r="B2501" s="18" t="s">
        <v>8898</v>
      </c>
      <c r="C2501" s="37" t="s">
        <v>46</v>
      </c>
      <c r="D2501" s="20" t="s">
        <v>8899</v>
      </c>
      <c r="E2501" s="20" t="s">
        <v>8900</v>
      </c>
      <c r="F2501" s="37" t="s">
        <v>49</v>
      </c>
      <c r="G2501" s="19" t="s">
        <v>50</v>
      </c>
      <c r="H2501" s="37"/>
      <c r="I2501" s="21" t="s">
        <v>29</v>
      </c>
      <c r="J2501" s="21" t="s">
        <v>29</v>
      </c>
      <c r="K2501" s="22" t="s">
        <v>8901</v>
      </c>
      <c r="L2501" s="56">
        <v>45090</v>
      </c>
      <c r="O2501" s="42"/>
      <c r="P2501" s="40"/>
      <c r="Q2501" s="61"/>
      <c r="R2501" s="61"/>
      <c r="S2501" s="40"/>
      <c r="T2501" s="38"/>
      <c r="U2501" s="38"/>
      <c r="V2501" s="38"/>
      <c r="W2501" s="60"/>
      <c r="AB2501" s="42"/>
      <c r="AC2501" s="35"/>
      <c r="AD2501" s="38"/>
      <c r="AE2501" s="38"/>
      <c r="AF2501" s="38"/>
      <c r="AG2501" s="38"/>
      <c r="AH2501" s="60"/>
    </row>
    <row r="2502" spans="1:34" ht="15.75" customHeight="1">
      <c r="A2502" s="35"/>
      <c r="B2502" s="36" t="s">
        <v>8902</v>
      </c>
      <c r="C2502" s="37" t="s">
        <v>121</v>
      </c>
      <c r="D2502" s="20" t="s">
        <v>8903</v>
      </c>
      <c r="E2502" s="20" t="s">
        <v>8904</v>
      </c>
      <c r="F2502" s="19" t="s">
        <v>90</v>
      </c>
      <c r="G2502" s="19" t="s">
        <v>91</v>
      </c>
      <c r="H2502" s="37"/>
      <c r="I2502" s="21" t="s">
        <v>29</v>
      </c>
      <c r="J2502" s="21" t="s">
        <v>29</v>
      </c>
      <c r="K2502" s="22" t="s">
        <v>8905</v>
      </c>
      <c r="L2502" s="56">
        <v>45090</v>
      </c>
      <c r="O2502" s="42"/>
      <c r="P2502" s="40"/>
      <c r="Q2502" s="61"/>
      <c r="R2502" s="61"/>
      <c r="S2502" s="40"/>
      <c r="T2502" s="38"/>
      <c r="U2502" s="38"/>
      <c r="V2502" s="38"/>
      <c r="W2502" s="60"/>
      <c r="AB2502" s="42"/>
      <c r="AC2502" s="35"/>
      <c r="AD2502" s="38"/>
      <c r="AE2502" s="38"/>
      <c r="AF2502" s="38"/>
      <c r="AG2502" s="38"/>
      <c r="AH2502" s="60"/>
    </row>
    <row r="2503" spans="1:34" ht="15.75" customHeight="1">
      <c r="A2503" s="35"/>
      <c r="B2503" s="18" t="s">
        <v>8906</v>
      </c>
      <c r="C2503" s="37" t="s">
        <v>87</v>
      </c>
      <c r="D2503" s="20" t="s">
        <v>8907</v>
      </c>
      <c r="E2503" s="20" t="s">
        <v>8908</v>
      </c>
      <c r="F2503" s="19" t="s">
        <v>90</v>
      </c>
      <c r="G2503" s="19" t="s">
        <v>91</v>
      </c>
      <c r="H2503" s="37"/>
      <c r="I2503" s="21" t="s">
        <v>29</v>
      </c>
      <c r="J2503" s="21" t="s">
        <v>29</v>
      </c>
      <c r="K2503" s="22" t="s">
        <v>8909</v>
      </c>
      <c r="L2503" s="56">
        <v>45090</v>
      </c>
      <c r="O2503" s="42"/>
      <c r="P2503" s="40"/>
      <c r="Q2503" s="61"/>
      <c r="R2503" s="61"/>
      <c r="S2503" s="40"/>
      <c r="T2503" s="38"/>
      <c r="U2503" s="38"/>
      <c r="V2503" s="38"/>
      <c r="W2503" s="60"/>
      <c r="AB2503" s="42"/>
      <c r="AC2503" s="35"/>
      <c r="AD2503" s="38"/>
      <c r="AE2503" s="38"/>
      <c r="AF2503" s="38"/>
      <c r="AG2503" s="38"/>
      <c r="AH2503" s="60"/>
    </row>
    <row r="2504" spans="1:34" ht="15.75" customHeight="1">
      <c r="A2504" s="35"/>
      <c r="B2504" s="18" t="s">
        <v>8910</v>
      </c>
      <c r="C2504" s="37" t="s">
        <v>24</v>
      </c>
      <c r="D2504" s="20" t="s">
        <v>8911</v>
      </c>
      <c r="E2504" s="20" t="s">
        <v>8912</v>
      </c>
      <c r="F2504" s="19" t="s">
        <v>27</v>
      </c>
      <c r="G2504" s="19" t="s">
        <v>28</v>
      </c>
      <c r="H2504" s="37"/>
      <c r="I2504" s="21" t="s">
        <v>29</v>
      </c>
      <c r="J2504" s="21" t="s">
        <v>29</v>
      </c>
      <c r="K2504" s="22" t="s">
        <v>8913</v>
      </c>
      <c r="L2504" s="56">
        <v>45090</v>
      </c>
      <c r="O2504" s="42"/>
      <c r="P2504" s="40"/>
      <c r="Q2504" s="61"/>
      <c r="R2504" s="61"/>
      <c r="S2504" s="40"/>
      <c r="T2504" s="38"/>
      <c r="U2504" s="38"/>
      <c r="V2504" s="38"/>
      <c r="W2504" s="60"/>
      <c r="AB2504" s="42"/>
      <c r="AC2504" s="35"/>
      <c r="AD2504" s="38"/>
      <c r="AE2504" s="38"/>
      <c r="AF2504" s="38"/>
      <c r="AG2504" s="38"/>
      <c r="AH2504" s="60"/>
    </row>
    <row r="2505" spans="1:34" ht="15.75" customHeight="1">
      <c r="A2505" s="35"/>
      <c r="B2505" s="18" t="s">
        <v>8914</v>
      </c>
      <c r="C2505" s="37" t="s">
        <v>412</v>
      </c>
      <c r="D2505" s="20" t="s">
        <v>8915</v>
      </c>
      <c r="E2505" s="20" t="s">
        <v>8916</v>
      </c>
      <c r="F2505" s="19" t="s">
        <v>414</v>
      </c>
      <c r="G2505" s="37" t="s">
        <v>415</v>
      </c>
      <c r="H2505" s="37"/>
      <c r="I2505" s="21" t="s">
        <v>29</v>
      </c>
      <c r="J2505" s="21" t="s">
        <v>29</v>
      </c>
      <c r="K2505" s="22" t="s">
        <v>8917</v>
      </c>
      <c r="L2505" s="56">
        <v>45090</v>
      </c>
      <c r="O2505" s="42"/>
      <c r="P2505" s="40"/>
      <c r="Q2505" s="61"/>
      <c r="R2505" s="61"/>
      <c r="S2505" s="40"/>
      <c r="T2505" s="38"/>
      <c r="U2505" s="38"/>
      <c r="V2505" s="38"/>
      <c r="W2505" s="60"/>
      <c r="AB2505" s="42"/>
      <c r="AC2505" s="35"/>
      <c r="AD2505" s="38"/>
      <c r="AE2505" s="38"/>
      <c r="AF2505" s="38"/>
      <c r="AG2505" s="38"/>
      <c r="AH2505" s="60"/>
    </row>
    <row r="2506" spans="1:34" ht="15.75" customHeight="1">
      <c r="A2506" s="35"/>
      <c r="B2506" s="18" t="s">
        <v>8918</v>
      </c>
      <c r="C2506" s="37" t="s">
        <v>24</v>
      </c>
      <c r="D2506" s="20" t="s">
        <v>8919</v>
      </c>
      <c r="E2506" s="20" t="s">
        <v>8920</v>
      </c>
      <c r="F2506" s="19" t="s">
        <v>27</v>
      </c>
      <c r="G2506" s="19" t="s">
        <v>28</v>
      </c>
      <c r="H2506" s="37"/>
      <c r="I2506" s="21" t="s">
        <v>29</v>
      </c>
      <c r="J2506" s="21" t="s">
        <v>29</v>
      </c>
      <c r="K2506" s="22" t="s">
        <v>8920</v>
      </c>
      <c r="L2506" s="56">
        <v>45090</v>
      </c>
      <c r="O2506" s="42"/>
      <c r="P2506" s="40"/>
      <c r="Q2506" s="61"/>
      <c r="R2506" s="61"/>
      <c r="S2506" s="40"/>
      <c r="T2506" s="38"/>
      <c r="U2506" s="38"/>
      <c r="V2506" s="38"/>
      <c r="W2506" s="60"/>
      <c r="AB2506" s="42"/>
      <c r="AC2506" s="35"/>
      <c r="AD2506" s="38"/>
      <c r="AE2506" s="38"/>
      <c r="AF2506" s="38"/>
      <c r="AG2506" s="38"/>
      <c r="AH2506" s="60"/>
    </row>
    <row r="2507" spans="1:34" ht="15.75" customHeight="1">
      <c r="A2507" s="35"/>
      <c r="B2507" s="18" t="s">
        <v>8921</v>
      </c>
      <c r="C2507" s="37" t="s">
        <v>87</v>
      </c>
      <c r="D2507" s="20" t="s">
        <v>8922</v>
      </c>
      <c r="E2507" s="20" t="s">
        <v>8923</v>
      </c>
      <c r="F2507" s="19" t="s">
        <v>90</v>
      </c>
      <c r="G2507" s="19" t="s">
        <v>91</v>
      </c>
      <c r="H2507" s="37"/>
      <c r="I2507" s="21" t="s">
        <v>29</v>
      </c>
      <c r="J2507" s="21" t="s">
        <v>29</v>
      </c>
      <c r="K2507" s="22" t="s">
        <v>8924</v>
      </c>
      <c r="L2507" s="56">
        <v>45090</v>
      </c>
      <c r="O2507" s="42"/>
      <c r="P2507" s="40"/>
      <c r="Q2507" s="61"/>
      <c r="R2507" s="61"/>
      <c r="S2507" s="40"/>
      <c r="T2507" s="38"/>
      <c r="U2507" s="38"/>
      <c r="V2507" s="38"/>
      <c r="W2507" s="60"/>
      <c r="AB2507" s="42"/>
      <c r="AC2507" s="35"/>
      <c r="AD2507" s="38"/>
      <c r="AE2507" s="38"/>
      <c r="AF2507" s="38"/>
      <c r="AG2507" s="38"/>
      <c r="AH2507" s="60"/>
    </row>
    <row r="2508" spans="1:34" ht="15.75" customHeight="1">
      <c r="A2508" s="35"/>
      <c r="B2508" s="34" t="s">
        <v>8925</v>
      </c>
      <c r="C2508" s="37" t="s">
        <v>24</v>
      </c>
      <c r="D2508" s="20" t="s">
        <v>8926</v>
      </c>
      <c r="E2508" s="20" t="s">
        <v>8927</v>
      </c>
      <c r="F2508" s="19" t="s">
        <v>90</v>
      </c>
      <c r="G2508" s="19" t="s">
        <v>91</v>
      </c>
      <c r="H2508" s="37"/>
      <c r="I2508" s="21" t="s">
        <v>29</v>
      </c>
      <c r="J2508" s="21" t="s">
        <v>29</v>
      </c>
      <c r="K2508" s="22" t="s">
        <v>8928</v>
      </c>
      <c r="L2508" s="56">
        <v>45090</v>
      </c>
      <c r="O2508" s="42"/>
      <c r="P2508" s="40"/>
      <c r="Q2508" s="61"/>
      <c r="R2508" s="61"/>
      <c r="S2508" s="40"/>
      <c r="T2508" s="38"/>
      <c r="U2508" s="38"/>
      <c r="V2508" s="38"/>
      <c r="W2508" s="60"/>
      <c r="AB2508" s="42"/>
      <c r="AC2508" s="35"/>
      <c r="AD2508" s="38"/>
      <c r="AE2508" s="38"/>
      <c r="AF2508" s="38"/>
      <c r="AG2508" s="38"/>
      <c r="AH2508" s="60"/>
    </row>
    <row r="2509" spans="1:34" ht="15.75" customHeight="1">
      <c r="A2509" s="35"/>
      <c r="B2509" s="18" t="s">
        <v>8929</v>
      </c>
      <c r="C2509" s="37" t="s">
        <v>87</v>
      </c>
      <c r="D2509" s="20" t="s">
        <v>8930</v>
      </c>
      <c r="E2509" s="20" t="s">
        <v>8931</v>
      </c>
      <c r="F2509" s="19" t="s">
        <v>90</v>
      </c>
      <c r="G2509" s="19" t="s">
        <v>91</v>
      </c>
      <c r="H2509" s="37"/>
      <c r="I2509" s="21" t="s">
        <v>29</v>
      </c>
      <c r="J2509" s="21" t="s">
        <v>29</v>
      </c>
      <c r="K2509" s="22" t="s">
        <v>8932</v>
      </c>
      <c r="L2509" s="56">
        <v>45090</v>
      </c>
      <c r="O2509" s="42"/>
      <c r="P2509" s="40"/>
      <c r="Q2509" s="61"/>
      <c r="R2509" s="61"/>
      <c r="S2509" s="40"/>
      <c r="T2509" s="38"/>
      <c r="U2509" s="38"/>
      <c r="V2509" s="38"/>
      <c r="W2509" s="60"/>
      <c r="AB2509" s="42"/>
      <c r="AC2509" s="35"/>
      <c r="AD2509" s="38"/>
      <c r="AE2509" s="38"/>
      <c r="AF2509" s="38"/>
      <c r="AG2509" s="38"/>
      <c r="AH2509" s="60"/>
    </row>
    <row r="2510" spans="1:34" ht="15.75" customHeight="1">
      <c r="A2510" s="35"/>
      <c r="B2510" s="18" t="s">
        <v>8933</v>
      </c>
      <c r="C2510" s="37" t="s">
        <v>412</v>
      </c>
      <c r="D2510" s="20" t="s">
        <v>8934</v>
      </c>
      <c r="E2510" s="20" t="s">
        <v>8935</v>
      </c>
      <c r="F2510" s="19" t="s">
        <v>414</v>
      </c>
      <c r="G2510" s="19" t="s">
        <v>415</v>
      </c>
      <c r="H2510" s="37"/>
      <c r="I2510" s="21" t="s">
        <v>233</v>
      </c>
      <c r="J2510" s="21" t="s">
        <v>233</v>
      </c>
      <c r="K2510" s="22" t="s">
        <v>8936</v>
      </c>
      <c r="L2510" s="56">
        <v>45090</v>
      </c>
      <c r="O2510" s="42"/>
      <c r="P2510" s="40"/>
      <c r="Q2510" s="61"/>
      <c r="R2510" s="61"/>
      <c r="S2510" s="40"/>
      <c r="T2510" s="38"/>
      <c r="U2510" s="38"/>
      <c r="V2510" s="38"/>
      <c r="W2510" s="60"/>
      <c r="AB2510" s="42"/>
      <c r="AC2510" s="35"/>
      <c r="AD2510" s="38"/>
      <c r="AE2510" s="38"/>
      <c r="AF2510" s="38"/>
      <c r="AG2510" s="38"/>
      <c r="AH2510" s="60"/>
    </row>
    <row r="2511" spans="1:34" ht="15.75" customHeight="1">
      <c r="A2511" s="35"/>
      <c r="B2511" s="18" t="s">
        <v>8937</v>
      </c>
      <c r="C2511" s="37" t="s">
        <v>87</v>
      </c>
      <c r="D2511" s="20" t="s">
        <v>8938</v>
      </c>
      <c r="E2511" s="20" t="s">
        <v>8939</v>
      </c>
      <c r="F2511" s="19" t="s">
        <v>90</v>
      </c>
      <c r="G2511" s="19" t="s">
        <v>91</v>
      </c>
      <c r="H2511" s="37"/>
      <c r="I2511" s="21" t="s">
        <v>29</v>
      </c>
      <c r="J2511" s="21" t="s">
        <v>29</v>
      </c>
      <c r="K2511" s="22" t="s">
        <v>8940</v>
      </c>
      <c r="L2511" s="56">
        <v>45090</v>
      </c>
      <c r="O2511" s="42"/>
      <c r="P2511" s="40"/>
      <c r="Q2511" s="61"/>
      <c r="R2511" s="61"/>
      <c r="S2511" s="40"/>
      <c r="T2511" s="38"/>
      <c r="U2511" s="38"/>
      <c r="V2511" s="38"/>
      <c r="W2511" s="60"/>
      <c r="AB2511" s="42"/>
      <c r="AC2511" s="35"/>
      <c r="AD2511" s="38"/>
      <c r="AE2511" s="38"/>
      <c r="AF2511" s="38"/>
      <c r="AG2511" s="38"/>
      <c r="AH2511" s="60"/>
    </row>
    <row r="2512" spans="1:34" ht="15.75" customHeight="1">
      <c r="A2512" s="35"/>
      <c r="B2512" s="18" t="s">
        <v>8941</v>
      </c>
      <c r="C2512" s="37" t="s">
        <v>24</v>
      </c>
      <c r="D2512" s="20" t="s">
        <v>8942</v>
      </c>
      <c r="E2512" s="20"/>
      <c r="F2512" s="19" t="s">
        <v>27</v>
      </c>
      <c r="G2512" s="19" t="s">
        <v>28</v>
      </c>
      <c r="H2512" s="37"/>
      <c r="I2512" s="21" t="s">
        <v>29</v>
      </c>
      <c r="J2512" s="21" t="s">
        <v>29</v>
      </c>
      <c r="K2512" s="22"/>
      <c r="L2512" s="56">
        <v>45090</v>
      </c>
      <c r="O2512" s="42"/>
      <c r="P2512" s="40"/>
      <c r="Q2512" s="61"/>
      <c r="R2512" s="61"/>
      <c r="S2512" s="40"/>
      <c r="T2512" s="38"/>
      <c r="U2512" s="38"/>
      <c r="V2512" s="38"/>
      <c r="W2512" s="60"/>
      <c r="AB2512" s="42"/>
      <c r="AC2512" s="35"/>
      <c r="AD2512" s="38"/>
      <c r="AE2512" s="38"/>
      <c r="AF2512" s="38"/>
      <c r="AG2512" s="38"/>
      <c r="AH2512" s="60"/>
    </row>
    <row r="2513" spans="1:34" ht="15.75" customHeight="1">
      <c r="A2513" s="35"/>
      <c r="B2513" s="18" t="s">
        <v>8943</v>
      </c>
      <c r="C2513" s="37" t="s">
        <v>46</v>
      </c>
      <c r="D2513" s="20" t="s">
        <v>8944</v>
      </c>
      <c r="E2513" s="20" t="s">
        <v>8945</v>
      </c>
      <c r="F2513" s="37" t="s">
        <v>49</v>
      </c>
      <c r="G2513" s="19" t="s">
        <v>50</v>
      </c>
      <c r="H2513" s="37"/>
      <c r="I2513" s="21" t="s">
        <v>29</v>
      </c>
      <c r="J2513" s="21" t="s">
        <v>29</v>
      </c>
      <c r="K2513" s="22" t="s">
        <v>8946</v>
      </c>
      <c r="L2513" s="56">
        <v>45090</v>
      </c>
      <c r="O2513" s="42"/>
      <c r="P2513" s="40"/>
      <c r="Q2513" s="61"/>
      <c r="R2513" s="61"/>
      <c r="S2513" s="40"/>
      <c r="T2513" s="38"/>
      <c r="U2513" s="38"/>
      <c r="V2513" s="38"/>
      <c r="W2513" s="60"/>
      <c r="AB2513" s="42"/>
      <c r="AC2513" s="35"/>
      <c r="AD2513" s="38"/>
      <c r="AE2513" s="38"/>
      <c r="AF2513" s="38"/>
      <c r="AG2513" s="38"/>
      <c r="AH2513" s="60"/>
    </row>
    <row r="2514" spans="1:34" ht="15.75" customHeight="1">
      <c r="A2514" s="35"/>
      <c r="B2514" s="18" t="s">
        <v>8947</v>
      </c>
      <c r="C2514" s="37" t="s">
        <v>46</v>
      </c>
      <c r="D2514" s="20" t="s">
        <v>8948</v>
      </c>
      <c r="E2514" s="20" t="s">
        <v>8949</v>
      </c>
      <c r="F2514" s="37" t="s">
        <v>49</v>
      </c>
      <c r="G2514" s="19" t="s">
        <v>50</v>
      </c>
      <c r="H2514" s="37"/>
      <c r="I2514" s="21" t="s">
        <v>29</v>
      </c>
      <c r="J2514" s="21" t="s">
        <v>29</v>
      </c>
      <c r="K2514" s="22" t="s">
        <v>8950</v>
      </c>
      <c r="L2514" s="56">
        <v>45090</v>
      </c>
      <c r="O2514" s="42"/>
      <c r="P2514" s="40"/>
      <c r="Q2514" s="61"/>
      <c r="R2514" s="61"/>
      <c r="S2514" s="40"/>
      <c r="T2514" s="38"/>
      <c r="U2514" s="38"/>
      <c r="V2514" s="38"/>
      <c r="W2514" s="60"/>
      <c r="AB2514" s="42"/>
      <c r="AC2514" s="35"/>
      <c r="AD2514" s="38"/>
      <c r="AE2514" s="38"/>
      <c r="AF2514" s="38"/>
      <c r="AG2514" s="38"/>
      <c r="AH2514" s="60"/>
    </row>
    <row r="2515" spans="1:34" ht="15.75" customHeight="1">
      <c r="A2515" s="35"/>
      <c r="B2515" s="18" t="s">
        <v>8951</v>
      </c>
      <c r="C2515" s="37" t="s">
        <v>87</v>
      </c>
      <c r="D2515" s="20" t="s">
        <v>8952</v>
      </c>
      <c r="E2515" s="20" t="s">
        <v>8953</v>
      </c>
      <c r="F2515" s="19" t="s">
        <v>90</v>
      </c>
      <c r="G2515" s="19" t="s">
        <v>91</v>
      </c>
      <c r="H2515" s="37"/>
      <c r="I2515" s="21" t="s">
        <v>29</v>
      </c>
      <c r="J2515" s="21" t="s">
        <v>29</v>
      </c>
      <c r="K2515" s="22" t="s">
        <v>8954</v>
      </c>
      <c r="L2515" s="56">
        <v>45090</v>
      </c>
      <c r="O2515" s="42"/>
      <c r="P2515" s="40"/>
      <c r="Q2515" s="61"/>
      <c r="R2515" s="61"/>
      <c r="S2515" s="40"/>
      <c r="T2515" s="38"/>
      <c r="U2515" s="38"/>
      <c r="V2515" s="38"/>
      <c r="W2515" s="60"/>
      <c r="AB2515" s="42"/>
      <c r="AC2515" s="35"/>
      <c r="AD2515" s="38"/>
      <c r="AE2515" s="38"/>
      <c r="AF2515" s="38"/>
      <c r="AG2515" s="38"/>
      <c r="AH2515" s="60"/>
    </row>
    <row r="2516" spans="1:34" ht="15.75" customHeight="1">
      <c r="A2516" s="35"/>
      <c r="B2516" s="18" t="s">
        <v>8955</v>
      </c>
      <c r="C2516" s="37" t="s">
        <v>24</v>
      </c>
      <c r="D2516" s="20" t="s">
        <v>8956</v>
      </c>
      <c r="E2516" s="20" t="s">
        <v>8957</v>
      </c>
      <c r="F2516" s="19" t="s">
        <v>27</v>
      </c>
      <c r="G2516" s="19" t="s">
        <v>28</v>
      </c>
      <c r="H2516" s="19" t="s">
        <v>36</v>
      </c>
      <c r="I2516" s="21" t="s">
        <v>29</v>
      </c>
      <c r="J2516" s="21" t="s">
        <v>29</v>
      </c>
      <c r="K2516" s="22" t="s">
        <v>8958</v>
      </c>
      <c r="L2516" s="56">
        <v>45090</v>
      </c>
      <c r="O2516" s="42"/>
      <c r="P2516" s="40"/>
      <c r="Q2516" s="61"/>
      <c r="R2516" s="61"/>
      <c r="S2516" s="40"/>
      <c r="T2516" s="38"/>
      <c r="U2516" s="38"/>
      <c r="V2516" s="38"/>
      <c r="W2516" s="60"/>
      <c r="AB2516" s="42"/>
      <c r="AC2516" s="35"/>
      <c r="AD2516" s="38"/>
      <c r="AE2516" s="38"/>
      <c r="AF2516" s="38"/>
      <c r="AG2516" s="38"/>
      <c r="AH2516" s="60"/>
    </row>
    <row r="2517" spans="1:34" ht="15.75" customHeight="1">
      <c r="A2517" s="35"/>
      <c r="B2517" s="18" t="s">
        <v>8959</v>
      </c>
      <c r="C2517" s="37" t="s">
        <v>87</v>
      </c>
      <c r="D2517" s="20" t="s">
        <v>8960</v>
      </c>
      <c r="E2517" s="20" t="s">
        <v>8961</v>
      </c>
      <c r="F2517" s="19" t="s">
        <v>90</v>
      </c>
      <c r="G2517" s="19" t="s">
        <v>91</v>
      </c>
      <c r="H2517" s="37"/>
      <c r="I2517" s="21" t="s">
        <v>29</v>
      </c>
      <c r="J2517" s="21" t="s">
        <v>29</v>
      </c>
      <c r="K2517" s="22" t="s">
        <v>8962</v>
      </c>
      <c r="L2517" s="56">
        <v>45090</v>
      </c>
      <c r="O2517" s="42"/>
      <c r="P2517" s="40"/>
      <c r="Q2517" s="61"/>
      <c r="R2517" s="61"/>
      <c r="S2517" s="40"/>
      <c r="T2517" s="38"/>
      <c r="U2517" s="38"/>
      <c r="V2517" s="38"/>
      <c r="W2517" s="60"/>
      <c r="AB2517" s="42"/>
      <c r="AC2517" s="35"/>
      <c r="AD2517" s="38"/>
      <c r="AE2517" s="38"/>
      <c r="AF2517" s="38"/>
      <c r="AG2517" s="38"/>
      <c r="AH2517" s="60"/>
    </row>
    <row r="2518" spans="1:34" ht="15.75" customHeight="1">
      <c r="A2518" s="35"/>
      <c r="B2518" s="18" t="s">
        <v>8963</v>
      </c>
      <c r="C2518" s="37" t="s">
        <v>24</v>
      </c>
      <c r="D2518" s="20" t="s">
        <v>8964</v>
      </c>
      <c r="E2518" s="20"/>
      <c r="F2518" s="19" t="s">
        <v>27</v>
      </c>
      <c r="G2518" s="19" t="s">
        <v>28</v>
      </c>
      <c r="H2518" s="37"/>
      <c r="I2518" s="21" t="s">
        <v>29</v>
      </c>
      <c r="J2518" s="21" t="s">
        <v>29</v>
      </c>
      <c r="K2518" s="22"/>
      <c r="L2518" s="56">
        <v>45090</v>
      </c>
      <c r="O2518" s="42"/>
      <c r="P2518" s="40"/>
      <c r="Q2518" s="61"/>
      <c r="R2518" s="61"/>
      <c r="S2518" s="40"/>
      <c r="T2518" s="38"/>
      <c r="U2518" s="38"/>
      <c r="V2518" s="38"/>
      <c r="W2518" s="60"/>
      <c r="AB2518" s="42"/>
      <c r="AC2518" s="35"/>
      <c r="AD2518" s="38"/>
      <c r="AE2518" s="38"/>
      <c r="AF2518" s="38"/>
      <c r="AG2518" s="38"/>
      <c r="AH2518" s="60"/>
    </row>
    <row r="2519" spans="1:34" ht="15.75" customHeight="1">
      <c r="A2519" s="35"/>
      <c r="B2519" s="18" t="s">
        <v>8965</v>
      </c>
      <c r="C2519" s="37" t="s">
        <v>24</v>
      </c>
      <c r="D2519" s="20" t="s">
        <v>8966</v>
      </c>
      <c r="E2519" s="20" t="s">
        <v>8967</v>
      </c>
      <c r="F2519" s="19" t="s">
        <v>27</v>
      </c>
      <c r="G2519" s="19" t="s">
        <v>28</v>
      </c>
      <c r="H2519" s="37"/>
      <c r="I2519" s="21" t="s">
        <v>29</v>
      </c>
      <c r="J2519" s="21" t="s">
        <v>29</v>
      </c>
      <c r="K2519" s="22" t="s">
        <v>8968</v>
      </c>
      <c r="L2519" s="56">
        <v>45090</v>
      </c>
      <c r="O2519" s="42"/>
      <c r="P2519" s="40"/>
      <c r="Q2519" s="61"/>
      <c r="R2519" s="61"/>
      <c r="S2519" s="40"/>
      <c r="T2519" s="38"/>
      <c r="U2519" s="38"/>
      <c r="V2519" s="38"/>
      <c r="W2519" s="60"/>
      <c r="AB2519" s="42"/>
      <c r="AC2519" s="35"/>
      <c r="AD2519" s="38"/>
      <c r="AE2519" s="38"/>
      <c r="AF2519" s="38"/>
      <c r="AG2519" s="38"/>
      <c r="AH2519" s="60"/>
    </row>
    <row r="2520" spans="1:34" ht="15.75" customHeight="1">
      <c r="A2520" s="35"/>
      <c r="B2520" s="18" t="s">
        <v>8969</v>
      </c>
      <c r="C2520" s="37" t="s">
        <v>87</v>
      </c>
      <c r="D2520" s="20" t="s">
        <v>8970</v>
      </c>
      <c r="E2520" s="20" t="s">
        <v>8971</v>
      </c>
      <c r="F2520" s="19" t="s">
        <v>90</v>
      </c>
      <c r="G2520" s="19" t="s">
        <v>91</v>
      </c>
      <c r="H2520" s="37"/>
      <c r="I2520" s="21" t="s">
        <v>29</v>
      </c>
      <c r="J2520" s="21" t="s">
        <v>29</v>
      </c>
      <c r="K2520" s="22" t="s">
        <v>8972</v>
      </c>
      <c r="L2520" s="56">
        <v>45090</v>
      </c>
      <c r="O2520" s="42"/>
      <c r="P2520" s="40"/>
      <c r="Q2520" s="61"/>
      <c r="R2520" s="61"/>
      <c r="S2520" s="40"/>
      <c r="T2520" s="38"/>
      <c r="U2520" s="38"/>
      <c r="V2520" s="38"/>
      <c r="W2520" s="60"/>
      <c r="AB2520" s="42"/>
      <c r="AC2520" s="35"/>
      <c r="AD2520" s="38"/>
      <c r="AE2520" s="38"/>
      <c r="AF2520" s="38"/>
      <c r="AG2520" s="38"/>
      <c r="AH2520" s="60"/>
    </row>
    <row r="2521" spans="1:34" ht="15.75" customHeight="1">
      <c r="A2521" s="35"/>
      <c r="B2521" s="29" t="s">
        <v>8973</v>
      </c>
      <c r="C2521" s="37" t="s">
        <v>46</v>
      </c>
      <c r="D2521" s="20" t="s">
        <v>8974</v>
      </c>
      <c r="E2521" s="20" t="s">
        <v>8975</v>
      </c>
      <c r="F2521" s="37" t="s">
        <v>286</v>
      </c>
      <c r="G2521" s="19" t="s">
        <v>50</v>
      </c>
      <c r="H2521" s="37"/>
      <c r="I2521" s="21" t="s">
        <v>286</v>
      </c>
      <c r="J2521" s="21" t="s">
        <v>29</v>
      </c>
      <c r="K2521" s="22" t="s">
        <v>8976</v>
      </c>
      <c r="L2521" s="56"/>
      <c r="O2521" s="42"/>
      <c r="P2521" s="40"/>
      <c r="Q2521" s="61"/>
      <c r="R2521" s="61"/>
      <c r="S2521" s="40"/>
      <c r="T2521" s="38"/>
      <c r="U2521" s="38"/>
      <c r="V2521" s="38"/>
      <c r="W2521" s="60"/>
      <c r="AB2521" s="42"/>
      <c r="AC2521" s="35"/>
      <c r="AD2521" s="38"/>
      <c r="AE2521" s="38"/>
      <c r="AF2521" s="38"/>
      <c r="AG2521" s="38"/>
      <c r="AH2521" s="60"/>
    </row>
    <row r="2522" spans="1:34" ht="15.75" customHeight="1">
      <c r="A2522" s="35"/>
      <c r="B2522" s="18" t="s">
        <v>8977</v>
      </c>
      <c r="C2522" s="37" t="s">
        <v>46</v>
      </c>
      <c r="D2522" s="20" t="s">
        <v>8978</v>
      </c>
      <c r="E2522" s="20" t="s">
        <v>8979</v>
      </c>
      <c r="F2522" s="37" t="s">
        <v>49</v>
      </c>
      <c r="G2522" s="19" t="s">
        <v>50</v>
      </c>
      <c r="H2522" s="37"/>
      <c r="I2522" s="21" t="s">
        <v>29</v>
      </c>
      <c r="J2522" s="21" t="s">
        <v>29</v>
      </c>
      <c r="K2522" s="22" t="s">
        <v>8980</v>
      </c>
      <c r="L2522" s="56">
        <v>45090</v>
      </c>
      <c r="O2522" s="42"/>
      <c r="P2522" s="40"/>
      <c r="Q2522" s="61"/>
      <c r="R2522" s="61"/>
      <c r="S2522" s="40"/>
      <c r="T2522" s="38"/>
      <c r="U2522" s="38"/>
      <c r="V2522" s="38"/>
      <c r="W2522" s="60"/>
      <c r="AB2522" s="42"/>
      <c r="AC2522" s="35"/>
      <c r="AD2522" s="38"/>
      <c r="AE2522" s="38"/>
      <c r="AF2522" s="38"/>
      <c r="AG2522" s="38"/>
      <c r="AH2522" s="60"/>
    </row>
    <row r="2523" spans="1:34" ht="15.75" customHeight="1">
      <c r="A2523" s="35"/>
      <c r="B2523" s="18" t="s">
        <v>8981</v>
      </c>
      <c r="C2523" s="37" t="s">
        <v>46</v>
      </c>
      <c r="D2523" s="20" t="s">
        <v>8982</v>
      </c>
      <c r="E2523" s="20" t="s">
        <v>8983</v>
      </c>
      <c r="F2523" s="37" t="s">
        <v>49</v>
      </c>
      <c r="G2523" s="19" t="s">
        <v>50</v>
      </c>
      <c r="H2523" s="37"/>
      <c r="I2523" s="21" t="s">
        <v>29</v>
      </c>
      <c r="J2523" s="21" t="s">
        <v>29</v>
      </c>
      <c r="K2523" s="22" t="s">
        <v>8983</v>
      </c>
      <c r="L2523" s="56">
        <v>45090</v>
      </c>
      <c r="O2523" s="42"/>
      <c r="P2523" s="40"/>
      <c r="Q2523" s="61"/>
      <c r="R2523" s="61"/>
      <c r="S2523" s="40"/>
      <c r="T2523" s="38"/>
      <c r="U2523" s="38"/>
      <c r="V2523" s="38"/>
      <c r="W2523" s="60"/>
      <c r="AB2523" s="42"/>
      <c r="AC2523" s="35"/>
      <c r="AD2523" s="38"/>
      <c r="AE2523" s="38"/>
      <c r="AF2523" s="38"/>
      <c r="AG2523" s="38"/>
      <c r="AH2523" s="60"/>
    </row>
    <row r="2524" spans="1:34" ht="15.75" customHeight="1">
      <c r="A2524" s="35"/>
      <c r="B2524" s="18" t="s">
        <v>8984</v>
      </c>
      <c r="C2524" s="37" t="s">
        <v>46</v>
      </c>
      <c r="D2524" s="20" t="s">
        <v>8985</v>
      </c>
      <c r="E2524" s="20" t="s">
        <v>8986</v>
      </c>
      <c r="F2524" s="37" t="s">
        <v>49</v>
      </c>
      <c r="G2524" s="19" t="s">
        <v>50</v>
      </c>
      <c r="H2524" s="37"/>
      <c r="I2524" s="21" t="s">
        <v>29</v>
      </c>
      <c r="J2524" s="21" t="s">
        <v>29</v>
      </c>
      <c r="K2524" s="22" t="s">
        <v>8987</v>
      </c>
      <c r="L2524" s="56">
        <v>45090</v>
      </c>
      <c r="O2524" s="42"/>
      <c r="P2524" s="40"/>
      <c r="Q2524" s="61"/>
      <c r="R2524" s="61"/>
      <c r="S2524" s="40"/>
      <c r="T2524" s="38"/>
      <c r="U2524" s="38"/>
      <c r="V2524" s="38"/>
      <c r="W2524" s="60"/>
      <c r="AB2524" s="42"/>
      <c r="AC2524" s="35"/>
      <c r="AD2524" s="38"/>
      <c r="AE2524" s="38"/>
      <c r="AF2524" s="38"/>
      <c r="AG2524" s="38"/>
      <c r="AH2524" s="60"/>
    </row>
    <row r="2525" spans="1:34" ht="15.75" customHeight="1">
      <c r="A2525" s="35"/>
      <c r="B2525" s="18" t="s">
        <v>8988</v>
      </c>
      <c r="C2525" s="37" t="s">
        <v>87</v>
      </c>
      <c r="D2525" s="20" t="s">
        <v>8989</v>
      </c>
      <c r="E2525" s="20" t="s">
        <v>8990</v>
      </c>
      <c r="F2525" s="19" t="s">
        <v>90</v>
      </c>
      <c r="G2525" s="19" t="s">
        <v>91</v>
      </c>
      <c r="H2525" s="37"/>
      <c r="I2525" s="21" t="s">
        <v>29</v>
      </c>
      <c r="J2525" s="21" t="s">
        <v>29</v>
      </c>
      <c r="K2525" s="22" t="s">
        <v>8991</v>
      </c>
      <c r="L2525" s="56">
        <v>45090</v>
      </c>
      <c r="O2525" s="42"/>
      <c r="P2525" s="40"/>
      <c r="Q2525" s="61"/>
      <c r="R2525" s="61"/>
      <c r="S2525" s="40"/>
      <c r="T2525" s="38"/>
      <c r="U2525" s="38"/>
      <c r="V2525" s="38"/>
      <c r="W2525" s="60"/>
      <c r="AB2525" s="42"/>
      <c r="AC2525" s="35"/>
      <c r="AD2525" s="38"/>
      <c r="AE2525" s="38"/>
      <c r="AF2525" s="38"/>
      <c r="AG2525" s="38"/>
      <c r="AH2525" s="60"/>
    </row>
    <row r="2526" spans="1:34" ht="15.75" customHeight="1">
      <c r="A2526" s="35"/>
      <c r="B2526" s="18" t="s">
        <v>8992</v>
      </c>
      <c r="C2526" s="37" t="s">
        <v>46</v>
      </c>
      <c r="D2526" s="20" t="s">
        <v>8993</v>
      </c>
      <c r="E2526" s="20" t="s">
        <v>8994</v>
      </c>
      <c r="F2526" s="37" t="s">
        <v>49</v>
      </c>
      <c r="G2526" s="19" t="s">
        <v>50</v>
      </c>
      <c r="H2526" s="37"/>
      <c r="I2526" s="21" t="s">
        <v>29</v>
      </c>
      <c r="J2526" s="21" t="s">
        <v>29</v>
      </c>
      <c r="K2526" s="22" t="s">
        <v>8995</v>
      </c>
      <c r="L2526" s="56">
        <v>45090</v>
      </c>
      <c r="O2526" s="42"/>
      <c r="P2526" s="40"/>
      <c r="Q2526" s="61"/>
      <c r="R2526" s="61"/>
      <c r="S2526" s="40"/>
      <c r="T2526" s="38"/>
      <c r="U2526" s="38"/>
      <c r="V2526" s="38"/>
      <c r="W2526" s="60"/>
      <c r="AB2526" s="42"/>
      <c r="AC2526" s="35"/>
      <c r="AD2526" s="38"/>
      <c r="AE2526" s="38"/>
      <c r="AF2526" s="38"/>
      <c r="AG2526" s="38"/>
      <c r="AH2526" s="60"/>
    </row>
    <row r="2527" spans="1:34" ht="15.75" customHeight="1">
      <c r="A2527" s="35"/>
      <c r="B2527" s="18" t="s">
        <v>8996</v>
      </c>
      <c r="C2527" s="37" t="s">
        <v>24</v>
      </c>
      <c r="D2527" s="20" t="s">
        <v>8997</v>
      </c>
      <c r="E2527" s="20" t="s">
        <v>8998</v>
      </c>
      <c r="F2527" s="19" t="s">
        <v>27</v>
      </c>
      <c r="G2527" s="19" t="s">
        <v>28</v>
      </c>
      <c r="H2527" s="37"/>
      <c r="I2527" s="21" t="s">
        <v>29</v>
      </c>
      <c r="J2527" s="21" t="s">
        <v>29</v>
      </c>
      <c r="K2527" s="22" t="s">
        <v>8999</v>
      </c>
      <c r="L2527" s="56">
        <v>45090</v>
      </c>
      <c r="O2527" s="42"/>
      <c r="P2527" s="40"/>
      <c r="Q2527" s="61"/>
      <c r="R2527" s="61"/>
      <c r="S2527" s="40"/>
      <c r="T2527" s="38"/>
      <c r="U2527" s="38"/>
      <c r="V2527" s="38"/>
      <c r="W2527" s="60"/>
      <c r="AB2527" s="42"/>
      <c r="AC2527" s="35"/>
      <c r="AD2527" s="38"/>
      <c r="AE2527" s="38"/>
      <c r="AF2527" s="38"/>
      <c r="AG2527" s="38"/>
      <c r="AH2527" s="60"/>
    </row>
    <row r="2528" spans="1:34" ht="15.75" customHeight="1">
      <c r="A2528" s="35"/>
      <c r="B2528" s="34" t="s">
        <v>9000</v>
      </c>
      <c r="C2528" s="37" t="s">
        <v>87</v>
      </c>
      <c r="D2528" s="20" t="s">
        <v>9001</v>
      </c>
      <c r="E2528" s="20" t="s">
        <v>9002</v>
      </c>
      <c r="F2528" s="37" t="s">
        <v>49</v>
      </c>
      <c r="G2528" s="19" t="s">
        <v>50</v>
      </c>
      <c r="H2528" s="37"/>
      <c r="I2528" s="21" t="s">
        <v>29</v>
      </c>
      <c r="J2528" s="21" t="s">
        <v>29</v>
      </c>
      <c r="K2528" s="22" t="s">
        <v>9003</v>
      </c>
      <c r="L2528" s="56">
        <v>45090</v>
      </c>
      <c r="O2528" s="42"/>
      <c r="P2528" s="40"/>
      <c r="Q2528" s="61"/>
      <c r="R2528" s="61"/>
      <c r="S2528" s="40"/>
      <c r="T2528" s="38"/>
      <c r="U2528" s="38"/>
      <c r="V2528" s="38"/>
      <c r="W2528" s="60"/>
      <c r="AB2528" s="42"/>
      <c r="AC2528" s="35"/>
      <c r="AD2528" s="38"/>
      <c r="AE2528" s="38"/>
      <c r="AF2528" s="38"/>
      <c r="AG2528" s="38"/>
      <c r="AH2528" s="60"/>
    </row>
    <row r="2529" spans="1:34" ht="15.75" customHeight="1">
      <c r="A2529" s="35"/>
      <c r="B2529" s="18" t="s">
        <v>9004</v>
      </c>
      <c r="C2529" s="37" t="s">
        <v>87</v>
      </c>
      <c r="D2529" s="20" t="s">
        <v>9005</v>
      </c>
      <c r="E2529" s="20" t="s">
        <v>9006</v>
      </c>
      <c r="F2529" s="19" t="s">
        <v>90</v>
      </c>
      <c r="G2529" s="19" t="s">
        <v>91</v>
      </c>
      <c r="H2529" s="37"/>
      <c r="I2529" s="21" t="s">
        <v>29</v>
      </c>
      <c r="J2529" s="21" t="s">
        <v>29</v>
      </c>
      <c r="K2529" s="22" t="s">
        <v>9007</v>
      </c>
      <c r="L2529" s="56">
        <v>45090</v>
      </c>
      <c r="O2529" s="42"/>
      <c r="P2529" s="40"/>
      <c r="Q2529" s="61"/>
      <c r="R2529" s="61"/>
      <c r="S2529" s="40"/>
      <c r="T2529" s="38"/>
      <c r="U2529" s="38"/>
      <c r="V2529" s="38"/>
      <c r="W2529" s="60"/>
      <c r="AB2529" s="42"/>
      <c r="AC2529" s="35"/>
      <c r="AD2529" s="38"/>
      <c r="AE2529" s="38"/>
      <c r="AF2529" s="38"/>
      <c r="AG2529" s="38"/>
      <c r="AH2529" s="60"/>
    </row>
    <row r="2530" spans="1:34" ht="15.75" customHeight="1">
      <c r="A2530" s="35"/>
      <c r="B2530" s="18" t="s">
        <v>9008</v>
      </c>
      <c r="C2530" s="37" t="s">
        <v>87</v>
      </c>
      <c r="D2530" s="20" t="s">
        <v>9009</v>
      </c>
      <c r="E2530" s="20" t="s">
        <v>9010</v>
      </c>
      <c r="F2530" s="19" t="s">
        <v>90</v>
      </c>
      <c r="G2530" s="19" t="s">
        <v>91</v>
      </c>
      <c r="H2530" s="37"/>
      <c r="I2530" s="21" t="s">
        <v>29</v>
      </c>
      <c r="J2530" s="21" t="s">
        <v>29</v>
      </c>
      <c r="K2530" s="22" t="s">
        <v>9011</v>
      </c>
      <c r="L2530" s="56">
        <v>45090</v>
      </c>
      <c r="O2530" s="42"/>
      <c r="P2530" s="40"/>
      <c r="Q2530" s="61"/>
      <c r="R2530" s="61"/>
      <c r="S2530" s="40"/>
      <c r="T2530" s="38"/>
      <c r="U2530" s="38"/>
      <c r="V2530" s="38"/>
      <c r="W2530" s="60"/>
      <c r="AB2530" s="42"/>
      <c r="AC2530" s="35"/>
      <c r="AD2530" s="38"/>
      <c r="AE2530" s="38"/>
      <c r="AF2530" s="38"/>
      <c r="AG2530" s="38"/>
      <c r="AH2530" s="60"/>
    </row>
    <row r="2531" spans="1:34" ht="15.75" customHeight="1">
      <c r="A2531" s="35"/>
      <c r="B2531" s="18" t="s">
        <v>9012</v>
      </c>
      <c r="C2531" s="37" t="s">
        <v>46</v>
      </c>
      <c r="D2531" s="20" t="s">
        <v>9013</v>
      </c>
      <c r="E2531" s="20" t="s">
        <v>9014</v>
      </c>
      <c r="F2531" s="37" t="s">
        <v>49</v>
      </c>
      <c r="G2531" s="19" t="s">
        <v>50</v>
      </c>
      <c r="H2531" s="37"/>
      <c r="I2531" s="21" t="s">
        <v>29</v>
      </c>
      <c r="J2531" s="21" t="s">
        <v>29</v>
      </c>
      <c r="K2531" s="22" t="s">
        <v>9015</v>
      </c>
      <c r="L2531" s="56">
        <v>45090</v>
      </c>
      <c r="O2531" s="42"/>
      <c r="P2531" s="40"/>
      <c r="Q2531" s="61"/>
      <c r="R2531" s="61"/>
      <c r="S2531" s="40"/>
      <c r="T2531" s="38"/>
      <c r="U2531" s="38"/>
      <c r="V2531" s="38"/>
      <c r="W2531" s="60"/>
      <c r="AB2531" s="42"/>
      <c r="AC2531" s="35"/>
      <c r="AD2531" s="38"/>
      <c r="AE2531" s="38"/>
      <c r="AF2531" s="38"/>
      <c r="AG2531" s="38"/>
      <c r="AH2531" s="60"/>
    </row>
    <row r="2532" spans="1:34" ht="15.75" customHeight="1">
      <c r="A2532" s="35"/>
      <c r="B2532" s="36" t="s">
        <v>9016</v>
      </c>
      <c r="C2532" s="19" t="s">
        <v>121</v>
      </c>
      <c r="D2532" s="20" t="s">
        <v>9017</v>
      </c>
      <c r="E2532" s="20" t="s">
        <v>9018</v>
      </c>
      <c r="F2532" s="19" t="s">
        <v>27</v>
      </c>
      <c r="G2532" s="37" t="s">
        <v>452</v>
      </c>
      <c r="H2532" s="37"/>
      <c r="I2532" s="21" t="s">
        <v>29</v>
      </c>
      <c r="J2532" s="21" t="s">
        <v>452</v>
      </c>
      <c r="K2532" s="22" t="s">
        <v>9018</v>
      </c>
      <c r="L2532" s="56">
        <v>45090</v>
      </c>
      <c r="O2532" s="42"/>
      <c r="P2532" s="40"/>
      <c r="Q2532" s="61"/>
      <c r="R2532" s="61"/>
      <c r="S2532" s="40"/>
      <c r="T2532" s="38"/>
      <c r="U2532" s="38"/>
      <c r="V2532" s="38"/>
      <c r="W2532" s="60"/>
      <c r="AB2532" s="42"/>
      <c r="AC2532" s="35"/>
      <c r="AD2532" s="38"/>
      <c r="AE2532" s="38"/>
      <c r="AF2532" s="38"/>
      <c r="AG2532" s="38"/>
      <c r="AH2532" s="60"/>
    </row>
    <row r="2533" spans="1:34" ht="15.75" customHeight="1">
      <c r="A2533" s="35"/>
      <c r="B2533" s="18" t="s">
        <v>9019</v>
      </c>
      <c r="C2533" s="37" t="s">
        <v>24</v>
      </c>
      <c r="D2533" s="20" t="s">
        <v>9020</v>
      </c>
      <c r="E2533" s="20" t="s">
        <v>9021</v>
      </c>
      <c r="F2533" s="19" t="s">
        <v>27</v>
      </c>
      <c r="G2533" s="19" t="s">
        <v>28</v>
      </c>
      <c r="H2533" s="37"/>
      <c r="I2533" s="21" t="s">
        <v>29</v>
      </c>
      <c r="J2533" s="21" t="s">
        <v>29</v>
      </c>
      <c r="K2533" s="22" t="s">
        <v>9022</v>
      </c>
      <c r="L2533" s="56">
        <v>45090</v>
      </c>
      <c r="O2533" s="42"/>
      <c r="P2533" s="40"/>
      <c r="Q2533" s="61"/>
      <c r="R2533" s="61"/>
      <c r="S2533" s="40"/>
      <c r="T2533" s="38"/>
      <c r="U2533" s="38"/>
      <c r="V2533" s="38"/>
      <c r="W2533" s="60"/>
      <c r="AB2533" s="42"/>
      <c r="AC2533" s="35"/>
      <c r="AD2533" s="38"/>
      <c r="AE2533" s="38"/>
      <c r="AF2533" s="38"/>
      <c r="AG2533" s="38"/>
      <c r="AH2533" s="60"/>
    </row>
    <row r="2534" spans="1:34" ht="15.75" customHeight="1">
      <c r="A2534" s="35"/>
      <c r="B2534" s="18" t="s">
        <v>9023</v>
      </c>
      <c r="C2534" s="37" t="s">
        <v>24</v>
      </c>
      <c r="D2534" s="20" t="s">
        <v>9024</v>
      </c>
      <c r="E2534" s="20" t="s">
        <v>9025</v>
      </c>
      <c r="F2534" s="19" t="s">
        <v>27</v>
      </c>
      <c r="G2534" s="19" t="s">
        <v>28</v>
      </c>
      <c r="H2534" s="37"/>
      <c r="I2534" s="21" t="s">
        <v>29</v>
      </c>
      <c r="J2534" s="21" t="s">
        <v>29</v>
      </c>
      <c r="K2534" s="22" t="s">
        <v>9026</v>
      </c>
      <c r="L2534" s="56">
        <v>45090</v>
      </c>
      <c r="O2534" s="42"/>
      <c r="P2534" s="40"/>
      <c r="Q2534" s="61"/>
      <c r="R2534" s="61"/>
      <c r="S2534" s="40"/>
      <c r="T2534" s="38"/>
      <c r="U2534" s="38"/>
      <c r="V2534" s="38"/>
      <c r="W2534" s="60"/>
      <c r="AB2534" s="42"/>
      <c r="AC2534" s="35"/>
      <c r="AD2534" s="38"/>
      <c r="AE2534" s="38"/>
      <c r="AF2534" s="38"/>
      <c r="AG2534" s="38"/>
      <c r="AH2534" s="60"/>
    </row>
    <row r="2535" spans="1:34" ht="15.75" customHeight="1">
      <c r="A2535" s="35"/>
      <c r="B2535" s="38"/>
      <c r="C2535" s="37"/>
      <c r="D2535" s="20"/>
      <c r="E2535" s="20"/>
      <c r="F2535" s="37"/>
      <c r="G2535" s="37"/>
      <c r="H2535" s="37"/>
      <c r="I2535" s="21"/>
      <c r="J2535" s="21"/>
      <c r="K2535" s="22"/>
      <c r="L2535" s="39"/>
      <c r="O2535" s="42"/>
      <c r="P2535" s="40"/>
      <c r="Q2535" s="61"/>
      <c r="R2535" s="61"/>
      <c r="S2535" s="40"/>
      <c r="T2535" s="38"/>
      <c r="U2535" s="38"/>
      <c r="V2535" s="38"/>
      <c r="W2535" s="60"/>
      <c r="AB2535" s="42"/>
      <c r="AC2535" s="35"/>
      <c r="AD2535" s="38"/>
      <c r="AE2535" s="38"/>
      <c r="AF2535" s="38"/>
      <c r="AG2535" s="38"/>
      <c r="AH2535" s="60"/>
    </row>
    <row r="2536" spans="1:34" ht="15.75" customHeight="1">
      <c r="A2536" s="38" t="s">
        <v>9027</v>
      </c>
      <c r="B2536" s="29" t="s">
        <v>9028</v>
      </c>
      <c r="C2536" s="37" t="s">
        <v>1470</v>
      </c>
      <c r="D2536" s="20" t="s">
        <v>9029</v>
      </c>
      <c r="E2536" s="20" t="s">
        <v>9030</v>
      </c>
      <c r="F2536" s="37" t="s">
        <v>286</v>
      </c>
      <c r="G2536" s="19" t="s">
        <v>1461</v>
      </c>
      <c r="H2536" s="37"/>
      <c r="I2536" s="21" t="s">
        <v>286</v>
      </c>
      <c r="J2536" s="21" t="s">
        <v>233</v>
      </c>
      <c r="K2536" s="22" t="s">
        <v>9030</v>
      </c>
      <c r="L2536" s="56"/>
      <c r="M2536" s="40"/>
      <c r="N2536" s="40"/>
      <c r="O2536" s="42"/>
      <c r="P2536" s="40"/>
      <c r="Q2536" s="61"/>
      <c r="R2536" s="61"/>
      <c r="S2536" s="40"/>
      <c r="T2536" s="38"/>
      <c r="U2536" s="38"/>
      <c r="V2536" s="38"/>
      <c r="W2536" s="60"/>
      <c r="AB2536" s="42"/>
      <c r="AC2536" s="35"/>
      <c r="AD2536" s="38"/>
      <c r="AE2536" s="38"/>
      <c r="AF2536" s="38"/>
      <c r="AG2536" s="38"/>
      <c r="AH2536" s="60"/>
    </row>
    <row r="2537" spans="1:34" ht="15.75" customHeight="1">
      <c r="A2537" s="54" t="s">
        <v>2714</v>
      </c>
      <c r="B2537" s="29" t="s">
        <v>9031</v>
      </c>
      <c r="C2537" s="37" t="s">
        <v>24</v>
      </c>
      <c r="D2537" s="20" t="s">
        <v>9032</v>
      </c>
      <c r="E2537" s="20" t="s">
        <v>9033</v>
      </c>
      <c r="F2537" s="19" t="s">
        <v>27</v>
      </c>
      <c r="G2537" s="19" t="s">
        <v>28</v>
      </c>
      <c r="H2537" s="19" t="s">
        <v>36</v>
      </c>
      <c r="I2537" s="21" t="s">
        <v>29</v>
      </c>
      <c r="J2537" s="21" t="s">
        <v>29</v>
      </c>
      <c r="K2537" s="22" t="s">
        <v>9034</v>
      </c>
      <c r="L2537" s="56">
        <v>45090</v>
      </c>
      <c r="M2537" s="40"/>
      <c r="N2537" s="40"/>
      <c r="O2537" s="42"/>
      <c r="P2537" s="40"/>
      <c r="Q2537" s="61"/>
      <c r="R2537" s="61"/>
      <c r="S2537" s="40"/>
      <c r="T2537" s="38"/>
      <c r="U2537" s="38"/>
      <c r="V2537" s="38"/>
      <c r="W2537" s="60"/>
      <c r="AB2537" s="42"/>
      <c r="AC2537" s="35"/>
      <c r="AD2537" s="38"/>
      <c r="AE2537" s="38"/>
      <c r="AF2537" s="38"/>
      <c r="AG2537" s="38"/>
      <c r="AH2537" s="60"/>
    </row>
    <row r="2538" spans="1:34" ht="15.75" customHeight="1">
      <c r="A2538" s="114" t="s">
        <v>39</v>
      </c>
      <c r="B2538" s="18" t="s">
        <v>9035</v>
      </c>
      <c r="C2538" s="37" t="s">
        <v>1638</v>
      </c>
      <c r="D2538" s="20" t="s">
        <v>9036</v>
      </c>
      <c r="E2538" s="20" t="s">
        <v>9037</v>
      </c>
      <c r="F2538" s="37" t="s">
        <v>1399</v>
      </c>
      <c r="G2538" s="19" t="s">
        <v>1641</v>
      </c>
      <c r="H2538" s="37"/>
      <c r="I2538" s="21" t="s">
        <v>1371</v>
      </c>
      <c r="J2538" s="21" t="s">
        <v>1371</v>
      </c>
      <c r="K2538" s="22" t="s">
        <v>9038</v>
      </c>
      <c r="L2538" s="56">
        <v>45090</v>
      </c>
      <c r="O2538" s="42"/>
      <c r="P2538" s="40"/>
      <c r="Q2538" s="61"/>
      <c r="R2538" s="61"/>
      <c r="S2538" s="40"/>
      <c r="T2538" s="38"/>
      <c r="U2538" s="38"/>
      <c r="V2538" s="38"/>
      <c r="W2538" s="60"/>
      <c r="AB2538" s="42"/>
      <c r="AC2538" s="35"/>
      <c r="AD2538" s="38"/>
      <c r="AE2538" s="38"/>
      <c r="AF2538" s="38"/>
      <c r="AG2538" s="38"/>
      <c r="AH2538" s="60"/>
    </row>
    <row r="2539" spans="1:34" ht="15.75" customHeight="1">
      <c r="A2539" s="38" t="s">
        <v>8836</v>
      </c>
      <c r="B2539" s="36" t="s">
        <v>9039</v>
      </c>
      <c r="C2539" s="19" t="s">
        <v>121</v>
      </c>
      <c r="D2539" s="20" t="s">
        <v>9040</v>
      </c>
      <c r="E2539" s="20" t="s">
        <v>9041</v>
      </c>
      <c r="F2539" s="19" t="s">
        <v>3286</v>
      </c>
      <c r="G2539" s="37" t="s">
        <v>452</v>
      </c>
      <c r="H2539" s="37"/>
      <c r="I2539" s="21" t="s">
        <v>233</v>
      </c>
      <c r="J2539" s="21" t="s">
        <v>452</v>
      </c>
      <c r="K2539" s="22" t="s">
        <v>9042</v>
      </c>
      <c r="L2539" s="56">
        <v>45090</v>
      </c>
      <c r="O2539" s="42"/>
      <c r="P2539" s="40"/>
      <c r="Q2539" s="61"/>
      <c r="R2539" s="61"/>
      <c r="S2539" s="40"/>
      <c r="T2539" s="38"/>
      <c r="U2539" s="38"/>
      <c r="V2539" s="38"/>
      <c r="W2539" s="60"/>
      <c r="AB2539" s="42"/>
      <c r="AC2539" s="35"/>
      <c r="AD2539" s="38"/>
      <c r="AE2539" s="38"/>
      <c r="AF2539" s="38"/>
      <c r="AG2539" s="38"/>
      <c r="AH2539" s="60"/>
    </row>
    <row r="2540" spans="1:34" ht="15.75" customHeight="1">
      <c r="A2540" s="38" t="s">
        <v>9043</v>
      </c>
      <c r="B2540" s="18" t="s">
        <v>9044</v>
      </c>
      <c r="C2540" s="37" t="s">
        <v>24</v>
      </c>
      <c r="D2540" s="20" t="s">
        <v>9045</v>
      </c>
      <c r="E2540" s="20" t="s">
        <v>9046</v>
      </c>
      <c r="F2540" s="19" t="s">
        <v>27</v>
      </c>
      <c r="G2540" s="19" t="s">
        <v>28</v>
      </c>
      <c r="H2540" s="37"/>
      <c r="I2540" s="21" t="s">
        <v>29</v>
      </c>
      <c r="J2540" s="21" t="s">
        <v>29</v>
      </c>
      <c r="K2540" s="22" t="s">
        <v>9047</v>
      </c>
      <c r="L2540" s="56">
        <v>45090</v>
      </c>
      <c r="O2540" s="42"/>
      <c r="P2540" s="40"/>
      <c r="Q2540" s="61"/>
      <c r="R2540" s="61"/>
      <c r="S2540" s="40"/>
      <c r="T2540" s="38"/>
      <c r="U2540" s="38"/>
      <c r="V2540" s="38"/>
      <c r="W2540" s="60"/>
      <c r="AB2540" s="42"/>
      <c r="AC2540" s="35"/>
      <c r="AD2540" s="38"/>
      <c r="AE2540" s="38"/>
      <c r="AF2540" s="38"/>
      <c r="AG2540" s="38"/>
      <c r="AH2540" s="60"/>
    </row>
    <row r="2541" spans="1:34" ht="15.75" customHeight="1">
      <c r="A2541" s="111" t="s">
        <v>56</v>
      </c>
      <c r="B2541" s="18" t="s">
        <v>9048</v>
      </c>
      <c r="C2541" s="37" t="s">
        <v>1470</v>
      </c>
      <c r="D2541" s="20" t="s">
        <v>9049</v>
      </c>
      <c r="E2541" s="20" t="s">
        <v>9050</v>
      </c>
      <c r="F2541" s="19" t="s">
        <v>3286</v>
      </c>
      <c r="G2541" s="37" t="s">
        <v>1461</v>
      </c>
      <c r="H2541" s="37"/>
      <c r="I2541" s="21" t="s">
        <v>233</v>
      </c>
      <c r="J2541" s="21" t="s">
        <v>233</v>
      </c>
      <c r="K2541" s="22" t="s">
        <v>9051</v>
      </c>
      <c r="L2541" s="56">
        <v>45090</v>
      </c>
      <c r="O2541" s="42"/>
      <c r="P2541" s="40"/>
      <c r="Q2541" s="61"/>
      <c r="R2541" s="61"/>
      <c r="S2541" s="40"/>
      <c r="T2541" s="38"/>
      <c r="U2541" s="38"/>
      <c r="V2541" s="38"/>
      <c r="W2541" s="60"/>
      <c r="AB2541" s="42"/>
      <c r="AC2541" s="35"/>
      <c r="AD2541" s="38"/>
      <c r="AE2541" s="38"/>
      <c r="AF2541" s="38"/>
      <c r="AG2541" s="38"/>
      <c r="AH2541" s="60"/>
    </row>
    <row r="2542" spans="1:34" ht="15.75" customHeight="1">
      <c r="A2542" s="75">
        <v>61</v>
      </c>
      <c r="B2542" s="18" t="s">
        <v>9052</v>
      </c>
      <c r="C2542" s="37" t="s">
        <v>24</v>
      </c>
      <c r="D2542" s="20" t="s">
        <v>9053</v>
      </c>
      <c r="E2542" s="20" t="s">
        <v>9054</v>
      </c>
      <c r="F2542" s="19" t="s">
        <v>27</v>
      </c>
      <c r="G2542" s="19" t="s">
        <v>28</v>
      </c>
      <c r="H2542" s="37" t="s">
        <v>813</v>
      </c>
      <c r="I2542" s="21" t="s">
        <v>29</v>
      </c>
      <c r="J2542" s="21" t="s">
        <v>29</v>
      </c>
      <c r="K2542" s="22" t="s">
        <v>9055</v>
      </c>
      <c r="L2542" s="56">
        <v>45090</v>
      </c>
      <c r="O2542" s="42"/>
      <c r="P2542" s="40"/>
      <c r="Q2542" s="61"/>
      <c r="R2542" s="61"/>
      <c r="S2542" s="40"/>
      <c r="T2542" s="38"/>
      <c r="U2542" s="38"/>
      <c r="V2542" s="38"/>
      <c r="W2542" s="60"/>
      <c r="AB2542" s="42"/>
      <c r="AC2542" s="35"/>
      <c r="AD2542" s="38"/>
      <c r="AE2542" s="38"/>
      <c r="AF2542" s="38"/>
      <c r="AG2542" s="38"/>
      <c r="AH2542" s="60"/>
    </row>
    <row r="2543" spans="1:34" ht="15.75" customHeight="1">
      <c r="A2543" s="111" t="s">
        <v>64</v>
      </c>
      <c r="B2543" s="18" t="s">
        <v>9056</v>
      </c>
      <c r="C2543" s="37" t="s">
        <v>24</v>
      </c>
      <c r="D2543" s="20" t="s">
        <v>9057</v>
      </c>
      <c r="E2543" s="20" t="s">
        <v>9058</v>
      </c>
      <c r="F2543" s="19" t="s">
        <v>27</v>
      </c>
      <c r="G2543" s="19" t="s">
        <v>28</v>
      </c>
      <c r="H2543" s="37"/>
      <c r="I2543" s="21" t="s">
        <v>29</v>
      </c>
      <c r="J2543" s="21" t="s">
        <v>29</v>
      </c>
      <c r="K2543" s="22" t="s">
        <v>9059</v>
      </c>
      <c r="L2543" s="56">
        <v>45090</v>
      </c>
      <c r="O2543" s="42"/>
      <c r="P2543" s="40"/>
      <c r="Q2543" s="61"/>
      <c r="R2543" s="61"/>
      <c r="S2543" s="40"/>
      <c r="T2543" s="38"/>
      <c r="U2543" s="38"/>
      <c r="V2543" s="38"/>
      <c r="W2543" s="60"/>
      <c r="AB2543" s="42"/>
      <c r="AC2543" s="35"/>
      <c r="AD2543" s="38"/>
      <c r="AE2543" s="38"/>
      <c r="AF2543" s="38"/>
      <c r="AG2543" s="38"/>
      <c r="AH2543" s="60"/>
    </row>
    <row r="2544" spans="1:34" ht="15.75" customHeight="1">
      <c r="A2544" s="75">
        <v>3.1</v>
      </c>
      <c r="B2544" s="18" t="s">
        <v>9060</v>
      </c>
      <c r="C2544" s="37" t="s">
        <v>228</v>
      </c>
      <c r="D2544" s="20" t="s">
        <v>9061</v>
      </c>
      <c r="E2544" s="20" t="s">
        <v>9062</v>
      </c>
      <c r="F2544" s="19" t="s">
        <v>231</v>
      </c>
      <c r="G2544" s="19" t="s">
        <v>232</v>
      </c>
      <c r="H2544" s="37"/>
      <c r="I2544" s="21" t="s">
        <v>233</v>
      </c>
      <c r="J2544" s="21" t="s">
        <v>233</v>
      </c>
      <c r="K2544" s="22" t="s">
        <v>9063</v>
      </c>
      <c r="L2544" s="56">
        <v>45090</v>
      </c>
      <c r="O2544" s="42"/>
      <c r="P2544" s="40"/>
      <c r="Q2544" s="61"/>
      <c r="R2544" s="61"/>
      <c r="S2544" s="40"/>
      <c r="T2544" s="38"/>
      <c r="U2544" s="38"/>
      <c r="V2544" s="38"/>
      <c r="W2544" s="60"/>
      <c r="AB2544" s="42"/>
      <c r="AC2544" s="35"/>
      <c r="AD2544" s="38"/>
      <c r="AE2544" s="38"/>
      <c r="AF2544" s="38"/>
      <c r="AG2544" s="38"/>
      <c r="AH2544" s="60"/>
    </row>
    <row r="2545" spans="1:34" ht="15.75" customHeight="1">
      <c r="A2545" s="111" t="s">
        <v>73</v>
      </c>
      <c r="B2545" s="18" t="s">
        <v>9064</v>
      </c>
      <c r="C2545" s="37" t="s">
        <v>87</v>
      </c>
      <c r="D2545" s="20" t="s">
        <v>9065</v>
      </c>
      <c r="E2545" s="20" t="s">
        <v>9066</v>
      </c>
      <c r="F2545" s="19" t="s">
        <v>90</v>
      </c>
      <c r="G2545" s="19" t="s">
        <v>91</v>
      </c>
      <c r="H2545" s="37"/>
      <c r="I2545" s="21" t="s">
        <v>29</v>
      </c>
      <c r="J2545" s="21" t="s">
        <v>29</v>
      </c>
      <c r="K2545" s="22" t="s">
        <v>9067</v>
      </c>
      <c r="L2545" s="56">
        <v>45090</v>
      </c>
      <c r="O2545" s="42"/>
      <c r="P2545" s="40"/>
      <c r="Q2545" s="61"/>
      <c r="R2545" s="61"/>
      <c r="S2545" s="40"/>
      <c r="T2545" s="38"/>
      <c r="U2545" s="38"/>
      <c r="V2545" s="38"/>
      <c r="W2545" s="60"/>
      <c r="AB2545" s="42"/>
      <c r="AC2545" s="35"/>
      <c r="AD2545" s="38"/>
      <c r="AE2545" s="38"/>
      <c r="AF2545" s="38"/>
      <c r="AG2545" s="38"/>
      <c r="AH2545" s="60"/>
    </row>
    <row r="2546" spans="1:34" ht="15.75" customHeight="1">
      <c r="A2546" s="75">
        <v>3.8</v>
      </c>
      <c r="B2546" s="18" t="s">
        <v>9068</v>
      </c>
      <c r="C2546" s="37" t="s">
        <v>87</v>
      </c>
      <c r="D2546" s="20" t="s">
        <v>9069</v>
      </c>
      <c r="E2546" s="20" t="s">
        <v>9070</v>
      </c>
      <c r="F2546" s="19" t="s">
        <v>90</v>
      </c>
      <c r="G2546" s="19" t="s">
        <v>91</v>
      </c>
      <c r="H2546" s="37"/>
      <c r="I2546" s="21" t="s">
        <v>29</v>
      </c>
      <c r="J2546" s="21" t="s">
        <v>29</v>
      </c>
      <c r="K2546" s="22" t="s">
        <v>9071</v>
      </c>
      <c r="L2546" s="56">
        <v>45090</v>
      </c>
      <c r="O2546" s="42"/>
      <c r="P2546" s="40"/>
      <c r="Q2546" s="61"/>
      <c r="R2546" s="61"/>
      <c r="S2546" s="40"/>
      <c r="T2546" s="38"/>
      <c r="U2546" s="38"/>
      <c r="V2546" s="38"/>
      <c r="W2546" s="60"/>
      <c r="AB2546" s="42"/>
      <c r="AC2546" s="35"/>
      <c r="AD2546" s="38"/>
      <c r="AE2546" s="38"/>
      <c r="AF2546" s="38"/>
      <c r="AG2546" s="38"/>
      <c r="AH2546" s="60"/>
    </row>
    <row r="2547" spans="1:34" ht="15.75" customHeight="1">
      <c r="A2547" s="111" t="s">
        <v>82</v>
      </c>
      <c r="B2547" s="18" t="s">
        <v>9072</v>
      </c>
      <c r="C2547" s="37" t="s">
        <v>1430</v>
      </c>
      <c r="D2547" s="20" t="s">
        <v>9073</v>
      </c>
      <c r="E2547" s="20" t="s">
        <v>9074</v>
      </c>
      <c r="F2547" s="55" t="s">
        <v>1445</v>
      </c>
      <c r="G2547" s="55" t="s">
        <v>1432</v>
      </c>
      <c r="H2547" s="37"/>
      <c r="I2547" s="21" t="s">
        <v>233</v>
      </c>
      <c r="J2547" s="21" t="s">
        <v>233</v>
      </c>
      <c r="K2547" s="22" t="s">
        <v>9075</v>
      </c>
      <c r="L2547" s="56">
        <v>45090</v>
      </c>
      <c r="O2547" s="42"/>
      <c r="P2547" s="40"/>
      <c r="Q2547" s="61"/>
      <c r="R2547" s="61"/>
      <c r="S2547" s="40"/>
      <c r="T2547" s="38"/>
      <c r="U2547" s="38"/>
      <c r="V2547" s="38"/>
      <c r="W2547" s="60"/>
      <c r="AB2547" s="42"/>
      <c r="AC2547" s="35"/>
      <c r="AD2547" s="38"/>
      <c r="AE2547" s="38"/>
      <c r="AF2547" s="38"/>
      <c r="AG2547" s="38"/>
      <c r="AH2547" s="60"/>
    </row>
    <row r="2548" spans="1:34" ht="15.75" customHeight="1">
      <c r="A2548" s="75" t="s">
        <v>9076</v>
      </c>
      <c r="B2548" s="18" t="s">
        <v>9077</v>
      </c>
      <c r="C2548" s="37" t="s">
        <v>1430</v>
      </c>
      <c r="D2548" s="20" t="s">
        <v>9078</v>
      </c>
      <c r="E2548" s="20" t="s">
        <v>9079</v>
      </c>
      <c r="F2548" s="55" t="s">
        <v>1445</v>
      </c>
      <c r="G2548" s="55" t="s">
        <v>1432</v>
      </c>
      <c r="H2548" s="37"/>
      <c r="I2548" s="21" t="s">
        <v>233</v>
      </c>
      <c r="J2548" s="21" t="s">
        <v>233</v>
      </c>
      <c r="K2548" s="22" t="s">
        <v>9080</v>
      </c>
      <c r="L2548" s="56">
        <v>45090</v>
      </c>
      <c r="O2548" s="42"/>
      <c r="P2548" s="40"/>
      <c r="Q2548" s="61"/>
      <c r="R2548" s="61"/>
      <c r="S2548" s="40"/>
      <c r="T2548" s="38"/>
      <c r="U2548" s="38"/>
      <c r="V2548" s="38"/>
      <c r="W2548" s="60"/>
      <c r="AB2548" s="42"/>
      <c r="AC2548" s="35"/>
      <c r="AD2548" s="38"/>
      <c r="AE2548" s="38"/>
      <c r="AF2548" s="38"/>
      <c r="AG2548" s="38"/>
      <c r="AH2548" s="60"/>
    </row>
    <row r="2549" spans="1:34" ht="15.75" customHeight="1">
      <c r="A2549" s="111" t="s">
        <v>92</v>
      </c>
      <c r="B2549" s="18" t="s">
        <v>9081</v>
      </c>
      <c r="C2549" s="37" t="s">
        <v>87</v>
      </c>
      <c r="D2549" s="20" t="s">
        <v>9082</v>
      </c>
      <c r="E2549" s="20" t="s">
        <v>9083</v>
      </c>
      <c r="F2549" s="19" t="s">
        <v>90</v>
      </c>
      <c r="G2549" s="19" t="s">
        <v>91</v>
      </c>
      <c r="H2549" s="37"/>
      <c r="I2549" s="21" t="s">
        <v>29</v>
      </c>
      <c r="J2549" s="21" t="s">
        <v>29</v>
      </c>
      <c r="K2549" s="22" t="s">
        <v>9084</v>
      </c>
      <c r="L2549" s="56">
        <v>45090</v>
      </c>
      <c r="O2549" s="42"/>
      <c r="P2549" s="40"/>
      <c r="Q2549" s="61"/>
      <c r="R2549" s="61"/>
      <c r="S2549" s="40"/>
      <c r="T2549" s="38"/>
      <c r="U2549" s="38"/>
      <c r="V2549" s="38"/>
      <c r="W2549" s="60"/>
      <c r="AB2549" s="42"/>
      <c r="AC2549" s="35"/>
      <c r="AD2549" s="38"/>
      <c r="AE2549" s="38"/>
      <c r="AF2549" s="38"/>
      <c r="AG2549" s="38"/>
      <c r="AH2549" s="60"/>
    </row>
    <row r="2550" spans="1:34" ht="15.75" customHeight="1">
      <c r="A2550" s="112">
        <v>1150</v>
      </c>
      <c r="B2550" s="29" t="s">
        <v>9085</v>
      </c>
      <c r="C2550" s="30" t="s">
        <v>24</v>
      </c>
      <c r="D2550" s="20" t="s">
        <v>9086</v>
      </c>
      <c r="E2550" s="20" t="s">
        <v>9087</v>
      </c>
      <c r="F2550" s="19" t="s">
        <v>27</v>
      </c>
      <c r="G2550" s="19" t="s">
        <v>28</v>
      </c>
      <c r="H2550" s="30"/>
      <c r="I2550" s="21" t="s">
        <v>29</v>
      </c>
      <c r="J2550" s="21" t="s">
        <v>29</v>
      </c>
      <c r="K2550" s="22" t="s">
        <v>9088</v>
      </c>
      <c r="L2550" s="56">
        <v>45090</v>
      </c>
      <c r="O2550" s="42"/>
      <c r="P2550" s="40"/>
      <c r="Q2550" s="61"/>
      <c r="R2550" s="61"/>
      <c r="S2550" s="40"/>
      <c r="T2550" s="38"/>
      <c r="U2550" s="38"/>
      <c r="V2550" s="38"/>
      <c r="W2550" s="60"/>
      <c r="AB2550" s="42"/>
      <c r="AC2550" s="35"/>
      <c r="AD2550" s="38"/>
      <c r="AE2550" s="38"/>
      <c r="AF2550" s="38"/>
      <c r="AG2550" s="38"/>
      <c r="AH2550" s="60"/>
    </row>
    <row r="2551" spans="1:34" ht="15.75" customHeight="1">
      <c r="A2551" s="111" t="s">
        <v>100</v>
      </c>
      <c r="B2551" s="18" t="s">
        <v>9089</v>
      </c>
      <c r="C2551" s="37" t="s">
        <v>1430</v>
      </c>
      <c r="D2551" s="20" t="s">
        <v>9090</v>
      </c>
      <c r="E2551" s="20"/>
      <c r="F2551" s="55" t="s">
        <v>1445</v>
      </c>
      <c r="G2551" s="55" t="s">
        <v>1432</v>
      </c>
      <c r="H2551" s="37"/>
      <c r="I2551" s="21" t="s">
        <v>233</v>
      </c>
      <c r="J2551" s="21" t="s">
        <v>233</v>
      </c>
      <c r="K2551" s="22"/>
      <c r="L2551" s="56">
        <v>45090</v>
      </c>
      <c r="O2551" s="42"/>
      <c r="P2551" s="40"/>
      <c r="Q2551" s="61"/>
      <c r="R2551" s="61"/>
      <c r="S2551" s="40"/>
      <c r="T2551" s="38"/>
      <c r="U2551" s="38"/>
      <c r="V2551" s="38"/>
      <c r="W2551" s="60"/>
      <c r="AB2551" s="42"/>
      <c r="AC2551" s="35"/>
      <c r="AD2551" s="38"/>
      <c r="AE2551" s="38"/>
      <c r="AF2551" s="38"/>
      <c r="AG2551" s="38"/>
      <c r="AH2551" s="60"/>
    </row>
    <row r="2552" spans="1:34" ht="15.75" customHeight="1">
      <c r="A2552" s="75">
        <v>160</v>
      </c>
      <c r="B2552" s="18" t="s">
        <v>9091</v>
      </c>
      <c r="C2552" s="37" t="s">
        <v>87</v>
      </c>
      <c r="D2552" s="20" t="s">
        <v>9092</v>
      </c>
      <c r="E2552" s="20" t="s">
        <v>9093</v>
      </c>
      <c r="F2552" s="19" t="s">
        <v>90</v>
      </c>
      <c r="G2552" s="19" t="s">
        <v>91</v>
      </c>
      <c r="H2552" s="37"/>
      <c r="I2552" s="21" t="s">
        <v>29</v>
      </c>
      <c r="J2552" s="21" t="s">
        <v>29</v>
      </c>
      <c r="K2552" s="22" t="s">
        <v>9094</v>
      </c>
      <c r="L2552" s="56">
        <v>45090</v>
      </c>
      <c r="O2552" s="42"/>
      <c r="P2552" s="40"/>
      <c r="Q2552" s="61"/>
      <c r="R2552" s="61"/>
      <c r="S2552" s="40"/>
      <c r="T2552" s="38"/>
      <c r="U2552" s="38"/>
      <c r="V2552" s="38"/>
      <c r="W2552" s="60"/>
      <c r="AB2552" s="42"/>
      <c r="AC2552" s="35"/>
      <c r="AD2552" s="38"/>
      <c r="AE2552" s="38"/>
      <c r="AF2552" s="38"/>
      <c r="AG2552" s="38"/>
      <c r="AH2552" s="60"/>
    </row>
    <row r="2553" spans="1:34" ht="15.75" customHeight="1">
      <c r="B2553" s="36" t="s">
        <v>9095</v>
      </c>
      <c r="C2553" s="19" t="s">
        <v>121</v>
      </c>
      <c r="D2553" s="20" t="s">
        <v>9096</v>
      </c>
      <c r="E2553" s="20" t="s">
        <v>9097</v>
      </c>
      <c r="F2553" s="37" t="s">
        <v>1399</v>
      </c>
      <c r="G2553" s="37" t="s">
        <v>452</v>
      </c>
      <c r="H2553" s="37"/>
      <c r="I2553" s="21" t="s">
        <v>1371</v>
      </c>
      <c r="J2553" s="21" t="s">
        <v>452</v>
      </c>
      <c r="K2553" s="22" t="s">
        <v>9098</v>
      </c>
      <c r="L2553" s="56">
        <v>45090</v>
      </c>
      <c r="O2553" s="42"/>
      <c r="P2553" s="40"/>
      <c r="Q2553" s="61"/>
      <c r="R2553" s="61"/>
      <c r="S2553" s="40"/>
      <c r="T2553" s="38"/>
      <c r="U2553" s="38"/>
      <c r="V2553" s="38"/>
      <c r="W2553" s="60"/>
      <c r="AB2553" s="42"/>
      <c r="AC2553" s="35"/>
      <c r="AD2553" s="38"/>
      <c r="AE2553" s="38"/>
      <c r="AF2553" s="38"/>
      <c r="AG2553" s="38"/>
      <c r="AH2553" s="60"/>
    </row>
    <row r="2554" spans="1:34" ht="15.75" customHeight="1">
      <c r="A2554" s="35"/>
      <c r="B2554" s="18" t="s">
        <v>9099</v>
      </c>
      <c r="C2554" s="37" t="s">
        <v>1638</v>
      </c>
      <c r="D2554" s="20" t="s">
        <v>9100</v>
      </c>
      <c r="E2554" s="20" t="s">
        <v>9101</v>
      </c>
      <c r="F2554" s="37" t="s">
        <v>1399</v>
      </c>
      <c r="G2554" s="19" t="s">
        <v>1641</v>
      </c>
      <c r="H2554" s="37"/>
      <c r="I2554" s="21" t="s">
        <v>1371</v>
      </c>
      <c r="J2554" s="21" t="s">
        <v>1371</v>
      </c>
      <c r="K2554" s="22" t="s">
        <v>9102</v>
      </c>
      <c r="L2554" s="56">
        <v>45090</v>
      </c>
      <c r="O2554" s="42"/>
      <c r="P2554" s="40"/>
      <c r="Q2554" s="61"/>
      <c r="R2554" s="61"/>
      <c r="S2554" s="40"/>
      <c r="T2554" s="38"/>
      <c r="U2554" s="38"/>
      <c r="V2554" s="38"/>
      <c r="W2554" s="60"/>
      <c r="AB2554" s="42"/>
      <c r="AC2554" s="35"/>
      <c r="AD2554" s="38"/>
      <c r="AE2554" s="38"/>
      <c r="AF2554" s="38"/>
      <c r="AG2554" s="38"/>
      <c r="AH2554" s="60"/>
    </row>
    <row r="2555" spans="1:34" ht="15.75" customHeight="1">
      <c r="A2555" s="115"/>
      <c r="B2555" s="18" t="s">
        <v>9103</v>
      </c>
      <c r="C2555" s="37" t="s">
        <v>87</v>
      </c>
      <c r="D2555" s="20" t="s">
        <v>9104</v>
      </c>
      <c r="E2555" s="20" t="s">
        <v>9105</v>
      </c>
      <c r="F2555" s="19" t="s">
        <v>90</v>
      </c>
      <c r="G2555" s="19" t="s">
        <v>91</v>
      </c>
      <c r="H2555" s="37"/>
      <c r="I2555" s="21" t="s">
        <v>29</v>
      </c>
      <c r="J2555" s="21" t="s">
        <v>29</v>
      </c>
      <c r="K2555" s="22" t="s">
        <v>9106</v>
      </c>
      <c r="L2555" s="56">
        <v>45090</v>
      </c>
      <c r="O2555" s="42"/>
      <c r="P2555" s="40"/>
      <c r="Q2555" s="61"/>
      <c r="R2555" s="61"/>
      <c r="S2555" s="40"/>
      <c r="T2555" s="38"/>
      <c r="U2555" s="38"/>
      <c r="V2555" s="38"/>
      <c r="W2555" s="60"/>
      <c r="AB2555" s="42"/>
      <c r="AC2555" s="35"/>
      <c r="AD2555" s="38"/>
      <c r="AE2555" s="38"/>
      <c r="AF2555" s="38"/>
      <c r="AG2555" s="38"/>
      <c r="AH2555" s="60"/>
    </row>
    <row r="2556" spans="1:34" ht="15.75" customHeight="1">
      <c r="A2556" s="116"/>
      <c r="B2556" s="18" t="s">
        <v>9107</v>
      </c>
      <c r="C2556" s="37" t="s">
        <v>1638</v>
      </c>
      <c r="D2556" s="20" t="s">
        <v>9108</v>
      </c>
      <c r="E2556" s="20" t="s">
        <v>9109</v>
      </c>
      <c r="F2556" s="37" t="s">
        <v>1399</v>
      </c>
      <c r="G2556" s="19" t="s">
        <v>1641</v>
      </c>
      <c r="H2556" s="37"/>
      <c r="I2556" s="21" t="s">
        <v>1371</v>
      </c>
      <c r="J2556" s="21" t="s">
        <v>1371</v>
      </c>
      <c r="K2556" s="22" t="s">
        <v>9110</v>
      </c>
      <c r="L2556" s="56">
        <v>45090</v>
      </c>
      <c r="O2556" s="42"/>
      <c r="P2556" s="40"/>
      <c r="Q2556" s="61"/>
      <c r="R2556" s="61"/>
      <c r="S2556" s="40"/>
      <c r="T2556" s="38"/>
      <c r="U2556" s="38"/>
      <c r="V2556" s="38"/>
      <c r="W2556" s="60"/>
      <c r="AB2556" s="42"/>
      <c r="AC2556" s="35"/>
      <c r="AD2556" s="38"/>
      <c r="AE2556" s="38"/>
      <c r="AF2556" s="38"/>
      <c r="AG2556" s="38"/>
      <c r="AH2556" s="60"/>
    </row>
    <row r="2557" spans="1:34" ht="15.75" customHeight="1">
      <c r="A2557" s="117"/>
      <c r="B2557" s="18" t="s">
        <v>9111</v>
      </c>
      <c r="C2557" s="37" t="s">
        <v>24</v>
      </c>
      <c r="D2557" s="20" t="s">
        <v>9112</v>
      </c>
      <c r="E2557" s="20" t="s">
        <v>9113</v>
      </c>
      <c r="F2557" s="19" t="s">
        <v>27</v>
      </c>
      <c r="G2557" s="19" t="s">
        <v>28</v>
      </c>
      <c r="H2557" s="37"/>
      <c r="I2557" s="21" t="s">
        <v>29</v>
      </c>
      <c r="J2557" s="21" t="s">
        <v>29</v>
      </c>
      <c r="K2557" s="22" t="s">
        <v>9114</v>
      </c>
      <c r="L2557" s="56">
        <v>45090</v>
      </c>
      <c r="O2557" s="42"/>
      <c r="P2557" s="40"/>
      <c r="Q2557" s="61"/>
      <c r="R2557" s="61"/>
      <c r="S2557" s="40"/>
      <c r="T2557" s="38"/>
      <c r="U2557" s="38"/>
      <c r="V2557" s="38"/>
      <c r="W2557" s="60"/>
      <c r="AB2557" s="42"/>
      <c r="AC2557" s="35"/>
      <c r="AD2557" s="38"/>
      <c r="AE2557" s="38"/>
      <c r="AF2557" s="38"/>
      <c r="AG2557" s="38"/>
      <c r="AH2557" s="60"/>
    </row>
    <row r="2558" spans="1:34" ht="15.75" customHeight="1">
      <c r="A2558" s="117"/>
      <c r="B2558" s="29" t="s">
        <v>9115</v>
      </c>
      <c r="C2558" s="37" t="s">
        <v>1430</v>
      </c>
      <c r="D2558" s="20" t="s">
        <v>9116</v>
      </c>
      <c r="E2558" s="20" t="s">
        <v>9117</v>
      </c>
      <c r="F2558" s="55" t="s">
        <v>1445</v>
      </c>
      <c r="G2558" s="55" t="s">
        <v>1432</v>
      </c>
      <c r="H2558" s="37"/>
      <c r="I2558" s="21" t="s">
        <v>29</v>
      </c>
      <c r="J2558" s="21" t="s">
        <v>29</v>
      </c>
      <c r="K2558" s="22" t="s">
        <v>9118</v>
      </c>
      <c r="L2558" s="56"/>
      <c r="O2558" s="42"/>
      <c r="P2558" s="40"/>
      <c r="Q2558" s="61"/>
      <c r="R2558" s="61"/>
      <c r="S2558" s="40"/>
      <c r="T2558" s="38"/>
      <c r="U2558" s="38"/>
      <c r="V2558" s="38"/>
      <c r="W2558" s="60"/>
      <c r="AB2558" s="42"/>
      <c r="AC2558" s="35"/>
      <c r="AD2558" s="38"/>
      <c r="AE2558" s="38"/>
      <c r="AF2558" s="38"/>
      <c r="AG2558" s="38"/>
      <c r="AH2558" s="60"/>
    </row>
    <row r="2559" spans="1:34" ht="15.75" customHeight="1">
      <c r="A2559" s="117"/>
      <c r="B2559" s="18" t="s">
        <v>9119</v>
      </c>
      <c r="C2559" s="37" t="s">
        <v>228</v>
      </c>
      <c r="D2559" s="20" t="s">
        <v>9120</v>
      </c>
      <c r="E2559" s="20" t="s">
        <v>9121</v>
      </c>
      <c r="F2559" s="19" t="s">
        <v>231</v>
      </c>
      <c r="G2559" s="19" t="s">
        <v>232</v>
      </c>
      <c r="H2559" s="37"/>
      <c r="I2559" s="21" t="s">
        <v>233</v>
      </c>
      <c r="J2559" s="21" t="s">
        <v>233</v>
      </c>
      <c r="K2559" s="22" t="s">
        <v>9122</v>
      </c>
      <c r="L2559" s="56">
        <v>45090</v>
      </c>
      <c r="O2559" s="42"/>
      <c r="P2559" s="40"/>
      <c r="Q2559" s="61"/>
      <c r="R2559" s="61"/>
      <c r="S2559" s="40"/>
      <c r="T2559" s="38"/>
      <c r="U2559" s="38"/>
      <c r="V2559" s="38"/>
      <c r="W2559" s="60"/>
      <c r="AB2559" s="42"/>
      <c r="AC2559" s="35"/>
      <c r="AD2559" s="38"/>
      <c r="AE2559" s="38"/>
      <c r="AF2559" s="38"/>
      <c r="AG2559" s="38"/>
      <c r="AH2559" s="60"/>
    </row>
    <row r="2560" spans="1:34" ht="15.75" customHeight="1">
      <c r="A2560" s="117"/>
      <c r="B2560" s="18" t="s">
        <v>9123</v>
      </c>
      <c r="C2560" s="37" t="s">
        <v>24</v>
      </c>
      <c r="D2560" s="20" t="s">
        <v>9124</v>
      </c>
      <c r="E2560" s="20" t="s">
        <v>9125</v>
      </c>
      <c r="F2560" s="19" t="s">
        <v>27</v>
      </c>
      <c r="G2560" s="19" t="s">
        <v>28</v>
      </c>
      <c r="H2560" s="37" t="s">
        <v>813</v>
      </c>
      <c r="I2560" s="21" t="s">
        <v>29</v>
      </c>
      <c r="J2560" s="21" t="s">
        <v>29</v>
      </c>
      <c r="K2560" s="22" t="s">
        <v>9126</v>
      </c>
      <c r="L2560" s="56">
        <v>45090</v>
      </c>
      <c r="O2560" s="42"/>
      <c r="P2560" s="40"/>
      <c r="Q2560" s="61"/>
      <c r="R2560" s="61"/>
      <c r="S2560" s="40"/>
      <c r="T2560" s="38"/>
      <c r="U2560" s="38"/>
      <c r="V2560" s="38"/>
      <c r="W2560" s="60"/>
      <c r="AB2560" s="42"/>
      <c r="AC2560" s="35"/>
      <c r="AD2560" s="38"/>
      <c r="AE2560" s="38"/>
      <c r="AF2560" s="38"/>
      <c r="AG2560" s="38"/>
      <c r="AH2560" s="60"/>
    </row>
    <row r="2561" spans="1:34" ht="15.75" customHeight="1">
      <c r="A2561" s="117"/>
      <c r="B2561" s="29" t="s">
        <v>9127</v>
      </c>
      <c r="C2561" s="37" t="s">
        <v>46</v>
      </c>
      <c r="D2561" s="20" t="s">
        <v>9128</v>
      </c>
      <c r="E2561" s="20" t="s">
        <v>9129</v>
      </c>
      <c r="F2561" s="37" t="s">
        <v>286</v>
      </c>
      <c r="G2561" s="19" t="s">
        <v>50</v>
      </c>
      <c r="H2561" s="37"/>
      <c r="I2561" s="21" t="s">
        <v>286</v>
      </c>
      <c r="J2561" s="21" t="s">
        <v>29</v>
      </c>
      <c r="K2561" s="22" t="s">
        <v>9130</v>
      </c>
      <c r="L2561" s="56"/>
      <c r="O2561" s="42"/>
      <c r="P2561" s="40"/>
      <c r="Q2561" s="61"/>
      <c r="R2561" s="61"/>
      <c r="S2561" s="40"/>
      <c r="T2561" s="38"/>
      <c r="U2561" s="38"/>
      <c r="V2561" s="38"/>
      <c r="W2561" s="60"/>
      <c r="AB2561" s="42"/>
      <c r="AC2561" s="35"/>
      <c r="AD2561" s="38"/>
      <c r="AE2561" s="38"/>
      <c r="AF2561" s="38"/>
      <c r="AG2561" s="38"/>
      <c r="AH2561" s="60"/>
    </row>
    <row r="2562" spans="1:34" ht="15.75" customHeight="1">
      <c r="A2562" s="117"/>
      <c r="B2562" s="29" t="s">
        <v>9131</v>
      </c>
      <c r="C2562" s="37" t="s">
        <v>46</v>
      </c>
      <c r="D2562" s="20" t="s">
        <v>9132</v>
      </c>
      <c r="E2562" s="20" t="s">
        <v>9133</v>
      </c>
      <c r="F2562" s="37" t="s">
        <v>286</v>
      </c>
      <c r="G2562" s="19" t="s">
        <v>50</v>
      </c>
      <c r="H2562" s="37"/>
      <c r="I2562" s="21" t="s">
        <v>286</v>
      </c>
      <c r="J2562" s="21" t="s">
        <v>29</v>
      </c>
      <c r="K2562" s="22" t="s">
        <v>9134</v>
      </c>
      <c r="L2562" s="56"/>
      <c r="O2562" s="42"/>
      <c r="P2562" s="40"/>
      <c r="Q2562" s="61"/>
      <c r="R2562" s="61"/>
      <c r="S2562" s="40"/>
      <c r="T2562" s="38"/>
      <c r="U2562" s="38"/>
      <c r="V2562" s="38"/>
      <c r="W2562" s="60"/>
      <c r="AB2562" s="42"/>
      <c r="AC2562" s="35"/>
      <c r="AD2562" s="38"/>
      <c r="AE2562" s="38"/>
      <c r="AF2562" s="38"/>
      <c r="AG2562" s="38"/>
      <c r="AH2562" s="60"/>
    </row>
    <row r="2563" spans="1:34" ht="15.75" customHeight="1">
      <c r="A2563" s="117"/>
      <c r="B2563" s="18" t="s">
        <v>9135</v>
      </c>
      <c r="C2563" s="37" t="s">
        <v>87</v>
      </c>
      <c r="D2563" s="20" t="s">
        <v>9136</v>
      </c>
      <c r="E2563" s="20" t="s">
        <v>9137</v>
      </c>
      <c r="F2563" s="19" t="s">
        <v>90</v>
      </c>
      <c r="G2563" s="19" t="s">
        <v>91</v>
      </c>
      <c r="H2563" s="37"/>
      <c r="I2563" s="21" t="s">
        <v>29</v>
      </c>
      <c r="J2563" s="21" t="s">
        <v>29</v>
      </c>
      <c r="K2563" s="22" t="s">
        <v>9138</v>
      </c>
      <c r="L2563" s="56">
        <v>45090</v>
      </c>
      <c r="O2563" s="42"/>
      <c r="P2563" s="40"/>
      <c r="Q2563" s="61"/>
      <c r="R2563" s="61"/>
      <c r="S2563" s="40"/>
      <c r="T2563" s="38"/>
      <c r="U2563" s="38"/>
      <c r="V2563" s="38"/>
      <c r="W2563" s="60"/>
      <c r="AB2563" s="42"/>
      <c r="AC2563" s="35"/>
      <c r="AD2563" s="38"/>
      <c r="AE2563" s="38"/>
      <c r="AF2563" s="38"/>
      <c r="AG2563" s="38"/>
      <c r="AH2563" s="60"/>
    </row>
    <row r="2564" spans="1:34" ht="15.75" customHeight="1">
      <c r="A2564" s="118"/>
      <c r="B2564" s="29" t="s">
        <v>9139</v>
      </c>
      <c r="C2564" s="37" t="s">
        <v>46</v>
      </c>
      <c r="D2564" s="20" t="s">
        <v>9140</v>
      </c>
      <c r="E2564" s="20" t="s">
        <v>9141</v>
      </c>
      <c r="F2564" s="37" t="s">
        <v>286</v>
      </c>
      <c r="G2564" s="19" t="s">
        <v>50</v>
      </c>
      <c r="H2564" s="37"/>
      <c r="I2564" s="21" t="s">
        <v>286</v>
      </c>
      <c r="J2564" s="21" t="s">
        <v>29</v>
      </c>
      <c r="K2564" s="22" t="s">
        <v>9142</v>
      </c>
      <c r="L2564" s="56"/>
      <c r="O2564" s="42"/>
      <c r="P2564" s="40"/>
      <c r="Q2564" s="61"/>
      <c r="R2564" s="61"/>
      <c r="S2564" s="40"/>
      <c r="T2564" s="38"/>
      <c r="U2564" s="38"/>
      <c r="V2564" s="38"/>
      <c r="W2564" s="60"/>
      <c r="AB2564" s="42"/>
      <c r="AC2564" s="35"/>
      <c r="AD2564" s="38"/>
      <c r="AE2564" s="38"/>
      <c r="AF2564" s="38"/>
      <c r="AG2564" s="38"/>
      <c r="AH2564" s="60"/>
    </row>
    <row r="2565" spans="1:34" ht="15.75" customHeight="1">
      <c r="A2565" s="118"/>
      <c r="B2565" s="18" t="s">
        <v>9143</v>
      </c>
      <c r="C2565" s="37" t="s">
        <v>1430</v>
      </c>
      <c r="D2565" s="20" t="s">
        <v>9144</v>
      </c>
      <c r="E2565" s="20" t="s">
        <v>9145</v>
      </c>
      <c r="F2565" s="55" t="s">
        <v>1445</v>
      </c>
      <c r="G2565" s="55" t="s">
        <v>1432</v>
      </c>
      <c r="H2565" s="37"/>
      <c r="I2565" s="21" t="s">
        <v>233</v>
      </c>
      <c r="J2565" s="21" t="s">
        <v>233</v>
      </c>
      <c r="K2565" s="22" t="s">
        <v>9146</v>
      </c>
      <c r="L2565" s="56">
        <v>45090</v>
      </c>
      <c r="O2565" s="42"/>
      <c r="P2565" s="40"/>
      <c r="Q2565" s="61"/>
      <c r="R2565" s="61"/>
      <c r="S2565" s="40"/>
      <c r="T2565" s="38"/>
      <c r="U2565" s="38"/>
      <c r="V2565" s="38"/>
      <c r="W2565" s="60"/>
      <c r="AB2565" s="42"/>
      <c r="AC2565" s="35"/>
      <c r="AD2565" s="38"/>
      <c r="AE2565" s="38"/>
      <c r="AF2565" s="38"/>
      <c r="AG2565" s="38"/>
      <c r="AH2565" s="60"/>
    </row>
    <row r="2566" spans="1:34" ht="15.75" customHeight="1">
      <c r="A2566" s="117"/>
      <c r="B2566" s="18" t="s">
        <v>9147</v>
      </c>
      <c r="C2566" s="37" t="s">
        <v>24</v>
      </c>
      <c r="D2566" s="20" t="s">
        <v>9148</v>
      </c>
      <c r="E2566" s="20" t="s">
        <v>9149</v>
      </c>
      <c r="F2566" s="19" t="s">
        <v>27</v>
      </c>
      <c r="G2566" s="19" t="s">
        <v>28</v>
      </c>
      <c r="H2566" s="37"/>
      <c r="I2566" s="21" t="s">
        <v>29</v>
      </c>
      <c r="J2566" s="21" t="s">
        <v>29</v>
      </c>
      <c r="K2566" s="22" t="s">
        <v>9150</v>
      </c>
      <c r="L2566" s="56">
        <v>45090</v>
      </c>
      <c r="O2566" s="42"/>
      <c r="P2566" s="40"/>
      <c r="Q2566" s="61"/>
      <c r="R2566" s="61"/>
      <c r="S2566" s="40"/>
      <c r="T2566" s="38"/>
      <c r="U2566" s="38"/>
      <c r="V2566" s="38"/>
      <c r="W2566" s="60"/>
      <c r="AB2566" s="42"/>
      <c r="AC2566" s="35"/>
      <c r="AD2566" s="38"/>
      <c r="AE2566" s="38"/>
      <c r="AF2566" s="38"/>
      <c r="AG2566" s="38"/>
      <c r="AH2566" s="60"/>
    </row>
    <row r="2567" spans="1:34" ht="15.75" customHeight="1">
      <c r="A2567" s="117"/>
      <c r="B2567" s="18" t="s">
        <v>9151</v>
      </c>
      <c r="C2567" s="37" t="s">
        <v>1470</v>
      </c>
      <c r="D2567" s="20" t="s">
        <v>9152</v>
      </c>
      <c r="E2567" s="20" t="s">
        <v>9153</v>
      </c>
      <c r="F2567" s="19" t="s">
        <v>3286</v>
      </c>
      <c r="G2567" s="19" t="s">
        <v>1461</v>
      </c>
      <c r="H2567" s="37"/>
      <c r="I2567" s="21" t="s">
        <v>233</v>
      </c>
      <c r="J2567" s="21" t="s">
        <v>233</v>
      </c>
      <c r="K2567" s="22" t="s">
        <v>9154</v>
      </c>
      <c r="L2567" s="56">
        <v>45090</v>
      </c>
      <c r="O2567" s="42"/>
      <c r="P2567" s="40"/>
      <c r="Q2567" s="61"/>
      <c r="R2567" s="61"/>
      <c r="S2567" s="40"/>
      <c r="T2567" s="38"/>
      <c r="U2567" s="38"/>
      <c r="V2567" s="38"/>
      <c r="W2567" s="60"/>
      <c r="AB2567" s="42"/>
      <c r="AC2567" s="35"/>
      <c r="AD2567" s="38"/>
      <c r="AE2567" s="38"/>
      <c r="AF2567" s="38"/>
      <c r="AG2567" s="38"/>
      <c r="AH2567" s="60"/>
    </row>
    <row r="2568" spans="1:34" ht="15.75" customHeight="1">
      <c r="A2568" s="116"/>
      <c r="B2568" s="18" t="s">
        <v>9155</v>
      </c>
      <c r="C2568" s="37" t="s">
        <v>46</v>
      </c>
      <c r="D2568" s="20" t="s">
        <v>9156</v>
      </c>
      <c r="E2568" s="20" t="s">
        <v>9157</v>
      </c>
      <c r="F2568" s="37" t="s">
        <v>49</v>
      </c>
      <c r="G2568" s="19" t="s">
        <v>50</v>
      </c>
      <c r="H2568" s="37"/>
      <c r="I2568" s="21" t="s">
        <v>29</v>
      </c>
      <c r="J2568" s="21" t="s">
        <v>29</v>
      </c>
      <c r="K2568" s="22" t="s">
        <v>9158</v>
      </c>
      <c r="L2568" s="56">
        <v>45090</v>
      </c>
      <c r="O2568" s="42"/>
      <c r="P2568" s="40"/>
      <c r="Q2568" s="61"/>
      <c r="R2568" s="61"/>
      <c r="S2568" s="40"/>
      <c r="T2568" s="38"/>
      <c r="U2568" s="38"/>
      <c r="V2568" s="38"/>
      <c r="W2568" s="60"/>
      <c r="AB2568" s="42"/>
      <c r="AC2568" s="35"/>
      <c r="AD2568" s="38"/>
      <c r="AE2568" s="38"/>
      <c r="AF2568" s="38"/>
      <c r="AG2568" s="38"/>
      <c r="AH2568" s="60"/>
    </row>
    <row r="2569" spans="1:34" ht="15.75" customHeight="1">
      <c r="A2569" s="117"/>
      <c r="B2569" s="18" t="s">
        <v>9159</v>
      </c>
      <c r="C2569" s="37" t="s">
        <v>87</v>
      </c>
      <c r="D2569" s="20" t="s">
        <v>9160</v>
      </c>
      <c r="E2569" s="20" t="s">
        <v>9161</v>
      </c>
      <c r="F2569" s="19" t="s">
        <v>90</v>
      </c>
      <c r="G2569" s="19" t="s">
        <v>91</v>
      </c>
      <c r="H2569" s="37"/>
      <c r="I2569" s="21" t="s">
        <v>29</v>
      </c>
      <c r="J2569" s="21" t="s">
        <v>29</v>
      </c>
      <c r="K2569" s="22" t="s">
        <v>9162</v>
      </c>
      <c r="L2569" s="56">
        <v>45090</v>
      </c>
      <c r="O2569" s="42"/>
      <c r="P2569" s="40"/>
      <c r="Q2569" s="61"/>
      <c r="R2569" s="61"/>
      <c r="S2569" s="40"/>
      <c r="T2569" s="38"/>
      <c r="U2569" s="38"/>
      <c r="V2569" s="38"/>
      <c r="W2569" s="60"/>
      <c r="AB2569" s="42"/>
      <c r="AC2569" s="35"/>
      <c r="AD2569" s="38"/>
      <c r="AE2569" s="38"/>
      <c r="AF2569" s="38"/>
      <c r="AG2569" s="38"/>
      <c r="AH2569" s="60"/>
    </row>
    <row r="2570" spans="1:34" ht="15.75" customHeight="1">
      <c r="A2570" s="118"/>
      <c r="B2570" s="18" t="s">
        <v>9163</v>
      </c>
      <c r="C2570" s="37" t="s">
        <v>87</v>
      </c>
      <c r="D2570" s="20" t="s">
        <v>9164</v>
      </c>
      <c r="E2570" s="20" t="s">
        <v>9165</v>
      </c>
      <c r="F2570" s="19" t="s">
        <v>90</v>
      </c>
      <c r="G2570" s="19" t="s">
        <v>91</v>
      </c>
      <c r="H2570" s="37"/>
      <c r="I2570" s="21" t="s">
        <v>29</v>
      </c>
      <c r="J2570" s="21" t="s">
        <v>29</v>
      </c>
      <c r="K2570" s="22" t="s">
        <v>9166</v>
      </c>
      <c r="L2570" s="56">
        <v>45090</v>
      </c>
      <c r="O2570" s="42"/>
      <c r="P2570" s="40"/>
      <c r="Q2570" s="61"/>
      <c r="R2570" s="61"/>
      <c r="S2570" s="40"/>
      <c r="T2570" s="38"/>
      <c r="U2570" s="38"/>
      <c r="V2570" s="38"/>
      <c r="W2570" s="60"/>
      <c r="AB2570" s="42"/>
      <c r="AC2570" s="35"/>
      <c r="AD2570" s="38"/>
      <c r="AE2570" s="38"/>
      <c r="AF2570" s="38"/>
      <c r="AG2570" s="38"/>
      <c r="AH2570" s="60"/>
    </row>
    <row r="2571" spans="1:34" ht="15.75" customHeight="1">
      <c r="A2571" s="116"/>
      <c r="B2571" s="36" t="s">
        <v>9167</v>
      </c>
      <c r="C2571" s="19" t="s">
        <v>121</v>
      </c>
      <c r="D2571" s="20" t="s">
        <v>9168</v>
      </c>
      <c r="E2571" s="20" t="s">
        <v>9169</v>
      </c>
      <c r="F2571" s="19" t="s">
        <v>90</v>
      </c>
      <c r="G2571" s="37" t="s">
        <v>452</v>
      </c>
      <c r="H2571" s="37"/>
      <c r="I2571" s="21" t="s">
        <v>29</v>
      </c>
      <c r="J2571" s="21" t="s">
        <v>452</v>
      </c>
      <c r="K2571" s="22" t="s">
        <v>9170</v>
      </c>
      <c r="L2571" s="56">
        <v>45090</v>
      </c>
      <c r="O2571" s="42"/>
      <c r="P2571" s="40"/>
      <c r="Q2571" s="61"/>
      <c r="R2571" s="61"/>
      <c r="S2571" s="40"/>
      <c r="T2571" s="38"/>
      <c r="U2571" s="38"/>
      <c r="V2571" s="38"/>
      <c r="W2571" s="60"/>
      <c r="AB2571" s="42"/>
      <c r="AC2571" s="35"/>
      <c r="AD2571" s="38"/>
      <c r="AE2571" s="38"/>
      <c r="AF2571" s="38"/>
      <c r="AG2571" s="38"/>
      <c r="AH2571" s="60"/>
    </row>
    <row r="2572" spans="1:34" ht="15.75" customHeight="1">
      <c r="A2572" s="117"/>
      <c r="B2572" s="18" t="s">
        <v>9171</v>
      </c>
      <c r="C2572" s="37" t="s">
        <v>1430</v>
      </c>
      <c r="D2572" s="20" t="s">
        <v>9172</v>
      </c>
      <c r="E2572" s="20"/>
      <c r="F2572" s="55" t="s">
        <v>1445</v>
      </c>
      <c r="G2572" s="55" t="s">
        <v>1432</v>
      </c>
      <c r="H2572" s="37"/>
      <c r="I2572" s="21" t="s">
        <v>233</v>
      </c>
      <c r="J2572" s="21" t="s">
        <v>233</v>
      </c>
      <c r="K2572" s="22"/>
      <c r="L2572" s="56">
        <v>45090</v>
      </c>
      <c r="O2572" s="42"/>
      <c r="P2572" s="40"/>
      <c r="Q2572" s="61"/>
      <c r="R2572" s="61"/>
      <c r="S2572" s="40"/>
      <c r="T2572" s="38"/>
      <c r="U2572" s="38"/>
      <c r="V2572" s="38"/>
      <c r="W2572" s="60"/>
      <c r="AB2572" s="42"/>
      <c r="AC2572" s="35"/>
      <c r="AD2572" s="38"/>
      <c r="AE2572" s="38"/>
      <c r="AF2572" s="38"/>
      <c r="AG2572" s="38"/>
      <c r="AH2572" s="60"/>
    </row>
    <row r="2573" spans="1:34" ht="15.75" customHeight="1">
      <c r="A2573" s="35"/>
      <c r="B2573" s="18" t="s">
        <v>9173</v>
      </c>
      <c r="C2573" s="37" t="s">
        <v>1486</v>
      </c>
      <c r="D2573" s="20" t="s">
        <v>9174</v>
      </c>
      <c r="E2573" s="20" t="s">
        <v>9175</v>
      </c>
      <c r="F2573" s="37" t="s">
        <v>1489</v>
      </c>
      <c r="G2573" s="37" t="s">
        <v>1490</v>
      </c>
      <c r="H2573" s="37"/>
      <c r="I2573" s="21" t="s">
        <v>1371</v>
      </c>
      <c r="J2573" s="21" t="s">
        <v>1371</v>
      </c>
      <c r="K2573" s="22" t="s">
        <v>9176</v>
      </c>
      <c r="L2573" s="56">
        <v>45090</v>
      </c>
      <c r="O2573" s="42"/>
      <c r="P2573" s="40"/>
      <c r="Q2573" s="61"/>
      <c r="R2573" s="61"/>
      <c r="S2573" s="40"/>
      <c r="T2573" s="38"/>
      <c r="U2573" s="38"/>
      <c r="V2573" s="38"/>
      <c r="W2573" s="60"/>
      <c r="AB2573" s="42"/>
      <c r="AC2573" s="35"/>
      <c r="AD2573" s="38"/>
      <c r="AE2573" s="38"/>
      <c r="AF2573" s="38"/>
      <c r="AG2573" s="38"/>
      <c r="AH2573" s="60"/>
    </row>
    <row r="2574" spans="1:34" ht="15.75" customHeight="1">
      <c r="A2574" s="116"/>
      <c r="B2574" s="18" t="s">
        <v>9177</v>
      </c>
      <c r="C2574" s="37" t="s">
        <v>1430</v>
      </c>
      <c r="D2574" s="20" t="s">
        <v>9178</v>
      </c>
      <c r="E2574" s="20" t="s">
        <v>9179</v>
      </c>
      <c r="F2574" s="55" t="s">
        <v>1445</v>
      </c>
      <c r="G2574" s="55" t="s">
        <v>1432</v>
      </c>
      <c r="H2574" s="37"/>
      <c r="I2574" s="21" t="s">
        <v>233</v>
      </c>
      <c r="J2574" s="21" t="s">
        <v>233</v>
      </c>
      <c r="K2574" s="22" t="s">
        <v>9180</v>
      </c>
      <c r="L2574" s="56">
        <v>45090</v>
      </c>
      <c r="O2574" s="42"/>
      <c r="P2574" s="40"/>
      <c r="Q2574" s="61"/>
      <c r="R2574" s="61"/>
      <c r="S2574" s="40"/>
      <c r="T2574" s="38"/>
      <c r="U2574" s="38"/>
      <c r="V2574" s="38"/>
      <c r="W2574" s="60"/>
      <c r="AB2574" s="42"/>
      <c r="AC2574" s="35"/>
      <c r="AD2574" s="38"/>
      <c r="AE2574" s="38"/>
      <c r="AF2574" s="38"/>
      <c r="AG2574" s="38"/>
      <c r="AH2574" s="60"/>
    </row>
    <row r="2575" spans="1:34" ht="15.75" customHeight="1">
      <c r="A2575" s="117"/>
      <c r="B2575" s="18" t="s">
        <v>9181</v>
      </c>
      <c r="C2575" s="37" t="s">
        <v>228</v>
      </c>
      <c r="D2575" s="20" t="s">
        <v>9182</v>
      </c>
      <c r="E2575" s="20"/>
      <c r="F2575" s="19" t="s">
        <v>231</v>
      </c>
      <c r="G2575" s="19" t="s">
        <v>232</v>
      </c>
      <c r="H2575" s="37"/>
      <c r="I2575" s="21" t="s">
        <v>233</v>
      </c>
      <c r="J2575" s="21" t="s">
        <v>233</v>
      </c>
      <c r="K2575" s="22"/>
      <c r="L2575" s="56">
        <v>45090</v>
      </c>
      <c r="O2575" s="42"/>
      <c r="P2575" s="40"/>
      <c r="Q2575" s="61"/>
      <c r="R2575" s="61"/>
      <c r="S2575" s="40"/>
      <c r="T2575" s="38"/>
      <c r="U2575" s="38"/>
      <c r="V2575" s="38"/>
      <c r="W2575" s="60"/>
      <c r="AB2575" s="42"/>
      <c r="AC2575" s="35"/>
      <c r="AD2575" s="38"/>
      <c r="AE2575" s="38"/>
      <c r="AF2575" s="38"/>
      <c r="AG2575" s="38"/>
      <c r="AH2575" s="60"/>
    </row>
    <row r="2576" spans="1:34" ht="15.75" customHeight="1">
      <c r="A2576" s="118"/>
      <c r="B2576" s="18" t="s">
        <v>9183</v>
      </c>
      <c r="C2576" s="55" t="s">
        <v>87</v>
      </c>
      <c r="D2576" s="20" t="s">
        <v>9184</v>
      </c>
      <c r="E2576" s="20" t="s">
        <v>9185</v>
      </c>
      <c r="F2576" s="19" t="s">
        <v>90</v>
      </c>
      <c r="G2576" s="19" t="s">
        <v>91</v>
      </c>
      <c r="H2576" s="19" t="s">
        <v>36</v>
      </c>
      <c r="I2576" s="21" t="s">
        <v>29</v>
      </c>
      <c r="J2576" s="21" t="s">
        <v>29</v>
      </c>
      <c r="K2576" s="22" t="s">
        <v>9186</v>
      </c>
      <c r="L2576" s="56">
        <v>45090</v>
      </c>
      <c r="O2576" s="42"/>
      <c r="P2576" s="40"/>
      <c r="Q2576" s="61"/>
      <c r="R2576" s="61"/>
      <c r="S2576" s="40"/>
      <c r="T2576" s="38"/>
      <c r="U2576" s="38"/>
      <c r="V2576" s="38"/>
      <c r="W2576" s="60"/>
      <c r="AB2576" s="42"/>
      <c r="AC2576" s="35"/>
      <c r="AD2576" s="38"/>
      <c r="AE2576" s="38"/>
      <c r="AF2576" s="38"/>
      <c r="AG2576" s="38"/>
      <c r="AH2576" s="60"/>
    </row>
    <row r="2577" spans="1:34" ht="15.75" customHeight="1">
      <c r="A2577" s="116"/>
      <c r="B2577" s="18" t="s">
        <v>9187</v>
      </c>
      <c r="C2577" s="37" t="s">
        <v>24</v>
      </c>
      <c r="D2577" s="20" t="s">
        <v>9188</v>
      </c>
      <c r="E2577" s="20" t="s">
        <v>9189</v>
      </c>
      <c r="F2577" s="19" t="s">
        <v>27</v>
      </c>
      <c r="G2577" s="19" t="s">
        <v>28</v>
      </c>
      <c r="H2577" s="37"/>
      <c r="I2577" s="21" t="s">
        <v>29</v>
      </c>
      <c r="J2577" s="21" t="s">
        <v>29</v>
      </c>
      <c r="K2577" s="22" t="s">
        <v>9190</v>
      </c>
      <c r="L2577" s="56">
        <v>45090</v>
      </c>
      <c r="O2577" s="42"/>
      <c r="P2577" s="40"/>
      <c r="Q2577" s="61"/>
      <c r="R2577" s="61"/>
      <c r="S2577" s="40"/>
      <c r="T2577" s="38"/>
      <c r="U2577" s="38"/>
      <c r="V2577" s="38"/>
      <c r="W2577" s="60"/>
      <c r="AB2577" s="42"/>
      <c r="AC2577" s="35"/>
      <c r="AD2577" s="38"/>
      <c r="AE2577" s="38"/>
      <c r="AF2577" s="38"/>
      <c r="AG2577" s="38"/>
      <c r="AH2577" s="60"/>
    </row>
    <row r="2578" spans="1:34" ht="15.75" customHeight="1">
      <c r="A2578" s="117"/>
      <c r="B2578" s="18" t="s">
        <v>9191</v>
      </c>
      <c r="C2578" s="37" t="s">
        <v>87</v>
      </c>
      <c r="D2578" s="20" t="s">
        <v>9192</v>
      </c>
      <c r="E2578" s="20" t="s">
        <v>9193</v>
      </c>
      <c r="F2578" s="19" t="s">
        <v>90</v>
      </c>
      <c r="G2578" s="19" t="s">
        <v>91</v>
      </c>
      <c r="H2578" s="37"/>
      <c r="I2578" s="21" t="s">
        <v>29</v>
      </c>
      <c r="J2578" s="21" t="s">
        <v>29</v>
      </c>
      <c r="K2578" s="22" t="s">
        <v>9194</v>
      </c>
      <c r="L2578" s="56">
        <v>45090</v>
      </c>
      <c r="O2578" s="42"/>
      <c r="P2578" s="40"/>
      <c r="Q2578" s="61"/>
      <c r="R2578" s="61"/>
      <c r="S2578" s="40"/>
      <c r="T2578" s="38"/>
      <c r="U2578" s="38"/>
      <c r="V2578" s="38"/>
      <c r="W2578" s="60"/>
      <c r="AB2578" s="42"/>
      <c r="AC2578" s="35"/>
      <c r="AD2578" s="38"/>
      <c r="AE2578" s="38"/>
      <c r="AF2578" s="38"/>
      <c r="AG2578" s="38"/>
      <c r="AH2578" s="60"/>
    </row>
    <row r="2579" spans="1:34" ht="15.75" customHeight="1">
      <c r="A2579" s="118"/>
      <c r="B2579" s="18" t="s">
        <v>9195</v>
      </c>
      <c r="C2579" s="37" t="s">
        <v>24</v>
      </c>
      <c r="D2579" s="20" t="s">
        <v>9196</v>
      </c>
      <c r="E2579" s="20" t="s">
        <v>9197</v>
      </c>
      <c r="F2579" s="19" t="s">
        <v>27</v>
      </c>
      <c r="G2579" s="19" t="s">
        <v>28</v>
      </c>
      <c r="H2579" s="37"/>
      <c r="I2579" s="21" t="s">
        <v>29</v>
      </c>
      <c r="J2579" s="21" t="s">
        <v>29</v>
      </c>
      <c r="K2579" s="22" t="s">
        <v>9198</v>
      </c>
      <c r="L2579" s="56">
        <v>45090</v>
      </c>
      <c r="O2579" s="42"/>
      <c r="P2579" s="40"/>
      <c r="Q2579" s="61"/>
      <c r="R2579" s="61"/>
      <c r="S2579" s="40"/>
      <c r="T2579" s="38"/>
      <c r="U2579" s="38"/>
      <c r="V2579" s="38"/>
      <c r="W2579" s="60"/>
      <c r="AB2579" s="42"/>
      <c r="AC2579" s="35"/>
      <c r="AD2579" s="38"/>
      <c r="AE2579" s="38"/>
      <c r="AF2579" s="38"/>
      <c r="AG2579" s="38"/>
      <c r="AH2579" s="60"/>
    </row>
    <row r="2580" spans="1:34" ht="15.75" customHeight="1">
      <c r="A2580" s="116"/>
      <c r="B2580" s="18" t="s">
        <v>9199</v>
      </c>
      <c r="C2580" s="37" t="s">
        <v>87</v>
      </c>
      <c r="D2580" s="20" t="s">
        <v>9200</v>
      </c>
      <c r="E2580" s="20" t="s">
        <v>9201</v>
      </c>
      <c r="F2580" s="19" t="s">
        <v>90</v>
      </c>
      <c r="G2580" s="19" t="s">
        <v>91</v>
      </c>
      <c r="H2580" s="37"/>
      <c r="I2580" s="21" t="s">
        <v>29</v>
      </c>
      <c r="J2580" s="21" t="s">
        <v>29</v>
      </c>
      <c r="K2580" s="22" t="s">
        <v>9202</v>
      </c>
      <c r="L2580" s="56">
        <v>45090</v>
      </c>
      <c r="O2580" s="42"/>
      <c r="P2580" s="40"/>
      <c r="Q2580" s="61"/>
      <c r="R2580" s="61"/>
      <c r="S2580" s="40"/>
      <c r="T2580" s="38"/>
      <c r="U2580" s="38"/>
      <c r="V2580" s="38"/>
      <c r="W2580" s="60"/>
      <c r="AB2580" s="42"/>
      <c r="AC2580" s="35"/>
      <c r="AD2580" s="38"/>
      <c r="AE2580" s="38"/>
      <c r="AF2580" s="38"/>
      <c r="AG2580" s="38"/>
      <c r="AH2580" s="60"/>
    </row>
    <row r="2581" spans="1:34" ht="15.75" customHeight="1">
      <c r="A2581" s="117"/>
      <c r="B2581" s="119" t="s">
        <v>9203</v>
      </c>
      <c r="C2581" s="19" t="s">
        <v>121</v>
      </c>
      <c r="D2581" s="20" t="s">
        <v>9204</v>
      </c>
      <c r="E2581" s="20" t="s">
        <v>9205</v>
      </c>
      <c r="F2581" s="19" t="s">
        <v>90</v>
      </c>
      <c r="G2581" s="55" t="s">
        <v>452</v>
      </c>
      <c r="H2581" s="55"/>
      <c r="I2581" s="21" t="s">
        <v>29</v>
      </c>
      <c r="J2581" s="21" t="s">
        <v>452</v>
      </c>
      <c r="K2581" s="22" t="s">
        <v>9206</v>
      </c>
      <c r="L2581" s="56">
        <v>45090</v>
      </c>
      <c r="O2581" s="42"/>
      <c r="P2581" s="40"/>
      <c r="Q2581" s="61"/>
      <c r="R2581" s="61"/>
      <c r="S2581" s="40"/>
      <c r="T2581" s="38"/>
      <c r="U2581" s="38"/>
      <c r="V2581" s="38"/>
      <c r="W2581" s="60"/>
      <c r="AB2581" s="42"/>
      <c r="AC2581" s="35"/>
      <c r="AD2581" s="38"/>
      <c r="AE2581" s="38"/>
      <c r="AF2581" s="38"/>
      <c r="AG2581" s="38"/>
      <c r="AH2581" s="60"/>
    </row>
    <row r="2582" spans="1:34" ht="15.75" customHeight="1">
      <c r="A2582" s="118"/>
      <c r="B2582" s="18" t="s">
        <v>9207</v>
      </c>
      <c r="C2582" s="37" t="s">
        <v>1470</v>
      </c>
      <c r="D2582" s="20" t="s">
        <v>9208</v>
      </c>
      <c r="E2582" s="20" t="s">
        <v>9209</v>
      </c>
      <c r="F2582" s="19" t="s">
        <v>3286</v>
      </c>
      <c r="G2582" s="37" t="s">
        <v>1461</v>
      </c>
      <c r="H2582" s="37"/>
      <c r="I2582" s="21" t="s">
        <v>233</v>
      </c>
      <c r="J2582" s="21" t="s">
        <v>233</v>
      </c>
      <c r="K2582" s="22" t="s">
        <v>9210</v>
      </c>
      <c r="L2582" s="56">
        <v>45090</v>
      </c>
      <c r="O2582" s="42"/>
      <c r="P2582" s="40"/>
      <c r="Q2582" s="61"/>
      <c r="R2582" s="61"/>
      <c r="S2582" s="40"/>
      <c r="T2582" s="38"/>
      <c r="U2582" s="38"/>
      <c r="V2582" s="38"/>
      <c r="W2582" s="60"/>
      <c r="AB2582" s="42"/>
      <c r="AC2582" s="35"/>
      <c r="AD2582" s="38"/>
      <c r="AE2582" s="38"/>
      <c r="AF2582" s="38"/>
      <c r="AG2582" s="38"/>
      <c r="AH2582" s="60"/>
    </row>
    <row r="2583" spans="1:34" ht="15.75" customHeight="1">
      <c r="A2583" s="116"/>
      <c r="B2583" s="18" t="s">
        <v>9211</v>
      </c>
      <c r="C2583" s="37" t="s">
        <v>1430</v>
      </c>
      <c r="D2583" s="20" t="s">
        <v>9212</v>
      </c>
      <c r="E2583" s="20" t="s">
        <v>9213</v>
      </c>
      <c r="F2583" s="55" t="s">
        <v>1445</v>
      </c>
      <c r="G2583" s="55" t="s">
        <v>1432</v>
      </c>
      <c r="H2583" s="37"/>
      <c r="I2583" s="21" t="s">
        <v>233</v>
      </c>
      <c r="J2583" s="21" t="s">
        <v>233</v>
      </c>
      <c r="K2583" s="22" t="s">
        <v>9214</v>
      </c>
      <c r="L2583" s="56">
        <v>45090</v>
      </c>
      <c r="O2583" s="42"/>
      <c r="P2583" s="40"/>
      <c r="Q2583" s="61"/>
      <c r="R2583" s="61"/>
      <c r="S2583" s="40"/>
      <c r="T2583" s="38"/>
      <c r="U2583" s="38"/>
      <c r="V2583" s="38"/>
      <c r="W2583" s="60"/>
      <c r="AB2583" s="42"/>
      <c r="AC2583" s="35"/>
      <c r="AD2583" s="38"/>
      <c r="AE2583" s="38"/>
      <c r="AF2583" s="38"/>
      <c r="AG2583" s="38"/>
      <c r="AH2583" s="60"/>
    </row>
    <row r="2584" spans="1:34" ht="15.75" customHeight="1">
      <c r="A2584" s="117"/>
      <c r="B2584" s="18" t="s">
        <v>9215</v>
      </c>
      <c r="C2584" s="37" t="s">
        <v>87</v>
      </c>
      <c r="D2584" s="20" t="s">
        <v>9216</v>
      </c>
      <c r="E2584" s="20" t="s">
        <v>9217</v>
      </c>
      <c r="F2584" s="19" t="s">
        <v>90</v>
      </c>
      <c r="G2584" s="19" t="s">
        <v>91</v>
      </c>
      <c r="H2584" s="37"/>
      <c r="I2584" s="21" t="s">
        <v>29</v>
      </c>
      <c r="J2584" s="21" t="s">
        <v>29</v>
      </c>
      <c r="K2584" s="22" t="s">
        <v>9218</v>
      </c>
      <c r="L2584" s="56">
        <v>45090</v>
      </c>
      <c r="O2584" s="42"/>
      <c r="P2584" s="40"/>
      <c r="Q2584" s="61"/>
      <c r="R2584" s="61"/>
      <c r="S2584" s="40"/>
      <c r="T2584" s="38"/>
      <c r="U2584" s="38"/>
      <c r="V2584" s="38"/>
      <c r="W2584" s="60"/>
      <c r="AB2584" s="42"/>
      <c r="AC2584" s="35"/>
      <c r="AD2584" s="38"/>
      <c r="AE2584" s="38"/>
      <c r="AF2584" s="38"/>
      <c r="AG2584" s="38"/>
      <c r="AH2584" s="60"/>
    </row>
    <row r="2585" spans="1:34" ht="15.75" customHeight="1">
      <c r="A2585" s="118"/>
      <c r="B2585" s="18" t="s">
        <v>9219</v>
      </c>
      <c r="C2585" s="37" t="s">
        <v>87</v>
      </c>
      <c r="D2585" s="20" t="s">
        <v>9220</v>
      </c>
      <c r="E2585" s="20" t="s">
        <v>9221</v>
      </c>
      <c r="F2585" s="19" t="s">
        <v>90</v>
      </c>
      <c r="G2585" s="19" t="s">
        <v>91</v>
      </c>
      <c r="H2585" s="37"/>
      <c r="I2585" s="21" t="s">
        <v>29</v>
      </c>
      <c r="J2585" s="21" t="s">
        <v>29</v>
      </c>
      <c r="K2585" s="22" t="s">
        <v>9222</v>
      </c>
      <c r="L2585" s="56">
        <v>45090</v>
      </c>
      <c r="O2585" s="42"/>
      <c r="P2585" s="40"/>
      <c r="Q2585" s="61"/>
      <c r="R2585" s="61"/>
      <c r="S2585" s="40"/>
      <c r="T2585" s="38"/>
      <c r="U2585" s="38"/>
      <c r="V2585" s="38"/>
      <c r="W2585" s="60"/>
      <c r="AB2585" s="42"/>
      <c r="AC2585" s="35"/>
      <c r="AD2585" s="38"/>
      <c r="AE2585" s="38"/>
      <c r="AF2585" s="38"/>
      <c r="AG2585" s="38"/>
      <c r="AH2585" s="60"/>
    </row>
    <row r="2586" spans="1:34" ht="15.75" customHeight="1">
      <c r="A2586" s="116"/>
      <c r="B2586" s="18" t="s">
        <v>9223</v>
      </c>
      <c r="C2586" s="37" t="s">
        <v>1486</v>
      </c>
      <c r="D2586" s="20" t="s">
        <v>9224</v>
      </c>
      <c r="E2586" s="20" t="s">
        <v>9225</v>
      </c>
      <c r="F2586" s="37" t="s">
        <v>1489</v>
      </c>
      <c r="G2586" s="37" t="s">
        <v>1490</v>
      </c>
      <c r="H2586" s="37"/>
      <c r="I2586" s="21" t="s">
        <v>1371</v>
      </c>
      <c r="J2586" s="21" t="s">
        <v>1371</v>
      </c>
      <c r="K2586" s="22" t="s">
        <v>9226</v>
      </c>
      <c r="L2586" s="56">
        <v>45090</v>
      </c>
      <c r="O2586" s="42"/>
      <c r="P2586" s="40"/>
      <c r="Q2586" s="61"/>
      <c r="R2586" s="61"/>
      <c r="S2586" s="40"/>
      <c r="T2586" s="38"/>
      <c r="U2586" s="38"/>
      <c r="V2586" s="38"/>
      <c r="W2586" s="60"/>
      <c r="AB2586" s="42"/>
      <c r="AC2586" s="35"/>
      <c r="AD2586" s="38"/>
      <c r="AE2586" s="38"/>
      <c r="AF2586" s="38"/>
      <c r="AG2586" s="38"/>
      <c r="AH2586" s="60"/>
    </row>
    <row r="2587" spans="1:34" ht="15.75" customHeight="1">
      <c r="A2587" s="117"/>
      <c r="B2587" s="38"/>
      <c r="C2587" s="37"/>
      <c r="D2587" s="20"/>
      <c r="E2587" s="20"/>
      <c r="F2587" s="37"/>
      <c r="G2587" s="37"/>
      <c r="H2587" s="37"/>
      <c r="I2587" s="21"/>
      <c r="J2587" s="21"/>
      <c r="K2587" s="22"/>
      <c r="L2587" s="39"/>
      <c r="O2587" s="42"/>
      <c r="P2587" s="40"/>
      <c r="Q2587" s="61"/>
      <c r="R2587" s="61"/>
      <c r="S2587" s="40"/>
      <c r="T2587" s="38"/>
      <c r="U2587" s="38"/>
      <c r="V2587" s="38"/>
      <c r="W2587" s="60"/>
      <c r="AB2587" s="42"/>
      <c r="AC2587" s="35"/>
      <c r="AD2587" s="38"/>
      <c r="AE2587" s="38"/>
      <c r="AF2587" s="38"/>
      <c r="AG2587" s="38"/>
      <c r="AH2587" s="60"/>
    </row>
    <row r="2588" spans="1:34" ht="15.75" customHeight="1">
      <c r="A2588" s="38" t="s">
        <v>9227</v>
      </c>
      <c r="B2588" s="18" t="s">
        <v>9228</v>
      </c>
      <c r="C2588" s="37" t="s">
        <v>24</v>
      </c>
      <c r="D2588" s="20" t="s">
        <v>9229</v>
      </c>
      <c r="E2588" s="20" t="s">
        <v>9230</v>
      </c>
      <c r="F2588" s="19" t="s">
        <v>27</v>
      </c>
      <c r="G2588" s="19" t="s">
        <v>28</v>
      </c>
      <c r="H2588" s="37"/>
      <c r="I2588" s="21" t="s">
        <v>29</v>
      </c>
      <c r="J2588" s="21" t="s">
        <v>29</v>
      </c>
      <c r="K2588" s="22" t="s">
        <v>9231</v>
      </c>
      <c r="L2588" s="56">
        <v>45092</v>
      </c>
      <c r="M2588" s="40"/>
      <c r="N2588" s="40"/>
      <c r="O2588" s="42"/>
      <c r="P2588" s="40"/>
      <c r="Q2588" s="61"/>
      <c r="R2588" s="61"/>
      <c r="S2588" s="40"/>
      <c r="T2588" s="38"/>
      <c r="U2588" s="38"/>
      <c r="V2588" s="38"/>
      <c r="W2588" s="60"/>
      <c r="AB2588" s="42"/>
      <c r="AC2588" s="35"/>
      <c r="AD2588" s="38"/>
      <c r="AE2588" s="38"/>
      <c r="AF2588" s="38"/>
      <c r="AG2588" s="38"/>
      <c r="AH2588" s="60"/>
    </row>
    <row r="2589" spans="1:34" ht="15.75" customHeight="1">
      <c r="A2589" s="54" t="s">
        <v>8500</v>
      </c>
      <c r="B2589" s="36" t="s">
        <v>9232</v>
      </c>
      <c r="C2589" s="37" t="s">
        <v>121</v>
      </c>
      <c r="D2589" s="20" t="s">
        <v>9233</v>
      </c>
      <c r="E2589" s="20" t="s">
        <v>9234</v>
      </c>
      <c r="F2589" s="19" t="s">
        <v>90</v>
      </c>
      <c r="G2589" s="19" t="s">
        <v>91</v>
      </c>
      <c r="H2589" s="37"/>
      <c r="I2589" s="21" t="s">
        <v>29</v>
      </c>
      <c r="J2589" s="21" t="s">
        <v>29</v>
      </c>
      <c r="K2589" s="22" t="s">
        <v>9235</v>
      </c>
      <c r="L2589" s="56">
        <v>45092</v>
      </c>
      <c r="O2589" s="42"/>
      <c r="P2589" s="40"/>
      <c r="Q2589" s="61"/>
      <c r="R2589" s="61"/>
      <c r="S2589" s="40"/>
      <c r="T2589" s="38"/>
      <c r="U2589" s="38"/>
      <c r="V2589" s="38"/>
      <c r="W2589" s="60"/>
      <c r="AB2589" s="42"/>
      <c r="AC2589" s="35"/>
      <c r="AD2589" s="38"/>
      <c r="AE2589" s="38"/>
      <c r="AF2589" s="38"/>
      <c r="AG2589" s="38"/>
      <c r="AH2589" s="60"/>
    </row>
    <row r="2590" spans="1:34" ht="15.75" customHeight="1">
      <c r="A2590" s="114" t="s">
        <v>39</v>
      </c>
      <c r="B2590" s="18" t="s">
        <v>9236</v>
      </c>
      <c r="C2590" s="37" t="s">
        <v>24</v>
      </c>
      <c r="D2590" s="20" t="s">
        <v>9237</v>
      </c>
      <c r="E2590" s="20" t="s">
        <v>9238</v>
      </c>
      <c r="F2590" s="19" t="s">
        <v>27</v>
      </c>
      <c r="G2590" s="19" t="s">
        <v>28</v>
      </c>
      <c r="H2590" s="37"/>
      <c r="I2590" s="21" t="s">
        <v>29</v>
      </c>
      <c r="J2590" s="21" t="s">
        <v>29</v>
      </c>
      <c r="K2590" s="22" t="s">
        <v>9239</v>
      </c>
      <c r="L2590" s="56">
        <v>45092</v>
      </c>
      <c r="O2590" s="42"/>
      <c r="P2590" s="40"/>
      <c r="Q2590" s="61"/>
      <c r="R2590" s="61"/>
      <c r="S2590" s="40"/>
      <c r="T2590" s="38"/>
      <c r="U2590" s="38"/>
      <c r="V2590" s="38"/>
      <c r="W2590" s="60"/>
      <c r="AB2590" s="42"/>
      <c r="AC2590" s="35"/>
      <c r="AD2590" s="38"/>
      <c r="AE2590" s="38"/>
      <c r="AF2590" s="38"/>
      <c r="AG2590" s="38"/>
      <c r="AH2590" s="60"/>
    </row>
    <row r="2591" spans="1:34" ht="15.75" customHeight="1">
      <c r="A2591" s="38" t="s">
        <v>8836</v>
      </c>
      <c r="B2591" s="18" t="s">
        <v>9240</v>
      </c>
      <c r="C2591" s="37" t="s">
        <v>24</v>
      </c>
      <c r="D2591" s="20" t="s">
        <v>9241</v>
      </c>
      <c r="E2591" s="20" t="s">
        <v>9242</v>
      </c>
      <c r="F2591" s="19" t="s">
        <v>27</v>
      </c>
      <c r="G2591" s="19" t="s">
        <v>28</v>
      </c>
      <c r="H2591" s="37" t="s">
        <v>813</v>
      </c>
      <c r="I2591" s="21" t="s">
        <v>29</v>
      </c>
      <c r="J2591" s="21" t="s">
        <v>29</v>
      </c>
      <c r="K2591" s="22" t="s">
        <v>9243</v>
      </c>
      <c r="L2591" s="56">
        <v>45092</v>
      </c>
      <c r="O2591" s="42"/>
      <c r="P2591" s="40"/>
      <c r="Q2591" s="61"/>
      <c r="R2591" s="61"/>
      <c r="S2591" s="40"/>
      <c r="T2591" s="38"/>
      <c r="U2591" s="38"/>
      <c r="V2591" s="38"/>
      <c r="W2591" s="60"/>
      <c r="AB2591" s="42"/>
      <c r="AC2591" s="35"/>
      <c r="AD2591" s="38"/>
      <c r="AE2591" s="38"/>
      <c r="AF2591" s="38"/>
      <c r="AG2591" s="38"/>
      <c r="AH2591" s="60"/>
    </row>
    <row r="2592" spans="1:34" ht="15.75" customHeight="1">
      <c r="A2592" s="38" t="s">
        <v>9244</v>
      </c>
      <c r="B2592" s="38" t="s">
        <v>9245</v>
      </c>
      <c r="C2592" s="37" t="s">
        <v>46</v>
      </c>
      <c r="D2592" s="20" t="s">
        <v>9246</v>
      </c>
      <c r="E2592" s="20" t="s">
        <v>9247</v>
      </c>
      <c r="F2592" s="37" t="s">
        <v>286</v>
      </c>
      <c r="G2592" s="19" t="s">
        <v>50</v>
      </c>
      <c r="H2592" s="37"/>
      <c r="I2592" s="21" t="s">
        <v>286</v>
      </c>
      <c r="J2592" s="21" t="s">
        <v>29</v>
      </c>
      <c r="K2592" s="22" t="s">
        <v>9248</v>
      </c>
      <c r="L2592" s="56"/>
      <c r="O2592" s="42"/>
      <c r="P2592" s="40"/>
      <c r="Q2592" s="61"/>
      <c r="R2592" s="61"/>
      <c r="S2592" s="40"/>
      <c r="T2592" s="38"/>
      <c r="U2592" s="38"/>
      <c r="V2592" s="38"/>
      <c r="W2592" s="60"/>
      <c r="AB2592" s="42"/>
      <c r="AC2592" s="35"/>
      <c r="AD2592" s="38"/>
      <c r="AE2592" s="38"/>
      <c r="AF2592" s="38"/>
      <c r="AG2592" s="38"/>
      <c r="AH2592" s="60"/>
    </row>
    <row r="2593" spans="1:34" ht="15.75" customHeight="1">
      <c r="A2593" s="111" t="s">
        <v>56</v>
      </c>
      <c r="B2593" s="18" t="s">
        <v>9249</v>
      </c>
      <c r="C2593" s="37" t="s">
        <v>87</v>
      </c>
      <c r="D2593" s="20" t="s">
        <v>9250</v>
      </c>
      <c r="E2593" s="20" t="s">
        <v>9251</v>
      </c>
      <c r="F2593" s="19" t="s">
        <v>90</v>
      </c>
      <c r="G2593" s="19" t="s">
        <v>91</v>
      </c>
      <c r="H2593" s="37"/>
      <c r="I2593" s="21" t="s">
        <v>29</v>
      </c>
      <c r="J2593" s="21" t="s">
        <v>29</v>
      </c>
      <c r="K2593" s="22" t="s">
        <v>9252</v>
      </c>
      <c r="L2593" s="56">
        <v>45092</v>
      </c>
      <c r="O2593" s="42"/>
      <c r="P2593" s="40"/>
      <c r="Q2593" s="61"/>
      <c r="R2593" s="61"/>
      <c r="S2593" s="40"/>
      <c r="T2593" s="38"/>
      <c r="U2593" s="38"/>
      <c r="V2593" s="38"/>
      <c r="W2593" s="60"/>
      <c r="AB2593" s="42"/>
      <c r="AC2593" s="35"/>
      <c r="AD2593" s="38"/>
      <c r="AE2593" s="38"/>
      <c r="AF2593" s="38"/>
      <c r="AG2593" s="38"/>
      <c r="AH2593" s="60"/>
    </row>
    <row r="2594" spans="1:34" ht="15.75" customHeight="1">
      <c r="A2594" s="75">
        <v>58</v>
      </c>
      <c r="B2594" s="18" t="s">
        <v>9253</v>
      </c>
      <c r="C2594" s="37" t="s">
        <v>24</v>
      </c>
      <c r="D2594" s="20" t="s">
        <v>9254</v>
      </c>
      <c r="E2594" s="20" t="s">
        <v>9255</v>
      </c>
      <c r="F2594" s="19" t="s">
        <v>27</v>
      </c>
      <c r="G2594" s="19" t="s">
        <v>28</v>
      </c>
      <c r="H2594" s="37"/>
      <c r="I2594" s="21" t="s">
        <v>29</v>
      </c>
      <c r="J2594" s="21" t="s">
        <v>29</v>
      </c>
      <c r="K2594" s="22" t="s">
        <v>9256</v>
      </c>
      <c r="L2594" s="56">
        <v>45092</v>
      </c>
      <c r="O2594" s="42"/>
      <c r="P2594" s="40"/>
      <c r="Q2594" s="61"/>
      <c r="R2594" s="61"/>
      <c r="S2594" s="40"/>
      <c r="T2594" s="38"/>
      <c r="U2594" s="38"/>
      <c r="V2594" s="38"/>
      <c r="W2594" s="60"/>
      <c r="AB2594" s="42"/>
      <c r="AC2594" s="35"/>
      <c r="AD2594" s="38"/>
      <c r="AE2594" s="38"/>
      <c r="AF2594" s="38"/>
      <c r="AG2594" s="38"/>
      <c r="AH2594" s="60"/>
    </row>
    <row r="2595" spans="1:34" ht="15.75" customHeight="1">
      <c r="A2595" s="111" t="s">
        <v>64</v>
      </c>
      <c r="B2595" s="18" t="s">
        <v>9257</v>
      </c>
      <c r="C2595" s="37" t="s">
        <v>46</v>
      </c>
      <c r="D2595" s="20" t="s">
        <v>9258</v>
      </c>
      <c r="E2595" s="20" t="s">
        <v>9259</v>
      </c>
      <c r="F2595" s="37" t="s">
        <v>49</v>
      </c>
      <c r="G2595" s="19" t="s">
        <v>50</v>
      </c>
      <c r="H2595" s="37"/>
      <c r="I2595" s="21" t="s">
        <v>29</v>
      </c>
      <c r="J2595" s="21" t="s">
        <v>29</v>
      </c>
      <c r="K2595" s="22" t="s">
        <v>9260</v>
      </c>
      <c r="L2595" s="56">
        <v>45092</v>
      </c>
      <c r="O2595" s="42"/>
      <c r="P2595" s="40"/>
      <c r="Q2595" s="61"/>
      <c r="R2595" s="61"/>
      <c r="S2595" s="40"/>
      <c r="T2595" s="38"/>
      <c r="U2595" s="38"/>
      <c r="V2595" s="38"/>
      <c r="W2595" s="60"/>
      <c r="AB2595" s="42"/>
      <c r="AC2595" s="35"/>
      <c r="AD2595" s="38"/>
      <c r="AE2595" s="38"/>
      <c r="AF2595" s="38"/>
      <c r="AG2595" s="38"/>
      <c r="AH2595" s="60"/>
    </row>
    <row r="2596" spans="1:34" ht="15.75" customHeight="1">
      <c r="A2596" s="75">
        <v>3.1</v>
      </c>
      <c r="B2596" s="18" t="s">
        <v>9261</v>
      </c>
      <c r="C2596" s="37" t="s">
        <v>1486</v>
      </c>
      <c r="D2596" s="20" t="s">
        <v>9262</v>
      </c>
      <c r="E2596" s="20" t="s">
        <v>9263</v>
      </c>
      <c r="F2596" s="37" t="s">
        <v>1489</v>
      </c>
      <c r="G2596" s="37" t="s">
        <v>1490</v>
      </c>
      <c r="H2596" s="37"/>
      <c r="I2596" s="21" t="s">
        <v>1371</v>
      </c>
      <c r="J2596" s="21" t="s">
        <v>1371</v>
      </c>
      <c r="K2596" s="22" t="s">
        <v>9264</v>
      </c>
      <c r="L2596" s="56">
        <v>45092</v>
      </c>
      <c r="O2596" s="42"/>
      <c r="P2596" s="40"/>
      <c r="Q2596" s="61"/>
      <c r="R2596" s="61"/>
      <c r="S2596" s="40"/>
      <c r="T2596" s="38"/>
      <c r="U2596" s="38"/>
      <c r="V2596" s="38"/>
      <c r="W2596" s="60"/>
      <c r="AB2596" s="42"/>
      <c r="AC2596" s="35"/>
      <c r="AD2596" s="38"/>
      <c r="AE2596" s="38"/>
      <c r="AF2596" s="38"/>
      <c r="AG2596" s="38"/>
      <c r="AH2596" s="60"/>
    </row>
    <row r="2597" spans="1:34" ht="15.75" customHeight="1">
      <c r="A2597" s="111" t="s">
        <v>73</v>
      </c>
      <c r="B2597" s="18" t="s">
        <v>9265</v>
      </c>
      <c r="C2597" s="37" t="s">
        <v>24</v>
      </c>
      <c r="D2597" s="20" t="s">
        <v>9266</v>
      </c>
      <c r="E2597" s="20" t="s">
        <v>9267</v>
      </c>
      <c r="F2597" s="19" t="s">
        <v>90</v>
      </c>
      <c r="G2597" s="19" t="s">
        <v>28</v>
      </c>
      <c r="H2597" s="37"/>
      <c r="I2597" s="21" t="s">
        <v>29</v>
      </c>
      <c r="J2597" s="21" t="s">
        <v>29</v>
      </c>
      <c r="K2597" s="22" t="s">
        <v>9268</v>
      </c>
      <c r="L2597" s="56">
        <v>45092</v>
      </c>
      <c r="O2597" s="42"/>
      <c r="P2597" s="40"/>
      <c r="Q2597" s="61"/>
      <c r="R2597" s="61"/>
      <c r="S2597" s="40"/>
      <c r="T2597" s="38"/>
      <c r="U2597" s="38"/>
      <c r="V2597" s="38"/>
      <c r="W2597" s="60"/>
      <c r="AB2597" s="42"/>
      <c r="AC2597" s="35"/>
      <c r="AD2597" s="38"/>
      <c r="AE2597" s="38"/>
      <c r="AF2597" s="38"/>
      <c r="AG2597" s="38"/>
      <c r="AH2597" s="60"/>
    </row>
    <row r="2598" spans="1:34" ht="15.75" customHeight="1">
      <c r="A2598" s="75">
        <v>3.5</v>
      </c>
      <c r="B2598" s="34" t="s">
        <v>9269</v>
      </c>
      <c r="C2598" s="37" t="s">
        <v>87</v>
      </c>
      <c r="D2598" s="20" t="s">
        <v>9270</v>
      </c>
      <c r="E2598" s="20" t="s">
        <v>9271</v>
      </c>
      <c r="F2598" s="37" t="s">
        <v>49</v>
      </c>
      <c r="G2598" s="19" t="s">
        <v>50</v>
      </c>
      <c r="H2598" s="37"/>
      <c r="I2598" s="21" t="s">
        <v>29</v>
      </c>
      <c r="J2598" s="21" t="s">
        <v>29</v>
      </c>
      <c r="K2598" s="22" t="s">
        <v>9272</v>
      </c>
      <c r="L2598" s="56">
        <v>45092</v>
      </c>
      <c r="O2598" s="42"/>
      <c r="P2598" s="40"/>
      <c r="Q2598" s="61"/>
      <c r="R2598" s="61"/>
      <c r="S2598" s="40"/>
      <c r="T2598" s="38"/>
      <c r="U2598" s="38"/>
      <c r="V2598" s="38"/>
      <c r="W2598" s="60"/>
      <c r="AB2598" s="42"/>
      <c r="AC2598" s="35"/>
      <c r="AD2598" s="38"/>
      <c r="AE2598" s="38"/>
      <c r="AF2598" s="38"/>
      <c r="AG2598" s="38"/>
      <c r="AH2598" s="60"/>
    </row>
    <row r="2599" spans="1:34" ht="15.75" customHeight="1">
      <c r="A2599" s="111" t="s">
        <v>82</v>
      </c>
      <c r="B2599" s="18" t="s">
        <v>9273</v>
      </c>
      <c r="C2599" s="37" t="s">
        <v>24</v>
      </c>
      <c r="D2599" s="20" t="s">
        <v>9274</v>
      </c>
      <c r="E2599" s="20" t="s">
        <v>9275</v>
      </c>
      <c r="F2599" s="19" t="s">
        <v>27</v>
      </c>
      <c r="G2599" s="19" t="s">
        <v>28</v>
      </c>
      <c r="H2599" s="37"/>
      <c r="I2599" s="21" t="s">
        <v>29</v>
      </c>
      <c r="J2599" s="21" t="s">
        <v>29</v>
      </c>
      <c r="K2599" s="22" t="s">
        <v>9276</v>
      </c>
      <c r="L2599" s="56">
        <v>45092</v>
      </c>
      <c r="O2599" s="42"/>
      <c r="P2599" s="40"/>
      <c r="Q2599" s="61"/>
      <c r="R2599" s="61"/>
      <c r="S2599" s="40"/>
      <c r="T2599" s="38"/>
      <c r="U2599" s="38"/>
      <c r="V2599" s="38"/>
      <c r="W2599" s="60"/>
      <c r="AB2599" s="42"/>
      <c r="AC2599" s="35"/>
      <c r="AD2599" s="38"/>
      <c r="AE2599" s="38"/>
      <c r="AF2599" s="38"/>
      <c r="AG2599" s="38"/>
      <c r="AH2599" s="60"/>
    </row>
    <row r="2600" spans="1:34" ht="15.75" customHeight="1">
      <c r="A2600" s="75" t="s">
        <v>9277</v>
      </c>
      <c r="B2600" s="18" t="s">
        <v>9278</v>
      </c>
      <c r="C2600" s="37" t="s">
        <v>24</v>
      </c>
      <c r="D2600" s="20" t="s">
        <v>9279</v>
      </c>
      <c r="E2600" s="20" t="s">
        <v>9280</v>
      </c>
      <c r="F2600" s="19" t="s">
        <v>27</v>
      </c>
      <c r="G2600" s="19" t="s">
        <v>28</v>
      </c>
      <c r="H2600" s="37"/>
      <c r="I2600" s="21" t="s">
        <v>29</v>
      </c>
      <c r="J2600" s="21" t="s">
        <v>29</v>
      </c>
      <c r="K2600" s="22" t="s">
        <v>9281</v>
      </c>
      <c r="L2600" s="56">
        <v>45092</v>
      </c>
      <c r="O2600" s="42"/>
      <c r="P2600" s="40"/>
      <c r="Q2600" s="61"/>
      <c r="R2600" s="61"/>
      <c r="S2600" s="40"/>
      <c r="T2600" s="38"/>
      <c r="U2600" s="38"/>
      <c r="V2600" s="38"/>
      <c r="W2600" s="60"/>
      <c r="AB2600" s="42"/>
      <c r="AC2600" s="35"/>
      <c r="AD2600" s="38"/>
      <c r="AE2600" s="38"/>
      <c r="AF2600" s="38"/>
      <c r="AG2600" s="38"/>
      <c r="AH2600" s="60"/>
    </row>
    <row r="2601" spans="1:34" ht="15.75" customHeight="1">
      <c r="A2601" s="111" t="s">
        <v>92</v>
      </c>
      <c r="B2601" s="18" t="s">
        <v>9282</v>
      </c>
      <c r="C2601" s="37" t="s">
        <v>24</v>
      </c>
      <c r="D2601" s="20" t="s">
        <v>9283</v>
      </c>
      <c r="E2601" s="20" t="s">
        <v>9284</v>
      </c>
      <c r="F2601" s="19" t="s">
        <v>27</v>
      </c>
      <c r="G2601" s="19" t="s">
        <v>28</v>
      </c>
      <c r="H2601" s="37"/>
      <c r="I2601" s="21" t="s">
        <v>29</v>
      </c>
      <c r="J2601" s="21" t="s">
        <v>29</v>
      </c>
      <c r="K2601" s="22" t="s">
        <v>9285</v>
      </c>
      <c r="L2601" s="56">
        <v>45092</v>
      </c>
      <c r="O2601" s="42"/>
      <c r="P2601" s="40"/>
      <c r="Q2601" s="61"/>
      <c r="R2601" s="61"/>
      <c r="S2601" s="40"/>
      <c r="T2601" s="38"/>
      <c r="U2601" s="38"/>
      <c r="V2601" s="38"/>
      <c r="W2601" s="60"/>
      <c r="AB2601" s="42"/>
      <c r="AC2601" s="35"/>
      <c r="AD2601" s="38"/>
      <c r="AE2601" s="38"/>
      <c r="AF2601" s="38"/>
      <c r="AG2601" s="38"/>
      <c r="AH2601" s="60"/>
    </row>
    <row r="2602" spans="1:34" ht="15.75" customHeight="1">
      <c r="A2602" s="112">
        <v>1098</v>
      </c>
      <c r="B2602" s="18" t="s">
        <v>9286</v>
      </c>
      <c r="C2602" s="37" t="s">
        <v>24</v>
      </c>
      <c r="D2602" s="20" t="s">
        <v>9287</v>
      </c>
      <c r="E2602" s="20" t="s">
        <v>9288</v>
      </c>
      <c r="F2602" s="19" t="s">
        <v>27</v>
      </c>
      <c r="G2602" s="19" t="s">
        <v>28</v>
      </c>
      <c r="H2602" s="37"/>
      <c r="I2602" s="21" t="s">
        <v>29</v>
      </c>
      <c r="J2602" s="21" t="s">
        <v>29</v>
      </c>
      <c r="K2602" s="22" t="s">
        <v>9289</v>
      </c>
      <c r="L2602" s="56">
        <v>45092</v>
      </c>
      <c r="O2602" s="42"/>
      <c r="P2602" s="40"/>
      <c r="Q2602" s="61"/>
      <c r="R2602" s="61"/>
      <c r="S2602" s="40"/>
      <c r="T2602" s="38"/>
      <c r="U2602" s="38"/>
      <c r="V2602" s="38"/>
      <c r="W2602" s="60"/>
      <c r="AB2602" s="42"/>
      <c r="AC2602" s="35"/>
      <c r="AD2602" s="38"/>
      <c r="AE2602" s="38"/>
      <c r="AF2602" s="38"/>
      <c r="AG2602" s="38"/>
      <c r="AH2602" s="60"/>
    </row>
    <row r="2603" spans="1:34" ht="15.75" customHeight="1">
      <c r="A2603" s="111" t="s">
        <v>100</v>
      </c>
      <c r="B2603" s="18" t="s">
        <v>9290</v>
      </c>
      <c r="C2603" s="37" t="s">
        <v>1430</v>
      </c>
      <c r="D2603" s="20" t="s">
        <v>9291</v>
      </c>
      <c r="E2603" s="20" t="s">
        <v>9292</v>
      </c>
      <c r="F2603" s="55" t="s">
        <v>1445</v>
      </c>
      <c r="G2603" s="55" t="s">
        <v>1432</v>
      </c>
      <c r="H2603" s="37"/>
      <c r="I2603" s="21" t="s">
        <v>233</v>
      </c>
      <c r="J2603" s="21" t="s">
        <v>233</v>
      </c>
      <c r="K2603" s="22" t="s">
        <v>9293</v>
      </c>
      <c r="L2603" s="56">
        <v>45092</v>
      </c>
      <c r="O2603" s="42"/>
      <c r="P2603" s="40"/>
      <c r="Q2603" s="61"/>
      <c r="R2603" s="61"/>
      <c r="S2603" s="40"/>
      <c r="T2603" s="38"/>
      <c r="U2603" s="38"/>
      <c r="V2603" s="38"/>
      <c r="W2603" s="60"/>
      <c r="AB2603" s="42"/>
      <c r="AC2603" s="35"/>
      <c r="AD2603" s="38"/>
      <c r="AE2603" s="38"/>
      <c r="AF2603" s="38"/>
      <c r="AG2603" s="38"/>
      <c r="AH2603" s="60"/>
    </row>
    <row r="2604" spans="1:34" ht="15.75" customHeight="1">
      <c r="A2604" s="75">
        <v>164</v>
      </c>
      <c r="B2604" s="18" t="s">
        <v>9294</v>
      </c>
      <c r="C2604" s="37" t="s">
        <v>24</v>
      </c>
      <c r="D2604" s="20" t="s">
        <v>9295</v>
      </c>
      <c r="E2604" s="20" t="s">
        <v>9296</v>
      </c>
      <c r="F2604" s="19" t="s">
        <v>27</v>
      </c>
      <c r="G2604" s="19" t="s">
        <v>28</v>
      </c>
      <c r="H2604" s="19" t="s">
        <v>36</v>
      </c>
      <c r="I2604" s="21" t="s">
        <v>29</v>
      </c>
      <c r="J2604" s="21" t="s">
        <v>29</v>
      </c>
      <c r="K2604" s="22" t="s">
        <v>9297</v>
      </c>
      <c r="L2604" s="56">
        <v>45092</v>
      </c>
      <c r="O2604" s="42"/>
      <c r="P2604" s="40"/>
      <c r="Q2604" s="61"/>
      <c r="R2604" s="61"/>
      <c r="S2604" s="40"/>
      <c r="T2604" s="38"/>
      <c r="U2604" s="38"/>
      <c r="V2604" s="38"/>
      <c r="W2604" s="60"/>
      <c r="AB2604" s="42"/>
      <c r="AC2604" s="35"/>
      <c r="AD2604" s="38"/>
      <c r="AE2604" s="38"/>
      <c r="AF2604" s="38"/>
      <c r="AG2604" s="38"/>
      <c r="AH2604" s="60"/>
    </row>
    <row r="2605" spans="1:34" ht="15.75" customHeight="1">
      <c r="B2605" s="18" t="s">
        <v>9298</v>
      </c>
      <c r="C2605" s="37" t="s">
        <v>24</v>
      </c>
      <c r="D2605" s="20" t="s">
        <v>9299</v>
      </c>
      <c r="E2605" s="20" t="s">
        <v>9300</v>
      </c>
      <c r="F2605" s="19" t="s">
        <v>27</v>
      </c>
      <c r="G2605" s="19" t="s">
        <v>28</v>
      </c>
      <c r="H2605" s="37"/>
      <c r="I2605" s="21" t="s">
        <v>29</v>
      </c>
      <c r="J2605" s="21" t="s">
        <v>29</v>
      </c>
      <c r="K2605" s="22" t="s">
        <v>9301</v>
      </c>
      <c r="L2605" s="56">
        <v>45092</v>
      </c>
      <c r="O2605" s="42"/>
      <c r="P2605" s="40"/>
      <c r="Q2605" s="61"/>
      <c r="R2605" s="61"/>
      <c r="S2605" s="40"/>
      <c r="T2605" s="38"/>
      <c r="U2605" s="38"/>
      <c r="V2605" s="38"/>
      <c r="W2605" s="60"/>
      <c r="AB2605" s="42"/>
      <c r="AC2605" s="35"/>
      <c r="AD2605" s="38"/>
      <c r="AE2605" s="38"/>
      <c r="AF2605" s="38"/>
      <c r="AG2605" s="38"/>
      <c r="AH2605" s="60"/>
    </row>
    <row r="2606" spans="1:34" ht="15.75" customHeight="1">
      <c r="A2606" s="35"/>
      <c r="B2606" s="18" t="s">
        <v>9302</v>
      </c>
      <c r="C2606" s="37" t="s">
        <v>24</v>
      </c>
      <c r="D2606" s="20" t="s">
        <v>9303</v>
      </c>
      <c r="E2606" s="20" t="s">
        <v>9304</v>
      </c>
      <c r="F2606" s="19" t="s">
        <v>27</v>
      </c>
      <c r="G2606" s="19" t="s">
        <v>28</v>
      </c>
      <c r="H2606" s="37"/>
      <c r="I2606" s="21" t="s">
        <v>29</v>
      </c>
      <c r="J2606" s="21" t="s">
        <v>29</v>
      </c>
      <c r="K2606" s="22" t="s">
        <v>9305</v>
      </c>
      <c r="L2606" s="56">
        <v>45092</v>
      </c>
      <c r="O2606" s="42"/>
      <c r="P2606" s="40"/>
      <c r="Q2606" s="61"/>
      <c r="R2606" s="61"/>
      <c r="S2606" s="40"/>
      <c r="T2606" s="38"/>
      <c r="U2606" s="38"/>
      <c r="V2606" s="38"/>
      <c r="W2606" s="60"/>
      <c r="AB2606" s="42"/>
      <c r="AC2606" s="35"/>
      <c r="AD2606" s="38"/>
      <c r="AE2606" s="38"/>
      <c r="AF2606" s="38"/>
      <c r="AG2606" s="38"/>
      <c r="AH2606" s="60"/>
    </row>
    <row r="2607" spans="1:34" ht="15.75" customHeight="1">
      <c r="A2607" s="120"/>
      <c r="B2607" s="18" t="s">
        <v>9306</v>
      </c>
      <c r="C2607" s="37" t="s">
        <v>24</v>
      </c>
      <c r="D2607" s="20" t="s">
        <v>9307</v>
      </c>
      <c r="E2607" s="20" t="s">
        <v>9308</v>
      </c>
      <c r="F2607" s="19" t="s">
        <v>27</v>
      </c>
      <c r="G2607" s="19" t="s">
        <v>28</v>
      </c>
      <c r="H2607" s="37" t="s">
        <v>813</v>
      </c>
      <c r="I2607" s="21" t="s">
        <v>29</v>
      </c>
      <c r="J2607" s="21" t="s">
        <v>29</v>
      </c>
      <c r="K2607" s="22" t="s">
        <v>9309</v>
      </c>
      <c r="L2607" s="56">
        <v>45092</v>
      </c>
      <c r="P2607" s="40"/>
      <c r="Q2607" s="61"/>
      <c r="R2607" s="61"/>
      <c r="S2607" s="40"/>
      <c r="T2607" s="38"/>
      <c r="U2607" s="38"/>
      <c r="V2607" s="38"/>
      <c r="W2607" s="60"/>
      <c r="AB2607" s="42"/>
      <c r="AC2607" s="35"/>
      <c r="AD2607" s="38"/>
      <c r="AE2607" s="38"/>
      <c r="AF2607" s="38"/>
      <c r="AG2607" s="38"/>
      <c r="AH2607" s="60"/>
    </row>
    <row r="2608" spans="1:34" ht="15.75" customHeight="1">
      <c r="A2608" s="120"/>
      <c r="B2608" s="18" t="s">
        <v>9310</v>
      </c>
      <c r="C2608" s="37" t="s">
        <v>24</v>
      </c>
      <c r="D2608" s="20" t="s">
        <v>9311</v>
      </c>
      <c r="E2608" s="20" t="s">
        <v>9312</v>
      </c>
      <c r="F2608" s="19" t="s">
        <v>27</v>
      </c>
      <c r="G2608" s="19" t="s">
        <v>28</v>
      </c>
      <c r="H2608" s="37" t="s">
        <v>813</v>
      </c>
      <c r="I2608" s="21" t="s">
        <v>29</v>
      </c>
      <c r="J2608" s="21" t="s">
        <v>29</v>
      </c>
      <c r="K2608" s="22" t="s">
        <v>9313</v>
      </c>
      <c r="L2608" s="56">
        <v>45092</v>
      </c>
      <c r="O2608" s="42"/>
      <c r="P2608" s="40"/>
      <c r="Q2608" s="61"/>
      <c r="R2608" s="61"/>
      <c r="S2608" s="40"/>
      <c r="T2608" s="38"/>
      <c r="U2608" s="38"/>
      <c r="V2608" s="38"/>
      <c r="W2608" s="60"/>
      <c r="AB2608" s="42"/>
      <c r="AC2608" s="35"/>
      <c r="AD2608" s="38"/>
      <c r="AE2608" s="38"/>
      <c r="AF2608" s="38"/>
      <c r="AG2608" s="38"/>
      <c r="AH2608" s="60"/>
    </row>
    <row r="2609" spans="1:34" ht="15.75" customHeight="1">
      <c r="A2609" s="120"/>
      <c r="B2609" s="18" t="s">
        <v>9314</v>
      </c>
      <c r="C2609" s="37" t="s">
        <v>24</v>
      </c>
      <c r="D2609" s="20" t="s">
        <v>9315</v>
      </c>
      <c r="E2609" s="20" t="s">
        <v>9316</v>
      </c>
      <c r="F2609" s="19" t="s">
        <v>27</v>
      </c>
      <c r="G2609" s="19" t="s">
        <v>28</v>
      </c>
      <c r="H2609" s="37"/>
      <c r="I2609" s="21" t="s">
        <v>29</v>
      </c>
      <c r="J2609" s="21" t="s">
        <v>29</v>
      </c>
      <c r="K2609" s="22" t="s">
        <v>9317</v>
      </c>
      <c r="L2609" s="56">
        <v>45092</v>
      </c>
      <c r="O2609" s="42"/>
      <c r="P2609" s="40"/>
      <c r="Q2609" s="61"/>
      <c r="R2609" s="61"/>
      <c r="S2609" s="40"/>
      <c r="T2609" s="38"/>
      <c r="U2609" s="38"/>
      <c r="V2609" s="38"/>
      <c r="W2609" s="60"/>
      <c r="AB2609" s="42"/>
      <c r="AC2609" s="35"/>
      <c r="AD2609" s="38"/>
      <c r="AE2609" s="38"/>
      <c r="AF2609" s="38"/>
      <c r="AG2609" s="38"/>
      <c r="AH2609" s="60"/>
    </row>
    <row r="2610" spans="1:34" ht="15.75" customHeight="1">
      <c r="A2610" s="120"/>
      <c r="B2610" s="18" t="s">
        <v>9318</v>
      </c>
      <c r="C2610" s="37" t="s">
        <v>24</v>
      </c>
      <c r="D2610" s="20" t="s">
        <v>9319</v>
      </c>
      <c r="E2610" s="20" t="s">
        <v>9320</v>
      </c>
      <c r="F2610" s="19" t="s">
        <v>27</v>
      </c>
      <c r="G2610" s="19" t="s">
        <v>28</v>
      </c>
      <c r="H2610" s="37"/>
      <c r="I2610" s="21" t="s">
        <v>29</v>
      </c>
      <c r="J2610" s="21" t="s">
        <v>29</v>
      </c>
      <c r="K2610" s="22" t="s">
        <v>9321</v>
      </c>
      <c r="L2610" s="56">
        <v>45092</v>
      </c>
      <c r="O2610" s="42"/>
      <c r="P2610" s="40"/>
      <c r="Q2610" s="61"/>
      <c r="R2610" s="61"/>
      <c r="S2610" s="40"/>
      <c r="T2610" s="38"/>
      <c r="U2610" s="38"/>
      <c r="V2610" s="38"/>
      <c r="W2610" s="60"/>
      <c r="AB2610" s="42"/>
      <c r="AC2610" s="35"/>
      <c r="AD2610" s="38"/>
      <c r="AE2610" s="38"/>
      <c r="AF2610" s="38"/>
      <c r="AG2610" s="38"/>
      <c r="AH2610" s="60"/>
    </row>
    <row r="2611" spans="1:34" ht="15.75" customHeight="1">
      <c r="A2611" s="120"/>
      <c r="B2611" s="18" t="s">
        <v>9322</v>
      </c>
      <c r="C2611" s="37" t="s">
        <v>1430</v>
      </c>
      <c r="D2611" s="20" t="s">
        <v>9323</v>
      </c>
      <c r="E2611" s="20" t="s">
        <v>9324</v>
      </c>
      <c r="F2611" s="55" t="s">
        <v>1445</v>
      </c>
      <c r="G2611" s="55" t="s">
        <v>1432</v>
      </c>
      <c r="H2611" s="37"/>
      <c r="I2611" s="21" t="s">
        <v>233</v>
      </c>
      <c r="J2611" s="21" t="s">
        <v>233</v>
      </c>
      <c r="K2611" s="22" t="s">
        <v>9325</v>
      </c>
      <c r="L2611" s="56">
        <v>45092</v>
      </c>
      <c r="O2611" s="42"/>
      <c r="P2611" s="40"/>
      <c r="Q2611" s="61"/>
      <c r="R2611" s="61"/>
      <c r="S2611" s="40"/>
      <c r="T2611" s="38"/>
      <c r="U2611" s="38"/>
      <c r="V2611" s="38"/>
      <c r="W2611" s="60"/>
      <c r="AB2611" s="42"/>
      <c r="AC2611" s="35"/>
      <c r="AD2611" s="38"/>
      <c r="AE2611" s="38"/>
      <c r="AF2611" s="38"/>
      <c r="AG2611" s="38"/>
      <c r="AH2611" s="60"/>
    </row>
    <row r="2612" spans="1:34" ht="15.75" customHeight="1">
      <c r="A2612" s="120"/>
      <c r="B2612" s="18" t="s">
        <v>9326</v>
      </c>
      <c r="C2612" s="37" t="s">
        <v>87</v>
      </c>
      <c r="D2612" s="20" t="s">
        <v>9327</v>
      </c>
      <c r="E2612" s="20" t="s">
        <v>9328</v>
      </c>
      <c r="F2612" s="19" t="s">
        <v>90</v>
      </c>
      <c r="G2612" s="19" t="s">
        <v>91</v>
      </c>
      <c r="H2612" s="37"/>
      <c r="I2612" s="21" t="s">
        <v>29</v>
      </c>
      <c r="J2612" s="21" t="s">
        <v>29</v>
      </c>
      <c r="K2612" s="22" t="s">
        <v>9329</v>
      </c>
      <c r="L2612" s="56">
        <v>45092</v>
      </c>
      <c r="O2612" s="42"/>
      <c r="P2612" s="40"/>
      <c r="Q2612" s="61"/>
      <c r="R2612" s="61"/>
      <c r="S2612" s="40"/>
      <c r="T2612" s="38"/>
      <c r="U2612" s="38"/>
      <c r="V2612" s="38"/>
      <c r="W2612" s="60"/>
      <c r="AB2612" s="42"/>
      <c r="AC2612" s="35"/>
      <c r="AD2612" s="38"/>
      <c r="AE2612" s="38"/>
      <c r="AF2612" s="38"/>
      <c r="AG2612" s="38"/>
      <c r="AH2612" s="60"/>
    </row>
    <row r="2613" spans="1:34" ht="15.75" customHeight="1">
      <c r="A2613" s="120"/>
      <c r="B2613" s="18" t="s">
        <v>9330</v>
      </c>
      <c r="C2613" s="37" t="s">
        <v>87</v>
      </c>
      <c r="D2613" s="20" t="s">
        <v>9331</v>
      </c>
      <c r="E2613" s="20" t="s">
        <v>9332</v>
      </c>
      <c r="F2613" s="19" t="s">
        <v>90</v>
      </c>
      <c r="G2613" s="19" t="s">
        <v>91</v>
      </c>
      <c r="H2613" s="37"/>
      <c r="I2613" s="21" t="s">
        <v>29</v>
      </c>
      <c r="J2613" s="21" t="s">
        <v>29</v>
      </c>
      <c r="K2613" s="22" t="s">
        <v>9333</v>
      </c>
      <c r="L2613" s="56">
        <v>45092</v>
      </c>
      <c r="O2613" s="42"/>
      <c r="P2613" s="40"/>
      <c r="Q2613" s="61"/>
      <c r="R2613" s="61"/>
      <c r="S2613" s="40"/>
      <c r="T2613" s="38"/>
      <c r="U2613" s="38"/>
      <c r="V2613" s="38"/>
      <c r="W2613" s="60"/>
      <c r="AB2613" s="42"/>
      <c r="AC2613" s="35"/>
      <c r="AD2613" s="38"/>
      <c r="AE2613" s="38"/>
      <c r="AF2613" s="38"/>
      <c r="AG2613" s="38"/>
      <c r="AH2613" s="60"/>
    </row>
    <row r="2614" spans="1:34" ht="15.75" customHeight="1">
      <c r="A2614" s="120"/>
      <c r="B2614" s="18" t="s">
        <v>9334</v>
      </c>
      <c r="C2614" s="37" t="s">
        <v>24</v>
      </c>
      <c r="D2614" s="20" t="s">
        <v>9335</v>
      </c>
      <c r="E2614" s="20" t="s">
        <v>9336</v>
      </c>
      <c r="F2614" s="19" t="s">
        <v>27</v>
      </c>
      <c r="G2614" s="19" t="s">
        <v>28</v>
      </c>
      <c r="H2614" s="37"/>
      <c r="I2614" s="21" t="s">
        <v>29</v>
      </c>
      <c r="J2614" s="21" t="s">
        <v>29</v>
      </c>
      <c r="K2614" s="22" t="s">
        <v>9337</v>
      </c>
      <c r="L2614" s="56">
        <v>45092</v>
      </c>
      <c r="O2614" s="42"/>
      <c r="P2614" s="40"/>
      <c r="Q2614" s="61"/>
      <c r="R2614" s="61"/>
      <c r="S2614" s="40"/>
      <c r="T2614" s="38"/>
      <c r="U2614" s="38"/>
      <c r="V2614" s="38"/>
      <c r="W2614" s="60"/>
      <c r="AB2614" s="42"/>
      <c r="AC2614" s="35"/>
      <c r="AD2614" s="38"/>
      <c r="AE2614" s="38"/>
      <c r="AF2614" s="38"/>
      <c r="AG2614" s="38"/>
      <c r="AH2614" s="60"/>
    </row>
    <row r="2615" spans="1:34" ht="15.75" customHeight="1">
      <c r="A2615" s="120"/>
      <c r="B2615" s="18" t="s">
        <v>9338</v>
      </c>
      <c r="C2615" s="37" t="s">
        <v>24</v>
      </c>
      <c r="D2615" s="20" t="s">
        <v>9339</v>
      </c>
      <c r="E2615" s="20" t="s">
        <v>9340</v>
      </c>
      <c r="F2615" s="19" t="s">
        <v>27</v>
      </c>
      <c r="G2615" s="19" t="s">
        <v>28</v>
      </c>
      <c r="H2615" s="37" t="s">
        <v>813</v>
      </c>
      <c r="I2615" s="21" t="s">
        <v>29</v>
      </c>
      <c r="J2615" s="21" t="s">
        <v>29</v>
      </c>
      <c r="K2615" s="22" t="s">
        <v>9341</v>
      </c>
      <c r="L2615" s="56">
        <v>45092</v>
      </c>
      <c r="O2615" s="42"/>
      <c r="P2615" s="40"/>
      <c r="Q2615" s="61"/>
      <c r="R2615" s="61"/>
      <c r="S2615" s="40"/>
      <c r="T2615" s="38"/>
      <c r="U2615" s="38"/>
      <c r="V2615" s="38"/>
      <c r="W2615" s="60"/>
      <c r="AB2615" s="42"/>
      <c r="AC2615" s="35"/>
      <c r="AD2615" s="38"/>
      <c r="AE2615" s="38"/>
      <c r="AF2615" s="38"/>
      <c r="AG2615" s="38"/>
      <c r="AH2615" s="60"/>
    </row>
    <row r="2616" spans="1:34" ht="15.75" customHeight="1">
      <c r="A2616" s="120"/>
      <c r="B2616" s="29" t="s">
        <v>9342</v>
      </c>
      <c r="C2616" s="37" t="s">
        <v>24</v>
      </c>
      <c r="D2616" s="20" t="s">
        <v>9343</v>
      </c>
      <c r="E2616" s="20" t="s">
        <v>9344</v>
      </c>
      <c r="F2616" s="19" t="s">
        <v>27</v>
      </c>
      <c r="G2616" s="19" t="s">
        <v>28</v>
      </c>
      <c r="H2616" s="37"/>
      <c r="I2616" s="21" t="s">
        <v>29</v>
      </c>
      <c r="J2616" s="21" t="s">
        <v>29</v>
      </c>
      <c r="K2616" s="22" t="s">
        <v>9345</v>
      </c>
      <c r="L2616" s="56">
        <v>45092</v>
      </c>
      <c r="O2616" s="42"/>
      <c r="P2616" s="40"/>
      <c r="Q2616" s="61"/>
      <c r="R2616" s="61"/>
      <c r="S2616" s="40"/>
      <c r="T2616" s="38"/>
      <c r="U2616" s="38"/>
      <c r="V2616" s="38"/>
      <c r="W2616" s="60"/>
      <c r="AB2616" s="42"/>
      <c r="AC2616" s="35"/>
      <c r="AD2616" s="38"/>
      <c r="AE2616" s="38"/>
      <c r="AF2616" s="38"/>
      <c r="AG2616" s="38"/>
      <c r="AH2616" s="60"/>
    </row>
    <row r="2617" spans="1:34" ht="15.75" customHeight="1">
      <c r="A2617" s="120"/>
      <c r="B2617" s="18" t="s">
        <v>9346</v>
      </c>
      <c r="C2617" s="37" t="s">
        <v>46</v>
      </c>
      <c r="D2617" s="20" t="s">
        <v>9347</v>
      </c>
      <c r="E2617" s="20" t="s">
        <v>9348</v>
      </c>
      <c r="F2617" s="37" t="s">
        <v>49</v>
      </c>
      <c r="G2617" s="19" t="s">
        <v>50</v>
      </c>
      <c r="H2617" s="37"/>
      <c r="I2617" s="21" t="s">
        <v>29</v>
      </c>
      <c r="J2617" s="21" t="s">
        <v>29</v>
      </c>
      <c r="K2617" s="22" t="s">
        <v>9349</v>
      </c>
      <c r="L2617" s="56">
        <v>45092</v>
      </c>
      <c r="O2617" s="42"/>
      <c r="P2617" s="40"/>
      <c r="Q2617" s="61"/>
      <c r="R2617" s="61"/>
      <c r="S2617" s="40"/>
      <c r="T2617" s="38"/>
      <c r="U2617" s="38"/>
      <c r="V2617" s="38"/>
      <c r="W2617" s="60"/>
      <c r="AB2617" s="42"/>
      <c r="AC2617" s="35"/>
      <c r="AD2617" s="38"/>
      <c r="AE2617" s="38"/>
      <c r="AF2617" s="38"/>
      <c r="AG2617" s="38"/>
      <c r="AH2617" s="60"/>
    </row>
    <row r="2618" spans="1:34" ht="15.75" customHeight="1">
      <c r="A2618" s="120"/>
      <c r="B2618" s="18" t="s">
        <v>9350</v>
      </c>
      <c r="C2618" s="37" t="s">
        <v>1470</v>
      </c>
      <c r="D2618" s="20" t="s">
        <v>9351</v>
      </c>
      <c r="E2618" s="20" t="s">
        <v>9352</v>
      </c>
      <c r="F2618" s="55" t="s">
        <v>1445</v>
      </c>
      <c r="G2618" s="19" t="s">
        <v>1461</v>
      </c>
      <c r="H2618" s="37"/>
      <c r="I2618" s="21" t="s">
        <v>233</v>
      </c>
      <c r="J2618" s="21" t="s">
        <v>233</v>
      </c>
      <c r="K2618" s="22" t="s">
        <v>9353</v>
      </c>
      <c r="L2618" s="56">
        <v>45092</v>
      </c>
      <c r="O2618" s="42"/>
      <c r="P2618" s="40"/>
      <c r="Q2618" s="61"/>
      <c r="R2618" s="61"/>
      <c r="S2618" s="40"/>
      <c r="T2618" s="38"/>
      <c r="U2618" s="38"/>
      <c r="V2618" s="38"/>
      <c r="W2618" s="60"/>
      <c r="AB2618" s="42"/>
      <c r="AC2618" s="35"/>
      <c r="AD2618" s="38"/>
      <c r="AE2618" s="38"/>
      <c r="AF2618" s="38"/>
      <c r="AG2618" s="38"/>
      <c r="AH2618" s="60"/>
    </row>
    <row r="2619" spans="1:34" ht="15.75" customHeight="1">
      <c r="A2619" s="120"/>
      <c r="B2619" s="18" t="s">
        <v>9354</v>
      </c>
      <c r="C2619" s="37" t="s">
        <v>24</v>
      </c>
      <c r="D2619" s="20" t="s">
        <v>9355</v>
      </c>
      <c r="E2619" s="20" t="s">
        <v>9356</v>
      </c>
      <c r="F2619" s="19" t="s">
        <v>27</v>
      </c>
      <c r="G2619" s="19" t="s">
        <v>28</v>
      </c>
      <c r="H2619" s="37"/>
      <c r="I2619" s="21" t="s">
        <v>29</v>
      </c>
      <c r="J2619" s="21" t="s">
        <v>29</v>
      </c>
      <c r="K2619" s="22" t="s">
        <v>9357</v>
      </c>
      <c r="L2619" s="56">
        <v>45092</v>
      </c>
      <c r="O2619" s="42"/>
      <c r="P2619" s="40"/>
      <c r="Q2619" s="61"/>
      <c r="R2619" s="61"/>
      <c r="S2619" s="40"/>
      <c r="T2619" s="38"/>
      <c r="U2619" s="38"/>
      <c r="V2619" s="38"/>
      <c r="W2619" s="60"/>
      <c r="AB2619" s="42"/>
      <c r="AC2619" s="35"/>
      <c r="AD2619" s="38"/>
      <c r="AE2619" s="38"/>
      <c r="AF2619" s="38"/>
      <c r="AG2619" s="38"/>
      <c r="AH2619" s="60"/>
    </row>
    <row r="2620" spans="1:34" ht="15.75" customHeight="1">
      <c r="A2620" s="120"/>
      <c r="B2620" s="18" t="s">
        <v>9358</v>
      </c>
      <c r="C2620" s="37" t="s">
        <v>87</v>
      </c>
      <c r="D2620" s="20" t="s">
        <v>9359</v>
      </c>
      <c r="E2620" s="20" t="s">
        <v>9360</v>
      </c>
      <c r="F2620" s="19" t="s">
        <v>90</v>
      </c>
      <c r="G2620" s="19" t="s">
        <v>91</v>
      </c>
      <c r="H2620" s="37"/>
      <c r="I2620" s="21" t="s">
        <v>29</v>
      </c>
      <c r="J2620" s="21" t="s">
        <v>29</v>
      </c>
      <c r="K2620" s="22" t="s">
        <v>9361</v>
      </c>
      <c r="L2620" s="56">
        <v>45092</v>
      </c>
      <c r="O2620" s="42"/>
      <c r="P2620" s="40"/>
      <c r="Q2620" s="61"/>
      <c r="R2620" s="61"/>
      <c r="S2620" s="40"/>
      <c r="T2620" s="38"/>
      <c r="U2620" s="38"/>
      <c r="V2620" s="38"/>
      <c r="W2620" s="60"/>
      <c r="AB2620" s="42"/>
      <c r="AC2620" s="35"/>
      <c r="AD2620" s="38"/>
      <c r="AE2620" s="38"/>
      <c r="AF2620" s="38"/>
      <c r="AG2620" s="38"/>
      <c r="AH2620" s="60"/>
    </row>
    <row r="2621" spans="1:34" ht="15.75" customHeight="1">
      <c r="A2621" s="120"/>
      <c r="B2621" s="18" t="s">
        <v>9362</v>
      </c>
      <c r="C2621" s="37" t="s">
        <v>24</v>
      </c>
      <c r="D2621" s="20" t="s">
        <v>9363</v>
      </c>
      <c r="E2621" s="20" t="s">
        <v>9364</v>
      </c>
      <c r="F2621" s="19" t="s">
        <v>27</v>
      </c>
      <c r="G2621" s="19" t="s">
        <v>28</v>
      </c>
      <c r="H2621" s="37"/>
      <c r="I2621" s="21" t="s">
        <v>29</v>
      </c>
      <c r="J2621" s="21" t="s">
        <v>29</v>
      </c>
      <c r="K2621" s="22" t="s">
        <v>9365</v>
      </c>
      <c r="L2621" s="56">
        <v>45092</v>
      </c>
      <c r="O2621" s="42"/>
      <c r="P2621" s="40"/>
      <c r="Q2621" s="61"/>
      <c r="R2621" s="61"/>
      <c r="S2621" s="40"/>
      <c r="T2621" s="38"/>
      <c r="U2621" s="38"/>
      <c r="V2621" s="38"/>
      <c r="W2621" s="60"/>
      <c r="AB2621" s="42"/>
      <c r="AC2621" s="35"/>
      <c r="AD2621" s="38"/>
      <c r="AE2621" s="38"/>
      <c r="AF2621" s="38"/>
      <c r="AG2621" s="38"/>
      <c r="AH2621" s="60"/>
    </row>
    <row r="2622" spans="1:34" ht="15.75" customHeight="1">
      <c r="A2622" s="120"/>
      <c r="B2622" s="29" t="s">
        <v>9366</v>
      </c>
      <c r="C2622" s="37" t="s">
        <v>46</v>
      </c>
      <c r="D2622" s="20" t="s">
        <v>9367</v>
      </c>
      <c r="E2622" s="20" t="s">
        <v>9368</v>
      </c>
      <c r="F2622" s="37" t="s">
        <v>286</v>
      </c>
      <c r="G2622" s="19" t="s">
        <v>50</v>
      </c>
      <c r="H2622" s="37"/>
      <c r="I2622" s="21" t="s">
        <v>286</v>
      </c>
      <c r="J2622" s="21" t="s">
        <v>29</v>
      </c>
      <c r="K2622" s="22" t="s">
        <v>9369</v>
      </c>
      <c r="L2622" s="56"/>
      <c r="O2622" s="42"/>
      <c r="P2622" s="40"/>
      <c r="Q2622" s="61"/>
      <c r="R2622" s="61"/>
      <c r="S2622" s="40"/>
      <c r="T2622" s="38"/>
      <c r="U2622" s="38"/>
      <c r="V2622" s="38"/>
      <c r="W2622" s="60"/>
      <c r="AB2622" s="42"/>
      <c r="AC2622" s="35"/>
      <c r="AD2622" s="38"/>
      <c r="AE2622" s="38"/>
      <c r="AF2622" s="38"/>
      <c r="AG2622" s="38"/>
      <c r="AH2622" s="60"/>
    </row>
    <row r="2623" spans="1:34" ht="15.75" customHeight="1">
      <c r="A2623" s="120"/>
      <c r="B2623" s="18" t="s">
        <v>9370</v>
      </c>
      <c r="C2623" s="37" t="s">
        <v>24</v>
      </c>
      <c r="D2623" s="20" t="s">
        <v>9371</v>
      </c>
      <c r="E2623" s="20" t="s">
        <v>9372</v>
      </c>
      <c r="F2623" s="19" t="s">
        <v>27</v>
      </c>
      <c r="G2623" s="19" t="s">
        <v>28</v>
      </c>
      <c r="H2623" s="37" t="s">
        <v>813</v>
      </c>
      <c r="I2623" s="21" t="s">
        <v>29</v>
      </c>
      <c r="J2623" s="21" t="s">
        <v>29</v>
      </c>
      <c r="K2623" s="22" t="s">
        <v>9373</v>
      </c>
      <c r="L2623" s="56">
        <v>45092</v>
      </c>
      <c r="O2623" s="42"/>
      <c r="P2623" s="40"/>
      <c r="Q2623" s="61"/>
      <c r="R2623" s="61"/>
      <c r="S2623" s="40"/>
      <c r="T2623" s="38"/>
      <c r="U2623" s="38"/>
      <c r="V2623" s="38"/>
      <c r="W2623" s="60"/>
      <c r="AB2623" s="42"/>
      <c r="AC2623" s="35"/>
      <c r="AD2623" s="38"/>
      <c r="AE2623" s="38"/>
      <c r="AF2623" s="38"/>
      <c r="AG2623" s="38"/>
      <c r="AH2623" s="60"/>
    </row>
    <row r="2624" spans="1:34" ht="15.75" customHeight="1">
      <c r="A2624" s="120"/>
      <c r="B2624" s="18" t="s">
        <v>9374</v>
      </c>
      <c r="C2624" s="37" t="s">
        <v>24</v>
      </c>
      <c r="D2624" s="20" t="s">
        <v>9375</v>
      </c>
      <c r="E2624" s="20" t="s">
        <v>9376</v>
      </c>
      <c r="F2624" s="19" t="s">
        <v>27</v>
      </c>
      <c r="G2624" s="19" t="s">
        <v>28</v>
      </c>
      <c r="H2624" s="37"/>
      <c r="I2624" s="21" t="s">
        <v>29</v>
      </c>
      <c r="J2624" s="21" t="s">
        <v>29</v>
      </c>
      <c r="K2624" s="22" t="s">
        <v>9377</v>
      </c>
      <c r="L2624" s="56">
        <v>45092</v>
      </c>
      <c r="O2624" s="42"/>
      <c r="P2624" s="40"/>
      <c r="Q2624" s="61"/>
      <c r="R2624" s="61"/>
      <c r="S2624" s="40"/>
      <c r="T2624" s="38"/>
      <c r="U2624" s="38"/>
      <c r="V2624" s="38"/>
      <c r="W2624" s="60"/>
      <c r="AB2624" s="42"/>
      <c r="AC2624" s="35"/>
      <c r="AD2624" s="38"/>
      <c r="AE2624" s="38"/>
      <c r="AF2624" s="38"/>
      <c r="AG2624" s="38"/>
      <c r="AH2624" s="60"/>
    </row>
    <row r="2625" spans="1:34" ht="15.75" customHeight="1">
      <c r="A2625" s="120"/>
      <c r="B2625" s="18" t="s">
        <v>9378</v>
      </c>
      <c r="C2625" s="37" t="s">
        <v>24</v>
      </c>
      <c r="D2625" s="20" t="s">
        <v>9379</v>
      </c>
      <c r="E2625" s="20" t="s">
        <v>9380</v>
      </c>
      <c r="F2625" s="19" t="s">
        <v>27</v>
      </c>
      <c r="G2625" s="19" t="s">
        <v>28</v>
      </c>
      <c r="H2625" s="37"/>
      <c r="I2625" s="21" t="s">
        <v>29</v>
      </c>
      <c r="J2625" s="21" t="s">
        <v>29</v>
      </c>
      <c r="K2625" s="22" t="s">
        <v>9381</v>
      </c>
      <c r="L2625" s="56">
        <v>45092</v>
      </c>
      <c r="O2625" s="42"/>
      <c r="P2625" s="40"/>
      <c r="Q2625" s="61"/>
      <c r="R2625" s="61"/>
      <c r="S2625" s="40"/>
      <c r="T2625" s="38"/>
      <c r="U2625" s="38"/>
      <c r="V2625" s="38"/>
      <c r="W2625" s="60"/>
      <c r="AB2625" s="42"/>
      <c r="AC2625" s="35"/>
      <c r="AD2625" s="38"/>
      <c r="AE2625" s="38"/>
      <c r="AF2625" s="38"/>
      <c r="AG2625" s="38"/>
      <c r="AH2625" s="60"/>
    </row>
    <row r="2626" spans="1:34" ht="15.75" customHeight="1">
      <c r="A2626" s="120"/>
      <c r="B2626" s="38"/>
      <c r="C2626" s="37"/>
      <c r="D2626" s="20"/>
      <c r="E2626" s="20"/>
      <c r="F2626" s="37"/>
      <c r="G2626" s="37"/>
      <c r="H2626" s="37"/>
      <c r="I2626" s="21"/>
      <c r="J2626" s="21"/>
      <c r="K2626" s="22"/>
      <c r="L2626" s="39"/>
      <c r="O2626" s="42"/>
      <c r="P2626" s="40"/>
      <c r="Q2626" s="61"/>
      <c r="R2626" s="61"/>
      <c r="S2626" s="40"/>
      <c r="T2626" s="38"/>
      <c r="U2626" s="38"/>
      <c r="V2626" s="38"/>
      <c r="W2626" s="60"/>
      <c r="AB2626" s="42"/>
      <c r="AC2626" s="35"/>
      <c r="AD2626" s="38"/>
      <c r="AE2626" s="38"/>
      <c r="AF2626" s="38"/>
      <c r="AG2626" s="38"/>
      <c r="AH2626" s="60"/>
    </row>
    <row r="2627" spans="1:34" ht="15.75" customHeight="1">
      <c r="A2627" s="38" t="s">
        <v>9382</v>
      </c>
      <c r="B2627" s="18" t="s">
        <v>9383</v>
      </c>
      <c r="C2627" s="21" t="s">
        <v>24</v>
      </c>
      <c r="D2627" s="20" t="s">
        <v>9384</v>
      </c>
      <c r="E2627" s="20" t="s">
        <v>9385</v>
      </c>
      <c r="F2627" s="19" t="s">
        <v>27</v>
      </c>
      <c r="G2627" s="19" t="s">
        <v>28</v>
      </c>
      <c r="H2627" s="19" t="s">
        <v>36</v>
      </c>
      <c r="I2627" s="21" t="s">
        <v>29</v>
      </c>
      <c r="J2627" s="21" t="s">
        <v>29</v>
      </c>
      <c r="K2627" s="22" t="s">
        <v>9386</v>
      </c>
      <c r="L2627" s="56">
        <v>45092</v>
      </c>
      <c r="M2627" s="40"/>
      <c r="N2627" s="40"/>
      <c r="O2627" s="42"/>
      <c r="P2627" s="40"/>
      <c r="Q2627" s="61"/>
      <c r="R2627" s="61"/>
      <c r="S2627" s="40"/>
      <c r="T2627" s="38"/>
      <c r="U2627" s="38"/>
      <c r="V2627" s="38"/>
      <c r="W2627" s="60"/>
      <c r="AB2627" s="42"/>
      <c r="AC2627" s="35"/>
      <c r="AD2627" s="38"/>
      <c r="AE2627" s="38"/>
      <c r="AF2627" s="38"/>
      <c r="AG2627" s="38"/>
      <c r="AH2627" s="60"/>
    </row>
    <row r="2628" spans="1:34" ht="15.75" customHeight="1">
      <c r="A2628" s="54" t="s">
        <v>2714</v>
      </c>
      <c r="B2628" s="18" t="s">
        <v>9387</v>
      </c>
      <c r="C2628" s="21" t="s">
        <v>24</v>
      </c>
      <c r="D2628" s="25" t="s">
        <v>9388</v>
      </c>
      <c r="E2628" s="20" t="s">
        <v>9389</v>
      </c>
      <c r="F2628" s="19" t="s">
        <v>27</v>
      </c>
      <c r="G2628" s="19" t="s">
        <v>28</v>
      </c>
      <c r="H2628" s="19" t="s">
        <v>36</v>
      </c>
      <c r="I2628" s="21" t="s">
        <v>29</v>
      </c>
      <c r="J2628" s="21" t="s">
        <v>29</v>
      </c>
      <c r="K2628" s="22" t="s">
        <v>9390</v>
      </c>
      <c r="L2628" s="56">
        <v>45092</v>
      </c>
      <c r="O2628" s="42"/>
      <c r="P2628" s="40"/>
      <c r="Q2628" s="61"/>
      <c r="R2628" s="61"/>
      <c r="S2628" s="40"/>
      <c r="T2628" s="38"/>
      <c r="U2628" s="38"/>
      <c r="V2628" s="38"/>
      <c r="W2628" s="60"/>
      <c r="AB2628" s="42"/>
      <c r="AC2628" s="35"/>
      <c r="AD2628" s="38"/>
      <c r="AE2628" s="38"/>
      <c r="AF2628" s="38"/>
      <c r="AG2628" s="38"/>
      <c r="AH2628" s="60"/>
    </row>
    <row r="2629" spans="1:34" ht="15.75" customHeight="1">
      <c r="A2629" s="114" t="s">
        <v>39</v>
      </c>
      <c r="B2629" s="34" t="s">
        <v>9391</v>
      </c>
      <c r="C2629" s="37" t="s">
        <v>24</v>
      </c>
      <c r="D2629" s="25" t="s">
        <v>9392</v>
      </c>
      <c r="E2629" s="20" t="s">
        <v>9393</v>
      </c>
      <c r="F2629" s="19" t="s">
        <v>90</v>
      </c>
      <c r="G2629" s="19" t="s">
        <v>91</v>
      </c>
      <c r="H2629" s="37"/>
      <c r="I2629" s="21" t="s">
        <v>29</v>
      </c>
      <c r="J2629" s="21" t="s">
        <v>29</v>
      </c>
      <c r="K2629" s="22" t="s">
        <v>9394</v>
      </c>
      <c r="L2629" s="56">
        <v>45092</v>
      </c>
      <c r="O2629" s="42"/>
      <c r="P2629" s="40"/>
      <c r="Q2629" s="61"/>
      <c r="R2629" s="61"/>
      <c r="S2629" s="40"/>
      <c r="T2629" s="38"/>
      <c r="U2629" s="38"/>
      <c r="V2629" s="38"/>
      <c r="W2629" s="60"/>
      <c r="AB2629" s="42"/>
      <c r="AC2629" s="35"/>
      <c r="AD2629" s="38"/>
      <c r="AE2629" s="38"/>
      <c r="AF2629" s="38"/>
      <c r="AG2629" s="38"/>
      <c r="AH2629" s="60"/>
    </row>
    <row r="2630" spans="1:34" ht="15.75" customHeight="1">
      <c r="A2630" s="38" t="s">
        <v>8836</v>
      </c>
      <c r="B2630" s="29" t="s">
        <v>9395</v>
      </c>
      <c r="C2630" s="37" t="s">
        <v>46</v>
      </c>
      <c r="D2630" s="25" t="s">
        <v>9396</v>
      </c>
      <c r="E2630" s="20" t="s">
        <v>9397</v>
      </c>
      <c r="F2630" s="37" t="s">
        <v>286</v>
      </c>
      <c r="G2630" s="19" t="s">
        <v>50</v>
      </c>
      <c r="H2630" s="37"/>
      <c r="I2630" s="21" t="s">
        <v>286</v>
      </c>
      <c r="J2630" s="21" t="s">
        <v>29</v>
      </c>
      <c r="K2630" s="22" t="s">
        <v>9398</v>
      </c>
      <c r="L2630" s="56">
        <v>45092</v>
      </c>
      <c r="O2630" s="42"/>
      <c r="P2630" s="40"/>
      <c r="Q2630" s="61"/>
      <c r="R2630" s="61"/>
      <c r="S2630" s="40"/>
      <c r="T2630" s="38"/>
      <c r="U2630" s="38"/>
      <c r="V2630" s="38"/>
      <c r="W2630" s="60"/>
      <c r="AB2630" s="42"/>
      <c r="AC2630" s="35"/>
      <c r="AD2630" s="38"/>
      <c r="AE2630" s="38"/>
      <c r="AF2630" s="38"/>
      <c r="AG2630" s="38"/>
      <c r="AH2630" s="60"/>
    </row>
    <row r="2631" spans="1:34" ht="15.75" customHeight="1">
      <c r="A2631" s="38" t="s">
        <v>7295</v>
      </c>
      <c r="B2631" s="36" t="s">
        <v>9399</v>
      </c>
      <c r="C2631" s="19" t="s">
        <v>121</v>
      </c>
      <c r="D2631" s="25" t="s">
        <v>9400</v>
      </c>
      <c r="E2631" s="20" t="s">
        <v>9401</v>
      </c>
      <c r="F2631" s="19" t="s">
        <v>27</v>
      </c>
      <c r="G2631" s="21" t="s">
        <v>359</v>
      </c>
      <c r="H2631" s="21"/>
      <c r="I2631" s="21" t="s">
        <v>29</v>
      </c>
      <c r="J2631" s="21" t="s">
        <v>359</v>
      </c>
      <c r="K2631" s="22" t="s">
        <v>9402</v>
      </c>
      <c r="L2631" s="56">
        <v>45092</v>
      </c>
      <c r="O2631" s="42"/>
      <c r="P2631" s="40"/>
      <c r="Q2631" s="61"/>
      <c r="R2631" s="61"/>
      <c r="S2631" s="40"/>
      <c r="T2631" s="38"/>
      <c r="U2631" s="38"/>
      <c r="V2631" s="38"/>
      <c r="W2631" s="60"/>
      <c r="AB2631" s="42"/>
      <c r="AC2631" s="35"/>
      <c r="AD2631" s="38"/>
      <c r="AE2631" s="38"/>
      <c r="AF2631" s="38"/>
      <c r="AG2631" s="38"/>
      <c r="AH2631" s="60"/>
    </row>
    <row r="2632" spans="1:34" ht="15.75" customHeight="1">
      <c r="A2632" s="111" t="s">
        <v>56</v>
      </c>
      <c r="B2632" s="18" t="s">
        <v>9403</v>
      </c>
      <c r="C2632" s="21" t="s">
        <v>24</v>
      </c>
      <c r="D2632" s="25" t="s">
        <v>9404</v>
      </c>
      <c r="E2632" s="20" t="s">
        <v>9402</v>
      </c>
      <c r="F2632" s="19" t="s">
        <v>27</v>
      </c>
      <c r="G2632" s="19" t="s">
        <v>28</v>
      </c>
      <c r="H2632" s="21"/>
      <c r="I2632" s="21" t="s">
        <v>29</v>
      </c>
      <c r="J2632" s="21" t="s">
        <v>29</v>
      </c>
      <c r="K2632" s="22" t="s">
        <v>9402</v>
      </c>
      <c r="L2632" s="56">
        <v>45092</v>
      </c>
      <c r="O2632" s="42"/>
      <c r="P2632" s="40"/>
      <c r="Q2632" s="61"/>
      <c r="R2632" s="61"/>
      <c r="S2632" s="40"/>
      <c r="T2632" s="38"/>
      <c r="U2632" s="38"/>
      <c r="V2632" s="38"/>
      <c r="W2632" s="60"/>
      <c r="AB2632" s="42"/>
      <c r="AC2632" s="35"/>
      <c r="AD2632" s="38"/>
      <c r="AE2632" s="38"/>
      <c r="AF2632" s="38"/>
      <c r="AG2632" s="38"/>
      <c r="AH2632" s="60"/>
    </row>
    <row r="2633" spans="1:34" ht="15.75" customHeight="1">
      <c r="A2633" s="75">
        <v>65</v>
      </c>
      <c r="B2633" s="18" t="s">
        <v>9405</v>
      </c>
      <c r="C2633" s="21" t="s">
        <v>24</v>
      </c>
      <c r="D2633" s="25" t="s">
        <v>9406</v>
      </c>
      <c r="E2633" s="20" t="s">
        <v>9407</v>
      </c>
      <c r="F2633" s="19" t="s">
        <v>27</v>
      </c>
      <c r="G2633" s="19" t="s">
        <v>28</v>
      </c>
      <c r="H2633" s="21"/>
      <c r="I2633" s="21" t="s">
        <v>29</v>
      </c>
      <c r="J2633" s="21" t="s">
        <v>29</v>
      </c>
      <c r="K2633" s="22" t="s">
        <v>9408</v>
      </c>
      <c r="L2633" s="56">
        <v>45092</v>
      </c>
      <c r="O2633" s="42"/>
      <c r="P2633" s="40"/>
      <c r="Q2633" s="61"/>
      <c r="R2633" s="61"/>
      <c r="S2633" s="40"/>
      <c r="T2633" s="38"/>
      <c r="U2633" s="38"/>
      <c r="V2633" s="38"/>
      <c r="W2633" s="60"/>
      <c r="AB2633" s="42"/>
      <c r="AC2633" s="35"/>
      <c r="AD2633" s="38"/>
      <c r="AE2633" s="38"/>
      <c r="AF2633" s="38"/>
      <c r="AG2633" s="38"/>
      <c r="AH2633" s="60"/>
    </row>
    <row r="2634" spans="1:34" ht="15.75" customHeight="1">
      <c r="A2634" s="111" t="s">
        <v>64</v>
      </c>
      <c r="B2634" s="18" t="s">
        <v>9409</v>
      </c>
      <c r="C2634" s="37" t="s">
        <v>46</v>
      </c>
      <c r="D2634" s="25" t="s">
        <v>9410</v>
      </c>
      <c r="E2634" s="20" t="s">
        <v>9411</v>
      </c>
      <c r="F2634" s="37" t="s">
        <v>49</v>
      </c>
      <c r="G2634" s="19" t="s">
        <v>50</v>
      </c>
      <c r="H2634" s="37"/>
      <c r="I2634" s="21" t="s">
        <v>29</v>
      </c>
      <c r="J2634" s="21" t="s">
        <v>29</v>
      </c>
      <c r="K2634" s="22" t="s">
        <v>9412</v>
      </c>
      <c r="L2634" s="56">
        <v>45092</v>
      </c>
      <c r="O2634" s="42"/>
      <c r="P2634" s="40"/>
      <c r="Q2634" s="61"/>
      <c r="R2634" s="61"/>
      <c r="S2634" s="40"/>
      <c r="T2634" s="38"/>
      <c r="U2634" s="38"/>
      <c r="V2634" s="38"/>
      <c r="W2634" s="60"/>
      <c r="AB2634" s="42"/>
      <c r="AC2634" s="35"/>
      <c r="AD2634" s="38"/>
      <c r="AE2634" s="38"/>
      <c r="AF2634" s="38"/>
      <c r="AG2634" s="38"/>
      <c r="AH2634" s="60"/>
    </row>
    <row r="2635" spans="1:34" ht="15.75" customHeight="1">
      <c r="A2635" s="75"/>
      <c r="B2635" s="29" t="s">
        <v>9413</v>
      </c>
      <c r="C2635" s="37" t="s">
        <v>87</v>
      </c>
      <c r="D2635" s="25" t="s">
        <v>9414</v>
      </c>
      <c r="E2635" s="20" t="s">
        <v>9415</v>
      </c>
      <c r="F2635" s="37" t="s">
        <v>286</v>
      </c>
      <c r="G2635" s="19" t="s">
        <v>91</v>
      </c>
      <c r="H2635" s="37"/>
      <c r="I2635" s="21" t="s">
        <v>286</v>
      </c>
      <c r="J2635" s="21" t="s">
        <v>29</v>
      </c>
      <c r="K2635" s="22" t="s">
        <v>9416</v>
      </c>
      <c r="L2635" s="56"/>
      <c r="O2635" s="42"/>
      <c r="P2635" s="40"/>
      <c r="Q2635" s="61"/>
      <c r="R2635" s="61"/>
      <c r="S2635" s="40"/>
      <c r="T2635" s="38"/>
      <c r="U2635" s="38"/>
      <c r="V2635" s="38"/>
      <c r="W2635" s="60"/>
      <c r="AB2635" s="42"/>
      <c r="AC2635" s="35"/>
      <c r="AD2635" s="38"/>
      <c r="AE2635" s="38"/>
      <c r="AF2635" s="38"/>
      <c r="AG2635" s="38"/>
      <c r="AH2635" s="60"/>
    </row>
    <row r="2636" spans="1:34" ht="15.75" customHeight="1">
      <c r="A2636" s="75">
        <v>3.2</v>
      </c>
      <c r="B2636" s="18" t="s">
        <v>9417</v>
      </c>
      <c r="C2636" s="37" t="s">
        <v>87</v>
      </c>
      <c r="D2636" s="25" t="s">
        <v>9418</v>
      </c>
      <c r="E2636" s="20" t="s">
        <v>9419</v>
      </c>
      <c r="F2636" s="19" t="s">
        <v>90</v>
      </c>
      <c r="G2636" s="19" t="s">
        <v>91</v>
      </c>
      <c r="H2636" s="37"/>
      <c r="I2636" s="21" t="s">
        <v>29</v>
      </c>
      <c r="J2636" s="21" t="s">
        <v>29</v>
      </c>
      <c r="K2636" s="22" t="s">
        <v>9420</v>
      </c>
      <c r="L2636" s="56">
        <v>45092</v>
      </c>
      <c r="O2636" s="42"/>
      <c r="P2636" s="40"/>
      <c r="Q2636" s="61"/>
      <c r="R2636" s="61"/>
      <c r="S2636" s="40"/>
      <c r="T2636" s="38"/>
      <c r="U2636" s="38"/>
      <c r="V2636" s="38"/>
      <c r="W2636" s="60"/>
      <c r="AB2636" s="42"/>
      <c r="AC2636" s="35"/>
      <c r="AD2636" s="38"/>
      <c r="AE2636" s="38"/>
      <c r="AF2636" s="38"/>
      <c r="AG2636" s="38"/>
      <c r="AH2636" s="60"/>
    </row>
    <row r="2637" spans="1:34" ht="15.75" customHeight="1">
      <c r="A2637" s="111" t="s">
        <v>73</v>
      </c>
      <c r="B2637" s="18" t="s">
        <v>9421</v>
      </c>
      <c r="C2637" s="37" t="s">
        <v>87</v>
      </c>
      <c r="D2637" s="25" t="s">
        <v>9422</v>
      </c>
      <c r="E2637" s="20" t="s">
        <v>9423</v>
      </c>
      <c r="F2637" s="19" t="s">
        <v>90</v>
      </c>
      <c r="G2637" s="19" t="s">
        <v>91</v>
      </c>
      <c r="H2637" s="37"/>
      <c r="I2637" s="21" t="s">
        <v>29</v>
      </c>
      <c r="J2637" s="21" t="s">
        <v>29</v>
      </c>
      <c r="K2637" s="22" t="s">
        <v>9424</v>
      </c>
      <c r="L2637" s="56">
        <v>45092</v>
      </c>
      <c r="O2637" s="42"/>
      <c r="P2637" s="40"/>
      <c r="Q2637" s="61"/>
      <c r="R2637" s="61"/>
      <c r="S2637" s="40"/>
      <c r="T2637" s="38"/>
      <c r="U2637" s="38"/>
      <c r="V2637" s="38"/>
      <c r="W2637" s="60"/>
      <c r="AB2637" s="42"/>
      <c r="AC2637" s="35"/>
      <c r="AD2637" s="38"/>
      <c r="AE2637" s="38"/>
      <c r="AF2637" s="38"/>
      <c r="AG2637" s="38"/>
      <c r="AH2637" s="60"/>
    </row>
    <row r="2638" spans="1:34" ht="15.75" customHeight="1">
      <c r="A2638" s="75">
        <v>3.3</v>
      </c>
      <c r="B2638" s="18" t="s">
        <v>9425</v>
      </c>
      <c r="C2638" s="37" t="s">
        <v>87</v>
      </c>
      <c r="D2638" s="25" t="s">
        <v>9426</v>
      </c>
      <c r="E2638" s="20" t="s">
        <v>9427</v>
      </c>
      <c r="F2638" s="19" t="s">
        <v>90</v>
      </c>
      <c r="G2638" s="19" t="s">
        <v>91</v>
      </c>
      <c r="H2638" s="37"/>
      <c r="I2638" s="21" t="s">
        <v>29</v>
      </c>
      <c r="J2638" s="21" t="s">
        <v>29</v>
      </c>
      <c r="K2638" s="22" t="s">
        <v>9428</v>
      </c>
      <c r="L2638" s="56">
        <v>45092</v>
      </c>
      <c r="O2638" s="42"/>
      <c r="P2638" s="40"/>
      <c r="Q2638" s="61"/>
      <c r="R2638" s="61"/>
      <c r="S2638" s="40"/>
      <c r="T2638" s="38"/>
      <c r="U2638" s="38"/>
      <c r="V2638" s="38"/>
      <c r="W2638" s="60"/>
      <c r="AB2638" s="42"/>
      <c r="AC2638" s="35"/>
      <c r="AD2638" s="38"/>
      <c r="AE2638" s="38"/>
      <c r="AF2638" s="38"/>
      <c r="AG2638" s="38"/>
      <c r="AH2638" s="60"/>
    </row>
    <row r="2639" spans="1:34" ht="15.75" customHeight="1">
      <c r="A2639" s="111" t="s">
        <v>82</v>
      </c>
      <c r="B2639" s="18" t="s">
        <v>9429</v>
      </c>
      <c r="C2639" s="37" t="s">
        <v>46</v>
      </c>
      <c r="D2639" s="25" t="s">
        <v>9430</v>
      </c>
      <c r="E2639" s="20" t="s">
        <v>9427</v>
      </c>
      <c r="F2639" s="37" t="s">
        <v>49</v>
      </c>
      <c r="G2639" s="19" t="s">
        <v>50</v>
      </c>
      <c r="H2639" s="37"/>
      <c r="I2639" s="21" t="s">
        <v>29</v>
      </c>
      <c r="J2639" s="21" t="s">
        <v>29</v>
      </c>
      <c r="K2639" s="22" t="s">
        <v>9431</v>
      </c>
      <c r="L2639" s="56">
        <v>45092</v>
      </c>
      <c r="O2639" s="42"/>
      <c r="P2639" s="40"/>
      <c r="Q2639" s="61"/>
      <c r="R2639" s="61"/>
      <c r="S2639" s="40"/>
      <c r="T2639" s="38"/>
      <c r="U2639" s="38"/>
      <c r="V2639" s="38"/>
      <c r="W2639" s="60"/>
      <c r="AB2639" s="42"/>
      <c r="AC2639" s="35"/>
      <c r="AD2639" s="38"/>
      <c r="AE2639" s="38"/>
      <c r="AF2639" s="38"/>
      <c r="AG2639" s="38"/>
      <c r="AH2639" s="60"/>
    </row>
    <row r="2640" spans="1:34" ht="15.75" customHeight="1">
      <c r="A2640" s="75" t="s">
        <v>9432</v>
      </c>
      <c r="B2640" s="18" t="s">
        <v>9433</v>
      </c>
      <c r="C2640" s="37" t="s">
        <v>24</v>
      </c>
      <c r="D2640" s="25" t="s">
        <v>9434</v>
      </c>
      <c r="E2640" s="20" t="s">
        <v>9435</v>
      </c>
      <c r="F2640" s="19" t="s">
        <v>27</v>
      </c>
      <c r="G2640" s="19" t="s">
        <v>28</v>
      </c>
      <c r="H2640" s="37"/>
      <c r="I2640" s="21" t="s">
        <v>29</v>
      </c>
      <c r="J2640" s="21" t="s">
        <v>29</v>
      </c>
      <c r="K2640" s="22" t="s">
        <v>9436</v>
      </c>
      <c r="L2640" s="56">
        <v>45092</v>
      </c>
      <c r="O2640" s="42"/>
      <c r="P2640" s="40"/>
      <c r="Q2640" s="61"/>
      <c r="R2640" s="61"/>
      <c r="S2640" s="40"/>
      <c r="T2640" s="38"/>
      <c r="U2640" s="38"/>
      <c r="V2640" s="38"/>
      <c r="W2640" s="60"/>
      <c r="AB2640" s="42"/>
      <c r="AC2640" s="35"/>
      <c r="AD2640" s="38"/>
      <c r="AE2640" s="38"/>
      <c r="AF2640" s="38"/>
      <c r="AG2640" s="38"/>
      <c r="AH2640" s="60"/>
    </row>
    <row r="2641" spans="1:34" ht="15.75" customHeight="1">
      <c r="A2641" s="111" t="s">
        <v>92</v>
      </c>
      <c r="B2641" s="36" t="s">
        <v>9437</v>
      </c>
      <c r="C2641" s="19" t="s">
        <v>121</v>
      </c>
      <c r="D2641" s="25" t="s">
        <v>9438</v>
      </c>
      <c r="E2641" s="20" t="s">
        <v>9435</v>
      </c>
      <c r="F2641" s="19" t="s">
        <v>27</v>
      </c>
      <c r="G2641" s="21" t="s">
        <v>452</v>
      </c>
      <c r="H2641" s="21"/>
      <c r="I2641" s="21" t="s">
        <v>29</v>
      </c>
      <c r="J2641" s="21" t="s">
        <v>452</v>
      </c>
      <c r="K2641" s="22" t="s">
        <v>9436</v>
      </c>
      <c r="L2641" s="56">
        <v>45092</v>
      </c>
      <c r="O2641" s="42"/>
      <c r="P2641" s="40"/>
      <c r="Q2641" s="61"/>
      <c r="R2641" s="61"/>
      <c r="S2641" s="40"/>
      <c r="T2641" s="38"/>
      <c r="U2641" s="38"/>
      <c r="V2641" s="38"/>
      <c r="W2641" s="60"/>
      <c r="AB2641" s="42"/>
      <c r="AC2641" s="35"/>
      <c r="AD2641" s="38"/>
      <c r="AE2641" s="38"/>
      <c r="AF2641" s="38"/>
      <c r="AG2641" s="38"/>
      <c r="AH2641" s="60"/>
    </row>
    <row r="2642" spans="1:34" ht="15.75" customHeight="1">
      <c r="A2642" s="112">
        <v>912</v>
      </c>
      <c r="B2642" s="18" t="s">
        <v>9439</v>
      </c>
      <c r="C2642" s="21" t="s">
        <v>24</v>
      </c>
      <c r="D2642" s="25" t="s">
        <v>9440</v>
      </c>
      <c r="E2642" s="20" t="s">
        <v>9401</v>
      </c>
      <c r="F2642" s="19" t="s">
        <v>27</v>
      </c>
      <c r="G2642" s="19" t="s">
        <v>28</v>
      </c>
      <c r="H2642" s="21"/>
      <c r="I2642" s="21" t="s">
        <v>29</v>
      </c>
      <c r="J2642" s="21" t="s">
        <v>29</v>
      </c>
      <c r="K2642" s="22" t="s">
        <v>9402</v>
      </c>
      <c r="L2642" s="56">
        <v>45092</v>
      </c>
      <c r="O2642" s="42"/>
      <c r="P2642" s="40"/>
      <c r="Q2642" s="61"/>
      <c r="R2642" s="61"/>
      <c r="S2642" s="40"/>
      <c r="T2642" s="38"/>
      <c r="U2642" s="38"/>
      <c r="V2642" s="38"/>
      <c r="W2642" s="60"/>
      <c r="AB2642" s="42"/>
      <c r="AC2642" s="35"/>
      <c r="AD2642" s="38"/>
      <c r="AE2642" s="38"/>
      <c r="AF2642" s="38"/>
      <c r="AG2642" s="38"/>
      <c r="AH2642" s="60"/>
    </row>
    <row r="2643" spans="1:34" ht="15.75" customHeight="1">
      <c r="A2643" s="111" t="s">
        <v>100</v>
      </c>
      <c r="B2643" s="36" t="s">
        <v>9441</v>
      </c>
      <c r="C2643" s="19" t="s">
        <v>121</v>
      </c>
      <c r="D2643" s="25" t="s">
        <v>9442</v>
      </c>
      <c r="E2643" s="20" t="s">
        <v>9427</v>
      </c>
      <c r="F2643" s="37" t="s">
        <v>49</v>
      </c>
      <c r="G2643" s="37" t="s">
        <v>452</v>
      </c>
      <c r="H2643" s="37"/>
      <c r="I2643" s="21" t="s">
        <v>29</v>
      </c>
      <c r="J2643" s="21" t="s">
        <v>452</v>
      </c>
      <c r="K2643" s="22" t="s">
        <v>9443</v>
      </c>
      <c r="L2643" s="56">
        <v>45092</v>
      </c>
      <c r="O2643" s="42"/>
      <c r="P2643" s="40"/>
      <c r="Q2643" s="61"/>
      <c r="R2643" s="61"/>
      <c r="S2643" s="40"/>
      <c r="T2643" s="38"/>
      <c r="U2643" s="38"/>
      <c r="V2643" s="38"/>
      <c r="W2643" s="60"/>
      <c r="AB2643" s="42"/>
      <c r="AC2643" s="35"/>
      <c r="AD2643" s="38"/>
      <c r="AE2643" s="38"/>
      <c r="AF2643" s="38"/>
      <c r="AG2643" s="38"/>
      <c r="AH2643" s="60"/>
    </row>
    <row r="2644" spans="1:34" ht="15.75" customHeight="1">
      <c r="A2644" s="75">
        <v>160</v>
      </c>
      <c r="B2644" s="18" t="s">
        <v>9444</v>
      </c>
      <c r="C2644" s="37" t="s">
        <v>87</v>
      </c>
      <c r="D2644" s="25" t="s">
        <v>9445</v>
      </c>
      <c r="E2644" s="20" t="s">
        <v>9393</v>
      </c>
      <c r="F2644" s="19" t="s">
        <v>90</v>
      </c>
      <c r="G2644" s="19" t="s">
        <v>91</v>
      </c>
      <c r="H2644" s="37"/>
      <c r="I2644" s="21" t="s">
        <v>29</v>
      </c>
      <c r="J2644" s="21" t="s">
        <v>29</v>
      </c>
      <c r="K2644" s="22" t="s">
        <v>9446</v>
      </c>
      <c r="L2644" s="56">
        <v>45092</v>
      </c>
      <c r="O2644" s="42"/>
      <c r="P2644" s="40"/>
      <c r="Q2644" s="61"/>
      <c r="R2644" s="61"/>
      <c r="S2644" s="40"/>
      <c r="T2644" s="38"/>
      <c r="U2644" s="38"/>
      <c r="V2644" s="38"/>
      <c r="W2644" s="60"/>
      <c r="AB2644" s="42"/>
      <c r="AC2644" s="35"/>
      <c r="AD2644" s="38"/>
      <c r="AE2644" s="38"/>
      <c r="AF2644" s="38"/>
      <c r="AG2644" s="38"/>
      <c r="AH2644" s="60"/>
    </row>
    <row r="2645" spans="1:34" ht="15.75" customHeight="1">
      <c r="A2645" s="35"/>
      <c r="B2645" s="18" t="s">
        <v>9447</v>
      </c>
      <c r="C2645" s="37" t="s">
        <v>87</v>
      </c>
      <c r="D2645" s="25" t="s">
        <v>9448</v>
      </c>
      <c r="E2645" s="20" t="s">
        <v>9419</v>
      </c>
      <c r="F2645" s="19" t="s">
        <v>90</v>
      </c>
      <c r="G2645" s="19" t="s">
        <v>91</v>
      </c>
      <c r="H2645" s="37"/>
      <c r="I2645" s="21" t="s">
        <v>29</v>
      </c>
      <c r="J2645" s="21" t="s">
        <v>29</v>
      </c>
      <c r="K2645" s="22" t="s">
        <v>9390</v>
      </c>
      <c r="L2645" s="56">
        <v>45092</v>
      </c>
      <c r="O2645" s="42"/>
      <c r="P2645" s="40"/>
      <c r="Q2645" s="61"/>
      <c r="R2645" s="61"/>
      <c r="S2645" s="40"/>
      <c r="T2645" s="38"/>
      <c r="U2645" s="38"/>
      <c r="V2645" s="38"/>
      <c r="W2645" s="60"/>
      <c r="AB2645" s="42"/>
      <c r="AC2645" s="35"/>
      <c r="AD2645" s="38"/>
      <c r="AE2645" s="38"/>
      <c r="AF2645" s="38"/>
      <c r="AG2645" s="38"/>
      <c r="AH2645" s="60"/>
    </row>
    <row r="2646" spans="1:34" ht="15.75" customHeight="1">
      <c r="A2646" s="35"/>
      <c r="B2646" s="18" t="s">
        <v>9449</v>
      </c>
      <c r="C2646" s="37" t="s">
        <v>24</v>
      </c>
      <c r="D2646" s="25" t="s">
        <v>9450</v>
      </c>
      <c r="E2646" s="20" t="s">
        <v>9401</v>
      </c>
      <c r="F2646" s="19" t="s">
        <v>27</v>
      </c>
      <c r="G2646" s="19" t="s">
        <v>28</v>
      </c>
      <c r="H2646" s="37"/>
      <c r="I2646" s="21" t="s">
        <v>29</v>
      </c>
      <c r="J2646" s="21" t="s">
        <v>29</v>
      </c>
      <c r="K2646" s="22" t="s">
        <v>9401</v>
      </c>
      <c r="L2646" s="56">
        <v>45092</v>
      </c>
      <c r="O2646" s="42"/>
      <c r="P2646" s="40"/>
      <c r="Q2646" s="61"/>
      <c r="R2646" s="61"/>
      <c r="S2646" s="40"/>
      <c r="T2646" s="38"/>
      <c r="U2646" s="38"/>
      <c r="V2646" s="38"/>
      <c r="W2646" s="60"/>
      <c r="AB2646" s="42"/>
      <c r="AC2646" s="35"/>
      <c r="AD2646" s="38"/>
      <c r="AE2646" s="38"/>
      <c r="AF2646" s="38"/>
      <c r="AG2646" s="38"/>
      <c r="AH2646" s="60"/>
    </row>
    <row r="2647" spans="1:34" ht="15.75" customHeight="1">
      <c r="A2647" s="120"/>
      <c r="B2647" s="29" t="s">
        <v>9451</v>
      </c>
      <c r="C2647" s="37" t="s">
        <v>24</v>
      </c>
      <c r="D2647" s="25" t="s">
        <v>9452</v>
      </c>
      <c r="E2647" s="20" t="s">
        <v>9453</v>
      </c>
      <c r="F2647" s="19" t="s">
        <v>27</v>
      </c>
      <c r="G2647" s="19" t="s">
        <v>28</v>
      </c>
      <c r="H2647" s="37"/>
      <c r="I2647" s="21" t="s">
        <v>29</v>
      </c>
      <c r="J2647" s="21" t="s">
        <v>29</v>
      </c>
      <c r="K2647" s="22" t="s">
        <v>9454</v>
      </c>
      <c r="L2647" s="56"/>
      <c r="O2647" s="42"/>
      <c r="P2647" s="40"/>
      <c r="Q2647" s="61"/>
      <c r="R2647" s="61"/>
      <c r="S2647" s="40"/>
      <c r="T2647" s="38"/>
      <c r="U2647" s="38"/>
      <c r="V2647" s="38"/>
      <c r="W2647" s="60"/>
      <c r="AB2647" s="42"/>
      <c r="AC2647" s="35"/>
      <c r="AD2647" s="38"/>
      <c r="AE2647" s="38"/>
      <c r="AF2647" s="38"/>
      <c r="AG2647" s="38"/>
      <c r="AH2647" s="60"/>
    </row>
    <row r="2648" spans="1:34" ht="15.75" customHeight="1">
      <c r="A2648" s="120"/>
      <c r="B2648" s="36" t="s">
        <v>9455</v>
      </c>
      <c r="C2648" s="19" t="s">
        <v>121</v>
      </c>
      <c r="D2648" s="25" t="s">
        <v>9456</v>
      </c>
      <c r="E2648" s="20" t="s">
        <v>9457</v>
      </c>
      <c r="F2648" s="19" t="s">
        <v>90</v>
      </c>
      <c r="G2648" s="37" t="s">
        <v>452</v>
      </c>
      <c r="H2648" s="37"/>
      <c r="I2648" s="21" t="s">
        <v>29</v>
      </c>
      <c r="J2648" s="21" t="s">
        <v>452</v>
      </c>
      <c r="K2648" s="22" t="s">
        <v>9458</v>
      </c>
      <c r="L2648" s="56">
        <v>45092</v>
      </c>
      <c r="O2648" s="42"/>
      <c r="P2648" s="40"/>
      <c r="Q2648" s="61"/>
      <c r="R2648" s="61"/>
      <c r="S2648" s="40"/>
      <c r="T2648" s="38"/>
      <c r="U2648" s="38"/>
      <c r="V2648" s="38"/>
      <c r="W2648" s="60"/>
      <c r="AB2648" s="42"/>
      <c r="AC2648" s="35"/>
      <c r="AD2648" s="38"/>
      <c r="AE2648" s="38"/>
      <c r="AF2648" s="38"/>
      <c r="AG2648" s="38"/>
      <c r="AH2648" s="60"/>
    </row>
    <row r="2649" spans="1:34" ht="15.75" customHeight="1">
      <c r="A2649" s="120"/>
      <c r="B2649" s="18" t="s">
        <v>9459</v>
      </c>
      <c r="C2649" s="37" t="s">
        <v>87</v>
      </c>
      <c r="D2649" s="25" t="s">
        <v>9460</v>
      </c>
      <c r="E2649" s="20" t="s">
        <v>9393</v>
      </c>
      <c r="F2649" s="19" t="s">
        <v>90</v>
      </c>
      <c r="G2649" s="19" t="s">
        <v>91</v>
      </c>
      <c r="H2649" s="37"/>
      <c r="I2649" s="21" t="s">
        <v>29</v>
      </c>
      <c r="J2649" s="21" t="s">
        <v>29</v>
      </c>
      <c r="K2649" s="22" t="s">
        <v>9461</v>
      </c>
      <c r="L2649" s="56">
        <v>45092</v>
      </c>
      <c r="O2649" s="42"/>
      <c r="P2649" s="40"/>
      <c r="Q2649" s="61"/>
      <c r="R2649" s="61"/>
      <c r="S2649" s="40"/>
      <c r="T2649" s="38"/>
      <c r="U2649" s="38"/>
      <c r="V2649" s="38"/>
      <c r="W2649" s="60"/>
      <c r="AB2649" s="42"/>
      <c r="AC2649" s="35"/>
      <c r="AD2649" s="38"/>
      <c r="AE2649" s="38"/>
      <c r="AF2649" s="38"/>
      <c r="AG2649" s="38"/>
      <c r="AH2649" s="60"/>
    </row>
    <row r="2650" spans="1:34" ht="15.75" customHeight="1">
      <c r="A2650" s="120"/>
      <c r="B2650" s="29" t="s">
        <v>9462</v>
      </c>
      <c r="C2650" s="37" t="s">
        <v>24</v>
      </c>
      <c r="D2650" s="25" t="s">
        <v>9463</v>
      </c>
      <c r="E2650" s="20" t="s">
        <v>9464</v>
      </c>
      <c r="F2650" s="19" t="s">
        <v>27</v>
      </c>
      <c r="G2650" s="19" t="s">
        <v>28</v>
      </c>
      <c r="H2650" s="37"/>
      <c r="I2650" s="21" t="s">
        <v>29</v>
      </c>
      <c r="J2650" s="21" t="s">
        <v>29</v>
      </c>
      <c r="K2650" s="22" t="s">
        <v>9465</v>
      </c>
      <c r="L2650" s="56">
        <v>45092</v>
      </c>
      <c r="O2650" s="42"/>
      <c r="P2650" s="40"/>
      <c r="Q2650" s="61"/>
      <c r="R2650" s="61"/>
      <c r="S2650" s="40"/>
      <c r="T2650" s="38"/>
      <c r="U2650" s="38"/>
      <c r="V2650" s="38"/>
      <c r="W2650" s="60"/>
      <c r="AB2650" s="42"/>
      <c r="AC2650" s="35"/>
      <c r="AD2650" s="38"/>
      <c r="AE2650" s="38"/>
      <c r="AF2650" s="38"/>
      <c r="AG2650" s="38"/>
      <c r="AH2650" s="60"/>
    </row>
    <row r="2651" spans="1:34" ht="15.75" customHeight="1">
      <c r="A2651" s="120"/>
      <c r="B2651" s="18" t="s">
        <v>9466</v>
      </c>
      <c r="C2651" s="37" t="s">
        <v>87</v>
      </c>
      <c r="D2651" s="25" t="s">
        <v>9467</v>
      </c>
      <c r="E2651" s="20" t="s">
        <v>9389</v>
      </c>
      <c r="F2651" s="19" t="s">
        <v>90</v>
      </c>
      <c r="G2651" s="19" t="s">
        <v>91</v>
      </c>
      <c r="H2651" s="37"/>
      <c r="I2651" s="21" t="s">
        <v>29</v>
      </c>
      <c r="J2651" s="21" t="s">
        <v>29</v>
      </c>
      <c r="K2651" s="22" t="s">
        <v>9468</v>
      </c>
      <c r="L2651" s="56">
        <v>45092</v>
      </c>
      <c r="O2651" s="42"/>
      <c r="P2651" s="40"/>
      <c r="Q2651" s="61"/>
      <c r="R2651" s="61"/>
      <c r="S2651" s="40"/>
      <c r="T2651" s="38"/>
      <c r="U2651" s="38"/>
      <c r="V2651" s="38"/>
      <c r="W2651" s="60"/>
      <c r="AB2651" s="42"/>
      <c r="AC2651" s="35"/>
      <c r="AD2651" s="38"/>
      <c r="AE2651" s="38"/>
      <c r="AF2651" s="38"/>
      <c r="AG2651" s="38"/>
      <c r="AH2651" s="60"/>
    </row>
    <row r="2652" spans="1:34" ht="15.75" customHeight="1">
      <c r="A2652" s="120"/>
      <c r="B2652" s="18" t="s">
        <v>9469</v>
      </c>
      <c r="C2652" s="37" t="s">
        <v>24</v>
      </c>
      <c r="D2652" s="25" t="s">
        <v>9470</v>
      </c>
      <c r="E2652" s="20" t="s">
        <v>9471</v>
      </c>
      <c r="F2652" s="19" t="s">
        <v>27</v>
      </c>
      <c r="G2652" s="19" t="s">
        <v>28</v>
      </c>
      <c r="H2652" s="37"/>
      <c r="I2652" s="21" t="s">
        <v>29</v>
      </c>
      <c r="J2652" s="21" t="s">
        <v>29</v>
      </c>
      <c r="K2652" s="22" t="s">
        <v>9472</v>
      </c>
      <c r="L2652" s="56">
        <v>45092</v>
      </c>
      <c r="O2652" s="42"/>
      <c r="P2652" s="40"/>
      <c r="Q2652" s="61"/>
      <c r="R2652" s="61"/>
      <c r="S2652" s="40"/>
      <c r="T2652" s="38"/>
      <c r="U2652" s="38"/>
      <c r="V2652" s="38"/>
      <c r="W2652" s="60"/>
      <c r="AB2652" s="42"/>
      <c r="AC2652" s="35"/>
      <c r="AD2652" s="38"/>
      <c r="AE2652" s="38"/>
      <c r="AF2652" s="38"/>
      <c r="AG2652" s="38"/>
      <c r="AH2652" s="60"/>
    </row>
    <row r="2653" spans="1:34" ht="15.75" customHeight="1">
      <c r="A2653" s="120"/>
      <c r="B2653" s="18" t="s">
        <v>9473</v>
      </c>
      <c r="C2653" s="37" t="s">
        <v>87</v>
      </c>
      <c r="D2653" s="25" t="s">
        <v>9474</v>
      </c>
      <c r="E2653" s="20" t="s">
        <v>9475</v>
      </c>
      <c r="F2653" s="19" t="s">
        <v>90</v>
      </c>
      <c r="G2653" s="19" t="s">
        <v>91</v>
      </c>
      <c r="H2653" s="37"/>
      <c r="I2653" s="21" t="s">
        <v>29</v>
      </c>
      <c r="J2653" s="21" t="s">
        <v>29</v>
      </c>
      <c r="K2653" s="22" t="s">
        <v>9476</v>
      </c>
      <c r="L2653" s="56">
        <v>45092</v>
      </c>
      <c r="O2653" s="42"/>
      <c r="P2653" s="40"/>
      <c r="Q2653" s="61"/>
      <c r="R2653" s="61"/>
      <c r="S2653" s="40"/>
      <c r="T2653" s="38"/>
      <c r="U2653" s="38"/>
      <c r="V2653" s="38"/>
      <c r="W2653" s="60"/>
      <c r="AB2653" s="42"/>
      <c r="AC2653" s="35"/>
      <c r="AD2653" s="38"/>
      <c r="AE2653" s="38"/>
      <c r="AF2653" s="38"/>
      <c r="AG2653" s="38"/>
      <c r="AH2653" s="60"/>
    </row>
    <row r="2654" spans="1:34" ht="15.75" customHeight="1">
      <c r="A2654" s="120"/>
      <c r="B2654" s="18" t="s">
        <v>9477</v>
      </c>
      <c r="C2654" s="37" t="s">
        <v>24</v>
      </c>
      <c r="D2654" s="25" t="s">
        <v>9478</v>
      </c>
      <c r="E2654" s="20" t="s">
        <v>9393</v>
      </c>
      <c r="F2654" s="19" t="s">
        <v>27</v>
      </c>
      <c r="G2654" s="19" t="s">
        <v>28</v>
      </c>
      <c r="H2654" s="37"/>
      <c r="I2654" s="21" t="s">
        <v>29</v>
      </c>
      <c r="J2654" s="21" t="s">
        <v>29</v>
      </c>
      <c r="K2654" s="22" t="s">
        <v>9461</v>
      </c>
      <c r="L2654" s="56">
        <v>45092</v>
      </c>
      <c r="O2654" s="42"/>
      <c r="P2654" s="40"/>
      <c r="Q2654" s="61"/>
      <c r="R2654" s="61"/>
      <c r="S2654" s="40"/>
      <c r="T2654" s="38"/>
      <c r="U2654" s="38"/>
      <c r="V2654" s="38"/>
      <c r="W2654" s="60"/>
      <c r="AB2654" s="42"/>
      <c r="AC2654" s="35"/>
      <c r="AD2654" s="38"/>
      <c r="AE2654" s="38"/>
      <c r="AF2654" s="38"/>
      <c r="AG2654" s="38"/>
      <c r="AH2654" s="60"/>
    </row>
    <row r="2655" spans="1:34" ht="15.75" customHeight="1">
      <c r="A2655" s="120"/>
      <c r="B2655" s="18" t="s">
        <v>9479</v>
      </c>
      <c r="C2655" s="37" t="s">
        <v>24</v>
      </c>
      <c r="D2655" s="25" t="s">
        <v>9480</v>
      </c>
      <c r="E2655" s="20" t="s">
        <v>9481</v>
      </c>
      <c r="F2655" s="19" t="s">
        <v>27</v>
      </c>
      <c r="G2655" s="19" t="s">
        <v>28</v>
      </c>
      <c r="H2655" s="37"/>
      <c r="I2655" s="21" t="s">
        <v>29</v>
      </c>
      <c r="J2655" s="21" t="s">
        <v>29</v>
      </c>
      <c r="K2655" s="22" t="s">
        <v>9482</v>
      </c>
      <c r="L2655" s="56">
        <v>45092</v>
      </c>
      <c r="O2655" s="42"/>
      <c r="P2655" s="40"/>
      <c r="Q2655" s="61"/>
      <c r="R2655" s="61"/>
      <c r="S2655" s="40"/>
      <c r="T2655" s="38"/>
      <c r="U2655" s="38"/>
      <c r="V2655" s="38"/>
      <c r="W2655" s="60"/>
      <c r="AB2655" s="42"/>
      <c r="AC2655" s="35"/>
      <c r="AD2655" s="38"/>
      <c r="AE2655" s="38"/>
      <c r="AF2655" s="38"/>
      <c r="AG2655" s="38"/>
      <c r="AH2655" s="60"/>
    </row>
    <row r="2656" spans="1:34" ht="15.75" customHeight="1">
      <c r="A2656" s="120"/>
      <c r="B2656" s="18" t="s">
        <v>9483</v>
      </c>
      <c r="C2656" s="37" t="s">
        <v>46</v>
      </c>
      <c r="D2656" s="25" t="s">
        <v>9484</v>
      </c>
      <c r="E2656" s="20" t="s">
        <v>9485</v>
      </c>
      <c r="F2656" s="37" t="s">
        <v>49</v>
      </c>
      <c r="G2656" s="19" t="s">
        <v>50</v>
      </c>
      <c r="H2656" s="37"/>
      <c r="I2656" s="21" t="s">
        <v>29</v>
      </c>
      <c r="J2656" s="21" t="s">
        <v>29</v>
      </c>
      <c r="K2656" s="22" t="s">
        <v>9486</v>
      </c>
      <c r="L2656" s="56">
        <v>45092</v>
      </c>
      <c r="O2656" s="42"/>
      <c r="P2656" s="40"/>
      <c r="Q2656" s="61"/>
      <c r="R2656" s="61"/>
      <c r="S2656" s="40"/>
      <c r="T2656" s="38"/>
      <c r="U2656" s="38"/>
      <c r="V2656" s="38"/>
      <c r="W2656" s="60"/>
      <c r="AB2656" s="42"/>
      <c r="AC2656" s="35"/>
      <c r="AD2656" s="38"/>
      <c r="AE2656" s="38"/>
      <c r="AF2656" s="38"/>
      <c r="AG2656" s="38"/>
      <c r="AH2656" s="60"/>
    </row>
    <row r="2657" spans="1:34" ht="15.75" customHeight="1">
      <c r="A2657" s="120"/>
      <c r="B2657" s="18" t="s">
        <v>9487</v>
      </c>
      <c r="C2657" s="37" t="s">
        <v>24</v>
      </c>
      <c r="D2657" s="25" t="s">
        <v>9488</v>
      </c>
      <c r="E2657" s="20" t="s">
        <v>9401</v>
      </c>
      <c r="F2657" s="19" t="s">
        <v>27</v>
      </c>
      <c r="G2657" s="19" t="s">
        <v>28</v>
      </c>
      <c r="H2657" s="37"/>
      <c r="I2657" s="21" t="s">
        <v>29</v>
      </c>
      <c r="J2657" s="21" t="s">
        <v>29</v>
      </c>
      <c r="K2657" s="22" t="s">
        <v>9402</v>
      </c>
      <c r="L2657" s="56">
        <v>45092</v>
      </c>
      <c r="O2657" s="42"/>
      <c r="P2657" s="40"/>
      <c r="Q2657" s="61"/>
      <c r="R2657" s="61"/>
      <c r="S2657" s="40"/>
      <c r="T2657" s="38"/>
      <c r="U2657" s="38"/>
      <c r="V2657" s="38"/>
      <c r="W2657" s="60"/>
      <c r="AB2657" s="42"/>
      <c r="AC2657" s="35"/>
      <c r="AD2657" s="38"/>
      <c r="AE2657" s="38"/>
      <c r="AF2657" s="38"/>
      <c r="AG2657" s="38"/>
      <c r="AH2657" s="60"/>
    </row>
    <row r="2658" spans="1:34" ht="15.75" customHeight="1">
      <c r="A2658" s="120"/>
      <c r="B2658" s="18" t="s">
        <v>9489</v>
      </c>
      <c r="C2658" s="37" t="s">
        <v>24</v>
      </c>
      <c r="D2658" s="25" t="s">
        <v>9490</v>
      </c>
      <c r="E2658" s="20" t="s">
        <v>9427</v>
      </c>
      <c r="F2658" s="19" t="s">
        <v>27</v>
      </c>
      <c r="G2658" s="19" t="s">
        <v>28</v>
      </c>
      <c r="H2658" s="37"/>
      <c r="I2658" s="21" t="s">
        <v>29</v>
      </c>
      <c r="J2658" s="21" t="s">
        <v>29</v>
      </c>
      <c r="K2658" s="22" t="s">
        <v>9491</v>
      </c>
      <c r="L2658" s="56">
        <v>45092</v>
      </c>
      <c r="O2658" s="42"/>
      <c r="P2658" s="40"/>
      <c r="Q2658" s="61"/>
      <c r="R2658" s="61"/>
      <c r="S2658" s="40"/>
      <c r="T2658" s="38"/>
      <c r="U2658" s="38"/>
      <c r="V2658" s="38"/>
      <c r="W2658" s="60"/>
      <c r="AB2658" s="42"/>
      <c r="AC2658" s="35"/>
      <c r="AD2658" s="38"/>
      <c r="AE2658" s="38"/>
      <c r="AF2658" s="38"/>
      <c r="AG2658" s="38"/>
      <c r="AH2658" s="60"/>
    </row>
    <row r="2659" spans="1:34" ht="15.75" customHeight="1">
      <c r="A2659" s="120"/>
      <c r="B2659" s="18" t="s">
        <v>9492</v>
      </c>
      <c r="C2659" s="37" t="s">
        <v>87</v>
      </c>
      <c r="D2659" s="25" t="s">
        <v>9493</v>
      </c>
      <c r="E2659" s="20" t="s">
        <v>9457</v>
      </c>
      <c r="F2659" s="19" t="s">
        <v>90</v>
      </c>
      <c r="G2659" s="19" t="s">
        <v>91</v>
      </c>
      <c r="H2659" s="37"/>
      <c r="I2659" s="21" t="s">
        <v>29</v>
      </c>
      <c r="J2659" s="21" t="s">
        <v>29</v>
      </c>
      <c r="K2659" s="22" t="s">
        <v>9458</v>
      </c>
      <c r="L2659" s="56">
        <v>45092</v>
      </c>
      <c r="O2659" s="42"/>
      <c r="P2659" s="40"/>
      <c r="Q2659" s="61"/>
      <c r="R2659" s="61"/>
      <c r="S2659" s="40"/>
      <c r="T2659" s="38"/>
      <c r="U2659" s="38"/>
      <c r="V2659" s="38"/>
      <c r="W2659" s="60"/>
      <c r="AB2659" s="42"/>
      <c r="AC2659" s="35"/>
      <c r="AD2659" s="38"/>
      <c r="AE2659" s="38"/>
      <c r="AF2659" s="38"/>
      <c r="AG2659" s="38"/>
      <c r="AH2659" s="60"/>
    </row>
    <row r="2660" spans="1:34" ht="15.75" customHeight="1">
      <c r="A2660" s="120"/>
      <c r="B2660" s="29" t="s">
        <v>9494</v>
      </c>
      <c r="C2660" s="37" t="s">
        <v>87</v>
      </c>
      <c r="D2660" s="25" t="s">
        <v>9495</v>
      </c>
      <c r="E2660" s="20" t="s">
        <v>9385</v>
      </c>
      <c r="F2660" s="19" t="s">
        <v>90</v>
      </c>
      <c r="G2660" s="19" t="s">
        <v>91</v>
      </c>
      <c r="H2660" s="37"/>
      <c r="I2660" s="21" t="s">
        <v>29</v>
      </c>
      <c r="J2660" s="21" t="s">
        <v>29</v>
      </c>
      <c r="K2660" s="22" t="s">
        <v>9496</v>
      </c>
      <c r="L2660" s="56"/>
      <c r="O2660" s="42"/>
      <c r="P2660" s="40"/>
      <c r="Q2660" s="61"/>
      <c r="R2660" s="61"/>
      <c r="S2660" s="40"/>
      <c r="T2660" s="38"/>
      <c r="U2660" s="38"/>
      <c r="V2660" s="38"/>
      <c r="W2660" s="60"/>
      <c r="AB2660" s="42"/>
      <c r="AC2660" s="35"/>
      <c r="AD2660" s="38"/>
      <c r="AE2660" s="38"/>
      <c r="AF2660" s="38"/>
      <c r="AG2660" s="38"/>
      <c r="AH2660" s="60"/>
    </row>
    <row r="2661" spans="1:34" ht="15.75" customHeight="1">
      <c r="A2661" s="120"/>
      <c r="B2661" s="18" t="s">
        <v>9497</v>
      </c>
      <c r="C2661" s="37" t="s">
        <v>46</v>
      </c>
      <c r="D2661" s="25" t="s">
        <v>9498</v>
      </c>
      <c r="E2661" s="20" t="s">
        <v>9389</v>
      </c>
      <c r="F2661" s="37" t="s">
        <v>49</v>
      </c>
      <c r="G2661" s="19" t="s">
        <v>50</v>
      </c>
      <c r="H2661" s="37"/>
      <c r="I2661" s="21" t="s">
        <v>29</v>
      </c>
      <c r="J2661" s="21" t="s">
        <v>29</v>
      </c>
      <c r="K2661" s="22" t="s">
        <v>9468</v>
      </c>
      <c r="L2661" s="56">
        <v>45092</v>
      </c>
      <c r="O2661" s="42"/>
      <c r="P2661" s="40"/>
      <c r="Q2661" s="61"/>
      <c r="R2661" s="61"/>
      <c r="S2661" s="40"/>
      <c r="T2661" s="38"/>
      <c r="U2661" s="38"/>
      <c r="V2661" s="38"/>
      <c r="W2661" s="60"/>
      <c r="AB2661" s="42"/>
      <c r="AC2661" s="35"/>
      <c r="AD2661" s="38"/>
      <c r="AE2661" s="38"/>
      <c r="AF2661" s="38"/>
      <c r="AG2661" s="38"/>
      <c r="AH2661" s="60"/>
    </row>
    <row r="2662" spans="1:34" ht="15.75" customHeight="1">
      <c r="A2662" s="120"/>
      <c r="B2662" s="38"/>
      <c r="C2662" s="37"/>
      <c r="D2662" s="20"/>
      <c r="E2662" s="20"/>
      <c r="F2662" s="37"/>
      <c r="G2662" s="37"/>
      <c r="H2662" s="37"/>
      <c r="I2662" s="21"/>
      <c r="J2662" s="21"/>
      <c r="K2662" s="22"/>
      <c r="L2662" s="39"/>
      <c r="O2662" s="42"/>
      <c r="P2662" s="40"/>
      <c r="Q2662" s="61"/>
      <c r="R2662" s="61"/>
      <c r="S2662" s="40"/>
      <c r="T2662" s="38"/>
      <c r="U2662" s="38"/>
      <c r="V2662" s="38"/>
      <c r="W2662" s="60"/>
      <c r="AB2662" s="42"/>
      <c r="AC2662" s="35"/>
      <c r="AD2662" s="38"/>
      <c r="AE2662" s="38"/>
      <c r="AF2662" s="38"/>
      <c r="AG2662" s="38"/>
      <c r="AH2662" s="60"/>
    </row>
    <row r="2663" spans="1:34" ht="15.75" customHeight="1">
      <c r="A2663" s="38" t="s">
        <v>9499</v>
      </c>
      <c r="B2663" s="29" t="s">
        <v>9500</v>
      </c>
      <c r="C2663" s="37" t="s">
        <v>24</v>
      </c>
      <c r="D2663" s="20" t="s">
        <v>9501</v>
      </c>
      <c r="E2663" s="20" t="s">
        <v>9502</v>
      </c>
      <c r="F2663" s="19" t="s">
        <v>27</v>
      </c>
      <c r="G2663" s="19" t="s">
        <v>28</v>
      </c>
      <c r="H2663" s="37"/>
      <c r="I2663" s="21" t="s">
        <v>29</v>
      </c>
      <c r="J2663" s="21" t="s">
        <v>29</v>
      </c>
      <c r="K2663" s="22" t="s">
        <v>9503</v>
      </c>
      <c r="L2663" s="56">
        <v>45092</v>
      </c>
      <c r="M2663" s="40"/>
      <c r="N2663" s="40"/>
      <c r="O2663" s="42"/>
      <c r="P2663" s="40"/>
      <c r="Q2663" s="61"/>
      <c r="R2663" s="61"/>
      <c r="S2663" s="40"/>
      <c r="T2663" s="38"/>
      <c r="U2663" s="38"/>
      <c r="V2663" s="38"/>
      <c r="W2663" s="60"/>
      <c r="AB2663" s="42"/>
      <c r="AC2663" s="35"/>
      <c r="AD2663" s="38"/>
      <c r="AE2663" s="38"/>
      <c r="AF2663" s="38"/>
      <c r="AG2663" s="38"/>
      <c r="AH2663" s="60"/>
    </row>
    <row r="2664" spans="1:34" ht="15.75" customHeight="1">
      <c r="A2664" s="54" t="s">
        <v>2714</v>
      </c>
      <c r="B2664" s="18" t="s">
        <v>9504</v>
      </c>
      <c r="C2664" s="37" t="s">
        <v>46</v>
      </c>
      <c r="D2664" s="25" t="s">
        <v>9505</v>
      </c>
      <c r="E2664" s="20" t="s">
        <v>9506</v>
      </c>
      <c r="F2664" s="37" t="s">
        <v>49</v>
      </c>
      <c r="G2664" s="19" t="s">
        <v>50</v>
      </c>
      <c r="H2664" s="37"/>
      <c r="I2664" s="21" t="s">
        <v>29</v>
      </c>
      <c r="J2664" s="21" t="s">
        <v>29</v>
      </c>
      <c r="K2664" s="22" t="s">
        <v>9507</v>
      </c>
      <c r="L2664" s="56">
        <v>45092</v>
      </c>
      <c r="O2664" s="42"/>
      <c r="P2664" s="40"/>
      <c r="Q2664" s="61"/>
      <c r="R2664" s="61"/>
      <c r="S2664" s="40"/>
      <c r="T2664" s="38"/>
      <c r="U2664" s="38"/>
      <c r="V2664" s="38"/>
      <c r="W2664" s="60"/>
      <c r="AB2664" s="42"/>
      <c r="AC2664" s="35"/>
      <c r="AD2664" s="38"/>
      <c r="AE2664" s="38"/>
      <c r="AF2664" s="38"/>
      <c r="AG2664" s="38"/>
      <c r="AH2664" s="60"/>
    </row>
    <row r="2665" spans="1:34" ht="15.75" customHeight="1">
      <c r="A2665" s="114" t="s">
        <v>39</v>
      </c>
      <c r="B2665" s="18" t="s">
        <v>9508</v>
      </c>
      <c r="C2665" s="37" t="s">
        <v>87</v>
      </c>
      <c r="D2665" s="25" t="s">
        <v>9509</v>
      </c>
      <c r="E2665" s="20" t="s">
        <v>9510</v>
      </c>
      <c r="F2665" s="19" t="s">
        <v>90</v>
      </c>
      <c r="G2665" s="19" t="s">
        <v>91</v>
      </c>
      <c r="H2665" s="37"/>
      <c r="I2665" s="21" t="s">
        <v>29</v>
      </c>
      <c r="J2665" s="21" t="s">
        <v>29</v>
      </c>
      <c r="K2665" s="22" t="s">
        <v>9510</v>
      </c>
      <c r="L2665" s="56">
        <v>45092</v>
      </c>
      <c r="O2665" s="42"/>
      <c r="P2665" s="40"/>
      <c r="Q2665" s="61"/>
      <c r="R2665" s="61"/>
      <c r="S2665" s="40"/>
      <c r="T2665" s="38"/>
      <c r="U2665" s="38"/>
      <c r="V2665" s="38"/>
      <c r="W2665" s="60"/>
      <c r="AB2665" s="42"/>
      <c r="AC2665" s="35"/>
      <c r="AD2665" s="38"/>
      <c r="AE2665" s="38"/>
      <c r="AF2665" s="38"/>
      <c r="AG2665" s="38"/>
      <c r="AH2665" s="60"/>
    </row>
    <row r="2666" spans="1:34" ht="15.75" customHeight="1">
      <c r="A2666" s="38" t="s">
        <v>9511</v>
      </c>
      <c r="B2666" s="18" t="s">
        <v>9512</v>
      </c>
      <c r="C2666" s="37" t="s">
        <v>412</v>
      </c>
      <c r="D2666" s="25" t="s">
        <v>9513</v>
      </c>
      <c r="E2666" s="20" t="s">
        <v>9514</v>
      </c>
      <c r="F2666" s="19" t="s">
        <v>414</v>
      </c>
      <c r="G2666" s="37" t="s">
        <v>415</v>
      </c>
      <c r="H2666" s="37"/>
      <c r="I2666" s="21" t="s">
        <v>233</v>
      </c>
      <c r="J2666" s="21" t="s">
        <v>233</v>
      </c>
      <c r="K2666" s="22" t="s">
        <v>9515</v>
      </c>
      <c r="L2666" s="56">
        <v>45092</v>
      </c>
      <c r="O2666" s="42"/>
      <c r="P2666" s="40"/>
      <c r="Q2666" s="61"/>
      <c r="R2666" s="61"/>
      <c r="S2666" s="40"/>
      <c r="T2666" s="38"/>
      <c r="U2666" s="38"/>
      <c r="V2666" s="38"/>
      <c r="W2666" s="60"/>
      <c r="AB2666" s="42"/>
      <c r="AC2666" s="35"/>
      <c r="AD2666" s="38"/>
      <c r="AE2666" s="38"/>
      <c r="AF2666" s="38"/>
      <c r="AG2666" s="38"/>
      <c r="AH2666" s="60"/>
    </row>
    <row r="2667" spans="1:34" ht="15.75" customHeight="1">
      <c r="A2667" s="38" t="s">
        <v>9516</v>
      </c>
      <c r="B2667" s="18" t="s">
        <v>9517</v>
      </c>
      <c r="C2667" s="37" t="s">
        <v>412</v>
      </c>
      <c r="D2667" s="25" t="s">
        <v>9518</v>
      </c>
      <c r="E2667" s="20"/>
      <c r="F2667" s="19" t="s">
        <v>414</v>
      </c>
      <c r="G2667" s="19" t="s">
        <v>415</v>
      </c>
      <c r="H2667" s="37"/>
      <c r="I2667" s="21" t="s">
        <v>233</v>
      </c>
      <c r="J2667" s="21" t="s">
        <v>233</v>
      </c>
      <c r="K2667" s="22"/>
      <c r="L2667" s="56">
        <v>45092</v>
      </c>
      <c r="O2667" s="42"/>
      <c r="P2667" s="40"/>
      <c r="Q2667" s="61"/>
      <c r="R2667" s="61"/>
      <c r="S2667" s="40"/>
      <c r="T2667" s="38"/>
      <c r="U2667" s="38"/>
      <c r="V2667" s="38"/>
      <c r="W2667" s="60"/>
      <c r="AB2667" s="42"/>
      <c r="AC2667" s="35"/>
      <c r="AD2667" s="38"/>
      <c r="AE2667" s="38"/>
      <c r="AF2667" s="38"/>
      <c r="AG2667" s="38"/>
      <c r="AH2667" s="60"/>
    </row>
    <row r="2668" spans="1:34" ht="15.75" customHeight="1">
      <c r="A2668" s="111" t="s">
        <v>56</v>
      </c>
      <c r="B2668" s="18" t="s">
        <v>9519</v>
      </c>
      <c r="C2668" s="37" t="s">
        <v>87</v>
      </c>
      <c r="D2668" s="25" t="s">
        <v>9520</v>
      </c>
      <c r="E2668" s="20" t="s">
        <v>9521</v>
      </c>
      <c r="F2668" s="19" t="s">
        <v>90</v>
      </c>
      <c r="G2668" s="19" t="s">
        <v>91</v>
      </c>
      <c r="H2668" s="37"/>
      <c r="I2668" s="21" t="s">
        <v>29</v>
      </c>
      <c r="J2668" s="21" t="s">
        <v>29</v>
      </c>
      <c r="K2668" s="22" t="s">
        <v>9522</v>
      </c>
      <c r="L2668" s="56">
        <v>45092</v>
      </c>
      <c r="O2668" s="42"/>
      <c r="P2668" s="40"/>
      <c r="Q2668" s="61"/>
      <c r="R2668" s="61"/>
      <c r="S2668" s="40"/>
      <c r="T2668" s="38"/>
      <c r="U2668" s="38"/>
      <c r="V2668" s="38"/>
      <c r="W2668" s="60"/>
      <c r="AB2668" s="42"/>
      <c r="AC2668" s="35"/>
      <c r="AD2668" s="38"/>
      <c r="AE2668" s="38"/>
      <c r="AF2668" s="38"/>
      <c r="AG2668" s="38"/>
      <c r="AH2668" s="60"/>
    </row>
    <row r="2669" spans="1:34" ht="15.75" customHeight="1">
      <c r="A2669" s="75">
        <v>53</v>
      </c>
      <c r="B2669" s="18" t="s">
        <v>9523</v>
      </c>
      <c r="C2669" s="37" t="s">
        <v>412</v>
      </c>
      <c r="D2669" s="25" t="s">
        <v>9524</v>
      </c>
      <c r="E2669" s="20" t="s">
        <v>9525</v>
      </c>
      <c r="F2669" s="19" t="s">
        <v>414</v>
      </c>
      <c r="G2669" s="37" t="s">
        <v>415</v>
      </c>
      <c r="H2669" s="37"/>
      <c r="I2669" s="21" t="s">
        <v>233</v>
      </c>
      <c r="J2669" s="21" t="s">
        <v>233</v>
      </c>
      <c r="K2669" s="22" t="s">
        <v>9526</v>
      </c>
      <c r="L2669" s="56">
        <v>45092</v>
      </c>
      <c r="O2669" s="42"/>
      <c r="P2669" s="40"/>
      <c r="Q2669" s="61"/>
      <c r="R2669" s="61"/>
      <c r="S2669" s="40"/>
      <c r="T2669" s="38"/>
      <c r="U2669" s="38"/>
      <c r="V2669" s="38"/>
      <c r="W2669" s="60"/>
      <c r="AB2669" s="42"/>
      <c r="AC2669" s="35"/>
      <c r="AD2669" s="38"/>
      <c r="AE2669" s="38"/>
      <c r="AF2669" s="38"/>
      <c r="AG2669" s="38"/>
      <c r="AH2669" s="60"/>
    </row>
    <row r="2670" spans="1:34" ht="15.75" customHeight="1">
      <c r="A2670" s="111" t="s">
        <v>64</v>
      </c>
      <c r="B2670" s="18" t="s">
        <v>9527</v>
      </c>
      <c r="C2670" s="37" t="s">
        <v>1430</v>
      </c>
      <c r="D2670" s="25" t="s">
        <v>9528</v>
      </c>
      <c r="E2670" s="20"/>
      <c r="F2670" s="55" t="s">
        <v>1445</v>
      </c>
      <c r="G2670" s="55" t="s">
        <v>1432</v>
      </c>
      <c r="H2670" s="37"/>
      <c r="I2670" s="21" t="s">
        <v>233</v>
      </c>
      <c r="J2670" s="21" t="s">
        <v>233</v>
      </c>
      <c r="K2670" s="22"/>
      <c r="L2670" s="56">
        <v>45092</v>
      </c>
      <c r="O2670" s="42"/>
      <c r="P2670" s="40"/>
      <c r="Q2670" s="61"/>
      <c r="R2670" s="61"/>
      <c r="S2670" s="40"/>
      <c r="T2670" s="38"/>
      <c r="U2670" s="38"/>
      <c r="V2670" s="38"/>
      <c r="W2670" s="60"/>
      <c r="AB2670" s="42"/>
      <c r="AC2670" s="35"/>
      <c r="AD2670" s="38"/>
      <c r="AE2670" s="38"/>
      <c r="AF2670" s="38"/>
      <c r="AG2670" s="38"/>
      <c r="AH2670" s="60"/>
    </row>
    <row r="2671" spans="1:34" ht="15.75" customHeight="1">
      <c r="A2671" s="75">
        <v>3</v>
      </c>
      <c r="B2671" s="18" t="s">
        <v>9529</v>
      </c>
      <c r="C2671" s="37" t="s">
        <v>24</v>
      </c>
      <c r="D2671" s="25" t="s">
        <v>9501</v>
      </c>
      <c r="E2671" s="20" t="s">
        <v>9530</v>
      </c>
      <c r="F2671" s="19" t="s">
        <v>27</v>
      </c>
      <c r="G2671" s="19" t="s">
        <v>28</v>
      </c>
      <c r="H2671" s="37"/>
      <c r="I2671" s="21" t="s">
        <v>29</v>
      </c>
      <c r="J2671" s="21" t="s">
        <v>29</v>
      </c>
      <c r="K2671" s="22" t="s">
        <v>9531</v>
      </c>
      <c r="L2671" s="56">
        <v>45092</v>
      </c>
      <c r="O2671" s="42"/>
      <c r="P2671" s="40"/>
      <c r="Q2671" s="61"/>
      <c r="R2671" s="61"/>
      <c r="S2671" s="40"/>
      <c r="T2671" s="38"/>
      <c r="U2671" s="38"/>
      <c r="V2671" s="38"/>
      <c r="W2671" s="60"/>
      <c r="AB2671" s="42"/>
      <c r="AC2671" s="35"/>
      <c r="AD2671" s="38"/>
      <c r="AE2671" s="38"/>
      <c r="AF2671" s="38"/>
      <c r="AG2671" s="38"/>
      <c r="AH2671" s="60"/>
    </row>
    <row r="2672" spans="1:34" ht="15.75" customHeight="1">
      <c r="A2672" s="111" t="s">
        <v>73</v>
      </c>
      <c r="B2672" s="18" t="s">
        <v>9532</v>
      </c>
      <c r="C2672" s="37" t="s">
        <v>87</v>
      </c>
      <c r="D2672" s="25" t="s">
        <v>9533</v>
      </c>
      <c r="E2672" s="20" t="s">
        <v>9534</v>
      </c>
      <c r="F2672" s="19" t="s">
        <v>90</v>
      </c>
      <c r="G2672" s="19" t="s">
        <v>91</v>
      </c>
      <c r="H2672" s="37"/>
      <c r="I2672" s="21" t="s">
        <v>29</v>
      </c>
      <c r="J2672" s="21" t="s">
        <v>29</v>
      </c>
      <c r="K2672" s="22" t="s">
        <v>9535</v>
      </c>
      <c r="L2672" s="56">
        <v>45092</v>
      </c>
      <c r="O2672" s="42"/>
      <c r="P2672" s="40"/>
      <c r="Q2672" s="61"/>
      <c r="R2672" s="61"/>
      <c r="S2672" s="40"/>
      <c r="T2672" s="38"/>
      <c r="U2672" s="38"/>
      <c r="V2672" s="38"/>
      <c r="W2672" s="60"/>
      <c r="AB2672" s="42"/>
      <c r="AC2672" s="35"/>
      <c r="AD2672" s="38"/>
      <c r="AE2672" s="38"/>
      <c r="AF2672" s="38"/>
      <c r="AG2672" s="38"/>
      <c r="AH2672" s="60"/>
    </row>
    <row r="2673" spans="1:34" ht="15.75" customHeight="1">
      <c r="A2673" s="75">
        <v>3.5</v>
      </c>
      <c r="B2673" s="18" t="s">
        <v>9536</v>
      </c>
      <c r="C2673" s="37" t="s">
        <v>24</v>
      </c>
      <c r="D2673" s="25" t="s">
        <v>9537</v>
      </c>
      <c r="E2673" s="20" t="s">
        <v>9538</v>
      </c>
      <c r="F2673" s="19" t="s">
        <v>27</v>
      </c>
      <c r="G2673" s="19" t="s">
        <v>28</v>
      </c>
      <c r="H2673" s="37"/>
      <c r="I2673" s="21" t="s">
        <v>29</v>
      </c>
      <c r="J2673" s="21" t="s">
        <v>29</v>
      </c>
      <c r="K2673" s="22" t="s">
        <v>9539</v>
      </c>
      <c r="L2673" s="56">
        <v>45092</v>
      </c>
      <c r="O2673" s="42"/>
      <c r="P2673" s="40"/>
      <c r="Q2673" s="61"/>
      <c r="R2673" s="61"/>
      <c r="S2673" s="40"/>
      <c r="T2673" s="38"/>
      <c r="U2673" s="38"/>
      <c r="V2673" s="38"/>
      <c r="W2673" s="60"/>
      <c r="AB2673" s="42"/>
      <c r="AC2673" s="35"/>
      <c r="AD2673" s="38"/>
      <c r="AE2673" s="38"/>
      <c r="AF2673" s="38"/>
      <c r="AG2673" s="38"/>
      <c r="AH2673" s="60"/>
    </row>
    <row r="2674" spans="1:34" ht="15.75" customHeight="1">
      <c r="A2674" s="111" t="s">
        <v>82</v>
      </c>
      <c r="B2674" s="18" t="s">
        <v>9540</v>
      </c>
      <c r="C2674" s="37" t="s">
        <v>46</v>
      </c>
      <c r="D2674" s="25" t="s">
        <v>9541</v>
      </c>
      <c r="E2674" s="20" t="s">
        <v>9542</v>
      </c>
      <c r="F2674" s="37" t="s">
        <v>49</v>
      </c>
      <c r="G2674" s="19" t="s">
        <v>50</v>
      </c>
      <c r="H2674" s="37"/>
      <c r="I2674" s="21" t="s">
        <v>29</v>
      </c>
      <c r="J2674" s="21" t="s">
        <v>29</v>
      </c>
      <c r="K2674" s="22" t="s">
        <v>9543</v>
      </c>
      <c r="L2674" s="56">
        <v>45092</v>
      </c>
      <c r="O2674" s="42"/>
      <c r="P2674" s="40"/>
      <c r="Q2674" s="61"/>
      <c r="R2674" s="61"/>
      <c r="S2674" s="40"/>
      <c r="T2674" s="38"/>
      <c r="U2674" s="38"/>
      <c r="V2674" s="38"/>
      <c r="W2674" s="60"/>
      <c r="AB2674" s="42"/>
      <c r="AC2674" s="35"/>
      <c r="AD2674" s="38"/>
      <c r="AE2674" s="38"/>
      <c r="AF2674" s="38"/>
      <c r="AG2674" s="38"/>
      <c r="AH2674" s="60"/>
    </row>
    <row r="2675" spans="1:34" ht="15.75" customHeight="1">
      <c r="A2675" s="75" t="s">
        <v>9544</v>
      </c>
      <c r="B2675" s="18" t="s">
        <v>9545</v>
      </c>
      <c r="C2675" s="37" t="s">
        <v>46</v>
      </c>
      <c r="D2675" s="25" t="s">
        <v>9546</v>
      </c>
      <c r="E2675" s="20" t="s">
        <v>9547</v>
      </c>
      <c r="F2675" s="37" t="s">
        <v>49</v>
      </c>
      <c r="G2675" s="19" t="s">
        <v>50</v>
      </c>
      <c r="H2675" s="37"/>
      <c r="I2675" s="21" t="s">
        <v>29</v>
      </c>
      <c r="J2675" s="21" t="s">
        <v>29</v>
      </c>
      <c r="K2675" s="22" t="s">
        <v>9548</v>
      </c>
      <c r="L2675" s="56">
        <v>45092</v>
      </c>
      <c r="O2675" s="42"/>
      <c r="P2675" s="40"/>
      <c r="Q2675" s="61"/>
      <c r="R2675" s="61"/>
      <c r="S2675" s="40"/>
      <c r="T2675" s="38"/>
      <c r="U2675" s="38"/>
      <c r="V2675" s="38"/>
      <c r="W2675" s="60"/>
      <c r="AB2675" s="42"/>
      <c r="AC2675" s="35"/>
      <c r="AD2675" s="38"/>
      <c r="AE2675" s="38"/>
      <c r="AF2675" s="38"/>
      <c r="AG2675" s="38"/>
      <c r="AH2675" s="60"/>
    </row>
    <row r="2676" spans="1:34" ht="15.75" customHeight="1">
      <c r="A2676" s="111"/>
      <c r="B2676" s="29" t="s">
        <v>9549</v>
      </c>
      <c r="C2676" s="37" t="s">
        <v>46</v>
      </c>
      <c r="D2676" s="25" t="s">
        <v>9550</v>
      </c>
      <c r="E2676" s="20" t="s">
        <v>9551</v>
      </c>
      <c r="F2676" s="37" t="s">
        <v>286</v>
      </c>
      <c r="G2676" s="19" t="s">
        <v>50</v>
      </c>
      <c r="H2676" s="37"/>
      <c r="I2676" s="21" t="s">
        <v>286</v>
      </c>
      <c r="J2676" s="21" t="s">
        <v>29</v>
      </c>
      <c r="K2676" s="22" t="s">
        <v>9551</v>
      </c>
      <c r="L2676" s="56"/>
      <c r="O2676" s="42"/>
      <c r="P2676" s="40"/>
      <c r="Q2676" s="61"/>
      <c r="R2676" s="61"/>
      <c r="S2676" s="40"/>
      <c r="T2676" s="38"/>
      <c r="U2676" s="38"/>
      <c r="V2676" s="38"/>
      <c r="W2676" s="60"/>
      <c r="AB2676" s="42"/>
      <c r="AC2676" s="35"/>
      <c r="AD2676" s="38"/>
      <c r="AE2676" s="38"/>
      <c r="AF2676" s="38"/>
      <c r="AG2676" s="38"/>
      <c r="AH2676" s="60"/>
    </row>
    <row r="2677" spans="1:34" ht="15.75" customHeight="1">
      <c r="A2677" s="111" t="s">
        <v>92</v>
      </c>
      <c r="B2677" s="18" t="s">
        <v>9552</v>
      </c>
      <c r="C2677" s="37" t="s">
        <v>87</v>
      </c>
      <c r="D2677" s="25" t="s">
        <v>9553</v>
      </c>
      <c r="E2677" s="20" t="s">
        <v>9554</v>
      </c>
      <c r="F2677" s="19" t="s">
        <v>90</v>
      </c>
      <c r="G2677" s="19" t="s">
        <v>91</v>
      </c>
      <c r="H2677" s="37"/>
      <c r="I2677" s="21" t="s">
        <v>29</v>
      </c>
      <c r="J2677" s="21" t="s">
        <v>29</v>
      </c>
      <c r="K2677" s="22" t="s">
        <v>9555</v>
      </c>
      <c r="L2677" s="56">
        <v>45092</v>
      </c>
      <c r="O2677" s="42"/>
      <c r="P2677" s="40"/>
      <c r="Q2677" s="61"/>
      <c r="R2677" s="61"/>
      <c r="S2677" s="40"/>
      <c r="T2677" s="38"/>
      <c r="U2677" s="38"/>
      <c r="V2677" s="38"/>
      <c r="W2677" s="60"/>
      <c r="AB2677" s="42"/>
      <c r="AC2677" s="35"/>
      <c r="AD2677" s="38"/>
      <c r="AE2677" s="38"/>
      <c r="AF2677" s="38"/>
      <c r="AG2677" s="38"/>
      <c r="AH2677" s="60"/>
    </row>
    <row r="2678" spans="1:34" ht="15.75" customHeight="1">
      <c r="A2678" s="112">
        <v>1339</v>
      </c>
      <c r="B2678" s="18" t="s">
        <v>9556</v>
      </c>
      <c r="C2678" s="37" t="s">
        <v>87</v>
      </c>
      <c r="D2678" s="25" t="s">
        <v>9557</v>
      </c>
      <c r="E2678" s="20" t="s">
        <v>9558</v>
      </c>
      <c r="F2678" s="19" t="s">
        <v>90</v>
      </c>
      <c r="G2678" s="19" t="s">
        <v>91</v>
      </c>
      <c r="H2678" s="37"/>
      <c r="I2678" s="21" t="s">
        <v>29</v>
      </c>
      <c r="J2678" s="21" t="s">
        <v>29</v>
      </c>
      <c r="K2678" s="22" t="s">
        <v>9559</v>
      </c>
      <c r="L2678" s="56">
        <v>45092</v>
      </c>
      <c r="O2678" s="42"/>
      <c r="P2678" s="40"/>
      <c r="Q2678" s="61"/>
      <c r="R2678" s="61"/>
      <c r="S2678" s="40"/>
      <c r="T2678" s="38"/>
      <c r="U2678" s="38"/>
      <c r="V2678" s="38"/>
      <c r="W2678" s="60"/>
      <c r="AB2678" s="42"/>
      <c r="AC2678" s="35"/>
      <c r="AD2678" s="38"/>
      <c r="AE2678" s="38"/>
      <c r="AF2678" s="38"/>
      <c r="AG2678" s="38"/>
      <c r="AH2678" s="60"/>
    </row>
    <row r="2679" spans="1:34" ht="15.75" customHeight="1">
      <c r="A2679" s="111" t="s">
        <v>100</v>
      </c>
      <c r="B2679" s="18" t="s">
        <v>9560</v>
      </c>
      <c r="C2679" s="37" t="s">
        <v>46</v>
      </c>
      <c r="D2679" s="25" t="s">
        <v>9561</v>
      </c>
      <c r="E2679" s="20" t="s">
        <v>9562</v>
      </c>
      <c r="F2679" s="37" t="s">
        <v>49</v>
      </c>
      <c r="G2679" s="19" t="s">
        <v>50</v>
      </c>
      <c r="H2679" s="37"/>
      <c r="I2679" s="21" t="s">
        <v>29</v>
      </c>
      <c r="J2679" s="21" t="s">
        <v>29</v>
      </c>
      <c r="K2679" s="22" t="s">
        <v>9563</v>
      </c>
      <c r="L2679" s="56">
        <v>45092</v>
      </c>
      <c r="O2679" s="42"/>
      <c r="P2679" s="40"/>
      <c r="Q2679" s="61"/>
      <c r="R2679" s="61"/>
      <c r="S2679" s="40"/>
      <c r="T2679" s="38"/>
      <c r="U2679" s="38"/>
      <c r="V2679" s="38"/>
      <c r="W2679" s="60"/>
      <c r="AB2679" s="42"/>
      <c r="AC2679" s="35"/>
      <c r="AD2679" s="38"/>
      <c r="AE2679" s="38"/>
      <c r="AF2679" s="38"/>
      <c r="AG2679" s="38"/>
      <c r="AH2679" s="60"/>
    </row>
    <row r="2680" spans="1:34" ht="15.75" customHeight="1">
      <c r="A2680" s="75">
        <v>160</v>
      </c>
      <c r="B2680" s="18" t="s">
        <v>9564</v>
      </c>
      <c r="C2680" s="37" t="s">
        <v>87</v>
      </c>
      <c r="D2680" s="25" t="s">
        <v>9565</v>
      </c>
      <c r="E2680" s="20" t="s">
        <v>9566</v>
      </c>
      <c r="F2680" s="19" t="s">
        <v>90</v>
      </c>
      <c r="G2680" s="19" t="s">
        <v>91</v>
      </c>
      <c r="H2680" s="37"/>
      <c r="I2680" s="21" t="s">
        <v>29</v>
      </c>
      <c r="J2680" s="21" t="s">
        <v>29</v>
      </c>
      <c r="K2680" s="22" t="s">
        <v>9567</v>
      </c>
      <c r="L2680" s="56">
        <v>45092</v>
      </c>
      <c r="O2680" s="42"/>
      <c r="P2680" s="40"/>
      <c r="Q2680" s="61"/>
      <c r="R2680" s="61"/>
      <c r="S2680" s="40"/>
      <c r="T2680" s="38"/>
      <c r="U2680" s="38"/>
      <c r="V2680" s="38"/>
      <c r="W2680" s="60"/>
      <c r="AB2680" s="42"/>
      <c r="AC2680" s="35"/>
      <c r="AD2680" s="38"/>
      <c r="AE2680" s="38"/>
      <c r="AF2680" s="38"/>
      <c r="AG2680" s="38"/>
      <c r="AH2680" s="60"/>
    </row>
    <row r="2681" spans="1:34" ht="15.75" customHeight="1">
      <c r="A2681" s="35"/>
      <c r="B2681" s="34" t="s">
        <v>9568</v>
      </c>
      <c r="C2681" s="37" t="s">
        <v>24</v>
      </c>
      <c r="D2681" s="25" t="s">
        <v>9569</v>
      </c>
      <c r="E2681" s="20" t="s">
        <v>9570</v>
      </c>
      <c r="F2681" s="19" t="s">
        <v>90</v>
      </c>
      <c r="G2681" s="19" t="s">
        <v>91</v>
      </c>
      <c r="H2681" s="37"/>
      <c r="I2681" s="21" t="s">
        <v>29</v>
      </c>
      <c r="J2681" s="21" t="s">
        <v>29</v>
      </c>
      <c r="K2681" s="22" t="s">
        <v>9571</v>
      </c>
      <c r="L2681" s="56">
        <v>45092</v>
      </c>
      <c r="O2681" s="42"/>
      <c r="P2681" s="40"/>
      <c r="Q2681" s="61"/>
      <c r="R2681" s="61"/>
      <c r="S2681" s="40"/>
      <c r="T2681" s="38"/>
      <c r="U2681" s="38"/>
      <c r="V2681" s="38"/>
      <c r="W2681" s="60"/>
      <c r="AB2681" s="42"/>
      <c r="AC2681" s="35"/>
      <c r="AD2681" s="38"/>
      <c r="AE2681" s="38"/>
      <c r="AF2681" s="38"/>
      <c r="AG2681" s="38"/>
      <c r="AH2681" s="60"/>
    </row>
    <row r="2682" spans="1:34" ht="15.75" customHeight="1">
      <c r="A2682" s="35"/>
      <c r="B2682" s="18" t="s">
        <v>9572</v>
      </c>
      <c r="C2682" s="37" t="s">
        <v>412</v>
      </c>
      <c r="D2682" s="25" t="s">
        <v>9573</v>
      </c>
      <c r="E2682" s="20"/>
      <c r="F2682" s="19" t="s">
        <v>414</v>
      </c>
      <c r="G2682" s="19" t="s">
        <v>415</v>
      </c>
      <c r="H2682" s="37"/>
      <c r="I2682" s="21" t="s">
        <v>233</v>
      </c>
      <c r="J2682" s="21" t="s">
        <v>233</v>
      </c>
      <c r="K2682" s="22"/>
      <c r="L2682" s="56">
        <v>45092</v>
      </c>
      <c r="O2682" s="42"/>
      <c r="P2682" s="40"/>
      <c r="Q2682" s="61"/>
      <c r="R2682" s="61"/>
      <c r="S2682" s="40"/>
      <c r="T2682" s="38"/>
      <c r="U2682" s="38"/>
      <c r="V2682" s="38"/>
      <c r="W2682" s="60"/>
      <c r="AB2682" s="42"/>
      <c r="AC2682" s="35"/>
      <c r="AD2682" s="38"/>
      <c r="AE2682" s="38"/>
      <c r="AF2682" s="38"/>
      <c r="AG2682" s="38"/>
      <c r="AH2682" s="60"/>
    </row>
    <row r="2683" spans="1:34" ht="15.75" customHeight="1">
      <c r="A2683" s="120"/>
      <c r="B2683" s="29" t="s">
        <v>9574</v>
      </c>
      <c r="C2683" s="37" t="s">
        <v>87</v>
      </c>
      <c r="D2683" s="25" t="s">
        <v>9575</v>
      </c>
      <c r="E2683" s="20" t="s">
        <v>9576</v>
      </c>
      <c r="F2683" s="19" t="s">
        <v>90</v>
      </c>
      <c r="G2683" s="19" t="s">
        <v>91</v>
      </c>
      <c r="H2683" s="37"/>
      <c r="I2683" s="21" t="s">
        <v>29</v>
      </c>
      <c r="J2683" s="21" t="s">
        <v>29</v>
      </c>
      <c r="K2683" s="22" t="s">
        <v>9577</v>
      </c>
      <c r="L2683" s="56">
        <v>45092</v>
      </c>
      <c r="O2683" s="42"/>
      <c r="P2683" s="40"/>
      <c r="Q2683" s="61"/>
      <c r="R2683" s="61"/>
      <c r="S2683" s="40"/>
      <c r="T2683" s="38"/>
      <c r="U2683" s="38"/>
      <c r="V2683" s="38"/>
      <c r="W2683" s="60"/>
      <c r="AB2683" s="42"/>
      <c r="AC2683" s="35"/>
      <c r="AD2683" s="38"/>
      <c r="AE2683" s="38"/>
      <c r="AF2683" s="38"/>
      <c r="AG2683" s="38"/>
      <c r="AH2683" s="60"/>
    </row>
    <row r="2684" spans="1:34" ht="15.75" customHeight="1">
      <c r="A2684" s="120"/>
      <c r="B2684" s="29" t="s">
        <v>9578</v>
      </c>
      <c r="C2684" s="37" t="s">
        <v>46</v>
      </c>
      <c r="D2684" s="25" t="s">
        <v>9579</v>
      </c>
      <c r="E2684" s="20" t="s">
        <v>9580</v>
      </c>
      <c r="F2684" s="37" t="s">
        <v>286</v>
      </c>
      <c r="G2684" s="19" t="s">
        <v>50</v>
      </c>
      <c r="H2684" s="37"/>
      <c r="I2684" s="21" t="s">
        <v>286</v>
      </c>
      <c r="J2684" s="21" t="s">
        <v>29</v>
      </c>
      <c r="K2684" s="22" t="s">
        <v>9581</v>
      </c>
      <c r="L2684" s="56"/>
      <c r="O2684" s="42"/>
      <c r="P2684" s="40"/>
      <c r="Q2684" s="61"/>
      <c r="R2684" s="61"/>
      <c r="S2684" s="40"/>
      <c r="T2684" s="38"/>
      <c r="U2684" s="38"/>
      <c r="V2684" s="38"/>
      <c r="W2684" s="60"/>
      <c r="AB2684" s="42"/>
      <c r="AC2684" s="35"/>
      <c r="AD2684" s="38"/>
      <c r="AE2684" s="38"/>
      <c r="AF2684" s="38"/>
      <c r="AG2684" s="38"/>
      <c r="AH2684" s="60"/>
    </row>
    <row r="2685" spans="1:34" ht="15.75" customHeight="1">
      <c r="A2685" s="120"/>
      <c r="B2685" s="18" t="s">
        <v>9582</v>
      </c>
      <c r="C2685" s="37" t="s">
        <v>24</v>
      </c>
      <c r="D2685" s="25" t="s">
        <v>9583</v>
      </c>
      <c r="E2685" s="20" t="s">
        <v>9584</v>
      </c>
      <c r="F2685" s="19" t="s">
        <v>27</v>
      </c>
      <c r="G2685" s="19" t="s">
        <v>28</v>
      </c>
      <c r="H2685" s="37"/>
      <c r="I2685" s="21" t="s">
        <v>29</v>
      </c>
      <c r="J2685" s="21" t="s">
        <v>29</v>
      </c>
      <c r="K2685" s="22" t="s">
        <v>9585</v>
      </c>
      <c r="L2685" s="56">
        <v>45092</v>
      </c>
      <c r="O2685" s="42"/>
      <c r="P2685" s="40"/>
      <c r="Q2685" s="61"/>
      <c r="R2685" s="61"/>
      <c r="S2685" s="40"/>
      <c r="T2685" s="38"/>
      <c r="U2685" s="38"/>
      <c r="V2685" s="38"/>
      <c r="W2685" s="60"/>
      <c r="AB2685" s="42"/>
      <c r="AC2685" s="35"/>
      <c r="AD2685" s="38"/>
      <c r="AE2685" s="38"/>
      <c r="AF2685" s="38"/>
      <c r="AG2685" s="38"/>
      <c r="AH2685" s="60"/>
    </row>
    <row r="2686" spans="1:34" ht="15.75" customHeight="1">
      <c r="A2686" s="120"/>
      <c r="B2686" s="18" t="s">
        <v>9586</v>
      </c>
      <c r="C2686" s="37" t="s">
        <v>412</v>
      </c>
      <c r="D2686" s="25" t="s">
        <v>9587</v>
      </c>
      <c r="E2686" s="20" t="s">
        <v>9588</v>
      </c>
      <c r="F2686" s="19" t="s">
        <v>414</v>
      </c>
      <c r="G2686" s="37" t="s">
        <v>415</v>
      </c>
      <c r="H2686" s="37"/>
      <c r="I2686" s="21" t="s">
        <v>233</v>
      </c>
      <c r="J2686" s="21" t="s">
        <v>233</v>
      </c>
      <c r="K2686" s="22" t="s">
        <v>9589</v>
      </c>
      <c r="L2686" s="56">
        <v>45092</v>
      </c>
      <c r="O2686" s="42"/>
      <c r="P2686" s="40"/>
      <c r="Q2686" s="61"/>
      <c r="R2686" s="61"/>
      <c r="S2686" s="40"/>
      <c r="T2686" s="38"/>
      <c r="U2686" s="38"/>
      <c r="V2686" s="38"/>
      <c r="W2686" s="60"/>
      <c r="AB2686" s="42"/>
      <c r="AC2686" s="35"/>
      <c r="AD2686" s="38"/>
      <c r="AE2686" s="38"/>
      <c r="AF2686" s="38"/>
      <c r="AG2686" s="38"/>
      <c r="AH2686" s="60"/>
    </row>
    <row r="2687" spans="1:34" ht="15.75" customHeight="1">
      <c r="A2687" s="120"/>
      <c r="B2687" s="18" t="s">
        <v>9590</v>
      </c>
      <c r="C2687" s="37" t="s">
        <v>412</v>
      </c>
      <c r="D2687" s="25" t="s">
        <v>9591</v>
      </c>
      <c r="E2687" s="20"/>
      <c r="F2687" s="19" t="s">
        <v>414</v>
      </c>
      <c r="G2687" s="19" t="s">
        <v>415</v>
      </c>
      <c r="H2687" s="37"/>
      <c r="I2687" s="21" t="s">
        <v>233</v>
      </c>
      <c r="J2687" s="21" t="s">
        <v>233</v>
      </c>
      <c r="K2687" s="22"/>
      <c r="L2687" s="56">
        <v>45092</v>
      </c>
      <c r="O2687" s="42"/>
      <c r="P2687" s="40"/>
      <c r="Q2687" s="61"/>
      <c r="R2687" s="61"/>
      <c r="S2687" s="40"/>
      <c r="T2687" s="38"/>
      <c r="U2687" s="38"/>
      <c r="V2687" s="38"/>
      <c r="W2687" s="60"/>
      <c r="AB2687" s="42"/>
      <c r="AC2687" s="35"/>
      <c r="AD2687" s="38"/>
      <c r="AE2687" s="38"/>
      <c r="AF2687" s="38"/>
      <c r="AG2687" s="38"/>
      <c r="AH2687" s="60"/>
    </row>
    <row r="2688" spans="1:34" ht="15.75" customHeight="1">
      <c r="A2688" s="120"/>
      <c r="B2688" s="29" t="s">
        <v>9592</v>
      </c>
      <c r="C2688" s="37" t="s">
        <v>412</v>
      </c>
      <c r="D2688" s="25" t="s">
        <v>9593</v>
      </c>
      <c r="E2688" s="20"/>
      <c r="F2688" s="37" t="s">
        <v>286</v>
      </c>
      <c r="G2688" s="37" t="s">
        <v>415</v>
      </c>
      <c r="H2688" s="37"/>
      <c r="I2688" s="21" t="s">
        <v>286</v>
      </c>
      <c r="J2688" s="21" t="s">
        <v>233</v>
      </c>
      <c r="K2688" s="22"/>
      <c r="L2688" s="56"/>
      <c r="O2688" s="42"/>
      <c r="P2688" s="40"/>
      <c r="Q2688" s="61"/>
      <c r="R2688" s="61"/>
      <c r="S2688" s="40"/>
      <c r="T2688" s="38"/>
      <c r="U2688" s="38"/>
      <c r="V2688" s="38"/>
      <c r="W2688" s="60"/>
      <c r="AB2688" s="42"/>
      <c r="AC2688" s="35"/>
      <c r="AD2688" s="38"/>
      <c r="AE2688" s="38"/>
      <c r="AF2688" s="38"/>
      <c r="AG2688" s="38"/>
      <c r="AH2688" s="60"/>
    </row>
    <row r="2689" spans="1:34" ht="15.75" customHeight="1">
      <c r="A2689" s="120"/>
      <c r="B2689" s="29" t="s">
        <v>9594</v>
      </c>
      <c r="C2689" s="37" t="s">
        <v>87</v>
      </c>
      <c r="D2689" s="25" t="s">
        <v>9595</v>
      </c>
      <c r="E2689" s="20" t="s">
        <v>9596</v>
      </c>
      <c r="F2689" s="37" t="s">
        <v>286</v>
      </c>
      <c r="G2689" s="19" t="s">
        <v>91</v>
      </c>
      <c r="H2689" s="37"/>
      <c r="I2689" s="21" t="s">
        <v>286</v>
      </c>
      <c r="J2689" s="21" t="s">
        <v>29</v>
      </c>
      <c r="K2689" s="22" t="s">
        <v>9597</v>
      </c>
      <c r="L2689" s="56"/>
      <c r="O2689" s="42"/>
      <c r="P2689" s="40"/>
      <c r="Q2689" s="61"/>
      <c r="R2689" s="61"/>
      <c r="S2689" s="40"/>
      <c r="T2689" s="38"/>
      <c r="U2689" s="38"/>
      <c r="V2689" s="38"/>
      <c r="W2689" s="60"/>
      <c r="AB2689" s="42"/>
      <c r="AC2689" s="35"/>
      <c r="AD2689" s="38"/>
      <c r="AE2689" s="38"/>
      <c r="AF2689" s="38"/>
      <c r="AG2689" s="38"/>
      <c r="AH2689" s="60"/>
    </row>
    <row r="2690" spans="1:34" ht="15.75" customHeight="1">
      <c r="A2690" s="120"/>
      <c r="B2690" s="18" t="s">
        <v>9598</v>
      </c>
      <c r="C2690" s="37" t="s">
        <v>87</v>
      </c>
      <c r="D2690" s="25" t="s">
        <v>9599</v>
      </c>
      <c r="E2690" s="20" t="s">
        <v>9600</v>
      </c>
      <c r="F2690" s="19" t="s">
        <v>90</v>
      </c>
      <c r="G2690" s="19" t="s">
        <v>91</v>
      </c>
      <c r="H2690" s="37"/>
      <c r="I2690" s="21" t="s">
        <v>29</v>
      </c>
      <c r="J2690" s="21" t="s">
        <v>29</v>
      </c>
      <c r="K2690" s="22" t="s">
        <v>9601</v>
      </c>
      <c r="L2690" s="56">
        <v>45092</v>
      </c>
      <c r="O2690" s="42"/>
      <c r="P2690" s="40"/>
      <c r="Q2690" s="61"/>
      <c r="R2690" s="61"/>
      <c r="S2690" s="40"/>
      <c r="T2690" s="38"/>
      <c r="U2690" s="38"/>
      <c r="V2690" s="38"/>
      <c r="W2690" s="60"/>
      <c r="AB2690" s="42"/>
      <c r="AC2690" s="35"/>
      <c r="AD2690" s="38"/>
      <c r="AE2690" s="38"/>
      <c r="AF2690" s="38"/>
      <c r="AG2690" s="38"/>
      <c r="AH2690" s="60"/>
    </row>
    <row r="2691" spans="1:34" ht="15.75" customHeight="1">
      <c r="A2691" s="120"/>
      <c r="B2691" s="18" t="s">
        <v>9602</v>
      </c>
      <c r="C2691" s="37" t="s">
        <v>87</v>
      </c>
      <c r="D2691" s="25" t="s">
        <v>9603</v>
      </c>
      <c r="E2691" s="20" t="s">
        <v>9604</v>
      </c>
      <c r="F2691" s="19" t="s">
        <v>90</v>
      </c>
      <c r="G2691" s="19" t="s">
        <v>91</v>
      </c>
      <c r="H2691" s="37"/>
      <c r="I2691" s="21" t="s">
        <v>29</v>
      </c>
      <c r="J2691" s="21" t="s">
        <v>29</v>
      </c>
      <c r="K2691" s="22" t="s">
        <v>9605</v>
      </c>
      <c r="L2691" s="56">
        <v>45092</v>
      </c>
      <c r="O2691" s="42"/>
      <c r="P2691" s="40"/>
      <c r="Q2691" s="61"/>
      <c r="R2691" s="61"/>
      <c r="S2691" s="40"/>
      <c r="T2691" s="38"/>
      <c r="U2691" s="38"/>
      <c r="V2691" s="38"/>
      <c r="W2691" s="60"/>
      <c r="AB2691" s="42"/>
      <c r="AC2691" s="35"/>
      <c r="AD2691" s="38"/>
      <c r="AE2691" s="38"/>
      <c r="AF2691" s="38"/>
      <c r="AG2691" s="38"/>
      <c r="AH2691" s="60"/>
    </row>
    <row r="2692" spans="1:34" ht="15.75" customHeight="1">
      <c r="A2692" s="120"/>
      <c r="B2692" s="18" t="s">
        <v>9606</v>
      </c>
      <c r="C2692" s="37" t="s">
        <v>24</v>
      </c>
      <c r="D2692" s="25" t="s">
        <v>9607</v>
      </c>
      <c r="E2692" s="20" t="s">
        <v>9608</v>
      </c>
      <c r="F2692" s="19" t="s">
        <v>27</v>
      </c>
      <c r="G2692" s="19" t="s">
        <v>28</v>
      </c>
      <c r="H2692" s="37"/>
      <c r="I2692" s="21" t="s">
        <v>29</v>
      </c>
      <c r="J2692" s="21" t="s">
        <v>29</v>
      </c>
      <c r="K2692" s="22" t="s">
        <v>9609</v>
      </c>
      <c r="L2692" s="56">
        <v>45092</v>
      </c>
      <c r="O2692" s="42"/>
      <c r="P2692" s="40"/>
      <c r="Q2692" s="61"/>
      <c r="R2692" s="61"/>
      <c r="S2692" s="40"/>
      <c r="T2692" s="38"/>
      <c r="U2692" s="38"/>
      <c r="V2692" s="38"/>
      <c r="W2692" s="60"/>
      <c r="AB2692" s="42"/>
      <c r="AC2692" s="35"/>
      <c r="AD2692" s="38"/>
      <c r="AE2692" s="38"/>
      <c r="AF2692" s="38"/>
      <c r="AG2692" s="38"/>
      <c r="AH2692" s="60"/>
    </row>
    <row r="2693" spans="1:34" ht="15.75" customHeight="1">
      <c r="A2693" s="120"/>
      <c r="B2693" s="18" t="s">
        <v>9610</v>
      </c>
      <c r="C2693" s="37" t="s">
        <v>87</v>
      </c>
      <c r="D2693" s="25" t="s">
        <v>9611</v>
      </c>
      <c r="E2693" s="20" t="s">
        <v>9612</v>
      </c>
      <c r="F2693" s="19" t="s">
        <v>90</v>
      </c>
      <c r="G2693" s="19" t="s">
        <v>91</v>
      </c>
      <c r="H2693" s="37"/>
      <c r="I2693" s="21" t="s">
        <v>29</v>
      </c>
      <c r="J2693" s="21" t="s">
        <v>29</v>
      </c>
      <c r="K2693" s="22" t="s">
        <v>9613</v>
      </c>
      <c r="L2693" s="56">
        <v>45092</v>
      </c>
      <c r="O2693" s="42"/>
      <c r="P2693" s="40"/>
      <c r="Q2693" s="61"/>
      <c r="R2693" s="61"/>
      <c r="S2693" s="40"/>
      <c r="T2693" s="38"/>
      <c r="U2693" s="38"/>
      <c r="V2693" s="38"/>
      <c r="W2693" s="60"/>
      <c r="AB2693" s="42"/>
      <c r="AC2693" s="35"/>
      <c r="AD2693" s="38"/>
      <c r="AE2693" s="38"/>
      <c r="AF2693" s="38"/>
      <c r="AG2693" s="38"/>
      <c r="AH2693" s="60"/>
    </row>
    <row r="2694" spans="1:34" ht="15.75" customHeight="1">
      <c r="A2694" s="120"/>
      <c r="B2694" s="18" t="s">
        <v>9614</v>
      </c>
      <c r="C2694" s="37" t="s">
        <v>24</v>
      </c>
      <c r="D2694" s="25" t="s">
        <v>9615</v>
      </c>
      <c r="E2694" s="20" t="s">
        <v>9616</v>
      </c>
      <c r="F2694" s="19" t="s">
        <v>27</v>
      </c>
      <c r="G2694" s="19" t="s">
        <v>28</v>
      </c>
      <c r="H2694" s="37"/>
      <c r="I2694" s="21" t="s">
        <v>29</v>
      </c>
      <c r="J2694" s="21" t="s">
        <v>29</v>
      </c>
      <c r="K2694" s="22" t="s">
        <v>9617</v>
      </c>
      <c r="L2694" s="56">
        <v>45092</v>
      </c>
      <c r="O2694" s="42"/>
      <c r="P2694" s="40"/>
      <c r="Q2694" s="61"/>
      <c r="R2694" s="61"/>
      <c r="S2694" s="40"/>
      <c r="T2694" s="38"/>
      <c r="U2694" s="38"/>
      <c r="V2694" s="38"/>
      <c r="W2694" s="60"/>
      <c r="AB2694" s="42"/>
      <c r="AC2694" s="35"/>
      <c r="AD2694" s="38"/>
      <c r="AE2694" s="38"/>
      <c r="AF2694" s="38"/>
      <c r="AG2694" s="38"/>
      <c r="AH2694" s="60"/>
    </row>
    <row r="2695" spans="1:34" ht="15.75" customHeight="1">
      <c r="A2695" s="120"/>
      <c r="B2695" s="18" t="s">
        <v>9618</v>
      </c>
      <c r="C2695" s="37" t="s">
        <v>24</v>
      </c>
      <c r="D2695" s="25" t="s">
        <v>9619</v>
      </c>
      <c r="E2695" s="20" t="s">
        <v>9620</v>
      </c>
      <c r="F2695" s="19" t="s">
        <v>27</v>
      </c>
      <c r="G2695" s="19" t="s">
        <v>28</v>
      </c>
      <c r="H2695" s="37"/>
      <c r="I2695" s="21" t="s">
        <v>29</v>
      </c>
      <c r="J2695" s="21" t="s">
        <v>29</v>
      </c>
      <c r="K2695" s="22" t="s">
        <v>9621</v>
      </c>
      <c r="L2695" s="56">
        <v>45092</v>
      </c>
      <c r="O2695" s="42"/>
      <c r="P2695" s="40"/>
      <c r="Q2695" s="61"/>
      <c r="R2695" s="61"/>
      <c r="S2695" s="40"/>
      <c r="T2695" s="38"/>
      <c r="U2695" s="38"/>
      <c r="V2695" s="38"/>
      <c r="W2695" s="60"/>
      <c r="AB2695" s="42"/>
      <c r="AC2695" s="35"/>
      <c r="AD2695" s="38"/>
      <c r="AE2695" s="38"/>
      <c r="AF2695" s="38"/>
      <c r="AG2695" s="38"/>
      <c r="AH2695" s="60"/>
    </row>
    <row r="2696" spans="1:34" ht="15.75" customHeight="1">
      <c r="A2696" s="120"/>
      <c r="B2696" s="18" t="s">
        <v>9622</v>
      </c>
      <c r="C2696" s="37" t="s">
        <v>24</v>
      </c>
      <c r="D2696" s="25" t="s">
        <v>9623</v>
      </c>
      <c r="E2696" s="20" t="s">
        <v>9624</v>
      </c>
      <c r="F2696" s="19" t="s">
        <v>27</v>
      </c>
      <c r="G2696" s="19" t="s">
        <v>28</v>
      </c>
      <c r="H2696" s="37"/>
      <c r="I2696" s="21" t="s">
        <v>29</v>
      </c>
      <c r="J2696" s="21" t="s">
        <v>29</v>
      </c>
      <c r="K2696" s="22" t="s">
        <v>9625</v>
      </c>
      <c r="L2696" s="56">
        <v>45092</v>
      </c>
      <c r="O2696" s="42"/>
      <c r="P2696" s="40"/>
      <c r="Q2696" s="61"/>
      <c r="R2696" s="61"/>
      <c r="S2696" s="40"/>
      <c r="T2696" s="38"/>
      <c r="U2696" s="38"/>
      <c r="V2696" s="38"/>
      <c r="W2696" s="60"/>
      <c r="AB2696" s="42"/>
      <c r="AC2696" s="35"/>
      <c r="AD2696" s="38"/>
      <c r="AE2696" s="38"/>
      <c r="AF2696" s="38"/>
      <c r="AG2696" s="38"/>
      <c r="AH2696" s="60"/>
    </row>
    <row r="2697" spans="1:34" ht="15.75" customHeight="1">
      <c r="A2697" s="120"/>
      <c r="B2697" s="18" t="s">
        <v>9626</v>
      </c>
      <c r="C2697" s="37" t="s">
        <v>24</v>
      </c>
      <c r="D2697" s="25" t="s">
        <v>9627</v>
      </c>
      <c r="E2697" s="20" t="s">
        <v>9628</v>
      </c>
      <c r="F2697" s="19" t="s">
        <v>27</v>
      </c>
      <c r="G2697" s="19" t="s">
        <v>28</v>
      </c>
      <c r="H2697" s="37"/>
      <c r="I2697" s="21" t="s">
        <v>29</v>
      </c>
      <c r="J2697" s="21" t="s">
        <v>29</v>
      </c>
      <c r="K2697" s="22" t="s">
        <v>9629</v>
      </c>
      <c r="L2697" s="56">
        <v>45092</v>
      </c>
      <c r="O2697" s="42"/>
      <c r="P2697" s="40"/>
      <c r="Q2697" s="61"/>
      <c r="R2697" s="61"/>
      <c r="S2697" s="40"/>
      <c r="T2697" s="38"/>
      <c r="U2697" s="38"/>
      <c r="V2697" s="38"/>
      <c r="W2697" s="60"/>
      <c r="AB2697" s="42"/>
      <c r="AC2697" s="35"/>
      <c r="AD2697" s="38"/>
      <c r="AE2697" s="38"/>
      <c r="AF2697" s="38"/>
      <c r="AG2697" s="38"/>
      <c r="AH2697" s="60"/>
    </row>
    <row r="2698" spans="1:34" ht="15.75" customHeight="1">
      <c r="A2698" s="120"/>
      <c r="B2698" s="18" t="s">
        <v>9630</v>
      </c>
      <c r="C2698" s="37" t="s">
        <v>24</v>
      </c>
      <c r="D2698" s="25" t="s">
        <v>9631</v>
      </c>
      <c r="E2698" s="20" t="s">
        <v>9632</v>
      </c>
      <c r="F2698" s="19" t="s">
        <v>27</v>
      </c>
      <c r="G2698" s="19" t="s">
        <v>28</v>
      </c>
      <c r="H2698" s="37"/>
      <c r="I2698" s="21" t="s">
        <v>29</v>
      </c>
      <c r="J2698" s="21" t="s">
        <v>29</v>
      </c>
      <c r="K2698" s="22" t="s">
        <v>9633</v>
      </c>
      <c r="L2698" s="56">
        <v>45092</v>
      </c>
      <c r="O2698" s="42"/>
      <c r="P2698" s="40"/>
      <c r="Q2698" s="61"/>
      <c r="R2698" s="61"/>
      <c r="S2698" s="40"/>
      <c r="T2698" s="38"/>
      <c r="U2698" s="38"/>
      <c r="V2698" s="38"/>
      <c r="W2698" s="60"/>
      <c r="AB2698" s="42"/>
      <c r="AC2698" s="35"/>
      <c r="AD2698" s="38"/>
      <c r="AE2698" s="38"/>
      <c r="AF2698" s="38"/>
      <c r="AG2698" s="38"/>
      <c r="AH2698" s="60"/>
    </row>
    <row r="2699" spans="1:34" ht="15.75" customHeight="1">
      <c r="A2699" s="120"/>
      <c r="B2699" s="121" t="s">
        <v>9634</v>
      </c>
      <c r="C2699" s="20" t="s">
        <v>24</v>
      </c>
      <c r="D2699" s="20" t="s">
        <v>9635</v>
      </c>
      <c r="E2699" s="20" t="s">
        <v>9636</v>
      </c>
      <c r="F2699" s="20" t="s">
        <v>286</v>
      </c>
      <c r="G2699" s="19" t="s">
        <v>28</v>
      </c>
      <c r="H2699" s="20"/>
      <c r="I2699" s="20" t="s">
        <v>286</v>
      </c>
      <c r="J2699" s="20" t="s">
        <v>29</v>
      </c>
      <c r="K2699" s="22" t="s">
        <v>9637</v>
      </c>
      <c r="L2699" s="20"/>
      <c r="M2699" s="20"/>
      <c r="N2699" s="20"/>
      <c r="O2699" s="20"/>
      <c r="P2699" s="20"/>
      <c r="Q2699" s="20"/>
      <c r="R2699" s="20"/>
      <c r="S2699" s="20"/>
      <c r="T2699" s="38"/>
      <c r="U2699" s="38"/>
      <c r="V2699" s="38"/>
      <c r="W2699" s="60"/>
      <c r="AB2699" s="42"/>
      <c r="AC2699" s="35"/>
      <c r="AD2699" s="38"/>
      <c r="AE2699" s="38"/>
      <c r="AF2699" s="38"/>
      <c r="AG2699" s="38"/>
      <c r="AH2699" s="60"/>
    </row>
    <row r="2700" spans="1:34" ht="15.75" customHeight="1">
      <c r="A2700" s="120"/>
      <c r="B2700" s="121" t="s">
        <v>9638</v>
      </c>
      <c r="C2700" s="20" t="s">
        <v>412</v>
      </c>
      <c r="D2700" s="20" t="s">
        <v>9639</v>
      </c>
      <c r="E2700" s="20" t="s">
        <v>9640</v>
      </c>
      <c r="F2700" s="20" t="s">
        <v>286</v>
      </c>
      <c r="G2700" s="19" t="s">
        <v>415</v>
      </c>
      <c r="H2700" s="20"/>
      <c r="I2700" s="20" t="s">
        <v>286</v>
      </c>
      <c r="J2700" s="20" t="s">
        <v>233</v>
      </c>
      <c r="K2700" s="22" t="s">
        <v>9641</v>
      </c>
      <c r="L2700" s="20"/>
      <c r="M2700" s="20"/>
      <c r="N2700" s="20"/>
      <c r="O2700" s="20"/>
      <c r="P2700" s="20"/>
      <c r="Q2700" s="20"/>
      <c r="R2700" s="20"/>
      <c r="S2700" s="20"/>
      <c r="T2700" s="38"/>
      <c r="U2700" s="38"/>
      <c r="V2700" s="38"/>
      <c r="W2700" s="60"/>
      <c r="AB2700" s="42"/>
      <c r="AC2700" s="35"/>
      <c r="AD2700" s="38"/>
      <c r="AE2700" s="38"/>
      <c r="AF2700" s="38"/>
      <c r="AG2700" s="38"/>
      <c r="AH2700" s="60"/>
    </row>
    <row r="2701" spans="1:34" ht="15.75" customHeight="1">
      <c r="A2701" s="120"/>
      <c r="B2701" s="121" t="s">
        <v>9642</v>
      </c>
      <c r="C2701" s="20" t="s">
        <v>46</v>
      </c>
      <c r="D2701" s="20" t="s">
        <v>9643</v>
      </c>
      <c r="E2701" s="20" t="s">
        <v>9644</v>
      </c>
      <c r="F2701" s="20" t="s">
        <v>286</v>
      </c>
      <c r="G2701" s="19" t="s">
        <v>50</v>
      </c>
      <c r="H2701" s="20"/>
      <c r="I2701" s="20" t="s">
        <v>286</v>
      </c>
      <c r="J2701" s="20" t="s">
        <v>29</v>
      </c>
      <c r="K2701" s="22" t="s">
        <v>9645</v>
      </c>
      <c r="L2701" s="20"/>
      <c r="M2701" s="20"/>
      <c r="N2701" s="20"/>
      <c r="O2701" s="20"/>
      <c r="P2701" s="20"/>
      <c r="Q2701" s="20"/>
      <c r="R2701" s="20"/>
      <c r="S2701" s="20"/>
      <c r="T2701" s="38"/>
      <c r="U2701" s="38"/>
      <c r="V2701" s="38"/>
      <c r="W2701" s="60"/>
      <c r="AB2701" s="42"/>
      <c r="AC2701" s="35"/>
      <c r="AD2701" s="38"/>
      <c r="AE2701" s="38"/>
      <c r="AF2701" s="38"/>
      <c r="AG2701" s="38"/>
      <c r="AH2701" s="60"/>
    </row>
    <row r="2702" spans="1:34" ht="15.75" customHeight="1">
      <c r="A2702" s="120"/>
      <c r="B2702" s="18" t="s">
        <v>9646</v>
      </c>
      <c r="C2702" s="37" t="s">
        <v>24</v>
      </c>
      <c r="D2702" s="25" t="s">
        <v>9647</v>
      </c>
      <c r="E2702" s="20" t="s">
        <v>9648</v>
      </c>
      <c r="F2702" s="19" t="s">
        <v>27</v>
      </c>
      <c r="G2702" s="19" t="s">
        <v>28</v>
      </c>
      <c r="H2702" s="37"/>
      <c r="I2702" s="21" t="s">
        <v>29</v>
      </c>
      <c r="J2702" s="21" t="s">
        <v>29</v>
      </c>
      <c r="K2702" s="22" t="s">
        <v>9649</v>
      </c>
      <c r="L2702" s="56">
        <v>45092</v>
      </c>
      <c r="O2702" s="42"/>
      <c r="P2702" s="40"/>
      <c r="Q2702" s="61"/>
      <c r="R2702" s="61"/>
      <c r="S2702" s="40"/>
      <c r="T2702" s="38"/>
      <c r="U2702" s="38"/>
      <c r="V2702" s="38"/>
      <c r="W2702" s="60"/>
      <c r="AB2702" s="42"/>
      <c r="AC2702" s="35"/>
      <c r="AD2702" s="38"/>
      <c r="AE2702" s="38"/>
      <c r="AF2702" s="38"/>
      <c r="AG2702" s="38"/>
      <c r="AH2702" s="60"/>
    </row>
    <row r="2703" spans="1:34" ht="15.75" customHeight="1">
      <c r="A2703" s="120"/>
      <c r="B2703" s="34" t="s">
        <v>9650</v>
      </c>
      <c r="C2703" s="37" t="s">
        <v>24</v>
      </c>
      <c r="D2703" s="25" t="s">
        <v>9651</v>
      </c>
      <c r="E2703" s="20" t="s">
        <v>9652</v>
      </c>
      <c r="F2703" s="19" t="s">
        <v>90</v>
      </c>
      <c r="G2703" s="19" t="s">
        <v>91</v>
      </c>
      <c r="H2703" s="37"/>
      <c r="I2703" s="21" t="s">
        <v>29</v>
      </c>
      <c r="J2703" s="21" t="s">
        <v>29</v>
      </c>
      <c r="K2703" s="22" t="s">
        <v>9653</v>
      </c>
      <c r="L2703" s="56">
        <v>45092</v>
      </c>
      <c r="O2703" s="42"/>
      <c r="P2703" s="40"/>
      <c r="Q2703" s="61"/>
      <c r="R2703" s="61"/>
      <c r="S2703" s="40"/>
      <c r="T2703" s="38"/>
      <c r="U2703" s="38"/>
      <c r="V2703" s="38"/>
      <c r="W2703" s="60"/>
      <c r="AB2703" s="42"/>
      <c r="AC2703" s="35"/>
      <c r="AD2703" s="38"/>
      <c r="AE2703" s="38"/>
      <c r="AF2703" s="38"/>
      <c r="AG2703" s="38"/>
      <c r="AH2703" s="60"/>
    </row>
    <row r="2704" spans="1:34" ht="15.75" customHeight="1">
      <c r="A2704" s="120"/>
      <c r="B2704" s="18" t="s">
        <v>9654</v>
      </c>
      <c r="C2704" s="37" t="s">
        <v>87</v>
      </c>
      <c r="D2704" s="25" t="s">
        <v>9655</v>
      </c>
      <c r="E2704" s="20" t="s">
        <v>9656</v>
      </c>
      <c r="F2704" s="19" t="s">
        <v>90</v>
      </c>
      <c r="G2704" s="19" t="s">
        <v>91</v>
      </c>
      <c r="H2704" s="37"/>
      <c r="I2704" s="21" t="s">
        <v>29</v>
      </c>
      <c r="J2704" s="21" t="s">
        <v>29</v>
      </c>
      <c r="K2704" s="22" t="s">
        <v>9657</v>
      </c>
      <c r="L2704" s="56">
        <v>45092</v>
      </c>
      <c r="O2704" s="42"/>
      <c r="P2704" s="40"/>
      <c r="Q2704" s="61"/>
      <c r="R2704" s="61"/>
      <c r="S2704" s="40"/>
      <c r="T2704" s="38"/>
      <c r="U2704" s="38"/>
      <c r="V2704" s="38"/>
      <c r="W2704" s="60"/>
      <c r="AB2704" s="42"/>
      <c r="AC2704" s="35"/>
      <c r="AD2704" s="38"/>
      <c r="AE2704" s="38"/>
      <c r="AF2704" s="38"/>
      <c r="AG2704" s="38"/>
      <c r="AH2704" s="60"/>
    </row>
    <row r="2705" spans="1:34" ht="15.75" customHeight="1">
      <c r="A2705" s="120"/>
      <c r="B2705" s="38"/>
      <c r="C2705" s="37"/>
      <c r="D2705" s="20"/>
      <c r="E2705" s="20"/>
      <c r="F2705" s="37"/>
      <c r="G2705" s="37"/>
      <c r="H2705" s="37"/>
      <c r="I2705" s="21"/>
      <c r="J2705" s="21"/>
      <c r="K2705" s="22"/>
      <c r="L2705" s="39"/>
      <c r="O2705" s="42"/>
      <c r="P2705" s="40"/>
      <c r="Q2705" s="61"/>
      <c r="R2705" s="61"/>
      <c r="S2705" s="40"/>
      <c r="T2705" s="38"/>
      <c r="U2705" s="38"/>
      <c r="V2705" s="38"/>
      <c r="W2705" s="60"/>
      <c r="AB2705" s="42"/>
      <c r="AC2705" s="35"/>
      <c r="AD2705" s="38"/>
      <c r="AE2705" s="38"/>
      <c r="AF2705" s="38"/>
      <c r="AG2705" s="38"/>
      <c r="AH2705" s="60"/>
    </row>
    <row r="2706" spans="1:34" ht="15.75" customHeight="1">
      <c r="A2706" s="38" t="s">
        <v>9658</v>
      </c>
      <c r="B2706" s="18" t="s">
        <v>9659</v>
      </c>
      <c r="C2706" s="37" t="s">
        <v>46</v>
      </c>
      <c r="D2706" s="25" t="s">
        <v>9660</v>
      </c>
      <c r="E2706" s="20" t="s">
        <v>9661</v>
      </c>
      <c r="F2706" s="37" t="s">
        <v>49</v>
      </c>
      <c r="G2706" s="19" t="s">
        <v>50</v>
      </c>
      <c r="H2706" s="37"/>
      <c r="I2706" s="21" t="s">
        <v>29</v>
      </c>
      <c r="J2706" s="21" t="s">
        <v>29</v>
      </c>
      <c r="K2706" s="22" t="s">
        <v>9662</v>
      </c>
      <c r="L2706" s="56">
        <v>45092</v>
      </c>
      <c r="M2706" s="40"/>
      <c r="N2706" s="40"/>
      <c r="O2706" s="42"/>
      <c r="P2706" s="40"/>
      <c r="Q2706" s="61"/>
      <c r="R2706" s="61"/>
      <c r="S2706" s="40"/>
      <c r="T2706" s="38"/>
      <c r="U2706" s="38"/>
      <c r="V2706" s="38"/>
      <c r="W2706" s="60"/>
      <c r="AB2706" s="42"/>
      <c r="AC2706" s="35"/>
      <c r="AD2706" s="38"/>
      <c r="AE2706" s="38"/>
      <c r="AF2706" s="38"/>
      <c r="AG2706" s="38"/>
      <c r="AH2706" s="60"/>
    </row>
    <row r="2707" spans="1:34" ht="15.75" customHeight="1">
      <c r="A2707" s="54" t="s">
        <v>9663</v>
      </c>
      <c r="B2707" s="18" t="s">
        <v>9664</v>
      </c>
      <c r="C2707" s="37" t="s">
        <v>1430</v>
      </c>
      <c r="D2707" s="25" t="s">
        <v>9665</v>
      </c>
      <c r="E2707" s="20" t="s">
        <v>2890</v>
      </c>
      <c r="F2707" s="55" t="s">
        <v>1445</v>
      </c>
      <c r="G2707" s="55" t="s">
        <v>1432</v>
      </c>
      <c r="H2707" s="37"/>
      <c r="I2707" s="21" t="s">
        <v>233</v>
      </c>
      <c r="J2707" s="21" t="s">
        <v>233</v>
      </c>
      <c r="K2707" s="22" t="s">
        <v>2890</v>
      </c>
      <c r="L2707" s="56">
        <v>45092</v>
      </c>
      <c r="O2707" s="42"/>
      <c r="P2707" s="40"/>
      <c r="Q2707" s="61"/>
      <c r="R2707" s="61"/>
      <c r="S2707" s="40"/>
      <c r="T2707" s="38"/>
      <c r="U2707" s="38"/>
      <c r="V2707" s="38"/>
      <c r="W2707" s="60"/>
      <c r="AB2707" s="42"/>
      <c r="AC2707" s="35"/>
      <c r="AD2707" s="38"/>
      <c r="AE2707" s="38"/>
      <c r="AF2707" s="38"/>
      <c r="AG2707" s="38"/>
      <c r="AH2707" s="60"/>
    </row>
    <row r="2708" spans="1:34" ht="15.75" customHeight="1">
      <c r="A2708" s="114" t="s">
        <v>39</v>
      </c>
      <c r="B2708" s="18" t="s">
        <v>9666</v>
      </c>
      <c r="C2708" s="37" t="s">
        <v>24</v>
      </c>
      <c r="D2708" s="25" t="s">
        <v>9667</v>
      </c>
      <c r="E2708" s="20"/>
      <c r="F2708" s="19" t="s">
        <v>27</v>
      </c>
      <c r="G2708" s="19" t="s">
        <v>28</v>
      </c>
      <c r="H2708" s="37"/>
      <c r="I2708" s="21" t="s">
        <v>29</v>
      </c>
      <c r="J2708" s="21" t="s">
        <v>29</v>
      </c>
      <c r="K2708" s="22"/>
      <c r="L2708" s="56">
        <v>45092</v>
      </c>
      <c r="O2708" s="42"/>
      <c r="P2708" s="40"/>
      <c r="Q2708" s="61"/>
      <c r="R2708" s="61"/>
      <c r="S2708" s="40"/>
      <c r="T2708" s="38"/>
      <c r="U2708" s="38"/>
      <c r="V2708" s="38"/>
      <c r="W2708" s="60"/>
      <c r="AB2708" s="42"/>
      <c r="AC2708" s="35"/>
      <c r="AD2708" s="38"/>
      <c r="AE2708" s="38"/>
      <c r="AF2708" s="38"/>
      <c r="AG2708" s="38"/>
      <c r="AH2708" s="60"/>
    </row>
    <row r="2709" spans="1:34" ht="15.75" customHeight="1">
      <c r="A2709" s="38" t="s">
        <v>9511</v>
      </c>
      <c r="B2709" s="18" t="s">
        <v>9668</v>
      </c>
      <c r="C2709" s="37" t="s">
        <v>46</v>
      </c>
      <c r="D2709" s="25" t="s">
        <v>9669</v>
      </c>
      <c r="E2709" s="20" t="s">
        <v>9670</v>
      </c>
      <c r="F2709" s="37" t="s">
        <v>49</v>
      </c>
      <c r="G2709" s="19" t="s">
        <v>50</v>
      </c>
      <c r="H2709" s="37"/>
      <c r="I2709" s="21" t="s">
        <v>29</v>
      </c>
      <c r="J2709" s="21" t="s">
        <v>29</v>
      </c>
      <c r="K2709" s="22" t="s">
        <v>9671</v>
      </c>
      <c r="L2709" s="56">
        <v>45092</v>
      </c>
      <c r="O2709" s="42"/>
      <c r="P2709" s="40"/>
      <c r="Q2709" s="61"/>
      <c r="R2709" s="61"/>
      <c r="S2709" s="40"/>
      <c r="T2709" s="38"/>
      <c r="U2709" s="38"/>
      <c r="V2709" s="38"/>
      <c r="W2709" s="60"/>
      <c r="AB2709" s="42"/>
      <c r="AC2709" s="35"/>
      <c r="AD2709" s="38"/>
      <c r="AE2709" s="38"/>
      <c r="AF2709" s="38"/>
      <c r="AG2709" s="38"/>
      <c r="AH2709" s="60"/>
    </row>
    <row r="2710" spans="1:34" ht="15.75" customHeight="1">
      <c r="A2710" s="38" t="s">
        <v>9672</v>
      </c>
      <c r="B2710" s="36" t="s">
        <v>9673</v>
      </c>
      <c r="C2710" s="19" t="s">
        <v>121</v>
      </c>
      <c r="D2710" s="25" t="s">
        <v>9674</v>
      </c>
      <c r="E2710" s="20"/>
      <c r="F2710" s="37" t="s">
        <v>49</v>
      </c>
      <c r="G2710" s="37" t="s">
        <v>452</v>
      </c>
      <c r="H2710" s="37"/>
      <c r="I2710" s="21" t="s">
        <v>233</v>
      </c>
      <c r="J2710" s="21" t="s">
        <v>452</v>
      </c>
      <c r="K2710" s="22"/>
      <c r="L2710" s="56">
        <v>45092</v>
      </c>
      <c r="O2710" s="42"/>
      <c r="P2710" s="40"/>
      <c r="Q2710" s="61"/>
      <c r="R2710" s="61"/>
      <c r="S2710" s="40"/>
      <c r="T2710" s="38"/>
      <c r="U2710" s="38"/>
      <c r="V2710" s="38"/>
      <c r="W2710" s="60"/>
      <c r="AB2710" s="42"/>
      <c r="AC2710" s="35"/>
      <c r="AD2710" s="38"/>
      <c r="AE2710" s="38"/>
      <c r="AF2710" s="38"/>
      <c r="AG2710" s="38"/>
      <c r="AH2710" s="60"/>
    </row>
    <row r="2711" spans="1:34" ht="15.75" customHeight="1">
      <c r="A2711" s="111"/>
      <c r="B2711" s="29" t="s">
        <v>9675</v>
      </c>
      <c r="C2711" s="37" t="s">
        <v>46</v>
      </c>
      <c r="D2711" s="25" t="s">
        <v>9676</v>
      </c>
      <c r="E2711" s="20" t="s">
        <v>9677</v>
      </c>
      <c r="F2711" s="37" t="s">
        <v>286</v>
      </c>
      <c r="G2711" s="19" t="s">
        <v>50</v>
      </c>
      <c r="H2711" s="37"/>
      <c r="I2711" s="21" t="s">
        <v>286</v>
      </c>
      <c r="J2711" s="21" t="s">
        <v>29</v>
      </c>
      <c r="K2711" s="22" t="s">
        <v>9678</v>
      </c>
      <c r="L2711" s="56"/>
      <c r="O2711" s="42"/>
      <c r="P2711" s="40"/>
      <c r="Q2711" s="61"/>
      <c r="R2711" s="61"/>
      <c r="S2711" s="40"/>
      <c r="T2711" s="38"/>
      <c r="U2711" s="38"/>
      <c r="V2711" s="38"/>
      <c r="W2711" s="60"/>
      <c r="AB2711" s="42"/>
      <c r="AC2711" s="35"/>
      <c r="AD2711" s="38"/>
      <c r="AE2711" s="38"/>
      <c r="AF2711" s="38"/>
      <c r="AG2711" s="38"/>
      <c r="AH2711" s="60"/>
    </row>
    <row r="2712" spans="1:34" ht="15.75" customHeight="1">
      <c r="A2712" s="111" t="s">
        <v>56</v>
      </c>
      <c r="B2712" s="18" t="s">
        <v>9679</v>
      </c>
      <c r="C2712" s="37" t="s">
        <v>24</v>
      </c>
      <c r="D2712" s="25" t="s">
        <v>9680</v>
      </c>
      <c r="E2712" s="20"/>
      <c r="F2712" s="19" t="s">
        <v>27</v>
      </c>
      <c r="G2712" s="19" t="s">
        <v>28</v>
      </c>
      <c r="H2712" s="37"/>
      <c r="I2712" s="21" t="s">
        <v>29</v>
      </c>
      <c r="J2712" s="21" t="s">
        <v>29</v>
      </c>
      <c r="K2712" s="22"/>
      <c r="L2712" s="56">
        <v>45092</v>
      </c>
      <c r="O2712" s="42"/>
      <c r="P2712" s="40"/>
      <c r="Q2712" s="61"/>
      <c r="R2712" s="61"/>
      <c r="S2712" s="40"/>
      <c r="T2712" s="38"/>
      <c r="U2712" s="38"/>
      <c r="V2712" s="38"/>
      <c r="W2712" s="60"/>
      <c r="AB2712" s="42"/>
      <c r="AC2712" s="35"/>
      <c r="AD2712" s="38"/>
      <c r="AE2712" s="38"/>
      <c r="AF2712" s="38"/>
      <c r="AG2712" s="38"/>
      <c r="AH2712" s="60"/>
    </row>
    <row r="2713" spans="1:34" ht="15.75" customHeight="1">
      <c r="A2713" s="75">
        <v>48</v>
      </c>
      <c r="B2713" s="18" t="s">
        <v>9681</v>
      </c>
      <c r="C2713" s="37" t="s">
        <v>24</v>
      </c>
      <c r="D2713" s="25" t="s">
        <v>9682</v>
      </c>
      <c r="E2713" s="20" t="s">
        <v>2890</v>
      </c>
      <c r="F2713" s="19" t="s">
        <v>27</v>
      </c>
      <c r="G2713" s="19" t="s">
        <v>28</v>
      </c>
      <c r="H2713" s="37"/>
      <c r="I2713" s="21" t="s">
        <v>29</v>
      </c>
      <c r="J2713" s="21" t="s">
        <v>29</v>
      </c>
      <c r="K2713" s="22" t="s">
        <v>2890</v>
      </c>
      <c r="L2713" s="56">
        <v>45092</v>
      </c>
      <c r="O2713" s="42"/>
      <c r="P2713" s="40"/>
      <c r="Q2713" s="61"/>
      <c r="R2713" s="61"/>
      <c r="S2713" s="40"/>
      <c r="T2713" s="38"/>
      <c r="U2713" s="38"/>
      <c r="V2713" s="38"/>
      <c r="W2713" s="60"/>
      <c r="AB2713" s="42"/>
      <c r="AC2713" s="35"/>
      <c r="AD2713" s="38"/>
      <c r="AE2713" s="38"/>
      <c r="AF2713" s="38"/>
      <c r="AG2713" s="38"/>
      <c r="AH2713" s="60"/>
    </row>
    <row r="2714" spans="1:34" ht="15.75" customHeight="1">
      <c r="A2714" s="111" t="s">
        <v>64</v>
      </c>
      <c r="B2714" s="36" t="s">
        <v>9683</v>
      </c>
      <c r="C2714" s="19" t="s">
        <v>121</v>
      </c>
      <c r="D2714" s="25" t="s">
        <v>9684</v>
      </c>
      <c r="E2714" s="20" t="s">
        <v>9685</v>
      </c>
      <c r="F2714" s="37" t="s">
        <v>1489</v>
      </c>
      <c r="G2714" s="37" t="s">
        <v>452</v>
      </c>
      <c r="H2714" s="37"/>
      <c r="I2714" s="21" t="s">
        <v>1371</v>
      </c>
      <c r="J2714" s="21" t="s">
        <v>452</v>
      </c>
      <c r="K2714" s="22" t="s">
        <v>9686</v>
      </c>
      <c r="L2714" s="56">
        <v>45092</v>
      </c>
      <c r="O2714" s="42"/>
      <c r="P2714" s="40"/>
      <c r="Q2714" s="61"/>
      <c r="R2714" s="61"/>
      <c r="S2714" s="40"/>
      <c r="T2714" s="38"/>
      <c r="U2714" s="38"/>
      <c r="V2714" s="38"/>
      <c r="W2714" s="60"/>
      <c r="AB2714" s="42"/>
      <c r="AC2714" s="35"/>
      <c r="AD2714" s="38"/>
      <c r="AE2714" s="38"/>
      <c r="AF2714" s="38"/>
      <c r="AG2714" s="38"/>
      <c r="AH2714" s="60"/>
    </row>
    <row r="2715" spans="1:34" ht="15.75" customHeight="1">
      <c r="A2715" s="75">
        <v>2.9</v>
      </c>
      <c r="B2715" s="18" t="s">
        <v>9687</v>
      </c>
      <c r="C2715" s="37" t="s">
        <v>1430</v>
      </c>
      <c r="D2715" s="25" t="s">
        <v>9688</v>
      </c>
      <c r="E2715" s="20" t="s">
        <v>9689</v>
      </c>
      <c r="F2715" s="55" t="s">
        <v>1445</v>
      </c>
      <c r="G2715" s="55" t="s">
        <v>1432</v>
      </c>
      <c r="H2715" s="37"/>
      <c r="I2715" s="21" t="s">
        <v>233</v>
      </c>
      <c r="J2715" s="21" t="s">
        <v>233</v>
      </c>
      <c r="K2715" s="22" t="s">
        <v>9690</v>
      </c>
      <c r="L2715" s="56">
        <v>45092</v>
      </c>
      <c r="O2715" s="42"/>
      <c r="P2715" s="40"/>
      <c r="Q2715" s="61"/>
      <c r="R2715" s="61"/>
      <c r="S2715" s="40"/>
      <c r="T2715" s="38"/>
      <c r="U2715" s="38"/>
      <c r="V2715" s="38"/>
      <c r="W2715" s="60"/>
      <c r="AB2715" s="42"/>
      <c r="AC2715" s="35"/>
      <c r="AD2715" s="38"/>
      <c r="AE2715" s="38"/>
      <c r="AF2715" s="38"/>
      <c r="AG2715" s="38"/>
      <c r="AH2715" s="60"/>
    </row>
    <row r="2716" spans="1:34" ht="15.75" customHeight="1">
      <c r="A2716" s="111" t="s">
        <v>73</v>
      </c>
      <c r="B2716" s="18" t="s">
        <v>9691</v>
      </c>
      <c r="C2716" s="37" t="s">
        <v>24</v>
      </c>
      <c r="D2716" s="25" t="s">
        <v>9692</v>
      </c>
      <c r="E2716" s="20"/>
      <c r="F2716" s="19" t="s">
        <v>27</v>
      </c>
      <c r="G2716" s="19" t="s">
        <v>28</v>
      </c>
      <c r="H2716" s="19" t="s">
        <v>36</v>
      </c>
      <c r="I2716" s="21" t="s">
        <v>29</v>
      </c>
      <c r="J2716" s="21" t="s">
        <v>29</v>
      </c>
      <c r="K2716" s="22"/>
      <c r="L2716" s="56">
        <v>45092</v>
      </c>
      <c r="O2716" s="42"/>
      <c r="P2716" s="40"/>
      <c r="Q2716" s="61"/>
      <c r="R2716" s="61"/>
      <c r="S2716" s="40"/>
      <c r="T2716" s="38"/>
      <c r="U2716" s="38"/>
      <c r="V2716" s="38"/>
      <c r="W2716" s="60"/>
      <c r="AB2716" s="42"/>
      <c r="AC2716" s="35"/>
      <c r="AD2716" s="38"/>
      <c r="AE2716" s="38"/>
      <c r="AF2716" s="38"/>
      <c r="AG2716" s="38"/>
      <c r="AH2716" s="60"/>
    </row>
    <row r="2717" spans="1:34" ht="15.75" customHeight="1">
      <c r="A2717" s="75">
        <v>3.4</v>
      </c>
      <c r="B2717" s="18" t="s">
        <v>9693</v>
      </c>
      <c r="C2717" s="37" t="s">
        <v>24</v>
      </c>
      <c r="D2717" s="25" t="s">
        <v>9694</v>
      </c>
      <c r="E2717" s="20"/>
      <c r="F2717" s="19" t="s">
        <v>27</v>
      </c>
      <c r="G2717" s="19" t="s">
        <v>28</v>
      </c>
      <c r="H2717" s="19" t="s">
        <v>36</v>
      </c>
      <c r="I2717" s="21" t="s">
        <v>29</v>
      </c>
      <c r="J2717" s="21" t="s">
        <v>29</v>
      </c>
      <c r="K2717" s="22"/>
      <c r="L2717" s="56">
        <v>45092</v>
      </c>
      <c r="O2717" s="42"/>
      <c r="P2717" s="40"/>
      <c r="Q2717" s="61"/>
      <c r="R2717" s="61"/>
      <c r="S2717" s="40"/>
      <c r="T2717" s="38"/>
      <c r="U2717" s="38"/>
      <c r="V2717" s="38"/>
      <c r="W2717" s="60"/>
      <c r="AB2717" s="42"/>
      <c r="AC2717" s="35"/>
      <c r="AD2717" s="38"/>
      <c r="AE2717" s="38"/>
      <c r="AF2717" s="38"/>
      <c r="AG2717" s="38"/>
      <c r="AH2717" s="60"/>
    </row>
    <row r="2718" spans="1:34" ht="15.75" customHeight="1">
      <c r="A2718" s="111"/>
      <c r="B2718" s="29" t="s">
        <v>9695</v>
      </c>
      <c r="C2718" s="55" t="s">
        <v>24</v>
      </c>
      <c r="D2718" s="25" t="s">
        <v>9696</v>
      </c>
      <c r="E2718" s="20" t="s">
        <v>8613</v>
      </c>
      <c r="F2718" s="19" t="s">
        <v>27</v>
      </c>
      <c r="G2718" s="19" t="s">
        <v>28</v>
      </c>
      <c r="H2718" s="37" t="s">
        <v>762</v>
      </c>
      <c r="I2718" s="21" t="s">
        <v>29</v>
      </c>
      <c r="J2718" s="21" t="s">
        <v>29</v>
      </c>
      <c r="K2718" s="22" t="s">
        <v>8613</v>
      </c>
      <c r="L2718" s="56"/>
      <c r="O2718" s="42"/>
      <c r="P2718" s="40"/>
      <c r="Q2718" s="61"/>
      <c r="R2718" s="61"/>
      <c r="S2718" s="40"/>
      <c r="T2718" s="38"/>
      <c r="U2718" s="38"/>
      <c r="V2718" s="38"/>
      <c r="W2718" s="60"/>
      <c r="AB2718" s="42"/>
      <c r="AC2718" s="35"/>
      <c r="AD2718" s="38"/>
      <c r="AE2718" s="38"/>
      <c r="AF2718" s="38"/>
      <c r="AG2718" s="38"/>
      <c r="AH2718" s="60"/>
    </row>
    <row r="2719" spans="1:34" ht="15.75" customHeight="1">
      <c r="A2719" s="111" t="s">
        <v>82</v>
      </c>
      <c r="B2719" s="18" t="s">
        <v>9697</v>
      </c>
      <c r="C2719" s="55" t="s">
        <v>87</v>
      </c>
      <c r="D2719" s="25" t="s">
        <v>9698</v>
      </c>
      <c r="E2719" s="20"/>
      <c r="F2719" s="19" t="s">
        <v>90</v>
      </c>
      <c r="G2719" s="19" t="s">
        <v>91</v>
      </c>
      <c r="H2719" s="55"/>
      <c r="I2719" s="21" t="s">
        <v>29</v>
      </c>
      <c r="J2719" s="21" t="s">
        <v>29</v>
      </c>
      <c r="K2719" s="22"/>
      <c r="L2719" s="56">
        <v>45092</v>
      </c>
      <c r="O2719" s="42"/>
      <c r="P2719" s="40"/>
      <c r="Q2719" s="61"/>
      <c r="R2719" s="61"/>
      <c r="S2719" s="40"/>
      <c r="T2719" s="38"/>
      <c r="U2719" s="38"/>
      <c r="V2719" s="38"/>
      <c r="W2719" s="60"/>
      <c r="AB2719" s="42"/>
      <c r="AC2719" s="35"/>
      <c r="AD2719" s="38"/>
      <c r="AE2719" s="38"/>
      <c r="AF2719" s="38"/>
      <c r="AG2719" s="38"/>
      <c r="AH2719" s="60"/>
    </row>
    <row r="2720" spans="1:34" ht="15.75" customHeight="1">
      <c r="A2720" s="75" t="s">
        <v>9699</v>
      </c>
      <c r="B2720" s="18" t="s">
        <v>9700</v>
      </c>
      <c r="C2720" s="37" t="s">
        <v>87</v>
      </c>
      <c r="D2720" s="25" t="s">
        <v>9701</v>
      </c>
      <c r="E2720" s="20"/>
      <c r="F2720" s="19" t="s">
        <v>90</v>
      </c>
      <c r="G2720" s="19" t="s">
        <v>91</v>
      </c>
      <c r="H2720" s="37"/>
      <c r="I2720" s="21" t="s">
        <v>29</v>
      </c>
      <c r="J2720" s="21" t="s">
        <v>29</v>
      </c>
      <c r="K2720" s="22"/>
      <c r="L2720" s="56">
        <v>45092</v>
      </c>
      <c r="O2720" s="42"/>
      <c r="P2720" s="40"/>
      <c r="Q2720" s="61"/>
      <c r="R2720" s="61"/>
      <c r="S2720" s="40"/>
      <c r="T2720" s="38"/>
      <c r="U2720" s="38"/>
      <c r="V2720" s="38"/>
      <c r="W2720" s="60"/>
      <c r="AB2720" s="42"/>
      <c r="AC2720" s="35"/>
      <c r="AD2720" s="38"/>
      <c r="AE2720" s="38"/>
      <c r="AF2720" s="38"/>
      <c r="AG2720" s="38"/>
      <c r="AH2720" s="60"/>
    </row>
    <row r="2721" spans="1:34" ht="15.75" customHeight="1">
      <c r="A2721" s="111" t="s">
        <v>92</v>
      </c>
      <c r="B2721" s="18" t="s">
        <v>9702</v>
      </c>
      <c r="C2721" s="37" t="s">
        <v>228</v>
      </c>
      <c r="D2721" s="25" t="s">
        <v>9703</v>
      </c>
      <c r="E2721" s="20"/>
      <c r="F2721" s="19" t="s">
        <v>231</v>
      </c>
      <c r="G2721" s="19" t="s">
        <v>232</v>
      </c>
      <c r="H2721" s="37"/>
      <c r="I2721" s="21" t="s">
        <v>233</v>
      </c>
      <c r="J2721" s="21" t="s">
        <v>233</v>
      </c>
      <c r="K2721" s="22"/>
      <c r="L2721" s="56">
        <v>45092</v>
      </c>
      <c r="O2721" s="42"/>
      <c r="P2721" s="40"/>
      <c r="Q2721" s="61"/>
      <c r="R2721" s="61"/>
      <c r="S2721" s="40"/>
      <c r="T2721" s="38"/>
      <c r="U2721" s="38"/>
      <c r="V2721" s="38"/>
      <c r="W2721" s="60"/>
      <c r="AB2721" s="42"/>
      <c r="AC2721" s="35"/>
      <c r="AD2721" s="38"/>
      <c r="AE2721" s="38"/>
      <c r="AF2721" s="38"/>
      <c r="AG2721" s="38"/>
      <c r="AH2721" s="60"/>
    </row>
    <row r="2722" spans="1:34" ht="15.75" customHeight="1">
      <c r="A2722" s="112">
        <v>591</v>
      </c>
      <c r="B2722" s="18" t="s">
        <v>9704</v>
      </c>
      <c r="C2722" s="37" t="s">
        <v>1430</v>
      </c>
      <c r="D2722" s="25" t="s">
        <v>9705</v>
      </c>
      <c r="E2722" s="20" t="s">
        <v>9706</v>
      </c>
      <c r="F2722" s="55" t="s">
        <v>1445</v>
      </c>
      <c r="G2722" s="55" t="s">
        <v>1432</v>
      </c>
      <c r="H2722" s="37"/>
      <c r="I2722" s="21" t="s">
        <v>233</v>
      </c>
      <c r="J2722" s="21" t="s">
        <v>233</v>
      </c>
      <c r="K2722" s="22" t="s">
        <v>9707</v>
      </c>
      <c r="L2722" s="56">
        <v>45092</v>
      </c>
      <c r="O2722" s="42"/>
      <c r="P2722" s="40"/>
      <c r="Q2722" s="61"/>
      <c r="R2722" s="61"/>
      <c r="S2722" s="40"/>
      <c r="T2722" s="38"/>
      <c r="U2722" s="38"/>
      <c r="V2722" s="38"/>
      <c r="W2722" s="60"/>
      <c r="AB2722" s="42"/>
      <c r="AC2722" s="35"/>
      <c r="AD2722" s="38"/>
      <c r="AE2722" s="38"/>
      <c r="AF2722" s="38"/>
      <c r="AG2722" s="38"/>
      <c r="AH2722" s="60"/>
    </row>
    <row r="2723" spans="1:34" ht="15.75" customHeight="1">
      <c r="A2723" s="111" t="s">
        <v>100</v>
      </c>
      <c r="B2723" s="36" t="s">
        <v>9708</v>
      </c>
      <c r="C2723" s="19" t="s">
        <v>121</v>
      </c>
      <c r="D2723" s="25" t="s">
        <v>9709</v>
      </c>
      <c r="E2723" s="20" t="s">
        <v>9710</v>
      </c>
      <c r="F2723" s="19" t="s">
        <v>27</v>
      </c>
      <c r="G2723" s="37" t="s">
        <v>452</v>
      </c>
      <c r="H2723" s="37"/>
      <c r="I2723" s="21" t="s">
        <v>29</v>
      </c>
      <c r="J2723" s="21" t="s">
        <v>452</v>
      </c>
      <c r="K2723" s="22" t="s">
        <v>9711</v>
      </c>
      <c r="L2723" s="56">
        <v>45092</v>
      </c>
      <c r="O2723" s="42"/>
      <c r="P2723" s="40"/>
      <c r="Q2723" s="61"/>
      <c r="R2723" s="61"/>
      <c r="S2723" s="40"/>
      <c r="T2723" s="38"/>
      <c r="U2723" s="38"/>
      <c r="V2723" s="38"/>
      <c r="W2723" s="60"/>
      <c r="AB2723" s="42"/>
      <c r="AC2723" s="35"/>
      <c r="AD2723" s="38"/>
      <c r="AE2723" s="38"/>
      <c r="AF2723" s="38"/>
      <c r="AG2723" s="38"/>
      <c r="AH2723" s="60"/>
    </row>
    <row r="2724" spans="1:34" ht="15.75" customHeight="1">
      <c r="A2724" s="75">
        <v>158</v>
      </c>
      <c r="B2724" s="18" t="s">
        <v>9712</v>
      </c>
      <c r="C2724" s="37" t="s">
        <v>24</v>
      </c>
      <c r="D2724" s="25" t="s">
        <v>9713</v>
      </c>
      <c r="E2724" s="20" t="s">
        <v>9714</v>
      </c>
      <c r="F2724" s="19" t="s">
        <v>27</v>
      </c>
      <c r="G2724" s="19" t="s">
        <v>28</v>
      </c>
      <c r="H2724" s="37"/>
      <c r="I2724" s="21" t="s">
        <v>29</v>
      </c>
      <c r="J2724" s="21" t="s">
        <v>29</v>
      </c>
      <c r="K2724" s="22" t="s">
        <v>9715</v>
      </c>
      <c r="L2724" s="56">
        <v>45092</v>
      </c>
      <c r="O2724" s="42"/>
      <c r="P2724" s="40"/>
      <c r="Q2724" s="61"/>
      <c r="R2724" s="61"/>
      <c r="S2724" s="40"/>
      <c r="T2724" s="38"/>
      <c r="U2724" s="38"/>
      <c r="V2724" s="38"/>
      <c r="W2724" s="60"/>
      <c r="AB2724" s="42"/>
      <c r="AC2724" s="35"/>
      <c r="AD2724" s="38"/>
      <c r="AE2724" s="38"/>
      <c r="AF2724" s="38"/>
      <c r="AG2724" s="38"/>
      <c r="AH2724" s="60"/>
    </row>
    <row r="2725" spans="1:34" ht="15.75" customHeight="1">
      <c r="A2725" s="120"/>
      <c r="B2725" s="18" t="s">
        <v>9716</v>
      </c>
      <c r="C2725" s="37" t="s">
        <v>24</v>
      </c>
      <c r="D2725" s="25" t="s">
        <v>9717</v>
      </c>
      <c r="E2725" s="20"/>
      <c r="F2725" s="19" t="s">
        <v>27</v>
      </c>
      <c r="G2725" s="19" t="s">
        <v>28</v>
      </c>
      <c r="H2725" s="37"/>
      <c r="I2725" s="21" t="s">
        <v>29</v>
      </c>
      <c r="J2725" s="21" t="s">
        <v>29</v>
      </c>
      <c r="K2725" s="22"/>
      <c r="L2725" s="56">
        <v>45092</v>
      </c>
      <c r="O2725" s="42"/>
      <c r="P2725" s="40"/>
      <c r="Q2725" s="61"/>
      <c r="R2725" s="61"/>
      <c r="S2725" s="40"/>
      <c r="T2725" s="38"/>
      <c r="U2725" s="38"/>
      <c r="V2725" s="38"/>
      <c r="W2725" s="60"/>
      <c r="AB2725" s="42"/>
      <c r="AC2725" s="35"/>
      <c r="AD2725" s="38"/>
      <c r="AE2725" s="38"/>
      <c r="AF2725" s="38"/>
      <c r="AG2725" s="38"/>
      <c r="AH2725" s="60"/>
    </row>
    <row r="2726" spans="1:34" ht="15.75" customHeight="1">
      <c r="A2726" s="120"/>
      <c r="B2726" s="18" t="s">
        <v>9718</v>
      </c>
      <c r="C2726" s="37" t="s">
        <v>87</v>
      </c>
      <c r="D2726" s="25" t="s">
        <v>9719</v>
      </c>
      <c r="E2726" s="20" t="s">
        <v>9720</v>
      </c>
      <c r="F2726" s="19" t="s">
        <v>90</v>
      </c>
      <c r="G2726" s="19" t="s">
        <v>91</v>
      </c>
      <c r="H2726" s="37"/>
      <c r="I2726" s="21" t="s">
        <v>29</v>
      </c>
      <c r="J2726" s="21" t="s">
        <v>29</v>
      </c>
      <c r="K2726" s="22" t="s">
        <v>9720</v>
      </c>
      <c r="L2726" s="56">
        <v>45092</v>
      </c>
      <c r="O2726" s="42"/>
      <c r="P2726" s="40"/>
      <c r="Q2726" s="61"/>
      <c r="R2726" s="61"/>
      <c r="S2726" s="40"/>
      <c r="T2726" s="38"/>
      <c r="U2726" s="38"/>
      <c r="V2726" s="38"/>
      <c r="W2726" s="60"/>
      <c r="AB2726" s="42"/>
      <c r="AC2726" s="35"/>
      <c r="AD2726" s="38"/>
      <c r="AE2726" s="38"/>
      <c r="AF2726" s="38"/>
      <c r="AG2726" s="38"/>
      <c r="AH2726" s="60"/>
    </row>
    <row r="2727" spans="1:34" ht="15.75" customHeight="1">
      <c r="A2727" s="120"/>
      <c r="B2727" s="18" t="s">
        <v>9721</v>
      </c>
      <c r="C2727" s="19" t="s">
        <v>24</v>
      </c>
      <c r="D2727" s="25" t="s">
        <v>9722</v>
      </c>
      <c r="E2727" s="20" t="s">
        <v>9723</v>
      </c>
      <c r="F2727" s="19" t="s">
        <v>27</v>
      </c>
      <c r="G2727" s="19" t="s">
        <v>28</v>
      </c>
      <c r="H2727" s="19" t="s">
        <v>36</v>
      </c>
      <c r="I2727" s="21" t="s">
        <v>29</v>
      </c>
      <c r="J2727" s="21" t="s">
        <v>29</v>
      </c>
      <c r="K2727" s="22" t="s">
        <v>9724</v>
      </c>
      <c r="L2727" s="56">
        <v>45092</v>
      </c>
      <c r="O2727" s="42"/>
      <c r="P2727" s="40"/>
      <c r="Q2727" s="61"/>
      <c r="R2727" s="61"/>
      <c r="S2727" s="40"/>
      <c r="T2727" s="38"/>
      <c r="U2727" s="38"/>
      <c r="V2727" s="38"/>
      <c r="W2727" s="60"/>
      <c r="AB2727" s="42"/>
      <c r="AC2727" s="35"/>
      <c r="AD2727" s="38"/>
      <c r="AE2727" s="38"/>
      <c r="AF2727" s="38"/>
      <c r="AG2727" s="38"/>
      <c r="AH2727" s="60"/>
    </row>
    <row r="2728" spans="1:34" ht="15.75" customHeight="1">
      <c r="A2728" s="120"/>
      <c r="B2728" s="18" t="s">
        <v>9725</v>
      </c>
      <c r="C2728" s="37" t="s">
        <v>46</v>
      </c>
      <c r="D2728" s="25" t="s">
        <v>9726</v>
      </c>
      <c r="E2728" s="20" t="s">
        <v>9727</v>
      </c>
      <c r="F2728" s="37" t="s">
        <v>49</v>
      </c>
      <c r="G2728" s="19" t="s">
        <v>50</v>
      </c>
      <c r="H2728" s="19" t="s">
        <v>36</v>
      </c>
      <c r="I2728" s="21" t="s">
        <v>29</v>
      </c>
      <c r="J2728" s="21" t="s">
        <v>29</v>
      </c>
      <c r="K2728" s="22" t="s">
        <v>9728</v>
      </c>
      <c r="L2728" s="56">
        <v>45092</v>
      </c>
      <c r="O2728" s="42"/>
      <c r="P2728" s="40"/>
      <c r="Q2728" s="61"/>
      <c r="R2728" s="61"/>
      <c r="S2728" s="40"/>
      <c r="T2728" s="38"/>
      <c r="U2728" s="38"/>
      <c r="V2728" s="38"/>
      <c r="W2728" s="60"/>
      <c r="AB2728" s="42"/>
      <c r="AC2728" s="35"/>
      <c r="AD2728" s="38"/>
      <c r="AE2728" s="38"/>
      <c r="AF2728" s="38"/>
      <c r="AG2728" s="38"/>
      <c r="AH2728" s="60"/>
    </row>
    <row r="2729" spans="1:34" ht="15.75" customHeight="1">
      <c r="A2729" s="120"/>
      <c r="B2729" s="18" t="s">
        <v>9729</v>
      </c>
      <c r="C2729" s="37" t="s">
        <v>87</v>
      </c>
      <c r="D2729" s="25" t="s">
        <v>9730</v>
      </c>
      <c r="E2729" s="20" t="s">
        <v>9731</v>
      </c>
      <c r="F2729" s="19" t="s">
        <v>90</v>
      </c>
      <c r="G2729" s="19" t="s">
        <v>91</v>
      </c>
      <c r="H2729" s="37"/>
      <c r="I2729" s="21" t="s">
        <v>29</v>
      </c>
      <c r="J2729" s="21" t="s">
        <v>29</v>
      </c>
      <c r="K2729" s="22" t="s">
        <v>9732</v>
      </c>
      <c r="L2729" s="56">
        <v>45092</v>
      </c>
      <c r="O2729" s="42"/>
      <c r="P2729" s="40"/>
      <c r="Q2729" s="61"/>
      <c r="R2729" s="61"/>
      <c r="S2729" s="40"/>
      <c r="T2729" s="38"/>
      <c r="U2729" s="38"/>
      <c r="V2729" s="38"/>
      <c r="W2729" s="60"/>
      <c r="AB2729" s="42"/>
      <c r="AC2729" s="35"/>
      <c r="AD2729" s="38"/>
      <c r="AE2729" s="38"/>
      <c r="AF2729" s="38"/>
      <c r="AG2729" s="38"/>
      <c r="AH2729" s="60"/>
    </row>
    <row r="2730" spans="1:34" ht="15.75" customHeight="1">
      <c r="A2730" s="35"/>
      <c r="B2730" s="29" t="s">
        <v>9733</v>
      </c>
      <c r="C2730" s="37" t="s">
        <v>228</v>
      </c>
      <c r="D2730" s="25" t="s">
        <v>9734</v>
      </c>
      <c r="E2730" s="20" t="s">
        <v>9735</v>
      </c>
      <c r="F2730" s="37" t="s">
        <v>286</v>
      </c>
      <c r="G2730" s="19" t="s">
        <v>232</v>
      </c>
      <c r="H2730" s="37"/>
      <c r="I2730" s="21" t="s">
        <v>286</v>
      </c>
      <c r="J2730" s="21" t="s">
        <v>233</v>
      </c>
      <c r="K2730" s="22" t="s">
        <v>9736</v>
      </c>
      <c r="L2730" s="56"/>
      <c r="O2730" s="42"/>
      <c r="P2730" s="40"/>
      <c r="Q2730" s="61"/>
      <c r="R2730" s="61"/>
      <c r="S2730" s="40"/>
      <c r="T2730" s="38"/>
      <c r="U2730" s="38"/>
      <c r="V2730" s="38"/>
      <c r="W2730" s="60"/>
      <c r="AB2730" s="42"/>
      <c r="AC2730" s="35"/>
      <c r="AD2730" s="38"/>
      <c r="AE2730" s="38"/>
      <c r="AF2730" s="38"/>
      <c r="AG2730" s="38"/>
      <c r="AH2730" s="60"/>
    </row>
    <row r="2731" spans="1:34" ht="15.75" customHeight="1">
      <c r="A2731" s="35"/>
      <c r="B2731" s="18" t="s">
        <v>9737</v>
      </c>
      <c r="C2731" s="37" t="s">
        <v>24</v>
      </c>
      <c r="D2731" s="25" t="s">
        <v>9738</v>
      </c>
      <c r="E2731" s="20" t="s">
        <v>9739</v>
      </c>
      <c r="F2731" s="19" t="s">
        <v>27</v>
      </c>
      <c r="G2731" s="19" t="s">
        <v>28</v>
      </c>
      <c r="H2731" s="37"/>
      <c r="I2731" s="21" t="s">
        <v>29</v>
      </c>
      <c r="J2731" s="21" t="s">
        <v>29</v>
      </c>
      <c r="K2731" s="22" t="s">
        <v>9740</v>
      </c>
      <c r="L2731" s="56">
        <v>45092</v>
      </c>
      <c r="O2731" s="42"/>
      <c r="P2731" s="40"/>
      <c r="Q2731" s="61"/>
      <c r="R2731" s="61"/>
      <c r="S2731" s="40"/>
      <c r="T2731" s="38"/>
      <c r="U2731" s="38"/>
      <c r="V2731" s="38"/>
      <c r="W2731" s="60"/>
      <c r="AB2731" s="42"/>
      <c r="AC2731" s="35"/>
      <c r="AD2731" s="38"/>
      <c r="AE2731" s="38"/>
      <c r="AF2731" s="38"/>
      <c r="AG2731" s="38"/>
      <c r="AH2731" s="60"/>
    </row>
    <row r="2732" spans="1:34" ht="15.75" customHeight="1">
      <c r="A2732" s="35"/>
      <c r="B2732" s="29" t="s">
        <v>9741</v>
      </c>
      <c r="C2732" s="37" t="s">
        <v>24</v>
      </c>
      <c r="D2732" s="25" t="s">
        <v>9742</v>
      </c>
      <c r="E2732" s="20" t="s">
        <v>9743</v>
      </c>
      <c r="F2732" s="19" t="s">
        <v>27</v>
      </c>
      <c r="G2732" s="19" t="s">
        <v>28</v>
      </c>
      <c r="H2732" s="37"/>
      <c r="I2732" s="21" t="s">
        <v>29</v>
      </c>
      <c r="J2732" s="21" t="s">
        <v>29</v>
      </c>
      <c r="K2732" s="22" t="s">
        <v>9744</v>
      </c>
      <c r="L2732" s="56">
        <v>45092</v>
      </c>
      <c r="O2732" s="42"/>
      <c r="P2732" s="40"/>
      <c r="Q2732" s="61"/>
      <c r="R2732" s="61"/>
      <c r="S2732" s="40"/>
      <c r="T2732" s="38"/>
      <c r="U2732" s="38"/>
      <c r="V2732" s="38"/>
      <c r="W2732" s="60"/>
      <c r="AB2732" s="42"/>
      <c r="AC2732" s="35"/>
      <c r="AD2732" s="38"/>
      <c r="AE2732" s="38"/>
      <c r="AF2732" s="38"/>
      <c r="AG2732" s="38"/>
      <c r="AH2732" s="60"/>
    </row>
    <row r="2733" spans="1:34" ht="15.75" customHeight="1">
      <c r="A2733" s="35"/>
      <c r="B2733" s="18" t="s">
        <v>9745</v>
      </c>
      <c r="C2733" s="37" t="s">
        <v>24</v>
      </c>
      <c r="D2733" s="25" t="s">
        <v>9746</v>
      </c>
      <c r="E2733" s="20"/>
      <c r="F2733" s="19" t="s">
        <v>27</v>
      </c>
      <c r="G2733" s="19" t="s">
        <v>28</v>
      </c>
      <c r="H2733" s="19" t="s">
        <v>36</v>
      </c>
      <c r="I2733" s="21" t="s">
        <v>29</v>
      </c>
      <c r="J2733" s="21" t="s">
        <v>29</v>
      </c>
      <c r="K2733" s="22"/>
      <c r="L2733" s="56">
        <v>45092</v>
      </c>
      <c r="O2733" s="42"/>
      <c r="P2733" s="40"/>
      <c r="Q2733" s="61"/>
      <c r="R2733" s="61"/>
      <c r="S2733" s="40"/>
      <c r="T2733" s="38"/>
      <c r="U2733" s="38"/>
      <c r="V2733" s="38"/>
      <c r="W2733" s="60"/>
      <c r="AB2733" s="42"/>
      <c r="AC2733" s="35"/>
      <c r="AD2733" s="38"/>
      <c r="AE2733" s="38"/>
      <c r="AF2733" s="38"/>
      <c r="AG2733" s="38"/>
      <c r="AH2733" s="60"/>
    </row>
    <row r="2734" spans="1:34" ht="15.75" customHeight="1">
      <c r="A2734" s="35"/>
      <c r="B2734" s="18" t="s">
        <v>9747</v>
      </c>
      <c r="C2734" s="37" t="s">
        <v>24</v>
      </c>
      <c r="D2734" s="25" t="s">
        <v>9748</v>
      </c>
      <c r="E2734" s="20" t="s">
        <v>604</v>
      </c>
      <c r="F2734" s="19" t="s">
        <v>27</v>
      </c>
      <c r="G2734" s="19" t="s">
        <v>28</v>
      </c>
      <c r="H2734" s="37"/>
      <c r="I2734" s="21" t="s">
        <v>29</v>
      </c>
      <c r="J2734" s="21" t="s">
        <v>29</v>
      </c>
      <c r="K2734" s="22" t="s">
        <v>605</v>
      </c>
      <c r="L2734" s="56">
        <v>45092</v>
      </c>
      <c r="O2734" s="42"/>
      <c r="P2734" s="40"/>
      <c r="Q2734" s="61"/>
      <c r="R2734" s="61"/>
      <c r="S2734" s="40"/>
      <c r="T2734" s="38"/>
      <c r="U2734" s="38"/>
      <c r="V2734" s="38"/>
      <c r="W2734" s="60"/>
      <c r="AB2734" s="42"/>
      <c r="AC2734" s="35"/>
      <c r="AD2734" s="38"/>
      <c r="AE2734" s="38"/>
      <c r="AF2734" s="38"/>
      <c r="AG2734" s="38"/>
      <c r="AH2734" s="60"/>
    </row>
    <row r="2735" spans="1:34" ht="15.75" customHeight="1">
      <c r="A2735" s="35"/>
      <c r="B2735" s="18" t="s">
        <v>9749</v>
      </c>
      <c r="C2735" s="37" t="s">
        <v>87</v>
      </c>
      <c r="D2735" s="25" t="s">
        <v>9750</v>
      </c>
      <c r="E2735" s="20"/>
      <c r="F2735" s="19" t="s">
        <v>90</v>
      </c>
      <c r="G2735" s="19" t="s">
        <v>91</v>
      </c>
      <c r="H2735" s="37"/>
      <c r="I2735" s="21" t="s">
        <v>29</v>
      </c>
      <c r="J2735" s="21" t="s">
        <v>29</v>
      </c>
      <c r="K2735" s="22"/>
      <c r="L2735" s="56">
        <v>45092</v>
      </c>
      <c r="O2735" s="42"/>
      <c r="P2735" s="40"/>
      <c r="Q2735" s="61"/>
      <c r="R2735" s="61"/>
      <c r="S2735" s="40"/>
      <c r="T2735" s="38"/>
      <c r="U2735" s="38"/>
      <c r="V2735" s="38"/>
      <c r="W2735" s="60"/>
      <c r="AB2735" s="42"/>
      <c r="AC2735" s="35"/>
      <c r="AD2735" s="38"/>
      <c r="AE2735" s="38"/>
      <c r="AF2735" s="38"/>
      <c r="AG2735" s="38"/>
      <c r="AH2735" s="60"/>
    </row>
    <row r="2736" spans="1:34" ht="15.75" customHeight="1">
      <c r="A2736" s="35"/>
      <c r="B2736" s="18" t="s">
        <v>9751</v>
      </c>
      <c r="C2736" s="37" t="s">
        <v>24</v>
      </c>
      <c r="D2736" s="25" t="s">
        <v>9752</v>
      </c>
      <c r="E2736" s="20" t="s">
        <v>9753</v>
      </c>
      <c r="F2736" s="19" t="s">
        <v>27</v>
      </c>
      <c r="G2736" s="19" t="s">
        <v>28</v>
      </c>
      <c r="H2736" s="19" t="s">
        <v>36</v>
      </c>
      <c r="I2736" s="21" t="s">
        <v>29</v>
      </c>
      <c r="J2736" s="21" t="s">
        <v>29</v>
      </c>
      <c r="K2736" s="22" t="s">
        <v>9754</v>
      </c>
      <c r="L2736" s="56">
        <v>45092</v>
      </c>
      <c r="O2736" s="42"/>
      <c r="P2736" s="40"/>
      <c r="Q2736" s="61"/>
      <c r="R2736" s="61"/>
      <c r="S2736" s="40"/>
      <c r="T2736" s="38"/>
      <c r="U2736" s="38"/>
      <c r="V2736" s="38"/>
      <c r="W2736" s="60"/>
      <c r="AB2736" s="42"/>
      <c r="AC2736" s="35"/>
      <c r="AD2736" s="38"/>
      <c r="AE2736" s="38"/>
      <c r="AF2736" s="38"/>
      <c r="AG2736" s="38"/>
      <c r="AH2736" s="60"/>
    </row>
    <row r="2737" spans="1:34" ht="15.75" customHeight="1">
      <c r="A2737" s="35"/>
      <c r="B2737" s="29" t="s">
        <v>9755</v>
      </c>
      <c r="C2737" s="37" t="s">
        <v>46</v>
      </c>
      <c r="D2737" s="25" t="s">
        <v>9756</v>
      </c>
      <c r="E2737" s="20"/>
      <c r="F2737" s="37" t="s">
        <v>286</v>
      </c>
      <c r="G2737" s="19" t="s">
        <v>50</v>
      </c>
      <c r="H2737" s="37"/>
      <c r="I2737" s="21" t="s">
        <v>286</v>
      </c>
      <c r="J2737" s="21" t="s">
        <v>29</v>
      </c>
      <c r="K2737" s="22"/>
      <c r="L2737" s="56"/>
      <c r="O2737" s="42"/>
      <c r="P2737" s="40"/>
      <c r="Q2737" s="61"/>
      <c r="R2737" s="61"/>
      <c r="S2737" s="40"/>
      <c r="T2737" s="38"/>
      <c r="U2737" s="38"/>
      <c r="V2737" s="38"/>
      <c r="W2737" s="60"/>
      <c r="AB2737" s="42"/>
      <c r="AC2737" s="35"/>
      <c r="AD2737" s="38"/>
      <c r="AE2737" s="38"/>
      <c r="AF2737" s="38"/>
      <c r="AG2737" s="38"/>
      <c r="AH2737" s="60"/>
    </row>
    <row r="2738" spans="1:34" ht="15.75" customHeight="1">
      <c r="A2738" s="35"/>
      <c r="B2738" s="18" t="s">
        <v>9757</v>
      </c>
      <c r="C2738" s="37" t="s">
        <v>24</v>
      </c>
      <c r="D2738" s="25" t="s">
        <v>9758</v>
      </c>
      <c r="E2738" s="20" t="s">
        <v>9759</v>
      </c>
      <c r="F2738" s="19" t="s">
        <v>27</v>
      </c>
      <c r="G2738" s="19" t="s">
        <v>28</v>
      </c>
      <c r="H2738" s="37"/>
      <c r="I2738" s="21" t="s">
        <v>29</v>
      </c>
      <c r="J2738" s="21" t="s">
        <v>29</v>
      </c>
      <c r="K2738" s="22" t="s">
        <v>9759</v>
      </c>
      <c r="L2738" s="56">
        <v>45092</v>
      </c>
      <c r="O2738" s="42"/>
      <c r="P2738" s="40"/>
      <c r="Q2738" s="61"/>
      <c r="R2738" s="61"/>
      <c r="S2738" s="40"/>
      <c r="T2738" s="38"/>
      <c r="U2738" s="38"/>
      <c r="V2738" s="38"/>
      <c r="W2738" s="60"/>
      <c r="AB2738" s="42"/>
      <c r="AC2738" s="35"/>
      <c r="AD2738" s="38"/>
      <c r="AE2738" s="38"/>
      <c r="AF2738" s="38"/>
      <c r="AG2738" s="38"/>
      <c r="AH2738" s="60"/>
    </row>
    <row r="2739" spans="1:34" ht="15.75" customHeight="1">
      <c r="A2739" s="35"/>
      <c r="B2739" s="38"/>
      <c r="C2739" s="37"/>
      <c r="D2739" s="20"/>
      <c r="E2739" s="20"/>
      <c r="F2739" s="37"/>
      <c r="G2739" s="37"/>
      <c r="H2739" s="37"/>
      <c r="I2739" s="21"/>
      <c r="J2739" s="21"/>
      <c r="K2739" s="22"/>
      <c r="L2739" s="39"/>
      <c r="O2739" s="42"/>
      <c r="P2739" s="40"/>
      <c r="Q2739" s="61"/>
      <c r="R2739" s="61"/>
      <c r="S2739" s="40"/>
      <c r="T2739" s="38"/>
      <c r="U2739" s="38"/>
      <c r="V2739" s="38"/>
      <c r="W2739" s="60"/>
      <c r="AB2739" s="42"/>
      <c r="AC2739" s="35"/>
      <c r="AD2739" s="38"/>
      <c r="AE2739" s="38"/>
      <c r="AF2739" s="38"/>
      <c r="AG2739" s="38"/>
      <c r="AH2739" s="60"/>
    </row>
    <row r="2740" spans="1:34" ht="15.75" customHeight="1">
      <c r="A2740" s="38" t="s">
        <v>9760</v>
      </c>
      <c r="B2740" s="29" t="s">
        <v>9761</v>
      </c>
      <c r="C2740" s="37" t="s">
        <v>24</v>
      </c>
      <c r="D2740" s="20" t="s">
        <v>9762</v>
      </c>
      <c r="E2740" s="20" t="s">
        <v>9763</v>
      </c>
      <c r="F2740" s="19" t="s">
        <v>27</v>
      </c>
      <c r="G2740" s="19" t="s">
        <v>28</v>
      </c>
      <c r="H2740" s="37"/>
      <c r="I2740" s="21" t="s">
        <v>29</v>
      </c>
      <c r="J2740" s="21" t="s">
        <v>29</v>
      </c>
      <c r="K2740" s="22" t="s">
        <v>9763</v>
      </c>
      <c r="L2740" s="56">
        <v>45092</v>
      </c>
      <c r="M2740" s="40"/>
      <c r="N2740" s="40"/>
      <c r="O2740" s="42"/>
      <c r="P2740" s="40"/>
      <c r="Q2740" s="61"/>
      <c r="R2740" s="61"/>
      <c r="S2740" s="40"/>
      <c r="T2740" s="38"/>
      <c r="U2740" s="38"/>
      <c r="V2740" s="38"/>
      <c r="W2740" s="60"/>
      <c r="AB2740" s="42"/>
      <c r="AC2740" s="35"/>
      <c r="AD2740" s="38"/>
      <c r="AE2740" s="38"/>
      <c r="AF2740" s="38"/>
      <c r="AG2740" s="38"/>
      <c r="AH2740" s="60"/>
    </row>
    <row r="2741" spans="1:34" ht="15.75" customHeight="1">
      <c r="A2741" s="54" t="s">
        <v>2714</v>
      </c>
      <c r="B2741" s="29" t="s">
        <v>9764</v>
      </c>
      <c r="C2741" s="37" t="s">
        <v>24</v>
      </c>
      <c r="D2741" s="20" t="s">
        <v>9765</v>
      </c>
      <c r="E2741" s="20" t="s">
        <v>9766</v>
      </c>
      <c r="F2741" s="37" t="s">
        <v>286</v>
      </c>
      <c r="G2741" s="19" t="s">
        <v>28</v>
      </c>
      <c r="H2741" s="37"/>
      <c r="I2741" s="21" t="s">
        <v>286</v>
      </c>
      <c r="J2741" s="21" t="s">
        <v>29</v>
      </c>
      <c r="K2741" s="22" t="s">
        <v>9767</v>
      </c>
      <c r="L2741" s="56"/>
      <c r="O2741" s="42"/>
      <c r="P2741" s="40"/>
      <c r="Q2741" s="61"/>
      <c r="R2741" s="61"/>
      <c r="S2741" s="40"/>
      <c r="T2741" s="38"/>
      <c r="U2741" s="38"/>
      <c r="V2741" s="38"/>
      <c r="W2741" s="60"/>
      <c r="AB2741" s="42"/>
      <c r="AC2741" s="35"/>
      <c r="AD2741" s="38"/>
      <c r="AE2741" s="38"/>
      <c r="AF2741" s="38"/>
      <c r="AG2741" s="38"/>
      <c r="AH2741" s="60"/>
    </row>
    <row r="2742" spans="1:34" ht="15.75" customHeight="1">
      <c r="A2742" s="114" t="s">
        <v>39</v>
      </c>
      <c r="B2742" s="18" t="s">
        <v>9768</v>
      </c>
      <c r="C2742" s="37" t="s">
        <v>1430</v>
      </c>
      <c r="D2742" s="20" t="s">
        <v>9769</v>
      </c>
      <c r="E2742" s="20" t="s">
        <v>9770</v>
      </c>
      <c r="F2742" s="55" t="s">
        <v>1445</v>
      </c>
      <c r="G2742" s="55" t="s">
        <v>1432</v>
      </c>
      <c r="H2742" s="37"/>
      <c r="I2742" s="21" t="s">
        <v>233</v>
      </c>
      <c r="J2742" s="21" t="s">
        <v>233</v>
      </c>
      <c r="K2742" s="22" t="s">
        <v>9771</v>
      </c>
      <c r="L2742" s="56">
        <v>45092</v>
      </c>
      <c r="O2742" s="42"/>
      <c r="P2742" s="40"/>
      <c r="Q2742" s="61"/>
      <c r="R2742" s="61"/>
      <c r="S2742" s="40"/>
      <c r="T2742" s="38"/>
      <c r="U2742" s="38"/>
      <c r="V2742" s="38"/>
      <c r="W2742" s="60"/>
      <c r="AB2742" s="42"/>
      <c r="AC2742" s="35"/>
      <c r="AD2742" s="38"/>
      <c r="AE2742" s="38"/>
      <c r="AF2742" s="38"/>
      <c r="AG2742" s="38"/>
      <c r="AH2742" s="60"/>
    </row>
    <row r="2743" spans="1:34" ht="15.75" customHeight="1">
      <c r="A2743" s="38" t="s">
        <v>9511</v>
      </c>
      <c r="B2743" s="34" t="s">
        <v>9772</v>
      </c>
      <c r="C2743" s="37" t="s">
        <v>24</v>
      </c>
      <c r="D2743" s="20" t="s">
        <v>9773</v>
      </c>
      <c r="E2743" s="20" t="s">
        <v>9774</v>
      </c>
      <c r="F2743" s="19" t="s">
        <v>90</v>
      </c>
      <c r="G2743" s="19" t="s">
        <v>91</v>
      </c>
      <c r="H2743" s="37"/>
      <c r="I2743" s="21" t="s">
        <v>29</v>
      </c>
      <c r="J2743" s="21" t="s">
        <v>29</v>
      </c>
      <c r="K2743" s="22" t="s">
        <v>9774</v>
      </c>
      <c r="L2743" s="56">
        <v>45092</v>
      </c>
      <c r="O2743" s="42"/>
      <c r="P2743" s="40"/>
      <c r="Q2743" s="61"/>
      <c r="R2743" s="61"/>
      <c r="S2743" s="40"/>
      <c r="T2743" s="38"/>
      <c r="U2743" s="38"/>
      <c r="V2743" s="38"/>
      <c r="W2743" s="60"/>
      <c r="AB2743" s="42"/>
      <c r="AC2743" s="35"/>
      <c r="AD2743" s="38"/>
      <c r="AE2743" s="38"/>
      <c r="AF2743" s="38"/>
      <c r="AG2743" s="38"/>
      <c r="AH2743" s="60"/>
    </row>
    <row r="2744" spans="1:34" ht="15.75" customHeight="1">
      <c r="A2744" s="38" t="s">
        <v>9775</v>
      </c>
      <c r="B2744" s="18" t="s">
        <v>9776</v>
      </c>
      <c r="C2744" s="37" t="s">
        <v>87</v>
      </c>
      <c r="D2744" s="20" t="s">
        <v>9777</v>
      </c>
      <c r="E2744" s="20" t="s">
        <v>9778</v>
      </c>
      <c r="F2744" s="19" t="s">
        <v>90</v>
      </c>
      <c r="G2744" s="19" t="s">
        <v>91</v>
      </c>
      <c r="H2744" s="37"/>
      <c r="I2744" s="21" t="s">
        <v>29</v>
      </c>
      <c r="J2744" s="21" t="s">
        <v>29</v>
      </c>
      <c r="K2744" s="22" t="s">
        <v>9779</v>
      </c>
      <c r="L2744" s="56">
        <v>45092</v>
      </c>
      <c r="O2744" s="42"/>
      <c r="P2744" s="40"/>
      <c r="Q2744" s="61"/>
      <c r="R2744" s="61"/>
      <c r="S2744" s="40"/>
      <c r="T2744" s="38"/>
      <c r="U2744" s="38"/>
      <c r="V2744" s="38"/>
      <c r="W2744" s="60"/>
      <c r="AB2744" s="42"/>
      <c r="AC2744" s="35"/>
      <c r="AD2744" s="38"/>
      <c r="AE2744" s="38"/>
      <c r="AF2744" s="38"/>
      <c r="AG2744" s="38"/>
      <c r="AH2744" s="60"/>
    </row>
    <row r="2745" spans="1:34" ht="15.75" customHeight="1">
      <c r="A2745" s="111" t="s">
        <v>56</v>
      </c>
      <c r="B2745" s="18" t="s">
        <v>9780</v>
      </c>
      <c r="C2745" s="37" t="s">
        <v>46</v>
      </c>
      <c r="D2745" s="20" t="s">
        <v>9781</v>
      </c>
      <c r="E2745" s="20" t="s">
        <v>9782</v>
      </c>
      <c r="F2745" s="37" t="s">
        <v>49</v>
      </c>
      <c r="G2745" s="19" t="s">
        <v>50</v>
      </c>
      <c r="H2745" s="37"/>
      <c r="I2745" s="21" t="s">
        <v>29</v>
      </c>
      <c r="J2745" s="21" t="s">
        <v>29</v>
      </c>
      <c r="K2745" s="22" t="s">
        <v>9783</v>
      </c>
      <c r="L2745" s="56">
        <v>45092</v>
      </c>
      <c r="O2745" s="42"/>
      <c r="P2745" s="40"/>
      <c r="Q2745" s="61"/>
      <c r="R2745" s="61"/>
      <c r="S2745" s="40"/>
      <c r="T2745" s="38"/>
      <c r="U2745" s="38"/>
      <c r="V2745" s="38"/>
      <c r="W2745" s="60"/>
      <c r="AB2745" s="42"/>
      <c r="AC2745" s="35"/>
      <c r="AD2745" s="38"/>
      <c r="AE2745" s="38"/>
      <c r="AF2745" s="38"/>
      <c r="AG2745" s="38"/>
      <c r="AH2745" s="60"/>
    </row>
    <row r="2746" spans="1:34" ht="15.75" customHeight="1">
      <c r="A2746" s="75">
        <v>55</v>
      </c>
      <c r="B2746" s="18" t="s">
        <v>9784</v>
      </c>
      <c r="C2746" s="37" t="s">
        <v>24</v>
      </c>
      <c r="D2746" s="20" t="s">
        <v>9785</v>
      </c>
      <c r="E2746" s="20" t="s">
        <v>9786</v>
      </c>
      <c r="F2746" s="19" t="s">
        <v>27</v>
      </c>
      <c r="G2746" s="19" t="s">
        <v>28</v>
      </c>
      <c r="H2746" s="37"/>
      <c r="I2746" s="21" t="s">
        <v>29</v>
      </c>
      <c r="J2746" s="21" t="s">
        <v>29</v>
      </c>
      <c r="K2746" s="22" t="s">
        <v>9787</v>
      </c>
      <c r="L2746" s="56">
        <v>45092</v>
      </c>
      <c r="O2746" s="42"/>
      <c r="P2746" s="40"/>
      <c r="Q2746" s="61"/>
      <c r="R2746" s="61"/>
      <c r="S2746" s="40"/>
      <c r="T2746" s="38"/>
      <c r="U2746" s="38"/>
      <c r="V2746" s="38"/>
      <c r="W2746" s="60"/>
      <c r="AB2746" s="42"/>
      <c r="AC2746" s="35"/>
      <c r="AD2746" s="38"/>
      <c r="AE2746" s="38"/>
      <c r="AF2746" s="38"/>
      <c r="AG2746" s="38"/>
      <c r="AH2746" s="60"/>
    </row>
    <row r="2747" spans="1:34" ht="15.75" customHeight="1">
      <c r="A2747" s="111" t="s">
        <v>64</v>
      </c>
      <c r="B2747" s="18" t="s">
        <v>9788</v>
      </c>
      <c r="C2747" s="37" t="s">
        <v>412</v>
      </c>
      <c r="D2747" s="20" t="s">
        <v>9789</v>
      </c>
      <c r="E2747" s="20" t="s">
        <v>9790</v>
      </c>
      <c r="F2747" s="19" t="s">
        <v>414</v>
      </c>
      <c r="G2747" s="37" t="s">
        <v>415</v>
      </c>
      <c r="H2747" s="37"/>
      <c r="I2747" s="21" t="s">
        <v>233</v>
      </c>
      <c r="J2747" s="21" t="s">
        <v>233</v>
      </c>
      <c r="K2747" s="22" t="s">
        <v>9790</v>
      </c>
      <c r="L2747" s="56">
        <v>45092</v>
      </c>
      <c r="O2747" s="42"/>
      <c r="P2747" s="40"/>
      <c r="Q2747" s="61"/>
      <c r="R2747" s="61"/>
      <c r="S2747" s="40"/>
      <c r="T2747" s="38"/>
      <c r="U2747" s="38"/>
      <c r="V2747" s="38"/>
      <c r="W2747" s="60"/>
      <c r="AB2747" s="42"/>
      <c r="AC2747" s="35"/>
      <c r="AD2747" s="38"/>
      <c r="AE2747" s="38"/>
      <c r="AF2747" s="38"/>
      <c r="AG2747" s="38"/>
      <c r="AH2747" s="60"/>
    </row>
    <row r="2748" spans="1:34" ht="15.75" customHeight="1">
      <c r="A2748" s="75">
        <v>2.9</v>
      </c>
      <c r="B2748" s="18" t="s">
        <v>9791</v>
      </c>
      <c r="C2748" s="37" t="s">
        <v>24</v>
      </c>
      <c r="D2748" s="20" t="s">
        <v>9792</v>
      </c>
      <c r="E2748" s="20" t="s">
        <v>9793</v>
      </c>
      <c r="F2748" s="19" t="s">
        <v>27</v>
      </c>
      <c r="G2748" s="19" t="s">
        <v>28</v>
      </c>
      <c r="H2748" s="37"/>
      <c r="I2748" s="21" t="s">
        <v>29</v>
      </c>
      <c r="J2748" s="21" t="s">
        <v>29</v>
      </c>
      <c r="K2748" s="22" t="s">
        <v>9793</v>
      </c>
      <c r="L2748" s="56">
        <v>45092</v>
      </c>
      <c r="O2748" s="42"/>
      <c r="P2748" s="40"/>
      <c r="Q2748" s="61"/>
      <c r="R2748" s="61"/>
      <c r="S2748" s="40"/>
      <c r="T2748" s="38"/>
      <c r="U2748" s="38"/>
      <c r="V2748" s="38"/>
      <c r="W2748" s="60"/>
      <c r="AB2748" s="42"/>
      <c r="AC2748" s="35"/>
      <c r="AD2748" s="38"/>
      <c r="AE2748" s="38"/>
      <c r="AF2748" s="38"/>
      <c r="AG2748" s="38"/>
      <c r="AH2748" s="60"/>
    </row>
    <row r="2749" spans="1:34" ht="15.75" customHeight="1">
      <c r="A2749" s="111" t="s">
        <v>73</v>
      </c>
      <c r="B2749" s="18" t="s">
        <v>9794</v>
      </c>
      <c r="C2749" s="37" t="s">
        <v>1638</v>
      </c>
      <c r="D2749" s="20" t="s">
        <v>9795</v>
      </c>
      <c r="E2749" s="20" t="s">
        <v>9796</v>
      </c>
      <c r="F2749" s="37" t="s">
        <v>1399</v>
      </c>
      <c r="G2749" s="19" t="s">
        <v>1641</v>
      </c>
      <c r="H2749" s="37"/>
      <c r="I2749" s="21" t="s">
        <v>1371</v>
      </c>
      <c r="J2749" s="21" t="s">
        <v>1371</v>
      </c>
      <c r="K2749" s="22" t="s">
        <v>9797</v>
      </c>
      <c r="L2749" s="56">
        <v>45092</v>
      </c>
      <c r="O2749" s="42"/>
      <c r="P2749" s="40"/>
      <c r="Q2749" s="61"/>
      <c r="R2749" s="61"/>
      <c r="S2749" s="40"/>
      <c r="T2749" s="38"/>
      <c r="U2749" s="38"/>
      <c r="V2749" s="38"/>
      <c r="W2749" s="60"/>
      <c r="AB2749" s="42"/>
      <c r="AC2749" s="35"/>
      <c r="AD2749" s="38"/>
      <c r="AE2749" s="38"/>
      <c r="AF2749" s="38"/>
      <c r="AG2749" s="38"/>
      <c r="AH2749" s="60"/>
    </row>
    <row r="2750" spans="1:34" ht="15.75" customHeight="1">
      <c r="A2750" s="75">
        <v>3.6</v>
      </c>
      <c r="B2750" s="18" t="s">
        <v>9798</v>
      </c>
      <c r="C2750" s="37" t="s">
        <v>1430</v>
      </c>
      <c r="D2750" s="20" t="s">
        <v>9799</v>
      </c>
      <c r="E2750" s="20" t="s">
        <v>9800</v>
      </c>
      <c r="F2750" s="55" t="s">
        <v>1445</v>
      </c>
      <c r="G2750" s="55" t="s">
        <v>1432</v>
      </c>
      <c r="H2750" s="37"/>
      <c r="I2750" s="21" t="s">
        <v>233</v>
      </c>
      <c r="J2750" s="21" t="s">
        <v>233</v>
      </c>
      <c r="K2750" s="22" t="s">
        <v>9800</v>
      </c>
      <c r="L2750" s="56">
        <v>45092</v>
      </c>
      <c r="O2750" s="42"/>
      <c r="P2750" s="40"/>
      <c r="Q2750" s="61"/>
      <c r="R2750" s="61"/>
      <c r="S2750" s="40"/>
      <c r="T2750" s="38"/>
      <c r="U2750" s="38"/>
      <c r="V2750" s="38"/>
      <c r="W2750" s="60"/>
      <c r="AB2750" s="42"/>
      <c r="AC2750" s="35"/>
      <c r="AD2750" s="38"/>
      <c r="AE2750" s="38"/>
      <c r="AF2750" s="38"/>
      <c r="AG2750" s="38"/>
      <c r="AH2750" s="60"/>
    </row>
    <row r="2751" spans="1:34" ht="15.75" customHeight="1">
      <c r="A2751" s="111" t="s">
        <v>82</v>
      </c>
      <c r="B2751" s="18" t="s">
        <v>9801</v>
      </c>
      <c r="C2751" s="37" t="s">
        <v>1430</v>
      </c>
      <c r="D2751" s="20" t="s">
        <v>9802</v>
      </c>
      <c r="E2751" s="20" t="s">
        <v>9803</v>
      </c>
      <c r="F2751" s="55" t="s">
        <v>1445</v>
      </c>
      <c r="G2751" s="55" t="s">
        <v>1432</v>
      </c>
      <c r="H2751" s="37"/>
      <c r="I2751" s="21" t="s">
        <v>233</v>
      </c>
      <c r="J2751" s="21" t="s">
        <v>233</v>
      </c>
      <c r="K2751" s="22" t="s">
        <v>9803</v>
      </c>
      <c r="L2751" s="56">
        <v>45092</v>
      </c>
      <c r="O2751" s="42"/>
      <c r="P2751" s="40"/>
      <c r="Q2751" s="61"/>
      <c r="R2751" s="61"/>
      <c r="S2751" s="40"/>
      <c r="T2751" s="38"/>
      <c r="U2751" s="38"/>
      <c r="V2751" s="38"/>
      <c r="W2751" s="60"/>
      <c r="AB2751" s="42"/>
      <c r="AC2751" s="35"/>
      <c r="AD2751" s="38"/>
      <c r="AE2751" s="38"/>
      <c r="AF2751" s="38"/>
      <c r="AG2751" s="38"/>
      <c r="AH2751" s="60"/>
    </row>
    <row r="2752" spans="1:34" ht="15.75" customHeight="1">
      <c r="A2752" s="75" t="s">
        <v>9804</v>
      </c>
      <c r="B2752" s="18" t="s">
        <v>9805</v>
      </c>
      <c r="C2752" s="37" t="s">
        <v>1470</v>
      </c>
      <c r="D2752" s="20" t="s">
        <v>9806</v>
      </c>
      <c r="E2752" s="20" t="s">
        <v>9807</v>
      </c>
      <c r="F2752" s="19" t="s">
        <v>3286</v>
      </c>
      <c r="G2752" s="37" t="s">
        <v>1461</v>
      </c>
      <c r="H2752" s="37"/>
      <c r="I2752" s="21" t="s">
        <v>233</v>
      </c>
      <c r="J2752" s="21" t="s">
        <v>233</v>
      </c>
      <c r="K2752" s="22" t="s">
        <v>9807</v>
      </c>
      <c r="L2752" s="56">
        <v>45092</v>
      </c>
      <c r="O2752" s="42"/>
      <c r="P2752" s="40"/>
      <c r="Q2752" s="61"/>
      <c r="R2752" s="61"/>
      <c r="S2752" s="40"/>
      <c r="T2752" s="38"/>
      <c r="U2752" s="38"/>
      <c r="V2752" s="38"/>
      <c r="W2752" s="60"/>
      <c r="AB2752" s="42"/>
      <c r="AC2752" s="35"/>
      <c r="AD2752" s="38"/>
      <c r="AE2752" s="38"/>
      <c r="AF2752" s="38"/>
      <c r="AG2752" s="38"/>
      <c r="AH2752" s="60"/>
    </row>
    <row r="2753" spans="1:34" ht="15.75" customHeight="1">
      <c r="A2753" s="111" t="s">
        <v>92</v>
      </c>
      <c r="B2753" s="18" t="s">
        <v>9808</v>
      </c>
      <c r="C2753" s="37" t="s">
        <v>24</v>
      </c>
      <c r="D2753" s="20" t="s">
        <v>9809</v>
      </c>
      <c r="E2753" s="20" t="s">
        <v>9810</v>
      </c>
      <c r="F2753" s="19" t="s">
        <v>27</v>
      </c>
      <c r="G2753" s="19" t="s">
        <v>28</v>
      </c>
      <c r="H2753" s="37"/>
      <c r="I2753" s="21" t="s">
        <v>29</v>
      </c>
      <c r="J2753" s="21" t="s">
        <v>29</v>
      </c>
      <c r="K2753" s="22" t="s">
        <v>9810</v>
      </c>
      <c r="L2753" s="56">
        <v>45092</v>
      </c>
      <c r="O2753" s="42"/>
      <c r="P2753" s="40"/>
      <c r="Q2753" s="61"/>
      <c r="R2753" s="61"/>
      <c r="S2753" s="40"/>
      <c r="T2753" s="38"/>
      <c r="U2753" s="38"/>
      <c r="V2753" s="38"/>
      <c r="W2753" s="60"/>
      <c r="AB2753" s="42"/>
      <c r="AC2753" s="35"/>
      <c r="AD2753" s="38"/>
      <c r="AE2753" s="38"/>
      <c r="AF2753" s="38"/>
      <c r="AG2753" s="38"/>
      <c r="AH2753" s="60"/>
    </row>
    <row r="2754" spans="1:34" ht="15.75" customHeight="1">
      <c r="A2754" s="112">
        <v>554</v>
      </c>
      <c r="B2754" s="18" t="s">
        <v>9811</v>
      </c>
      <c r="C2754" s="37" t="s">
        <v>1430</v>
      </c>
      <c r="D2754" s="20" t="s">
        <v>9812</v>
      </c>
      <c r="E2754" s="20" t="s">
        <v>9813</v>
      </c>
      <c r="F2754" s="55" t="s">
        <v>1445</v>
      </c>
      <c r="G2754" s="55" t="s">
        <v>1432</v>
      </c>
      <c r="H2754" s="37"/>
      <c r="I2754" s="21" t="s">
        <v>233</v>
      </c>
      <c r="J2754" s="21" t="s">
        <v>233</v>
      </c>
      <c r="K2754" s="22" t="s">
        <v>9814</v>
      </c>
      <c r="L2754" s="56">
        <v>45092</v>
      </c>
      <c r="O2754" s="42"/>
      <c r="P2754" s="40"/>
      <c r="Q2754" s="61"/>
      <c r="R2754" s="61"/>
      <c r="S2754" s="40"/>
      <c r="T2754" s="38"/>
      <c r="U2754" s="38"/>
      <c r="V2754" s="38"/>
      <c r="W2754" s="60"/>
      <c r="AB2754" s="42"/>
      <c r="AC2754" s="35"/>
      <c r="AD2754" s="38"/>
      <c r="AE2754" s="38"/>
      <c r="AF2754" s="38"/>
      <c r="AG2754" s="38"/>
      <c r="AH2754" s="60"/>
    </row>
    <row r="2755" spans="1:34" ht="15.75" customHeight="1">
      <c r="A2755" s="111"/>
      <c r="B2755" s="29" t="s">
        <v>9815</v>
      </c>
      <c r="C2755" s="37" t="s">
        <v>1638</v>
      </c>
      <c r="D2755" s="20" t="s">
        <v>9816</v>
      </c>
      <c r="E2755" s="20" t="s">
        <v>9817</v>
      </c>
      <c r="F2755" s="37" t="s">
        <v>286</v>
      </c>
      <c r="G2755" s="19" t="s">
        <v>1641</v>
      </c>
      <c r="H2755" s="37"/>
      <c r="I2755" s="21" t="s">
        <v>286</v>
      </c>
      <c r="J2755" s="21" t="s">
        <v>29</v>
      </c>
      <c r="K2755" s="22" t="s">
        <v>9818</v>
      </c>
      <c r="L2755" s="56"/>
      <c r="O2755" s="42"/>
      <c r="P2755" s="40"/>
      <c r="Q2755" s="61"/>
      <c r="R2755" s="61"/>
      <c r="S2755" s="40"/>
      <c r="T2755" s="38"/>
      <c r="U2755" s="38"/>
      <c r="V2755" s="38"/>
      <c r="W2755" s="60"/>
      <c r="AB2755" s="42"/>
      <c r="AC2755" s="35"/>
      <c r="AD2755" s="38"/>
      <c r="AE2755" s="38"/>
      <c r="AF2755" s="38"/>
      <c r="AG2755" s="38"/>
      <c r="AH2755" s="60"/>
    </row>
    <row r="2756" spans="1:34" ht="15.75" customHeight="1">
      <c r="A2756" s="111" t="s">
        <v>100</v>
      </c>
      <c r="B2756" s="18" t="s">
        <v>9819</v>
      </c>
      <c r="C2756" s="37" t="s">
        <v>24</v>
      </c>
      <c r="D2756" s="20" t="s">
        <v>9820</v>
      </c>
      <c r="E2756" s="20" t="s">
        <v>9821</v>
      </c>
      <c r="F2756" s="19" t="s">
        <v>27</v>
      </c>
      <c r="G2756" s="19" t="s">
        <v>28</v>
      </c>
      <c r="H2756" s="19" t="s">
        <v>36</v>
      </c>
      <c r="I2756" s="21" t="s">
        <v>29</v>
      </c>
      <c r="J2756" s="21" t="s">
        <v>29</v>
      </c>
      <c r="K2756" s="22" t="s">
        <v>9822</v>
      </c>
      <c r="L2756" s="56">
        <v>45092</v>
      </c>
      <c r="O2756" s="42"/>
      <c r="P2756" s="40"/>
      <c r="Q2756" s="61"/>
      <c r="R2756" s="61"/>
      <c r="S2756" s="40"/>
      <c r="T2756" s="38"/>
      <c r="U2756" s="38"/>
      <c r="V2756" s="38"/>
      <c r="W2756" s="60"/>
      <c r="AB2756" s="42"/>
      <c r="AC2756" s="35"/>
      <c r="AD2756" s="38"/>
      <c r="AE2756" s="38"/>
      <c r="AF2756" s="38"/>
      <c r="AG2756" s="38"/>
      <c r="AH2756" s="60"/>
    </row>
    <row r="2757" spans="1:34" ht="15.75" customHeight="1">
      <c r="A2757" s="75">
        <v>166</v>
      </c>
      <c r="B2757" s="18" t="s">
        <v>9823</v>
      </c>
      <c r="C2757" s="37" t="s">
        <v>24</v>
      </c>
      <c r="D2757" s="20" t="s">
        <v>9824</v>
      </c>
      <c r="E2757" s="20" t="s">
        <v>9825</v>
      </c>
      <c r="F2757" s="19" t="s">
        <v>27</v>
      </c>
      <c r="G2757" s="19" t="s">
        <v>28</v>
      </c>
      <c r="H2757" s="37"/>
      <c r="I2757" s="21" t="s">
        <v>29</v>
      </c>
      <c r="J2757" s="21" t="s">
        <v>29</v>
      </c>
      <c r="K2757" s="22" t="s">
        <v>9825</v>
      </c>
      <c r="L2757" s="56">
        <v>45092</v>
      </c>
      <c r="O2757" s="42"/>
      <c r="P2757" s="40"/>
      <c r="Q2757" s="61"/>
      <c r="R2757" s="61"/>
      <c r="S2757" s="40"/>
      <c r="T2757" s="38"/>
      <c r="U2757" s="38"/>
      <c r="V2757" s="38"/>
      <c r="W2757" s="60"/>
      <c r="AB2757" s="42"/>
      <c r="AC2757" s="35"/>
      <c r="AD2757" s="38"/>
      <c r="AE2757" s="38"/>
      <c r="AF2757" s="38"/>
      <c r="AG2757" s="38"/>
      <c r="AH2757" s="60"/>
    </row>
    <row r="2758" spans="1:34" ht="15.75" customHeight="1">
      <c r="B2758" s="18" t="s">
        <v>9826</v>
      </c>
      <c r="C2758" s="37" t="s">
        <v>24</v>
      </c>
      <c r="D2758" s="20" t="s">
        <v>9827</v>
      </c>
      <c r="E2758" s="20" t="s">
        <v>9828</v>
      </c>
      <c r="F2758" s="19" t="s">
        <v>27</v>
      </c>
      <c r="G2758" s="19" t="s">
        <v>28</v>
      </c>
      <c r="H2758" s="37"/>
      <c r="I2758" s="21" t="s">
        <v>29</v>
      </c>
      <c r="J2758" s="21" t="s">
        <v>29</v>
      </c>
      <c r="K2758" s="22" t="s">
        <v>9829</v>
      </c>
      <c r="L2758" s="56">
        <v>45092</v>
      </c>
      <c r="O2758" s="42"/>
      <c r="P2758" s="40"/>
      <c r="Q2758" s="61"/>
      <c r="R2758" s="61"/>
      <c r="S2758" s="40"/>
      <c r="T2758" s="38"/>
      <c r="U2758" s="38"/>
      <c r="V2758" s="38"/>
      <c r="W2758" s="60"/>
      <c r="AB2758" s="42"/>
      <c r="AC2758" s="35"/>
      <c r="AD2758" s="38"/>
      <c r="AE2758" s="38"/>
      <c r="AF2758" s="38"/>
      <c r="AG2758" s="38"/>
      <c r="AH2758" s="60"/>
    </row>
    <row r="2759" spans="1:34" ht="15.75" customHeight="1">
      <c r="A2759" s="35"/>
      <c r="B2759" s="18" t="s">
        <v>9830</v>
      </c>
      <c r="C2759" s="37" t="s">
        <v>87</v>
      </c>
      <c r="D2759" s="20" t="s">
        <v>9831</v>
      </c>
      <c r="E2759" s="20" t="s">
        <v>9832</v>
      </c>
      <c r="F2759" s="19" t="s">
        <v>90</v>
      </c>
      <c r="G2759" s="19" t="s">
        <v>91</v>
      </c>
      <c r="H2759" s="37"/>
      <c r="I2759" s="21" t="s">
        <v>29</v>
      </c>
      <c r="J2759" s="21" t="s">
        <v>29</v>
      </c>
      <c r="K2759" s="22" t="s">
        <v>9832</v>
      </c>
      <c r="L2759" s="56">
        <v>45092</v>
      </c>
      <c r="O2759" s="42"/>
      <c r="P2759" s="40"/>
      <c r="Q2759" s="61"/>
      <c r="R2759" s="61"/>
      <c r="S2759" s="40"/>
      <c r="T2759" s="38"/>
      <c r="U2759" s="38"/>
      <c r="V2759" s="38"/>
      <c r="W2759" s="60"/>
      <c r="AB2759" s="42"/>
      <c r="AC2759" s="35"/>
      <c r="AD2759" s="38"/>
      <c r="AE2759" s="38"/>
      <c r="AF2759" s="38"/>
      <c r="AG2759" s="38"/>
      <c r="AH2759" s="60"/>
    </row>
    <row r="2760" spans="1:34" ht="15.75" customHeight="1">
      <c r="A2760" s="35"/>
      <c r="B2760" s="18" t="s">
        <v>9833</v>
      </c>
      <c r="C2760" s="37" t="s">
        <v>87</v>
      </c>
      <c r="D2760" s="20" t="s">
        <v>9834</v>
      </c>
      <c r="E2760" s="20" t="s">
        <v>9835</v>
      </c>
      <c r="F2760" s="19" t="s">
        <v>90</v>
      </c>
      <c r="G2760" s="19" t="s">
        <v>91</v>
      </c>
      <c r="H2760" s="37"/>
      <c r="I2760" s="21" t="s">
        <v>29</v>
      </c>
      <c r="J2760" s="21" t="s">
        <v>29</v>
      </c>
      <c r="K2760" s="22" t="s">
        <v>9836</v>
      </c>
      <c r="L2760" s="56">
        <v>45092</v>
      </c>
      <c r="O2760" s="42"/>
      <c r="P2760" s="40"/>
      <c r="Q2760" s="61"/>
      <c r="R2760" s="61"/>
      <c r="S2760" s="40"/>
      <c r="T2760" s="38"/>
      <c r="U2760" s="38"/>
      <c r="V2760" s="38"/>
      <c r="W2760" s="60"/>
      <c r="AB2760" s="42"/>
      <c r="AC2760" s="35"/>
      <c r="AD2760" s="38"/>
      <c r="AE2760" s="38"/>
      <c r="AF2760" s="38"/>
      <c r="AG2760" s="38"/>
      <c r="AH2760" s="60"/>
    </row>
    <row r="2761" spans="1:34" ht="15.75" customHeight="1">
      <c r="A2761" s="122"/>
      <c r="B2761" s="18" t="s">
        <v>9837</v>
      </c>
      <c r="C2761" s="37" t="s">
        <v>46</v>
      </c>
      <c r="D2761" s="20" t="s">
        <v>9838</v>
      </c>
      <c r="E2761" s="20" t="s">
        <v>9839</v>
      </c>
      <c r="F2761" s="37" t="s">
        <v>49</v>
      </c>
      <c r="G2761" s="19" t="s">
        <v>50</v>
      </c>
      <c r="H2761" s="37"/>
      <c r="I2761" s="21" t="s">
        <v>29</v>
      </c>
      <c r="J2761" s="21" t="s">
        <v>29</v>
      </c>
      <c r="K2761" s="22" t="s">
        <v>9840</v>
      </c>
      <c r="L2761" s="56">
        <v>45092</v>
      </c>
      <c r="P2761" s="40"/>
      <c r="Q2761" s="61"/>
      <c r="R2761" s="61"/>
      <c r="S2761" s="40"/>
      <c r="T2761" s="38"/>
      <c r="U2761" s="38"/>
      <c r="V2761" s="38"/>
      <c r="W2761" s="60"/>
      <c r="AB2761" s="42"/>
      <c r="AC2761" s="35"/>
      <c r="AD2761" s="38"/>
      <c r="AE2761" s="38"/>
      <c r="AF2761" s="38"/>
      <c r="AG2761" s="38"/>
      <c r="AH2761" s="60"/>
    </row>
    <row r="2762" spans="1:34" ht="15.75" customHeight="1">
      <c r="A2762" s="122"/>
      <c r="B2762" s="38"/>
      <c r="C2762" s="37"/>
      <c r="D2762" s="20"/>
      <c r="E2762" s="20"/>
      <c r="F2762" s="37"/>
      <c r="G2762" s="37"/>
      <c r="H2762" s="37"/>
      <c r="I2762" s="21"/>
      <c r="J2762" s="21"/>
      <c r="K2762" s="22"/>
      <c r="L2762" s="39"/>
      <c r="P2762" s="40"/>
      <c r="Q2762" s="61"/>
      <c r="R2762" s="61"/>
      <c r="S2762" s="40"/>
      <c r="T2762" s="38"/>
      <c r="U2762" s="38"/>
      <c r="V2762" s="38"/>
      <c r="W2762" s="60"/>
      <c r="AB2762" s="42"/>
      <c r="AC2762" s="35"/>
      <c r="AD2762" s="38"/>
      <c r="AE2762" s="38"/>
      <c r="AF2762" s="38"/>
      <c r="AG2762" s="38"/>
      <c r="AH2762" s="60"/>
    </row>
    <row r="2763" spans="1:34" ht="15.75" customHeight="1">
      <c r="A2763" s="38" t="s">
        <v>9841</v>
      </c>
      <c r="B2763" s="29" t="s">
        <v>9842</v>
      </c>
      <c r="C2763" s="37" t="s">
        <v>24</v>
      </c>
      <c r="D2763" s="20" t="s">
        <v>9843</v>
      </c>
      <c r="E2763" s="20" t="s">
        <v>9844</v>
      </c>
      <c r="F2763" s="19" t="s">
        <v>27</v>
      </c>
      <c r="G2763" s="19" t="s">
        <v>28</v>
      </c>
      <c r="H2763" s="37"/>
      <c r="I2763" s="21" t="s">
        <v>29</v>
      </c>
      <c r="J2763" s="21" t="s">
        <v>29</v>
      </c>
      <c r="K2763" s="22" t="s">
        <v>9845</v>
      </c>
      <c r="L2763" s="56">
        <v>45092</v>
      </c>
      <c r="M2763" s="40"/>
      <c r="N2763" s="40"/>
      <c r="P2763" s="40"/>
      <c r="Q2763" s="61"/>
      <c r="R2763" s="61"/>
      <c r="S2763" s="40"/>
      <c r="T2763" s="38"/>
      <c r="U2763" s="38"/>
      <c r="V2763" s="38"/>
      <c r="W2763" s="60"/>
      <c r="AB2763" s="42"/>
      <c r="AC2763" s="35"/>
      <c r="AD2763" s="38"/>
      <c r="AE2763" s="38"/>
      <c r="AF2763" s="38"/>
      <c r="AG2763" s="38"/>
      <c r="AH2763" s="60"/>
    </row>
    <row r="2764" spans="1:34" ht="15.75" customHeight="1">
      <c r="A2764" s="54" t="s">
        <v>8241</v>
      </c>
      <c r="B2764" s="18" t="s">
        <v>9846</v>
      </c>
      <c r="C2764" s="37" t="s">
        <v>87</v>
      </c>
      <c r="D2764" s="20" t="s">
        <v>9847</v>
      </c>
      <c r="E2764" s="20" t="s">
        <v>9848</v>
      </c>
      <c r="F2764" s="19" t="s">
        <v>90</v>
      </c>
      <c r="G2764" s="19" t="s">
        <v>91</v>
      </c>
      <c r="H2764" s="37"/>
      <c r="I2764" s="21" t="s">
        <v>29</v>
      </c>
      <c r="J2764" s="21" t="s">
        <v>29</v>
      </c>
      <c r="K2764" s="22" t="s">
        <v>9849</v>
      </c>
      <c r="L2764" s="56">
        <v>45092</v>
      </c>
      <c r="P2764" s="40"/>
      <c r="Q2764" s="61"/>
      <c r="R2764" s="61"/>
      <c r="S2764" s="40"/>
      <c r="T2764" s="38"/>
      <c r="U2764" s="38"/>
      <c r="V2764" s="38"/>
      <c r="W2764" s="60"/>
      <c r="AB2764" s="42"/>
      <c r="AC2764" s="35"/>
      <c r="AD2764" s="38"/>
      <c r="AE2764" s="38"/>
      <c r="AF2764" s="38"/>
      <c r="AG2764" s="38"/>
      <c r="AH2764" s="60"/>
    </row>
    <row r="2765" spans="1:34" ht="15.75" customHeight="1">
      <c r="A2765" s="114" t="s">
        <v>39</v>
      </c>
      <c r="B2765" s="18" t="s">
        <v>9850</v>
      </c>
      <c r="C2765" s="37" t="s">
        <v>46</v>
      </c>
      <c r="D2765" s="20" t="s">
        <v>9851</v>
      </c>
      <c r="E2765" s="20" t="s">
        <v>9852</v>
      </c>
      <c r="F2765" s="37" t="s">
        <v>49</v>
      </c>
      <c r="G2765" s="19" t="s">
        <v>50</v>
      </c>
      <c r="H2765" s="37"/>
      <c r="I2765" s="21" t="s">
        <v>29</v>
      </c>
      <c r="J2765" s="21" t="s">
        <v>29</v>
      </c>
      <c r="K2765" s="22" t="s">
        <v>9853</v>
      </c>
      <c r="L2765" s="56">
        <v>45092</v>
      </c>
      <c r="P2765" s="40"/>
      <c r="Q2765" s="61"/>
      <c r="R2765" s="61"/>
      <c r="S2765" s="40"/>
      <c r="T2765" s="38"/>
      <c r="U2765" s="38"/>
      <c r="V2765" s="38"/>
      <c r="W2765" s="60"/>
      <c r="AB2765" s="42"/>
      <c r="AC2765" s="35"/>
      <c r="AD2765" s="38"/>
      <c r="AE2765" s="38"/>
      <c r="AF2765" s="38"/>
      <c r="AG2765" s="38"/>
      <c r="AH2765" s="60"/>
    </row>
    <row r="2766" spans="1:34" ht="15.75" customHeight="1">
      <c r="A2766" s="38" t="s">
        <v>9511</v>
      </c>
      <c r="B2766" s="18" t="s">
        <v>9854</v>
      </c>
      <c r="C2766" s="37" t="s">
        <v>87</v>
      </c>
      <c r="D2766" s="20" t="s">
        <v>9855</v>
      </c>
      <c r="E2766" s="20" t="s">
        <v>9856</v>
      </c>
      <c r="F2766" s="19" t="s">
        <v>90</v>
      </c>
      <c r="G2766" s="19" t="s">
        <v>91</v>
      </c>
      <c r="H2766" s="37"/>
      <c r="I2766" s="21" t="s">
        <v>29</v>
      </c>
      <c r="J2766" s="21" t="s">
        <v>29</v>
      </c>
      <c r="K2766" s="22" t="s">
        <v>9857</v>
      </c>
      <c r="L2766" s="56">
        <v>45092</v>
      </c>
      <c r="P2766" s="40"/>
      <c r="Q2766" s="61"/>
      <c r="R2766" s="61"/>
      <c r="S2766" s="40"/>
      <c r="T2766" s="38"/>
      <c r="U2766" s="38"/>
      <c r="V2766" s="38"/>
      <c r="W2766" s="60"/>
      <c r="AB2766" s="42"/>
      <c r="AC2766" s="35"/>
      <c r="AD2766" s="38"/>
      <c r="AE2766" s="38"/>
      <c r="AF2766" s="38"/>
      <c r="AG2766" s="38"/>
      <c r="AH2766" s="60"/>
    </row>
    <row r="2767" spans="1:34" ht="15.75" customHeight="1">
      <c r="A2767" s="38" t="s">
        <v>8513</v>
      </c>
      <c r="B2767" s="18" t="s">
        <v>9858</v>
      </c>
      <c r="C2767" s="37" t="s">
        <v>87</v>
      </c>
      <c r="D2767" s="20" t="s">
        <v>9859</v>
      </c>
      <c r="E2767" s="20" t="s">
        <v>9860</v>
      </c>
      <c r="F2767" s="19" t="s">
        <v>90</v>
      </c>
      <c r="G2767" s="19" t="s">
        <v>91</v>
      </c>
      <c r="H2767" s="37"/>
      <c r="I2767" s="21" t="s">
        <v>29</v>
      </c>
      <c r="J2767" s="21" t="s">
        <v>29</v>
      </c>
      <c r="K2767" s="22" t="s">
        <v>9861</v>
      </c>
      <c r="L2767" s="56">
        <v>45092</v>
      </c>
      <c r="P2767" s="40"/>
      <c r="Q2767" s="61"/>
      <c r="R2767" s="61"/>
      <c r="S2767" s="40"/>
      <c r="T2767" s="38"/>
      <c r="U2767" s="38"/>
      <c r="V2767" s="38"/>
      <c r="W2767" s="60"/>
      <c r="AB2767" s="42"/>
      <c r="AC2767" s="35"/>
      <c r="AD2767" s="38"/>
      <c r="AE2767" s="38"/>
      <c r="AF2767" s="38"/>
      <c r="AG2767" s="38"/>
      <c r="AH2767" s="60"/>
    </row>
    <row r="2768" spans="1:34" ht="15.75" customHeight="1">
      <c r="A2768" s="111" t="s">
        <v>56</v>
      </c>
      <c r="B2768" s="18" t="s">
        <v>9862</v>
      </c>
      <c r="C2768" s="37" t="s">
        <v>24</v>
      </c>
      <c r="D2768" s="20" t="s">
        <v>9863</v>
      </c>
      <c r="E2768" s="20" t="s">
        <v>9864</v>
      </c>
      <c r="F2768" s="19" t="s">
        <v>27</v>
      </c>
      <c r="G2768" s="19" t="s">
        <v>28</v>
      </c>
      <c r="H2768" s="37"/>
      <c r="I2768" s="21" t="s">
        <v>29</v>
      </c>
      <c r="J2768" s="21" t="s">
        <v>29</v>
      </c>
      <c r="K2768" s="22" t="s">
        <v>9865</v>
      </c>
      <c r="L2768" s="56">
        <v>45092</v>
      </c>
      <c r="P2768" s="40"/>
      <c r="Q2768" s="61"/>
      <c r="R2768" s="61"/>
      <c r="S2768" s="40"/>
      <c r="T2768" s="38"/>
      <c r="U2768" s="38"/>
      <c r="V2768" s="38"/>
      <c r="W2768" s="60"/>
      <c r="AB2768" s="42"/>
      <c r="AC2768" s="35"/>
      <c r="AD2768" s="38"/>
      <c r="AE2768" s="38"/>
      <c r="AF2768" s="38"/>
      <c r="AG2768" s="38"/>
      <c r="AH2768" s="60"/>
    </row>
    <row r="2769" spans="1:34" ht="15.75" customHeight="1">
      <c r="A2769" s="75">
        <v>60</v>
      </c>
      <c r="B2769" s="18" t="s">
        <v>9866</v>
      </c>
      <c r="C2769" s="37" t="s">
        <v>24</v>
      </c>
      <c r="D2769" s="20" t="s">
        <v>9867</v>
      </c>
      <c r="E2769" s="20" t="s">
        <v>9868</v>
      </c>
      <c r="F2769" s="19" t="s">
        <v>27</v>
      </c>
      <c r="G2769" s="19" t="s">
        <v>28</v>
      </c>
      <c r="H2769" s="37" t="s">
        <v>762</v>
      </c>
      <c r="I2769" s="21" t="s">
        <v>29</v>
      </c>
      <c r="J2769" s="21" t="s">
        <v>29</v>
      </c>
      <c r="K2769" s="22" t="s">
        <v>9869</v>
      </c>
      <c r="L2769" s="56">
        <v>45092</v>
      </c>
      <c r="P2769" s="40"/>
      <c r="Q2769" s="61"/>
      <c r="R2769" s="61"/>
      <c r="S2769" s="40"/>
      <c r="T2769" s="38"/>
      <c r="U2769" s="38"/>
      <c r="V2769" s="38"/>
      <c r="W2769" s="60"/>
      <c r="AB2769" s="42"/>
      <c r="AC2769" s="35"/>
      <c r="AD2769" s="38"/>
      <c r="AE2769" s="38"/>
      <c r="AF2769" s="38"/>
      <c r="AG2769" s="38"/>
      <c r="AH2769" s="60"/>
    </row>
    <row r="2770" spans="1:34" ht="15.75" customHeight="1">
      <c r="A2770" s="111" t="s">
        <v>64</v>
      </c>
      <c r="B2770" s="18" t="s">
        <v>9870</v>
      </c>
      <c r="C2770" s="37" t="s">
        <v>24</v>
      </c>
      <c r="D2770" s="20" t="s">
        <v>9871</v>
      </c>
      <c r="E2770" s="20" t="s">
        <v>9872</v>
      </c>
      <c r="F2770" s="19" t="s">
        <v>27</v>
      </c>
      <c r="G2770" s="19" t="s">
        <v>28</v>
      </c>
      <c r="H2770" s="37"/>
      <c r="I2770" s="21" t="s">
        <v>29</v>
      </c>
      <c r="J2770" s="21" t="s">
        <v>29</v>
      </c>
      <c r="K2770" s="22" t="s">
        <v>9873</v>
      </c>
      <c r="L2770" s="56">
        <v>45092</v>
      </c>
      <c r="P2770" s="40"/>
      <c r="Q2770" s="61"/>
      <c r="R2770" s="61"/>
      <c r="S2770" s="40"/>
      <c r="T2770" s="38"/>
      <c r="U2770" s="38"/>
      <c r="V2770" s="38"/>
      <c r="W2770" s="60"/>
      <c r="AB2770" s="42"/>
      <c r="AC2770" s="35"/>
      <c r="AD2770" s="38"/>
      <c r="AE2770" s="38"/>
      <c r="AF2770" s="38"/>
      <c r="AG2770" s="38"/>
      <c r="AH2770" s="60"/>
    </row>
    <row r="2771" spans="1:34" ht="15.75" customHeight="1">
      <c r="A2771" s="75">
        <v>3</v>
      </c>
      <c r="B2771" s="18" t="s">
        <v>9874</v>
      </c>
      <c r="C2771" s="37" t="s">
        <v>24</v>
      </c>
      <c r="D2771" s="20" t="s">
        <v>9875</v>
      </c>
      <c r="E2771" s="20" t="s">
        <v>9876</v>
      </c>
      <c r="F2771" s="19" t="s">
        <v>27</v>
      </c>
      <c r="G2771" s="19" t="s">
        <v>28</v>
      </c>
      <c r="H2771" s="37"/>
      <c r="I2771" s="21" t="s">
        <v>29</v>
      </c>
      <c r="J2771" s="21" t="s">
        <v>29</v>
      </c>
      <c r="K2771" s="22" t="s">
        <v>9877</v>
      </c>
      <c r="L2771" s="56">
        <v>45092</v>
      </c>
      <c r="P2771" s="40"/>
      <c r="Q2771" s="61"/>
      <c r="R2771" s="61"/>
      <c r="S2771" s="40"/>
      <c r="T2771" s="38"/>
      <c r="U2771" s="38"/>
      <c r="V2771" s="38"/>
      <c r="W2771" s="60"/>
      <c r="AB2771" s="42"/>
      <c r="AC2771" s="35"/>
      <c r="AD2771" s="38"/>
      <c r="AE2771" s="38"/>
      <c r="AF2771" s="38"/>
      <c r="AG2771" s="38"/>
      <c r="AH2771" s="60"/>
    </row>
    <row r="2772" spans="1:34" ht="15.75" customHeight="1">
      <c r="A2772" s="111" t="s">
        <v>73</v>
      </c>
      <c r="B2772" s="18" t="s">
        <v>9878</v>
      </c>
      <c r="C2772" s="37" t="s">
        <v>87</v>
      </c>
      <c r="D2772" s="20" t="s">
        <v>9879</v>
      </c>
      <c r="E2772" s="20" t="s">
        <v>9880</v>
      </c>
      <c r="F2772" s="19" t="s">
        <v>90</v>
      </c>
      <c r="G2772" s="19" t="s">
        <v>91</v>
      </c>
      <c r="H2772" s="37"/>
      <c r="I2772" s="21" t="s">
        <v>29</v>
      </c>
      <c r="J2772" s="21" t="s">
        <v>29</v>
      </c>
      <c r="K2772" s="22" t="s">
        <v>9881</v>
      </c>
      <c r="L2772" s="56">
        <v>45092</v>
      </c>
      <c r="P2772" s="40"/>
      <c r="Q2772" s="61"/>
      <c r="R2772" s="61"/>
      <c r="S2772" s="40"/>
      <c r="T2772" s="38"/>
      <c r="U2772" s="38"/>
      <c r="V2772" s="38"/>
      <c r="W2772" s="60"/>
      <c r="AB2772" s="42"/>
      <c r="AC2772" s="35"/>
      <c r="AD2772" s="38"/>
      <c r="AE2772" s="38"/>
      <c r="AF2772" s="38"/>
      <c r="AG2772" s="38"/>
      <c r="AH2772" s="60"/>
    </row>
    <row r="2773" spans="1:34" ht="15.75" customHeight="1">
      <c r="A2773" s="75">
        <v>3.2</v>
      </c>
      <c r="B2773" s="18" t="s">
        <v>9882</v>
      </c>
      <c r="C2773" s="37" t="s">
        <v>46</v>
      </c>
      <c r="D2773" s="20" t="s">
        <v>9883</v>
      </c>
      <c r="E2773" s="20" t="s">
        <v>9884</v>
      </c>
      <c r="F2773" s="37" t="s">
        <v>49</v>
      </c>
      <c r="G2773" s="19" t="s">
        <v>50</v>
      </c>
      <c r="H2773" s="37"/>
      <c r="I2773" s="21" t="s">
        <v>29</v>
      </c>
      <c r="J2773" s="21" t="s">
        <v>29</v>
      </c>
      <c r="K2773" s="22" t="s">
        <v>9885</v>
      </c>
      <c r="L2773" s="56">
        <v>45092</v>
      </c>
      <c r="P2773" s="40"/>
      <c r="Q2773" s="61"/>
      <c r="R2773" s="61"/>
      <c r="S2773" s="40"/>
      <c r="T2773" s="38"/>
      <c r="U2773" s="38"/>
      <c r="V2773" s="38"/>
      <c r="W2773" s="60"/>
      <c r="AB2773" s="42"/>
      <c r="AC2773" s="35"/>
      <c r="AD2773" s="38"/>
      <c r="AE2773" s="38"/>
      <c r="AF2773" s="38"/>
      <c r="AG2773" s="38"/>
      <c r="AH2773" s="60"/>
    </row>
    <row r="2774" spans="1:34" ht="15.75" customHeight="1">
      <c r="A2774" s="111" t="s">
        <v>82</v>
      </c>
      <c r="B2774" s="18" t="s">
        <v>9886</v>
      </c>
      <c r="C2774" s="37" t="s">
        <v>46</v>
      </c>
      <c r="D2774" s="20" t="s">
        <v>9887</v>
      </c>
      <c r="E2774" s="20" t="s">
        <v>9888</v>
      </c>
      <c r="F2774" s="37" t="s">
        <v>49</v>
      </c>
      <c r="G2774" s="19" t="s">
        <v>50</v>
      </c>
      <c r="H2774" s="37"/>
      <c r="I2774" s="21" t="s">
        <v>29</v>
      </c>
      <c r="J2774" s="21" t="s">
        <v>29</v>
      </c>
      <c r="K2774" s="22" t="s">
        <v>9889</v>
      </c>
      <c r="L2774" s="56">
        <v>45092</v>
      </c>
      <c r="P2774" s="40"/>
      <c r="Q2774" s="61"/>
      <c r="R2774" s="61"/>
      <c r="S2774" s="40"/>
      <c r="T2774" s="38"/>
      <c r="U2774" s="38"/>
      <c r="V2774" s="38"/>
      <c r="W2774" s="60"/>
      <c r="AB2774" s="42"/>
      <c r="AC2774" s="35"/>
      <c r="AD2774" s="38"/>
      <c r="AE2774" s="38"/>
      <c r="AF2774" s="38"/>
      <c r="AG2774" s="38"/>
      <c r="AH2774" s="60"/>
    </row>
    <row r="2775" spans="1:34" ht="15.75" customHeight="1">
      <c r="A2775" s="75" t="s">
        <v>9890</v>
      </c>
      <c r="B2775" s="18" t="s">
        <v>9891</v>
      </c>
      <c r="C2775" s="37" t="s">
        <v>24</v>
      </c>
      <c r="D2775" s="20" t="s">
        <v>9892</v>
      </c>
      <c r="E2775" s="20" t="s">
        <v>9893</v>
      </c>
      <c r="F2775" s="19" t="s">
        <v>27</v>
      </c>
      <c r="G2775" s="19" t="s">
        <v>28</v>
      </c>
      <c r="H2775" s="37"/>
      <c r="I2775" s="21" t="s">
        <v>29</v>
      </c>
      <c r="J2775" s="21" t="s">
        <v>29</v>
      </c>
      <c r="K2775" s="22" t="s">
        <v>9894</v>
      </c>
      <c r="L2775" s="56">
        <v>45092</v>
      </c>
      <c r="P2775" s="40"/>
      <c r="Q2775" s="61"/>
      <c r="R2775" s="61"/>
      <c r="S2775" s="40"/>
      <c r="T2775" s="38"/>
      <c r="U2775" s="38"/>
      <c r="V2775" s="38"/>
      <c r="W2775" s="60"/>
      <c r="AB2775" s="42"/>
      <c r="AC2775" s="35"/>
      <c r="AD2775" s="38"/>
      <c r="AE2775" s="38"/>
      <c r="AF2775" s="38"/>
      <c r="AG2775" s="38"/>
      <c r="AH2775" s="60"/>
    </row>
    <row r="2776" spans="1:34" ht="15.75" customHeight="1">
      <c r="A2776" s="111" t="s">
        <v>92</v>
      </c>
      <c r="B2776" s="18" t="s">
        <v>9895</v>
      </c>
      <c r="C2776" s="37" t="s">
        <v>87</v>
      </c>
      <c r="D2776" s="20" t="s">
        <v>9896</v>
      </c>
      <c r="E2776" s="20" t="s">
        <v>9897</v>
      </c>
      <c r="F2776" s="19" t="s">
        <v>90</v>
      </c>
      <c r="G2776" s="19" t="s">
        <v>91</v>
      </c>
      <c r="H2776" s="37"/>
      <c r="I2776" s="21" t="s">
        <v>29</v>
      </c>
      <c r="J2776" s="21" t="s">
        <v>29</v>
      </c>
      <c r="K2776" s="22" t="s">
        <v>9898</v>
      </c>
      <c r="L2776" s="56">
        <v>45092</v>
      </c>
      <c r="P2776" s="40"/>
      <c r="Q2776" s="61"/>
      <c r="R2776" s="61"/>
      <c r="S2776" s="40"/>
      <c r="T2776" s="38"/>
      <c r="U2776" s="38"/>
      <c r="V2776" s="38"/>
      <c r="W2776" s="60"/>
      <c r="AB2776" s="42"/>
      <c r="AC2776" s="35"/>
      <c r="AD2776" s="38"/>
      <c r="AE2776" s="38"/>
      <c r="AF2776" s="38"/>
      <c r="AG2776" s="38"/>
      <c r="AH2776" s="60"/>
    </row>
    <row r="2777" spans="1:34" ht="15.75" customHeight="1">
      <c r="A2777" s="112">
        <v>2168</v>
      </c>
      <c r="B2777" s="36" t="s">
        <v>9899</v>
      </c>
      <c r="C2777" s="19" t="s">
        <v>121</v>
      </c>
      <c r="D2777" s="20" t="s">
        <v>9900</v>
      </c>
      <c r="E2777" s="20" t="s">
        <v>9901</v>
      </c>
      <c r="F2777" s="37" t="s">
        <v>49</v>
      </c>
      <c r="G2777" s="37" t="s">
        <v>452</v>
      </c>
      <c r="H2777" s="37"/>
      <c r="I2777" s="21" t="s">
        <v>29</v>
      </c>
      <c r="J2777" s="21" t="s">
        <v>452</v>
      </c>
      <c r="K2777" s="22" t="s">
        <v>9902</v>
      </c>
      <c r="L2777" s="56">
        <v>45092</v>
      </c>
      <c r="P2777" s="40"/>
      <c r="Q2777" s="61"/>
      <c r="R2777" s="61"/>
      <c r="S2777" s="40"/>
      <c r="T2777" s="38"/>
      <c r="U2777" s="38"/>
      <c r="V2777" s="38"/>
      <c r="W2777" s="60"/>
      <c r="AB2777" s="42"/>
      <c r="AC2777" s="35"/>
      <c r="AD2777" s="38"/>
      <c r="AE2777" s="38"/>
      <c r="AF2777" s="38"/>
      <c r="AG2777" s="38"/>
      <c r="AH2777" s="60"/>
    </row>
    <row r="2778" spans="1:34" ht="15.75" customHeight="1">
      <c r="A2778" s="111" t="s">
        <v>100</v>
      </c>
      <c r="B2778" s="18" t="s">
        <v>9903</v>
      </c>
      <c r="C2778" s="37" t="s">
        <v>24</v>
      </c>
      <c r="D2778" s="20" t="s">
        <v>9904</v>
      </c>
      <c r="E2778" s="20" t="s">
        <v>9905</v>
      </c>
      <c r="F2778" s="19" t="s">
        <v>27</v>
      </c>
      <c r="G2778" s="19" t="s">
        <v>28</v>
      </c>
      <c r="H2778" s="37"/>
      <c r="I2778" s="21" t="s">
        <v>29</v>
      </c>
      <c r="J2778" s="21" t="s">
        <v>29</v>
      </c>
      <c r="K2778" s="22" t="s">
        <v>9906</v>
      </c>
      <c r="L2778" s="56">
        <v>45092</v>
      </c>
      <c r="P2778" s="40"/>
      <c r="Q2778" s="61"/>
      <c r="R2778" s="61"/>
      <c r="S2778" s="40"/>
      <c r="T2778" s="38"/>
      <c r="U2778" s="38"/>
      <c r="V2778" s="38"/>
      <c r="W2778" s="60"/>
      <c r="AB2778" s="42"/>
      <c r="AC2778" s="35"/>
      <c r="AD2778" s="38"/>
      <c r="AE2778" s="38"/>
      <c r="AF2778" s="38"/>
      <c r="AG2778" s="38"/>
      <c r="AH2778" s="60"/>
    </row>
    <row r="2779" spans="1:34" ht="15.75" customHeight="1">
      <c r="A2779" s="75">
        <v>163</v>
      </c>
      <c r="B2779" s="18" t="s">
        <v>9907</v>
      </c>
      <c r="C2779" s="37" t="s">
        <v>46</v>
      </c>
      <c r="D2779" s="20" t="s">
        <v>9908</v>
      </c>
      <c r="E2779" s="20" t="s">
        <v>9909</v>
      </c>
      <c r="F2779" s="37" t="s">
        <v>49</v>
      </c>
      <c r="G2779" s="19" t="s">
        <v>50</v>
      </c>
      <c r="H2779" s="37"/>
      <c r="I2779" s="21" t="s">
        <v>29</v>
      </c>
      <c r="J2779" s="21" t="s">
        <v>29</v>
      </c>
      <c r="K2779" s="22" t="s">
        <v>9910</v>
      </c>
      <c r="L2779" s="56">
        <v>45092</v>
      </c>
      <c r="P2779" s="40"/>
      <c r="Q2779" s="61"/>
      <c r="R2779" s="61"/>
      <c r="S2779" s="40"/>
      <c r="T2779" s="38"/>
      <c r="U2779" s="38"/>
      <c r="V2779" s="38"/>
      <c r="W2779" s="60"/>
      <c r="AB2779" s="42"/>
      <c r="AC2779" s="35"/>
      <c r="AD2779" s="38"/>
      <c r="AE2779" s="38"/>
      <c r="AF2779" s="38"/>
      <c r="AG2779" s="38"/>
      <c r="AH2779" s="60"/>
    </row>
    <row r="2780" spans="1:34" ht="15.75" customHeight="1">
      <c r="A2780" s="35"/>
      <c r="B2780" s="29" t="s">
        <v>9911</v>
      </c>
      <c r="C2780" s="37" t="s">
        <v>46</v>
      </c>
      <c r="D2780" s="20" t="s">
        <v>9912</v>
      </c>
      <c r="E2780" s="20" t="s">
        <v>9913</v>
      </c>
      <c r="F2780" s="37" t="s">
        <v>286</v>
      </c>
      <c r="G2780" s="19" t="s">
        <v>50</v>
      </c>
      <c r="H2780" s="37"/>
      <c r="I2780" s="21" t="s">
        <v>286</v>
      </c>
      <c r="J2780" s="21" t="s">
        <v>29</v>
      </c>
      <c r="K2780" s="22" t="s">
        <v>9914</v>
      </c>
      <c r="L2780" s="56"/>
      <c r="P2780" s="40"/>
      <c r="Q2780" s="61"/>
      <c r="R2780" s="61"/>
      <c r="S2780" s="40"/>
      <c r="T2780" s="38"/>
      <c r="U2780" s="38"/>
      <c r="V2780" s="38"/>
      <c r="W2780" s="60"/>
      <c r="AB2780" s="42"/>
      <c r="AC2780" s="35"/>
      <c r="AD2780" s="38"/>
      <c r="AE2780" s="38"/>
      <c r="AF2780" s="38"/>
      <c r="AG2780" s="38"/>
      <c r="AH2780" s="60"/>
    </row>
    <row r="2781" spans="1:34" ht="15.75" customHeight="1">
      <c r="A2781" s="35"/>
      <c r="B2781" s="18" t="s">
        <v>9915</v>
      </c>
      <c r="C2781" s="37" t="s">
        <v>46</v>
      </c>
      <c r="D2781" s="20" t="s">
        <v>9916</v>
      </c>
      <c r="E2781" s="20" t="s">
        <v>9917</v>
      </c>
      <c r="F2781" s="37" t="s">
        <v>49</v>
      </c>
      <c r="G2781" s="19" t="s">
        <v>50</v>
      </c>
      <c r="H2781" s="37"/>
      <c r="I2781" s="21" t="s">
        <v>29</v>
      </c>
      <c r="J2781" s="21" t="s">
        <v>29</v>
      </c>
      <c r="K2781" s="22" t="s">
        <v>9918</v>
      </c>
      <c r="L2781" s="56">
        <v>45092</v>
      </c>
      <c r="P2781" s="40"/>
      <c r="Q2781" s="61"/>
      <c r="R2781" s="61"/>
      <c r="S2781" s="40"/>
      <c r="T2781" s="38"/>
      <c r="U2781" s="38"/>
      <c r="V2781" s="38"/>
      <c r="W2781" s="60"/>
      <c r="AB2781" s="42"/>
      <c r="AC2781" s="35"/>
      <c r="AD2781" s="38"/>
      <c r="AE2781" s="38"/>
      <c r="AF2781" s="38"/>
      <c r="AG2781" s="38"/>
      <c r="AH2781" s="60"/>
    </row>
    <row r="2782" spans="1:34" ht="15.75" customHeight="1">
      <c r="A2782" s="123"/>
      <c r="B2782" s="18" t="s">
        <v>9919</v>
      </c>
      <c r="C2782" s="37" t="s">
        <v>24</v>
      </c>
      <c r="D2782" s="20" t="s">
        <v>9920</v>
      </c>
      <c r="E2782" s="20" t="s">
        <v>9921</v>
      </c>
      <c r="F2782" s="19" t="s">
        <v>27</v>
      </c>
      <c r="G2782" s="19" t="s">
        <v>28</v>
      </c>
      <c r="H2782" s="37"/>
      <c r="I2782" s="21" t="s">
        <v>29</v>
      </c>
      <c r="J2782" s="21" t="s">
        <v>29</v>
      </c>
      <c r="K2782" s="22" t="s">
        <v>9922</v>
      </c>
      <c r="L2782" s="56">
        <v>45092</v>
      </c>
      <c r="O2782" s="42"/>
      <c r="P2782" s="40"/>
      <c r="Q2782" s="61"/>
      <c r="R2782" s="61"/>
      <c r="S2782" s="40"/>
      <c r="T2782" s="38"/>
      <c r="U2782" s="38"/>
      <c r="V2782" s="38"/>
      <c r="W2782" s="60"/>
      <c r="AB2782" s="42"/>
      <c r="AC2782" s="35"/>
      <c r="AD2782" s="38"/>
      <c r="AE2782" s="38"/>
      <c r="AF2782" s="38"/>
      <c r="AG2782" s="38"/>
      <c r="AH2782" s="60"/>
    </row>
    <row r="2783" spans="1:34" ht="15.75" customHeight="1">
      <c r="A2783" s="124"/>
      <c r="B2783" s="18" t="s">
        <v>9923</v>
      </c>
      <c r="C2783" s="37" t="s">
        <v>228</v>
      </c>
      <c r="D2783" s="20" t="s">
        <v>9924</v>
      </c>
      <c r="E2783" s="20" t="s">
        <v>9925</v>
      </c>
      <c r="F2783" s="19" t="s">
        <v>231</v>
      </c>
      <c r="G2783" s="19" t="s">
        <v>232</v>
      </c>
      <c r="H2783" s="37" t="s">
        <v>762</v>
      </c>
      <c r="I2783" s="21" t="s">
        <v>233</v>
      </c>
      <c r="J2783" s="21" t="s">
        <v>233</v>
      </c>
      <c r="K2783" s="22" t="s">
        <v>9926</v>
      </c>
      <c r="L2783" s="56">
        <v>45092</v>
      </c>
      <c r="O2783" s="42"/>
      <c r="P2783" s="40"/>
      <c r="Q2783" s="61"/>
      <c r="R2783" s="61"/>
      <c r="S2783" s="40"/>
      <c r="T2783" s="38"/>
      <c r="U2783" s="38"/>
      <c r="V2783" s="38"/>
      <c r="W2783" s="60"/>
      <c r="AB2783" s="42"/>
      <c r="AC2783" s="35"/>
      <c r="AD2783" s="38"/>
      <c r="AE2783" s="38"/>
      <c r="AF2783" s="38"/>
      <c r="AG2783" s="38"/>
      <c r="AH2783" s="60"/>
    </row>
    <row r="2784" spans="1:34" ht="15.75" customHeight="1">
      <c r="A2784" s="38"/>
      <c r="B2784" s="18" t="s">
        <v>9927</v>
      </c>
      <c r="C2784" s="37" t="s">
        <v>24</v>
      </c>
      <c r="D2784" s="20" t="s">
        <v>9928</v>
      </c>
      <c r="E2784" s="20" t="s">
        <v>9929</v>
      </c>
      <c r="F2784" s="19" t="s">
        <v>27</v>
      </c>
      <c r="G2784" s="19" t="s">
        <v>28</v>
      </c>
      <c r="H2784" s="37"/>
      <c r="I2784" s="21" t="s">
        <v>29</v>
      </c>
      <c r="J2784" s="21" t="s">
        <v>29</v>
      </c>
      <c r="K2784" s="22" t="s">
        <v>9930</v>
      </c>
      <c r="L2784" s="56">
        <v>45092</v>
      </c>
      <c r="O2784" s="42"/>
      <c r="P2784" s="40"/>
      <c r="Q2784" s="61"/>
      <c r="R2784" s="61"/>
      <c r="S2784" s="40"/>
      <c r="T2784" s="38"/>
      <c r="U2784" s="38"/>
      <c r="V2784" s="38"/>
      <c r="W2784" s="60"/>
      <c r="AB2784" s="42"/>
      <c r="AC2784" s="35"/>
      <c r="AD2784" s="38"/>
      <c r="AE2784" s="38"/>
      <c r="AF2784" s="38"/>
      <c r="AG2784" s="38"/>
      <c r="AH2784" s="60"/>
    </row>
    <row r="2785" spans="1:34" ht="15.75" customHeight="1">
      <c r="A2785" s="35"/>
      <c r="B2785" s="18" t="s">
        <v>9931</v>
      </c>
      <c r="C2785" s="37" t="s">
        <v>87</v>
      </c>
      <c r="D2785" s="20" t="s">
        <v>9932</v>
      </c>
      <c r="E2785" s="20" t="s">
        <v>9933</v>
      </c>
      <c r="F2785" s="19" t="s">
        <v>90</v>
      </c>
      <c r="G2785" s="19" t="s">
        <v>91</v>
      </c>
      <c r="H2785" s="37"/>
      <c r="I2785" s="21" t="s">
        <v>29</v>
      </c>
      <c r="J2785" s="21" t="s">
        <v>29</v>
      </c>
      <c r="K2785" s="22" t="s">
        <v>9934</v>
      </c>
      <c r="L2785" s="56">
        <v>45092</v>
      </c>
      <c r="O2785" s="42"/>
      <c r="P2785" s="40"/>
      <c r="Q2785" s="61"/>
      <c r="R2785" s="61"/>
      <c r="S2785" s="40"/>
      <c r="T2785" s="38"/>
      <c r="U2785" s="38"/>
      <c r="V2785" s="38"/>
      <c r="W2785" s="60"/>
      <c r="AB2785" s="42"/>
      <c r="AC2785" s="35"/>
      <c r="AD2785" s="38"/>
      <c r="AE2785" s="38"/>
      <c r="AF2785" s="38"/>
      <c r="AG2785" s="38"/>
      <c r="AH2785" s="60"/>
    </row>
    <row r="2786" spans="1:34" ht="15.75" customHeight="1">
      <c r="A2786" s="123"/>
      <c r="B2786" s="29" t="s">
        <v>9935</v>
      </c>
      <c r="C2786" s="37" t="s">
        <v>87</v>
      </c>
      <c r="D2786" s="20" t="s">
        <v>9936</v>
      </c>
      <c r="E2786" s="20" t="s">
        <v>9937</v>
      </c>
      <c r="F2786" s="37" t="s">
        <v>286</v>
      </c>
      <c r="G2786" s="19" t="s">
        <v>91</v>
      </c>
      <c r="H2786" s="37"/>
      <c r="I2786" s="21" t="s">
        <v>286</v>
      </c>
      <c r="J2786" s="21" t="s">
        <v>29</v>
      </c>
      <c r="K2786" s="22" t="s">
        <v>9938</v>
      </c>
      <c r="L2786" s="56"/>
      <c r="O2786" s="42"/>
      <c r="P2786" s="40"/>
      <c r="Q2786" s="61"/>
      <c r="R2786" s="61"/>
      <c r="S2786" s="40"/>
      <c r="T2786" s="38"/>
      <c r="U2786" s="38"/>
      <c r="V2786" s="38"/>
      <c r="W2786" s="60"/>
      <c r="AB2786" s="42"/>
      <c r="AC2786" s="35"/>
      <c r="AD2786" s="38"/>
      <c r="AE2786" s="38"/>
      <c r="AF2786" s="38"/>
      <c r="AG2786" s="38"/>
      <c r="AH2786" s="60"/>
    </row>
    <row r="2787" spans="1:34" ht="15.75" customHeight="1">
      <c r="A2787" s="123"/>
      <c r="B2787" s="18" t="s">
        <v>9939</v>
      </c>
      <c r="C2787" s="37" t="s">
        <v>24</v>
      </c>
      <c r="D2787" s="20" t="s">
        <v>9940</v>
      </c>
      <c r="E2787" s="20" t="s">
        <v>9941</v>
      </c>
      <c r="F2787" s="19" t="s">
        <v>27</v>
      </c>
      <c r="G2787" s="19" t="s">
        <v>28</v>
      </c>
      <c r="H2787" s="37"/>
      <c r="I2787" s="21" t="s">
        <v>29</v>
      </c>
      <c r="J2787" s="21" t="s">
        <v>29</v>
      </c>
      <c r="K2787" s="22" t="s">
        <v>9942</v>
      </c>
      <c r="L2787" s="56">
        <v>45092</v>
      </c>
      <c r="O2787" s="42"/>
      <c r="P2787" s="40"/>
      <c r="Q2787" s="61"/>
      <c r="R2787" s="61"/>
      <c r="S2787" s="40"/>
      <c r="T2787" s="38"/>
      <c r="U2787" s="38"/>
      <c r="V2787" s="38"/>
      <c r="W2787" s="60"/>
      <c r="AB2787" s="42"/>
      <c r="AC2787" s="35"/>
      <c r="AD2787" s="38"/>
      <c r="AE2787" s="38"/>
      <c r="AF2787" s="38"/>
      <c r="AG2787" s="38"/>
      <c r="AH2787" s="60"/>
    </row>
    <row r="2788" spans="1:34" ht="15.75" customHeight="1">
      <c r="A2788" s="124"/>
      <c r="B2788" s="18" t="s">
        <v>9935</v>
      </c>
      <c r="C2788" s="37" t="s">
        <v>87</v>
      </c>
      <c r="D2788" s="20" t="s">
        <v>9936</v>
      </c>
      <c r="E2788" s="20" t="s">
        <v>9943</v>
      </c>
      <c r="F2788" s="19" t="s">
        <v>90</v>
      </c>
      <c r="G2788" s="19" t="s">
        <v>91</v>
      </c>
      <c r="H2788" s="37"/>
      <c r="I2788" s="21" t="s">
        <v>29</v>
      </c>
      <c r="J2788" s="21" t="s">
        <v>29</v>
      </c>
      <c r="K2788" s="22" t="s">
        <v>9944</v>
      </c>
      <c r="L2788" s="56">
        <v>45092</v>
      </c>
      <c r="O2788" s="42"/>
      <c r="P2788" s="40"/>
      <c r="Q2788" s="61"/>
      <c r="R2788" s="61"/>
      <c r="S2788" s="40"/>
      <c r="T2788" s="38"/>
      <c r="U2788" s="38"/>
      <c r="V2788" s="38"/>
      <c r="W2788" s="60"/>
      <c r="AB2788" s="42"/>
      <c r="AC2788" s="35"/>
      <c r="AD2788" s="38"/>
      <c r="AE2788" s="38"/>
      <c r="AF2788" s="38"/>
      <c r="AG2788" s="38"/>
      <c r="AH2788" s="60"/>
    </row>
    <row r="2789" spans="1:34" ht="15.75" customHeight="1">
      <c r="A2789" s="38"/>
      <c r="B2789" s="18" t="s">
        <v>9945</v>
      </c>
      <c r="C2789" s="37" t="s">
        <v>87</v>
      </c>
      <c r="D2789" s="20" t="s">
        <v>9946</v>
      </c>
      <c r="E2789" s="20" t="s">
        <v>9947</v>
      </c>
      <c r="F2789" s="19" t="s">
        <v>90</v>
      </c>
      <c r="G2789" s="19" t="s">
        <v>91</v>
      </c>
      <c r="H2789" s="37"/>
      <c r="I2789" s="21" t="s">
        <v>29</v>
      </c>
      <c r="J2789" s="21" t="s">
        <v>29</v>
      </c>
      <c r="K2789" s="22" t="s">
        <v>9948</v>
      </c>
      <c r="L2789" s="56">
        <v>45092</v>
      </c>
      <c r="O2789" s="42"/>
      <c r="P2789" s="40"/>
      <c r="Q2789" s="61"/>
      <c r="R2789" s="61"/>
      <c r="S2789" s="40"/>
      <c r="T2789" s="38"/>
      <c r="U2789" s="38"/>
      <c r="V2789" s="38"/>
      <c r="W2789" s="60"/>
      <c r="AB2789" s="42"/>
      <c r="AC2789" s="35"/>
      <c r="AD2789" s="38"/>
      <c r="AE2789" s="38"/>
      <c r="AF2789" s="38"/>
      <c r="AG2789" s="38"/>
      <c r="AH2789" s="60"/>
    </row>
    <row r="2790" spans="1:34" ht="15.75" customHeight="1">
      <c r="A2790" s="35"/>
      <c r="B2790" s="18" t="s">
        <v>9949</v>
      </c>
      <c r="C2790" s="37" t="s">
        <v>46</v>
      </c>
      <c r="D2790" s="20" t="s">
        <v>9950</v>
      </c>
      <c r="E2790" s="20" t="s">
        <v>9951</v>
      </c>
      <c r="F2790" s="37" t="s">
        <v>49</v>
      </c>
      <c r="G2790" s="19" t="s">
        <v>50</v>
      </c>
      <c r="H2790" s="37"/>
      <c r="I2790" s="21" t="s">
        <v>29</v>
      </c>
      <c r="J2790" s="21" t="s">
        <v>29</v>
      </c>
      <c r="K2790" s="22" t="s">
        <v>9952</v>
      </c>
      <c r="L2790" s="56">
        <v>45092</v>
      </c>
      <c r="O2790" s="42"/>
      <c r="P2790" s="40"/>
      <c r="Q2790" s="61"/>
      <c r="R2790" s="61"/>
      <c r="S2790" s="40"/>
      <c r="T2790" s="38"/>
      <c r="U2790" s="38"/>
      <c r="V2790" s="38"/>
      <c r="W2790" s="60"/>
      <c r="AB2790" s="42"/>
      <c r="AC2790" s="35"/>
      <c r="AD2790" s="38"/>
      <c r="AE2790" s="38"/>
      <c r="AF2790" s="38"/>
      <c r="AG2790" s="38"/>
      <c r="AH2790" s="60"/>
    </row>
    <row r="2791" spans="1:34" ht="15.75" customHeight="1">
      <c r="A2791" s="123"/>
      <c r="B2791" s="18" t="s">
        <v>9953</v>
      </c>
      <c r="C2791" s="37" t="s">
        <v>24</v>
      </c>
      <c r="D2791" s="20" t="s">
        <v>9954</v>
      </c>
      <c r="E2791" s="20" t="s">
        <v>9955</v>
      </c>
      <c r="F2791" s="19" t="s">
        <v>27</v>
      </c>
      <c r="G2791" s="19" t="s">
        <v>28</v>
      </c>
      <c r="H2791" s="37"/>
      <c r="I2791" s="21" t="s">
        <v>29</v>
      </c>
      <c r="J2791" s="21" t="s">
        <v>29</v>
      </c>
      <c r="K2791" s="22" t="s">
        <v>9956</v>
      </c>
      <c r="L2791" s="56">
        <v>45092</v>
      </c>
      <c r="O2791" s="42"/>
      <c r="P2791" s="40"/>
      <c r="Q2791" s="61"/>
      <c r="R2791" s="61"/>
      <c r="S2791" s="40"/>
      <c r="T2791" s="38"/>
      <c r="U2791" s="38"/>
      <c r="V2791" s="38"/>
      <c r="W2791" s="60"/>
      <c r="AB2791" s="42"/>
      <c r="AC2791" s="35"/>
      <c r="AD2791" s="38"/>
      <c r="AE2791" s="38"/>
      <c r="AF2791" s="38"/>
      <c r="AG2791" s="38"/>
      <c r="AH2791" s="60"/>
    </row>
    <row r="2792" spans="1:34" ht="15.75" customHeight="1">
      <c r="A2792" s="124"/>
      <c r="B2792" s="18" t="s">
        <v>9957</v>
      </c>
      <c r="C2792" s="37" t="s">
        <v>46</v>
      </c>
      <c r="D2792" s="20" t="s">
        <v>9958</v>
      </c>
      <c r="E2792" s="20" t="s">
        <v>9959</v>
      </c>
      <c r="F2792" s="37" t="s">
        <v>49</v>
      </c>
      <c r="G2792" s="19" t="s">
        <v>50</v>
      </c>
      <c r="H2792" s="37"/>
      <c r="I2792" s="21" t="s">
        <v>29</v>
      </c>
      <c r="J2792" s="21" t="s">
        <v>29</v>
      </c>
      <c r="K2792" s="22" t="s">
        <v>9960</v>
      </c>
      <c r="L2792" s="56">
        <v>45092</v>
      </c>
      <c r="O2792" s="42"/>
      <c r="P2792" s="40"/>
      <c r="Q2792" s="61"/>
      <c r="R2792" s="61"/>
      <c r="S2792" s="40"/>
      <c r="T2792" s="38"/>
      <c r="U2792" s="38"/>
      <c r="V2792" s="38"/>
      <c r="W2792" s="60"/>
      <c r="AB2792" s="42"/>
      <c r="AC2792" s="35"/>
      <c r="AD2792" s="38"/>
      <c r="AE2792" s="38"/>
      <c r="AF2792" s="38"/>
      <c r="AG2792" s="38"/>
      <c r="AH2792" s="60"/>
    </row>
    <row r="2793" spans="1:34" ht="15.75" customHeight="1">
      <c r="A2793" s="38"/>
      <c r="B2793" s="18" t="s">
        <v>9961</v>
      </c>
      <c r="C2793" s="37" t="s">
        <v>46</v>
      </c>
      <c r="D2793" s="20" t="s">
        <v>9962</v>
      </c>
      <c r="E2793" s="20" t="s">
        <v>9963</v>
      </c>
      <c r="F2793" s="37" t="s">
        <v>49</v>
      </c>
      <c r="G2793" s="19" t="s">
        <v>50</v>
      </c>
      <c r="H2793" s="37"/>
      <c r="I2793" s="21" t="s">
        <v>29</v>
      </c>
      <c r="J2793" s="21" t="s">
        <v>29</v>
      </c>
      <c r="K2793" s="22" t="s">
        <v>9964</v>
      </c>
      <c r="L2793" s="56">
        <v>45092</v>
      </c>
      <c r="O2793" s="42"/>
      <c r="P2793" s="40"/>
      <c r="Q2793" s="61"/>
      <c r="R2793" s="61"/>
      <c r="S2793" s="40"/>
      <c r="T2793" s="38"/>
      <c r="U2793" s="38"/>
      <c r="V2793" s="38"/>
      <c r="W2793" s="60"/>
      <c r="AB2793" s="42"/>
      <c r="AC2793" s="35"/>
      <c r="AD2793" s="38"/>
      <c r="AE2793" s="38"/>
      <c r="AF2793" s="38"/>
      <c r="AG2793" s="38"/>
      <c r="AH2793" s="60"/>
    </row>
    <row r="2794" spans="1:34" ht="15.75" customHeight="1">
      <c r="A2794" s="35"/>
      <c r="B2794" s="18" t="s">
        <v>9965</v>
      </c>
      <c r="C2794" s="37" t="s">
        <v>46</v>
      </c>
      <c r="D2794" s="20" t="s">
        <v>9966</v>
      </c>
      <c r="E2794" s="20" t="s">
        <v>9967</v>
      </c>
      <c r="F2794" s="37" t="s">
        <v>49</v>
      </c>
      <c r="G2794" s="19" t="s">
        <v>50</v>
      </c>
      <c r="H2794" s="37"/>
      <c r="I2794" s="21" t="s">
        <v>29</v>
      </c>
      <c r="J2794" s="21" t="s">
        <v>29</v>
      </c>
      <c r="K2794" s="22" t="s">
        <v>9968</v>
      </c>
      <c r="L2794" s="56">
        <v>45092</v>
      </c>
      <c r="O2794" s="42"/>
      <c r="P2794" s="40"/>
      <c r="Q2794" s="61"/>
      <c r="R2794" s="61"/>
      <c r="S2794" s="40"/>
      <c r="T2794" s="38"/>
      <c r="U2794" s="38"/>
      <c r="V2794" s="38"/>
      <c r="W2794" s="60"/>
      <c r="AB2794" s="42"/>
      <c r="AC2794" s="35"/>
      <c r="AD2794" s="38"/>
      <c r="AE2794" s="38"/>
      <c r="AF2794" s="38"/>
      <c r="AG2794" s="38"/>
      <c r="AH2794" s="60"/>
    </row>
    <row r="2795" spans="1:34" ht="15.75" customHeight="1">
      <c r="A2795" s="123"/>
      <c r="B2795" s="29" t="s">
        <v>9969</v>
      </c>
      <c r="C2795" s="37" t="s">
        <v>1430</v>
      </c>
      <c r="D2795" s="20" t="s">
        <v>9970</v>
      </c>
      <c r="E2795" s="20"/>
      <c r="F2795" s="37" t="s">
        <v>286</v>
      </c>
      <c r="G2795" s="55" t="s">
        <v>1432</v>
      </c>
      <c r="H2795" s="37"/>
      <c r="I2795" s="21" t="s">
        <v>286</v>
      </c>
      <c r="J2795" s="21" t="s">
        <v>233</v>
      </c>
      <c r="K2795" s="22"/>
      <c r="L2795" s="56"/>
      <c r="O2795" s="42"/>
      <c r="P2795" s="40"/>
      <c r="Q2795" s="61"/>
      <c r="R2795" s="61"/>
      <c r="S2795" s="40"/>
      <c r="T2795" s="38"/>
      <c r="U2795" s="38"/>
      <c r="V2795" s="38"/>
      <c r="W2795" s="60"/>
      <c r="AB2795" s="42"/>
      <c r="AC2795" s="35"/>
      <c r="AD2795" s="38"/>
      <c r="AE2795" s="38"/>
      <c r="AF2795" s="38"/>
      <c r="AG2795" s="38"/>
      <c r="AH2795" s="60"/>
    </row>
    <row r="2796" spans="1:34" ht="15.75" customHeight="1">
      <c r="A2796" s="123"/>
      <c r="B2796" s="36" t="s">
        <v>9971</v>
      </c>
      <c r="C2796" s="19" t="s">
        <v>121</v>
      </c>
      <c r="D2796" s="20" t="s">
        <v>9970</v>
      </c>
      <c r="E2796" s="20"/>
      <c r="F2796" s="55" t="s">
        <v>1445</v>
      </c>
      <c r="G2796" s="37" t="s">
        <v>452</v>
      </c>
      <c r="H2796" s="37"/>
      <c r="I2796" s="21" t="s">
        <v>233</v>
      </c>
      <c r="J2796" s="21" t="s">
        <v>452</v>
      </c>
      <c r="K2796" s="22"/>
      <c r="L2796" s="56">
        <v>45092</v>
      </c>
      <c r="O2796" s="42"/>
      <c r="P2796" s="40"/>
      <c r="Q2796" s="61"/>
      <c r="R2796" s="61"/>
      <c r="S2796" s="40"/>
      <c r="T2796" s="38"/>
      <c r="U2796" s="38"/>
      <c r="V2796" s="38"/>
      <c r="W2796" s="60"/>
      <c r="AB2796" s="42"/>
      <c r="AC2796" s="35"/>
      <c r="AD2796" s="38"/>
      <c r="AE2796" s="38"/>
      <c r="AF2796" s="38"/>
      <c r="AG2796" s="38"/>
      <c r="AH2796" s="60"/>
    </row>
    <row r="2797" spans="1:34" ht="15.75" customHeight="1">
      <c r="A2797" s="124"/>
      <c r="B2797" s="18" t="s">
        <v>9972</v>
      </c>
      <c r="C2797" s="37" t="s">
        <v>1470</v>
      </c>
      <c r="D2797" s="20" t="s">
        <v>9973</v>
      </c>
      <c r="E2797" s="20" t="s">
        <v>9974</v>
      </c>
      <c r="F2797" s="19" t="s">
        <v>3286</v>
      </c>
      <c r="G2797" s="19" t="s">
        <v>1461</v>
      </c>
      <c r="H2797" s="37"/>
      <c r="I2797" s="21" t="s">
        <v>233</v>
      </c>
      <c r="J2797" s="21" t="s">
        <v>233</v>
      </c>
      <c r="K2797" s="22" t="s">
        <v>9975</v>
      </c>
      <c r="L2797" s="56">
        <v>45092</v>
      </c>
      <c r="O2797" s="42"/>
      <c r="P2797" s="40"/>
      <c r="Q2797" s="61"/>
      <c r="R2797" s="61"/>
      <c r="S2797" s="40"/>
      <c r="T2797" s="38"/>
      <c r="U2797" s="38"/>
      <c r="V2797" s="38"/>
      <c r="W2797" s="60"/>
      <c r="AB2797" s="42"/>
      <c r="AC2797" s="35"/>
      <c r="AD2797" s="38"/>
      <c r="AE2797" s="38"/>
      <c r="AF2797" s="38"/>
      <c r="AG2797" s="38"/>
      <c r="AH2797" s="60"/>
    </row>
    <row r="2798" spans="1:34" ht="15.75" customHeight="1">
      <c r="A2798" s="38"/>
      <c r="B2798" s="29" t="s">
        <v>9976</v>
      </c>
      <c r="C2798" s="37" t="s">
        <v>1430</v>
      </c>
      <c r="D2798" s="20" t="s">
        <v>9977</v>
      </c>
      <c r="E2798" s="20" t="s">
        <v>9978</v>
      </c>
      <c r="F2798" s="55" t="s">
        <v>1445</v>
      </c>
      <c r="G2798" s="55" t="s">
        <v>1432</v>
      </c>
      <c r="H2798" s="37"/>
      <c r="I2798" s="21" t="s">
        <v>233</v>
      </c>
      <c r="J2798" s="21" t="s">
        <v>233</v>
      </c>
      <c r="K2798" s="22" t="s">
        <v>9979</v>
      </c>
      <c r="L2798" s="56">
        <v>45092</v>
      </c>
      <c r="O2798" s="42"/>
      <c r="P2798" s="40"/>
      <c r="Q2798" s="61"/>
      <c r="R2798" s="61"/>
      <c r="S2798" s="40"/>
      <c r="T2798" s="38"/>
      <c r="U2798" s="38"/>
      <c r="V2798" s="38"/>
      <c r="W2798" s="60"/>
      <c r="AB2798" s="42"/>
      <c r="AC2798" s="35"/>
      <c r="AD2798" s="38"/>
      <c r="AE2798" s="38"/>
      <c r="AF2798" s="38"/>
      <c r="AG2798" s="38"/>
      <c r="AH2798" s="60"/>
    </row>
    <row r="2799" spans="1:34" ht="15.75" customHeight="1">
      <c r="A2799" s="35"/>
      <c r="B2799" s="18" t="s">
        <v>9980</v>
      </c>
      <c r="C2799" s="37" t="s">
        <v>1430</v>
      </c>
      <c r="D2799" s="20" t="s">
        <v>9981</v>
      </c>
      <c r="E2799" s="20" t="s">
        <v>9982</v>
      </c>
      <c r="F2799" s="55" t="s">
        <v>1445</v>
      </c>
      <c r="G2799" s="55" t="s">
        <v>1432</v>
      </c>
      <c r="H2799" s="37"/>
      <c r="I2799" s="21" t="s">
        <v>233</v>
      </c>
      <c r="J2799" s="21" t="s">
        <v>233</v>
      </c>
      <c r="K2799" s="22" t="s">
        <v>9983</v>
      </c>
      <c r="L2799" s="56">
        <v>45092</v>
      </c>
      <c r="O2799" s="42"/>
      <c r="P2799" s="40"/>
      <c r="Q2799" s="61"/>
      <c r="R2799" s="61"/>
      <c r="S2799" s="40"/>
      <c r="T2799" s="38"/>
      <c r="U2799" s="38"/>
      <c r="V2799" s="38"/>
      <c r="W2799" s="60"/>
      <c r="AB2799" s="42"/>
      <c r="AC2799" s="35"/>
      <c r="AD2799" s="38"/>
      <c r="AE2799" s="38"/>
      <c r="AF2799" s="38"/>
      <c r="AG2799" s="38"/>
      <c r="AH2799" s="60"/>
    </row>
    <row r="2800" spans="1:34" ht="15.75" customHeight="1">
      <c r="A2800" s="123"/>
      <c r="B2800" s="18" t="s">
        <v>9984</v>
      </c>
      <c r="C2800" s="37" t="s">
        <v>1430</v>
      </c>
      <c r="D2800" s="20" t="s">
        <v>9985</v>
      </c>
      <c r="E2800" s="20" t="s">
        <v>9986</v>
      </c>
      <c r="F2800" s="55" t="s">
        <v>1445</v>
      </c>
      <c r="G2800" s="55" t="s">
        <v>1432</v>
      </c>
      <c r="H2800" s="37"/>
      <c r="I2800" s="21" t="s">
        <v>233</v>
      </c>
      <c r="J2800" s="21" t="s">
        <v>233</v>
      </c>
      <c r="K2800" s="22" t="s">
        <v>9987</v>
      </c>
      <c r="L2800" s="56">
        <v>45092</v>
      </c>
      <c r="O2800" s="42"/>
      <c r="P2800" s="40"/>
      <c r="Q2800" s="61"/>
      <c r="R2800" s="61"/>
      <c r="S2800" s="40"/>
      <c r="T2800" s="38"/>
      <c r="U2800" s="38"/>
      <c r="V2800" s="38"/>
      <c r="W2800" s="60"/>
      <c r="AB2800" s="42"/>
      <c r="AC2800" s="35"/>
      <c r="AD2800" s="38"/>
      <c r="AE2800" s="38"/>
      <c r="AF2800" s="38"/>
      <c r="AG2800" s="38"/>
      <c r="AH2800" s="60"/>
    </row>
    <row r="2801" spans="1:34" ht="15.75" customHeight="1">
      <c r="A2801" s="124"/>
      <c r="B2801" s="18" t="s">
        <v>9988</v>
      </c>
      <c r="C2801" s="37" t="s">
        <v>1430</v>
      </c>
      <c r="D2801" s="20" t="s">
        <v>9989</v>
      </c>
      <c r="E2801" s="20" t="s">
        <v>9990</v>
      </c>
      <c r="F2801" s="55" t="s">
        <v>1445</v>
      </c>
      <c r="G2801" s="55" t="s">
        <v>1432</v>
      </c>
      <c r="H2801" s="37"/>
      <c r="I2801" s="21" t="s">
        <v>233</v>
      </c>
      <c r="J2801" s="21" t="s">
        <v>233</v>
      </c>
      <c r="K2801" s="22" t="s">
        <v>9991</v>
      </c>
      <c r="L2801" s="56">
        <v>45092</v>
      </c>
      <c r="O2801" s="42"/>
      <c r="P2801" s="40"/>
      <c r="Q2801" s="61"/>
      <c r="R2801" s="61"/>
      <c r="S2801" s="40"/>
      <c r="T2801" s="38"/>
      <c r="U2801" s="38"/>
      <c r="V2801" s="38"/>
      <c r="W2801" s="60"/>
      <c r="AB2801" s="42"/>
      <c r="AC2801" s="35"/>
      <c r="AD2801" s="38"/>
      <c r="AE2801" s="38"/>
      <c r="AF2801" s="38"/>
      <c r="AG2801" s="38"/>
      <c r="AH2801" s="60"/>
    </row>
    <row r="2802" spans="1:34" ht="15.75" customHeight="1">
      <c r="A2802" s="38"/>
      <c r="B2802" s="18" t="s">
        <v>9992</v>
      </c>
      <c r="C2802" s="37" t="s">
        <v>1430</v>
      </c>
      <c r="D2802" s="20" t="s">
        <v>9993</v>
      </c>
      <c r="E2802" s="20" t="s">
        <v>9994</v>
      </c>
      <c r="F2802" s="55" t="s">
        <v>1445</v>
      </c>
      <c r="G2802" s="55" t="s">
        <v>1432</v>
      </c>
      <c r="H2802" s="37"/>
      <c r="I2802" s="21" t="s">
        <v>233</v>
      </c>
      <c r="J2802" s="21" t="s">
        <v>233</v>
      </c>
      <c r="K2802" s="22" t="s">
        <v>9995</v>
      </c>
      <c r="L2802" s="56">
        <v>45092</v>
      </c>
      <c r="O2802" s="42"/>
      <c r="P2802" s="40"/>
      <c r="Q2802" s="61"/>
      <c r="R2802" s="61"/>
      <c r="S2802" s="40"/>
      <c r="T2802" s="38"/>
      <c r="U2802" s="38"/>
      <c r="V2802" s="38"/>
      <c r="W2802" s="60"/>
      <c r="AB2802" s="42"/>
      <c r="AC2802" s="35"/>
      <c r="AD2802" s="38"/>
      <c r="AE2802" s="38"/>
      <c r="AF2802" s="38"/>
      <c r="AG2802" s="38"/>
      <c r="AH2802" s="60"/>
    </row>
    <row r="2803" spans="1:34" ht="15.75" customHeight="1">
      <c r="A2803" s="35"/>
      <c r="B2803" s="18" t="s">
        <v>9996</v>
      </c>
      <c r="C2803" s="37" t="s">
        <v>1430</v>
      </c>
      <c r="D2803" s="20" t="s">
        <v>9997</v>
      </c>
      <c r="E2803" s="20" t="s">
        <v>9998</v>
      </c>
      <c r="F2803" s="55" t="s">
        <v>1445</v>
      </c>
      <c r="G2803" s="55" t="s">
        <v>1432</v>
      </c>
      <c r="H2803" s="37"/>
      <c r="I2803" s="21" t="s">
        <v>233</v>
      </c>
      <c r="J2803" s="21" t="s">
        <v>233</v>
      </c>
      <c r="K2803" s="22" t="s">
        <v>9999</v>
      </c>
      <c r="L2803" s="56">
        <v>45092</v>
      </c>
      <c r="O2803" s="42"/>
      <c r="P2803" s="40"/>
      <c r="Q2803" s="61"/>
      <c r="R2803" s="61"/>
      <c r="S2803" s="40"/>
      <c r="T2803" s="38"/>
      <c r="U2803" s="38"/>
      <c r="V2803" s="38"/>
      <c r="W2803" s="60"/>
      <c r="AB2803" s="42"/>
      <c r="AC2803" s="35"/>
      <c r="AD2803" s="38"/>
      <c r="AE2803" s="38"/>
      <c r="AF2803" s="38"/>
      <c r="AG2803" s="38"/>
      <c r="AH2803" s="60"/>
    </row>
    <row r="2804" spans="1:34" ht="15.75" customHeight="1">
      <c r="A2804" s="123"/>
      <c r="B2804" s="29" t="s">
        <v>10000</v>
      </c>
      <c r="C2804" s="37" t="s">
        <v>1430</v>
      </c>
      <c r="D2804" s="20" t="s">
        <v>10001</v>
      </c>
      <c r="E2804" s="20"/>
      <c r="F2804" s="37" t="s">
        <v>286</v>
      </c>
      <c r="G2804" s="55" t="s">
        <v>1432</v>
      </c>
      <c r="H2804" s="37"/>
      <c r="I2804" s="21" t="s">
        <v>286</v>
      </c>
      <c r="J2804" s="21" t="s">
        <v>29</v>
      </c>
      <c r="K2804" s="22"/>
      <c r="L2804" s="39"/>
      <c r="O2804" s="42"/>
      <c r="P2804" s="40"/>
      <c r="Q2804" s="61"/>
      <c r="R2804" s="61"/>
      <c r="S2804" s="40"/>
      <c r="T2804" s="38"/>
      <c r="U2804" s="38"/>
      <c r="V2804" s="38"/>
      <c r="W2804" s="60"/>
      <c r="AB2804" s="42"/>
      <c r="AC2804" s="35"/>
      <c r="AD2804" s="38"/>
      <c r="AE2804" s="38"/>
      <c r="AF2804" s="38"/>
      <c r="AG2804" s="38"/>
      <c r="AH2804" s="60"/>
    </row>
    <row r="2805" spans="1:34" ht="15.75" customHeight="1">
      <c r="A2805" s="38"/>
      <c r="B2805" s="38"/>
      <c r="C2805" s="37"/>
      <c r="D2805" s="20"/>
      <c r="E2805" s="20"/>
      <c r="F2805" s="37"/>
      <c r="G2805" s="37"/>
      <c r="H2805" s="37"/>
      <c r="I2805" s="21"/>
      <c r="J2805" s="21"/>
      <c r="K2805" s="22"/>
      <c r="L2805" s="56"/>
      <c r="M2805" s="40"/>
      <c r="N2805" s="40"/>
      <c r="O2805" s="42"/>
      <c r="P2805" s="40"/>
      <c r="Q2805" s="61"/>
      <c r="R2805" s="61"/>
      <c r="S2805" s="40"/>
      <c r="T2805" s="38"/>
      <c r="U2805" s="38"/>
      <c r="V2805" s="38"/>
      <c r="W2805" s="60"/>
      <c r="AB2805" s="42"/>
      <c r="AC2805" s="35"/>
      <c r="AD2805" s="38"/>
      <c r="AE2805" s="38"/>
      <c r="AF2805" s="38"/>
      <c r="AG2805" s="38"/>
      <c r="AH2805" s="60"/>
    </row>
    <row r="2806" spans="1:34" ht="15.75" customHeight="1">
      <c r="A2806" s="38" t="s">
        <v>10002</v>
      </c>
      <c r="B2806" s="18" t="s">
        <v>10003</v>
      </c>
      <c r="C2806" s="37" t="s">
        <v>87</v>
      </c>
      <c r="D2806" s="20" t="s">
        <v>10004</v>
      </c>
      <c r="E2806" s="20"/>
      <c r="F2806" s="19" t="s">
        <v>90</v>
      </c>
      <c r="G2806" s="19" t="s">
        <v>91</v>
      </c>
      <c r="H2806" s="37"/>
      <c r="I2806" s="21" t="s">
        <v>29</v>
      </c>
      <c r="J2806" s="21" t="s">
        <v>29</v>
      </c>
      <c r="K2806" s="22"/>
      <c r="L2806" s="56">
        <v>45092</v>
      </c>
      <c r="M2806" s="40"/>
      <c r="N2806" s="40"/>
      <c r="O2806" s="42"/>
      <c r="P2806" s="40"/>
      <c r="Q2806" s="61"/>
      <c r="R2806" s="61"/>
      <c r="S2806" s="40"/>
      <c r="T2806" s="38"/>
      <c r="U2806" s="38"/>
      <c r="V2806" s="38"/>
      <c r="W2806" s="60"/>
      <c r="AB2806" s="42"/>
      <c r="AC2806" s="35"/>
      <c r="AD2806" s="38"/>
      <c r="AE2806" s="38"/>
      <c r="AF2806" s="38"/>
      <c r="AG2806" s="38"/>
      <c r="AH2806" s="60"/>
    </row>
    <row r="2807" spans="1:34" ht="15.75" customHeight="1">
      <c r="A2807" s="54" t="s">
        <v>7101</v>
      </c>
      <c r="B2807" s="29" t="s">
        <v>10005</v>
      </c>
      <c r="C2807" s="37" t="s">
        <v>87</v>
      </c>
      <c r="D2807" s="20" t="s">
        <v>10006</v>
      </c>
      <c r="E2807" s="20"/>
      <c r="F2807" s="37" t="s">
        <v>286</v>
      </c>
      <c r="G2807" s="19" t="s">
        <v>91</v>
      </c>
      <c r="H2807" s="37"/>
      <c r="I2807" s="21" t="s">
        <v>10007</v>
      </c>
      <c r="J2807" s="21" t="s">
        <v>29</v>
      </c>
      <c r="K2807" s="22"/>
      <c r="L2807" s="56"/>
      <c r="O2807" s="42"/>
      <c r="P2807" s="40"/>
      <c r="Q2807" s="61"/>
      <c r="R2807" s="61"/>
      <c r="S2807" s="40"/>
      <c r="T2807" s="38"/>
      <c r="U2807" s="38"/>
      <c r="V2807" s="38"/>
      <c r="W2807" s="60"/>
      <c r="AB2807" s="42"/>
      <c r="AC2807" s="35"/>
      <c r="AD2807" s="38"/>
      <c r="AE2807" s="38"/>
      <c r="AF2807" s="38"/>
      <c r="AG2807" s="38"/>
      <c r="AH2807" s="60"/>
    </row>
    <row r="2808" spans="1:34" ht="15.75" customHeight="1">
      <c r="A2808" s="114" t="s">
        <v>39</v>
      </c>
      <c r="B2808" s="29" t="s">
        <v>10008</v>
      </c>
      <c r="C2808" s="37" t="s">
        <v>24</v>
      </c>
      <c r="D2808" s="20" t="s">
        <v>10009</v>
      </c>
      <c r="E2808" s="20" t="s">
        <v>10010</v>
      </c>
      <c r="F2808" s="19" t="s">
        <v>27</v>
      </c>
      <c r="G2808" s="19" t="s">
        <v>28</v>
      </c>
      <c r="H2808" s="37"/>
      <c r="I2808" s="21" t="s">
        <v>29</v>
      </c>
      <c r="J2808" s="21" t="s">
        <v>29</v>
      </c>
      <c r="K2808" s="22" t="s">
        <v>10011</v>
      </c>
      <c r="L2808" s="56">
        <v>45092</v>
      </c>
      <c r="O2808" s="42"/>
      <c r="P2808" s="40"/>
      <c r="Q2808" s="61"/>
      <c r="R2808" s="61"/>
      <c r="S2808" s="40"/>
      <c r="T2808" s="38"/>
      <c r="U2808" s="38"/>
      <c r="V2808" s="38"/>
      <c r="W2808" s="60"/>
      <c r="AB2808" s="42"/>
      <c r="AC2808" s="35"/>
      <c r="AD2808" s="38"/>
      <c r="AE2808" s="38"/>
      <c r="AF2808" s="38"/>
      <c r="AG2808" s="38"/>
      <c r="AH2808" s="60"/>
    </row>
    <row r="2809" spans="1:34" ht="15.75" customHeight="1">
      <c r="A2809" s="38" t="s">
        <v>9511</v>
      </c>
      <c r="B2809" s="18" t="s">
        <v>10012</v>
      </c>
      <c r="C2809" s="37" t="s">
        <v>24</v>
      </c>
      <c r="D2809" s="20" t="s">
        <v>10013</v>
      </c>
      <c r="E2809" s="20"/>
      <c r="F2809" s="19" t="s">
        <v>27</v>
      </c>
      <c r="G2809" s="19" t="s">
        <v>28</v>
      </c>
      <c r="H2809" s="37"/>
      <c r="I2809" s="21" t="s">
        <v>29</v>
      </c>
      <c r="J2809" s="21" t="s">
        <v>29</v>
      </c>
      <c r="K2809" s="22"/>
      <c r="L2809" s="56">
        <v>45092</v>
      </c>
      <c r="O2809" s="42"/>
      <c r="P2809" s="40"/>
      <c r="Q2809" s="61"/>
      <c r="R2809" s="61"/>
      <c r="S2809" s="40"/>
      <c r="T2809" s="38"/>
      <c r="U2809" s="38"/>
      <c r="V2809" s="38"/>
      <c r="W2809" s="60"/>
      <c r="AB2809" s="42"/>
      <c r="AC2809" s="35"/>
      <c r="AD2809" s="38"/>
      <c r="AE2809" s="38"/>
      <c r="AF2809" s="38"/>
      <c r="AG2809" s="38"/>
      <c r="AH2809" s="60"/>
    </row>
    <row r="2810" spans="1:34" ht="15.75" customHeight="1">
      <c r="A2810" s="38" t="s">
        <v>6667</v>
      </c>
      <c r="B2810" s="34" t="s">
        <v>10014</v>
      </c>
      <c r="C2810" s="37" t="s">
        <v>87</v>
      </c>
      <c r="D2810" s="20" t="s">
        <v>10015</v>
      </c>
      <c r="E2810" s="20" t="s">
        <v>10016</v>
      </c>
      <c r="F2810" s="37" t="s">
        <v>49</v>
      </c>
      <c r="G2810" s="19" t="s">
        <v>50</v>
      </c>
      <c r="H2810" s="37"/>
      <c r="I2810" s="21" t="s">
        <v>29</v>
      </c>
      <c r="J2810" s="21" t="s">
        <v>29</v>
      </c>
      <c r="K2810" s="22" t="s">
        <v>10017</v>
      </c>
      <c r="L2810" s="56">
        <v>45092</v>
      </c>
      <c r="O2810" s="42"/>
      <c r="P2810" s="40"/>
      <c r="Q2810" s="61"/>
      <c r="R2810" s="61"/>
      <c r="S2810" s="40"/>
      <c r="T2810" s="38"/>
      <c r="U2810" s="38"/>
      <c r="V2810" s="38"/>
      <c r="W2810" s="60"/>
      <c r="AB2810" s="42"/>
      <c r="AC2810" s="35"/>
      <c r="AD2810" s="38"/>
      <c r="AE2810" s="38"/>
      <c r="AF2810" s="38"/>
      <c r="AG2810" s="38"/>
      <c r="AH2810" s="60"/>
    </row>
    <row r="2811" spans="1:34" ht="15.75" customHeight="1">
      <c r="A2811" s="111" t="s">
        <v>56</v>
      </c>
      <c r="B2811" s="18" t="s">
        <v>10018</v>
      </c>
      <c r="C2811" s="37" t="s">
        <v>24</v>
      </c>
      <c r="D2811" s="20" t="s">
        <v>10019</v>
      </c>
      <c r="E2811" s="20"/>
      <c r="F2811" s="19" t="s">
        <v>27</v>
      </c>
      <c r="G2811" s="19" t="s">
        <v>28</v>
      </c>
      <c r="H2811" s="37"/>
      <c r="I2811" s="21" t="s">
        <v>29</v>
      </c>
      <c r="J2811" s="21" t="s">
        <v>29</v>
      </c>
      <c r="K2811" s="22"/>
      <c r="L2811" s="56">
        <v>45092</v>
      </c>
      <c r="O2811" s="42"/>
      <c r="P2811" s="40"/>
      <c r="Q2811" s="61"/>
      <c r="R2811" s="61"/>
      <c r="S2811" s="40"/>
      <c r="T2811" s="38"/>
      <c r="U2811" s="38"/>
      <c r="V2811" s="38"/>
      <c r="W2811" s="60"/>
      <c r="AB2811" s="42"/>
      <c r="AC2811" s="35"/>
      <c r="AD2811" s="38"/>
      <c r="AE2811" s="38"/>
      <c r="AF2811" s="38"/>
      <c r="AG2811" s="38"/>
      <c r="AH2811" s="60"/>
    </row>
    <row r="2812" spans="1:34" ht="15.75" customHeight="1">
      <c r="A2812" s="75">
        <v>57</v>
      </c>
      <c r="B2812" s="18" t="s">
        <v>10020</v>
      </c>
      <c r="C2812" s="37" t="s">
        <v>24</v>
      </c>
      <c r="D2812" s="20" t="s">
        <v>10021</v>
      </c>
      <c r="E2812" s="20"/>
      <c r="F2812" s="19" t="s">
        <v>27</v>
      </c>
      <c r="G2812" s="19" t="s">
        <v>28</v>
      </c>
      <c r="H2812" s="37"/>
      <c r="I2812" s="21" t="s">
        <v>29</v>
      </c>
      <c r="J2812" s="21" t="s">
        <v>29</v>
      </c>
      <c r="K2812" s="22"/>
      <c r="L2812" s="56">
        <v>45092</v>
      </c>
      <c r="O2812" s="42"/>
      <c r="P2812" s="40"/>
      <c r="Q2812" s="61"/>
      <c r="R2812" s="61"/>
      <c r="S2812" s="40"/>
      <c r="T2812" s="38"/>
      <c r="U2812" s="38"/>
      <c r="V2812" s="38"/>
      <c r="W2812" s="60"/>
      <c r="AB2812" s="42"/>
      <c r="AC2812" s="35"/>
      <c r="AD2812" s="38"/>
      <c r="AE2812" s="38"/>
      <c r="AF2812" s="38"/>
      <c r="AG2812" s="38"/>
      <c r="AH2812" s="60"/>
    </row>
    <row r="2813" spans="1:34" ht="15.75" customHeight="1">
      <c r="A2813" s="111" t="s">
        <v>64</v>
      </c>
      <c r="B2813" s="18" t="s">
        <v>10022</v>
      </c>
      <c r="C2813" s="37" t="s">
        <v>24</v>
      </c>
      <c r="D2813" s="20" t="s">
        <v>10023</v>
      </c>
      <c r="E2813" s="20"/>
      <c r="F2813" s="19" t="s">
        <v>27</v>
      </c>
      <c r="G2813" s="19" t="s">
        <v>28</v>
      </c>
      <c r="H2813" s="37"/>
      <c r="I2813" s="21" t="s">
        <v>29</v>
      </c>
      <c r="J2813" s="21" t="s">
        <v>29</v>
      </c>
      <c r="K2813" s="22"/>
      <c r="L2813" s="56">
        <v>45092</v>
      </c>
      <c r="O2813" s="42"/>
      <c r="P2813" s="40"/>
      <c r="Q2813" s="61"/>
      <c r="R2813" s="61"/>
      <c r="S2813" s="40"/>
      <c r="T2813" s="38"/>
      <c r="U2813" s="38"/>
      <c r="V2813" s="38"/>
      <c r="W2813" s="60"/>
      <c r="AB2813" s="42"/>
      <c r="AC2813" s="35"/>
      <c r="AD2813" s="38"/>
      <c r="AE2813" s="38"/>
      <c r="AF2813" s="38"/>
      <c r="AG2813" s="38"/>
      <c r="AH2813" s="60"/>
    </row>
    <row r="2814" spans="1:34" ht="15.75" customHeight="1">
      <c r="A2814" s="75"/>
      <c r="B2814" s="29" t="s">
        <v>10024</v>
      </c>
      <c r="C2814" s="37" t="s">
        <v>24</v>
      </c>
      <c r="D2814" s="20" t="s">
        <v>10025</v>
      </c>
      <c r="E2814" s="20" t="s">
        <v>10026</v>
      </c>
      <c r="F2814" s="19" t="s">
        <v>27</v>
      </c>
      <c r="G2814" s="19" t="s">
        <v>28</v>
      </c>
      <c r="H2814" s="37"/>
      <c r="I2814" s="21" t="s">
        <v>29</v>
      </c>
      <c r="J2814" s="21" t="s">
        <v>29</v>
      </c>
      <c r="K2814" s="22" t="s">
        <v>10027</v>
      </c>
      <c r="L2814" s="56"/>
      <c r="O2814" s="42"/>
      <c r="P2814" s="40"/>
      <c r="Q2814" s="61"/>
      <c r="R2814" s="61"/>
      <c r="S2814" s="40"/>
      <c r="T2814" s="38"/>
      <c r="U2814" s="38"/>
      <c r="V2814" s="38"/>
      <c r="W2814" s="60"/>
      <c r="AB2814" s="42"/>
      <c r="AC2814" s="35"/>
      <c r="AD2814" s="38"/>
      <c r="AE2814" s="38"/>
      <c r="AF2814" s="38"/>
      <c r="AG2814" s="38"/>
      <c r="AH2814" s="60"/>
    </row>
    <row r="2815" spans="1:34" ht="15.75" customHeight="1">
      <c r="A2815" s="75">
        <v>3.2</v>
      </c>
      <c r="B2815" s="18" t="s">
        <v>10028</v>
      </c>
      <c r="C2815" s="37" t="s">
        <v>46</v>
      </c>
      <c r="D2815" s="20" t="s">
        <v>10029</v>
      </c>
      <c r="E2815" s="20" t="s">
        <v>10030</v>
      </c>
      <c r="F2815" s="37" t="s">
        <v>49</v>
      </c>
      <c r="G2815" s="19" t="s">
        <v>50</v>
      </c>
      <c r="H2815" s="37"/>
      <c r="I2815" s="21" t="s">
        <v>29</v>
      </c>
      <c r="J2815" s="21" t="s">
        <v>29</v>
      </c>
      <c r="K2815" s="22" t="s">
        <v>10030</v>
      </c>
      <c r="L2815" s="56">
        <v>45092</v>
      </c>
      <c r="O2815" s="42"/>
      <c r="P2815" s="40"/>
      <c r="Q2815" s="61"/>
      <c r="R2815" s="61"/>
      <c r="S2815" s="40"/>
      <c r="T2815" s="38"/>
      <c r="U2815" s="38"/>
      <c r="V2815" s="38"/>
      <c r="W2815" s="60"/>
      <c r="AB2815" s="42"/>
      <c r="AC2815" s="35"/>
      <c r="AD2815" s="38"/>
      <c r="AE2815" s="38"/>
      <c r="AF2815" s="38"/>
      <c r="AG2815" s="38"/>
      <c r="AH2815" s="60"/>
    </row>
    <row r="2816" spans="1:34" ht="15.75" customHeight="1">
      <c r="A2816" s="111" t="s">
        <v>73</v>
      </c>
      <c r="B2816" s="18" t="s">
        <v>10031</v>
      </c>
      <c r="C2816" s="37" t="s">
        <v>87</v>
      </c>
      <c r="D2816" s="20" t="s">
        <v>10032</v>
      </c>
      <c r="E2816" s="20" t="s">
        <v>10033</v>
      </c>
      <c r="F2816" s="19" t="s">
        <v>90</v>
      </c>
      <c r="G2816" s="19" t="s">
        <v>91</v>
      </c>
      <c r="H2816" s="37"/>
      <c r="I2816" s="21" t="s">
        <v>29</v>
      </c>
      <c r="J2816" s="21" t="s">
        <v>29</v>
      </c>
      <c r="K2816" s="22" t="s">
        <v>10034</v>
      </c>
      <c r="L2816" s="56">
        <v>45092</v>
      </c>
      <c r="O2816" s="42"/>
      <c r="P2816" s="40"/>
      <c r="Q2816" s="61"/>
      <c r="R2816" s="61"/>
      <c r="S2816" s="40"/>
      <c r="T2816" s="38"/>
      <c r="U2816" s="38"/>
      <c r="V2816" s="38"/>
      <c r="W2816" s="60"/>
      <c r="AB2816" s="42"/>
      <c r="AC2816" s="35"/>
      <c r="AD2816" s="38"/>
      <c r="AE2816" s="38"/>
      <c r="AF2816" s="38"/>
      <c r="AG2816" s="38"/>
      <c r="AH2816" s="60"/>
    </row>
    <row r="2817" spans="1:34" ht="15.75" customHeight="1">
      <c r="A2817" s="75">
        <v>3.4</v>
      </c>
      <c r="B2817" s="18" t="s">
        <v>10035</v>
      </c>
      <c r="C2817" s="37" t="s">
        <v>87</v>
      </c>
      <c r="D2817" s="20" t="s">
        <v>10036</v>
      </c>
      <c r="E2817" s="20" t="s">
        <v>10037</v>
      </c>
      <c r="F2817" s="19" t="s">
        <v>90</v>
      </c>
      <c r="G2817" s="19" t="s">
        <v>91</v>
      </c>
      <c r="H2817" s="37"/>
      <c r="I2817" s="21" t="s">
        <v>29</v>
      </c>
      <c r="J2817" s="21" t="s">
        <v>29</v>
      </c>
      <c r="K2817" s="22" t="s">
        <v>10037</v>
      </c>
      <c r="L2817" s="56">
        <v>45092</v>
      </c>
      <c r="O2817" s="42"/>
      <c r="P2817" s="40"/>
      <c r="Q2817" s="61"/>
      <c r="R2817" s="61"/>
      <c r="S2817" s="40"/>
      <c r="T2817" s="38"/>
      <c r="U2817" s="38"/>
      <c r="V2817" s="38"/>
      <c r="W2817" s="60"/>
      <c r="AB2817" s="42"/>
      <c r="AC2817" s="35"/>
      <c r="AD2817" s="38"/>
      <c r="AE2817" s="38"/>
      <c r="AF2817" s="38"/>
      <c r="AG2817" s="38"/>
      <c r="AH2817" s="60"/>
    </row>
    <row r="2818" spans="1:34" ht="15.75" customHeight="1">
      <c r="A2818" s="111" t="s">
        <v>82</v>
      </c>
      <c r="B2818" s="18" t="s">
        <v>10038</v>
      </c>
      <c r="C2818" s="37" t="s">
        <v>24</v>
      </c>
      <c r="D2818" s="20" t="s">
        <v>10039</v>
      </c>
      <c r="E2818" s="20"/>
      <c r="F2818" s="19" t="s">
        <v>27</v>
      </c>
      <c r="G2818" s="19" t="s">
        <v>28</v>
      </c>
      <c r="H2818" s="37" t="s">
        <v>762</v>
      </c>
      <c r="I2818" s="21" t="s">
        <v>29</v>
      </c>
      <c r="J2818" s="21" t="s">
        <v>29</v>
      </c>
      <c r="K2818" s="22"/>
      <c r="L2818" s="56">
        <v>45092</v>
      </c>
      <c r="O2818" s="42"/>
      <c r="P2818" s="40"/>
      <c r="Q2818" s="61"/>
      <c r="R2818" s="61"/>
      <c r="S2818" s="40"/>
      <c r="T2818" s="38"/>
      <c r="U2818" s="38"/>
      <c r="V2818" s="38"/>
      <c r="W2818" s="60"/>
      <c r="AB2818" s="42"/>
      <c r="AC2818" s="35"/>
      <c r="AD2818" s="38"/>
      <c r="AE2818" s="38"/>
      <c r="AF2818" s="38"/>
      <c r="AG2818" s="38"/>
      <c r="AH2818" s="60"/>
    </row>
    <row r="2819" spans="1:34" ht="15.75" customHeight="1">
      <c r="A2819" s="75" t="s">
        <v>10040</v>
      </c>
      <c r="B2819" s="18" t="s">
        <v>10041</v>
      </c>
      <c r="C2819" s="37" t="s">
        <v>24</v>
      </c>
      <c r="D2819" s="20" t="s">
        <v>10042</v>
      </c>
      <c r="E2819" s="20" t="s">
        <v>10043</v>
      </c>
      <c r="F2819" s="19" t="s">
        <v>27</v>
      </c>
      <c r="G2819" s="19" t="s">
        <v>28</v>
      </c>
      <c r="H2819" s="37"/>
      <c r="I2819" s="21" t="s">
        <v>29</v>
      </c>
      <c r="J2819" s="21" t="s">
        <v>29</v>
      </c>
      <c r="K2819" s="22" t="s">
        <v>10044</v>
      </c>
      <c r="L2819" s="56">
        <v>45092</v>
      </c>
      <c r="O2819" s="42"/>
      <c r="P2819" s="40"/>
      <c r="Q2819" s="61"/>
      <c r="R2819" s="61"/>
      <c r="S2819" s="40"/>
      <c r="T2819" s="38"/>
      <c r="U2819" s="38"/>
      <c r="V2819" s="38"/>
      <c r="W2819" s="60"/>
      <c r="AB2819" s="42"/>
      <c r="AC2819" s="35"/>
      <c r="AD2819" s="38"/>
      <c r="AE2819" s="38"/>
      <c r="AF2819" s="38"/>
      <c r="AG2819" s="38"/>
      <c r="AH2819" s="60"/>
    </row>
    <row r="2820" spans="1:34" ht="15.75" customHeight="1">
      <c r="A2820" s="111" t="s">
        <v>92</v>
      </c>
      <c r="B2820" s="29" t="s">
        <v>10045</v>
      </c>
      <c r="C2820" s="37" t="s">
        <v>24</v>
      </c>
      <c r="D2820" s="20" t="s">
        <v>10046</v>
      </c>
      <c r="E2820" s="20" t="s">
        <v>10047</v>
      </c>
      <c r="F2820" s="19" t="s">
        <v>27</v>
      </c>
      <c r="G2820" s="19" t="s">
        <v>28</v>
      </c>
      <c r="H2820" s="37"/>
      <c r="I2820" s="21" t="s">
        <v>29</v>
      </c>
      <c r="J2820" s="21" t="s">
        <v>29</v>
      </c>
      <c r="K2820" s="22" t="s">
        <v>10048</v>
      </c>
      <c r="L2820" s="56"/>
      <c r="O2820" s="42"/>
      <c r="P2820" s="40"/>
      <c r="Q2820" s="61"/>
      <c r="R2820" s="61"/>
      <c r="S2820" s="40"/>
      <c r="T2820" s="38"/>
      <c r="U2820" s="38"/>
      <c r="V2820" s="38"/>
      <c r="W2820" s="60"/>
      <c r="AB2820" s="42"/>
      <c r="AC2820" s="35"/>
      <c r="AD2820" s="38"/>
      <c r="AE2820" s="38"/>
      <c r="AF2820" s="38"/>
      <c r="AG2820" s="38"/>
      <c r="AH2820" s="60"/>
    </row>
    <row r="2821" spans="1:34" ht="15.75" customHeight="1">
      <c r="A2821" s="112">
        <v>727</v>
      </c>
      <c r="B2821" s="18" t="s">
        <v>10049</v>
      </c>
      <c r="C2821" s="37" t="s">
        <v>24</v>
      </c>
      <c r="D2821" s="20" t="s">
        <v>10050</v>
      </c>
      <c r="E2821" s="20"/>
      <c r="F2821" s="19" t="s">
        <v>27</v>
      </c>
      <c r="G2821" s="19" t="s">
        <v>28</v>
      </c>
      <c r="H2821" s="37"/>
      <c r="I2821" s="21" t="s">
        <v>29</v>
      </c>
      <c r="J2821" s="21" t="s">
        <v>29</v>
      </c>
      <c r="K2821" s="22"/>
      <c r="L2821" s="56">
        <v>45092</v>
      </c>
      <c r="O2821" s="42"/>
      <c r="P2821" s="40"/>
      <c r="Q2821" s="61"/>
      <c r="R2821" s="61"/>
      <c r="S2821" s="40"/>
      <c r="T2821" s="38"/>
      <c r="U2821" s="38"/>
      <c r="V2821" s="38"/>
      <c r="W2821" s="60"/>
      <c r="AB2821" s="42"/>
      <c r="AC2821" s="35"/>
      <c r="AD2821" s="38"/>
      <c r="AE2821" s="38"/>
      <c r="AF2821" s="38"/>
      <c r="AG2821" s="38"/>
      <c r="AH2821" s="60"/>
    </row>
    <row r="2822" spans="1:34" ht="15.75" customHeight="1">
      <c r="A2822" s="111" t="s">
        <v>100</v>
      </c>
      <c r="B2822" s="29" t="s">
        <v>10051</v>
      </c>
      <c r="C2822" s="37" t="s">
        <v>24</v>
      </c>
      <c r="D2822" s="20" t="s">
        <v>10052</v>
      </c>
      <c r="E2822" s="20" t="s">
        <v>10053</v>
      </c>
      <c r="F2822" s="19" t="s">
        <v>27</v>
      </c>
      <c r="G2822" s="19" t="s">
        <v>28</v>
      </c>
      <c r="H2822" s="37"/>
      <c r="I2822" s="21" t="s">
        <v>29</v>
      </c>
      <c r="J2822" s="21" t="s">
        <v>29</v>
      </c>
      <c r="K2822" s="22" t="s">
        <v>10054</v>
      </c>
      <c r="L2822" s="56">
        <v>45092</v>
      </c>
      <c r="O2822" s="42"/>
      <c r="P2822" s="40"/>
      <c r="Q2822" s="61"/>
      <c r="R2822" s="61"/>
      <c r="S2822" s="40"/>
      <c r="T2822" s="38"/>
      <c r="U2822" s="38"/>
      <c r="V2822" s="38"/>
      <c r="W2822" s="60"/>
      <c r="AB2822" s="42"/>
      <c r="AC2822" s="35"/>
      <c r="AD2822" s="38"/>
      <c r="AE2822" s="38"/>
      <c r="AF2822" s="38"/>
      <c r="AG2822" s="38"/>
      <c r="AH2822" s="60"/>
    </row>
    <row r="2823" spans="1:34" ht="15.75" customHeight="1">
      <c r="A2823" s="75">
        <v>161</v>
      </c>
      <c r="B2823" s="18" t="s">
        <v>10055</v>
      </c>
      <c r="C2823" s="37" t="s">
        <v>24</v>
      </c>
      <c r="D2823" s="20" t="s">
        <v>10056</v>
      </c>
      <c r="E2823" s="20"/>
      <c r="F2823" s="19" t="s">
        <v>27</v>
      </c>
      <c r="G2823" s="19" t="s">
        <v>28</v>
      </c>
      <c r="H2823" s="37"/>
      <c r="I2823" s="21" t="s">
        <v>29</v>
      </c>
      <c r="J2823" s="21" t="s">
        <v>29</v>
      </c>
      <c r="K2823" s="22"/>
      <c r="L2823" s="56">
        <v>45092</v>
      </c>
      <c r="O2823" s="42"/>
      <c r="P2823" s="40"/>
      <c r="Q2823" s="61"/>
      <c r="R2823" s="61"/>
      <c r="S2823" s="40"/>
      <c r="T2823" s="38"/>
      <c r="U2823" s="38"/>
      <c r="V2823" s="38"/>
      <c r="W2823" s="60"/>
      <c r="AB2823" s="42"/>
      <c r="AC2823" s="35"/>
      <c r="AD2823" s="38"/>
      <c r="AE2823" s="38"/>
      <c r="AF2823" s="38"/>
      <c r="AG2823" s="38"/>
      <c r="AH2823" s="60"/>
    </row>
    <row r="2824" spans="1:34" ht="15.75" customHeight="1">
      <c r="B2824" s="18" t="s">
        <v>10057</v>
      </c>
      <c r="C2824" s="37" t="s">
        <v>87</v>
      </c>
      <c r="D2824" s="20" t="s">
        <v>10058</v>
      </c>
      <c r="E2824" s="20" t="s">
        <v>10059</v>
      </c>
      <c r="F2824" s="19" t="s">
        <v>90</v>
      </c>
      <c r="G2824" s="19" t="s">
        <v>91</v>
      </c>
      <c r="H2824" s="37"/>
      <c r="I2824" s="21" t="s">
        <v>29</v>
      </c>
      <c r="J2824" s="21" t="s">
        <v>29</v>
      </c>
      <c r="K2824" s="22" t="s">
        <v>10060</v>
      </c>
      <c r="L2824" s="56">
        <v>45092</v>
      </c>
      <c r="O2824" s="42"/>
      <c r="P2824" s="40"/>
      <c r="Q2824" s="61"/>
      <c r="R2824" s="61"/>
      <c r="S2824" s="40"/>
      <c r="T2824" s="38"/>
      <c r="U2824" s="38"/>
      <c r="V2824" s="38"/>
      <c r="W2824" s="60"/>
      <c r="AB2824" s="42"/>
      <c r="AC2824" s="35"/>
      <c r="AD2824" s="38"/>
      <c r="AE2824" s="38"/>
      <c r="AF2824" s="38"/>
      <c r="AG2824" s="38"/>
      <c r="AH2824" s="60"/>
    </row>
    <row r="2825" spans="1:34" ht="15.75" customHeight="1">
      <c r="B2825" s="18" t="s">
        <v>10061</v>
      </c>
      <c r="C2825" s="37" t="s">
        <v>46</v>
      </c>
      <c r="D2825" s="20" t="s">
        <v>10062</v>
      </c>
      <c r="E2825" s="20" t="s">
        <v>10063</v>
      </c>
      <c r="F2825" s="37" t="s">
        <v>49</v>
      </c>
      <c r="G2825" s="19" t="s">
        <v>50</v>
      </c>
      <c r="H2825" s="37"/>
      <c r="I2825" s="21" t="s">
        <v>29</v>
      </c>
      <c r="J2825" s="21" t="s">
        <v>29</v>
      </c>
      <c r="K2825" s="22" t="s">
        <v>10064</v>
      </c>
      <c r="L2825" s="56">
        <v>45092</v>
      </c>
      <c r="O2825" s="42"/>
      <c r="P2825" s="40"/>
      <c r="Q2825" s="61"/>
      <c r="R2825" s="61"/>
      <c r="S2825" s="40"/>
      <c r="T2825" s="38"/>
      <c r="U2825" s="38"/>
      <c r="V2825" s="38"/>
      <c r="W2825" s="60"/>
      <c r="AB2825" s="42"/>
      <c r="AC2825" s="35"/>
      <c r="AD2825" s="38"/>
      <c r="AE2825" s="38"/>
      <c r="AF2825" s="38"/>
      <c r="AG2825" s="38"/>
      <c r="AH2825" s="60"/>
    </row>
    <row r="2826" spans="1:34" ht="15.75" customHeight="1">
      <c r="A2826" s="125"/>
      <c r="B2826" s="18" t="s">
        <v>10065</v>
      </c>
      <c r="C2826" s="37" t="s">
        <v>24</v>
      </c>
      <c r="D2826" s="20" t="s">
        <v>10066</v>
      </c>
      <c r="E2826" s="20"/>
      <c r="F2826" s="19" t="s">
        <v>27</v>
      </c>
      <c r="G2826" s="19" t="s">
        <v>28</v>
      </c>
      <c r="H2826" s="37"/>
      <c r="I2826" s="21" t="s">
        <v>29</v>
      </c>
      <c r="J2826" s="21" t="s">
        <v>29</v>
      </c>
      <c r="K2826" s="22"/>
      <c r="L2826" s="56">
        <v>45092</v>
      </c>
      <c r="O2826" s="42"/>
      <c r="P2826" s="40"/>
      <c r="Q2826" s="61"/>
      <c r="R2826" s="61"/>
      <c r="S2826" s="40"/>
      <c r="T2826" s="38"/>
      <c r="U2826" s="38"/>
      <c r="V2826" s="38"/>
      <c r="W2826" s="60"/>
      <c r="AB2826" s="42"/>
      <c r="AC2826" s="35"/>
      <c r="AD2826" s="38"/>
      <c r="AE2826" s="38"/>
      <c r="AF2826" s="38"/>
      <c r="AG2826" s="38"/>
      <c r="AH2826" s="60"/>
    </row>
    <row r="2827" spans="1:34" ht="15.75" customHeight="1">
      <c r="A2827" s="126"/>
      <c r="B2827" s="18" t="s">
        <v>10067</v>
      </c>
      <c r="C2827" s="37" t="s">
        <v>24</v>
      </c>
      <c r="D2827" s="20" t="s">
        <v>10068</v>
      </c>
      <c r="E2827" s="20"/>
      <c r="F2827" s="19" t="s">
        <v>27</v>
      </c>
      <c r="G2827" s="19" t="s">
        <v>28</v>
      </c>
      <c r="H2827" s="37"/>
      <c r="I2827" s="21" t="s">
        <v>29</v>
      </c>
      <c r="J2827" s="21" t="s">
        <v>29</v>
      </c>
      <c r="K2827" s="22"/>
      <c r="L2827" s="56">
        <v>45092</v>
      </c>
      <c r="O2827" s="42"/>
      <c r="P2827" s="40"/>
      <c r="Q2827" s="61"/>
      <c r="R2827" s="61"/>
      <c r="S2827" s="40"/>
      <c r="T2827" s="38"/>
      <c r="U2827" s="38"/>
      <c r="V2827" s="38"/>
      <c r="W2827" s="60"/>
      <c r="AB2827" s="42"/>
      <c r="AC2827" s="35"/>
      <c r="AD2827" s="38"/>
      <c r="AE2827" s="38"/>
      <c r="AF2827" s="38"/>
      <c r="AG2827" s="38"/>
      <c r="AH2827" s="60"/>
    </row>
    <row r="2828" spans="1:34" ht="15.75" customHeight="1">
      <c r="A2828" s="126"/>
      <c r="B2828" s="18" t="s">
        <v>10069</v>
      </c>
      <c r="C2828" s="37" t="s">
        <v>87</v>
      </c>
      <c r="D2828" s="20" t="s">
        <v>10070</v>
      </c>
      <c r="E2828" s="20" t="s">
        <v>10071</v>
      </c>
      <c r="F2828" s="19" t="s">
        <v>90</v>
      </c>
      <c r="G2828" s="19" t="s">
        <v>91</v>
      </c>
      <c r="H2828" s="37"/>
      <c r="I2828" s="21" t="s">
        <v>29</v>
      </c>
      <c r="J2828" s="21" t="s">
        <v>29</v>
      </c>
      <c r="K2828" s="22" t="s">
        <v>10072</v>
      </c>
      <c r="L2828" s="56">
        <v>45092</v>
      </c>
      <c r="O2828" s="42"/>
      <c r="P2828" s="40"/>
      <c r="Q2828" s="61"/>
      <c r="R2828" s="61"/>
      <c r="S2828" s="40"/>
      <c r="T2828" s="38"/>
      <c r="U2828" s="38"/>
      <c r="V2828" s="38"/>
      <c r="W2828" s="60"/>
      <c r="AB2828" s="42"/>
      <c r="AC2828" s="35"/>
      <c r="AD2828" s="38"/>
      <c r="AE2828" s="38"/>
      <c r="AF2828" s="38"/>
      <c r="AG2828" s="38"/>
      <c r="AH2828" s="60"/>
    </row>
    <row r="2829" spans="1:34" ht="15.75" customHeight="1">
      <c r="A2829" s="127"/>
      <c r="B2829" s="18" t="s">
        <v>10073</v>
      </c>
      <c r="C2829" s="37" t="s">
        <v>87</v>
      </c>
      <c r="D2829" s="20" t="s">
        <v>10074</v>
      </c>
      <c r="E2829" s="20"/>
      <c r="F2829" s="19" t="s">
        <v>90</v>
      </c>
      <c r="G2829" s="19" t="s">
        <v>91</v>
      </c>
      <c r="H2829" s="37"/>
      <c r="I2829" s="21" t="s">
        <v>29</v>
      </c>
      <c r="J2829" s="21" t="s">
        <v>29</v>
      </c>
      <c r="K2829" s="22"/>
      <c r="L2829" s="56">
        <v>45092</v>
      </c>
      <c r="O2829" s="42"/>
      <c r="P2829" s="40"/>
      <c r="Q2829" s="61"/>
      <c r="R2829" s="61"/>
      <c r="S2829" s="40"/>
      <c r="T2829" s="38"/>
      <c r="U2829" s="38"/>
      <c r="V2829" s="38"/>
      <c r="W2829" s="60"/>
      <c r="AB2829" s="42"/>
      <c r="AC2829" s="35"/>
      <c r="AD2829" s="38"/>
      <c r="AE2829" s="38"/>
      <c r="AF2829" s="38"/>
      <c r="AG2829" s="38"/>
      <c r="AH2829" s="60"/>
    </row>
    <row r="2830" spans="1:34" ht="15.75" customHeight="1">
      <c r="A2830" s="127"/>
      <c r="B2830" s="18" t="s">
        <v>10075</v>
      </c>
      <c r="C2830" s="37" t="s">
        <v>24</v>
      </c>
      <c r="D2830" s="20" t="s">
        <v>10076</v>
      </c>
      <c r="E2830" s="20"/>
      <c r="F2830" s="19" t="s">
        <v>27</v>
      </c>
      <c r="G2830" s="19" t="s">
        <v>28</v>
      </c>
      <c r="H2830" s="37"/>
      <c r="I2830" s="21" t="s">
        <v>29</v>
      </c>
      <c r="J2830" s="21" t="s">
        <v>29</v>
      </c>
      <c r="K2830" s="22"/>
      <c r="L2830" s="56">
        <v>45092</v>
      </c>
      <c r="O2830" s="42"/>
      <c r="P2830" s="40"/>
      <c r="Q2830" s="61"/>
      <c r="R2830" s="61"/>
      <c r="S2830" s="40"/>
      <c r="T2830" s="38"/>
      <c r="U2830" s="38"/>
      <c r="V2830" s="38"/>
      <c r="W2830" s="60"/>
      <c r="AB2830" s="42"/>
      <c r="AC2830" s="35"/>
      <c r="AD2830" s="38"/>
      <c r="AE2830" s="38"/>
      <c r="AF2830" s="38"/>
      <c r="AG2830" s="38"/>
      <c r="AH2830" s="60"/>
    </row>
    <row r="2831" spans="1:34" ht="15.75" customHeight="1">
      <c r="A2831" s="126"/>
      <c r="B2831" s="29" t="s">
        <v>10077</v>
      </c>
      <c r="C2831" s="37" t="s">
        <v>24</v>
      </c>
      <c r="D2831" s="20" t="s">
        <v>10078</v>
      </c>
      <c r="E2831" s="20"/>
      <c r="F2831" s="19" t="s">
        <v>27</v>
      </c>
      <c r="G2831" s="19" t="s">
        <v>28</v>
      </c>
      <c r="H2831" s="37"/>
      <c r="I2831" s="21" t="s">
        <v>29</v>
      </c>
      <c r="J2831" s="21" t="s">
        <v>29</v>
      </c>
      <c r="K2831" s="22"/>
      <c r="L2831" s="56"/>
      <c r="O2831" s="42"/>
      <c r="P2831" s="40"/>
      <c r="Q2831" s="61"/>
      <c r="R2831" s="61"/>
      <c r="S2831" s="40"/>
      <c r="T2831" s="38"/>
      <c r="U2831" s="38"/>
      <c r="V2831" s="38"/>
      <c r="W2831" s="60"/>
      <c r="AB2831" s="42"/>
      <c r="AC2831" s="35"/>
      <c r="AD2831" s="38"/>
      <c r="AE2831" s="38"/>
      <c r="AF2831" s="38"/>
      <c r="AG2831" s="38"/>
      <c r="AH2831" s="60"/>
    </row>
    <row r="2832" spans="1:34" ht="15.75" customHeight="1">
      <c r="A2832" s="126"/>
      <c r="B2832" s="18" t="s">
        <v>10079</v>
      </c>
      <c r="C2832" s="37" t="s">
        <v>46</v>
      </c>
      <c r="D2832" s="20" t="s">
        <v>10080</v>
      </c>
      <c r="E2832" s="20" t="s">
        <v>10081</v>
      </c>
      <c r="F2832" s="37" t="s">
        <v>49</v>
      </c>
      <c r="G2832" s="19" t="s">
        <v>50</v>
      </c>
      <c r="H2832" s="37"/>
      <c r="I2832" s="21" t="s">
        <v>29</v>
      </c>
      <c r="J2832" s="21" t="s">
        <v>29</v>
      </c>
      <c r="K2832" s="22" t="s">
        <v>10082</v>
      </c>
      <c r="L2832" s="56">
        <v>45092</v>
      </c>
      <c r="O2832" s="42"/>
      <c r="P2832" s="40"/>
      <c r="Q2832" s="61"/>
      <c r="R2832" s="61"/>
      <c r="S2832" s="40"/>
      <c r="T2832" s="38"/>
      <c r="U2832" s="38"/>
      <c r="V2832" s="38"/>
      <c r="W2832" s="60"/>
      <c r="AB2832" s="42"/>
      <c r="AC2832" s="35"/>
      <c r="AD2832" s="38"/>
      <c r="AE2832" s="38"/>
      <c r="AF2832" s="38"/>
      <c r="AG2832" s="38"/>
      <c r="AH2832" s="60"/>
    </row>
    <row r="2833" spans="1:34" ht="15.75" customHeight="1">
      <c r="A2833" s="126"/>
      <c r="B2833" s="18" t="s">
        <v>10083</v>
      </c>
      <c r="C2833" s="37" t="s">
        <v>24</v>
      </c>
      <c r="D2833" s="20" t="s">
        <v>10084</v>
      </c>
      <c r="E2833" s="20" t="s">
        <v>10085</v>
      </c>
      <c r="F2833" s="19" t="s">
        <v>27</v>
      </c>
      <c r="G2833" s="19" t="s">
        <v>28</v>
      </c>
      <c r="H2833" s="37"/>
      <c r="I2833" s="21" t="s">
        <v>29</v>
      </c>
      <c r="J2833" s="21" t="s">
        <v>29</v>
      </c>
      <c r="K2833" s="22" t="s">
        <v>10086</v>
      </c>
      <c r="L2833" s="56">
        <v>45092</v>
      </c>
      <c r="O2833" s="42"/>
      <c r="P2833" s="40"/>
      <c r="Q2833" s="61"/>
      <c r="R2833" s="61"/>
      <c r="S2833" s="40"/>
      <c r="T2833" s="38"/>
      <c r="U2833" s="38"/>
      <c r="V2833" s="38"/>
      <c r="W2833" s="60"/>
      <c r="AB2833" s="42"/>
      <c r="AC2833" s="35"/>
      <c r="AD2833" s="38"/>
      <c r="AE2833" s="38"/>
      <c r="AF2833" s="38"/>
      <c r="AG2833" s="38"/>
      <c r="AH2833" s="60"/>
    </row>
    <row r="2834" spans="1:34" ht="15.75" customHeight="1">
      <c r="A2834" s="126"/>
      <c r="B2834" s="18" t="s">
        <v>10087</v>
      </c>
      <c r="C2834" s="37" t="s">
        <v>24</v>
      </c>
      <c r="D2834" s="20" t="s">
        <v>10088</v>
      </c>
      <c r="E2834" s="20"/>
      <c r="F2834" s="19" t="s">
        <v>27</v>
      </c>
      <c r="G2834" s="19" t="s">
        <v>28</v>
      </c>
      <c r="H2834" s="37"/>
      <c r="I2834" s="21" t="s">
        <v>29</v>
      </c>
      <c r="J2834" s="21" t="s">
        <v>29</v>
      </c>
      <c r="K2834" s="22"/>
      <c r="L2834" s="56">
        <v>45092</v>
      </c>
      <c r="O2834" s="42"/>
      <c r="P2834" s="40"/>
      <c r="Q2834" s="61"/>
      <c r="R2834" s="61"/>
      <c r="S2834" s="40"/>
      <c r="T2834" s="38"/>
      <c r="U2834" s="38"/>
      <c r="V2834" s="38"/>
      <c r="W2834" s="60"/>
      <c r="AB2834" s="42"/>
      <c r="AC2834" s="35"/>
      <c r="AD2834" s="38"/>
      <c r="AE2834" s="38"/>
      <c r="AF2834" s="38"/>
      <c r="AG2834" s="38"/>
      <c r="AH2834" s="60"/>
    </row>
    <row r="2835" spans="1:34" ht="15.75" customHeight="1">
      <c r="A2835" s="127"/>
      <c r="B2835" s="38"/>
      <c r="C2835" s="37"/>
      <c r="D2835" s="20"/>
      <c r="E2835" s="20"/>
      <c r="F2835" s="37"/>
      <c r="G2835" s="37"/>
      <c r="H2835" s="37"/>
      <c r="I2835" s="21"/>
      <c r="J2835" s="21"/>
      <c r="K2835" s="22"/>
      <c r="L2835" s="39"/>
      <c r="O2835" s="42"/>
      <c r="P2835" s="40"/>
      <c r="Q2835" s="61"/>
      <c r="R2835" s="61"/>
      <c r="S2835" s="40"/>
      <c r="T2835" s="38"/>
      <c r="U2835" s="38"/>
      <c r="V2835" s="38"/>
      <c r="W2835" s="60"/>
      <c r="AB2835" s="42"/>
      <c r="AC2835" s="35"/>
      <c r="AD2835" s="38"/>
      <c r="AE2835" s="38"/>
      <c r="AF2835" s="38"/>
      <c r="AG2835" s="38"/>
      <c r="AH2835" s="60"/>
    </row>
    <row r="2836" spans="1:34" ht="15.75" customHeight="1">
      <c r="A2836" s="38" t="s">
        <v>10089</v>
      </c>
      <c r="B2836" s="18" t="s">
        <v>10090</v>
      </c>
      <c r="C2836" s="37" t="s">
        <v>46</v>
      </c>
      <c r="D2836" s="20" t="s">
        <v>10091</v>
      </c>
      <c r="E2836" s="20" t="s">
        <v>10092</v>
      </c>
      <c r="F2836" s="37" t="s">
        <v>49</v>
      </c>
      <c r="G2836" s="19" t="s">
        <v>50</v>
      </c>
      <c r="H2836" s="37"/>
      <c r="I2836" s="21" t="s">
        <v>29</v>
      </c>
      <c r="J2836" s="21" t="s">
        <v>29</v>
      </c>
      <c r="K2836" s="22" t="s">
        <v>10093</v>
      </c>
      <c r="L2836" s="56">
        <v>45093</v>
      </c>
      <c r="M2836" s="40"/>
      <c r="N2836" s="40"/>
      <c r="O2836" s="42"/>
      <c r="P2836" s="40"/>
      <c r="Q2836" s="61"/>
      <c r="R2836" s="61"/>
      <c r="S2836" s="40"/>
      <c r="T2836" s="38"/>
      <c r="U2836" s="38"/>
      <c r="V2836" s="38"/>
      <c r="W2836" s="60"/>
      <c r="AB2836" s="42"/>
      <c r="AC2836" s="35"/>
      <c r="AD2836" s="38"/>
      <c r="AE2836" s="38"/>
      <c r="AF2836" s="38"/>
      <c r="AG2836" s="38"/>
      <c r="AH2836" s="60"/>
    </row>
    <row r="2837" spans="1:34" ht="15.75" customHeight="1">
      <c r="A2837" s="54" t="s">
        <v>2714</v>
      </c>
      <c r="B2837" s="18" t="s">
        <v>10094</v>
      </c>
      <c r="C2837" s="37" t="s">
        <v>1366</v>
      </c>
      <c r="D2837" s="20" t="s">
        <v>10095</v>
      </c>
      <c r="E2837" s="20" t="s">
        <v>10096</v>
      </c>
      <c r="F2837" s="55" t="s">
        <v>1369</v>
      </c>
      <c r="G2837" s="55" t="s">
        <v>1370</v>
      </c>
      <c r="H2837" s="37"/>
      <c r="I2837" s="21" t="s">
        <v>1371</v>
      </c>
      <c r="J2837" s="21" t="s">
        <v>1371</v>
      </c>
      <c r="K2837" s="22" t="s">
        <v>10097</v>
      </c>
      <c r="L2837" s="56">
        <v>45093</v>
      </c>
      <c r="O2837" s="42"/>
      <c r="P2837" s="40"/>
      <c r="Q2837" s="61"/>
      <c r="R2837" s="61"/>
      <c r="S2837" s="40"/>
      <c r="T2837" s="38"/>
      <c r="U2837" s="38"/>
      <c r="V2837" s="38"/>
      <c r="W2837" s="60"/>
      <c r="AB2837" s="42"/>
      <c r="AC2837" s="35"/>
      <c r="AD2837" s="38"/>
      <c r="AE2837" s="38"/>
      <c r="AF2837" s="38"/>
      <c r="AG2837" s="38"/>
      <c r="AH2837" s="60"/>
    </row>
    <row r="2838" spans="1:34" ht="15.75" customHeight="1">
      <c r="A2838" s="114" t="s">
        <v>39</v>
      </c>
      <c r="B2838" s="18" t="s">
        <v>10098</v>
      </c>
      <c r="C2838" s="37" t="s">
        <v>46</v>
      </c>
      <c r="D2838" s="20" t="s">
        <v>10099</v>
      </c>
      <c r="E2838" s="20" t="s">
        <v>10100</v>
      </c>
      <c r="F2838" s="37" t="s">
        <v>49</v>
      </c>
      <c r="G2838" s="19" t="s">
        <v>50</v>
      </c>
      <c r="H2838" s="19" t="s">
        <v>36</v>
      </c>
      <c r="I2838" s="21" t="s">
        <v>29</v>
      </c>
      <c r="J2838" s="21" t="s">
        <v>29</v>
      </c>
      <c r="K2838" s="22" t="s">
        <v>10101</v>
      </c>
      <c r="L2838" s="56">
        <v>45093</v>
      </c>
      <c r="O2838" s="42"/>
      <c r="P2838" s="40"/>
      <c r="Q2838" s="61"/>
      <c r="R2838" s="61"/>
      <c r="S2838" s="40"/>
      <c r="T2838" s="38"/>
      <c r="U2838" s="38"/>
      <c r="V2838" s="38"/>
      <c r="W2838" s="60"/>
      <c r="AB2838" s="42"/>
      <c r="AC2838" s="35"/>
      <c r="AD2838" s="38"/>
      <c r="AE2838" s="38"/>
      <c r="AF2838" s="38"/>
      <c r="AG2838" s="38"/>
      <c r="AH2838" s="60"/>
    </row>
    <row r="2839" spans="1:34" ht="15.75" customHeight="1">
      <c r="A2839" s="38" t="s">
        <v>9511</v>
      </c>
      <c r="B2839" s="18" t="s">
        <v>10102</v>
      </c>
      <c r="C2839" s="37" t="s">
        <v>24</v>
      </c>
      <c r="D2839" s="20" t="s">
        <v>10103</v>
      </c>
      <c r="E2839" s="20" t="s">
        <v>10104</v>
      </c>
      <c r="F2839" s="19" t="s">
        <v>27</v>
      </c>
      <c r="G2839" s="19" t="s">
        <v>28</v>
      </c>
      <c r="H2839" s="37"/>
      <c r="I2839" s="21" t="s">
        <v>29</v>
      </c>
      <c r="J2839" s="21" t="s">
        <v>29</v>
      </c>
      <c r="K2839" s="22" t="s">
        <v>10105</v>
      </c>
      <c r="L2839" s="56">
        <v>45093</v>
      </c>
      <c r="O2839" s="42"/>
      <c r="P2839" s="40"/>
      <c r="Q2839" s="61"/>
      <c r="R2839" s="61"/>
      <c r="S2839" s="40"/>
      <c r="T2839" s="38"/>
      <c r="U2839" s="38"/>
      <c r="V2839" s="38"/>
      <c r="W2839" s="60"/>
      <c r="AB2839" s="42"/>
      <c r="AC2839" s="35"/>
      <c r="AD2839" s="38"/>
      <c r="AE2839" s="38"/>
      <c r="AF2839" s="38"/>
      <c r="AG2839" s="38"/>
      <c r="AH2839" s="60"/>
    </row>
    <row r="2840" spans="1:34" ht="15.75" customHeight="1">
      <c r="A2840" s="38" t="s">
        <v>6667</v>
      </c>
      <c r="B2840" s="18" t="s">
        <v>10106</v>
      </c>
      <c r="C2840" s="37" t="s">
        <v>46</v>
      </c>
      <c r="D2840" s="20" t="s">
        <v>10107</v>
      </c>
      <c r="E2840" s="20" t="s">
        <v>10108</v>
      </c>
      <c r="F2840" s="37" t="s">
        <v>49</v>
      </c>
      <c r="G2840" s="19" t="s">
        <v>50</v>
      </c>
      <c r="H2840" s="37"/>
      <c r="I2840" s="21" t="s">
        <v>29</v>
      </c>
      <c r="J2840" s="21" t="s">
        <v>29</v>
      </c>
      <c r="K2840" s="22" t="s">
        <v>10109</v>
      </c>
      <c r="L2840" s="56">
        <v>45093</v>
      </c>
      <c r="O2840" s="42"/>
      <c r="P2840" s="40"/>
      <c r="Q2840" s="61"/>
      <c r="R2840" s="61"/>
      <c r="S2840" s="40"/>
      <c r="T2840" s="38"/>
      <c r="U2840" s="38"/>
      <c r="V2840" s="38"/>
      <c r="W2840" s="60"/>
      <c r="AB2840" s="42"/>
      <c r="AC2840" s="35"/>
      <c r="AD2840" s="38"/>
      <c r="AE2840" s="38"/>
      <c r="AF2840" s="38"/>
      <c r="AG2840" s="38"/>
      <c r="AH2840" s="60"/>
    </row>
    <row r="2841" spans="1:34" ht="15.75" customHeight="1">
      <c r="A2841" s="111" t="s">
        <v>56</v>
      </c>
      <c r="B2841" s="18" t="s">
        <v>10110</v>
      </c>
      <c r="C2841" s="37" t="s">
        <v>87</v>
      </c>
      <c r="D2841" s="20" t="s">
        <v>10111</v>
      </c>
      <c r="E2841" s="20" t="s">
        <v>10112</v>
      </c>
      <c r="F2841" s="19" t="s">
        <v>90</v>
      </c>
      <c r="G2841" s="19" t="s">
        <v>91</v>
      </c>
      <c r="H2841" s="37"/>
      <c r="I2841" s="21" t="s">
        <v>29</v>
      </c>
      <c r="J2841" s="21" t="s">
        <v>29</v>
      </c>
      <c r="K2841" s="22" t="s">
        <v>10113</v>
      </c>
      <c r="L2841" s="56">
        <v>45093</v>
      </c>
      <c r="O2841" s="42"/>
      <c r="P2841" s="40"/>
      <c r="Q2841" s="61"/>
      <c r="R2841" s="61"/>
      <c r="S2841" s="40"/>
      <c r="T2841" s="38"/>
      <c r="U2841" s="38"/>
      <c r="V2841" s="38"/>
      <c r="W2841" s="60"/>
      <c r="AB2841" s="42"/>
      <c r="AC2841" s="35"/>
      <c r="AD2841" s="38"/>
      <c r="AE2841" s="38"/>
      <c r="AF2841" s="38"/>
      <c r="AG2841" s="38"/>
      <c r="AH2841" s="60"/>
    </row>
    <row r="2842" spans="1:34" ht="15.75" customHeight="1">
      <c r="A2842" s="75">
        <v>57</v>
      </c>
      <c r="B2842" s="18" t="s">
        <v>10114</v>
      </c>
      <c r="C2842" s="37" t="s">
        <v>24</v>
      </c>
      <c r="D2842" s="20" t="s">
        <v>10115</v>
      </c>
      <c r="E2842" s="20" t="s">
        <v>10116</v>
      </c>
      <c r="F2842" s="19" t="s">
        <v>27</v>
      </c>
      <c r="G2842" s="19" t="s">
        <v>28</v>
      </c>
      <c r="H2842" s="37"/>
      <c r="I2842" s="21" t="s">
        <v>29</v>
      </c>
      <c r="J2842" s="21" t="s">
        <v>29</v>
      </c>
      <c r="K2842" s="22" t="s">
        <v>10117</v>
      </c>
      <c r="L2842" s="56">
        <v>45093</v>
      </c>
      <c r="O2842" s="42"/>
      <c r="P2842" s="40"/>
      <c r="Q2842" s="61"/>
      <c r="R2842" s="61"/>
      <c r="S2842" s="40"/>
      <c r="T2842" s="38"/>
      <c r="U2842" s="38"/>
      <c r="V2842" s="38"/>
      <c r="W2842" s="60"/>
      <c r="AB2842" s="42"/>
      <c r="AC2842" s="35"/>
      <c r="AD2842" s="38"/>
      <c r="AE2842" s="38"/>
      <c r="AF2842" s="38"/>
      <c r="AG2842" s="38"/>
      <c r="AH2842" s="60"/>
    </row>
    <row r="2843" spans="1:34" ht="15.75" customHeight="1">
      <c r="A2843" s="111" t="s">
        <v>64</v>
      </c>
      <c r="B2843" s="18" t="s">
        <v>10118</v>
      </c>
      <c r="C2843" s="37" t="s">
        <v>46</v>
      </c>
      <c r="D2843" s="20" t="s">
        <v>10119</v>
      </c>
      <c r="E2843" s="20" t="s">
        <v>10120</v>
      </c>
      <c r="F2843" s="37" t="s">
        <v>49</v>
      </c>
      <c r="G2843" s="19" t="s">
        <v>50</v>
      </c>
      <c r="H2843" s="37"/>
      <c r="I2843" s="21" t="s">
        <v>29</v>
      </c>
      <c r="J2843" s="21" t="s">
        <v>29</v>
      </c>
      <c r="K2843" s="22" t="s">
        <v>10121</v>
      </c>
      <c r="L2843" s="56">
        <v>45093</v>
      </c>
      <c r="O2843" s="42"/>
      <c r="P2843" s="40"/>
      <c r="Q2843" s="61"/>
      <c r="R2843" s="61"/>
      <c r="S2843" s="40"/>
      <c r="T2843" s="38"/>
      <c r="U2843" s="38"/>
      <c r="V2843" s="38"/>
      <c r="W2843" s="60"/>
      <c r="AB2843" s="42"/>
      <c r="AC2843" s="35"/>
      <c r="AD2843" s="38"/>
      <c r="AE2843" s="38"/>
      <c r="AF2843" s="38"/>
      <c r="AG2843" s="38"/>
      <c r="AH2843" s="60"/>
    </row>
    <row r="2844" spans="1:34" ht="15.75" customHeight="1">
      <c r="A2844" s="75">
        <v>2.8</v>
      </c>
      <c r="B2844" s="18" t="s">
        <v>10122</v>
      </c>
      <c r="C2844" s="37" t="s">
        <v>24</v>
      </c>
      <c r="D2844" s="20" t="s">
        <v>10123</v>
      </c>
      <c r="E2844" s="20" t="s">
        <v>10124</v>
      </c>
      <c r="F2844" s="19" t="s">
        <v>27</v>
      </c>
      <c r="G2844" s="19" t="s">
        <v>28</v>
      </c>
      <c r="H2844" s="37"/>
      <c r="I2844" s="21" t="s">
        <v>29</v>
      </c>
      <c r="J2844" s="21" t="s">
        <v>29</v>
      </c>
      <c r="K2844" s="22" t="s">
        <v>10125</v>
      </c>
      <c r="L2844" s="56">
        <v>45093</v>
      </c>
      <c r="O2844" s="42"/>
      <c r="P2844" s="40"/>
      <c r="Q2844" s="61"/>
      <c r="R2844" s="61"/>
      <c r="S2844" s="40"/>
      <c r="T2844" s="38"/>
      <c r="U2844" s="38"/>
      <c r="V2844" s="38"/>
      <c r="W2844" s="60"/>
      <c r="AB2844" s="42"/>
      <c r="AC2844" s="35"/>
      <c r="AD2844" s="38"/>
      <c r="AE2844" s="38"/>
      <c r="AF2844" s="38"/>
      <c r="AG2844" s="38"/>
      <c r="AH2844" s="60"/>
    </row>
    <row r="2845" spans="1:34" ht="15.75" customHeight="1">
      <c r="A2845" s="111" t="s">
        <v>73</v>
      </c>
      <c r="B2845" s="18" t="s">
        <v>10126</v>
      </c>
      <c r="C2845" s="37" t="s">
        <v>24</v>
      </c>
      <c r="D2845" s="20" t="s">
        <v>10127</v>
      </c>
      <c r="E2845" s="20" t="s">
        <v>10128</v>
      </c>
      <c r="F2845" s="19" t="s">
        <v>27</v>
      </c>
      <c r="G2845" s="19" t="s">
        <v>28</v>
      </c>
      <c r="H2845" s="37"/>
      <c r="I2845" s="21" t="s">
        <v>29</v>
      </c>
      <c r="J2845" s="21" t="s">
        <v>29</v>
      </c>
      <c r="K2845" s="22" t="s">
        <v>10129</v>
      </c>
      <c r="L2845" s="56">
        <v>45093</v>
      </c>
      <c r="O2845" s="42"/>
      <c r="P2845" s="40"/>
      <c r="Q2845" s="61"/>
      <c r="R2845" s="61"/>
      <c r="S2845" s="40"/>
      <c r="T2845" s="38"/>
      <c r="U2845" s="38"/>
      <c r="V2845" s="38"/>
      <c r="W2845" s="60"/>
      <c r="AB2845" s="42"/>
      <c r="AC2845" s="35"/>
      <c r="AD2845" s="38"/>
      <c r="AE2845" s="38"/>
      <c r="AF2845" s="38"/>
      <c r="AG2845" s="38"/>
      <c r="AH2845" s="60"/>
    </row>
    <row r="2846" spans="1:34" ht="15.75" customHeight="1">
      <c r="A2846" s="75">
        <v>3.4</v>
      </c>
      <c r="B2846" s="18" t="s">
        <v>10130</v>
      </c>
      <c r="C2846" s="37" t="s">
        <v>46</v>
      </c>
      <c r="D2846" s="20" t="s">
        <v>10131</v>
      </c>
      <c r="E2846" s="20" t="s">
        <v>10132</v>
      </c>
      <c r="F2846" s="37" t="s">
        <v>49</v>
      </c>
      <c r="G2846" s="19" t="s">
        <v>50</v>
      </c>
      <c r="H2846" s="37"/>
      <c r="I2846" s="21" t="s">
        <v>29</v>
      </c>
      <c r="J2846" s="21" t="s">
        <v>29</v>
      </c>
      <c r="K2846" s="22" t="s">
        <v>10132</v>
      </c>
      <c r="L2846" s="56">
        <v>45093</v>
      </c>
      <c r="O2846" s="42"/>
      <c r="P2846" s="40"/>
      <c r="Q2846" s="61"/>
      <c r="R2846" s="61"/>
      <c r="S2846" s="40"/>
      <c r="T2846" s="38"/>
      <c r="U2846" s="38"/>
      <c r="V2846" s="38"/>
      <c r="W2846" s="60"/>
      <c r="AB2846" s="42"/>
      <c r="AC2846" s="35"/>
      <c r="AD2846" s="38"/>
      <c r="AE2846" s="38"/>
      <c r="AF2846" s="38"/>
      <c r="AG2846" s="38"/>
      <c r="AH2846" s="60"/>
    </row>
    <row r="2847" spans="1:34" ht="15.75" customHeight="1">
      <c r="A2847" s="111" t="s">
        <v>82</v>
      </c>
      <c r="B2847" s="18" t="s">
        <v>10133</v>
      </c>
      <c r="C2847" s="37" t="s">
        <v>87</v>
      </c>
      <c r="D2847" s="20" t="s">
        <v>10134</v>
      </c>
      <c r="E2847" s="20" t="s">
        <v>10135</v>
      </c>
      <c r="F2847" s="19" t="s">
        <v>90</v>
      </c>
      <c r="G2847" s="19" t="s">
        <v>91</v>
      </c>
      <c r="H2847" s="37"/>
      <c r="I2847" s="21" t="s">
        <v>29</v>
      </c>
      <c r="J2847" s="21" t="s">
        <v>29</v>
      </c>
      <c r="K2847" s="22" t="s">
        <v>10136</v>
      </c>
      <c r="L2847" s="56">
        <v>45093</v>
      </c>
      <c r="O2847" s="42"/>
      <c r="P2847" s="40"/>
      <c r="Q2847" s="61"/>
      <c r="R2847" s="61"/>
      <c r="S2847" s="40"/>
      <c r="T2847" s="38"/>
      <c r="U2847" s="38"/>
      <c r="V2847" s="38"/>
      <c r="W2847" s="60"/>
      <c r="AB2847" s="42"/>
      <c r="AC2847" s="35"/>
      <c r="AD2847" s="38"/>
      <c r="AE2847" s="38"/>
      <c r="AF2847" s="38"/>
      <c r="AG2847" s="38"/>
      <c r="AH2847" s="60"/>
    </row>
    <row r="2848" spans="1:34" ht="15.75" customHeight="1">
      <c r="A2848" s="75" t="s">
        <v>10137</v>
      </c>
      <c r="B2848" s="18" t="s">
        <v>10138</v>
      </c>
      <c r="C2848" s="37" t="s">
        <v>87</v>
      </c>
      <c r="D2848" s="20" t="s">
        <v>10139</v>
      </c>
      <c r="E2848" s="20" t="s">
        <v>10140</v>
      </c>
      <c r="F2848" s="19" t="s">
        <v>90</v>
      </c>
      <c r="G2848" s="19" t="s">
        <v>91</v>
      </c>
      <c r="H2848" s="37"/>
      <c r="I2848" s="21" t="s">
        <v>29</v>
      </c>
      <c r="J2848" s="21" t="s">
        <v>29</v>
      </c>
      <c r="K2848" s="22" t="s">
        <v>10141</v>
      </c>
      <c r="L2848" s="56">
        <v>45093</v>
      </c>
      <c r="O2848" s="42"/>
      <c r="P2848" s="40"/>
      <c r="Q2848" s="61"/>
      <c r="R2848" s="61"/>
      <c r="S2848" s="40"/>
      <c r="T2848" s="38"/>
      <c r="U2848" s="38"/>
      <c r="V2848" s="38"/>
      <c r="W2848" s="60"/>
      <c r="AB2848" s="42"/>
      <c r="AC2848" s="35"/>
      <c r="AD2848" s="38"/>
      <c r="AE2848" s="38"/>
      <c r="AF2848" s="38"/>
      <c r="AG2848" s="38"/>
      <c r="AH2848" s="60"/>
    </row>
    <row r="2849" spans="1:34" ht="15.75" customHeight="1">
      <c r="A2849" s="111" t="s">
        <v>92</v>
      </c>
      <c r="B2849" s="18" t="s">
        <v>10142</v>
      </c>
      <c r="C2849" s="37" t="s">
        <v>46</v>
      </c>
      <c r="D2849" s="20" t="s">
        <v>10143</v>
      </c>
      <c r="E2849" s="20" t="s">
        <v>10144</v>
      </c>
      <c r="F2849" s="37" t="s">
        <v>49</v>
      </c>
      <c r="G2849" s="19" t="s">
        <v>50</v>
      </c>
      <c r="H2849" s="37"/>
      <c r="I2849" s="21" t="s">
        <v>29</v>
      </c>
      <c r="J2849" s="21" t="s">
        <v>29</v>
      </c>
      <c r="K2849" s="22" t="s">
        <v>10145</v>
      </c>
      <c r="L2849" s="56">
        <v>45093</v>
      </c>
      <c r="O2849" s="42"/>
      <c r="P2849" s="40"/>
      <c r="Q2849" s="61"/>
      <c r="R2849" s="61"/>
      <c r="S2849" s="40"/>
      <c r="T2849" s="38"/>
      <c r="U2849" s="38"/>
      <c r="V2849" s="38"/>
      <c r="W2849" s="60"/>
      <c r="AB2849" s="42"/>
      <c r="AC2849" s="35"/>
      <c r="AD2849" s="38"/>
      <c r="AE2849" s="38"/>
      <c r="AF2849" s="38"/>
      <c r="AG2849" s="38"/>
      <c r="AH2849" s="60"/>
    </row>
    <row r="2850" spans="1:34" ht="15.75" customHeight="1">
      <c r="A2850" s="112">
        <v>614</v>
      </c>
      <c r="B2850" s="29" t="s">
        <v>10146</v>
      </c>
      <c r="C2850" s="37" t="s">
        <v>24</v>
      </c>
      <c r="D2850" s="20" t="s">
        <v>10147</v>
      </c>
      <c r="E2850" s="20" t="s">
        <v>10148</v>
      </c>
      <c r="F2850" s="19" t="s">
        <v>27</v>
      </c>
      <c r="G2850" s="19" t="s">
        <v>28</v>
      </c>
      <c r="H2850" s="37"/>
      <c r="I2850" s="21" t="s">
        <v>29</v>
      </c>
      <c r="J2850" s="21" t="s">
        <v>29</v>
      </c>
      <c r="K2850" s="22" t="s">
        <v>10149</v>
      </c>
      <c r="L2850" s="56">
        <v>45093</v>
      </c>
      <c r="O2850" s="42"/>
      <c r="P2850" s="40"/>
      <c r="Q2850" s="61"/>
      <c r="R2850" s="61"/>
      <c r="S2850" s="40"/>
      <c r="T2850" s="38"/>
      <c r="U2850" s="38"/>
      <c r="V2850" s="38"/>
      <c r="W2850" s="60"/>
      <c r="AB2850" s="42"/>
      <c r="AC2850" s="35"/>
      <c r="AD2850" s="38"/>
      <c r="AE2850" s="38"/>
      <c r="AF2850" s="38"/>
      <c r="AG2850" s="38"/>
      <c r="AH2850" s="60"/>
    </row>
    <row r="2851" spans="1:34" ht="15.75" customHeight="1">
      <c r="A2851" s="111" t="s">
        <v>100</v>
      </c>
      <c r="B2851" s="18" t="s">
        <v>10150</v>
      </c>
      <c r="C2851" s="37" t="s">
        <v>46</v>
      </c>
      <c r="D2851" s="20" t="s">
        <v>10151</v>
      </c>
      <c r="E2851" s="20" t="s">
        <v>10152</v>
      </c>
      <c r="F2851" s="37" t="s">
        <v>49</v>
      </c>
      <c r="G2851" s="19" t="s">
        <v>50</v>
      </c>
      <c r="H2851" s="37"/>
      <c r="I2851" s="21" t="s">
        <v>29</v>
      </c>
      <c r="J2851" s="21" t="s">
        <v>29</v>
      </c>
      <c r="K2851" s="22" t="s">
        <v>10153</v>
      </c>
      <c r="L2851" s="56">
        <v>45093</v>
      </c>
      <c r="O2851" s="42"/>
      <c r="P2851" s="40"/>
      <c r="Q2851" s="61"/>
      <c r="R2851" s="61"/>
      <c r="S2851" s="40"/>
      <c r="T2851" s="38"/>
      <c r="U2851" s="38"/>
      <c r="V2851" s="38"/>
      <c r="W2851" s="60"/>
      <c r="AB2851" s="42"/>
      <c r="AC2851" s="35"/>
      <c r="AD2851" s="38"/>
      <c r="AE2851" s="38"/>
      <c r="AF2851" s="38"/>
      <c r="AG2851" s="38"/>
      <c r="AH2851" s="60"/>
    </row>
    <row r="2852" spans="1:34" ht="15.75" customHeight="1">
      <c r="A2852" s="75">
        <v>163</v>
      </c>
      <c r="B2852" s="18" t="s">
        <v>10154</v>
      </c>
      <c r="C2852" s="37" t="s">
        <v>46</v>
      </c>
      <c r="D2852" s="20" t="s">
        <v>10155</v>
      </c>
      <c r="E2852" s="20" t="s">
        <v>10156</v>
      </c>
      <c r="F2852" s="37" t="s">
        <v>49</v>
      </c>
      <c r="G2852" s="19" t="s">
        <v>50</v>
      </c>
      <c r="H2852" s="37"/>
      <c r="I2852" s="21" t="s">
        <v>29</v>
      </c>
      <c r="J2852" s="21" t="s">
        <v>29</v>
      </c>
      <c r="K2852" s="22" t="s">
        <v>10157</v>
      </c>
      <c r="L2852" s="56">
        <v>45093</v>
      </c>
      <c r="O2852" s="42"/>
      <c r="P2852" s="40"/>
      <c r="Q2852" s="61"/>
      <c r="R2852" s="61"/>
      <c r="S2852" s="40"/>
      <c r="T2852" s="38"/>
      <c r="U2852" s="38"/>
      <c r="V2852" s="38"/>
      <c r="W2852" s="60"/>
      <c r="AB2852" s="42"/>
      <c r="AC2852" s="35"/>
      <c r="AD2852" s="38"/>
      <c r="AE2852" s="38"/>
      <c r="AF2852" s="38"/>
      <c r="AG2852" s="38"/>
      <c r="AH2852" s="60"/>
    </row>
    <row r="2853" spans="1:34" ht="15.75" customHeight="1">
      <c r="A2853" s="35"/>
      <c r="B2853" s="18" t="s">
        <v>10158</v>
      </c>
      <c r="C2853" s="37" t="s">
        <v>24</v>
      </c>
      <c r="D2853" s="20" t="s">
        <v>10159</v>
      </c>
      <c r="E2853" s="20" t="s">
        <v>10160</v>
      </c>
      <c r="F2853" s="19" t="s">
        <v>27</v>
      </c>
      <c r="G2853" s="19" t="s">
        <v>28</v>
      </c>
      <c r="H2853" s="37"/>
      <c r="I2853" s="21" t="s">
        <v>29</v>
      </c>
      <c r="J2853" s="21" t="s">
        <v>29</v>
      </c>
      <c r="K2853" s="22" t="s">
        <v>10161</v>
      </c>
      <c r="L2853" s="56">
        <v>45093</v>
      </c>
      <c r="O2853" s="42"/>
      <c r="P2853" s="40"/>
      <c r="Q2853" s="61"/>
      <c r="R2853" s="61"/>
      <c r="S2853" s="40"/>
      <c r="T2853" s="38"/>
      <c r="U2853" s="38"/>
      <c r="V2853" s="38"/>
      <c r="W2853" s="60"/>
      <c r="AB2853" s="42"/>
      <c r="AC2853" s="35"/>
      <c r="AD2853" s="38"/>
      <c r="AE2853" s="38"/>
      <c r="AF2853" s="38"/>
      <c r="AG2853" s="38"/>
      <c r="AH2853" s="60"/>
    </row>
    <row r="2854" spans="1:34" ht="15.75" customHeight="1">
      <c r="A2854" s="128"/>
      <c r="B2854" s="18" t="s">
        <v>10162</v>
      </c>
      <c r="C2854" s="37" t="s">
        <v>24</v>
      </c>
      <c r="D2854" s="20" t="s">
        <v>10163</v>
      </c>
      <c r="E2854" s="20" t="s">
        <v>10164</v>
      </c>
      <c r="F2854" s="19" t="s">
        <v>27</v>
      </c>
      <c r="G2854" s="19" t="s">
        <v>28</v>
      </c>
      <c r="H2854" s="37"/>
      <c r="I2854" s="21" t="s">
        <v>29</v>
      </c>
      <c r="J2854" s="21" t="s">
        <v>29</v>
      </c>
      <c r="K2854" s="22" t="s">
        <v>10164</v>
      </c>
      <c r="L2854" s="56">
        <v>45093</v>
      </c>
      <c r="O2854" s="42"/>
      <c r="P2854" s="40"/>
      <c r="Q2854" s="61"/>
      <c r="R2854" s="61"/>
      <c r="S2854" s="40"/>
      <c r="T2854" s="38"/>
      <c r="U2854" s="38"/>
      <c r="V2854" s="38"/>
      <c r="W2854" s="60"/>
      <c r="AB2854" s="42"/>
      <c r="AC2854" s="35"/>
      <c r="AD2854" s="38"/>
      <c r="AE2854" s="38"/>
      <c r="AF2854" s="38"/>
      <c r="AG2854" s="38"/>
      <c r="AH2854" s="60"/>
    </row>
    <row r="2855" spans="1:34" ht="15.75" customHeight="1">
      <c r="A2855" s="128"/>
      <c r="B2855" s="18" t="s">
        <v>10165</v>
      </c>
      <c r="C2855" s="37" t="s">
        <v>46</v>
      </c>
      <c r="D2855" s="20" t="s">
        <v>10166</v>
      </c>
      <c r="E2855" s="20" t="s">
        <v>10167</v>
      </c>
      <c r="F2855" s="37" t="s">
        <v>49</v>
      </c>
      <c r="G2855" s="19" t="s">
        <v>50</v>
      </c>
      <c r="H2855" s="37"/>
      <c r="I2855" s="21" t="s">
        <v>29</v>
      </c>
      <c r="J2855" s="21" t="s">
        <v>29</v>
      </c>
      <c r="K2855" s="22" t="s">
        <v>10168</v>
      </c>
      <c r="L2855" s="56">
        <v>45093</v>
      </c>
      <c r="O2855" s="42"/>
      <c r="P2855" s="40"/>
      <c r="Q2855" s="61"/>
      <c r="R2855" s="61"/>
      <c r="S2855" s="40"/>
      <c r="T2855" s="38"/>
      <c r="U2855" s="38"/>
      <c r="V2855" s="38"/>
      <c r="W2855" s="60"/>
      <c r="AB2855" s="42"/>
      <c r="AC2855" s="35"/>
      <c r="AD2855" s="38"/>
      <c r="AE2855" s="38"/>
      <c r="AF2855" s="38"/>
      <c r="AG2855" s="38"/>
      <c r="AH2855" s="60"/>
    </row>
    <row r="2856" spans="1:34" ht="15.75" customHeight="1">
      <c r="A2856" s="128"/>
      <c r="B2856" s="18" t="s">
        <v>10169</v>
      </c>
      <c r="C2856" s="37" t="s">
        <v>87</v>
      </c>
      <c r="D2856" s="20" t="s">
        <v>10170</v>
      </c>
      <c r="E2856" s="20" t="s">
        <v>10171</v>
      </c>
      <c r="F2856" s="19" t="s">
        <v>90</v>
      </c>
      <c r="G2856" s="19" t="s">
        <v>91</v>
      </c>
      <c r="H2856" s="37"/>
      <c r="I2856" s="21" t="s">
        <v>29</v>
      </c>
      <c r="J2856" s="21" t="s">
        <v>29</v>
      </c>
      <c r="K2856" s="22" t="s">
        <v>10172</v>
      </c>
      <c r="L2856" s="56">
        <v>45093</v>
      </c>
      <c r="O2856" s="42"/>
      <c r="P2856" s="40"/>
      <c r="Q2856" s="61"/>
      <c r="R2856" s="61"/>
      <c r="S2856" s="40"/>
      <c r="T2856" s="38"/>
      <c r="U2856" s="38"/>
      <c r="V2856" s="38"/>
      <c r="W2856" s="60"/>
      <c r="AB2856" s="42"/>
      <c r="AC2856" s="35"/>
      <c r="AD2856" s="38"/>
      <c r="AE2856" s="38"/>
      <c r="AF2856" s="38"/>
      <c r="AG2856" s="38"/>
      <c r="AH2856" s="60"/>
    </row>
    <row r="2857" spans="1:34" ht="15.75" customHeight="1">
      <c r="A2857" s="128"/>
      <c r="B2857" s="18" t="s">
        <v>10173</v>
      </c>
      <c r="C2857" s="37" t="s">
        <v>24</v>
      </c>
      <c r="D2857" s="20" t="s">
        <v>10174</v>
      </c>
      <c r="E2857" s="20" t="s">
        <v>10175</v>
      </c>
      <c r="F2857" s="19" t="s">
        <v>27</v>
      </c>
      <c r="G2857" s="19" t="s">
        <v>28</v>
      </c>
      <c r="H2857" s="37"/>
      <c r="I2857" s="21" t="s">
        <v>29</v>
      </c>
      <c r="J2857" s="21" t="s">
        <v>29</v>
      </c>
      <c r="K2857" s="22" t="s">
        <v>10176</v>
      </c>
      <c r="L2857" s="56">
        <v>45093</v>
      </c>
      <c r="O2857" s="42"/>
      <c r="P2857" s="40"/>
      <c r="Q2857" s="61"/>
      <c r="R2857" s="61"/>
      <c r="S2857" s="40"/>
      <c r="T2857" s="38"/>
      <c r="U2857" s="38"/>
      <c r="V2857" s="38"/>
      <c r="W2857" s="60"/>
      <c r="AB2857" s="42"/>
      <c r="AC2857" s="35"/>
      <c r="AD2857" s="38"/>
      <c r="AE2857" s="38"/>
      <c r="AF2857" s="38"/>
      <c r="AG2857" s="38"/>
      <c r="AH2857" s="60"/>
    </row>
    <row r="2858" spans="1:34" ht="15.75" customHeight="1">
      <c r="A2858" s="128"/>
      <c r="B2858" s="34" t="s">
        <v>10177</v>
      </c>
      <c r="C2858" s="37" t="s">
        <v>24</v>
      </c>
      <c r="D2858" s="20" t="s">
        <v>10178</v>
      </c>
      <c r="E2858" s="20" t="s">
        <v>10179</v>
      </c>
      <c r="F2858" s="19" t="s">
        <v>90</v>
      </c>
      <c r="G2858" s="19" t="s">
        <v>91</v>
      </c>
      <c r="H2858" s="37"/>
      <c r="I2858" s="21" t="s">
        <v>29</v>
      </c>
      <c r="J2858" s="21" t="s">
        <v>29</v>
      </c>
      <c r="K2858" s="22" t="s">
        <v>10180</v>
      </c>
      <c r="L2858" s="56">
        <v>45093</v>
      </c>
      <c r="O2858" s="42"/>
      <c r="P2858" s="40"/>
      <c r="Q2858" s="61"/>
      <c r="R2858" s="61"/>
      <c r="S2858" s="40"/>
      <c r="T2858" s="38"/>
      <c r="U2858" s="38"/>
      <c r="V2858" s="38"/>
      <c r="W2858" s="60"/>
      <c r="AB2858" s="42"/>
      <c r="AC2858" s="35"/>
      <c r="AD2858" s="38"/>
      <c r="AE2858" s="38"/>
      <c r="AF2858" s="38"/>
      <c r="AG2858" s="38"/>
      <c r="AH2858" s="60"/>
    </row>
    <row r="2859" spans="1:34" ht="15.75" customHeight="1">
      <c r="A2859" s="128"/>
      <c r="B2859" s="18" t="s">
        <v>10181</v>
      </c>
      <c r="C2859" s="37" t="s">
        <v>46</v>
      </c>
      <c r="D2859" s="20" t="s">
        <v>10182</v>
      </c>
      <c r="E2859" s="20" t="s">
        <v>10183</v>
      </c>
      <c r="F2859" s="37" t="s">
        <v>49</v>
      </c>
      <c r="G2859" s="19" t="s">
        <v>50</v>
      </c>
      <c r="H2859" s="37"/>
      <c r="I2859" s="21" t="s">
        <v>29</v>
      </c>
      <c r="J2859" s="21" t="s">
        <v>29</v>
      </c>
      <c r="K2859" s="22" t="s">
        <v>10184</v>
      </c>
      <c r="L2859" s="56">
        <v>45093</v>
      </c>
      <c r="O2859" s="42"/>
      <c r="P2859" s="40"/>
      <c r="Q2859" s="61"/>
      <c r="R2859" s="61"/>
      <c r="S2859" s="40"/>
      <c r="T2859" s="38"/>
      <c r="U2859" s="38"/>
      <c r="V2859" s="38"/>
      <c r="W2859" s="60"/>
      <c r="AB2859" s="42"/>
      <c r="AC2859" s="35"/>
      <c r="AD2859" s="38"/>
      <c r="AE2859" s="38"/>
      <c r="AF2859" s="38"/>
      <c r="AG2859" s="38"/>
      <c r="AH2859" s="60"/>
    </row>
    <row r="2860" spans="1:34" ht="15.75" customHeight="1">
      <c r="A2860" s="128"/>
      <c r="B2860" s="18" t="s">
        <v>10185</v>
      </c>
      <c r="C2860" s="37" t="s">
        <v>24</v>
      </c>
      <c r="D2860" s="20" t="s">
        <v>10186</v>
      </c>
      <c r="E2860" s="20" t="s">
        <v>10187</v>
      </c>
      <c r="F2860" s="19" t="s">
        <v>27</v>
      </c>
      <c r="G2860" s="19" t="s">
        <v>28</v>
      </c>
      <c r="H2860" s="37"/>
      <c r="I2860" s="21" t="s">
        <v>29</v>
      </c>
      <c r="J2860" s="21" t="s">
        <v>29</v>
      </c>
      <c r="K2860" s="22" t="s">
        <v>10188</v>
      </c>
      <c r="L2860" s="56">
        <v>45093</v>
      </c>
      <c r="O2860" s="42"/>
      <c r="P2860" s="40"/>
      <c r="Q2860" s="61"/>
      <c r="R2860" s="61"/>
      <c r="S2860" s="40"/>
      <c r="T2860" s="38"/>
      <c r="U2860" s="38"/>
      <c r="V2860" s="38"/>
      <c r="W2860" s="60"/>
      <c r="AB2860" s="42"/>
      <c r="AC2860" s="35"/>
      <c r="AD2860" s="38"/>
      <c r="AE2860" s="38"/>
      <c r="AF2860" s="38"/>
      <c r="AG2860" s="38"/>
      <c r="AH2860" s="60"/>
    </row>
    <row r="2861" spans="1:34" ht="15.75" customHeight="1">
      <c r="A2861" s="128"/>
      <c r="B2861" s="18" t="s">
        <v>10189</v>
      </c>
      <c r="C2861" s="37" t="s">
        <v>87</v>
      </c>
      <c r="D2861" s="20" t="s">
        <v>10190</v>
      </c>
      <c r="E2861" s="20" t="s">
        <v>10191</v>
      </c>
      <c r="F2861" s="19" t="s">
        <v>90</v>
      </c>
      <c r="G2861" s="19" t="s">
        <v>91</v>
      </c>
      <c r="H2861" s="37"/>
      <c r="I2861" s="21" t="s">
        <v>29</v>
      </c>
      <c r="J2861" s="21" t="s">
        <v>29</v>
      </c>
      <c r="K2861" s="22" t="s">
        <v>10192</v>
      </c>
      <c r="L2861" s="56">
        <v>45093</v>
      </c>
      <c r="O2861" s="42"/>
      <c r="P2861" s="40"/>
      <c r="Q2861" s="61"/>
      <c r="R2861" s="61"/>
      <c r="S2861" s="40"/>
      <c r="T2861" s="38"/>
      <c r="U2861" s="38"/>
      <c r="V2861" s="38"/>
      <c r="W2861" s="60"/>
      <c r="AB2861" s="42"/>
      <c r="AC2861" s="35"/>
      <c r="AD2861" s="38"/>
      <c r="AE2861" s="38"/>
      <c r="AF2861" s="38"/>
      <c r="AG2861" s="38"/>
      <c r="AH2861" s="60"/>
    </row>
    <row r="2862" spans="1:34" ht="15.75" customHeight="1">
      <c r="A2862" s="128"/>
      <c r="B2862" s="18" t="s">
        <v>10193</v>
      </c>
      <c r="C2862" s="37" t="s">
        <v>87</v>
      </c>
      <c r="D2862" s="20" t="s">
        <v>10194</v>
      </c>
      <c r="E2862" s="20" t="s">
        <v>10195</v>
      </c>
      <c r="F2862" s="19" t="s">
        <v>90</v>
      </c>
      <c r="G2862" s="19" t="s">
        <v>91</v>
      </c>
      <c r="H2862" s="37"/>
      <c r="I2862" s="21" t="s">
        <v>29</v>
      </c>
      <c r="J2862" s="21" t="s">
        <v>29</v>
      </c>
      <c r="K2862" s="22" t="s">
        <v>10196</v>
      </c>
      <c r="L2862" s="56">
        <v>45093</v>
      </c>
      <c r="O2862" s="42"/>
      <c r="P2862" s="40"/>
      <c r="Q2862" s="61"/>
      <c r="R2862" s="61"/>
      <c r="S2862" s="40"/>
      <c r="T2862" s="38"/>
      <c r="U2862" s="38"/>
      <c r="V2862" s="38"/>
      <c r="W2862" s="60"/>
      <c r="AB2862" s="42"/>
      <c r="AC2862" s="35"/>
      <c r="AD2862" s="38"/>
      <c r="AE2862" s="38"/>
      <c r="AF2862" s="38"/>
      <c r="AG2862" s="38"/>
      <c r="AH2862" s="60"/>
    </row>
    <row r="2863" spans="1:34" ht="15.75" customHeight="1">
      <c r="A2863" s="128"/>
      <c r="B2863" s="18" t="s">
        <v>10197</v>
      </c>
      <c r="C2863" s="37" t="s">
        <v>24</v>
      </c>
      <c r="D2863" s="20" t="s">
        <v>10198</v>
      </c>
      <c r="E2863" s="20" t="s">
        <v>10199</v>
      </c>
      <c r="F2863" s="19" t="s">
        <v>27</v>
      </c>
      <c r="G2863" s="19" t="s">
        <v>28</v>
      </c>
      <c r="H2863" s="37"/>
      <c r="I2863" s="21" t="s">
        <v>29</v>
      </c>
      <c r="J2863" s="21" t="s">
        <v>29</v>
      </c>
      <c r="K2863" s="22" t="s">
        <v>10200</v>
      </c>
      <c r="L2863" s="56">
        <v>45093</v>
      </c>
      <c r="O2863" s="42"/>
      <c r="P2863" s="40"/>
      <c r="Q2863" s="61"/>
      <c r="R2863" s="61"/>
      <c r="S2863" s="40"/>
      <c r="T2863" s="38"/>
      <c r="U2863" s="38"/>
      <c r="V2863" s="38"/>
      <c r="W2863" s="60"/>
      <c r="AB2863" s="42"/>
      <c r="AC2863" s="35"/>
      <c r="AD2863" s="38"/>
      <c r="AE2863" s="38"/>
      <c r="AF2863" s="38"/>
      <c r="AG2863" s="38"/>
      <c r="AH2863" s="60"/>
    </row>
    <row r="2864" spans="1:34" ht="15.75" customHeight="1">
      <c r="A2864" s="128"/>
      <c r="B2864" s="18" t="s">
        <v>10201</v>
      </c>
      <c r="C2864" s="37" t="s">
        <v>87</v>
      </c>
      <c r="D2864" s="20" t="s">
        <v>10202</v>
      </c>
      <c r="E2864" s="20" t="s">
        <v>10203</v>
      </c>
      <c r="F2864" s="19" t="s">
        <v>90</v>
      </c>
      <c r="G2864" s="19" t="s">
        <v>91</v>
      </c>
      <c r="H2864" s="37"/>
      <c r="I2864" s="21" t="s">
        <v>29</v>
      </c>
      <c r="J2864" s="21" t="s">
        <v>29</v>
      </c>
      <c r="K2864" s="22" t="s">
        <v>10204</v>
      </c>
      <c r="L2864" s="56">
        <v>45093</v>
      </c>
      <c r="O2864" s="42"/>
      <c r="P2864" s="40"/>
      <c r="Q2864" s="61"/>
      <c r="R2864" s="61"/>
      <c r="S2864" s="40"/>
      <c r="T2864" s="38"/>
      <c r="U2864" s="38"/>
      <c r="V2864" s="38"/>
      <c r="W2864" s="60"/>
      <c r="AB2864" s="42"/>
      <c r="AC2864" s="35"/>
      <c r="AD2864" s="38"/>
      <c r="AE2864" s="38"/>
      <c r="AF2864" s="38"/>
      <c r="AG2864" s="38"/>
      <c r="AH2864" s="60"/>
    </row>
    <row r="2865" spans="1:34" ht="15.75" customHeight="1">
      <c r="A2865" s="128"/>
      <c r="B2865" s="18" t="s">
        <v>10205</v>
      </c>
      <c r="C2865" s="37" t="s">
        <v>24</v>
      </c>
      <c r="D2865" s="20" t="s">
        <v>10206</v>
      </c>
      <c r="E2865" s="20" t="s">
        <v>10207</v>
      </c>
      <c r="F2865" s="19" t="s">
        <v>27</v>
      </c>
      <c r="G2865" s="19" t="s">
        <v>28</v>
      </c>
      <c r="H2865" s="37"/>
      <c r="I2865" s="21" t="s">
        <v>29</v>
      </c>
      <c r="J2865" s="21" t="s">
        <v>29</v>
      </c>
      <c r="K2865" s="22" t="s">
        <v>10208</v>
      </c>
      <c r="L2865" s="56">
        <v>45093</v>
      </c>
      <c r="O2865" s="42"/>
      <c r="P2865" s="40"/>
      <c r="Q2865" s="61"/>
      <c r="R2865" s="61"/>
      <c r="S2865" s="40"/>
      <c r="T2865" s="38"/>
      <c r="U2865" s="38"/>
      <c r="V2865" s="38"/>
      <c r="W2865" s="60"/>
      <c r="AB2865" s="42"/>
      <c r="AC2865" s="35"/>
      <c r="AD2865" s="38"/>
      <c r="AE2865" s="38"/>
      <c r="AF2865" s="38"/>
      <c r="AG2865" s="38"/>
      <c r="AH2865" s="60"/>
    </row>
    <row r="2866" spans="1:34" ht="15.75" customHeight="1">
      <c r="A2866" s="128"/>
      <c r="B2866" s="18" t="s">
        <v>10209</v>
      </c>
      <c r="C2866" s="37" t="s">
        <v>46</v>
      </c>
      <c r="D2866" s="20" t="s">
        <v>10210</v>
      </c>
      <c r="E2866" s="20" t="s">
        <v>10211</v>
      </c>
      <c r="F2866" s="37" t="s">
        <v>49</v>
      </c>
      <c r="G2866" s="19" t="s">
        <v>50</v>
      </c>
      <c r="H2866" s="37"/>
      <c r="I2866" s="21" t="s">
        <v>29</v>
      </c>
      <c r="J2866" s="21" t="s">
        <v>29</v>
      </c>
      <c r="K2866" s="22" t="s">
        <v>10212</v>
      </c>
      <c r="L2866" s="56">
        <v>45093</v>
      </c>
      <c r="O2866" s="42"/>
      <c r="P2866" s="40"/>
      <c r="Q2866" s="61"/>
      <c r="R2866" s="61"/>
      <c r="S2866" s="40"/>
      <c r="T2866" s="38"/>
      <c r="U2866" s="38"/>
      <c r="V2866" s="38"/>
      <c r="W2866" s="60"/>
      <c r="AB2866" s="42"/>
      <c r="AC2866" s="35"/>
      <c r="AD2866" s="38"/>
      <c r="AE2866" s="38"/>
      <c r="AF2866" s="38"/>
      <c r="AG2866" s="38"/>
      <c r="AH2866" s="60"/>
    </row>
    <row r="2867" spans="1:34" ht="15.75" customHeight="1">
      <c r="A2867" s="128"/>
      <c r="B2867" s="18" t="s">
        <v>10213</v>
      </c>
      <c r="C2867" s="37" t="s">
        <v>87</v>
      </c>
      <c r="D2867" s="20" t="s">
        <v>10214</v>
      </c>
      <c r="E2867" s="20" t="s">
        <v>10215</v>
      </c>
      <c r="F2867" s="19" t="s">
        <v>90</v>
      </c>
      <c r="G2867" s="19" t="s">
        <v>91</v>
      </c>
      <c r="H2867" s="37"/>
      <c r="I2867" s="21" t="s">
        <v>29</v>
      </c>
      <c r="J2867" s="21" t="s">
        <v>29</v>
      </c>
      <c r="K2867" s="22" t="s">
        <v>10216</v>
      </c>
      <c r="L2867" s="56">
        <v>45093</v>
      </c>
      <c r="O2867" s="42"/>
      <c r="P2867" s="40"/>
      <c r="Q2867" s="61"/>
      <c r="R2867" s="61"/>
      <c r="S2867" s="40"/>
      <c r="T2867" s="38"/>
      <c r="U2867" s="38"/>
      <c r="V2867" s="38"/>
      <c r="W2867" s="60"/>
      <c r="AB2867" s="42"/>
      <c r="AC2867" s="35"/>
      <c r="AD2867" s="38"/>
      <c r="AE2867" s="38"/>
      <c r="AF2867" s="38"/>
      <c r="AG2867" s="38"/>
      <c r="AH2867" s="60"/>
    </row>
    <row r="2868" spans="1:34" ht="15.75" customHeight="1">
      <c r="A2868" s="128"/>
      <c r="B2868" s="18" t="s">
        <v>10217</v>
      </c>
      <c r="C2868" s="37" t="s">
        <v>87</v>
      </c>
      <c r="D2868" s="20" t="s">
        <v>10218</v>
      </c>
      <c r="E2868" s="20" t="s">
        <v>10219</v>
      </c>
      <c r="F2868" s="19" t="s">
        <v>90</v>
      </c>
      <c r="G2868" s="19" t="s">
        <v>91</v>
      </c>
      <c r="H2868" s="37"/>
      <c r="I2868" s="21" t="s">
        <v>29</v>
      </c>
      <c r="J2868" s="21" t="s">
        <v>29</v>
      </c>
      <c r="K2868" s="22" t="s">
        <v>10220</v>
      </c>
      <c r="L2868" s="56">
        <v>45093</v>
      </c>
      <c r="O2868" s="42"/>
      <c r="P2868" s="40"/>
      <c r="Q2868" s="61"/>
      <c r="R2868" s="61"/>
      <c r="S2868" s="40"/>
      <c r="T2868" s="38"/>
      <c r="U2868" s="38"/>
      <c r="V2868" s="38"/>
      <c r="W2868" s="60"/>
      <c r="AB2868" s="42"/>
      <c r="AC2868" s="35"/>
      <c r="AD2868" s="38"/>
      <c r="AE2868" s="38"/>
      <c r="AF2868" s="38"/>
      <c r="AG2868" s="38"/>
      <c r="AH2868" s="60"/>
    </row>
    <row r="2869" spans="1:34" ht="15.75" customHeight="1">
      <c r="A2869" s="128"/>
      <c r="B2869" s="18" t="s">
        <v>10221</v>
      </c>
      <c r="C2869" s="37" t="s">
        <v>87</v>
      </c>
      <c r="D2869" s="20" t="s">
        <v>10222</v>
      </c>
      <c r="E2869" s="20" t="s">
        <v>10223</v>
      </c>
      <c r="F2869" s="19" t="s">
        <v>90</v>
      </c>
      <c r="G2869" s="19" t="s">
        <v>91</v>
      </c>
      <c r="H2869" s="37"/>
      <c r="I2869" s="21" t="s">
        <v>29</v>
      </c>
      <c r="J2869" s="21" t="s">
        <v>29</v>
      </c>
      <c r="K2869" s="22" t="s">
        <v>10223</v>
      </c>
      <c r="L2869" s="56">
        <v>45093</v>
      </c>
      <c r="O2869" s="42"/>
      <c r="P2869" s="40"/>
      <c r="Q2869" s="61"/>
      <c r="R2869" s="61"/>
      <c r="S2869" s="40"/>
      <c r="T2869" s="38"/>
      <c r="U2869" s="38"/>
      <c r="V2869" s="38"/>
      <c r="W2869" s="60"/>
      <c r="AB2869" s="42"/>
      <c r="AC2869" s="35"/>
      <c r="AD2869" s="38"/>
      <c r="AE2869" s="38"/>
      <c r="AF2869" s="38"/>
      <c r="AG2869" s="38"/>
      <c r="AH2869" s="60"/>
    </row>
    <row r="2870" spans="1:34" ht="15.75" customHeight="1">
      <c r="A2870" s="128"/>
      <c r="B2870" s="18" t="s">
        <v>10224</v>
      </c>
      <c r="C2870" s="37" t="s">
        <v>24</v>
      </c>
      <c r="D2870" s="20" t="s">
        <v>10225</v>
      </c>
      <c r="E2870" s="20" t="s">
        <v>10226</v>
      </c>
      <c r="F2870" s="19" t="s">
        <v>27</v>
      </c>
      <c r="G2870" s="19" t="s">
        <v>28</v>
      </c>
      <c r="H2870" s="37"/>
      <c r="I2870" s="21" t="s">
        <v>29</v>
      </c>
      <c r="J2870" s="21" t="s">
        <v>29</v>
      </c>
      <c r="K2870" s="22" t="s">
        <v>10226</v>
      </c>
      <c r="L2870" s="56">
        <v>45093</v>
      </c>
      <c r="O2870" s="42"/>
      <c r="P2870" s="40"/>
      <c r="Q2870" s="61"/>
      <c r="R2870" s="61"/>
      <c r="S2870" s="40"/>
      <c r="T2870" s="38"/>
      <c r="U2870" s="38"/>
      <c r="V2870" s="38"/>
      <c r="W2870" s="60"/>
      <c r="AB2870" s="42"/>
      <c r="AC2870" s="35"/>
      <c r="AD2870" s="38"/>
      <c r="AE2870" s="38"/>
      <c r="AF2870" s="38"/>
      <c r="AG2870" s="38"/>
      <c r="AH2870" s="60"/>
    </row>
    <row r="2871" spans="1:34" ht="15.75" customHeight="1">
      <c r="A2871" s="128"/>
      <c r="B2871" s="18" t="s">
        <v>10227</v>
      </c>
      <c r="C2871" s="37" t="s">
        <v>24</v>
      </c>
      <c r="D2871" s="20" t="s">
        <v>10228</v>
      </c>
      <c r="E2871" s="20" t="s">
        <v>10229</v>
      </c>
      <c r="F2871" s="19" t="s">
        <v>27</v>
      </c>
      <c r="G2871" s="19" t="s">
        <v>28</v>
      </c>
      <c r="H2871" s="19" t="s">
        <v>36</v>
      </c>
      <c r="I2871" s="21" t="s">
        <v>29</v>
      </c>
      <c r="J2871" s="21" t="s">
        <v>29</v>
      </c>
      <c r="K2871" s="22" t="s">
        <v>10230</v>
      </c>
      <c r="L2871" s="56">
        <v>45093</v>
      </c>
      <c r="O2871" s="42"/>
      <c r="P2871" s="40"/>
      <c r="Q2871" s="61"/>
      <c r="R2871" s="61"/>
      <c r="S2871" s="40"/>
      <c r="T2871" s="38"/>
      <c r="U2871" s="38"/>
      <c r="V2871" s="38"/>
      <c r="W2871" s="60"/>
      <c r="AB2871" s="42"/>
      <c r="AC2871" s="35"/>
      <c r="AD2871" s="38"/>
      <c r="AE2871" s="38"/>
      <c r="AF2871" s="38"/>
      <c r="AG2871" s="38"/>
      <c r="AH2871" s="60"/>
    </row>
    <row r="2872" spans="1:34" ht="15.75" customHeight="1">
      <c r="A2872" s="128"/>
      <c r="B2872" s="18" t="s">
        <v>10231</v>
      </c>
      <c r="C2872" s="37" t="s">
        <v>46</v>
      </c>
      <c r="D2872" s="20" t="s">
        <v>10232</v>
      </c>
      <c r="E2872" s="20" t="s">
        <v>10233</v>
      </c>
      <c r="F2872" s="37" t="s">
        <v>49</v>
      </c>
      <c r="G2872" s="19" t="s">
        <v>50</v>
      </c>
      <c r="H2872" s="37"/>
      <c r="I2872" s="21" t="s">
        <v>29</v>
      </c>
      <c r="J2872" s="21" t="s">
        <v>29</v>
      </c>
      <c r="K2872" s="22" t="s">
        <v>10234</v>
      </c>
      <c r="L2872" s="56">
        <v>45093</v>
      </c>
      <c r="O2872" s="42"/>
      <c r="P2872" s="40"/>
      <c r="Q2872" s="61"/>
      <c r="R2872" s="61"/>
      <c r="S2872" s="40"/>
      <c r="T2872" s="38"/>
      <c r="U2872" s="38"/>
      <c r="V2872" s="38"/>
      <c r="W2872" s="60"/>
      <c r="AB2872" s="42"/>
      <c r="AC2872" s="35"/>
      <c r="AD2872" s="38"/>
      <c r="AE2872" s="38"/>
      <c r="AF2872" s="38"/>
      <c r="AG2872" s="38"/>
      <c r="AH2872" s="60"/>
    </row>
    <row r="2873" spans="1:34" ht="15.75" customHeight="1">
      <c r="A2873" s="128"/>
      <c r="B2873" s="18" t="s">
        <v>10235</v>
      </c>
      <c r="C2873" s="37" t="s">
        <v>46</v>
      </c>
      <c r="D2873" s="20" t="s">
        <v>10236</v>
      </c>
      <c r="E2873" s="20" t="s">
        <v>10237</v>
      </c>
      <c r="F2873" s="37" t="s">
        <v>49</v>
      </c>
      <c r="G2873" s="19" t="s">
        <v>50</v>
      </c>
      <c r="H2873" s="37"/>
      <c r="I2873" s="21" t="s">
        <v>29</v>
      </c>
      <c r="J2873" s="21" t="s">
        <v>29</v>
      </c>
      <c r="K2873" s="22" t="s">
        <v>10237</v>
      </c>
      <c r="L2873" s="56">
        <v>45093</v>
      </c>
      <c r="O2873" s="42"/>
      <c r="P2873" s="40"/>
      <c r="Q2873" s="61"/>
      <c r="R2873" s="61"/>
      <c r="S2873" s="40"/>
      <c r="T2873" s="38"/>
      <c r="U2873" s="38"/>
      <c r="V2873" s="38"/>
      <c r="W2873" s="60"/>
      <c r="AB2873" s="42"/>
      <c r="AC2873" s="35"/>
      <c r="AD2873" s="38"/>
      <c r="AE2873" s="38"/>
      <c r="AF2873" s="38"/>
      <c r="AG2873" s="38"/>
      <c r="AH2873" s="60"/>
    </row>
    <row r="2874" spans="1:34" ht="15.75" customHeight="1">
      <c r="A2874" s="128"/>
      <c r="B2874" s="18" t="s">
        <v>10238</v>
      </c>
      <c r="C2874" s="37" t="s">
        <v>87</v>
      </c>
      <c r="D2874" s="20" t="s">
        <v>10239</v>
      </c>
      <c r="E2874" s="20" t="s">
        <v>10240</v>
      </c>
      <c r="F2874" s="19" t="s">
        <v>90</v>
      </c>
      <c r="G2874" s="19" t="s">
        <v>91</v>
      </c>
      <c r="H2874" s="37"/>
      <c r="I2874" s="21" t="s">
        <v>29</v>
      </c>
      <c r="J2874" s="21" t="s">
        <v>29</v>
      </c>
      <c r="K2874" s="22" t="s">
        <v>10241</v>
      </c>
      <c r="L2874" s="56">
        <v>45093</v>
      </c>
      <c r="O2874" s="42"/>
      <c r="P2874" s="40"/>
      <c r="Q2874" s="61"/>
      <c r="R2874" s="61"/>
      <c r="S2874" s="40"/>
      <c r="T2874" s="38"/>
      <c r="U2874" s="38"/>
      <c r="V2874" s="38"/>
      <c r="W2874" s="60"/>
      <c r="AB2874" s="42"/>
      <c r="AC2874" s="35"/>
      <c r="AD2874" s="38"/>
      <c r="AE2874" s="38"/>
      <c r="AF2874" s="38"/>
      <c r="AG2874" s="38"/>
      <c r="AH2874" s="60"/>
    </row>
    <row r="2875" spans="1:34" ht="15.75" customHeight="1">
      <c r="A2875" s="128"/>
      <c r="B2875" s="38"/>
      <c r="C2875" s="37"/>
      <c r="D2875" s="20"/>
      <c r="E2875" s="20"/>
      <c r="F2875" s="37"/>
      <c r="G2875" s="37"/>
      <c r="H2875" s="37"/>
      <c r="I2875" s="21"/>
      <c r="J2875" s="21"/>
      <c r="K2875" s="22"/>
      <c r="L2875" s="39"/>
      <c r="O2875" s="42"/>
      <c r="P2875" s="40"/>
      <c r="Q2875" s="61"/>
      <c r="R2875" s="61"/>
      <c r="S2875" s="40"/>
      <c r="T2875" s="38"/>
      <c r="U2875" s="38"/>
      <c r="V2875" s="38"/>
      <c r="W2875" s="60"/>
      <c r="AB2875" s="42"/>
      <c r="AC2875" s="35"/>
      <c r="AD2875" s="38"/>
      <c r="AE2875" s="38"/>
      <c r="AF2875" s="38"/>
      <c r="AG2875" s="38"/>
      <c r="AH2875" s="60"/>
    </row>
    <row r="2876" spans="1:34" ht="15.75" customHeight="1">
      <c r="A2876" s="38" t="s">
        <v>10242</v>
      </c>
      <c r="B2876" s="18" t="s">
        <v>10243</v>
      </c>
      <c r="C2876" s="55" t="s">
        <v>24</v>
      </c>
      <c r="D2876" s="20" t="s">
        <v>10244</v>
      </c>
      <c r="E2876" s="20" t="s">
        <v>10245</v>
      </c>
      <c r="F2876" s="19" t="s">
        <v>27</v>
      </c>
      <c r="G2876" s="19" t="s">
        <v>28</v>
      </c>
      <c r="H2876" s="37" t="s">
        <v>762</v>
      </c>
      <c r="I2876" s="21" t="s">
        <v>29</v>
      </c>
      <c r="J2876" s="21" t="s">
        <v>29</v>
      </c>
      <c r="K2876" s="22" t="s">
        <v>10246</v>
      </c>
      <c r="L2876" s="56">
        <v>45093</v>
      </c>
      <c r="M2876" s="40"/>
      <c r="N2876" s="40"/>
      <c r="O2876" s="42"/>
      <c r="P2876" s="40"/>
      <c r="Q2876" s="61"/>
      <c r="R2876" s="61"/>
      <c r="S2876" s="40"/>
      <c r="T2876" s="38"/>
      <c r="U2876" s="38"/>
      <c r="V2876" s="38"/>
      <c r="W2876" s="60"/>
      <c r="AB2876" s="42"/>
      <c r="AC2876" s="35"/>
      <c r="AD2876" s="38"/>
      <c r="AE2876" s="38"/>
      <c r="AF2876" s="38"/>
      <c r="AG2876" s="38"/>
      <c r="AH2876" s="60"/>
    </row>
    <row r="2877" spans="1:34" ht="15.75" customHeight="1">
      <c r="A2877" s="54" t="s">
        <v>2714</v>
      </c>
      <c r="B2877" s="18" t="s">
        <v>10247</v>
      </c>
      <c r="C2877" s="37" t="s">
        <v>87</v>
      </c>
      <c r="D2877" s="20" t="s">
        <v>10248</v>
      </c>
      <c r="E2877" s="20" t="s">
        <v>10249</v>
      </c>
      <c r="F2877" s="19" t="s">
        <v>90</v>
      </c>
      <c r="G2877" s="19" t="s">
        <v>91</v>
      </c>
      <c r="H2877" s="37"/>
      <c r="I2877" s="21" t="s">
        <v>29</v>
      </c>
      <c r="J2877" s="21" t="s">
        <v>29</v>
      </c>
      <c r="K2877" s="22" t="s">
        <v>10250</v>
      </c>
      <c r="L2877" s="56">
        <v>45093</v>
      </c>
      <c r="O2877" s="42"/>
      <c r="P2877" s="40"/>
      <c r="Q2877" s="61"/>
      <c r="R2877" s="61"/>
      <c r="S2877" s="40"/>
      <c r="T2877" s="38"/>
      <c r="U2877" s="38"/>
      <c r="V2877" s="38"/>
      <c r="W2877" s="60"/>
      <c r="AB2877" s="42"/>
      <c r="AC2877" s="35"/>
      <c r="AD2877" s="38"/>
      <c r="AE2877" s="38"/>
      <c r="AF2877" s="38"/>
      <c r="AG2877" s="38"/>
      <c r="AH2877" s="60"/>
    </row>
    <row r="2878" spans="1:34" ht="15.75" customHeight="1">
      <c r="A2878" s="114" t="s">
        <v>39</v>
      </c>
      <c r="B2878" s="18" t="s">
        <v>10251</v>
      </c>
      <c r="C2878" s="37" t="s">
        <v>87</v>
      </c>
      <c r="D2878" s="20" t="s">
        <v>10252</v>
      </c>
      <c r="E2878" s="20" t="s">
        <v>10253</v>
      </c>
      <c r="F2878" s="37" t="s">
        <v>49</v>
      </c>
      <c r="G2878" s="19" t="s">
        <v>50</v>
      </c>
      <c r="H2878" s="37"/>
      <c r="I2878" s="21" t="s">
        <v>29</v>
      </c>
      <c r="J2878" s="21" t="s">
        <v>29</v>
      </c>
      <c r="K2878" s="22" t="s">
        <v>10254</v>
      </c>
      <c r="L2878" s="56">
        <v>45093</v>
      </c>
      <c r="O2878" s="42"/>
      <c r="P2878" s="40"/>
      <c r="Q2878" s="61"/>
      <c r="R2878" s="61"/>
      <c r="S2878" s="40"/>
      <c r="T2878" s="38"/>
      <c r="U2878" s="38"/>
      <c r="V2878" s="38"/>
      <c r="W2878" s="60"/>
      <c r="AB2878" s="42"/>
      <c r="AC2878" s="35"/>
      <c r="AD2878" s="38"/>
      <c r="AE2878" s="38"/>
      <c r="AF2878" s="38"/>
      <c r="AG2878" s="38"/>
      <c r="AH2878" s="60"/>
    </row>
    <row r="2879" spans="1:34" ht="15.75" customHeight="1">
      <c r="A2879" s="38" t="s">
        <v>9511</v>
      </c>
      <c r="B2879" s="18" t="s">
        <v>10255</v>
      </c>
      <c r="C2879" s="37" t="s">
        <v>1470</v>
      </c>
      <c r="D2879" s="20" t="s">
        <v>10256</v>
      </c>
      <c r="E2879" s="20"/>
      <c r="F2879" s="19" t="s">
        <v>3286</v>
      </c>
      <c r="G2879" s="37" t="s">
        <v>1461</v>
      </c>
      <c r="H2879" s="37"/>
      <c r="I2879" s="21" t="s">
        <v>233</v>
      </c>
      <c r="J2879" s="21" t="s">
        <v>233</v>
      </c>
      <c r="K2879" s="22"/>
      <c r="L2879" s="56">
        <v>45093</v>
      </c>
      <c r="O2879" s="42"/>
      <c r="P2879" s="40"/>
      <c r="Q2879" s="61"/>
      <c r="R2879" s="61"/>
      <c r="S2879" s="40"/>
      <c r="T2879" s="38"/>
      <c r="U2879" s="38"/>
      <c r="V2879" s="38"/>
      <c r="W2879" s="60"/>
      <c r="AB2879" s="42"/>
      <c r="AC2879" s="35"/>
      <c r="AD2879" s="38"/>
      <c r="AE2879" s="38"/>
      <c r="AF2879" s="38"/>
      <c r="AG2879" s="38"/>
      <c r="AH2879" s="60"/>
    </row>
    <row r="2880" spans="1:34" ht="15.75" customHeight="1">
      <c r="A2880" s="38" t="s">
        <v>9516</v>
      </c>
      <c r="B2880" s="34" t="s">
        <v>10257</v>
      </c>
      <c r="C2880" s="37" t="s">
        <v>24</v>
      </c>
      <c r="D2880" s="20" t="s">
        <v>10258</v>
      </c>
      <c r="E2880" s="20" t="s">
        <v>10259</v>
      </c>
      <c r="F2880" s="19" t="s">
        <v>90</v>
      </c>
      <c r="G2880" s="19" t="s">
        <v>91</v>
      </c>
      <c r="H2880" s="37"/>
      <c r="I2880" s="21" t="s">
        <v>29</v>
      </c>
      <c r="J2880" s="21" t="s">
        <v>29</v>
      </c>
      <c r="K2880" s="22" t="s">
        <v>10259</v>
      </c>
      <c r="L2880" s="56">
        <v>45093</v>
      </c>
      <c r="O2880" s="42"/>
      <c r="P2880" s="40"/>
      <c r="Q2880" s="61"/>
      <c r="R2880" s="61"/>
      <c r="S2880" s="40"/>
      <c r="T2880" s="38"/>
      <c r="U2880" s="38"/>
      <c r="V2880" s="38"/>
      <c r="W2880" s="60"/>
      <c r="AB2880" s="42"/>
      <c r="AC2880" s="35"/>
      <c r="AD2880" s="38"/>
      <c r="AE2880" s="38"/>
      <c r="AF2880" s="38"/>
      <c r="AG2880" s="38"/>
      <c r="AH2880" s="60"/>
    </row>
    <row r="2881" spans="1:34" ht="15.75" customHeight="1">
      <c r="A2881" s="111" t="s">
        <v>56</v>
      </c>
      <c r="B2881" s="18" t="s">
        <v>10260</v>
      </c>
      <c r="C2881" s="37" t="s">
        <v>228</v>
      </c>
      <c r="D2881" s="20" t="s">
        <v>10261</v>
      </c>
      <c r="E2881" s="20"/>
      <c r="F2881" s="19" t="s">
        <v>3286</v>
      </c>
      <c r="G2881" s="19" t="s">
        <v>232</v>
      </c>
      <c r="H2881" s="37"/>
      <c r="I2881" s="21" t="s">
        <v>233</v>
      </c>
      <c r="J2881" s="21" t="s">
        <v>233</v>
      </c>
      <c r="K2881" s="22"/>
      <c r="L2881" s="56">
        <v>45093</v>
      </c>
      <c r="O2881" s="42"/>
      <c r="P2881" s="40"/>
      <c r="Q2881" s="61"/>
      <c r="R2881" s="61"/>
      <c r="S2881" s="40"/>
      <c r="T2881" s="38"/>
      <c r="U2881" s="38"/>
      <c r="V2881" s="38"/>
      <c r="W2881" s="60"/>
      <c r="AB2881" s="42"/>
      <c r="AC2881" s="35"/>
      <c r="AD2881" s="38"/>
      <c r="AE2881" s="38"/>
      <c r="AF2881" s="38"/>
      <c r="AG2881" s="38"/>
      <c r="AH2881" s="60"/>
    </row>
    <row r="2882" spans="1:34" ht="15.75" customHeight="1">
      <c r="A2882" s="75">
        <v>53</v>
      </c>
      <c r="B2882" s="34" t="s">
        <v>10262</v>
      </c>
      <c r="C2882" s="37" t="s">
        <v>87</v>
      </c>
      <c r="D2882" s="20" t="s">
        <v>10263</v>
      </c>
      <c r="E2882" s="20" t="s">
        <v>10264</v>
      </c>
      <c r="F2882" s="37" t="s">
        <v>49</v>
      </c>
      <c r="G2882" s="19" t="s">
        <v>50</v>
      </c>
      <c r="H2882" s="37"/>
      <c r="I2882" s="21" t="s">
        <v>29</v>
      </c>
      <c r="J2882" s="21" t="s">
        <v>29</v>
      </c>
      <c r="K2882" s="22" t="s">
        <v>10265</v>
      </c>
      <c r="L2882" s="56">
        <v>45093</v>
      </c>
      <c r="O2882" s="42"/>
      <c r="P2882" s="40"/>
      <c r="Q2882" s="61"/>
      <c r="R2882" s="61"/>
      <c r="S2882" s="40"/>
      <c r="T2882" s="38"/>
      <c r="U2882" s="38"/>
      <c r="V2882" s="38"/>
      <c r="W2882" s="60"/>
      <c r="AB2882" s="42"/>
      <c r="AC2882" s="35"/>
      <c r="AD2882" s="38"/>
      <c r="AE2882" s="38"/>
      <c r="AF2882" s="38"/>
      <c r="AG2882" s="38"/>
      <c r="AH2882" s="60"/>
    </row>
    <row r="2883" spans="1:34" ht="15.75" customHeight="1">
      <c r="A2883" s="111" t="s">
        <v>64</v>
      </c>
      <c r="B2883" s="18" t="s">
        <v>10266</v>
      </c>
      <c r="C2883" s="37" t="s">
        <v>412</v>
      </c>
      <c r="D2883" s="20" t="s">
        <v>10267</v>
      </c>
      <c r="E2883" s="20"/>
      <c r="F2883" s="19" t="s">
        <v>414</v>
      </c>
      <c r="G2883" s="19" t="s">
        <v>415</v>
      </c>
      <c r="H2883" s="37"/>
      <c r="I2883" s="21" t="s">
        <v>233</v>
      </c>
      <c r="J2883" s="21" t="s">
        <v>233</v>
      </c>
      <c r="K2883" s="22"/>
      <c r="L2883" s="56">
        <v>45093</v>
      </c>
      <c r="O2883" s="42"/>
      <c r="P2883" s="40"/>
      <c r="Q2883" s="61"/>
      <c r="R2883" s="61"/>
      <c r="S2883" s="40"/>
      <c r="T2883" s="38"/>
      <c r="U2883" s="38"/>
      <c r="V2883" s="38"/>
      <c r="W2883" s="60"/>
      <c r="AB2883" s="42"/>
      <c r="AC2883" s="35"/>
      <c r="AD2883" s="38"/>
      <c r="AE2883" s="38"/>
      <c r="AF2883" s="38"/>
      <c r="AG2883" s="38"/>
      <c r="AH2883" s="60"/>
    </row>
    <row r="2884" spans="1:34" ht="15.75" customHeight="1">
      <c r="A2884" s="75">
        <v>2.8</v>
      </c>
      <c r="B2884" s="18" t="s">
        <v>10268</v>
      </c>
      <c r="C2884" s="37" t="s">
        <v>46</v>
      </c>
      <c r="D2884" s="20" t="s">
        <v>10269</v>
      </c>
      <c r="E2884" s="20" t="s">
        <v>10270</v>
      </c>
      <c r="F2884" s="37" t="s">
        <v>49</v>
      </c>
      <c r="G2884" s="19" t="s">
        <v>50</v>
      </c>
      <c r="H2884" s="37"/>
      <c r="I2884" s="21" t="s">
        <v>29</v>
      </c>
      <c r="J2884" s="21" t="s">
        <v>29</v>
      </c>
      <c r="K2884" s="22" t="s">
        <v>10271</v>
      </c>
      <c r="L2884" s="56">
        <v>45093</v>
      </c>
      <c r="O2884" s="42"/>
      <c r="P2884" s="40"/>
      <c r="Q2884" s="61"/>
      <c r="R2884" s="61"/>
      <c r="S2884" s="40"/>
      <c r="T2884" s="38"/>
      <c r="U2884" s="38"/>
      <c r="V2884" s="38"/>
      <c r="W2884" s="60"/>
      <c r="AB2884" s="42"/>
      <c r="AC2884" s="35"/>
      <c r="AD2884" s="38"/>
      <c r="AE2884" s="38"/>
      <c r="AF2884" s="38"/>
      <c r="AG2884" s="38"/>
      <c r="AH2884" s="60"/>
    </row>
    <row r="2885" spans="1:34" ht="15.75" customHeight="1">
      <c r="A2885" s="111" t="s">
        <v>73</v>
      </c>
      <c r="B2885" s="29" t="s">
        <v>10272</v>
      </c>
      <c r="C2885" s="37" t="s">
        <v>24</v>
      </c>
      <c r="D2885" s="20" t="s">
        <v>10273</v>
      </c>
      <c r="E2885" s="20" t="s">
        <v>10274</v>
      </c>
      <c r="F2885" s="19" t="s">
        <v>27</v>
      </c>
      <c r="G2885" s="19" t="s">
        <v>28</v>
      </c>
      <c r="H2885" s="19" t="s">
        <v>36</v>
      </c>
      <c r="I2885" s="21" t="s">
        <v>29</v>
      </c>
      <c r="J2885" s="21" t="s">
        <v>29</v>
      </c>
      <c r="K2885" s="22" t="s">
        <v>10275</v>
      </c>
      <c r="L2885" s="56">
        <v>45093</v>
      </c>
      <c r="O2885" s="42"/>
      <c r="P2885" s="40"/>
      <c r="Q2885" s="61"/>
      <c r="R2885" s="61"/>
      <c r="S2885" s="40"/>
      <c r="T2885" s="38"/>
      <c r="U2885" s="38"/>
      <c r="V2885" s="38"/>
      <c r="W2885" s="60"/>
      <c r="AB2885" s="42"/>
      <c r="AC2885" s="35"/>
      <c r="AD2885" s="38"/>
      <c r="AE2885" s="38"/>
      <c r="AF2885" s="38"/>
      <c r="AG2885" s="38"/>
      <c r="AH2885" s="60"/>
    </row>
    <row r="2886" spans="1:34" ht="15.75" customHeight="1">
      <c r="A2886" s="75">
        <v>3.1</v>
      </c>
      <c r="B2886" s="18" t="s">
        <v>10276</v>
      </c>
      <c r="C2886" s="37" t="s">
        <v>24</v>
      </c>
      <c r="D2886" s="20" t="s">
        <v>10277</v>
      </c>
      <c r="E2886" s="20" t="s">
        <v>10278</v>
      </c>
      <c r="F2886" s="19" t="s">
        <v>27</v>
      </c>
      <c r="G2886" s="19" t="s">
        <v>28</v>
      </c>
      <c r="H2886" s="37"/>
      <c r="I2886" s="21" t="s">
        <v>29</v>
      </c>
      <c r="J2886" s="21" t="s">
        <v>29</v>
      </c>
      <c r="K2886" s="22" t="s">
        <v>10279</v>
      </c>
      <c r="L2886" s="56">
        <v>45093</v>
      </c>
      <c r="O2886" s="42"/>
      <c r="P2886" s="40"/>
      <c r="Q2886" s="61"/>
      <c r="R2886" s="61"/>
      <c r="S2886" s="40"/>
      <c r="T2886" s="38"/>
      <c r="U2886" s="38"/>
      <c r="V2886" s="38"/>
      <c r="W2886" s="60"/>
      <c r="AB2886" s="42"/>
      <c r="AC2886" s="35"/>
      <c r="AD2886" s="38"/>
      <c r="AE2886" s="38"/>
      <c r="AF2886" s="38"/>
      <c r="AG2886" s="38"/>
      <c r="AH2886" s="60"/>
    </row>
    <row r="2887" spans="1:34" ht="15.75" customHeight="1">
      <c r="A2887" s="111" t="s">
        <v>82</v>
      </c>
      <c r="B2887" s="18" t="s">
        <v>10280</v>
      </c>
      <c r="C2887" s="37" t="s">
        <v>87</v>
      </c>
      <c r="D2887" s="20" t="s">
        <v>10281</v>
      </c>
      <c r="E2887" s="20" t="s">
        <v>10282</v>
      </c>
      <c r="F2887" s="19" t="s">
        <v>90</v>
      </c>
      <c r="G2887" s="19" t="s">
        <v>91</v>
      </c>
      <c r="H2887" s="37"/>
      <c r="I2887" s="21" t="s">
        <v>29</v>
      </c>
      <c r="J2887" s="21" t="s">
        <v>29</v>
      </c>
      <c r="K2887" s="22" t="s">
        <v>10283</v>
      </c>
      <c r="L2887" s="56">
        <v>45093</v>
      </c>
      <c r="O2887" s="42"/>
      <c r="P2887" s="40"/>
      <c r="Q2887" s="61"/>
      <c r="R2887" s="61"/>
      <c r="S2887" s="40"/>
      <c r="T2887" s="38"/>
      <c r="U2887" s="38"/>
      <c r="V2887" s="38"/>
      <c r="W2887" s="60"/>
      <c r="AB2887" s="42"/>
      <c r="AC2887" s="35"/>
      <c r="AD2887" s="38"/>
      <c r="AE2887" s="38"/>
      <c r="AF2887" s="38"/>
      <c r="AG2887" s="38"/>
      <c r="AH2887" s="60"/>
    </row>
    <row r="2888" spans="1:34" ht="15.75" customHeight="1">
      <c r="A2888" s="75" t="s">
        <v>10284</v>
      </c>
      <c r="B2888" s="29" t="s">
        <v>10285</v>
      </c>
      <c r="C2888" s="37" t="s">
        <v>24</v>
      </c>
      <c r="D2888" s="20" t="s">
        <v>10286</v>
      </c>
      <c r="E2888" s="20"/>
      <c r="F2888" s="19" t="s">
        <v>27</v>
      </c>
      <c r="G2888" s="19" t="s">
        <v>28</v>
      </c>
      <c r="H2888" s="19" t="s">
        <v>36</v>
      </c>
      <c r="I2888" s="21" t="s">
        <v>29</v>
      </c>
      <c r="J2888" s="21" t="s">
        <v>29</v>
      </c>
      <c r="K2888" s="22"/>
      <c r="L2888" s="56"/>
      <c r="O2888" s="42"/>
      <c r="P2888" s="40"/>
      <c r="Q2888" s="61"/>
      <c r="R2888" s="61"/>
      <c r="S2888" s="40"/>
      <c r="T2888" s="38"/>
      <c r="U2888" s="38"/>
      <c r="V2888" s="38"/>
      <c r="W2888" s="60"/>
      <c r="AB2888" s="42"/>
      <c r="AC2888" s="35"/>
      <c r="AD2888" s="38"/>
      <c r="AE2888" s="38"/>
      <c r="AF2888" s="38"/>
      <c r="AG2888" s="38"/>
      <c r="AH2888" s="60"/>
    </row>
    <row r="2889" spans="1:34" ht="15.75" customHeight="1">
      <c r="A2889" s="111" t="s">
        <v>92</v>
      </c>
      <c r="B2889" s="18" t="s">
        <v>10287</v>
      </c>
      <c r="C2889" s="37" t="s">
        <v>24</v>
      </c>
      <c r="D2889" s="20" t="s">
        <v>10288</v>
      </c>
      <c r="E2889" s="20" t="s">
        <v>10289</v>
      </c>
      <c r="F2889" s="19" t="s">
        <v>27</v>
      </c>
      <c r="G2889" s="19" t="s">
        <v>28</v>
      </c>
      <c r="H2889" s="37"/>
      <c r="I2889" s="21" t="s">
        <v>29</v>
      </c>
      <c r="J2889" s="21" t="s">
        <v>29</v>
      </c>
      <c r="K2889" s="22" t="s">
        <v>10290</v>
      </c>
      <c r="L2889" s="56">
        <v>45093</v>
      </c>
      <c r="O2889" s="42"/>
      <c r="P2889" s="40"/>
      <c r="Q2889" s="61"/>
      <c r="R2889" s="61"/>
      <c r="S2889" s="40"/>
      <c r="T2889" s="38"/>
      <c r="U2889" s="38"/>
      <c r="V2889" s="38"/>
      <c r="W2889" s="60"/>
      <c r="AB2889" s="42"/>
      <c r="AC2889" s="35"/>
      <c r="AD2889" s="38"/>
      <c r="AE2889" s="38"/>
      <c r="AF2889" s="38"/>
      <c r="AG2889" s="38"/>
      <c r="AH2889" s="60"/>
    </row>
    <row r="2890" spans="1:34" ht="15.75" customHeight="1">
      <c r="A2890" s="112">
        <v>317</v>
      </c>
      <c r="B2890" s="18" t="s">
        <v>10291</v>
      </c>
      <c r="C2890" s="37" t="s">
        <v>24</v>
      </c>
      <c r="D2890" s="20" t="s">
        <v>10292</v>
      </c>
      <c r="E2890" s="20" t="s">
        <v>10293</v>
      </c>
      <c r="F2890" s="19" t="s">
        <v>27</v>
      </c>
      <c r="G2890" s="19" t="s">
        <v>28</v>
      </c>
      <c r="H2890" s="37"/>
      <c r="I2890" s="21" t="s">
        <v>29</v>
      </c>
      <c r="J2890" s="21" t="s">
        <v>29</v>
      </c>
      <c r="K2890" s="22" t="s">
        <v>10294</v>
      </c>
      <c r="L2890" s="56">
        <v>45093</v>
      </c>
      <c r="O2890" s="42"/>
      <c r="P2890" s="40"/>
      <c r="Q2890" s="61"/>
      <c r="R2890" s="61"/>
      <c r="S2890" s="40"/>
      <c r="T2890" s="38"/>
      <c r="U2890" s="38"/>
      <c r="V2890" s="38"/>
      <c r="W2890" s="60"/>
      <c r="AB2890" s="42"/>
      <c r="AC2890" s="35"/>
      <c r="AD2890" s="38"/>
      <c r="AE2890" s="38"/>
      <c r="AF2890" s="38"/>
      <c r="AG2890" s="38"/>
      <c r="AH2890" s="60"/>
    </row>
    <row r="2891" spans="1:34" ht="15.75" customHeight="1">
      <c r="A2891" s="111" t="s">
        <v>100</v>
      </c>
      <c r="B2891" s="18" t="s">
        <v>10295</v>
      </c>
      <c r="C2891" s="37" t="s">
        <v>1470</v>
      </c>
      <c r="D2891" s="20" t="s">
        <v>10296</v>
      </c>
      <c r="E2891" s="20" t="s">
        <v>10297</v>
      </c>
      <c r="F2891" s="19" t="s">
        <v>3286</v>
      </c>
      <c r="G2891" s="19" t="s">
        <v>1461</v>
      </c>
      <c r="H2891" s="37"/>
      <c r="I2891" s="21" t="s">
        <v>233</v>
      </c>
      <c r="J2891" s="21" t="s">
        <v>233</v>
      </c>
      <c r="K2891" s="22" t="s">
        <v>10298</v>
      </c>
      <c r="L2891" s="56">
        <v>45093</v>
      </c>
      <c r="O2891" s="42"/>
      <c r="P2891" s="40"/>
      <c r="Q2891" s="61"/>
      <c r="R2891" s="61"/>
      <c r="S2891" s="40"/>
      <c r="T2891" s="38"/>
      <c r="U2891" s="38"/>
      <c r="V2891" s="38"/>
      <c r="W2891" s="60"/>
      <c r="AB2891" s="42"/>
      <c r="AC2891" s="35"/>
      <c r="AD2891" s="38"/>
      <c r="AE2891" s="38"/>
      <c r="AF2891" s="38"/>
      <c r="AG2891" s="38"/>
      <c r="AH2891" s="60"/>
    </row>
    <row r="2892" spans="1:34" ht="15.75" customHeight="1">
      <c r="A2892" s="75">
        <v>161</v>
      </c>
      <c r="B2892" s="18" t="s">
        <v>10299</v>
      </c>
      <c r="C2892" s="37" t="s">
        <v>24</v>
      </c>
      <c r="D2892" s="20" t="s">
        <v>10300</v>
      </c>
      <c r="E2892" s="20" t="s">
        <v>10301</v>
      </c>
      <c r="F2892" s="19" t="s">
        <v>27</v>
      </c>
      <c r="G2892" s="19" t="s">
        <v>28</v>
      </c>
      <c r="H2892" s="37"/>
      <c r="I2892" s="21" t="s">
        <v>29</v>
      </c>
      <c r="J2892" s="21" t="s">
        <v>29</v>
      </c>
      <c r="K2892" s="22" t="s">
        <v>10302</v>
      </c>
      <c r="L2892" s="56">
        <v>45093</v>
      </c>
      <c r="O2892" s="42"/>
      <c r="P2892" s="40"/>
      <c r="Q2892" s="61"/>
      <c r="R2892" s="61"/>
      <c r="S2892" s="40"/>
      <c r="T2892" s="38"/>
      <c r="U2892" s="38"/>
      <c r="V2892" s="38"/>
      <c r="W2892" s="60"/>
      <c r="AB2892" s="42"/>
      <c r="AC2892" s="35"/>
      <c r="AD2892" s="38"/>
      <c r="AE2892" s="38"/>
      <c r="AF2892" s="38"/>
      <c r="AG2892" s="38"/>
      <c r="AH2892" s="60"/>
    </row>
    <row r="2893" spans="1:34" ht="15.75" customHeight="1">
      <c r="B2893" s="18" t="s">
        <v>10303</v>
      </c>
      <c r="C2893" s="37" t="s">
        <v>24</v>
      </c>
      <c r="D2893" s="20" t="s">
        <v>10304</v>
      </c>
      <c r="E2893" s="20" t="s">
        <v>10305</v>
      </c>
      <c r="F2893" s="19" t="s">
        <v>27</v>
      </c>
      <c r="G2893" s="19" t="s">
        <v>28</v>
      </c>
      <c r="H2893" s="37"/>
      <c r="I2893" s="21" t="s">
        <v>29</v>
      </c>
      <c r="J2893" s="21" t="s">
        <v>29</v>
      </c>
      <c r="K2893" s="22" t="s">
        <v>10306</v>
      </c>
      <c r="L2893" s="56">
        <v>45093</v>
      </c>
      <c r="O2893" s="42"/>
      <c r="P2893" s="40"/>
      <c r="Q2893" s="61"/>
      <c r="R2893" s="61"/>
      <c r="S2893" s="40"/>
      <c r="T2893" s="38"/>
      <c r="U2893" s="38"/>
      <c r="V2893" s="38"/>
      <c r="W2893" s="60"/>
      <c r="AB2893" s="42"/>
      <c r="AC2893" s="35"/>
      <c r="AD2893" s="38"/>
      <c r="AE2893" s="38"/>
      <c r="AF2893" s="38"/>
      <c r="AG2893" s="38"/>
      <c r="AH2893" s="60"/>
    </row>
    <row r="2894" spans="1:34" ht="15.75" customHeight="1">
      <c r="A2894" s="35"/>
      <c r="B2894" s="18" t="s">
        <v>10307</v>
      </c>
      <c r="C2894" s="37" t="s">
        <v>46</v>
      </c>
      <c r="D2894" s="20" t="s">
        <v>10308</v>
      </c>
      <c r="E2894" s="20"/>
      <c r="F2894" s="37" t="s">
        <v>49</v>
      </c>
      <c r="G2894" s="19" t="s">
        <v>50</v>
      </c>
      <c r="H2894" s="37"/>
      <c r="I2894" s="21" t="s">
        <v>29</v>
      </c>
      <c r="J2894" s="21" t="s">
        <v>29</v>
      </c>
      <c r="K2894" s="22"/>
      <c r="L2894" s="56">
        <v>45093</v>
      </c>
      <c r="O2894" s="42"/>
      <c r="P2894" s="40"/>
      <c r="Q2894" s="61"/>
      <c r="R2894" s="61"/>
      <c r="S2894" s="40"/>
      <c r="T2894" s="38"/>
      <c r="U2894" s="38"/>
      <c r="V2894" s="38"/>
      <c r="W2894" s="60"/>
      <c r="AB2894" s="42"/>
      <c r="AC2894" s="35"/>
      <c r="AD2894" s="38"/>
      <c r="AE2894" s="38"/>
      <c r="AF2894" s="38"/>
      <c r="AG2894" s="38"/>
      <c r="AH2894" s="60"/>
    </row>
    <row r="2895" spans="1:34" ht="15.75" customHeight="1">
      <c r="A2895" s="129"/>
      <c r="B2895" s="18" t="s">
        <v>10309</v>
      </c>
      <c r="C2895" s="37" t="s">
        <v>24</v>
      </c>
      <c r="D2895" s="20" t="s">
        <v>10310</v>
      </c>
      <c r="E2895" s="20" t="s">
        <v>10311</v>
      </c>
      <c r="F2895" s="19" t="s">
        <v>27</v>
      </c>
      <c r="G2895" s="19" t="s">
        <v>28</v>
      </c>
      <c r="H2895" s="37"/>
      <c r="I2895" s="21" t="s">
        <v>29</v>
      </c>
      <c r="J2895" s="21" t="s">
        <v>29</v>
      </c>
      <c r="K2895" s="22" t="s">
        <v>10312</v>
      </c>
      <c r="L2895" s="56">
        <v>45093</v>
      </c>
      <c r="O2895" s="42"/>
      <c r="P2895" s="40"/>
      <c r="Q2895" s="61"/>
      <c r="R2895" s="61"/>
      <c r="S2895" s="40"/>
      <c r="T2895" s="38"/>
      <c r="U2895" s="38"/>
      <c r="V2895" s="38"/>
      <c r="W2895" s="60"/>
      <c r="AB2895" s="42"/>
      <c r="AC2895" s="35"/>
      <c r="AD2895" s="38"/>
      <c r="AE2895" s="38"/>
      <c r="AF2895" s="38"/>
      <c r="AG2895" s="38"/>
      <c r="AH2895" s="60"/>
    </row>
    <row r="2896" spans="1:34" ht="15.75" customHeight="1">
      <c r="A2896" s="129"/>
      <c r="B2896" s="18" t="s">
        <v>10313</v>
      </c>
      <c r="C2896" s="37" t="s">
        <v>46</v>
      </c>
      <c r="D2896" s="20" t="s">
        <v>10314</v>
      </c>
      <c r="E2896" s="20" t="s">
        <v>10315</v>
      </c>
      <c r="F2896" s="37" t="s">
        <v>49</v>
      </c>
      <c r="G2896" s="19" t="s">
        <v>50</v>
      </c>
      <c r="H2896" s="37"/>
      <c r="I2896" s="21" t="s">
        <v>29</v>
      </c>
      <c r="J2896" s="21" t="s">
        <v>29</v>
      </c>
      <c r="K2896" s="22" t="s">
        <v>10316</v>
      </c>
      <c r="L2896" s="56">
        <v>45093</v>
      </c>
      <c r="O2896" s="42"/>
      <c r="P2896" s="40"/>
      <c r="Q2896" s="61"/>
      <c r="R2896" s="61"/>
      <c r="S2896" s="40"/>
      <c r="T2896" s="38"/>
      <c r="U2896" s="38"/>
      <c r="V2896" s="38"/>
      <c r="W2896" s="60"/>
      <c r="AB2896" s="42"/>
      <c r="AC2896" s="35"/>
      <c r="AD2896" s="38"/>
      <c r="AE2896" s="38"/>
      <c r="AF2896" s="38"/>
      <c r="AG2896" s="38"/>
      <c r="AH2896" s="60"/>
    </row>
    <row r="2897" spans="1:34" ht="15.75" customHeight="1">
      <c r="A2897" s="129"/>
      <c r="B2897" s="29" t="s">
        <v>10317</v>
      </c>
      <c r="C2897" s="37" t="s">
        <v>46</v>
      </c>
      <c r="D2897" s="20" t="s">
        <v>10318</v>
      </c>
      <c r="E2897" s="20" t="s">
        <v>10319</v>
      </c>
      <c r="F2897" s="37" t="s">
        <v>286</v>
      </c>
      <c r="G2897" s="19" t="s">
        <v>50</v>
      </c>
      <c r="H2897" s="37"/>
      <c r="I2897" s="21" t="s">
        <v>286</v>
      </c>
      <c r="J2897" s="21" t="s">
        <v>29</v>
      </c>
      <c r="K2897" s="22" t="s">
        <v>10320</v>
      </c>
      <c r="L2897" s="56"/>
      <c r="O2897" s="42"/>
      <c r="P2897" s="40"/>
      <c r="Q2897" s="61"/>
      <c r="R2897" s="61"/>
      <c r="S2897" s="40"/>
      <c r="T2897" s="38"/>
      <c r="U2897" s="38"/>
      <c r="V2897" s="38"/>
      <c r="W2897" s="60"/>
      <c r="AB2897" s="42"/>
      <c r="AC2897" s="35"/>
      <c r="AD2897" s="38"/>
      <c r="AE2897" s="38"/>
      <c r="AF2897" s="38"/>
      <c r="AG2897" s="38"/>
      <c r="AH2897" s="60"/>
    </row>
    <row r="2898" spans="1:34" ht="15.75" customHeight="1">
      <c r="A2898" s="129"/>
      <c r="B2898" s="18" t="s">
        <v>10321</v>
      </c>
      <c r="C2898" s="37" t="s">
        <v>24</v>
      </c>
      <c r="D2898" s="20" t="s">
        <v>10322</v>
      </c>
      <c r="E2898" s="20" t="s">
        <v>10323</v>
      </c>
      <c r="F2898" s="19" t="s">
        <v>90</v>
      </c>
      <c r="G2898" s="19" t="s">
        <v>91</v>
      </c>
      <c r="H2898" s="37"/>
      <c r="I2898" s="21" t="s">
        <v>29</v>
      </c>
      <c r="J2898" s="21" t="s">
        <v>29</v>
      </c>
      <c r="K2898" s="22" t="s">
        <v>10324</v>
      </c>
      <c r="L2898" s="56">
        <v>45093</v>
      </c>
      <c r="O2898" s="42"/>
      <c r="P2898" s="40"/>
      <c r="Q2898" s="61"/>
      <c r="R2898" s="61"/>
      <c r="S2898" s="40"/>
      <c r="T2898" s="38"/>
      <c r="U2898" s="38"/>
      <c r="V2898" s="38"/>
      <c r="W2898" s="60"/>
      <c r="AB2898" s="42"/>
      <c r="AC2898" s="35"/>
      <c r="AD2898" s="38"/>
      <c r="AE2898" s="38"/>
      <c r="AF2898" s="38"/>
      <c r="AG2898" s="38"/>
      <c r="AH2898" s="60"/>
    </row>
    <row r="2899" spans="1:34" ht="15.75" customHeight="1">
      <c r="A2899" s="129"/>
      <c r="B2899" s="38"/>
      <c r="C2899" s="37"/>
      <c r="D2899" s="20"/>
      <c r="E2899" s="20"/>
      <c r="F2899" s="37"/>
      <c r="G2899" s="37"/>
      <c r="H2899" s="37"/>
      <c r="I2899" s="21"/>
      <c r="J2899" s="21"/>
      <c r="K2899" s="22"/>
      <c r="L2899" s="56"/>
      <c r="O2899" s="42"/>
      <c r="P2899" s="40"/>
      <c r="Q2899" s="61"/>
      <c r="R2899" s="61"/>
      <c r="S2899" s="40"/>
      <c r="T2899" s="38"/>
      <c r="U2899" s="38"/>
      <c r="V2899" s="38"/>
      <c r="W2899" s="60"/>
      <c r="AB2899" s="42"/>
      <c r="AC2899" s="35"/>
      <c r="AD2899" s="38"/>
      <c r="AE2899" s="38"/>
      <c r="AF2899" s="38"/>
      <c r="AG2899" s="38"/>
      <c r="AH2899" s="60"/>
    </row>
    <row r="2900" spans="1:34" ht="15.75" customHeight="1">
      <c r="A2900" s="18" t="s">
        <v>10325</v>
      </c>
      <c r="B2900" s="29" t="s">
        <v>10326</v>
      </c>
      <c r="C2900" s="37" t="s">
        <v>24</v>
      </c>
      <c r="D2900" s="20" t="s">
        <v>10327</v>
      </c>
      <c r="E2900" s="20" t="s">
        <v>10328</v>
      </c>
      <c r="F2900" s="19" t="s">
        <v>27</v>
      </c>
      <c r="G2900" s="19" t="s">
        <v>28</v>
      </c>
      <c r="H2900" s="37"/>
      <c r="I2900" s="21" t="s">
        <v>29</v>
      </c>
      <c r="J2900" s="21" t="s">
        <v>29</v>
      </c>
      <c r="K2900" s="22" t="s">
        <v>10329</v>
      </c>
      <c r="L2900" s="56">
        <v>45093</v>
      </c>
      <c r="M2900" s="40"/>
      <c r="N2900" s="40"/>
      <c r="O2900" s="42"/>
      <c r="P2900" s="40"/>
      <c r="Q2900" s="61"/>
      <c r="R2900" s="61"/>
      <c r="S2900" s="40"/>
      <c r="T2900" s="38"/>
      <c r="U2900" s="38"/>
      <c r="V2900" s="38"/>
      <c r="W2900" s="60"/>
      <c r="AB2900" s="42"/>
      <c r="AC2900" s="35"/>
      <c r="AD2900" s="38"/>
      <c r="AE2900" s="38"/>
      <c r="AF2900" s="38"/>
      <c r="AG2900" s="38"/>
      <c r="AH2900" s="60"/>
    </row>
    <row r="2901" spans="1:34" ht="15.75" customHeight="1">
      <c r="A2901" s="54" t="s">
        <v>10330</v>
      </c>
      <c r="B2901" s="34" t="s">
        <v>10331</v>
      </c>
      <c r="C2901" s="37" t="s">
        <v>87</v>
      </c>
      <c r="D2901" s="20" t="s">
        <v>10332</v>
      </c>
      <c r="E2901" s="20" t="s">
        <v>10333</v>
      </c>
      <c r="F2901" s="37" t="s">
        <v>49</v>
      </c>
      <c r="G2901" s="19" t="s">
        <v>50</v>
      </c>
      <c r="H2901" s="37"/>
      <c r="I2901" s="21" t="s">
        <v>29</v>
      </c>
      <c r="J2901" s="21" t="s">
        <v>29</v>
      </c>
      <c r="K2901" s="22" t="s">
        <v>10334</v>
      </c>
      <c r="L2901" s="56">
        <v>45093</v>
      </c>
      <c r="O2901" s="42"/>
      <c r="P2901" s="40"/>
      <c r="Q2901" s="61"/>
      <c r="R2901" s="61"/>
      <c r="S2901" s="40"/>
      <c r="T2901" s="38"/>
      <c r="U2901" s="38"/>
      <c r="V2901" s="38"/>
      <c r="W2901" s="60"/>
      <c r="AB2901" s="42"/>
      <c r="AC2901" s="35"/>
      <c r="AD2901" s="38"/>
      <c r="AE2901" s="38"/>
      <c r="AF2901" s="38"/>
      <c r="AG2901" s="38"/>
      <c r="AH2901" s="60"/>
    </row>
    <row r="2902" spans="1:34" ht="15.75" customHeight="1">
      <c r="A2902" s="114" t="s">
        <v>39</v>
      </c>
      <c r="B2902" s="18" t="s">
        <v>10335</v>
      </c>
      <c r="C2902" s="37" t="s">
        <v>46</v>
      </c>
      <c r="D2902" s="20" t="s">
        <v>10336</v>
      </c>
      <c r="E2902" s="20"/>
      <c r="F2902" s="37" t="s">
        <v>49</v>
      </c>
      <c r="G2902" s="19" t="s">
        <v>50</v>
      </c>
      <c r="H2902" s="37"/>
      <c r="I2902" s="21" t="s">
        <v>29</v>
      </c>
      <c r="J2902" s="21" t="s">
        <v>29</v>
      </c>
      <c r="K2902" s="22"/>
      <c r="L2902" s="56">
        <v>45093</v>
      </c>
      <c r="O2902" s="42"/>
      <c r="P2902" s="40"/>
      <c r="Q2902" s="61"/>
      <c r="R2902" s="61"/>
      <c r="S2902" s="40"/>
      <c r="T2902" s="38"/>
      <c r="U2902" s="38"/>
      <c r="V2902" s="38"/>
      <c r="W2902" s="60"/>
      <c r="AB2902" s="42"/>
      <c r="AC2902" s="35"/>
      <c r="AD2902" s="38"/>
      <c r="AE2902" s="38"/>
      <c r="AF2902" s="38"/>
      <c r="AG2902" s="38"/>
      <c r="AH2902" s="60"/>
    </row>
    <row r="2903" spans="1:34" ht="15.75" customHeight="1">
      <c r="A2903" s="38" t="s">
        <v>9511</v>
      </c>
      <c r="B2903" s="18" t="s">
        <v>10337</v>
      </c>
      <c r="C2903" s="37" t="s">
        <v>24</v>
      </c>
      <c r="D2903" s="20" t="s">
        <v>10338</v>
      </c>
      <c r="E2903" s="20" t="s">
        <v>10339</v>
      </c>
      <c r="F2903" s="19" t="s">
        <v>27</v>
      </c>
      <c r="G2903" s="19" t="s">
        <v>28</v>
      </c>
      <c r="H2903" s="37"/>
      <c r="I2903" s="21" t="s">
        <v>29</v>
      </c>
      <c r="J2903" s="21" t="s">
        <v>29</v>
      </c>
      <c r="K2903" s="22" t="s">
        <v>10340</v>
      </c>
      <c r="L2903" s="56">
        <v>45093</v>
      </c>
      <c r="O2903" s="42"/>
      <c r="P2903" s="40"/>
      <c r="Q2903" s="61"/>
      <c r="R2903" s="61"/>
      <c r="S2903" s="40"/>
      <c r="T2903" s="38"/>
      <c r="U2903" s="38"/>
      <c r="V2903" s="38"/>
      <c r="W2903" s="60"/>
      <c r="AB2903" s="42"/>
      <c r="AC2903" s="35"/>
      <c r="AD2903" s="38"/>
      <c r="AE2903" s="38"/>
      <c r="AF2903" s="38"/>
      <c r="AG2903" s="38"/>
      <c r="AH2903" s="60"/>
    </row>
    <row r="2904" spans="1:34" ht="15.75" customHeight="1">
      <c r="A2904" s="38" t="s">
        <v>6149</v>
      </c>
      <c r="B2904" s="29" t="s">
        <v>10341</v>
      </c>
      <c r="C2904" s="37" t="s">
        <v>87</v>
      </c>
      <c r="D2904" s="20" t="s">
        <v>10342</v>
      </c>
      <c r="E2904" s="20" t="s">
        <v>10343</v>
      </c>
      <c r="F2904" s="37" t="s">
        <v>286</v>
      </c>
      <c r="G2904" s="19" t="s">
        <v>91</v>
      </c>
      <c r="H2904" s="37"/>
      <c r="I2904" s="21" t="s">
        <v>286</v>
      </c>
      <c r="J2904" s="21" t="s">
        <v>29</v>
      </c>
      <c r="K2904" s="22" t="s">
        <v>10344</v>
      </c>
      <c r="L2904" s="56"/>
      <c r="O2904" s="42"/>
      <c r="P2904" s="40"/>
      <c r="Q2904" s="61"/>
      <c r="R2904" s="61"/>
      <c r="S2904" s="40"/>
      <c r="T2904" s="38"/>
      <c r="U2904" s="38"/>
      <c r="V2904" s="38"/>
      <c r="W2904" s="60"/>
      <c r="AB2904" s="42"/>
      <c r="AC2904" s="35"/>
      <c r="AD2904" s="38"/>
      <c r="AE2904" s="38"/>
      <c r="AF2904" s="38"/>
      <c r="AG2904" s="38"/>
      <c r="AH2904" s="60"/>
    </row>
    <row r="2905" spans="1:34" ht="15.75" customHeight="1">
      <c r="A2905" s="111" t="s">
        <v>56</v>
      </c>
      <c r="B2905" s="34" t="s">
        <v>10345</v>
      </c>
      <c r="C2905" s="37" t="s">
        <v>87</v>
      </c>
      <c r="D2905" s="20" t="s">
        <v>10346</v>
      </c>
      <c r="E2905" s="20" t="s">
        <v>10347</v>
      </c>
      <c r="F2905" s="37" t="s">
        <v>49</v>
      </c>
      <c r="G2905" s="19" t="s">
        <v>50</v>
      </c>
      <c r="H2905" s="37"/>
      <c r="I2905" s="21" t="s">
        <v>29</v>
      </c>
      <c r="J2905" s="21" t="s">
        <v>29</v>
      </c>
      <c r="K2905" s="22" t="s">
        <v>10348</v>
      </c>
      <c r="L2905" s="56">
        <v>45093</v>
      </c>
      <c r="O2905" s="42"/>
      <c r="P2905" s="40"/>
      <c r="Q2905" s="61"/>
      <c r="R2905" s="61"/>
      <c r="S2905" s="40"/>
      <c r="T2905" s="38"/>
      <c r="U2905" s="38"/>
      <c r="V2905" s="38"/>
      <c r="W2905" s="60"/>
      <c r="AB2905" s="42"/>
      <c r="AC2905" s="35"/>
      <c r="AD2905" s="38"/>
      <c r="AE2905" s="38"/>
      <c r="AF2905" s="38"/>
      <c r="AG2905" s="38"/>
      <c r="AH2905" s="60"/>
    </row>
    <row r="2906" spans="1:34" ht="15.75" customHeight="1">
      <c r="A2906" s="75">
        <v>63</v>
      </c>
      <c r="B2906" s="18" t="s">
        <v>10349</v>
      </c>
      <c r="C2906" s="37" t="s">
        <v>87</v>
      </c>
      <c r="D2906" s="20" t="s">
        <v>10350</v>
      </c>
      <c r="E2906" s="20" t="s">
        <v>10351</v>
      </c>
      <c r="F2906" s="19" t="s">
        <v>90</v>
      </c>
      <c r="G2906" s="19" t="s">
        <v>91</v>
      </c>
      <c r="H2906" s="37"/>
      <c r="I2906" s="21" t="s">
        <v>29</v>
      </c>
      <c r="J2906" s="21" t="s">
        <v>29</v>
      </c>
      <c r="K2906" s="22" t="s">
        <v>10352</v>
      </c>
      <c r="L2906" s="56">
        <v>45093</v>
      </c>
      <c r="O2906" s="42"/>
      <c r="P2906" s="40"/>
      <c r="Q2906" s="61"/>
      <c r="R2906" s="61"/>
      <c r="S2906" s="40"/>
      <c r="T2906" s="38"/>
      <c r="U2906" s="38"/>
      <c r="V2906" s="38"/>
      <c r="W2906" s="60"/>
      <c r="AB2906" s="42"/>
      <c r="AC2906" s="35"/>
      <c r="AD2906" s="38"/>
      <c r="AE2906" s="38"/>
      <c r="AF2906" s="38"/>
      <c r="AG2906" s="38"/>
      <c r="AH2906" s="60"/>
    </row>
    <row r="2907" spans="1:34" ht="15.75" customHeight="1">
      <c r="A2907" s="111" t="s">
        <v>64</v>
      </c>
      <c r="B2907" s="18" t="s">
        <v>10353</v>
      </c>
      <c r="C2907" s="37" t="s">
        <v>24</v>
      </c>
      <c r="D2907" s="20" t="s">
        <v>10354</v>
      </c>
      <c r="E2907" s="20" t="s">
        <v>10355</v>
      </c>
      <c r="F2907" s="19" t="s">
        <v>27</v>
      </c>
      <c r="G2907" s="19" t="s">
        <v>28</v>
      </c>
      <c r="H2907" s="37"/>
      <c r="I2907" s="21" t="s">
        <v>29</v>
      </c>
      <c r="J2907" s="21" t="s">
        <v>29</v>
      </c>
      <c r="K2907" s="22" t="s">
        <v>10356</v>
      </c>
      <c r="L2907" s="56">
        <v>45093</v>
      </c>
      <c r="O2907" s="42"/>
      <c r="P2907" s="40"/>
      <c r="Q2907" s="61"/>
      <c r="R2907" s="61"/>
      <c r="S2907" s="40"/>
      <c r="T2907" s="38"/>
      <c r="U2907" s="38"/>
      <c r="V2907" s="38"/>
      <c r="W2907" s="60"/>
      <c r="AB2907" s="42"/>
      <c r="AC2907" s="35"/>
      <c r="AD2907" s="38"/>
      <c r="AE2907" s="38"/>
      <c r="AF2907" s="38"/>
      <c r="AG2907" s="38"/>
      <c r="AH2907" s="60"/>
    </row>
    <row r="2908" spans="1:34" ht="15.75" customHeight="1">
      <c r="A2908" s="75">
        <v>3</v>
      </c>
      <c r="B2908" s="18" t="s">
        <v>10357</v>
      </c>
      <c r="C2908" s="55" t="s">
        <v>24</v>
      </c>
      <c r="D2908" s="20" t="s">
        <v>10358</v>
      </c>
      <c r="E2908" s="20" t="s">
        <v>10359</v>
      </c>
      <c r="F2908" s="19" t="s">
        <v>27</v>
      </c>
      <c r="G2908" s="19" t="s">
        <v>28</v>
      </c>
      <c r="H2908" s="37" t="s">
        <v>813</v>
      </c>
      <c r="I2908" s="21" t="s">
        <v>29</v>
      </c>
      <c r="J2908" s="21" t="s">
        <v>29</v>
      </c>
      <c r="K2908" s="22" t="s">
        <v>10360</v>
      </c>
      <c r="L2908" s="56">
        <v>45093</v>
      </c>
      <c r="O2908" s="42"/>
      <c r="P2908" s="40"/>
      <c r="Q2908" s="61"/>
      <c r="R2908" s="61"/>
      <c r="S2908" s="40"/>
      <c r="T2908" s="38"/>
      <c r="U2908" s="38"/>
      <c r="V2908" s="38"/>
      <c r="W2908" s="60"/>
      <c r="AB2908" s="42"/>
      <c r="AC2908" s="35"/>
      <c r="AD2908" s="38"/>
      <c r="AE2908" s="38"/>
      <c r="AF2908" s="38"/>
      <c r="AG2908" s="38"/>
      <c r="AH2908" s="60"/>
    </row>
    <row r="2909" spans="1:34" ht="15.75" customHeight="1">
      <c r="A2909" s="111" t="s">
        <v>73</v>
      </c>
      <c r="B2909" s="18" t="s">
        <v>10361</v>
      </c>
      <c r="C2909" s="37" t="s">
        <v>24</v>
      </c>
      <c r="D2909" s="20" t="s">
        <v>10362</v>
      </c>
      <c r="E2909" s="20"/>
      <c r="F2909" s="19" t="s">
        <v>27</v>
      </c>
      <c r="G2909" s="19" t="s">
        <v>28</v>
      </c>
      <c r="H2909" s="37"/>
      <c r="I2909" s="21" t="s">
        <v>29</v>
      </c>
      <c r="J2909" s="21" t="s">
        <v>29</v>
      </c>
      <c r="K2909" s="22"/>
      <c r="L2909" s="56">
        <v>45093</v>
      </c>
      <c r="O2909" s="42"/>
      <c r="P2909" s="40"/>
      <c r="Q2909" s="61"/>
      <c r="R2909" s="61"/>
      <c r="S2909" s="40"/>
      <c r="T2909" s="38"/>
      <c r="U2909" s="38"/>
      <c r="V2909" s="38"/>
      <c r="W2909" s="60"/>
      <c r="AB2909" s="42"/>
      <c r="AC2909" s="35"/>
      <c r="AD2909" s="38"/>
      <c r="AE2909" s="38"/>
      <c r="AF2909" s="38"/>
      <c r="AG2909" s="38"/>
      <c r="AH2909" s="60"/>
    </row>
    <row r="2910" spans="1:34" ht="15.75" customHeight="1">
      <c r="A2910" s="75">
        <v>3.3</v>
      </c>
      <c r="B2910" s="18" t="s">
        <v>10363</v>
      </c>
      <c r="C2910" s="37" t="s">
        <v>87</v>
      </c>
      <c r="D2910" s="20" t="s">
        <v>10364</v>
      </c>
      <c r="E2910" s="20"/>
      <c r="F2910" s="19" t="s">
        <v>90</v>
      </c>
      <c r="G2910" s="19" t="s">
        <v>91</v>
      </c>
      <c r="H2910" s="37"/>
      <c r="I2910" s="21" t="s">
        <v>29</v>
      </c>
      <c r="J2910" s="21" t="s">
        <v>29</v>
      </c>
      <c r="K2910" s="22"/>
      <c r="L2910" s="56">
        <v>45093</v>
      </c>
      <c r="O2910" s="42"/>
      <c r="P2910" s="40"/>
      <c r="Q2910" s="61"/>
      <c r="R2910" s="61"/>
      <c r="S2910" s="40"/>
      <c r="T2910" s="38"/>
      <c r="U2910" s="38"/>
      <c r="V2910" s="38"/>
      <c r="W2910" s="60"/>
      <c r="AB2910" s="42"/>
      <c r="AC2910" s="35"/>
      <c r="AD2910" s="38"/>
      <c r="AE2910" s="38"/>
      <c r="AF2910" s="38"/>
      <c r="AG2910" s="38"/>
      <c r="AH2910" s="60"/>
    </row>
    <row r="2911" spans="1:34" ht="15.75" customHeight="1">
      <c r="A2911" s="111" t="s">
        <v>82</v>
      </c>
      <c r="B2911" s="18" t="s">
        <v>10365</v>
      </c>
      <c r="C2911" s="37" t="s">
        <v>24</v>
      </c>
      <c r="D2911" s="20" t="s">
        <v>10366</v>
      </c>
      <c r="E2911" s="20" t="s">
        <v>10367</v>
      </c>
      <c r="F2911" s="19" t="s">
        <v>27</v>
      </c>
      <c r="G2911" s="19" t="s">
        <v>28</v>
      </c>
      <c r="H2911" s="37" t="s">
        <v>813</v>
      </c>
      <c r="I2911" s="21" t="s">
        <v>29</v>
      </c>
      <c r="J2911" s="21" t="s">
        <v>29</v>
      </c>
      <c r="K2911" s="22" t="s">
        <v>10368</v>
      </c>
      <c r="L2911" s="56">
        <v>45093</v>
      </c>
      <c r="O2911" s="42"/>
      <c r="P2911" s="40"/>
      <c r="Q2911" s="61"/>
      <c r="R2911" s="61"/>
      <c r="S2911" s="40"/>
      <c r="T2911" s="38"/>
      <c r="U2911" s="38"/>
      <c r="V2911" s="38"/>
      <c r="W2911" s="60"/>
      <c r="AB2911" s="42"/>
      <c r="AC2911" s="35"/>
      <c r="AD2911" s="38"/>
      <c r="AE2911" s="38"/>
      <c r="AF2911" s="38"/>
      <c r="AG2911" s="38"/>
      <c r="AH2911" s="60"/>
    </row>
    <row r="2912" spans="1:34" ht="15.75" customHeight="1">
      <c r="A2912" s="75" t="s">
        <v>10369</v>
      </c>
      <c r="B2912" s="18" t="s">
        <v>10370</v>
      </c>
      <c r="C2912" s="37" t="s">
        <v>24</v>
      </c>
      <c r="D2912" s="20" t="s">
        <v>10371</v>
      </c>
      <c r="E2912" s="20" t="s">
        <v>10372</v>
      </c>
      <c r="F2912" s="19" t="s">
        <v>27</v>
      </c>
      <c r="G2912" s="19" t="s">
        <v>28</v>
      </c>
      <c r="H2912" s="37" t="s">
        <v>813</v>
      </c>
      <c r="I2912" s="21" t="s">
        <v>29</v>
      </c>
      <c r="J2912" s="21" t="s">
        <v>29</v>
      </c>
      <c r="K2912" s="22" t="s">
        <v>10373</v>
      </c>
      <c r="L2912" s="56">
        <v>45093</v>
      </c>
      <c r="O2912" s="42"/>
      <c r="P2912" s="40"/>
      <c r="Q2912" s="61"/>
      <c r="R2912" s="61"/>
      <c r="S2912" s="40"/>
      <c r="T2912" s="38"/>
      <c r="U2912" s="38"/>
      <c r="V2912" s="38"/>
      <c r="W2912" s="60"/>
      <c r="AB2912" s="42"/>
      <c r="AC2912" s="35"/>
      <c r="AD2912" s="38"/>
      <c r="AE2912" s="38"/>
      <c r="AF2912" s="38"/>
      <c r="AG2912" s="38"/>
      <c r="AH2912" s="60"/>
    </row>
    <row r="2913" spans="1:34" ht="15.75" customHeight="1">
      <c r="A2913" s="111" t="s">
        <v>92</v>
      </c>
      <c r="B2913" s="18" t="s">
        <v>10374</v>
      </c>
      <c r="C2913" s="37" t="s">
        <v>46</v>
      </c>
      <c r="D2913" s="20" t="s">
        <v>10375</v>
      </c>
      <c r="E2913" s="20"/>
      <c r="F2913" s="37" t="s">
        <v>49</v>
      </c>
      <c r="G2913" s="19" t="s">
        <v>50</v>
      </c>
      <c r="H2913" s="37"/>
      <c r="I2913" s="21" t="s">
        <v>29</v>
      </c>
      <c r="J2913" s="21" t="s">
        <v>29</v>
      </c>
      <c r="K2913" s="22"/>
      <c r="L2913" s="56">
        <v>45093</v>
      </c>
      <c r="O2913" s="42"/>
      <c r="P2913" s="40"/>
      <c r="Q2913" s="61"/>
      <c r="R2913" s="61"/>
      <c r="S2913" s="40"/>
      <c r="T2913" s="38"/>
      <c r="U2913" s="38"/>
      <c r="V2913" s="38"/>
      <c r="W2913" s="60"/>
      <c r="AB2913" s="42"/>
      <c r="AC2913" s="35"/>
      <c r="AD2913" s="38"/>
      <c r="AE2913" s="38"/>
      <c r="AF2913" s="38"/>
      <c r="AG2913" s="38"/>
      <c r="AH2913" s="60"/>
    </row>
    <row r="2914" spans="1:34" ht="15.75" customHeight="1">
      <c r="A2914" s="112">
        <v>775</v>
      </c>
      <c r="B2914" s="18" t="s">
        <v>10376</v>
      </c>
      <c r="C2914" s="37" t="s">
        <v>46</v>
      </c>
      <c r="D2914" s="20" t="s">
        <v>10377</v>
      </c>
      <c r="E2914" s="20" t="s">
        <v>10378</v>
      </c>
      <c r="F2914" s="37" t="s">
        <v>49</v>
      </c>
      <c r="G2914" s="19" t="s">
        <v>50</v>
      </c>
      <c r="H2914" s="37"/>
      <c r="I2914" s="21" t="s">
        <v>29</v>
      </c>
      <c r="J2914" s="21" t="s">
        <v>29</v>
      </c>
      <c r="K2914" s="22" t="s">
        <v>10379</v>
      </c>
      <c r="L2914" s="56">
        <v>45093</v>
      </c>
      <c r="O2914" s="42"/>
      <c r="P2914" s="40"/>
      <c r="Q2914" s="61"/>
      <c r="R2914" s="61"/>
      <c r="S2914" s="40"/>
      <c r="T2914" s="38"/>
      <c r="U2914" s="38"/>
      <c r="V2914" s="38"/>
      <c r="W2914" s="60"/>
      <c r="AB2914" s="42"/>
      <c r="AC2914" s="35"/>
      <c r="AD2914" s="38"/>
      <c r="AE2914" s="38"/>
      <c r="AF2914" s="38"/>
      <c r="AG2914" s="38"/>
      <c r="AH2914" s="60"/>
    </row>
    <row r="2915" spans="1:34" ht="15.75" customHeight="1">
      <c r="A2915" s="111" t="s">
        <v>100</v>
      </c>
      <c r="B2915" s="18" t="s">
        <v>10380</v>
      </c>
      <c r="C2915" s="37" t="s">
        <v>24</v>
      </c>
      <c r="D2915" s="20" t="s">
        <v>10381</v>
      </c>
      <c r="E2915" s="20" t="s">
        <v>10382</v>
      </c>
      <c r="F2915" s="19" t="s">
        <v>90</v>
      </c>
      <c r="G2915" s="19" t="s">
        <v>91</v>
      </c>
      <c r="H2915" s="37"/>
      <c r="I2915" s="21" t="s">
        <v>29</v>
      </c>
      <c r="J2915" s="21" t="s">
        <v>29</v>
      </c>
      <c r="K2915" s="22" t="s">
        <v>10383</v>
      </c>
      <c r="L2915" s="56">
        <v>45093</v>
      </c>
      <c r="O2915" s="42"/>
      <c r="P2915" s="40"/>
      <c r="Q2915" s="61"/>
      <c r="R2915" s="61"/>
      <c r="S2915" s="40"/>
      <c r="T2915" s="38"/>
      <c r="U2915" s="38"/>
      <c r="V2915" s="38"/>
      <c r="W2915" s="60"/>
      <c r="AB2915" s="42"/>
      <c r="AC2915" s="35"/>
      <c r="AD2915" s="38"/>
      <c r="AE2915" s="38"/>
      <c r="AF2915" s="38"/>
      <c r="AG2915" s="38"/>
      <c r="AH2915" s="60"/>
    </row>
    <row r="2916" spans="1:34" ht="15.75" customHeight="1">
      <c r="A2916" s="75">
        <v>165</v>
      </c>
      <c r="B2916" s="18" t="s">
        <v>10384</v>
      </c>
      <c r="C2916" s="37" t="s">
        <v>87</v>
      </c>
      <c r="D2916" s="20" t="s">
        <v>10385</v>
      </c>
      <c r="E2916" s="20"/>
      <c r="F2916" s="19" t="s">
        <v>90</v>
      </c>
      <c r="G2916" s="19" t="s">
        <v>91</v>
      </c>
      <c r="H2916" s="37"/>
      <c r="I2916" s="21" t="s">
        <v>29</v>
      </c>
      <c r="J2916" s="21" t="s">
        <v>29</v>
      </c>
      <c r="K2916" s="22"/>
      <c r="L2916" s="56">
        <v>45093</v>
      </c>
      <c r="O2916" s="42"/>
      <c r="P2916" s="40"/>
      <c r="Q2916" s="61"/>
      <c r="R2916" s="61"/>
      <c r="S2916" s="40"/>
      <c r="T2916" s="38"/>
      <c r="U2916" s="38"/>
      <c r="V2916" s="38"/>
      <c r="W2916" s="60"/>
      <c r="AB2916" s="42"/>
      <c r="AC2916" s="35"/>
      <c r="AD2916" s="38"/>
      <c r="AE2916" s="38"/>
      <c r="AF2916" s="38"/>
      <c r="AG2916" s="38"/>
      <c r="AH2916" s="60"/>
    </row>
    <row r="2917" spans="1:34" ht="15.75" customHeight="1">
      <c r="B2917" s="18" t="s">
        <v>10386</v>
      </c>
      <c r="C2917" s="37" t="s">
        <v>24</v>
      </c>
      <c r="D2917" s="20" t="s">
        <v>10387</v>
      </c>
      <c r="E2917" s="20"/>
      <c r="F2917" s="19" t="s">
        <v>27</v>
      </c>
      <c r="G2917" s="19" t="s">
        <v>28</v>
      </c>
      <c r="H2917" s="37"/>
      <c r="I2917" s="21" t="s">
        <v>29</v>
      </c>
      <c r="J2917" s="21" t="s">
        <v>29</v>
      </c>
      <c r="K2917" s="22"/>
      <c r="L2917" s="56">
        <v>45093</v>
      </c>
      <c r="O2917" s="42"/>
      <c r="P2917" s="40"/>
      <c r="Q2917" s="61"/>
      <c r="R2917" s="61"/>
      <c r="S2917" s="40"/>
      <c r="T2917" s="38"/>
      <c r="U2917" s="38"/>
      <c r="V2917" s="38"/>
      <c r="W2917" s="60"/>
      <c r="AB2917" s="42"/>
      <c r="AC2917" s="35"/>
      <c r="AD2917" s="38"/>
      <c r="AE2917" s="38"/>
      <c r="AF2917" s="38"/>
      <c r="AG2917" s="38"/>
      <c r="AH2917" s="60"/>
    </row>
    <row r="2918" spans="1:34" ht="15.75" customHeight="1">
      <c r="A2918" s="35"/>
      <c r="B2918" s="18" t="s">
        <v>10388</v>
      </c>
      <c r="C2918" s="37" t="s">
        <v>87</v>
      </c>
      <c r="D2918" s="20" t="s">
        <v>10389</v>
      </c>
      <c r="E2918" s="20" t="s">
        <v>10390</v>
      </c>
      <c r="F2918" s="19" t="s">
        <v>90</v>
      </c>
      <c r="G2918" s="19" t="s">
        <v>91</v>
      </c>
      <c r="H2918" s="37"/>
      <c r="I2918" s="21" t="s">
        <v>29</v>
      </c>
      <c r="J2918" s="21" t="s">
        <v>29</v>
      </c>
      <c r="K2918" s="22" t="s">
        <v>10391</v>
      </c>
      <c r="L2918" s="56">
        <v>45093</v>
      </c>
      <c r="O2918" s="42"/>
      <c r="P2918" s="40"/>
      <c r="Q2918" s="61"/>
      <c r="R2918" s="61"/>
      <c r="S2918" s="40"/>
      <c r="T2918" s="38"/>
      <c r="U2918" s="38"/>
      <c r="V2918" s="38"/>
      <c r="W2918" s="60"/>
      <c r="AB2918" s="42"/>
      <c r="AC2918" s="35"/>
      <c r="AD2918" s="38"/>
      <c r="AE2918" s="38"/>
      <c r="AF2918" s="38"/>
      <c r="AG2918" s="38"/>
      <c r="AH2918" s="60"/>
    </row>
    <row r="2919" spans="1:34" ht="15.75" customHeight="1">
      <c r="A2919" s="130"/>
      <c r="B2919" s="18" t="s">
        <v>10392</v>
      </c>
      <c r="C2919" s="37" t="s">
        <v>46</v>
      </c>
      <c r="D2919" s="20" t="s">
        <v>10393</v>
      </c>
      <c r="E2919" s="20" t="s">
        <v>10394</v>
      </c>
      <c r="F2919" s="37" t="s">
        <v>49</v>
      </c>
      <c r="G2919" s="19" t="s">
        <v>50</v>
      </c>
      <c r="H2919" s="37"/>
      <c r="I2919" s="21" t="s">
        <v>29</v>
      </c>
      <c r="J2919" s="21" t="s">
        <v>29</v>
      </c>
      <c r="K2919" s="22" t="s">
        <v>10395</v>
      </c>
      <c r="L2919" s="56">
        <v>45093</v>
      </c>
      <c r="O2919" s="42"/>
      <c r="P2919" s="40"/>
      <c r="Q2919" s="61"/>
      <c r="R2919" s="61"/>
      <c r="S2919" s="40"/>
      <c r="T2919" s="38"/>
      <c r="U2919" s="38"/>
      <c r="V2919" s="38"/>
      <c r="W2919" s="60"/>
      <c r="AB2919" s="42"/>
      <c r="AC2919" s="35"/>
      <c r="AD2919" s="38"/>
      <c r="AE2919" s="38"/>
      <c r="AF2919" s="38"/>
      <c r="AG2919" s="38"/>
      <c r="AH2919" s="60"/>
    </row>
    <row r="2920" spans="1:34" ht="15.75" customHeight="1">
      <c r="A2920" s="131"/>
      <c r="B2920" s="18" t="s">
        <v>10396</v>
      </c>
      <c r="C2920" s="37" t="s">
        <v>46</v>
      </c>
      <c r="D2920" s="20" t="s">
        <v>10397</v>
      </c>
      <c r="E2920" s="20"/>
      <c r="F2920" s="37" t="s">
        <v>49</v>
      </c>
      <c r="G2920" s="19" t="s">
        <v>50</v>
      </c>
      <c r="H2920" s="37"/>
      <c r="I2920" s="21" t="s">
        <v>29</v>
      </c>
      <c r="J2920" s="21" t="s">
        <v>29</v>
      </c>
      <c r="K2920" s="22"/>
      <c r="L2920" s="56">
        <v>45093</v>
      </c>
      <c r="O2920" s="42"/>
      <c r="P2920" s="40"/>
      <c r="Q2920" s="61"/>
      <c r="R2920" s="61"/>
      <c r="S2920" s="40"/>
      <c r="T2920" s="38"/>
      <c r="U2920" s="38"/>
      <c r="V2920" s="38"/>
      <c r="W2920" s="60"/>
      <c r="AB2920" s="42"/>
      <c r="AC2920" s="35"/>
      <c r="AD2920" s="38"/>
      <c r="AE2920" s="38"/>
      <c r="AF2920" s="38"/>
      <c r="AG2920" s="38"/>
      <c r="AH2920" s="60"/>
    </row>
    <row r="2921" spans="1:34" ht="15.75" customHeight="1">
      <c r="A2921" s="131"/>
      <c r="B2921" s="18" t="s">
        <v>10398</v>
      </c>
      <c r="C2921" s="37" t="s">
        <v>46</v>
      </c>
      <c r="D2921" s="20" t="s">
        <v>10399</v>
      </c>
      <c r="E2921" s="20" t="s">
        <v>10400</v>
      </c>
      <c r="F2921" s="37" t="s">
        <v>49</v>
      </c>
      <c r="G2921" s="19" t="s">
        <v>50</v>
      </c>
      <c r="H2921" s="37"/>
      <c r="I2921" s="21" t="s">
        <v>29</v>
      </c>
      <c r="J2921" s="21" t="s">
        <v>29</v>
      </c>
      <c r="K2921" s="22" t="s">
        <v>10401</v>
      </c>
      <c r="L2921" s="56">
        <v>45093</v>
      </c>
      <c r="O2921" s="42"/>
      <c r="P2921" s="40"/>
      <c r="Q2921" s="61"/>
      <c r="R2921" s="61"/>
      <c r="S2921" s="40"/>
      <c r="T2921" s="38"/>
      <c r="U2921" s="38"/>
      <c r="V2921" s="38"/>
      <c r="W2921" s="60"/>
      <c r="AB2921" s="42"/>
      <c r="AC2921" s="35"/>
      <c r="AD2921" s="38"/>
      <c r="AE2921" s="38"/>
      <c r="AF2921" s="38"/>
      <c r="AG2921" s="38"/>
      <c r="AH2921" s="60"/>
    </row>
    <row r="2922" spans="1:34" ht="15.75" customHeight="1">
      <c r="A2922" s="130"/>
      <c r="B2922" s="18" t="s">
        <v>10402</v>
      </c>
      <c r="C2922" s="37" t="s">
        <v>87</v>
      </c>
      <c r="D2922" s="20" t="s">
        <v>10403</v>
      </c>
      <c r="E2922" s="20" t="s">
        <v>10404</v>
      </c>
      <c r="F2922" s="19" t="s">
        <v>90</v>
      </c>
      <c r="G2922" s="19" t="s">
        <v>91</v>
      </c>
      <c r="H2922" s="37"/>
      <c r="I2922" s="21" t="s">
        <v>29</v>
      </c>
      <c r="J2922" s="21" t="s">
        <v>29</v>
      </c>
      <c r="K2922" s="22" t="s">
        <v>10405</v>
      </c>
      <c r="L2922" s="56">
        <v>45093</v>
      </c>
      <c r="O2922" s="42"/>
      <c r="P2922" s="40"/>
      <c r="Q2922" s="61"/>
      <c r="R2922" s="61"/>
      <c r="S2922" s="40"/>
      <c r="T2922" s="38"/>
      <c r="U2922" s="38"/>
      <c r="V2922" s="38"/>
      <c r="W2922" s="60"/>
      <c r="AB2922" s="42"/>
      <c r="AC2922" s="35"/>
      <c r="AD2922" s="38"/>
      <c r="AE2922" s="38"/>
      <c r="AF2922" s="38"/>
      <c r="AG2922" s="38"/>
      <c r="AH2922" s="60"/>
    </row>
    <row r="2923" spans="1:34" ht="15.75" customHeight="1">
      <c r="A2923" s="131"/>
      <c r="B2923" s="18" t="s">
        <v>10406</v>
      </c>
      <c r="C2923" s="37" t="s">
        <v>87</v>
      </c>
      <c r="D2923" s="20" t="s">
        <v>10407</v>
      </c>
      <c r="E2923" s="20"/>
      <c r="F2923" s="19" t="s">
        <v>90</v>
      </c>
      <c r="G2923" s="19" t="s">
        <v>91</v>
      </c>
      <c r="H2923" s="37"/>
      <c r="I2923" s="21" t="s">
        <v>29</v>
      </c>
      <c r="J2923" s="21" t="s">
        <v>29</v>
      </c>
      <c r="K2923" s="22"/>
      <c r="L2923" s="56">
        <v>45093</v>
      </c>
      <c r="O2923" s="42"/>
      <c r="P2923" s="40"/>
      <c r="Q2923" s="61"/>
      <c r="R2923" s="61"/>
      <c r="S2923" s="40"/>
      <c r="T2923" s="38"/>
      <c r="U2923" s="38"/>
      <c r="V2923" s="38"/>
      <c r="W2923" s="60"/>
      <c r="AB2923" s="42"/>
      <c r="AC2923" s="35"/>
      <c r="AD2923" s="38"/>
      <c r="AE2923" s="38"/>
      <c r="AF2923" s="38"/>
      <c r="AG2923" s="38"/>
      <c r="AH2923" s="60"/>
    </row>
    <row r="2924" spans="1:34" ht="15.75" customHeight="1">
      <c r="A2924" s="131"/>
      <c r="B2924" s="29" t="s">
        <v>10408</v>
      </c>
      <c r="C2924" s="37" t="s">
        <v>46</v>
      </c>
      <c r="D2924" s="20" t="s">
        <v>10409</v>
      </c>
      <c r="E2924" s="20" t="s">
        <v>10410</v>
      </c>
      <c r="F2924" s="37" t="s">
        <v>286</v>
      </c>
      <c r="G2924" s="19" t="s">
        <v>50</v>
      </c>
      <c r="H2924" s="37"/>
      <c r="I2924" s="21" t="s">
        <v>286</v>
      </c>
      <c r="J2924" s="21" t="s">
        <v>29</v>
      </c>
      <c r="K2924" s="22" t="s">
        <v>10411</v>
      </c>
      <c r="L2924" s="56"/>
      <c r="O2924" s="42"/>
      <c r="P2924" s="40"/>
      <c r="Q2924" s="61"/>
      <c r="R2924" s="61"/>
      <c r="S2924" s="40"/>
      <c r="T2924" s="38"/>
      <c r="U2924" s="38"/>
      <c r="V2924" s="38"/>
      <c r="W2924" s="60"/>
      <c r="AB2924" s="42"/>
      <c r="AC2924" s="35"/>
      <c r="AD2924" s="38"/>
      <c r="AE2924" s="38"/>
      <c r="AF2924" s="38"/>
      <c r="AG2924" s="38"/>
      <c r="AH2924" s="60"/>
    </row>
    <row r="2925" spans="1:34" ht="15.75" customHeight="1">
      <c r="A2925" s="131"/>
      <c r="B2925" s="18" t="s">
        <v>10412</v>
      </c>
      <c r="C2925" s="37" t="s">
        <v>24</v>
      </c>
      <c r="D2925" s="20" t="s">
        <v>10413</v>
      </c>
      <c r="E2925" s="20" t="s">
        <v>10414</v>
      </c>
      <c r="F2925" s="19" t="s">
        <v>27</v>
      </c>
      <c r="G2925" s="19" t="s">
        <v>28</v>
      </c>
      <c r="H2925" s="37" t="s">
        <v>813</v>
      </c>
      <c r="I2925" s="21" t="s">
        <v>29</v>
      </c>
      <c r="J2925" s="21" t="s">
        <v>29</v>
      </c>
      <c r="K2925" s="22" t="s">
        <v>10415</v>
      </c>
      <c r="L2925" s="56">
        <v>45093</v>
      </c>
      <c r="O2925" s="42"/>
      <c r="P2925" s="40"/>
      <c r="Q2925" s="61"/>
      <c r="R2925" s="61"/>
      <c r="S2925" s="40"/>
      <c r="T2925" s="38"/>
      <c r="U2925" s="38"/>
      <c r="V2925" s="38"/>
      <c r="W2925" s="60"/>
      <c r="AB2925" s="42"/>
      <c r="AC2925" s="35"/>
      <c r="AD2925" s="38"/>
      <c r="AE2925" s="38"/>
      <c r="AF2925" s="38"/>
      <c r="AG2925" s="38"/>
      <c r="AH2925" s="60"/>
    </row>
    <row r="2926" spans="1:34" ht="15.75" customHeight="1">
      <c r="A2926" s="132"/>
      <c r="B2926" s="29" t="s">
        <v>10416</v>
      </c>
      <c r="C2926" s="37" t="s">
        <v>87</v>
      </c>
      <c r="D2926" s="20" t="s">
        <v>10417</v>
      </c>
      <c r="E2926" s="20"/>
      <c r="F2926" s="37" t="s">
        <v>286</v>
      </c>
      <c r="G2926" s="19" t="s">
        <v>91</v>
      </c>
      <c r="H2926" s="37"/>
      <c r="I2926" s="21" t="s">
        <v>286</v>
      </c>
      <c r="J2926" s="21" t="s">
        <v>29</v>
      </c>
      <c r="K2926" s="22"/>
      <c r="L2926" s="56"/>
      <c r="O2926" s="42"/>
      <c r="P2926" s="40"/>
      <c r="Q2926" s="61"/>
      <c r="R2926" s="61"/>
      <c r="S2926" s="40"/>
      <c r="T2926" s="38"/>
      <c r="U2926" s="38"/>
      <c r="V2926" s="38"/>
      <c r="W2926" s="60"/>
      <c r="AB2926" s="42"/>
      <c r="AC2926" s="35"/>
      <c r="AD2926" s="38"/>
      <c r="AE2926" s="38"/>
      <c r="AF2926" s="38"/>
      <c r="AG2926" s="38"/>
      <c r="AH2926" s="60"/>
    </row>
    <row r="2927" spans="1:34" ht="15.75" customHeight="1">
      <c r="A2927" s="132"/>
      <c r="B2927" s="34" t="s">
        <v>10418</v>
      </c>
      <c r="C2927" s="37" t="s">
        <v>24</v>
      </c>
      <c r="D2927" s="20" t="s">
        <v>10419</v>
      </c>
      <c r="E2927" s="20" t="s">
        <v>10420</v>
      </c>
      <c r="F2927" s="19" t="s">
        <v>90</v>
      </c>
      <c r="G2927" s="19" t="s">
        <v>91</v>
      </c>
      <c r="H2927" s="37"/>
      <c r="I2927" s="21" t="s">
        <v>29</v>
      </c>
      <c r="J2927" s="21" t="s">
        <v>29</v>
      </c>
      <c r="K2927" s="22" t="s">
        <v>10421</v>
      </c>
      <c r="L2927" s="56">
        <v>45093</v>
      </c>
      <c r="O2927" s="42"/>
      <c r="P2927" s="40"/>
      <c r="Q2927" s="61"/>
      <c r="R2927" s="61"/>
      <c r="S2927" s="40"/>
      <c r="T2927" s="38"/>
      <c r="U2927" s="38"/>
      <c r="V2927" s="38"/>
      <c r="W2927" s="60"/>
      <c r="AB2927" s="42"/>
      <c r="AC2927" s="35"/>
      <c r="AD2927" s="38"/>
      <c r="AE2927" s="38"/>
      <c r="AF2927" s="38"/>
      <c r="AG2927" s="38"/>
      <c r="AH2927" s="60"/>
    </row>
    <row r="2928" spans="1:34" ht="15.75" customHeight="1">
      <c r="A2928" s="131"/>
      <c r="B2928" s="18" t="s">
        <v>10422</v>
      </c>
      <c r="C2928" s="37" t="s">
        <v>87</v>
      </c>
      <c r="D2928" s="20" t="s">
        <v>10423</v>
      </c>
      <c r="E2928" s="20" t="s">
        <v>10424</v>
      </c>
      <c r="F2928" s="19" t="s">
        <v>90</v>
      </c>
      <c r="G2928" s="19" t="s">
        <v>91</v>
      </c>
      <c r="H2928" s="37"/>
      <c r="I2928" s="21" t="s">
        <v>29</v>
      </c>
      <c r="J2928" s="21" t="s">
        <v>29</v>
      </c>
      <c r="K2928" s="22" t="s">
        <v>10425</v>
      </c>
      <c r="L2928" s="56">
        <v>45093</v>
      </c>
      <c r="O2928" s="42"/>
      <c r="P2928" s="40"/>
      <c r="Q2928" s="61"/>
      <c r="R2928" s="61"/>
      <c r="S2928" s="40"/>
      <c r="T2928" s="38"/>
      <c r="U2928" s="38"/>
      <c r="V2928" s="38"/>
      <c r="W2928" s="60"/>
      <c r="AB2928" s="42"/>
      <c r="AC2928" s="35"/>
      <c r="AD2928" s="38"/>
      <c r="AE2928" s="38"/>
      <c r="AF2928" s="38"/>
      <c r="AG2928" s="38"/>
      <c r="AH2928" s="60"/>
    </row>
    <row r="2929" spans="1:34" ht="15.75" customHeight="1">
      <c r="A2929" s="131"/>
      <c r="B2929" s="18" t="s">
        <v>10426</v>
      </c>
      <c r="C2929" s="37" t="s">
        <v>87</v>
      </c>
      <c r="D2929" s="20" t="s">
        <v>10427</v>
      </c>
      <c r="E2929" s="20"/>
      <c r="F2929" s="19" t="s">
        <v>90</v>
      </c>
      <c r="G2929" s="19" t="s">
        <v>91</v>
      </c>
      <c r="H2929" s="37"/>
      <c r="I2929" s="21" t="s">
        <v>29</v>
      </c>
      <c r="J2929" s="21" t="s">
        <v>29</v>
      </c>
      <c r="K2929" s="22"/>
      <c r="L2929" s="56">
        <v>45093</v>
      </c>
      <c r="O2929" s="42"/>
      <c r="P2929" s="40"/>
      <c r="Q2929" s="61"/>
      <c r="R2929" s="61"/>
      <c r="S2929" s="40"/>
      <c r="T2929" s="38"/>
      <c r="U2929" s="38"/>
      <c r="V2929" s="38"/>
      <c r="W2929" s="60"/>
      <c r="AB2929" s="42"/>
      <c r="AC2929" s="35"/>
      <c r="AD2929" s="38"/>
      <c r="AE2929" s="38"/>
      <c r="AF2929" s="38"/>
      <c r="AG2929" s="38"/>
      <c r="AH2929" s="60"/>
    </row>
    <row r="2930" spans="1:34" ht="15.75" customHeight="1">
      <c r="A2930" s="132"/>
      <c r="B2930" s="18" t="s">
        <v>10428</v>
      </c>
      <c r="C2930" s="37" t="s">
        <v>24</v>
      </c>
      <c r="D2930" s="20" t="s">
        <v>10429</v>
      </c>
      <c r="E2930" s="20" t="s">
        <v>10430</v>
      </c>
      <c r="F2930" s="19" t="s">
        <v>27</v>
      </c>
      <c r="G2930" s="19" t="s">
        <v>28</v>
      </c>
      <c r="H2930" s="19" t="s">
        <v>36</v>
      </c>
      <c r="I2930" s="21" t="s">
        <v>29</v>
      </c>
      <c r="J2930" s="21" t="s">
        <v>29</v>
      </c>
      <c r="K2930" s="22" t="s">
        <v>10431</v>
      </c>
      <c r="L2930" s="56">
        <v>45093</v>
      </c>
      <c r="O2930" s="42"/>
      <c r="P2930" s="40"/>
      <c r="Q2930" s="61"/>
      <c r="R2930" s="61"/>
      <c r="S2930" s="40"/>
      <c r="T2930" s="38"/>
      <c r="U2930" s="38"/>
      <c r="V2930" s="38"/>
      <c r="W2930" s="60"/>
      <c r="AB2930" s="42"/>
      <c r="AC2930" s="35"/>
      <c r="AD2930" s="38"/>
      <c r="AE2930" s="38"/>
      <c r="AF2930" s="38"/>
      <c r="AG2930" s="38"/>
      <c r="AH2930" s="60"/>
    </row>
    <row r="2931" spans="1:34" ht="15.75" customHeight="1">
      <c r="A2931" s="131"/>
      <c r="B2931" s="18" t="s">
        <v>10432</v>
      </c>
      <c r="C2931" s="37" t="s">
        <v>24</v>
      </c>
      <c r="D2931" s="20" t="s">
        <v>10433</v>
      </c>
      <c r="E2931" s="20"/>
      <c r="F2931" s="19" t="s">
        <v>27</v>
      </c>
      <c r="G2931" s="19" t="s">
        <v>28</v>
      </c>
      <c r="H2931" s="37"/>
      <c r="I2931" s="21" t="s">
        <v>29</v>
      </c>
      <c r="J2931" s="21" t="s">
        <v>29</v>
      </c>
      <c r="K2931" s="22"/>
      <c r="L2931" s="56">
        <v>45093</v>
      </c>
      <c r="O2931" s="42"/>
      <c r="P2931" s="40"/>
      <c r="Q2931" s="61"/>
      <c r="R2931" s="61"/>
      <c r="S2931" s="40"/>
      <c r="T2931" s="38"/>
      <c r="U2931" s="38"/>
      <c r="V2931" s="38"/>
      <c r="W2931" s="60"/>
      <c r="AB2931" s="42"/>
      <c r="AC2931" s="35"/>
      <c r="AD2931" s="38"/>
      <c r="AE2931" s="38"/>
      <c r="AF2931" s="38"/>
      <c r="AG2931" s="38"/>
      <c r="AH2931" s="60"/>
    </row>
    <row r="2932" spans="1:34" ht="15.75" customHeight="1">
      <c r="A2932" s="131"/>
      <c r="B2932" s="18" t="s">
        <v>10434</v>
      </c>
      <c r="C2932" s="37" t="s">
        <v>24</v>
      </c>
      <c r="D2932" s="20" t="s">
        <v>10435</v>
      </c>
      <c r="E2932" s="20" t="s">
        <v>10436</v>
      </c>
      <c r="F2932" s="19" t="s">
        <v>27</v>
      </c>
      <c r="G2932" s="19" t="s">
        <v>28</v>
      </c>
      <c r="H2932" s="37"/>
      <c r="I2932" s="21" t="s">
        <v>29</v>
      </c>
      <c r="J2932" s="21" t="s">
        <v>29</v>
      </c>
      <c r="K2932" s="22" t="s">
        <v>10436</v>
      </c>
      <c r="L2932" s="56">
        <v>45093</v>
      </c>
      <c r="O2932" s="42"/>
      <c r="P2932" s="40"/>
      <c r="Q2932" s="61"/>
      <c r="R2932" s="61"/>
      <c r="S2932" s="40"/>
      <c r="T2932" s="38"/>
      <c r="U2932" s="38"/>
      <c r="V2932" s="38"/>
      <c r="W2932" s="60"/>
      <c r="AB2932" s="42"/>
      <c r="AC2932" s="35"/>
      <c r="AD2932" s="38"/>
      <c r="AE2932" s="38"/>
      <c r="AF2932" s="38"/>
      <c r="AG2932" s="38"/>
      <c r="AH2932" s="60"/>
    </row>
    <row r="2933" spans="1:34" ht="15.75" customHeight="1">
      <c r="A2933" s="132"/>
      <c r="B2933" s="18" t="s">
        <v>10437</v>
      </c>
      <c r="C2933" s="37" t="s">
        <v>24</v>
      </c>
      <c r="D2933" s="20" t="s">
        <v>10438</v>
      </c>
      <c r="E2933" s="20" t="s">
        <v>10439</v>
      </c>
      <c r="F2933" s="19" t="s">
        <v>27</v>
      </c>
      <c r="G2933" s="19" t="s">
        <v>28</v>
      </c>
      <c r="H2933" s="37"/>
      <c r="I2933" s="21" t="s">
        <v>29</v>
      </c>
      <c r="J2933" s="21" t="s">
        <v>29</v>
      </c>
      <c r="K2933" s="22" t="s">
        <v>10440</v>
      </c>
      <c r="L2933" s="56">
        <v>45093</v>
      </c>
      <c r="O2933" s="42"/>
      <c r="P2933" s="40"/>
      <c r="Q2933" s="61"/>
      <c r="R2933" s="61"/>
      <c r="S2933" s="40"/>
      <c r="T2933" s="38"/>
      <c r="U2933" s="38"/>
      <c r="V2933" s="38"/>
      <c r="W2933" s="60"/>
      <c r="AB2933" s="42"/>
      <c r="AC2933" s="35"/>
      <c r="AD2933" s="38"/>
      <c r="AE2933" s="38"/>
      <c r="AF2933" s="38"/>
      <c r="AG2933" s="38"/>
      <c r="AH2933" s="60"/>
    </row>
    <row r="2934" spans="1:34" ht="15.75" customHeight="1">
      <c r="A2934" s="131"/>
      <c r="B2934" s="34" t="s">
        <v>10441</v>
      </c>
      <c r="C2934" s="37" t="s">
        <v>87</v>
      </c>
      <c r="D2934" s="20" t="s">
        <v>10442</v>
      </c>
      <c r="E2934" s="20" t="s">
        <v>10443</v>
      </c>
      <c r="F2934" s="37" t="s">
        <v>49</v>
      </c>
      <c r="G2934" s="19" t="s">
        <v>50</v>
      </c>
      <c r="H2934" s="37"/>
      <c r="I2934" s="21" t="s">
        <v>29</v>
      </c>
      <c r="J2934" s="21" t="s">
        <v>29</v>
      </c>
      <c r="K2934" s="22" t="s">
        <v>10444</v>
      </c>
      <c r="L2934" s="56">
        <v>45093</v>
      </c>
      <c r="O2934" s="42"/>
      <c r="P2934" s="40"/>
      <c r="Q2934" s="61"/>
      <c r="R2934" s="61"/>
      <c r="S2934" s="40"/>
      <c r="T2934" s="38"/>
      <c r="U2934" s="38"/>
      <c r="V2934" s="38"/>
      <c r="W2934" s="60"/>
      <c r="AB2934" s="42"/>
      <c r="AC2934" s="35"/>
      <c r="AD2934" s="38"/>
      <c r="AE2934" s="38"/>
      <c r="AF2934" s="38"/>
      <c r="AG2934" s="38"/>
      <c r="AH2934" s="60"/>
    </row>
    <row r="2935" spans="1:34" ht="15.75" customHeight="1">
      <c r="A2935" s="131"/>
      <c r="B2935" s="34" t="s">
        <v>10445</v>
      </c>
      <c r="C2935" s="37" t="s">
        <v>24</v>
      </c>
      <c r="D2935" s="20" t="s">
        <v>10446</v>
      </c>
      <c r="E2935" s="20" t="s">
        <v>10447</v>
      </c>
      <c r="F2935" s="19" t="s">
        <v>90</v>
      </c>
      <c r="G2935" s="19" t="s">
        <v>91</v>
      </c>
      <c r="H2935" s="37"/>
      <c r="I2935" s="21" t="s">
        <v>29</v>
      </c>
      <c r="J2935" s="21" t="s">
        <v>29</v>
      </c>
      <c r="K2935" s="22" t="s">
        <v>10448</v>
      </c>
      <c r="L2935" s="56">
        <v>45093</v>
      </c>
      <c r="O2935" s="42"/>
      <c r="P2935" s="40"/>
      <c r="Q2935" s="61"/>
      <c r="R2935" s="61"/>
      <c r="S2935" s="40"/>
      <c r="T2935" s="38"/>
      <c r="U2935" s="38"/>
      <c r="V2935" s="38"/>
      <c r="W2935" s="60"/>
      <c r="AB2935" s="42"/>
      <c r="AC2935" s="35"/>
      <c r="AD2935" s="38"/>
      <c r="AE2935" s="38"/>
      <c r="AF2935" s="38"/>
      <c r="AG2935" s="38"/>
      <c r="AH2935" s="60"/>
    </row>
    <row r="2936" spans="1:34" ht="15.75" customHeight="1">
      <c r="A2936" s="132"/>
      <c r="B2936" s="18" t="s">
        <v>10449</v>
      </c>
      <c r="C2936" s="37" t="s">
        <v>87</v>
      </c>
      <c r="D2936" s="20" t="s">
        <v>10450</v>
      </c>
      <c r="E2936" s="20" t="s">
        <v>10451</v>
      </c>
      <c r="F2936" s="19" t="s">
        <v>90</v>
      </c>
      <c r="G2936" s="19" t="s">
        <v>91</v>
      </c>
      <c r="H2936" s="37"/>
      <c r="I2936" s="21" t="s">
        <v>29</v>
      </c>
      <c r="J2936" s="21" t="s">
        <v>29</v>
      </c>
      <c r="K2936" s="22" t="s">
        <v>10452</v>
      </c>
      <c r="L2936" s="56">
        <v>45093</v>
      </c>
      <c r="O2936" s="42"/>
      <c r="P2936" s="40"/>
      <c r="Q2936" s="61"/>
      <c r="R2936" s="61"/>
      <c r="S2936" s="40"/>
      <c r="T2936" s="38"/>
      <c r="U2936" s="38"/>
      <c r="V2936" s="38"/>
      <c r="W2936" s="60"/>
      <c r="AB2936" s="42"/>
      <c r="AC2936" s="35"/>
      <c r="AD2936" s="38"/>
      <c r="AE2936" s="38"/>
      <c r="AF2936" s="38"/>
      <c r="AG2936" s="38"/>
      <c r="AH2936" s="60"/>
    </row>
    <row r="2937" spans="1:34" ht="15.75" customHeight="1">
      <c r="A2937" s="131"/>
      <c r="B2937" s="18" t="s">
        <v>10453</v>
      </c>
      <c r="C2937" s="37" t="s">
        <v>87</v>
      </c>
      <c r="D2937" s="20" t="s">
        <v>10454</v>
      </c>
      <c r="E2937" s="20" t="s">
        <v>10455</v>
      </c>
      <c r="F2937" s="19" t="s">
        <v>90</v>
      </c>
      <c r="G2937" s="19" t="s">
        <v>91</v>
      </c>
      <c r="H2937" s="37"/>
      <c r="I2937" s="21" t="s">
        <v>29</v>
      </c>
      <c r="J2937" s="21" t="s">
        <v>29</v>
      </c>
      <c r="K2937" s="22" t="s">
        <v>10456</v>
      </c>
      <c r="L2937" s="56">
        <v>45093</v>
      </c>
      <c r="O2937" s="42"/>
      <c r="P2937" s="40"/>
      <c r="Q2937" s="61"/>
      <c r="R2937" s="61"/>
      <c r="S2937" s="40"/>
      <c r="T2937" s="38"/>
      <c r="U2937" s="38"/>
      <c r="V2937" s="38"/>
      <c r="W2937" s="60"/>
      <c r="AB2937" s="42"/>
      <c r="AC2937" s="35"/>
      <c r="AD2937" s="38"/>
      <c r="AE2937" s="38"/>
      <c r="AF2937" s="38"/>
      <c r="AG2937" s="38"/>
      <c r="AH2937" s="60"/>
    </row>
    <row r="2938" spans="1:34" ht="15.75" customHeight="1">
      <c r="A2938" s="131"/>
      <c r="B2938" s="18" t="s">
        <v>10457</v>
      </c>
      <c r="C2938" s="37" t="s">
        <v>46</v>
      </c>
      <c r="D2938" s="20" t="s">
        <v>10458</v>
      </c>
      <c r="E2938" s="20" t="s">
        <v>10459</v>
      </c>
      <c r="F2938" s="37" t="s">
        <v>49</v>
      </c>
      <c r="G2938" s="19" t="s">
        <v>50</v>
      </c>
      <c r="H2938" s="37"/>
      <c r="I2938" s="21" t="s">
        <v>29</v>
      </c>
      <c r="J2938" s="21" t="s">
        <v>29</v>
      </c>
      <c r="K2938" s="22" t="s">
        <v>10460</v>
      </c>
      <c r="L2938" s="56">
        <v>45093</v>
      </c>
      <c r="O2938" s="42"/>
      <c r="P2938" s="40"/>
      <c r="Q2938" s="61"/>
      <c r="R2938" s="61"/>
      <c r="S2938" s="40"/>
      <c r="T2938" s="38"/>
      <c r="U2938" s="38"/>
      <c r="V2938" s="38"/>
      <c r="W2938" s="60"/>
      <c r="AB2938" s="42"/>
      <c r="AC2938" s="35"/>
      <c r="AD2938" s="38"/>
      <c r="AE2938" s="38"/>
      <c r="AF2938" s="38"/>
      <c r="AG2938" s="38"/>
      <c r="AH2938" s="60"/>
    </row>
    <row r="2939" spans="1:34" ht="15.75" customHeight="1">
      <c r="A2939" s="132"/>
      <c r="B2939" s="18" t="s">
        <v>10461</v>
      </c>
      <c r="C2939" s="37" t="s">
        <v>1486</v>
      </c>
      <c r="D2939" s="20" t="s">
        <v>10462</v>
      </c>
      <c r="E2939" s="20" t="s">
        <v>10463</v>
      </c>
      <c r="F2939" s="37" t="s">
        <v>1489</v>
      </c>
      <c r="G2939" s="37" t="s">
        <v>1490</v>
      </c>
      <c r="H2939" s="37"/>
      <c r="I2939" s="21" t="s">
        <v>1371</v>
      </c>
      <c r="J2939" s="21" t="s">
        <v>1371</v>
      </c>
      <c r="K2939" s="22" t="s">
        <v>10463</v>
      </c>
      <c r="L2939" s="56">
        <v>45093</v>
      </c>
      <c r="O2939" s="42"/>
      <c r="P2939" s="40"/>
      <c r="Q2939" s="61"/>
      <c r="R2939" s="61"/>
      <c r="S2939" s="40"/>
      <c r="T2939" s="38"/>
      <c r="U2939" s="38"/>
      <c r="V2939" s="38"/>
      <c r="W2939" s="60"/>
      <c r="AB2939" s="42"/>
      <c r="AC2939" s="35"/>
      <c r="AD2939" s="38"/>
      <c r="AE2939" s="38"/>
      <c r="AF2939" s="38"/>
      <c r="AG2939" s="38"/>
      <c r="AH2939" s="60"/>
    </row>
    <row r="2940" spans="1:34" ht="15.75" customHeight="1">
      <c r="A2940" s="131"/>
      <c r="B2940" s="18" t="s">
        <v>10464</v>
      </c>
      <c r="C2940" s="37" t="s">
        <v>1638</v>
      </c>
      <c r="D2940" s="20" t="s">
        <v>10465</v>
      </c>
      <c r="E2940" s="20"/>
      <c r="F2940" s="37" t="s">
        <v>1399</v>
      </c>
      <c r="G2940" s="19" t="s">
        <v>1641</v>
      </c>
      <c r="H2940" s="37"/>
      <c r="I2940" s="21" t="s">
        <v>1371</v>
      </c>
      <c r="J2940" s="21" t="s">
        <v>1371</v>
      </c>
      <c r="K2940" s="22"/>
      <c r="L2940" s="56">
        <v>45093</v>
      </c>
      <c r="O2940" s="42"/>
      <c r="P2940" s="40"/>
      <c r="Q2940" s="61"/>
      <c r="R2940" s="61"/>
      <c r="S2940" s="40"/>
      <c r="T2940" s="38"/>
      <c r="U2940" s="38"/>
      <c r="V2940" s="38"/>
      <c r="W2940" s="60"/>
      <c r="AB2940" s="42"/>
      <c r="AC2940" s="35"/>
      <c r="AD2940" s="38"/>
      <c r="AE2940" s="38"/>
      <c r="AF2940" s="38"/>
      <c r="AG2940" s="38"/>
      <c r="AH2940" s="60"/>
    </row>
    <row r="2941" spans="1:34" ht="15.75" customHeight="1">
      <c r="A2941" s="131"/>
      <c r="B2941" s="18" t="s">
        <v>10466</v>
      </c>
      <c r="C2941" s="37" t="s">
        <v>1366</v>
      </c>
      <c r="D2941" s="20" t="s">
        <v>10467</v>
      </c>
      <c r="E2941" s="20" t="s">
        <v>10468</v>
      </c>
      <c r="F2941" s="55" t="s">
        <v>1369</v>
      </c>
      <c r="G2941" s="55" t="s">
        <v>1370</v>
      </c>
      <c r="H2941" s="37"/>
      <c r="I2941" s="21" t="s">
        <v>1371</v>
      </c>
      <c r="J2941" s="21" t="s">
        <v>1371</v>
      </c>
      <c r="K2941" s="22" t="s">
        <v>10469</v>
      </c>
      <c r="L2941" s="56">
        <v>45093</v>
      </c>
      <c r="O2941" s="42"/>
      <c r="P2941" s="40"/>
      <c r="Q2941" s="61"/>
      <c r="R2941" s="61"/>
      <c r="S2941" s="40"/>
      <c r="T2941" s="38"/>
      <c r="U2941" s="38"/>
      <c r="V2941" s="38"/>
      <c r="W2941" s="60"/>
      <c r="AB2941" s="42"/>
      <c r="AC2941" s="35"/>
      <c r="AD2941" s="38"/>
      <c r="AE2941" s="38"/>
      <c r="AF2941" s="38"/>
      <c r="AG2941" s="38"/>
      <c r="AH2941" s="60"/>
    </row>
    <row r="2942" spans="1:34" ht="15.75" customHeight="1">
      <c r="A2942" s="132"/>
      <c r="B2942" s="18" t="s">
        <v>10470</v>
      </c>
      <c r="C2942" s="37" t="s">
        <v>1638</v>
      </c>
      <c r="D2942" s="20" t="s">
        <v>10471</v>
      </c>
      <c r="E2942" s="20"/>
      <c r="F2942" s="37" t="s">
        <v>1399</v>
      </c>
      <c r="G2942" s="19" t="s">
        <v>1641</v>
      </c>
      <c r="H2942" s="37"/>
      <c r="I2942" s="21" t="s">
        <v>1371</v>
      </c>
      <c r="J2942" s="21" t="s">
        <v>1371</v>
      </c>
      <c r="K2942" s="22"/>
      <c r="L2942" s="56">
        <v>45093</v>
      </c>
      <c r="O2942" s="42"/>
      <c r="P2942" s="40"/>
      <c r="Q2942" s="61"/>
      <c r="R2942" s="61"/>
      <c r="S2942" s="40"/>
      <c r="T2942" s="38"/>
      <c r="U2942" s="38"/>
      <c r="V2942" s="38"/>
      <c r="W2942" s="60"/>
      <c r="AB2942" s="42"/>
      <c r="AC2942" s="35"/>
      <c r="AD2942" s="38"/>
      <c r="AE2942" s="38"/>
      <c r="AF2942" s="38"/>
      <c r="AG2942" s="38"/>
      <c r="AH2942" s="60"/>
    </row>
    <row r="2943" spans="1:34" ht="15.75" customHeight="1">
      <c r="A2943" s="131"/>
      <c r="B2943" s="18" t="s">
        <v>10472</v>
      </c>
      <c r="C2943" s="37" t="s">
        <v>1486</v>
      </c>
      <c r="D2943" s="20" t="s">
        <v>10473</v>
      </c>
      <c r="E2943" s="20" t="s">
        <v>10474</v>
      </c>
      <c r="F2943" s="37" t="s">
        <v>1489</v>
      </c>
      <c r="G2943" s="37" t="s">
        <v>1490</v>
      </c>
      <c r="H2943" s="37"/>
      <c r="I2943" s="21" t="s">
        <v>1371</v>
      </c>
      <c r="J2943" s="21" t="s">
        <v>1371</v>
      </c>
      <c r="K2943" s="22" t="s">
        <v>10474</v>
      </c>
      <c r="L2943" s="56">
        <v>45093</v>
      </c>
      <c r="O2943" s="42"/>
      <c r="P2943" s="40"/>
      <c r="Q2943" s="61"/>
      <c r="R2943" s="61"/>
      <c r="S2943" s="40"/>
      <c r="T2943" s="38"/>
      <c r="U2943" s="38"/>
      <c r="V2943" s="38"/>
      <c r="W2943" s="60"/>
      <c r="AB2943" s="42"/>
      <c r="AC2943" s="35"/>
      <c r="AD2943" s="38"/>
      <c r="AE2943" s="38"/>
      <c r="AF2943" s="38"/>
      <c r="AG2943" s="38"/>
      <c r="AH2943" s="60"/>
    </row>
    <row r="2944" spans="1:34" ht="15.75" customHeight="1">
      <c r="A2944" s="131"/>
      <c r="B2944" s="18" t="s">
        <v>10475</v>
      </c>
      <c r="C2944" s="37" t="s">
        <v>87</v>
      </c>
      <c r="D2944" s="20" t="s">
        <v>10476</v>
      </c>
      <c r="E2944" s="20" t="s">
        <v>10477</v>
      </c>
      <c r="F2944" s="19" t="s">
        <v>90</v>
      </c>
      <c r="G2944" s="19" t="s">
        <v>91</v>
      </c>
      <c r="H2944" s="37"/>
      <c r="I2944" s="21" t="s">
        <v>29</v>
      </c>
      <c r="J2944" s="21" t="s">
        <v>29</v>
      </c>
      <c r="K2944" s="22" t="s">
        <v>10478</v>
      </c>
      <c r="L2944" s="56">
        <v>45093</v>
      </c>
      <c r="O2944" s="42"/>
      <c r="P2944" s="40"/>
      <c r="Q2944" s="61"/>
      <c r="R2944" s="61"/>
      <c r="S2944" s="40"/>
      <c r="T2944" s="38"/>
      <c r="U2944" s="38"/>
      <c r="V2944" s="38"/>
      <c r="W2944" s="60"/>
      <c r="AB2944" s="42"/>
      <c r="AC2944" s="35"/>
      <c r="AD2944" s="38"/>
      <c r="AE2944" s="38"/>
      <c r="AF2944" s="38"/>
      <c r="AG2944" s="38"/>
      <c r="AH2944" s="60"/>
    </row>
    <row r="2945" spans="1:34" ht="15.75" customHeight="1">
      <c r="A2945" s="132"/>
      <c r="B2945" s="18" t="s">
        <v>10479</v>
      </c>
      <c r="C2945" s="37" t="s">
        <v>24</v>
      </c>
      <c r="D2945" s="20" t="s">
        <v>10480</v>
      </c>
      <c r="E2945" s="20"/>
      <c r="F2945" s="19" t="s">
        <v>27</v>
      </c>
      <c r="G2945" s="19" t="s">
        <v>28</v>
      </c>
      <c r="H2945" s="37" t="s">
        <v>813</v>
      </c>
      <c r="I2945" s="21" t="s">
        <v>29</v>
      </c>
      <c r="J2945" s="21" t="s">
        <v>29</v>
      </c>
      <c r="K2945" s="22"/>
      <c r="L2945" s="56">
        <v>45093</v>
      </c>
      <c r="O2945" s="42"/>
      <c r="P2945" s="40"/>
      <c r="Q2945" s="61"/>
      <c r="R2945" s="61"/>
      <c r="S2945" s="40"/>
      <c r="T2945" s="38"/>
      <c r="U2945" s="38"/>
      <c r="V2945" s="38"/>
      <c r="W2945" s="60"/>
      <c r="AB2945" s="42"/>
      <c r="AC2945" s="35"/>
      <c r="AD2945" s="38"/>
      <c r="AE2945" s="38"/>
      <c r="AF2945" s="38"/>
      <c r="AG2945" s="38"/>
      <c r="AH2945" s="60"/>
    </row>
    <row r="2946" spans="1:34" ht="15.75" customHeight="1">
      <c r="A2946" s="131"/>
      <c r="B2946" s="34" t="s">
        <v>10481</v>
      </c>
      <c r="C2946" s="37" t="s">
        <v>24</v>
      </c>
      <c r="D2946" s="20" t="s">
        <v>10482</v>
      </c>
      <c r="E2946" s="20" t="s">
        <v>10483</v>
      </c>
      <c r="F2946" s="19" t="s">
        <v>90</v>
      </c>
      <c r="G2946" s="19" t="s">
        <v>91</v>
      </c>
      <c r="H2946" s="37"/>
      <c r="I2946" s="21" t="s">
        <v>29</v>
      </c>
      <c r="J2946" s="21" t="s">
        <v>29</v>
      </c>
      <c r="K2946" s="22" t="s">
        <v>10484</v>
      </c>
      <c r="L2946" s="56">
        <v>45093</v>
      </c>
      <c r="O2946" s="42"/>
      <c r="P2946" s="40"/>
      <c r="Q2946" s="61"/>
      <c r="R2946" s="61"/>
      <c r="S2946" s="40"/>
      <c r="T2946" s="38"/>
      <c r="U2946" s="38"/>
      <c r="V2946" s="38"/>
      <c r="W2946" s="60"/>
      <c r="AB2946" s="42"/>
      <c r="AC2946" s="35"/>
      <c r="AD2946" s="38"/>
      <c r="AE2946" s="38"/>
      <c r="AF2946" s="38"/>
      <c r="AG2946" s="38"/>
      <c r="AH2946" s="60"/>
    </row>
    <row r="2947" spans="1:34" ht="15.75" customHeight="1">
      <c r="A2947" s="131"/>
      <c r="B2947" s="18" t="s">
        <v>10485</v>
      </c>
      <c r="C2947" s="37" t="s">
        <v>24</v>
      </c>
      <c r="D2947" s="20" t="s">
        <v>10486</v>
      </c>
      <c r="E2947" s="20" t="s">
        <v>10487</v>
      </c>
      <c r="F2947" s="19" t="s">
        <v>27</v>
      </c>
      <c r="G2947" s="19" t="s">
        <v>28</v>
      </c>
      <c r="H2947" s="37" t="s">
        <v>813</v>
      </c>
      <c r="I2947" s="21" t="s">
        <v>29</v>
      </c>
      <c r="J2947" s="21" t="s">
        <v>29</v>
      </c>
      <c r="K2947" s="22" t="s">
        <v>10488</v>
      </c>
      <c r="L2947" s="56">
        <v>45093</v>
      </c>
      <c r="O2947" s="42"/>
      <c r="P2947" s="40"/>
      <c r="Q2947" s="61"/>
      <c r="R2947" s="61"/>
      <c r="S2947" s="40"/>
      <c r="T2947" s="38"/>
      <c r="U2947" s="38"/>
      <c r="V2947" s="38"/>
      <c r="W2947" s="60"/>
      <c r="AB2947" s="42"/>
      <c r="AC2947" s="35"/>
      <c r="AD2947" s="38"/>
      <c r="AE2947" s="38"/>
      <c r="AF2947" s="38"/>
      <c r="AG2947" s="38"/>
      <c r="AH2947" s="60"/>
    </row>
    <row r="2948" spans="1:34" ht="15.75" customHeight="1">
      <c r="A2948" s="132"/>
      <c r="B2948" s="34" t="s">
        <v>10489</v>
      </c>
      <c r="C2948" s="37" t="s">
        <v>24</v>
      </c>
      <c r="D2948" s="20" t="s">
        <v>10490</v>
      </c>
      <c r="E2948" s="20"/>
      <c r="F2948" s="19" t="s">
        <v>90</v>
      </c>
      <c r="G2948" s="19" t="s">
        <v>91</v>
      </c>
      <c r="H2948" s="37"/>
      <c r="I2948" s="21" t="s">
        <v>29</v>
      </c>
      <c r="J2948" s="21" t="s">
        <v>29</v>
      </c>
      <c r="K2948" s="22"/>
      <c r="L2948" s="56">
        <v>45093</v>
      </c>
      <c r="O2948" s="42"/>
      <c r="P2948" s="40"/>
      <c r="Q2948" s="61"/>
      <c r="R2948" s="61"/>
      <c r="S2948" s="40"/>
      <c r="T2948" s="38"/>
      <c r="U2948" s="38"/>
      <c r="V2948" s="38"/>
      <c r="W2948" s="60"/>
      <c r="AB2948" s="42"/>
      <c r="AC2948" s="35"/>
      <c r="AD2948" s="38"/>
      <c r="AE2948" s="38"/>
      <c r="AF2948" s="38"/>
      <c r="AG2948" s="38"/>
      <c r="AH2948" s="60"/>
    </row>
    <row r="2949" spans="1:34" ht="15.75" customHeight="1">
      <c r="A2949" s="131"/>
      <c r="B2949" s="18" t="s">
        <v>10491</v>
      </c>
      <c r="C2949" s="37" t="s">
        <v>87</v>
      </c>
      <c r="D2949" s="20" t="s">
        <v>10492</v>
      </c>
      <c r="E2949" s="20" t="s">
        <v>10493</v>
      </c>
      <c r="F2949" s="19" t="s">
        <v>90</v>
      </c>
      <c r="G2949" s="19" t="s">
        <v>91</v>
      </c>
      <c r="H2949" s="37"/>
      <c r="I2949" s="21" t="s">
        <v>29</v>
      </c>
      <c r="J2949" s="21" t="s">
        <v>29</v>
      </c>
      <c r="K2949" s="22" t="s">
        <v>10494</v>
      </c>
      <c r="L2949" s="56">
        <v>45093</v>
      </c>
      <c r="O2949" s="42"/>
      <c r="P2949" s="40"/>
      <c r="Q2949" s="61"/>
      <c r="R2949" s="61"/>
      <c r="S2949" s="40"/>
      <c r="T2949" s="38"/>
      <c r="U2949" s="38"/>
      <c r="V2949" s="38"/>
      <c r="W2949" s="60"/>
      <c r="AB2949" s="42"/>
      <c r="AC2949" s="35"/>
      <c r="AD2949" s="38"/>
      <c r="AE2949" s="38"/>
      <c r="AF2949" s="38"/>
      <c r="AG2949" s="38"/>
      <c r="AH2949" s="60"/>
    </row>
    <row r="2950" spans="1:34" ht="15.75" customHeight="1">
      <c r="A2950" s="131"/>
      <c r="B2950" s="18" t="s">
        <v>10495</v>
      </c>
      <c r="C2950" s="37" t="s">
        <v>24</v>
      </c>
      <c r="D2950" s="20" t="s">
        <v>10496</v>
      </c>
      <c r="E2950" s="20" t="s">
        <v>10497</v>
      </c>
      <c r="F2950" s="19" t="s">
        <v>27</v>
      </c>
      <c r="G2950" s="19" t="s">
        <v>28</v>
      </c>
      <c r="H2950" s="19" t="s">
        <v>36</v>
      </c>
      <c r="I2950" s="21" t="s">
        <v>29</v>
      </c>
      <c r="J2950" s="21" t="s">
        <v>29</v>
      </c>
      <c r="K2950" s="22" t="s">
        <v>10498</v>
      </c>
      <c r="L2950" s="56">
        <v>45093</v>
      </c>
      <c r="O2950" s="42"/>
      <c r="P2950" s="40"/>
      <c r="Q2950" s="61"/>
      <c r="R2950" s="61"/>
      <c r="S2950" s="40"/>
      <c r="T2950" s="38"/>
      <c r="U2950" s="38"/>
      <c r="V2950" s="38"/>
      <c r="W2950" s="60"/>
      <c r="AB2950" s="42"/>
      <c r="AC2950" s="35"/>
      <c r="AD2950" s="38"/>
      <c r="AE2950" s="38"/>
      <c r="AF2950" s="38"/>
      <c r="AG2950" s="38"/>
      <c r="AH2950" s="60"/>
    </row>
    <row r="2951" spans="1:34" ht="15.75" customHeight="1">
      <c r="A2951" s="132"/>
      <c r="B2951" s="18" t="s">
        <v>10499</v>
      </c>
      <c r="C2951" s="37" t="s">
        <v>24</v>
      </c>
      <c r="D2951" s="20" t="s">
        <v>10500</v>
      </c>
      <c r="E2951" s="20"/>
      <c r="F2951" s="19" t="s">
        <v>27</v>
      </c>
      <c r="G2951" s="19" t="s">
        <v>28</v>
      </c>
      <c r="H2951" s="37"/>
      <c r="I2951" s="21" t="s">
        <v>29</v>
      </c>
      <c r="J2951" s="21" t="s">
        <v>29</v>
      </c>
      <c r="K2951" s="22"/>
      <c r="L2951" s="56">
        <v>45093</v>
      </c>
      <c r="O2951" s="42"/>
      <c r="P2951" s="40"/>
      <c r="Q2951" s="61"/>
      <c r="R2951" s="61"/>
      <c r="S2951" s="40"/>
      <c r="T2951" s="38"/>
      <c r="U2951" s="38"/>
      <c r="V2951" s="38"/>
      <c r="W2951" s="60"/>
      <c r="AB2951" s="42"/>
      <c r="AC2951" s="35"/>
      <c r="AD2951" s="38"/>
      <c r="AE2951" s="38"/>
      <c r="AF2951" s="38"/>
      <c r="AG2951" s="38"/>
      <c r="AH2951" s="60"/>
    </row>
    <row r="2952" spans="1:34" ht="15.75" customHeight="1">
      <c r="A2952" s="131"/>
      <c r="B2952" s="18" t="s">
        <v>10501</v>
      </c>
      <c r="C2952" s="37" t="s">
        <v>46</v>
      </c>
      <c r="D2952" s="20" t="s">
        <v>10502</v>
      </c>
      <c r="E2952" s="20"/>
      <c r="F2952" s="37" t="s">
        <v>49</v>
      </c>
      <c r="G2952" s="19" t="s">
        <v>50</v>
      </c>
      <c r="H2952" s="37"/>
      <c r="I2952" s="21" t="s">
        <v>29</v>
      </c>
      <c r="J2952" s="21" t="s">
        <v>29</v>
      </c>
      <c r="K2952" s="22"/>
      <c r="L2952" s="56">
        <v>45093</v>
      </c>
      <c r="O2952" s="42"/>
      <c r="P2952" s="40"/>
      <c r="Q2952" s="61"/>
      <c r="R2952" s="61"/>
      <c r="S2952" s="40"/>
      <c r="T2952" s="38"/>
      <c r="U2952" s="38"/>
      <c r="V2952" s="38"/>
      <c r="W2952" s="60"/>
      <c r="AB2952" s="42"/>
      <c r="AC2952" s="35"/>
      <c r="AD2952" s="38"/>
      <c r="AE2952" s="38"/>
      <c r="AF2952" s="38"/>
      <c r="AG2952" s="38"/>
      <c r="AH2952" s="60"/>
    </row>
    <row r="2953" spans="1:34" ht="15.75" customHeight="1">
      <c r="A2953" s="131"/>
      <c r="B2953" s="18" t="s">
        <v>10503</v>
      </c>
      <c r="C2953" s="37" t="s">
        <v>24</v>
      </c>
      <c r="D2953" s="20" t="s">
        <v>10504</v>
      </c>
      <c r="E2953" s="20" t="s">
        <v>10505</v>
      </c>
      <c r="F2953" s="19" t="s">
        <v>27</v>
      </c>
      <c r="G2953" s="19" t="s">
        <v>28</v>
      </c>
      <c r="H2953" s="37"/>
      <c r="I2953" s="21" t="s">
        <v>29</v>
      </c>
      <c r="J2953" s="21" t="s">
        <v>29</v>
      </c>
      <c r="K2953" s="22" t="s">
        <v>10506</v>
      </c>
      <c r="L2953" s="56">
        <v>45093</v>
      </c>
      <c r="O2953" s="42"/>
      <c r="P2953" s="40"/>
      <c r="Q2953" s="61"/>
      <c r="R2953" s="61"/>
      <c r="S2953" s="40"/>
      <c r="T2953" s="38"/>
      <c r="U2953" s="38"/>
      <c r="V2953" s="38"/>
      <c r="W2953" s="60"/>
      <c r="AB2953" s="42"/>
      <c r="AC2953" s="35"/>
      <c r="AD2953" s="38"/>
      <c r="AE2953" s="38"/>
      <c r="AF2953" s="38"/>
      <c r="AG2953" s="38"/>
      <c r="AH2953" s="60"/>
    </row>
    <row r="2954" spans="1:34" ht="15.75" customHeight="1">
      <c r="A2954" s="132"/>
      <c r="B2954" s="18" t="s">
        <v>10507</v>
      </c>
      <c r="C2954" s="37" t="s">
        <v>24</v>
      </c>
      <c r="D2954" s="20" t="s">
        <v>10508</v>
      </c>
      <c r="E2954" s="20" t="s">
        <v>10509</v>
      </c>
      <c r="F2954" s="19" t="s">
        <v>27</v>
      </c>
      <c r="G2954" s="19" t="s">
        <v>28</v>
      </c>
      <c r="H2954" s="37"/>
      <c r="I2954" s="21" t="s">
        <v>29</v>
      </c>
      <c r="J2954" s="21" t="s">
        <v>29</v>
      </c>
      <c r="K2954" s="22" t="s">
        <v>10510</v>
      </c>
      <c r="L2954" s="56">
        <v>45093</v>
      </c>
      <c r="O2954" s="42"/>
      <c r="P2954" s="40"/>
      <c r="Q2954" s="61"/>
      <c r="R2954" s="61"/>
      <c r="S2954" s="40"/>
      <c r="T2954" s="38"/>
      <c r="U2954" s="38"/>
      <c r="V2954" s="38"/>
      <c r="W2954" s="60"/>
      <c r="AB2954" s="42"/>
      <c r="AC2954" s="35"/>
      <c r="AD2954" s="38"/>
      <c r="AE2954" s="38"/>
      <c r="AF2954" s="38"/>
      <c r="AG2954" s="38"/>
      <c r="AH2954" s="60"/>
    </row>
    <row r="2955" spans="1:34" ht="15.75" customHeight="1">
      <c r="A2955" s="131"/>
      <c r="B2955" s="38"/>
      <c r="C2955" s="37"/>
      <c r="D2955" s="20"/>
      <c r="E2955" s="20"/>
      <c r="F2955" s="37"/>
      <c r="G2955" s="37"/>
      <c r="H2955" s="37"/>
      <c r="I2955" s="21"/>
      <c r="J2955" s="21"/>
      <c r="K2955" s="22"/>
      <c r="L2955" s="39"/>
      <c r="O2955" s="42"/>
      <c r="P2955" s="40"/>
      <c r="Q2955" s="61"/>
      <c r="R2955" s="61"/>
      <c r="S2955" s="40"/>
      <c r="T2955" s="38"/>
      <c r="U2955" s="38"/>
      <c r="V2955" s="38"/>
      <c r="W2955" s="60"/>
      <c r="AB2955" s="42"/>
      <c r="AC2955" s="35"/>
      <c r="AD2955" s="38"/>
      <c r="AE2955" s="38"/>
      <c r="AF2955" s="38"/>
      <c r="AG2955" s="38"/>
      <c r="AH2955" s="60"/>
    </row>
    <row r="2956" spans="1:34" ht="15.75" customHeight="1">
      <c r="A2956" s="38" t="s">
        <v>10511</v>
      </c>
      <c r="B2956" s="29" t="s">
        <v>10512</v>
      </c>
      <c r="C2956" s="37" t="s">
        <v>24</v>
      </c>
      <c r="D2956" s="20" t="s">
        <v>10513</v>
      </c>
      <c r="E2956" s="20" t="s">
        <v>10514</v>
      </c>
      <c r="F2956" s="19" t="s">
        <v>27</v>
      </c>
      <c r="G2956" s="19" t="s">
        <v>28</v>
      </c>
      <c r="H2956" s="19" t="s">
        <v>36</v>
      </c>
      <c r="I2956" s="21" t="s">
        <v>29</v>
      </c>
      <c r="J2956" s="21" t="s">
        <v>29</v>
      </c>
      <c r="K2956" s="22" t="s">
        <v>10515</v>
      </c>
      <c r="L2956" s="56">
        <v>45093</v>
      </c>
      <c r="M2956" s="40"/>
      <c r="N2956" s="40"/>
      <c r="O2956" s="42"/>
      <c r="P2956" s="40"/>
      <c r="Q2956" s="61"/>
      <c r="R2956" s="61"/>
      <c r="S2956" s="40"/>
      <c r="T2956" s="38"/>
      <c r="U2956" s="38"/>
      <c r="V2956" s="38"/>
      <c r="W2956" s="60"/>
      <c r="AB2956" s="42"/>
      <c r="AC2956" s="35"/>
      <c r="AD2956" s="38"/>
      <c r="AE2956" s="38"/>
      <c r="AF2956" s="38"/>
      <c r="AG2956" s="38"/>
      <c r="AH2956" s="60"/>
    </row>
    <row r="2957" spans="1:34" ht="15.75" customHeight="1">
      <c r="A2957" s="54" t="s">
        <v>2714</v>
      </c>
      <c r="B2957" s="18" t="s">
        <v>10516</v>
      </c>
      <c r="C2957" s="37" t="s">
        <v>412</v>
      </c>
      <c r="D2957" s="20" t="s">
        <v>10517</v>
      </c>
      <c r="E2957" s="20"/>
      <c r="F2957" s="19" t="s">
        <v>414</v>
      </c>
      <c r="G2957" s="37" t="s">
        <v>415</v>
      </c>
      <c r="H2957" s="37"/>
      <c r="I2957" s="21" t="s">
        <v>233</v>
      </c>
      <c r="J2957" s="21" t="s">
        <v>233</v>
      </c>
      <c r="K2957" s="22"/>
      <c r="L2957" s="56">
        <v>45093</v>
      </c>
      <c r="O2957" s="42"/>
      <c r="P2957" s="40"/>
      <c r="Q2957" s="61"/>
      <c r="R2957" s="61"/>
      <c r="S2957" s="40"/>
      <c r="T2957" s="38"/>
      <c r="U2957" s="38"/>
      <c r="V2957" s="38"/>
      <c r="W2957" s="60"/>
      <c r="AB2957" s="42"/>
      <c r="AC2957" s="35"/>
      <c r="AD2957" s="38"/>
      <c r="AE2957" s="38"/>
      <c r="AF2957" s="38"/>
      <c r="AG2957" s="38"/>
      <c r="AH2957" s="60"/>
    </row>
    <row r="2958" spans="1:34" ht="15.75" customHeight="1">
      <c r="A2958" s="114" t="s">
        <v>39</v>
      </c>
      <c r="B2958" s="18" t="s">
        <v>10518</v>
      </c>
      <c r="C2958" s="37" t="s">
        <v>24</v>
      </c>
      <c r="D2958" s="20" t="s">
        <v>10519</v>
      </c>
      <c r="E2958" s="20" t="s">
        <v>10520</v>
      </c>
      <c r="F2958" s="19" t="s">
        <v>27</v>
      </c>
      <c r="G2958" s="19" t="s">
        <v>28</v>
      </c>
      <c r="H2958" s="37"/>
      <c r="I2958" s="21" t="s">
        <v>29</v>
      </c>
      <c r="J2958" s="21" t="s">
        <v>29</v>
      </c>
      <c r="K2958" s="22" t="s">
        <v>10521</v>
      </c>
      <c r="L2958" s="56">
        <v>45093</v>
      </c>
      <c r="O2958" s="42"/>
      <c r="P2958" s="40"/>
      <c r="Q2958" s="61"/>
      <c r="R2958" s="61"/>
      <c r="S2958" s="40"/>
      <c r="T2958" s="38"/>
      <c r="U2958" s="38"/>
      <c r="V2958" s="38"/>
      <c r="W2958" s="60"/>
      <c r="AB2958" s="42"/>
      <c r="AC2958" s="35"/>
      <c r="AD2958" s="38"/>
      <c r="AE2958" s="38"/>
      <c r="AF2958" s="38"/>
      <c r="AG2958" s="38"/>
      <c r="AH2958" s="60"/>
    </row>
    <row r="2959" spans="1:34" ht="15.75" customHeight="1">
      <c r="A2959" s="38" t="s">
        <v>10522</v>
      </c>
      <c r="B2959" s="18" t="s">
        <v>10523</v>
      </c>
      <c r="C2959" s="37" t="s">
        <v>46</v>
      </c>
      <c r="D2959" s="20" t="s">
        <v>10524</v>
      </c>
      <c r="E2959" s="20" t="s">
        <v>10525</v>
      </c>
      <c r="F2959" s="37" t="s">
        <v>49</v>
      </c>
      <c r="G2959" s="19" t="s">
        <v>50</v>
      </c>
      <c r="H2959" s="37"/>
      <c r="I2959" s="21" t="s">
        <v>29</v>
      </c>
      <c r="J2959" s="21" t="s">
        <v>29</v>
      </c>
      <c r="K2959" s="22" t="s">
        <v>10526</v>
      </c>
      <c r="L2959" s="56">
        <v>45093</v>
      </c>
      <c r="O2959" s="42"/>
      <c r="P2959" s="40"/>
      <c r="Q2959" s="61"/>
      <c r="R2959" s="61"/>
      <c r="S2959" s="40"/>
      <c r="T2959" s="38"/>
      <c r="U2959" s="38"/>
      <c r="V2959" s="38"/>
      <c r="W2959" s="60"/>
      <c r="AB2959" s="42"/>
      <c r="AC2959" s="35"/>
      <c r="AD2959" s="38"/>
      <c r="AE2959" s="38"/>
      <c r="AF2959" s="38"/>
      <c r="AG2959" s="38"/>
      <c r="AH2959" s="60"/>
    </row>
    <row r="2960" spans="1:34" ht="15.75" customHeight="1">
      <c r="A2960" s="38" t="s">
        <v>8415</v>
      </c>
      <c r="B2960" s="18" t="s">
        <v>10527</v>
      </c>
      <c r="C2960" s="37" t="s">
        <v>87</v>
      </c>
      <c r="D2960" s="20" t="s">
        <v>10528</v>
      </c>
      <c r="E2960" s="20"/>
      <c r="F2960" s="19" t="s">
        <v>90</v>
      </c>
      <c r="G2960" s="19" t="s">
        <v>91</v>
      </c>
      <c r="H2960" s="37"/>
      <c r="I2960" s="21" t="s">
        <v>29</v>
      </c>
      <c r="J2960" s="21" t="s">
        <v>29</v>
      </c>
      <c r="K2960" s="22"/>
      <c r="L2960" s="56">
        <v>45093</v>
      </c>
      <c r="O2960" s="42"/>
      <c r="P2960" s="40"/>
      <c r="Q2960" s="61"/>
      <c r="R2960" s="61"/>
      <c r="S2960" s="40"/>
      <c r="T2960" s="38"/>
      <c r="U2960" s="38"/>
      <c r="V2960" s="38"/>
      <c r="W2960" s="60"/>
      <c r="AB2960" s="42"/>
      <c r="AC2960" s="35"/>
      <c r="AD2960" s="38"/>
      <c r="AE2960" s="38"/>
      <c r="AF2960" s="38"/>
      <c r="AG2960" s="38"/>
      <c r="AH2960" s="60"/>
    </row>
    <row r="2961" spans="1:34" ht="15.75" customHeight="1">
      <c r="A2961" s="111" t="s">
        <v>56</v>
      </c>
      <c r="B2961" s="18" t="s">
        <v>10529</v>
      </c>
      <c r="C2961" s="37" t="s">
        <v>412</v>
      </c>
      <c r="D2961" s="20" t="s">
        <v>10530</v>
      </c>
      <c r="E2961" s="20"/>
      <c r="F2961" s="19" t="s">
        <v>414</v>
      </c>
      <c r="G2961" s="19" t="s">
        <v>415</v>
      </c>
      <c r="H2961" s="37"/>
      <c r="I2961" s="21" t="s">
        <v>233</v>
      </c>
      <c r="J2961" s="21" t="s">
        <v>233</v>
      </c>
      <c r="K2961" s="22"/>
      <c r="L2961" s="56">
        <v>45093</v>
      </c>
      <c r="O2961" s="42"/>
      <c r="P2961" s="40"/>
      <c r="Q2961" s="61"/>
      <c r="R2961" s="61"/>
      <c r="S2961" s="40"/>
      <c r="T2961" s="38"/>
      <c r="U2961" s="38"/>
      <c r="V2961" s="38"/>
      <c r="W2961" s="60"/>
      <c r="AB2961" s="42"/>
      <c r="AC2961" s="35"/>
      <c r="AD2961" s="38"/>
      <c r="AE2961" s="38"/>
      <c r="AF2961" s="38"/>
      <c r="AG2961" s="38"/>
      <c r="AH2961" s="60"/>
    </row>
    <row r="2962" spans="1:34" ht="15.75" customHeight="1">
      <c r="A2962" s="75">
        <v>59</v>
      </c>
      <c r="B2962" s="18" t="s">
        <v>10531</v>
      </c>
      <c r="C2962" s="37" t="s">
        <v>24</v>
      </c>
      <c r="D2962" s="20" t="s">
        <v>10532</v>
      </c>
      <c r="E2962" s="20" t="s">
        <v>10533</v>
      </c>
      <c r="F2962" s="19" t="s">
        <v>27</v>
      </c>
      <c r="G2962" s="19" t="s">
        <v>28</v>
      </c>
      <c r="H2962" s="37" t="s">
        <v>762</v>
      </c>
      <c r="I2962" s="21" t="s">
        <v>29</v>
      </c>
      <c r="J2962" s="21" t="s">
        <v>29</v>
      </c>
      <c r="K2962" s="22" t="s">
        <v>10534</v>
      </c>
      <c r="L2962" s="56">
        <v>45093</v>
      </c>
      <c r="O2962" s="42"/>
      <c r="P2962" s="40"/>
      <c r="Q2962" s="61"/>
      <c r="R2962" s="61"/>
      <c r="S2962" s="40"/>
      <c r="T2962" s="38"/>
      <c r="U2962" s="38"/>
      <c r="V2962" s="38"/>
      <c r="W2962" s="60"/>
      <c r="AB2962" s="42"/>
      <c r="AC2962" s="35"/>
      <c r="AD2962" s="38"/>
      <c r="AE2962" s="38"/>
      <c r="AF2962" s="38"/>
      <c r="AG2962" s="38"/>
      <c r="AH2962" s="60"/>
    </row>
    <row r="2963" spans="1:34" ht="15.75" customHeight="1">
      <c r="A2963" s="111" t="s">
        <v>64</v>
      </c>
      <c r="B2963" s="18" t="s">
        <v>10535</v>
      </c>
      <c r="C2963" s="37" t="s">
        <v>24</v>
      </c>
      <c r="D2963" s="20" t="s">
        <v>10536</v>
      </c>
      <c r="E2963" s="20" t="s">
        <v>10537</v>
      </c>
      <c r="F2963" s="19" t="s">
        <v>27</v>
      </c>
      <c r="G2963" s="19" t="s">
        <v>28</v>
      </c>
      <c r="H2963" s="37" t="s">
        <v>762</v>
      </c>
      <c r="I2963" s="21" t="s">
        <v>29</v>
      </c>
      <c r="J2963" s="21" t="s">
        <v>29</v>
      </c>
      <c r="K2963" s="22" t="s">
        <v>10537</v>
      </c>
      <c r="L2963" s="56">
        <v>45093</v>
      </c>
      <c r="O2963" s="42"/>
      <c r="P2963" s="40"/>
      <c r="Q2963" s="61"/>
      <c r="R2963" s="61"/>
      <c r="S2963" s="40"/>
      <c r="T2963" s="38"/>
      <c r="U2963" s="38"/>
      <c r="V2963" s="38"/>
      <c r="W2963" s="60"/>
      <c r="AB2963" s="42"/>
      <c r="AC2963" s="35"/>
      <c r="AD2963" s="38"/>
      <c r="AE2963" s="38"/>
      <c r="AF2963" s="38"/>
      <c r="AG2963" s="38"/>
      <c r="AH2963" s="60"/>
    </row>
    <row r="2964" spans="1:34" ht="15.75" customHeight="1">
      <c r="A2964" s="75">
        <v>3</v>
      </c>
      <c r="B2964" s="18" t="s">
        <v>10538</v>
      </c>
      <c r="C2964" s="37" t="s">
        <v>412</v>
      </c>
      <c r="D2964" s="20" t="s">
        <v>10539</v>
      </c>
      <c r="E2964" s="20"/>
      <c r="F2964" s="19" t="s">
        <v>414</v>
      </c>
      <c r="G2964" s="37" t="s">
        <v>415</v>
      </c>
      <c r="H2964" s="37"/>
      <c r="I2964" s="21" t="s">
        <v>233</v>
      </c>
      <c r="J2964" s="21" t="s">
        <v>233</v>
      </c>
      <c r="K2964" s="22"/>
      <c r="L2964" s="56">
        <v>45093</v>
      </c>
      <c r="O2964" s="42"/>
      <c r="P2964" s="40"/>
      <c r="Q2964" s="61"/>
      <c r="R2964" s="61"/>
      <c r="S2964" s="40"/>
      <c r="T2964" s="38"/>
      <c r="U2964" s="38"/>
      <c r="V2964" s="38"/>
      <c r="W2964" s="60"/>
      <c r="AB2964" s="42"/>
      <c r="AC2964" s="35"/>
      <c r="AD2964" s="38"/>
      <c r="AE2964" s="38"/>
      <c r="AF2964" s="38"/>
      <c r="AG2964" s="38"/>
      <c r="AH2964" s="60"/>
    </row>
    <row r="2965" spans="1:34" ht="15.75" customHeight="1">
      <c r="A2965" s="111" t="s">
        <v>73</v>
      </c>
      <c r="B2965" s="36" t="s">
        <v>10540</v>
      </c>
      <c r="C2965" s="19" t="s">
        <v>121</v>
      </c>
      <c r="D2965" s="20" t="s">
        <v>10541</v>
      </c>
      <c r="E2965" s="20" t="s">
        <v>10542</v>
      </c>
      <c r="F2965" s="37" t="s">
        <v>1399</v>
      </c>
      <c r="G2965" s="37" t="s">
        <v>452</v>
      </c>
      <c r="H2965" s="37"/>
      <c r="I2965" s="21" t="s">
        <v>1371</v>
      </c>
      <c r="J2965" s="21" t="s">
        <v>452</v>
      </c>
      <c r="K2965" s="22" t="s">
        <v>10543</v>
      </c>
      <c r="L2965" s="56">
        <v>45093</v>
      </c>
      <c r="O2965" s="42"/>
      <c r="P2965" s="40"/>
      <c r="Q2965" s="61"/>
      <c r="R2965" s="61"/>
      <c r="S2965" s="40"/>
      <c r="T2965" s="38"/>
      <c r="U2965" s="38"/>
      <c r="V2965" s="38"/>
      <c r="W2965" s="60"/>
      <c r="AB2965" s="42"/>
      <c r="AC2965" s="35"/>
      <c r="AD2965" s="38"/>
      <c r="AE2965" s="38"/>
      <c r="AF2965" s="38"/>
      <c r="AG2965" s="38"/>
      <c r="AH2965" s="60"/>
    </row>
    <row r="2966" spans="1:34" ht="15.75" customHeight="1">
      <c r="A2966" s="75">
        <v>3.3</v>
      </c>
      <c r="B2966" s="18" t="s">
        <v>10544</v>
      </c>
      <c r="C2966" s="37" t="s">
        <v>24</v>
      </c>
      <c r="D2966" s="20" t="s">
        <v>10545</v>
      </c>
      <c r="E2966" s="20" t="s">
        <v>10546</v>
      </c>
      <c r="F2966" s="19" t="s">
        <v>27</v>
      </c>
      <c r="G2966" s="19" t="s">
        <v>28</v>
      </c>
      <c r="H2966" s="19" t="s">
        <v>36</v>
      </c>
      <c r="I2966" s="21" t="s">
        <v>29</v>
      </c>
      <c r="J2966" s="21" t="s">
        <v>29</v>
      </c>
      <c r="K2966" s="22" t="s">
        <v>10547</v>
      </c>
      <c r="L2966" s="56">
        <v>45093</v>
      </c>
      <c r="O2966" s="42"/>
      <c r="P2966" s="40"/>
      <c r="Q2966" s="61"/>
      <c r="R2966" s="61"/>
      <c r="S2966" s="40"/>
      <c r="T2966" s="38"/>
      <c r="U2966" s="38"/>
      <c r="V2966" s="38"/>
      <c r="W2966" s="60"/>
      <c r="AB2966" s="42"/>
      <c r="AC2966" s="35"/>
      <c r="AD2966" s="38"/>
      <c r="AE2966" s="38"/>
      <c r="AF2966" s="38"/>
      <c r="AG2966" s="38"/>
      <c r="AH2966" s="60"/>
    </row>
    <row r="2967" spans="1:34" ht="15.75" customHeight="1">
      <c r="A2967" s="111" t="s">
        <v>82</v>
      </c>
      <c r="B2967" s="18" t="s">
        <v>10548</v>
      </c>
      <c r="C2967" s="37" t="s">
        <v>24</v>
      </c>
      <c r="D2967" s="20" t="s">
        <v>10549</v>
      </c>
      <c r="E2967" s="20" t="s">
        <v>10550</v>
      </c>
      <c r="F2967" s="19" t="s">
        <v>27</v>
      </c>
      <c r="G2967" s="19" t="s">
        <v>28</v>
      </c>
      <c r="H2967" s="37"/>
      <c r="I2967" s="21" t="s">
        <v>29</v>
      </c>
      <c r="J2967" s="21" t="s">
        <v>29</v>
      </c>
      <c r="K2967" s="22" t="s">
        <v>10551</v>
      </c>
      <c r="L2967" s="56">
        <v>45093</v>
      </c>
      <c r="O2967" s="42"/>
      <c r="P2967" s="40"/>
      <c r="Q2967" s="61"/>
      <c r="R2967" s="61"/>
      <c r="S2967" s="40"/>
      <c r="T2967" s="38"/>
      <c r="U2967" s="38"/>
      <c r="V2967" s="38"/>
      <c r="W2967" s="60"/>
      <c r="AB2967" s="42"/>
      <c r="AC2967" s="35"/>
      <c r="AD2967" s="38"/>
      <c r="AE2967" s="38"/>
      <c r="AF2967" s="38"/>
      <c r="AG2967" s="38"/>
      <c r="AH2967" s="60"/>
    </row>
    <row r="2968" spans="1:34" ht="15.75" customHeight="1">
      <c r="A2968" s="75" t="s">
        <v>10552</v>
      </c>
      <c r="B2968" s="18" t="s">
        <v>10553</v>
      </c>
      <c r="C2968" s="37" t="s">
        <v>24</v>
      </c>
      <c r="D2968" s="20" t="s">
        <v>10554</v>
      </c>
      <c r="E2968" s="20" t="s">
        <v>10555</v>
      </c>
      <c r="F2968" s="19" t="s">
        <v>27</v>
      </c>
      <c r="G2968" s="19" t="s">
        <v>28</v>
      </c>
      <c r="H2968" s="37"/>
      <c r="I2968" s="21" t="s">
        <v>29</v>
      </c>
      <c r="J2968" s="21" t="s">
        <v>29</v>
      </c>
      <c r="K2968" s="22" t="s">
        <v>10556</v>
      </c>
      <c r="L2968" s="56">
        <v>45093</v>
      </c>
      <c r="O2968" s="42"/>
      <c r="P2968" s="40"/>
      <c r="Q2968" s="61"/>
      <c r="R2968" s="61"/>
      <c r="S2968" s="40"/>
      <c r="T2968" s="38"/>
      <c r="U2968" s="38"/>
      <c r="V2968" s="38"/>
      <c r="W2968" s="60"/>
      <c r="AB2968" s="42"/>
      <c r="AC2968" s="35"/>
      <c r="AD2968" s="38"/>
      <c r="AE2968" s="38"/>
      <c r="AF2968" s="38"/>
      <c r="AG2968" s="38"/>
      <c r="AH2968" s="60"/>
    </row>
    <row r="2969" spans="1:34" ht="15.75" customHeight="1">
      <c r="A2969" s="111" t="s">
        <v>92</v>
      </c>
      <c r="B2969" s="18" t="s">
        <v>10557</v>
      </c>
      <c r="C2969" s="37" t="s">
        <v>24</v>
      </c>
      <c r="D2969" s="20" t="s">
        <v>10558</v>
      </c>
      <c r="E2969" s="20" t="s">
        <v>10559</v>
      </c>
      <c r="F2969" s="19" t="s">
        <v>27</v>
      </c>
      <c r="G2969" s="19" t="s">
        <v>28</v>
      </c>
      <c r="H2969" s="37"/>
      <c r="I2969" s="21" t="s">
        <v>29</v>
      </c>
      <c r="J2969" s="21" t="s">
        <v>29</v>
      </c>
      <c r="K2969" s="22" t="s">
        <v>10560</v>
      </c>
      <c r="L2969" s="56">
        <v>45093</v>
      </c>
      <c r="O2969" s="42"/>
      <c r="P2969" s="40"/>
      <c r="Q2969" s="61"/>
      <c r="R2969" s="61"/>
      <c r="S2969" s="40"/>
      <c r="T2969" s="38"/>
      <c r="U2969" s="38"/>
      <c r="V2969" s="38"/>
      <c r="W2969" s="60"/>
      <c r="AB2969" s="42"/>
      <c r="AC2969" s="35"/>
      <c r="AD2969" s="38"/>
      <c r="AE2969" s="38"/>
      <c r="AF2969" s="38"/>
      <c r="AG2969" s="38"/>
      <c r="AH2969" s="60"/>
    </row>
    <row r="2970" spans="1:34" ht="15.75" customHeight="1">
      <c r="A2970" s="112">
        <v>636</v>
      </c>
      <c r="B2970" s="18" t="s">
        <v>10561</v>
      </c>
      <c r="C2970" s="37" t="s">
        <v>1638</v>
      </c>
      <c r="D2970" s="20" t="s">
        <v>10562</v>
      </c>
      <c r="E2970" s="20" t="s">
        <v>10563</v>
      </c>
      <c r="F2970" s="37" t="s">
        <v>1399</v>
      </c>
      <c r="G2970" s="19" t="s">
        <v>1641</v>
      </c>
      <c r="H2970" s="37"/>
      <c r="I2970" s="21" t="s">
        <v>1371</v>
      </c>
      <c r="J2970" s="21" t="s">
        <v>1371</v>
      </c>
      <c r="K2970" s="22" t="s">
        <v>10564</v>
      </c>
      <c r="L2970" s="56">
        <v>45093</v>
      </c>
      <c r="O2970" s="42"/>
      <c r="P2970" s="40"/>
      <c r="Q2970" s="61"/>
      <c r="R2970" s="61"/>
      <c r="S2970" s="40"/>
      <c r="T2970" s="38"/>
      <c r="U2970" s="38"/>
      <c r="V2970" s="38"/>
      <c r="W2970" s="60"/>
      <c r="AB2970" s="42"/>
      <c r="AC2970" s="35"/>
      <c r="AD2970" s="38"/>
      <c r="AE2970" s="38"/>
      <c r="AF2970" s="38"/>
      <c r="AG2970" s="38"/>
      <c r="AH2970" s="60"/>
    </row>
    <row r="2971" spans="1:34" ht="15.75" customHeight="1">
      <c r="A2971" s="111" t="s">
        <v>100</v>
      </c>
      <c r="B2971" s="18" t="s">
        <v>6725</v>
      </c>
      <c r="C2971" s="37" t="s">
        <v>87</v>
      </c>
      <c r="D2971" s="20" t="s">
        <v>10565</v>
      </c>
      <c r="E2971" s="20" t="s">
        <v>10566</v>
      </c>
      <c r="F2971" s="19" t="s">
        <v>90</v>
      </c>
      <c r="G2971" s="19" t="s">
        <v>91</v>
      </c>
      <c r="H2971" s="37"/>
      <c r="I2971" s="21" t="s">
        <v>29</v>
      </c>
      <c r="J2971" s="21" t="s">
        <v>29</v>
      </c>
      <c r="K2971" s="22" t="s">
        <v>10567</v>
      </c>
      <c r="L2971" s="56">
        <v>45093</v>
      </c>
      <c r="O2971" s="42"/>
      <c r="P2971" s="40"/>
      <c r="Q2971" s="61"/>
      <c r="R2971" s="61"/>
      <c r="S2971" s="40"/>
      <c r="T2971" s="38"/>
      <c r="U2971" s="38"/>
      <c r="V2971" s="38"/>
      <c r="W2971" s="60"/>
      <c r="AB2971" s="42"/>
      <c r="AC2971" s="35"/>
      <c r="AD2971" s="38"/>
      <c r="AE2971" s="38"/>
      <c r="AF2971" s="38"/>
      <c r="AG2971" s="38"/>
      <c r="AH2971" s="60"/>
    </row>
    <row r="2972" spans="1:34" ht="15.75" customHeight="1">
      <c r="A2972" s="75">
        <v>160</v>
      </c>
      <c r="B2972" s="34" t="s">
        <v>10568</v>
      </c>
      <c r="C2972" s="37" t="s">
        <v>87</v>
      </c>
      <c r="D2972" s="20" t="s">
        <v>10569</v>
      </c>
      <c r="E2972" s="20" t="s">
        <v>10570</v>
      </c>
      <c r="F2972" s="37" t="s">
        <v>49</v>
      </c>
      <c r="G2972" s="19" t="s">
        <v>50</v>
      </c>
      <c r="H2972" s="37"/>
      <c r="I2972" s="21" t="s">
        <v>29</v>
      </c>
      <c r="J2972" s="21" t="s">
        <v>29</v>
      </c>
      <c r="K2972" s="22" t="s">
        <v>10571</v>
      </c>
      <c r="L2972" s="56">
        <v>45093</v>
      </c>
      <c r="O2972" s="42"/>
      <c r="P2972" s="40"/>
      <c r="Q2972" s="61"/>
      <c r="R2972" s="61"/>
      <c r="S2972" s="40"/>
      <c r="T2972" s="38"/>
      <c r="U2972" s="38"/>
      <c r="V2972" s="38"/>
      <c r="W2972" s="60"/>
      <c r="AB2972" s="42"/>
      <c r="AC2972" s="35"/>
      <c r="AD2972" s="38"/>
      <c r="AE2972" s="38"/>
      <c r="AF2972" s="38"/>
      <c r="AG2972" s="38"/>
      <c r="AH2972" s="60"/>
    </row>
    <row r="2973" spans="1:34" ht="15.75" customHeight="1">
      <c r="A2973" s="35"/>
      <c r="B2973" s="18" t="s">
        <v>10572</v>
      </c>
      <c r="C2973" s="37" t="s">
        <v>24</v>
      </c>
      <c r="D2973" s="20" t="s">
        <v>10573</v>
      </c>
      <c r="E2973" s="20" t="s">
        <v>10574</v>
      </c>
      <c r="F2973" s="19" t="s">
        <v>27</v>
      </c>
      <c r="G2973" s="19" t="s">
        <v>28</v>
      </c>
      <c r="H2973" s="19" t="s">
        <v>36</v>
      </c>
      <c r="I2973" s="21" t="s">
        <v>29</v>
      </c>
      <c r="J2973" s="21" t="s">
        <v>29</v>
      </c>
      <c r="K2973" s="22" t="s">
        <v>10575</v>
      </c>
      <c r="L2973" s="56">
        <v>45093</v>
      </c>
      <c r="O2973" s="42"/>
      <c r="P2973" s="40"/>
      <c r="Q2973" s="61"/>
      <c r="R2973" s="61"/>
      <c r="S2973" s="40"/>
      <c r="T2973" s="38"/>
      <c r="U2973" s="38"/>
      <c r="V2973" s="38"/>
      <c r="W2973" s="60"/>
      <c r="AB2973" s="42"/>
      <c r="AC2973" s="35"/>
      <c r="AD2973" s="38"/>
      <c r="AE2973" s="38"/>
      <c r="AF2973" s="38"/>
      <c r="AG2973" s="38"/>
      <c r="AH2973" s="60"/>
    </row>
    <row r="2974" spans="1:34" ht="15.75" customHeight="1">
      <c r="A2974" s="35"/>
      <c r="B2974" s="18" t="s">
        <v>10576</v>
      </c>
      <c r="C2974" s="37" t="s">
        <v>412</v>
      </c>
      <c r="D2974" s="20" t="s">
        <v>10577</v>
      </c>
      <c r="E2974" s="20"/>
      <c r="F2974" s="19" t="s">
        <v>414</v>
      </c>
      <c r="G2974" s="19" t="s">
        <v>415</v>
      </c>
      <c r="H2974" s="37"/>
      <c r="I2974" s="21" t="s">
        <v>233</v>
      </c>
      <c r="J2974" s="21" t="s">
        <v>233</v>
      </c>
      <c r="K2974" s="22"/>
      <c r="L2974" s="56">
        <v>45093</v>
      </c>
      <c r="O2974" s="42"/>
      <c r="P2974" s="40"/>
      <c r="Q2974" s="61"/>
      <c r="R2974" s="61"/>
      <c r="S2974" s="40"/>
      <c r="T2974" s="38"/>
      <c r="U2974" s="38"/>
      <c r="V2974" s="38"/>
      <c r="W2974" s="60"/>
      <c r="AB2974" s="42"/>
      <c r="AC2974" s="35"/>
      <c r="AD2974" s="38"/>
      <c r="AE2974" s="38"/>
      <c r="AF2974" s="38"/>
      <c r="AG2974" s="38"/>
      <c r="AH2974" s="60"/>
    </row>
    <row r="2975" spans="1:34" ht="15.75" customHeight="1">
      <c r="A2975" s="35"/>
      <c r="B2975" s="18" t="s">
        <v>10578</v>
      </c>
      <c r="C2975" s="37" t="s">
        <v>24</v>
      </c>
      <c r="D2975" s="20" t="s">
        <v>10579</v>
      </c>
      <c r="E2975" s="20" t="s">
        <v>10580</v>
      </c>
      <c r="F2975" s="19" t="s">
        <v>27</v>
      </c>
      <c r="G2975" s="19" t="s">
        <v>28</v>
      </c>
      <c r="H2975" s="37"/>
      <c r="I2975" s="21" t="s">
        <v>29</v>
      </c>
      <c r="J2975" s="21" t="s">
        <v>29</v>
      </c>
      <c r="K2975" s="22" t="s">
        <v>10581</v>
      </c>
      <c r="L2975" s="56">
        <v>45093</v>
      </c>
      <c r="O2975" s="42"/>
      <c r="P2975" s="40"/>
      <c r="Q2975" s="61"/>
      <c r="R2975" s="61"/>
      <c r="S2975" s="40"/>
      <c r="T2975" s="38"/>
      <c r="U2975" s="38"/>
      <c r="V2975" s="38"/>
      <c r="W2975" s="60"/>
      <c r="AB2975" s="42"/>
      <c r="AC2975" s="35"/>
      <c r="AD2975" s="38"/>
      <c r="AE2975" s="38"/>
      <c r="AF2975" s="38"/>
      <c r="AG2975" s="38"/>
      <c r="AH2975" s="60"/>
    </row>
    <row r="2976" spans="1:34" ht="15.75" customHeight="1">
      <c r="A2976" s="35"/>
      <c r="B2976" s="18" t="s">
        <v>10582</v>
      </c>
      <c r="C2976" s="37" t="s">
        <v>24</v>
      </c>
      <c r="D2976" s="20" t="s">
        <v>10583</v>
      </c>
      <c r="E2976" s="20" t="s">
        <v>10584</v>
      </c>
      <c r="F2976" s="19" t="s">
        <v>27</v>
      </c>
      <c r="G2976" s="19" t="s">
        <v>28</v>
      </c>
      <c r="H2976" s="37"/>
      <c r="I2976" s="21" t="s">
        <v>29</v>
      </c>
      <c r="J2976" s="21" t="s">
        <v>29</v>
      </c>
      <c r="K2976" s="22" t="s">
        <v>10585</v>
      </c>
      <c r="L2976" s="56">
        <v>45093</v>
      </c>
      <c r="O2976" s="42"/>
      <c r="P2976" s="40"/>
      <c r="Q2976" s="61"/>
      <c r="R2976" s="61"/>
      <c r="S2976" s="40"/>
      <c r="T2976" s="38"/>
      <c r="U2976" s="38"/>
      <c r="V2976" s="38"/>
      <c r="W2976" s="60"/>
      <c r="AB2976" s="42"/>
      <c r="AC2976" s="35"/>
      <c r="AD2976" s="38"/>
      <c r="AE2976" s="38"/>
      <c r="AF2976" s="38"/>
      <c r="AG2976" s="38"/>
      <c r="AH2976" s="60"/>
    </row>
    <row r="2977" spans="1:34" ht="15.75" customHeight="1">
      <c r="A2977" s="35"/>
      <c r="B2977" s="18" t="s">
        <v>10586</v>
      </c>
      <c r="C2977" s="37" t="s">
        <v>24</v>
      </c>
      <c r="D2977" s="20" t="s">
        <v>10587</v>
      </c>
      <c r="E2977" s="20" t="s">
        <v>10588</v>
      </c>
      <c r="F2977" s="19" t="s">
        <v>27</v>
      </c>
      <c r="G2977" s="19" t="s">
        <v>28</v>
      </c>
      <c r="H2977" s="37" t="s">
        <v>762</v>
      </c>
      <c r="I2977" s="21" t="s">
        <v>29</v>
      </c>
      <c r="J2977" s="21" t="s">
        <v>29</v>
      </c>
      <c r="K2977" s="22" t="s">
        <v>10589</v>
      </c>
      <c r="L2977" s="56">
        <v>45093</v>
      </c>
      <c r="O2977" s="42"/>
      <c r="P2977" s="40"/>
      <c r="Q2977" s="61"/>
      <c r="R2977" s="61"/>
      <c r="S2977" s="40"/>
      <c r="T2977" s="38"/>
      <c r="U2977" s="38"/>
      <c r="V2977" s="38"/>
      <c r="W2977" s="60"/>
      <c r="AB2977" s="42"/>
      <c r="AC2977" s="35"/>
      <c r="AD2977" s="38"/>
      <c r="AE2977" s="38"/>
      <c r="AF2977" s="38"/>
      <c r="AG2977" s="38"/>
      <c r="AH2977" s="60"/>
    </row>
    <row r="2978" spans="1:34" ht="15.75" customHeight="1">
      <c r="A2978" s="35"/>
      <c r="B2978" s="18" t="s">
        <v>10590</v>
      </c>
      <c r="C2978" s="37" t="s">
        <v>24</v>
      </c>
      <c r="D2978" s="20" t="s">
        <v>10591</v>
      </c>
      <c r="E2978" s="20" t="s">
        <v>10592</v>
      </c>
      <c r="F2978" s="19" t="s">
        <v>27</v>
      </c>
      <c r="G2978" s="19" t="s">
        <v>28</v>
      </c>
      <c r="H2978" s="37"/>
      <c r="I2978" s="21" t="s">
        <v>29</v>
      </c>
      <c r="J2978" s="21" t="s">
        <v>29</v>
      </c>
      <c r="K2978" s="22" t="s">
        <v>10593</v>
      </c>
      <c r="L2978" s="56">
        <v>45093</v>
      </c>
      <c r="O2978" s="42"/>
      <c r="P2978" s="40"/>
      <c r="Q2978" s="61"/>
      <c r="R2978" s="61"/>
      <c r="S2978" s="40"/>
      <c r="T2978" s="38"/>
      <c r="U2978" s="38"/>
      <c r="V2978" s="38"/>
      <c r="W2978" s="60"/>
      <c r="AB2978" s="42"/>
      <c r="AC2978" s="35"/>
      <c r="AD2978" s="38"/>
      <c r="AE2978" s="38"/>
      <c r="AF2978" s="38"/>
      <c r="AG2978" s="38"/>
      <c r="AH2978" s="60"/>
    </row>
    <row r="2979" spans="1:34" ht="15.75" customHeight="1">
      <c r="A2979" s="35"/>
      <c r="B2979" s="29" t="s">
        <v>10594</v>
      </c>
      <c r="C2979" s="37" t="s">
        <v>46</v>
      </c>
      <c r="D2979" s="20" t="s">
        <v>10595</v>
      </c>
      <c r="E2979" s="20" t="s">
        <v>10596</v>
      </c>
      <c r="F2979" s="37" t="s">
        <v>49</v>
      </c>
      <c r="G2979" s="19" t="s">
        <v>50</v>
      </c>
      <c r="H2979" s="37"/>
      <c r="I2979" s="21" t="s">
        <v>29</v>
      </c>
      <c r="J2979" s="21" t="s">
        <v>29</v>
      </c>
      <c r="K2979" s="22" t="s">
        <v>10597</v>
      </c>
      <c r="L2979" s="56">
        <v>45093</v>
      </c>
      <c r="O2979" s="42"/>
      <c r="P2979" s="40"/>
      <c r="Q2979" s="61"/>
      <c r="R2979" s="61"/>
      <c r="S2979" s="40"/>
      <c r="T2979" s="38"/>
      <c r="U2979" s="38"/>
      <c r="V2979" s="38"/>
      <c r="W2979" s="60"/>
      <c r="AB2979" s="42"/>
      <c r="AC2979" s="35"/>
      <c r="AD2979" s="38"/>
      <c r="AE2979" s="38"/>
      <c r="AF2979" s="38"/>
      <c r="AG2979" s="38"/>
      <c r="AH2979" s="60"/>
    </row>
    <row r="2980" spans="1:34" ht="15.75" customHeight="1">
      <c r="A2980" s="35"/>
      <c r="B2980" s="18" t="s">
        <v>10598</v>
      </c>
      <c r="C2980" s="37" t="s">
        <v>46</v>
      </c>
      <c r="D2980" s="20" t="s">
        <v>10599</v>
      </c>
      <c r="E2980" s="20" t="s">
        <v>10600</v>
      </c>
      <c r="F2980" s="37" t="s">
        <v>49</v>
      </c>
      <c r="G2980" s="19" t="s">
        <v>50</v>
      </c>
      <c r="H2980" s="37"/>
      <c r="I2980" s="21" t="s">
        <v>29</v>
      </c>
      <c r="J2980" s="21" t="s">
        <v>29</v>
      </c>
      <c r="K2980" s="22" t="s">
        <v>10601</v>
      </c>
      <c r="L2980" s="56">
        <v>45093</v>
      </c>
      <c r="O2980" s="42"/>
      <c r="P2980" s="40"/>
      <c r="Q2980" s="61"/>
      <c r="R2980" s="61"/>
      <c r="S2980" s="40"/>
      <c r="T2980" s="38"/>
      <c r="U2980" s="38"/>
      <c r="V2980" s="38"/>
      <c r="W2980" s="60"/>
      <c r="AB2980" s="42"/>
      <c r="AC2980" s="35"/>
      <c r="AD2980" s="38"/>
      <c r="AE2980" s="38"/>
      <c r="AF2980" s="38"/>
      <c r="AG2980" s="38"/>
      <c r="AH2980" s="60"/>
    </row>
    <row r="2981" spans="1:34" ht="15.75" customHeight="1">
      <c r="A2981" s="35"/>
      <c r="B2981" s="18" t="s">
        <v>10602</v>
      </c>
      <c r="C2981" s="37" t="s">
        <v>412</v>
      </c>
      <c r="D2981" s="20" t="s">
        <v>10603</v>
      </c>
      <c r="E2981" s="20" t="s">
        <v>10604</v>
      </c>
      <c r="F2981" s="19" t="s">
        <v>414</v>
      </c>
      <c r="G2981" s="37" t="s">
        <v>415</v>
      </c>
      <c r="H2981" s="37"/>
      <c r="I2981" s="21" t="s">
        <v>233</v>
      </c>
      <c r="J2981" s="21" t="s">
        <v>233</v>
      </c>
      <c r="K2981" s="22" t="s">
        <v>10605</v>
      </c>
      <c r="L2981" s="56">
        <v>45093</v>
      </c>
      <c r="O2981" s="42"/>
      <c r="P2981" s="40"/>
      <c r="Q2981" s="61"/>
      <c r="R2981" s="61"/>
      <c r="S2981" s="40"/>
      <c r="T2981" s="38"/>
      <c r="U2981" s="38"/>
      <c r="V2981" s="38"/>
      <c r="W2981" s="60"/>
      <c r="AB2981" s="42"/>
      <c r="AC2981" s="35"/>
      <c r="AD2981" s="38"/>
      <c r="AE2981" s="38"/>
      <c r="AF2981" s="38"/>
      <c r="AG2981" s="38"/>
      <c r="AH2981" s="60"/>
    </row>
    <row r="2982" spans="1:34" ht="15.75" customHeight="1">
      <c r="A2982" s="35"/>
      <c r="B2982" s="18" t="s">
        <v>10606</v>
      </c>
      <c r="C2982" s="37" t="s">
        <v>412</v>
      </c>
      <c r="D2982" s="20" t="s">
        <v>10607</v>
      </c>
      <c r="E2982" s="20" t="s">
        <v>10608</v>
      </c>
      <c r="F2982" s="19" t="s">
        <v>414</v>
      </c>
      <c r="G2982" s="19" t="s">
        <v>415</v>
      </c>
      <c r="H2982" s="37"/>
      <c r="I2982" s="21" t="s">
        <v>233</v>
      </c>
      <c r="J2982" s="21" t="s">
        <v>233</v>
      </c>
      <c r="K2982" s="22" t="s">
        <v>10609</v>
      </c>
      <c r="L2982" s="56">
        <v>45093</v>
      </c>
      <c r="O2982" s="42"/>
      <c r="P2982" s="40"/>
      <c r="Q2982" s="61"/>
      <c r="R2982" s="61"/>
      <c r="S2982" s="40"/>
      <c r="T2982" s="38"/>
      <c r="U2982" s="38"/>
      <c r="V2982" s="38"/>
      <c r="W2982" s="60"/>
      <c r="AB2982" s="42"/>
      <c r="AC2982" s="35"/>
      <c r="AD2982" s="38"/>
      <c r="AE2982" s="38"/>
      <c r="AF2982" s="38"/>
      <c r="AG2982" s="38"/>
      <c r="AH2982" s="60"/>
    </row>
    <row r="2983" spans="1:34" ht="15.75" customHeight="1">
      <c r="A2983" s="35"/>
      <c r="B2983" s="18" t="s">
        <v>10610</v>
      </c>
      <c r="C2983" s="37" t="s">
        <v>46</v>
      </c>
      <c r="D2983" s="20" t="s">
        <v>10611</v>
      </c>
      <c r="E2983" s="20" t="s">
        <v>10612</v>
      </c>
      <c r="F2983" s="37" t="s">
        <v>49</v>
      </c>
      <c r="G2983" s="19" t="s">
        <v>50</v>
      </c>
      <c r="H2983" s="37"/>
      <c r="I2983" s="21" t="s">
        <v>29</v>
      </c>
      <c r="J2983" s="21" t="s">
        <v>29</v>
      </c>
      <c r="K2983" s="22" t="s">
        <v>10613</v>
      </c>
      <c r="L2983" s="56">
        <v>45093</v>
      </c>
      <c r="O2983" s="42"/>
      <c r="P2983" s="40"/>
      <c r="Q2983" s="61"/>
      <c r="R2983" s="61"/>
      <c r="S2983" s="40"/>
      <c r="T2983" s="38"/>
      <c r="U2983" s="38"/>
      <c r="V2983" s="38"/>
      <c r="W2983" s="60"/>
      <c r="AB2983" s="42"/>
      <c r="AC2983" s="35"/>
      <c r="AD2983" s="38"/>
      <c r="AE2983" s="38"/>
      <c r="AF2983" s="38"/>
      <c r="AG2983" s="38"/>
      <c r="AH2983" s="60"/>
    </row>
    <row r="2984" spans="1:34" ht="15.75" customHeight="1">
      <c r="A2984" s="35"/>
      <c r="B2984" s="18" t="s">
        <v>10614</v>
      </c>
      <c r="C2984" s="37" t="s">
        <v>46</v>
      </c>
      <c r="D2984" s="20" t="s">
        <v>10615</v>
      </c>
      <c r="E2984" s="20" t="s">
        <v>10616</v>
      </c>
      <c r="F2984" s="37" t="s">
        <v>49</v>
      </c>
      <c r="G2984" s="19" t="s">
        <v>50</v>
      </c>
      <c r="H2984" s="37"/>
      <c r="I2984" s="21" t="s">
        <v>29</v>
      </c>
      <c r="J2984" s="21" t="s">
        <v>29</v>
      </c>
      <c r="K2984" s="22" t="s">
        <v>10617</v>
      </c>
      <c r="L2984" s="56">
        <v>45093</v>
      </c>
      <c r="O2984" s="42"/>
      <c r="P2984" s="40"/>
      <c r="Q2984" s="61"/>
      <c r="R2984" s="61"/>
      <c r="S2984" s="40"/>
      <c r="T2984" s="38"/>
      <c r="U2984" s="38"/>
      <c r="V2984" s="38"/>
      <c r="W2984" s="60"/>
      <c r="AB2984" s="42"/>
      <c r="AC2984" s="35"/>
      <c r="AD2984" s="38"/>
      <c r="AE2984" s="38"/>
      <c r="AF2984" s="38"/>
      <c r="AG2984" s="38"/>
      <c r="AH2984" s="60"/>
    </row>
    <row r="2985" spans="1:34" ht="15.75" customHeight="1">
      <c r="A2985" s="35"/>
      <c r="B2985" s="18" t="s">
        <v>10618</v>
      </c>
      <c r="C2985" s="37" t="s">
        <v>24</v>
      </c>
      <c r="D2985" s="20" t="s">
        <v>10619</v>
      </c>
      <c r="E2985" s="20" t="s">
        <v>10620</v>
      </c>
      <c r="F2985" s="19" t="s">
        <v>27</v>
      </c>
      <c r="G2985" s="19" t="s">
        <v>28</v>
      </c>
      <c r="H2985" s="37" t="s">
        <v>762</v>
      </c>
      <c r="I2985" s="21" t="s">
        <v>29</v>
      </c>
      <c r="J2985" s="21" t="s">
        <v>29</v>
      </c>
      <c r="K2985" s="22" t="s">
        <v>10621</v>
      </c>
      <c r="L2985" s="56">
        <v>45093</v>
      </c>
      <c r="O2985" s="42"/>
      <c r="P2985" s="40"/>
      <c r="Q2985" s="61"/>
      <c r="R2985" s="61"/>
      <c r="S2985" s="40"/>
      <c r="T2985" s="38"/>
      <c r="U2985" s="38"/>
      <c r="V2985" s="38"/>
      <c r="W2985" s="60"/>
      <c r="AB2985" s="42"/>
      <c r="AC2985" s="35"/>
      <c r="AD2985" s="38"/>
      <c r="AE2985" s="38"/>
      <c r="AF2985" s="38"/>
      <c r="AG2985" s="38"/>
      <c r="AH2985" s="60"/>
    </row>
    <row r="2986" spans="1:34" ht="15.75" customHeight="1">
      <c r="A2986" s="35"/>
      <c r="B2986" s="18" t="s">
        <v>10622</v>
      </c>
      <c r="C2986" s="37" t="s">
        <v>87</v>
      </c>
      <c r="D2986" s="20" t="s">
        <v>10623</v>
      </c>
      <c r="E2986" s="20" t="s">
        <v>10624</v>
      </c>
      <c r="F2986" s="19" t="s">
        <v>90</v>
      </c>
      <c r="G2986" s="19" t="s">
        <v>91</v>
      </c>
      <c r="H2986" s="37"/>
      <c r="I2986" s="21" t="s">
        <v>29</v>
      </c>
      <c r="J2986" s="21" t="s">
        <v>29</v>
      </c>
      <c r="K2986" s="22" t="s">
        <v>10625</v>
      </c>
      <c r="L2986" s="56">
        <v>45093</v>
      </c>
      <c r="O2986" s="42"/>
      <c r="P2986" s="40"/>
      <c r="Q2986" s="61"/>
      <c r="R2986" s="61"/>
      <c r="S2986" s="40"/>
      <c r="T2986" s="38"/>
      <c r="U2986" s="38"/>
      <c r="V2986" s="38"/>
      <c r="W2986" s="60"/>
      <c r="AB2986" s="42"/>
      <c r="AC2986" s="35"/>
      <c r="AD2986" s="38"/>
      <c r="AE2986" s="38"/>
      <c r="AF2986" s="38"/>
      <c r="AG2986" s="38"/>
      <c r="AH2986" s="60"/>
    </row>
    <row r="2987" spans="1:34" ht="15.75" customHeight="1">
      <c r="A2987" s="35"/>
      <c r="B2987" s="18" t="s">
        <v>10626</v>
      </c>
      <c r="C2987" s="37" t="s">
        <v>24</v>
      </c>
      <c r="D2987" s="20" t="s">
        <v>10627</v>
      </c>
      <c r="E2987" s="20" t="s">
        <v>10628</v>
      </c>
      <c r="F2987" s="19" t="s">
        <v>27</v>
      </c>
      <c r="G2987" s="19" t="s">
        <v>28</v>
      </c>
      <c r="H2987" s="37"/>
      <c r="I2987" s="21" t="s">
        <v>29</v>
      </c>
      <c r="J2987" s="21" t="s">
        <v>29</v>
      </c>
      <c r="K2987" s="22" t="s">
        <v>10629</v>
      </c>
      <c r="L2987" s="56">
        <v>45093</v>
      </c>
      <c r="O2987" s="42"/>
      <c r="P2987" s="40"/>
      <c r="Q2987" s="61"/>
      <c r="R2987" s="61"/>
      <c r="S2987" s="40"/>
      <c r="T2987" s="38"/>
      <c r="U2987" s="38"/>
      <c r="V2987" s="38"/>
      <c r="W2987" s="60"/>
      <c r="AB2987" s="42"/>
      <c r="AC2987" s="35"/>
      <c r="AD2987" s="38"/>
      <c r="AE2987" s="38"/>
      <c r="AF2987" s="38"/>
      <c r="AG2987" s="38"/>
      <c r="AH2987" s="60"/>
    </row>
    <row r="2988" spans="1:34" ht="15.75" customHeight="1">
      <c r="A2988" s="35"/>
      <c r="B2988" s="18" t="s">
        <v>10630</v>
      </c>
      <c r="C2988" s="37" t="s">
        <v>24</v>
      </c>
      <c r="D2988" s="20" t="s">
        <v>10631</v>
      </c>
      <c r="E2988" s="20" t="s">
        <v>10632</v>
      </c>
      <c r="F2988" s="19" t="s">
        <v>27</v>
      </c>
      <c r="G2988" s="19" t="s">
        <v>28</v>
      </c>
      <c r="H2988" s="19" t="s">
        <v>36</v>
      </c>
      <c r="I2988" s="21" t="s">
        <v>29</v>
      </c>
      <c r="J2988" s="21" t="s">
        <v>29</v>
      </c>
      <c r="K2988" s="22" t="s">
        <v>10633</v>
      </c>
      <c r="L2988" s="56">
        <v>45093</v>
      </c>
      <c r="O2988" s="42"/>
      <c r="P2988" s="40"/>
      <c r="Q2988" s="61"/>
      <c r="R2988" s="61"/>
      <c r="S2988" s="40"/>
      <c r="T2988" s="38"/>
      <c r="U2988" s="38"/>
      <c r="V2988" s="38"/>
      <c r="W2988" s="60"/>
      <c r="AB2988" s="42"/>
      <c r="AC2988" s="35"/>
      <c r="AD2988" s="38"/>
      <c r="AE2988" s="38"/>
      <c r="AF2988" s="38"/>
      <c r="AG2988" s="38"/>
      <c r="AH2988" s="60"/>
    </row>
    <row r="2989" spans="1:34" ht="15.75" customHeight="1">
      <c r="A2989" s="35"/>
      <c r="B2989" s="18" t="s">
        <v>10634</v>
      </c>
      <c r="C2989" s="37" t="s">
        <v>1638</v>
      </c>
      <c r="D2989" s="20" t="s">
        <v>10635</v>
      </c>
      <c r="E2989" s="20" t="s">
        <v>10636</v>
      </c>
      <c r="F2989" s="37" t="s">
        <v>1399</v>
      </c>
      <c r="G2989" s="19" t="s">
        <v>1641</v>
      </c>
      <c r="H2989" s="37"/>
      <c r="I2989" s="21" t="s">
        <v>1371</v>
      </c>
      <c r="J2989" s="21" t="s">
        <v>1371</v>
      </c>
      <c r="K2989" s="22" t="s">
        <v>10637</v>
      </c>
      <c r="L2989" s="56">
        <v>45093</v>
      </c>
      <c r="O2989" s="42"/>
      <c r="P2989" s="40"/>
      <c r="Q2989" s="61"/>
      <c r="R2989" s="61"/>
      <c r="S2989" s="40"/>
      <c r="T2989" s="38"/>
      <c r="U2989" s="38"/>
      <c r="V2989" s="38"/>
      <c r="W2989" s="60"/>
      <c r="AB2989" s="42"/>
      <c r="AC2989" s="35"/>
      <c r="AD2989" s="38"/>
      <c r="AE2989" s="38"/>
      <c r="AF2989" s="38"/>
      <c r="AG2989" s="38"/>
      <c r="AH2989" s="60"/>
    </row>
    <row r="2990" spans="1:34" ht="15.75" customHeight="1">
      <c r="A2990" s="35"/>
      <c r="B2990" s="34" t="s">
        <v>10638</v>
      </c>
      <c r="C2990" s="37" t="s">
        <v>87</v>
      </c>
      <c r="D2990" s="20" t="s">
        <v>10639</v>
      </c>
      <c r="E2990" s="20" t="s">
        <v>10640</v>
      </c>
      <c r="F2990" s="37" t="s">
        <v>49</v>
      </c>
      <c r="G2990" s="19" t="s">
        <v>50</v>
      </c>
      <c r="H2990" s="37"/>
      <c r="I2990" s="21" t="s">
        <v>29</v>
      </c>
      <c r="J2990" s="21" t="s">
        <v>29</v>
      </c>
      <c r="K2990" s="22" t="s">
        <v>10641</v>
      </c>
      <c r="L2990" s="56">
        <v>45093</v>
      </c>
      <c r="O2990" s="42"/>
      <c r="P2990" s="40"/>
      <c r="Q2990" s="61"/>
      <c r="R2990" s="61"/>
      <c r="S2990" s="40"/>
      <c r="T2990" s="38"/>
      <c r="U2990" s="38"/>
      <c r="V2990" s="38"/>
      <c r="W2990" s="60"/>
      <c r="AB2990" s="42"/>
      <c r="AC2990" s="35"/>
      <c r="AD2990" s="38"/>
      <c r="AE2990" s="38"/>
      <c r="AF2990" s="38"/>
      <c r="AG2990" s="38"/>
      <c r="AH2990" s="60"/>
    </row>
    <row r="2991" spans="1:34" ht="15.75" customHeight="1">
      <c r="A2991" s="35"/>
      <c r="B2991" s="18" t="s">
        <v>10642</v>
      </c>
      <c r="C2991" s="37" t="s">
        <v>412</v>
      </c>
      <c r="D2991" s="20" t="s">
        <v>10643</v>
      </c>
      <c r="E2991" s="20" t="s">
        <v>10644</v>
      </c>
      <c r="F2991" s="19" t="s">
        <v>414</v>
      </c>
      <c r="G2991" s="37" t="s">
        <v>415</v>
      </c>
      <c r="H2991" s="37"/>
      <c r="I2991" s="21" t="s">
        <v>233</v>
      </c>
      <c r="J2991" s="21" t="s">
        <v>233</v>
      </c>
      <c r="K2991" s="22" t="s">
        <v>10645</v>
      </c>
      <c r="L2991" s="56">
        <v>45093</v>
      </c>
      <c r="O2991" s="42"/>
      <c r="P2991" s="40"/>
      <c r="Q2991" s="61"/>
      <c r="R2991" s="61"/>
      <c r="S2991" s="40"/>
      <c r="T2991" s="38"/>
      <c r="U2991" s="38"/>
      <c r="V2991" s="38"/>
      <c r="W2991" s="60"/>
      <c r="AB2991" s="42"/>
      <c r="AC2991" s="35"/>
      <c r="AD2991" s="38"/>
      <c r="AE2991" s="38"/>
      <c r="AF2991" s="38"/>
      <c r="AG2991" s="38"/>
      <c r="AH2991" s="60"/>
    </row>
    <row r="2992" spans="1:34" ht="15.75" customHeight="1">
      <c r="A2992" s="35"/>
      <c r="B2992" s="18" t="s">
        <v>10646</v>
      </c>
      <c r="C2992" s="55" t="s">
        <v>87</v>
      </c>
      <c r="D2992" s="20" t="s">
        <v>10647</v>
      </c>
      <c r="E2992" s="20" t="s">
        <v>10648</v>
      </c>
      <c r="F2992" s="19" t="s">
        <v>90</v>
      </c>
      <c r="G2992" s="19" t="s">
        <v>91</v>
      </c>
      <c r="H2992" s="55"/>
      <c r="I2992" s="21" t="s">
        <v>29</v>
      </c>
      <c r="J2992" s="21" t="s">
        <v>29</v>
      </c>
      <c r="K2992" s="22" t="s">
        <v>10649</v>
      </c>
      <c r="L2992" s="56">
        <v>45093</v>
      </c>
      <c r="O2992" s="42"/>
      <c r="P2992" s="40"/>
      <c r="Q2992" s="61"/>
      <c r="R2992" s="61"/>
      <c r="S2992" s="40"/>
      <c r="T2992" s="38"/>
      <c r="U2992" s="38"/>
      <c r="V2992" s="38"/>
      <c r="W2992" s="60"/>
      <c r="AB2992" s="42"/>
      <c r="AC2992" s="35"/>
      <c r="AD2992" s="38"/>
      <c r="AE2992" s="38"/>
      <c r="AF2992" s="38"/>
      <c r="AG2992" s="38"/>
      <c r="AH2992" s="60"/>
    </row>
    <row r="2993" spans="1:34" ht="15.75" customHeight="1">
      <c r="A2993" s="35"/>
      <c r="B2993" s="38"/>
      <c r="C2993" s="37"/>
      <c r="D2993" s="20"/>
      <c r="E2993" s="20"/>
      <c r="F2993" s="37"/>
      <c r="G2993" s="37"/>
      <c r="H2993" s="37"/>
      <c r="I2993" s="21"/>
      <c r="J2993" s="21"/>
      <c r="K2993" s="22"/>
      <c r="L2993" s="39"/>
      <c r="O2993" s="42"/>
      <c r="P2993" s="40"/>
      <c r="Q2993" s="61"/>
      <c r="R2993" s="61"/>
      <c r="S2993" s="40"/>
      <c r="T2993" s="38"/>
      <c r="U2993" s="38"/>
      <c r="V2993" s="38"/>
      <c r="W2993" s="60"/>
      <c r="AB2993" s="42"/>
      <c r="AC2993" s="35"/>
      <c r="AD2993" s="38"/>
      <c r="AE2993" s="38"/>
      <c r="AF2993" s="38"/>
      <c r="AG2993" s="38"/>
      <c r="AH2993" s="60"/>
    </row>
    <row r="2994" spans="1:34" ht="15.75" customHeight="1">
      <c r="A2994" s="18" t="s">
        <v>10650</v>
      </c>
      <c r="B2994" s="41"/>
      <c r="C2994" s="106"/>
      <c r="D2994" s="107"/>
      <c r="E2994" s="107"/>
      <c r="F2994" s="106"/>
      <c r="G2994" s="106"/>
      <c r="H2994" s="106"/>
      <c r="I2994" s="108"/>
      <c r="J2994" s="108"/>
      <c r="K2994" s="109"/>
      <c r="L2994" s="110"/>
      <c r="M2994" s="40"/>
      <c r="N2994" s="40"/>
      <c r="O2994" s="42"/>
      <c r="P2994" s="40"/>
      <c r="Q2994" s="61"/>
      <c r="R2994" s="61"/>
      <c r="S2994" s="40"/>
      <c r="T2994" s="38"/>
      <c r="U2994" s="38"/>
      <c r="V2994" s="38"/>
      <c r="W2994" s="60"/>
      <c r="AB2994" s="42"/>
      <c r="AC2994" s="35"/>
      <c r="AD2994" s="38"/>
      <c r="AE2994" s="38"/>
      <c r="AF2994" s="38"/>
      <c r="AG2994" s="38"/>
      <c r="AH2994" s="60"/>
    </row>
    <row r="2995" spans="1:34" ht="15.75" customHeight="1">
      <c r="A2995" s="54" t="s">
        <v>10651</v>
      </c>
      <c r="B2995" s="41"/>
      <c r="C2995" s="106"/>
      <c r="D2995" s="107"/>
      <c r="E2995" s="107"/>
      <c r="F2995" s="106"/>
      <c r="G2995" s="106"/>
      <c r="H2995" s="106"/>
      <c r="I2995" s="108"/>
      <c r="J2995" s="108"/>
      <c r="K2995" s="109"/>
      <c r="L2995" s="110"/>
      <c r="O2995" s="42"/>
      <c r="P2995" s="40"/>
      <c r="Q2995" s="61"/>
      <c r="R2995" s="61"/>
      <c r="S2995" s="40"/>
      <c r="T2995" s="38"/>
      <c r="U2995" s="38"/>
      <c r="V2995" s="38"/>
      <c r="W2995" s="60"/>
      <c r="AB2995" s="42"/>
      <c r="AC2995" s="35"/>
      <c r="AD2995" s="38"/>
      <c r="AE2995" s="38"/>
      <c r="AF2995" s="38"/>
      <c r="AG2995" s="38"/>
      <c r="AH2995" s="60"/>
    </row>
    <row r="2996" spans="1:34" ht="15.75" customHeight="1">
      <c r="A2996" s="114" t="s">
        <v>39</v>
      </c>
      <c r="B2996" s="41"/>
      <c r="C2996" s="106"/>
      <c r="D2996" s="107"/>
      <c r="E2996" s="107"/>
      <c r="F2996" s="106"/>
      <c r="G2996" s="106"/>
      <c r="H2996" s="106"/>
      <c r="I2996" s="108"/>
      <c r="J2996" s="108"/>
      <c r="K2996" s="109"/>
      <c r="L2996" s="110"/>
      <c r="O2996" s="42"/>
      <c r="P2996" s="40"/>
      <c r="Q2996" s="61"/>
      <c r="R2996" s="61"/>
      <c r="S2996" s="40"/>
      <c r="T2996" s="38"/>
      <c r="U2996" s="38"/>
      <c r="V2996" s="38"/>
      <c r="W2996" s="60"/>
      <c r="AB2996" s="42"/>
      <c r="AC2996" s="35"/>
      <c r="AD2996" s="38"/>
      <c r="AE2996" s="38"/>
      <c r="AF2996" s="38"/>
      <c r="AG2996" s="38"/>
      <c r="AH2996" s="60"/>
    </row>
    <row r="2997" spans="1:34" ht="15.75" customHeight="1">
      <c r="A2997" s="38" t="s">
        <v>10522</v>
      </c>
      <c r="B2997" s="41"/>
      <c r="C2997" s="106"/>
      <c r="D2997" s="107"/>
      <c r="E2997" s="107"/>
      <c r="F2997" s="106"/>
      <c r="G2997" s="106"/>
      <c r="H2997" s="106"/>
      <c r="I2997" s="108"/>
      <c r="J2997" s="108"/>
      <c r="K2997" s="109"/>
      <c r="L2997" s="110"/>
      <c r="O2997" s="42"/>
      <c r="P2997" s="40"/>
      <c r="Q2997" s="61"/>
      <c r="R2997" s="61"/>
      <c r="S2997" s="40"/>
      <c r="T2997" s="38"/>
      <c r="U2997" s="38"/>
      <c r="V2997" s="38"/>
      <c r="W2997" s="60"/>
      <c r="AB2997" s="42"/>
      <c r="AC2997" s="35"/>
      <c r="AD2997" s="38"/>
      <c r="AE2997" s="38"/>
      <c r="AF2997" s="38"/>
      <c r="AG2997" s="38"/>
      <c r="AH2997" s="60"/>
    </row>
    <row r="2998" spans="1:34" ht="15.75" customHeight="1">
      <c r="A2998" s="38" t="s">
        <v>8415</v>
      </c>
      <c r="B2998" s="41"/>
      <c r="C2998" s="106"/>
      <c r="D2998" s="107"/>
      <c r="E2998" s="107"/>
      <c r="F2998" s="106"/>
      <c r="G2998" s="106"/>
      <c r="H2998" s="106"/>
      <c r="I2998" s="108"/>
      <c r="J2998" s="108"/>
      <c r="K2998" s="109"/>
      <c r="L2998" s="110"/>
      <c r="O2998" s="42"/>
      <c r="P2998" s="40"/>
      <c r="Q2998" s="61"/>
      <c r="R2998" s="61"/>
      <c r="S2998" s="40"/>
      <c r="T2998" s="38"/>
      <c r="U2998" s="38"/>
      <c r="V2998" s="38"/>
      <c r="W2998" s="60"/>
      <c r="AB2998" s="42"/>
      <c r="AC2998" s="35"/>
      <c r="AD2998" s="38"/>
      <c r="AE2998" s="38"/>
      <c r="AF2998" s="38"/>
      <c r="AG2998" s="38"/>
      <c r="AH2998" s="60"/>
    </row>
    <row r="2999" spans="1:34" ht="15.75" customHeight="1">
      <c r="A2999" s="111" t="s">
        <v>56</v>
      </c>
      <c r="B2999" s="41"/>
      <c r="C2999" s="106"/>
      <c r="D2999" s="107"/>
      <c r="E2999" s="107"/>
      <c r="F2999" s="106"/>
      <c r="G2999" s="106"/>
      <c r="H2999" s="106"/>
      <c r="I2999" s="108"/>
      <c r="J2999" s="108"/>
      <c r="K2999" s="109"/>
      <c r="L2999" s="110"/>
      <c r="O2999" s="42"/>
      <c r="P2999" s="40"/>
      <c r="Q2999" s="61"/>
      <c r="R2999" s="61"/>
      <c r="S2999" s="40"/>
      <c r="T2999" s="38"/>
      <c r="U2999" s="38"/>
      <c r="V2999" s="38"/>
      <c r="W2999" s="60"/>
      <c r="AB2999" s="42"/>
      <c r="AC2999" s="35"/>
      <c r="AD2999" s="38"/>
      <c r="AE2999" s="38"/>
      <c r="AF2999" s="38"/>
      <c r="AG2999" s="38"/>
      <c r="AH2999" s="60"/>
    </row>
    <row r="3000" spans="1:34" ht="15.75" customHeight="1">
      <c r="A3000" s="75">
        <v>59</v>
      </c>
      <c r="B3000" s="41"/>
      <c r="C3000" s="106"/>
      <c r="D3000" s="107"/>
      <c r="E3000" s="107"/>
      <c r="F3000" s="106"/>
      <c r="G3000" s="106"/>
      <c r="H3000" s="106"/>
      <c r="I3000" s="108"/>
      <c r="J3000" s="108"/>
      <c r="K3000" s="109"/>
      <c r="L3000" s="110"/>
      <c r="O3000" s="42"/>
      <c r="P3000" s="40"/>
      <c r="Q3000" s="61"/>
      <c r="R3000" s="61"/>
      <c r="S3000" s="40"/>
      <c r="T3000" s="38"/>
      <c r="U3000" s="38"/>
      <c r="V3000" s="38"/>
      <c r="W3000" s="60"/>
      <c r="AB3000" s="42"/>
      <c r="AC3000" s="35"/>
      <c r="AD3000" s="38"/>
      <c r="AE3000" s="38"/>
      <c r="AF3000" s="38"/>
      <c r="AG3000" s="38"/>
      <c r="AH3000" s="60"/>
    </row>
    <row r="3001" spans="1:34" ht="15.75" customHeight="1">
      <c r="A3001" s="111" t="s">
        <v>64</v>
      </c>
      <c r="B3001" s="41"/>
      <c r="C3001" s="106"/>
      <c r="D3001" s="107"/>
      <c r="E3001" s="107"/>
      <c r="F3001" s="106"/>
      <c r="G3001" s="106"/>
      <c r="H3001" s="106"/>
      <c r="I3001" s="108"/>
      <c r="J3001" s="108"/>
      <c r="K3001" s="109"/>
      <c r="L3001" s="110"/>
      <c r="O3001" s="42"/>
      <c r="P3001" s="40"/>
      <c r="Q3001" s="61"/>
      <c r="R3001" s="61"/>
      <c r="S3001" s="40"/>
      <c r="T3001" s="38"/>
      <c r="U3001" s="38"/>
      <c r="V3001" s="38"/>
      <c r="W3001" s="60"/>
      <c r="AB3001" s="42"/>
      <c r="AC3001" s="35"/>
      <c r="AD3001" s="38"/>
      <c r="AE3001" s="38"/>
      <c r="AF3001" s="38"/>
      <c r="AG3001" s="38"/>
      <c r="AH3001" s="60"/>
    </row>
    <row r="3002" spans="1:34" ht="15.75" customHeight="1">
      <c r="A3002" s="75">
        <v>3.1</v>
      </c>
      <c r="B3002" s="41"/>
      <c r="C3002" s="106"/>
      <c r="D3002" s="107"/>
      <c r="E3002" s="107"/>
      <c r="F3002" s="106"/>
      <c r="G3002" s="106"/>
      <c r="H3002" s="106"/>
      <c r="I3002" s="108"/>
      <c r="J3002" s="108"/>
      <c r="K3002" s="109"/>
      <c r="L3002" s="110"/>
      <c r="O3002" s="42"/>
      <c r="P3002" s="40"/>
      <c r="Q3002" s="61"/>
      <c r="R3002" s="61"/>
      <c r="S3002" s="40"/>
      <c r="T3002" s="38"/>
      <c r="U3002" s="38"/>
      <c r="V3002" s="38"/>
      <c r="W3002" s="60"/>
      <c r="AB3002" s="42"/>
      <c r="AC3002" s="35"/>
      <c r="AD3002" s="38"/>
      <c r="AE3002" s="38"/>
      <c r="AF3002" s="38"/>
      <c r="AG3002" s="38"/>
      <c r="AH3002" s="60"/>
    </row>
    <row r="3003" spans="1:34" ht="15.75" customHeight="1">
      <c r="A3003" s="111" t="s">
        <v>73</v>
      </c>
      <c r="B3003" s="41"/>
      <c r="C3003" s="106"/>
      <c r="D3003" s="107"/>
      <c r="E3003" s="107"/>
      <c r="F3003" s="106"/>
      <c r="G3003" s="106"/>
      <c r="H3003" s="106"/>
      <c r="I3003" s="108"/>
      <c r="J3003" s="108"/>
      <c r="K3003" s="109"/>
      <c r="L3003" s="110"/>
      <c r="O3003" s="42"/>
      <c r="P3003" s="40"/>
      <c r="Q3003" s="61"/>
      <c r="R3003" s="61"/>
      <c r="S3003" s="40"/>
      <c r="T3003" s="38"/>
      <c r="U3003" s="38"/>
      <c r="V3003" s="38"/>
      <c r="W3003" s="60"/>
      <c r="AB3003" s="42"/>
      <c r="AC3003" s="35"/>
      <c r="AD3003" s="38"/>
      <c r="AE3003" s="38"/>
      <c r="AF3003" s="38"/>
      <c r="AG3003" s="38"/>
      <c r="AH3003" s="60"/>
    </row>
    <row r="3004" spans="1:34" ht="15.75" customHeight="1">
      <c r="A3004" s="75">
        <v>3.7</v>
      </c>
      <c r="B3004" s="41"/>
      <c r="C3004" s="106"/>
      <c r="D3004" s="107"/>
      <c r="E3004" s="107"/>
      <c r="F3004" s="106"/>
      <c r="G3004" s="106"/>
      <c r="H3004" s="106"/>
      <c r="I3004" s="108"/>
      <c r="J3004" s="108"/>
      <c r="K3004" s="109"/>
      <c r="L3004" s="110"/>
      <c r="O3004" s="42"/>
      <c r="P3004" s="40"/>
      <c r="Q3004" s="61"/>
      <c r="R3004" s="61"/>
      <c r="S3004" s="40"/>
      <c r="T3004" s="38"/>
      <c r="U3004" s="38"/>
      <c r="V3004" s="38"/>
      <c r="W3004" s="60"/>
      <c r="AB3004" s="42"/>
      <c r="AC3004" s="35"/>
      <c r="AD3004" s="38"/>
      <c r="AE3004" s="38"/>
      <c r="AF3004" s="38"/>
      <c r="AG3004" s="38"/>
      <c r="AH3004" s="60"/>
    </row>
    <row r="3005" spans="1:34" ht="15.75" customHeight="1">
      <c r="A3005" s="111" t="s">
        <v>82</v>
      </c>
      <c r="B3005" s="41"/>
      <c r="C3005" s="106"/>
      <c r="D3005" s="107"/>
      <c r="E3005" s="107"/>
      <c r="F3005" s="106"/>
      <c r="G3005" s="106"/>
      <c r="H3005" s="106"/>
      <c r="I3005" s="108"/>
      <c r="J3005" s="108"/>
      <c r="K3005" s="109"/>
      <c r="L3005" s="110"/>
      <c r="O3005" s="42"/>
      <c r="P3005" s="40"/>
      <c r="Q3005" s="61"/>
      <c r="R3005" s="61"/>
      <c r="S3005" s="40"/>
      <c r="T3005" s="38"/>
      <c r="U3005" s="38"/>
      <c r="V3005" s="38"/>
      <c r="W3005" s="60"/>
      <c r="AB3005" s="42"/>
      <c r="AC3005" s="35"/>
      <c r="AD3005" s="38"/>
      <c r="AE3005" s="38"/>
      <c r="AF3005" s="38"/>
      <c r="AG3005" s="38"/>
      <c r="AH3005" s="60"/>
    </row>
    <row r="3006" spans="1:34" ht="15.75" customHeight="1">
      <c r="A3006" s="75" t="s">
        <v>10652</v>
      </c>
      <c r="B3006" s="41"/>
      <c r="C3006" s="106"/>
      <c r="D3006" s="107"/>
      <c r="E3006" s="107"/>
      <c r="F3006" s="106"/>
      <c r="G3006" s="106"/>
      <c r="H3006" s="106"/>
      <c r="I3006" s="108"/>
      <c r="J3006" s="108"/>
      <c r="K3006" s="109"/>
      <c r="L3006" s="110"/>
      <c r="O3006" s="42"/>
      <c r="P3006" s="40"/>
      <c r="Q3006" s="61"/>
      <c r="R3006" s="61"/>
      <c r="S3006" s="40"/>
      <c r="T3006" s="38"/>
      <c r="U3006" s="38"/>
      <c r="V3006" s="38"/>
      <c r="W3006" s="60"/>
      <c r="AB3006" s="42"/>
      <c r="AC3006" s="35"/>
      <c r="AD3006" s="38"/>
      <c r="AE3006" s="38"/>
      <c r="AF3006" s="38"/>
      <c r="AG3006" s="38"/>
      <c r="AH3006" s="60"/>
    </row>
    <row r="3007" spans="1:34" ht="15.75" customHeight="1">
      <c r="A3007" s="111" t="s">
        <v>92</v>
      </c>
      <c r="B3007" s="41"/>
      <c r="C3007" s="106"/>
      <c r="D3007" s="107"/>
      <c r="E3007" s="107"/>
      <c r="F3007" s="106"/>
      <c r="G3007" s="106"/>
      <c r="H3007" s="106"/>
      <c r="I3007" s="108"/>
      <c r="J3007" s="108"/>
      <c r="K3007" s="109"/>
      <c r="L3007" s="110"/>
      <c r="O3007" s="42"/>
      <c r="P3007" s="40"/>
      <c r="Q3007" s="61"/>
      <c r="R3007" s="61"/>
      <c r="S3007" s="40"/>
      <c r="T3007" s="38"/>
      <c r="U3007" s="38"/>
      <c r="V3007" s="38"/>
      <c r="W3007" s="60"/>
      <c r="AB3007" s="42"/>
      <c r="AC3007" s="35"/>
      <c r="AD3007" s="38"/>
      <c r="AE3007" s="38"/>
      <c r="AF3007" s="38"/>
      <c r="AG3007" s="38"/>
      <c r="AH3007" s="60"/>
    </row>
    <row r="3008" spans="1:34" ht="15.75" customHeight="1">
      <c r="A3008" s="112">
        <v>398</v>
      </c>
      <c r="B3008" s="41"/>
      <c r="C3008" s="106"/>
      <c r="D3008" s="107"/>
      <c r="E3008" s="107"/>
      <c r="F3008" s="106"/>
      <c r="G3008" s="106"/>
      <c r="H3008" s="106"/>
      <c r="I3008" s="108"/>
      <c r="J3008" s="108"/>
      <c r="K3008" s="109"/>
      <c r="L3008" s="110"/>
      <c r="O3008" s="42"/>
      <c r="P3008" s="40"/>
      <c r="Q3008" s="61"/>
      <c r="R3008" s="61"/>
      <c r="S3008" s="40"/>
      <c r="T3008" s="38"/>
      <c r="U3008" s="38"/>
      <c r="V3008" s="38"/>
      <c r="W3008" s="60"/>
      <c r="AB3008" s="42"/>
      <c r="AC3008" s="35"/>
      <c r="AD3008" s="38"/>
      <c r="AE3008" s="38"/>
      <c r="AF3008" s="38"/>
      <c r="AG3008" s="38"/>
      <c r="AH3008" s="60"/>
    </row>
    <row r="3009" spans="1:34" ht="15.75" customHeight="1">
      <c r="A3009" s="111" t="s">
        <v>100</v>
      </c>
      <c r="B3009" s="41"/>
      <c r="C3009" s="106"/>
      <c r="D3009" s="107"/>
      <c r="E3009" s="107"/>
      <c r="F3009" s="106"/>
      <c r="G3009" s="106"/>
      <c r="H3009" s="106"/>
      <c r="I3009" s="108"/>
      <c r="J3009" s="108"/>
      <c r="K3009" s="109"/>
      <c r="L3009" s="110"/>
      <c r="O3009" s="42"/>
      <c r="P3009" s="40"/>
      <c r="Q3009" s="61"/>
      <c r="R3009" s="61"/>
      <c r="S3009" s="40"/>
      <c r="T3009" s="38"/>
      <c r="U3009" s="38"/>
      <c r="V3009" s="38"/>
      <c r="W3009" s="60"/>
      <c r="AB3009" s="42"/>
      <c r="AC3009" s="35"/>
      <c r="AD3009" s="38"/>
      <c r="AE3009" s="38"/>
      <c r="AF3009" s="38"/>
      <c r="AG3009" s="38"/>
      <c r="AH3009" s="60"/>
    </row>
    <row r="3010" spans="1:34" ht="15.75" customHeight="1">
      <c r="A3010" s="75">
        <v>168</v>
      </c>
      <c r="B3010" s="41"/>
      <c r="C3010" s="106"/>
      <c r="D3010" s="107"/>
      <c r="E3010" s="107"/>
      <c r="F3010" s="106"/>
      <c r="G3010" s="106"/>
      <c r="H3010" s="106"/>
      <c r="I3010" s="108"/>
      <c r="J3010" s="108"/>
      <c r="K3010" s="109"/>
      <c r="L3010" s="110"/>
      <c r="O3010" s="42"/>
      <c r="P3010" s="40"/>
      <c r="Q3010" s="61"/>
      <c r="R3010" s="61"/>
      <c r="S3010" s="40"/>
      <c r="T3010" s="38"/>
      <c r="U3010" s="38"/>
      <c r="V3010" s="38"/>
      <c r="W3010" s="60"/>
      <c r="AB3010" s="42"/>
      <c r="AC3010" s="35"/>
      <c r="AD3010" s="38"/>
      <c r="AE3010" s="38"/>
      <c r="AF3010" s="38"/>
      <c r="AG3010" s="38"/>
      <c r="AH3010" s="60"/>
    </row>
    <row r="3011" spans="1:34" ht="15.75" customHeight="1">
      <c r="A3011" s="35"/>
      <c r="B3011" s="38"/>
      <c r="C3011" s="37"/>
      <c r="D3011" s="20"/>
      <c r="E3011" s="20"/>
      <c r="F3011" s="37"/>
      <c r="G3011" s="37"/>
      <c r="H3011" s="37"/>
      <c r="I3011" s="21"/>
      <c r="J3011" s="21"/>
      <c r="K3011" s="22"/>
      <c r="L3011" s="39"/>
      <c r="O3011" s="42"/>
      <c r="P3011" s="40"/>
      <c r="Q3011" s="61"/>
      <c r="R3011" s="61"/>
      <c r="S3011" s="40"/>
      <c r="T3011" s="38"/>
      <c r="U3011" s="38"/>
      <c r="V3011" s="38"/>
      <c r="W3011" s="60"/>
      <c r="AB3011" s="42"/>
      <c r="AC3011" s="35"/>
      <c r="AD3011" s="38"/>
      <c r="AE3011" s="38"/>
      <c r="AF3011" s="38"/>
      <c r="AG3011" s="38"/>
      <c r="AH3011" s="60"/>
    </row>
    <row r="3012" spans="1:34" ht="15.75" customHeight="1">
      <c r="A3012" s="18" t="s">
        <v>10653</v>
      </c>
      <c r="B3012" s="18" t="s">
        <v>10654</v>
      </c>
      <c r="C3012" s="37" t="s">
        <v>24</v>
      </c>
      <c r="D3012" s="20" t="s">
        <v>10655</v>
      </c>
      <c r="E3012" s="20" t="s">
        <v>10656</v>
      </c>
      <c r="F3012" s="19" t="s">
        <v>27</v>
      </c>
      <c r="G3012" s="19" t="s">
        <v>28</v>
      </c>
      <c r="H3012" s="37"/>
      <c r="I3012" s="21" t="s">
        <v>29</v>
      </c>
      <c r="J3012" s="21" t="s">
        <v>29</v>
      </c>
      <c r="K3012" s="22" t="s">
        <v>10657</v>
      </c>
      <c r="L3012" s="56">
        <v>45093</v>
      </c>
      <c r="M3012" s="40"/>
      <c r="N3012" s="40"/>
      <c r="O3012" s="42"/>
      <c r="P3012" s="40"/>
      <c r="Q3012" s="61"/>
      <c r="R3012" s="61"/>
      <c r="S3012" s="40"/>
      <c r="T3012" s="38"/>
      <c r="U3012" s="38"/>
      <c r="V3012" s="38"/>
      <c r="W3012" s="60"/>
      <c r="AB3012" s="42"/>
      <c r="AC3012" s="35"/>
      <c r="AD3012" s="38"/>
      <c r="AE3012" s="38"/>
      <c r="AF3012" s="38"/>
      <c r="AG3012" s="38"/>
      <c r="AH3012" s="60"/>
    </row>
    <row r="3013" spans="1:34" ht="15.75" customHeight="1">
      <c r="A3013" s="54" t="s">
        <v>2628</v>
      </c>
      <c r="B3013" s="18" t="s">
        <v>10658</v>
      </c>
      <c r="C3013" s="37" t="s">
        <v>24</v>
      </c>
      <c r="D3013" s="20" t="s">
        <v>10659</v>
      </c>
      <c r="E3013" s="20" t="s">
        <v>10660</v>
      </c>
      <c r="F3013" s="19" t="s">
        <v>27</v>
      </c>
      <c r="G3013" s="19" t="s">
        <v>28</v>
      </c>
      <c r="H3013" s="37"/>
      <c r="I3013" s="21" t="s">
        <v>29</v>
      </c>
      <c r="J3013" s="21" t="s">
        <v>29</v>
      </c>
      <c r="K3013" s="22" t="s">
        <v>10661</v>
      </c>
      <c r="L3013" s="56">
        <v>45093</v>
      </c>
      <c r="O3013" s="42"/>
      <c r="P3013" s="40"/>
      <c r="Q3013" s="61"/>
      <c r="R3013" s="61"/>
      <c r="S3013" s="40"/>
      <c r="T3013" s="38"/>
      <c r="U3013" s="38"/>
      <c r="V3013" s="38"/>
      <c r="W3013" s="60"/>
      <c r="AB3013" s="42"/>
      <c r="AC3013" s="35"/>
      <c r="AD3013" s="38"/>
      <c r="AE3013" s="38"/>
      <c r="AF3013" s="38"/>
      <c r="AG3013" s="38"/>
      <c r="AH3013" s="60"/>
    </row>
    <row r="3014" spans="1:34" ht="15.75" customHeight="1">
      <c r="A3014" s="114" t="s">
        <v>39</v>
      </c>
      <c r="B3014" s="18" t="s">
        <v>10662</v>
      </c>
      <c r="C3014" s="37" t="s">
        <v>24</v>
      </c>
      <c r="D3014" s="20" t="s">
        <v>10663</v>
      </c>
      <c r="E3014" s="20" t="s">
        <v>10664</v>
      </c>
      <c r="F3014" s="19" t="s">
        <v>27</v>
      </c>
      <c r="G3014" s="19" t="s">
        <v>28</v>
      </c>
      <c r="H3014" s="37"/>
      <c r="I3014" s="21" t="s">
        <v>29</v>
      </c>
      <c r="J3014" s="21" t="s">
        <v>29</v>
      </c>
      <c r="K3014" s="22" t="s">
        <v>10665</v>
      </c>
      <c r="L3014" s="56">
        <v>45093</v>
      </c>
      <c r="O3014" s="42"/>
      <c r="P3014" s="40"/>
      <c r="Q3014" s="61"/>
      <c r="R3014" s="61"/>
      <c r="S3014" s="40"/>
      <c r="T3014" s="38"/>
      <c r="U3014" s="38"/>
      <c r="V3014" s="38"/>
      <c r="W3014" s="60"/>
      <c r="AB3014" s="42"/>
      <c r="AC3014" s="35"/>
      <c r="AD3014" s="38"/>
      <c r="AE3014" s="38"/>
      <c r="AF3014" s="38"/>
      <c r="AG3014" s="38"/>
      <c r="AH3014" s="60"/>
    </row>
    <row r="3015" spans="1:34" ht="15.75" customHeight="1">
      <c r="A3015" s="38" t="s">
        <v>10522</v>
      </c>
      <c r="B3015" s="18" t="s">
        <v>10666</v>
      </c>
      <c r="C3015" s="37" t="s">
        <v>24</v>
      </c>
      <c r="D3015" s="20" t="s">
        <v>10667</v>
      </c>
      <c r="E3015" s="20" t="s">
        <v>10668</v>
      </c>
      <c r="F3015" s="19" t="s">
        <v>27</v>
      </c>
      <c r="G3015" s="19" t="s">
        <v>28</v>
      </c>
      <c r="H3015" s="37"/>
      <c r="I3015" s="21" t="s">
        <v>29</v>
      </c>
      <c r="J3015" s="21" t="s">
        <v>29</v>
      </c>
      <c r="K3015" s="22" t="s">
        <v>10669</v>
      </c>
      <c r="L3015" s="56">
        <v>45093</v>
      </c>
      <c r="O3015" s="42"/>
      <c r="P3015" s="40"/>
      <c r="Q3015" s="61"/>
      <c r="R3015" s="61"/>
      <c r="S3015" s="40"/>
      <c r="T3015" s="38"/>
      <c r="U3015" s="38"/>
      <c r="V3015" s="38"/>
      <c r="W3015" s="60"/>
      <c r="AB3015" s="42"/>
      <c r="AC3015" s="35"/>
      <c r="AD3015" s="38"/>
      <c r="AE3015" s="38"/>
      <c r="AF3015" s="38"/>
      <c r="AG3015" s="38"/>
      <c r="AH3015" s="60"/>
    </row>
    <row r="3016" spans="1:34" ht="15.75" customHeight="1">
      <c r="A3016" s="38" t="s">
        <v>10670</v>
      </c>
      <c r="B3016" s="18" t="s">
        <v>10671</v>
      </c>
      <c r="C3016" s="37" t="s">
        <v>24</v>
      </c>
      <c r="D3016" s="20" t="s">
        <v>10672</v>
      </c>
      <c r="E3016" s="20" t="s">
        <v>10673</v>
      </c>
      <c r="F3016" s="19" t="s">
        <v>27</v>
      </c>
      <c r="G3016" s="19" t="s">
        <v>28</v>
      </c>
      <c r="H3016" s="37"/>
      <c r="I3016" s="21" t="s">
        <v>29</v>
      </c>
      <c r="J3016" s="21" t="s">
        <v>29</v>
      </c>
      <c r="K3016" s="22" t="s">
        <v>10674</v>
      </c>
      <c r="L3016" s="56">
        <v>45093</v>
      </c>
      <c r="O3016" s="42"/>
      <c r="P3016" s="40"/>
      <c r="Q3016" s="61"/>
      <c r="R3016" s="61"/>
      <c r="S3016" s="40"/>
      <c r="T3016" s="38"/>
      <c r="U3016" s="38"/>
      <c r="V3016" s="38"/>
      <c r="W3016" s="60"/>
      <c r="AB3016" s="42"/>
      <c r="AC3016" s="35"/>
      <c r="AD3016" s="38"/>
      <c r="AE3016" s="38"/>
      <c r="AF3016" s="38"/>
      <c r="AG3016" s="38"/>
      <c r="AH3016" s="60"/>
    </row>
    <row r="3017" spans="1:34" ht="15.75" customHeight="1">
      <c r="A3017" s="111" t="s">
        <v>56</v>
      </c>
      <c r="B3017" s="18" t="s">
        <v>10675</v>
      </c>
      <c r="C3017" s="37" t="s">
        <v>24</v>
      </c>
      <c r="D3017" s="20" t="s">
        <v>10676</v>
      </c>
      <c r="E3017" s="20" t="s">
        <v>10677</v>
      </c>
      <c r="F3017" s="19" t="s">
        <v>27</v>
      </c>
      <c r="G3017" s="19" t="s">
        <v>28</v>
      </c>
      <c r="H3017" s="37"/>
      <c r="I3017" s="21" t="s">
        <v>29</v>
      </c>
      <c r="J3017" s="21" t="s">
        <v>29</v>
      </c>
      <c r="K3017" s="22" t="s">
        <v>10678</v>
      </c>
      <c r="L3017" s="56">
        <v>45093</v>
      </c>
      <c r="O3017" s="42"/>
      <c r="P3017" s="40"/>
      <c r="Q3017" s="61"/>
      <c r="R3017" s="61"/>
      <c r="S3017" s="40"/>
      <c r="T3017" s="38"/>
      <c r="U3017" s="38"/>
      <c r="V3017" s="38"/>
      <c r="W3017" s="60"/>
      <c r="AB3017" s="42"/>
      <c r="AC3017" s="35"/>
      <c r="AD3017" s="38"/>
      <c r="AE3017" s="38"/>
      <c r="AF3017" s="38"/>
      <c r="AG3017" s="38"/>
      <c r="AH3017" s="60"/>
    </row>
    <row r="3018" spans="1:34" ht="15.75" customHeight="1">
      <c r="A3018" s="75">
        <v>49</v>
      </c>
      <c r="B3018" s="18" t="s">
        <v>10679</v>
      </c>
      <c r="C3018" s="37" t="s">
        <v>24</v>
      </c>
      <c r="D3018" s="20" t="s">
        <v>10680</v>
      </c>
      <c r="E3018" s="20" t="s">
        <v>10681</v>
      </c>
      <c r="F3018" s="19" t="s">
        <v>27</v>
      </c>
      <c r="G3018" s="19" t="s">
        <v>28</v>
      </c>
      <c r="H3018" s="19" t="s">
        <v>36</v>
      </c>
      <c r="I3018" s="21" t="s">
        <v>29</v>
      </c>
      <c r="J3018" s="21" t="s">
        <v>29</v>
      </c>
      <c r="K3018" s="22" t="s">
        <v>10682</v>
      </c>
      <c r="L3018" s="56">
        <v>45093</v>
      </c>
      <c r="O3018" s="42"/>
      <c r="P3018" s="40"/>
      <c r="Q3018" s="61"/>
      <c r="R3018" s="61"/>
      <c r="S3018" s="40"/>
      <c r="T3018" s="38"/>
      <c r="U3018" s="38"/>
      <c r="V3018" s="38"/>
      <c r="W3018" s="60"/>
      <c r="AB3018" s="42"/>
      <c r="AC3018" s="35"/>
      <c r="AD3018" s="38"/>
      <c r="AE3018" s="38"/>
      <c r="AF3018" s="38"/>
      <c r="AG3018" s="38"/>
      <c r="AH3018" s="60"/>
    </row>
    <row r="3019" spans="1:34" ht="15.75" customHeight="1">
      <c r="A3019" s="111" t="s">
        <v>64</v>
      </c>
      <c r="B3019" s="18" t="s">
        <v>10683</v>
      </c>
      <c r="C3019" s="37" t="s">
        <v>87</v>
      </c>
      <c r="D3019" s="20" t="s">
        <v>10684</v>
      </c>
      <c r="E3019" s="20" t="s">
        <v>10685</v>
      </c>
      <c r="F3019" s="19" t="s">
        <v>90</v>
      </c>
      <c r="G3019" s="19" t="s">
        <v>91</v>
      </c>
      <c r="H3019" s="37"/>
      <c r="I3019" s="21" t="s">
        <v>29</v>
      </c>
      <c r="J3019" s="21" t="s">
        <v>29</v>
      </c>
      <c r="K3019" s="22" t="s">
        <v>10686</v>
      </c>
      <c r="L3019" s="56">
        <v>45093</v>
      </c>
      <c r="O3019" s="42"/>
      <c r="P3019" s="40"/>
      <c r="Q3019" s="61"/>
      <c r="R3019" s="61"/>
      <c r="S3019" s="40"/>
      <c r="T3019" s="38"/>
      <c r="U3019" s="38"/>
      <c r="V3019" s="38"/>
      <c r="W3019" s="60"/>
      <c r="AB3019" s="42"/>
      <c r="AC3019" s="35"/>
      <c r="AD3019" s="38"/>
      <c r="AE3019" s="38"/>
      <c r="AF3019" s="38"/>
      <c r="AG3019" s="38"/>
      <c r="AH3019" s="60"/>
    </row>
    <row r="3020" spans="1:34" ht="15.75" customHeight="1">
      <c r="A3020" s="75">
        <v>2.7</v>
      </c>
      <c r="B3020" s="18" t="s">
        <v>10687</v>
      </c>
      <c r="C3020" s="37" t="s">
        <v>24</v>
      </c>
      <c r="D3020" s="20" t="s">
        <v>10688</v>
      </c>
      <c r="E3020" s="20" t="s">
        <v>10689</v>
      </c>
      <c r="F3020" s="19" t="s">
        <v>27</v>
      </c>
      <c r="G3020" s="19" t="s">
        <v>28</v>
      </c>
      <c r="H3020" s="37"/>
      <c r="I3020" s="21" t="s">
        <v>29</v>
      </c>
      <c r="J3020" s="21" t="s">
        <v>29</v>
      </c>
      <c r="K3020" s="22" t="s">
        <v>10690</v>
      </c>
      <c r="L3020" s="56">
        <v>45093</v>
      </c>
      <c r="O3020" s="42"/>
      <c r="P3020" s="40"/>
      <c r="Q3020" s="61"/>
      <c r="R3020" s="61"/>
      <c r="S3020" s="40"/>
      <c r="T3020" s="38"/>
      <c r="U3020" s="38"/>
      <c r="V3020" s="38"/>
      <c r="W3020" s="60"/>
      <c r="AB3020" s="42"/>
      <c r="AC3020" s="35"/>
      <c r="AD3020" s="38"/>
      <c r="AE3020" s="38"/>
      <c r="AF3020" s="38"/>
      <c r="AG3020" s="38"/>
      <c r="AH3020" s="60"/>
    </row>
    <row r="3021" spans="1:34" ht="15.75" customHeight="1">
      <c r="A3021" s="111" t="s">
        <v>73</v>
      </c>
      <c r="B3021" s="18" t="s">
        <v>10691</v>
      </c>
      <c r="C3021" s="37" t="s">
        <v>24</v>
      </c>
      <c r="D3021" s="20" t="s">
        <v>10692</v>
      </c>
      <c r="E3021" s="20" t="s">
        <v>10693</v>
      </c>
      <c r="F3021" s="19" t="s">
        <v>27</v>
      </c>
      <c r="G3021" s="19" t="s">
        <v>28</v>
      </c>
      <c r="H3021" s="37"/>
      <c r="I3021" s="21" t="s">
        <v>29</v>
      </c>
      <c r="J3021" s="21" t="s">
        <v>29</v>
      </c>
      <c r="K3021" s="22" t="s">
        <v>10694</v>
      </c>
      <c r="L3021" s="56">
        <v>45093</v>
      </c>
      <c r="O3021" s="42"/>
      <c r="P3021" s="40"/>
      <c r="Q3021" s="61"/>
      <c r="R3021" s="61"/>
      <c r="S3021" s="40"/>
      <c r="T3021" s="38"/>
      <c r="U3021" s="38"/>
      <c r="V3021" s="38"/>
      <c r="W3021" s="60"/>
      <c r="AB3021" s="42"/>
      <c r="AC3021" s="35"/>
      <c r="AD3021" s="38"/>
      <c r="AE3021" s="38"/>
      <c r="AF3021" s="38"/>
      <c r="AG3021" s="38"/>
      <c r="AH3021" s="60"/>
    </row>
    <row r="3022" spans="1:34" ht="15.75" customHeight="1">
      <c r="A3022" s="75">
        <v>3.3</v>
      </c>
      <c r="B3022" s="34" t="s">
        <v>10695</v>
      </c>
      <c r="C3022" s="37" t="s">
        <v>24</v>
      </c>
      <c r="D3022" s="20" t="s">
        <v>10696</v>
      </c>
      <c r="E3022" s="20" t="s">
        <v>10697</v>
      </c>
      <c r="F3022" s="19" t="s">
        <v>90</v>
      </c>
      <c r="G3022" s="19" t="s">
        <v>91</v>
      </c>
      <c r="H3022" s="37"/>
      <c r="I3022" s="21" t="s">
        <v>29</v>
      </c>
      <c r="J3022" s="21" t="s">
        <v>29</v>
      </c>
      <c r="K3022" s="22" t="s">
        <v>10698</v>
      </c>
      <c r="L3022" s="56">
        <v>45093</v>
      </c>
      <c r="O3022" s="42"/>
      <c r="P3022" s="40"/>
      <c r="Q3022" s="61"/>
      <c r="R3022" s="61"/>
      <c r="S3022" s="40"/>
      <c r="T3022" s="38"/>
      <c r="U3022" s="38"/>
      <c r="V3022" s="38"/>
      <c r="W3022" s="60"/>
      <c r="AB3022" s="42"/>
      <c r="AC3022" s="35"/>
      <c r="AD3022" s="38"/>
      <c r="AE3022" s="38"/>
      <c r="AF3022" s="38"/>
      <c r="AG3022" s="38"/>
      <c r="AH3022" s="60"/>
    </row>
    <row r="3023" spans="1:34" ht="15.75" customHeight="1">
      <c r="A3023" s="111" t="s">
        <v>82</v>
      </c>
      <c r="B3023" s="18" t="s">
        <v>10699</v>
      </c>
      <c r="C3023" s="37" t="s">
        <v>24</v>
      </c>
      <c r="D3023" s="20" t="s">
        <v>10700</v>
      </c>
      <c r="E3023" s="20" t="s">
        <v>10701</v>
      </c>
      <c r="F3023" s="19" t="s">
        <v>27</v>
      </c>
      <c r="G3023" s="19" t="s">
        <v>28</v>
      </c>
      <c r="H3023" s="37"/>
      <c r="I3023" s="21" t="s">
        <v>29</v>
      </c>
      <c r="J3023" s="21" t="s">
        <v>29</v>
      </c>
      <c r="K3023" s="22" t="s">
        <v>10702</v>
      </c>
      <c r="L3023" s="56">
        <v>45093</v>
      </c>
      <c r="O3023" s="42"/>
      <c r="P3023" s="40"/>
      <c r="Q3023" s="61"/>
      <c r="R3023" s="61"/>
      <c r="S3023" s="40"/>
      <c r="T3023" s="38"/>
      <c r="U3023" s="38"/>
      <c r="V3023" s="38"/>
      <c r="W3023" s="60"/>
      <c r="AB3023" s="42"/>
      <c r="AC3023" s="35"/>
      <c r="AD3023" s="38"/>
      <c r="AE3023" s="38"/>
      <c r="AF3023" s="38"/>
      <c r="AG3023" s="38"/>
      <c r="AH3023" s="60"/>
    </row>
    <row r="3024" spans="1:34" ht="15.75" customHeight="1">
      <c r="A3024" s="75" t="s">
        <v>10703</v>
      </c>
      <c r="B3024" s="18" t="s">
        <v>10704</v>
      </c>
      <c r="C3024" s="37" t="s">
        <v>24</v>
      </c>
      <c r="D3024" s="20" t="s">
        <v>10705</v>
      </c>
      <c r="E3024" s="20" t="s">
        <v>10706</v>
      </c>
      <c r="F3024" s="19" t="s">
        <v>27</v>
      </c>
      <c r="G3024" s="19" t="s">
        <v>28</v>
      </c>
      <c r="H3024" s="37"/>
      <c r="I3024" s="21" t="s">
        <v>29</v>
      </c>
      <c r="J3024" s="21" t="s">
        <v>29</v>
      </c>
      <c r="K3024" s="22" t="s">
        <v>10707</v>
      </c>
      <c r="L3024" s="56">
        <v>45093</v>
      </c>
      <c r="O3024" s="42"/>
      <c r="P3024" s="40"/>
      <c r="Q3024" s="61"/>
      <c r="R3024" s="61"/>
      <c r="S3024" s="40"/>
      <c r="T3024" s="38"/>
      <c r="U3024" s="38"/>
      <c r="V3024" s="38"/>
      <c r="W3024" s="60"/>
      <c r="AB3024" s="42"/>
      <c r="AC3024" s="35"/>
      <c r="AD3024" s="38"/>
      <c r="AE3024" s="38"/>
      <c r="AF3024" s="38"/>
      <c r="AG3024" s="38"/>
      <c r="AH3024" s="60"/>
    </row>
    <row r="3025" spans="1:34" ht="15.75" customHeight="1">
      <c r="A3025" s="111" t="s">
        <v>92</v>
      </c>
      <c r="B3025" s="29" t="s">
        <v>10708</v>
      </c>
      <c r="C3025" s="37" t="s">
        <v>24</v>
      </c>
      <c r="D3025" s="20" t="s">
        <v>10709</v>
      </c>
      <c r="E3025" s="20" t="s">
        <v>10710</v>
      </c>
      <c r="F3025" s="19" t="s">
        <v>27</v>
      </c>
      <c r="G3025" s="19" t="s">
        <v>28</v>
      </c>
      <c r="H3025" s="37"/>
      <c r="I3025" s="21" t="s">
        <v>29</v>
      </c>
      <c r="J3025" s="21" t="s">
        <v>29</v>
      </c>
      <c r="K3025" s="22" t="s">
        <v>10711</v>
      </c>
      <c r="L3025" s="56">
        <v>45093</v>
      </c>
      <c r="O3025" s="42"/>
      <c r="P3025" s="40"/>
      <c r="Q3025" s="61"/>
      <c r="R3025" s="61"/>
      <c r="S3025" s="40"/>
      <c r="T3025" s="38"/>
      <c r="U3025" s="38"/>
      <c r="V3025" s="38"/>
      <c r="W3025" s="60"/>
      <c r="AB3025" s="42"/>
      <c r="AC3025" s="35"/>
      <c r="AD3025" s="38"/>
      <c r="AE3025" s="38"/>
      <c r="AF3025" s="38"/>
      <c r="AG3025" s="38"/>
      <c r="AH3025" s="60"/>
    </row>
    <row r="3026" spans="1:34" ht="15.75" customHeight="1">
      <c r="A3026" s="112">
        <v>1057</v>
      </c>
      <c r="B3026" s="18" t="s">
        <v>10712</v>
      </c>
      <c r="C3026" s="37" t="s">
        <v>46</v>
      </c>
      <c r="D3026" s="20" t="s">
        <v>10713</v>
      </c>
      <c r="E3026" s="20" t="s">
        <v>10664</v>
      </c>
      <c r="F3026" s="37" t="s">
        <v>49</v>
      </c>
      <c r="G3026" s="19" t="s">
        <v>50</v>
      </c>
      <c r="H3026" s="37"/>
      <c r="I3026" s="21" t="s">
        <v>29</v>
      </c>
      <c r="J3026" s="21" t="s">
        <v>29</v>
      </c>
      <c r="K3026" s="22" t="s">
        <v>10665</v>
      </c>
      <c r="L3026" s="56">
        <v>45093</v>
      </c>
      <c r="O3026" s="42"/>
      <c r="P3026" s="40"/>
      <c r="Q3026" s="61"/>
      <c r="R3026" s="61"/>
      <c r="S3026" s="40"/>
      <c r="T3026" s="38"/>
      <c r="U3026" s="38"/>
      <c r="V3026" s="38"/>
      <c r="W3026" s="60"/>
      <c r="AB3026" s="42"/>
      <c r="AC3026" s="35"/>
      <c r="AD3026" s="38"/>
      <c r="AE3026" s="38"/>
      <c r="AF3026" s="38"/>
      <c r="AG3026" s="38"/>
      <c r="AH3026" s="60"/>
    </row>
    <row r="3027" spans="1:34" ht="15.75" customHeight="1">
      <c r="A3027" s="111" t="s">
        <v>100</v>
      </c>
      <c r="B3027" s="18" t="s">
        <v>10714</v>
      </c>
      <c r="C3027" s="37" t="s">
        <v>24</v>
      </c>
      <c r="D3027" s="20" t="s">
        <v>10715</v>
      </c>
      <c r="E3027" s="20" t="s">
        <v>10716</v>
      </c>
      <c r="F3027" s="19" t="s">
        <v>27</v>
      </c>
      <c r="G3027" s="19" t="s">
        <v>28</v>
      </c>
      <c r="H3027" s="37"/>
      <c r="I3027" s="21" t="s">
        <v>29</v>
      </c>
      <c r="J3027" s="21" t="s">
        <v>29</v>
      </c>
      <c r="K3027" s="22" t="s">
        <v>10717</v>
      </c>
      <c r="L3027" s="56">
        <v>45093</v>
      </c>
      <c r="O3027" s="42"/>
      <c r="P3027" s="40"/>
      <c r="Q3027" s="61"/>
      <c r="R3027" s="61"/>
      <c r="S3027" s="40"/>
      <c r="T3027" s="38"/>
      <c r="U3027" s="38"/>
      <c r="V3027" s="38"/>
      <c r="W3027" s="60"/>
      <c r="AB3027" s="42"/>
      <c r="AC3027" s="35"/>
      <c r="AD3027" s="38"/>
      <c r="AE3027" s="38"/>
      <c r="AF3027" s="38"/>
      <c r="AG3027" s="38"/>
      <c r="AH3027" s="60"/>
    </row>
    <row r="3028" spans="1:34" ht="15.75" customHeight="1">
      <c r="A3028" s="75">
        <v>163</v>
      </c>
      <c r="B3028" s="18" t="s">
        <v>10718</v>
      </c>
      <c r="C3028" s="37" t="s">
        <v>24</v>
      </c>
      <c r="D3028" s="20" t="s">
        <v>10719</v>
      </c>
      <c r="E3028" s="20" t="s">
        <v>10720</v>
      </c>
      <c r="F3028" s="19" t="s">
        <v>27</v>
      </c>
      <c r="G3028" s="19" t="s">
        <v>28</v>
      </c>
      <c r="H3028" s="37"/>
      <c r="I3028" s="21" t="s">
        <v>29</v>
      </c>
      <c r="J3028" s="21" t="s">
        <v>29</v>
      </c>
      <c r="K3028" s="22" t="s">
        <v>10721</v>
      </c>
      <c r="L3028" s="56">
        <v>45093</v>
      </c>
      <c r="O3028" s="42"/>
      <c r="P3028" s="40"/>
      <c r="Q3028" s="61"/>
      <c r="R3028" s="61"/>
      <c r="S3028" s="40"/>
      <c r="T3028" s="38"/>
      <c r="U3028" s="38"/>
      <c r="V3028" s="38"/>
      <c r="W3028" s="60"/>
      <c r="AB3028" s="42"/>
      <c r="AC3028" s="35"/>
      <c r="AD3028" s="38"/>
      <c r="AE3028" s="38"/>
      <c r="AF3028" s="38"/>
      <c r="AG3028" s="38"/>
      <c r="AH3028" s="60"/>
    </row>
    <row r="3029" spans="1:34" ht="15.75" customHeight="1">
      <c r="A3029" s="35"/>
      <c r="B3029" s="18" t="s">
        <v>10722</v>
      </c>
      <c r="C3029" s="37" t="s">
        <v>24</v>
      </c>
      <c r="D3029" s="20" t="s">
        <v>10723</v>
      </c>
      <c r="E3029" s="20"/>
      <c r="F3029" s="19" t="s">
        <v>27</v>
      </c>
      <c r="G3029" s="19" t="s">
        <v>28</v>
      </c>
      <c r="H3029" s="37"/>
      <c r="I3029" s="21" t="s">
        <v>29</v>
      </c>
      <c r="J3029" s="21" t="s">
        <v>29</v>
      </c>
      <c r="K3029" s="22"/>
      <c r="L3029" s="56">
        <v>45093</v>
      </c>
      <c r="O3029" s="42"/>
      <c r="P3029" s="40"/>
      <c r="Q3029" s="61"/>
      <c r="R3029" s="61"/>
      <c r="S3029" s="40"/>
      <c r="T3029" s="38"/>
      <c r="U3029" s="38"/>
      <c r="V3029" s="38"/>
      <c r="W3029" s="60"/>
      <c r="AB3029" s="42"/>
      <c r="AC3029" s="35"/>
      <c r="AD3029" s="38"/>
      <c r="AE3029" s="38"/>
      <c r="AF3029" s="38"/>
      <c r="AG3029" s="38"/>
      <c r="AH3029" s="60"/>
    </row>
    <row r="3030" spans="1:34" ht="15.75" customHeight="1">
      <c r="A3030" s="133"/>
      <c r="B3030" s="18" t="s">
        <v>10724</v>
      </c>
      <c r="C3030" s="37" t="s">
        <v>24</v>
      </c>
      <c r="D3030" s="20" t="s">
        <v>10725</v>
      </c>
      <c r="E3030" s="20" t="s">
        <v>10726</v>
      </c>
      <c r="F3030" s="19" t="s">
        <v>27</v>
      </c>
      <c r="G3030" s="19" t="s">
        <v>28</v>
      </c>
      <c r="H3030" s="37"/>
      <c r="I3030" s="21" t="s">
        <v>29</v>
      </c>
      <c r="J3030" s="21" t="s">
        <v>29</v>
      </c>
      <c r="K3030" s="22" t="s">
        <v>10727</v>
      </c>
      <c r="L3030" s="56">
        <v>45093</v>
      </c>
      <c r="P3030" s="40"/>
      <c r="Q3030" s="61"/>
      <c r="R3030" s="61"/>
      <c r="S3030" s="40"/>
      <c r="T3030" s="38"/>
      <c r="U3030" s="38"/>
      <c r="V3030" s="38"/>
      <c r="W3030" s="60"/>
      <c r="AB3030" s="42"/>
      <c r="AC3030" s="35"/>
      <c r="AD3030" s="38"/>
      <c r="AE3030" s="38"/>
      <c r="AF3030" s="38"/>
      <c r="AG3030" s="38"/>
      <c r="AH3030" s="60"/>
    </row>
    <row r="3031" spans="1:34" ht="15.75" customHeight="1">
      <c r="A3031" s="133"/>
      <c r="B3031" s="18" t="s">
        <v>10728</v>
      </c>
      <c r="C3031" s="37" t="s">
        <v>24</v>
      </c>
      <c r="D3031" s="20" t="s">
        <v>10729</v>
      </c>
      <c r="E3031" s="20" t="s">
        <v>10730</v>
      </c>
      <c r="F3031" s="19" t="s">
        <v>27</v>
      </c>
      <c r="G3031" s="19" t="s">
        <v>28</v>
      </c>
      <c r="H3031" s="37"/>
      <c r="I3031" s="21" t="s">
        <v>29</v>
      </c>
      <c r="J3031" s="21" t="s">
        <v>29</v>
      </c>
      <c r="K3031" s="22" t="s">
        <v>10731</v>
      </c>
      <c r="L3031" s="56">
        <v>45093</v>
      </c>
      <c r="O3031" s="42"/>
      <c r="P3031" s="40"/>
      <c r="Q3031" s="61"/>
      <c r="R3031" s="61"/>
      <c r="S3031" s="40"/>
      <c r="T3031" s="38"/>
      <c r="U3031" s="38"/>
      <c r="V3031" s="38"/>
      <c r="W3031" s="60"/>
      <c r="AB3031" s="42"/>
      <c r="AC3031" s="35"/>
      <c r="AD3031" s="38"/>
      <c r="AE3031" s="38"/>
      <c r="AF3031" s="38"/>
      <c r="AG3031" s="38"/>
      <c r="AH3031" s="60"/>
    </row>
    <row r="3032" spans="1:34" ht="15.75" customHeight="1">
      <c r="A3032" s="133"/>
      <c r="B3032" s="18" t="s">
        <v>10732</v>
      </c>
      <c r="C3032" s="37" t="s">
        <v>87</v>
      </c>
      <c r="D3032" s="20" t="s">
        <v>10733</v>
      </c>
      <c r="E3032" s="20" t="s">
        <v>10734</v>
      </c>
      <c r="F3032" s="19" t="s">
        <v>90</v>
      </c>
      <c r="G3032" s="19" t="s">
        <v>91</v>
      </c>
      <c r="H3032" s="37"/>
      <c r="I3032" s="21" t="s">
        <v>29</v>
      </c>
      <c r="J3032" s="21" t="s">
        <v>29</v>
      </c>
      <c r="K3032" s="22" t="s">
        <v>10735</v>
      </c>
      <c r="L3032" s="56">
        <v>45093</v>
      </c>
      <c r="O3032" s="42"/>
      <c r="P3032" s="40"/>
      <c r="Q3032" s="61"/>
      <c r="R3032" s="61"/>
      <c r="S3032" s="40"/>
      <c r="T3032" s="38"/>
      <c r="U3032" s="38"/>
      <c r="V3032" s="38"/>
      <c r="W3032" s="60"/>
      <c r="AB3032" s="42"/>
      <c r="AC3032" s="35"/>
      <c r="AD3032" s="38"/>
      <c r="AE3032" s="38"/>
      <c r="AF3032" s="38"/>
      <c r="AG3032" s="38"/>
      <c r="AH3032" s="60"/>
    </row>
    <row r="3033" spans="1:34" ht="15.75" customHeight="1">
      <c r="A3033" s="133"/>
      <c r="B3033" s="18" t="s">
        <v>10736</v>
      </c>
      <c r="C3033" s="37" t="s">
        <v>24</v>
      </c>
      <c r="D3033" s="20" t="s">
        <v>10737</v>
      </c>
      <c r="E3033" s="20" t="s">
        <v>10738</v>
      </c>
      <c r="F3033" s="19" t="s">
        <v>27</v>
      </c>
      <c r="G3033" s="19" t="s">
        <v>28</v>
      </c>
      <c r="H3033" s="37"/>
      <c r="I3033" s="21" t="s">
        <v>29</v>
      </c>
      <c r="J3033" s="21" t="s">
        <v>29</v>
      </c>
      <c r="K3033" s="22" t="s">
        <v>10739</v>
      </c>
      <c r="L3033" s="56">
        <v>45093</v>
      </c>
      <c r="O3033" s="42"/>
      <c r="P3033" s="40"/>
      <c r="Q3033" s="61"/>
      <c r="R3033" s="61"/>
      <c r="S3033" s="40"/>
      <c r="T3033" s="38"/>
      <c r="U3033" s="38"/>
      <c r="V3033" s="38"/>
      <c r="W3033" s="60"/>
      <c r="AB3033" s="42"/>
      <c r="AC3033" s="35"/>
      <c r="AD3033" s="38"/>
      <c r="AE3033" s="38"/>
      <c r="AF3033" s="38"/>
      <c r="AG3033" s="38"/>
      <c r="AH3033" s="60"/>
    </row>
    <row r="3034" spans="1:34" ht="15.75" customHeight="1">
      <c r="A3034" s="35"/>
      <c r="B3034" s="38" t="s">
        <v>10740</v>
      </c>
      <c r="C3034" s="37" t="s">
        <v>1486</v>
      </c>
      <c r="D3034" s="20" t="s">
        <v>10741</v>
      </c>
      <c r="E3034" s="20"/>
      <c r="F3034" s="37" t="s">
        <v>1489</v>
      </c>
      <c r="G3034" s="37" t="s">
        <v>1490</v>
      </c>
      <c r="H3034" s="37"/>
      <c r="I3034" s="21" t="s">
        <v>1371</v>
      </c>
      <c r="J3034" s="21" t="s">
        <v>1371</v>
      </c>
      <c r="K3034" s="22"/>
      <c r="L3034" s="56">
        <v>45093</v>
      </c>
      <c r="O3034" s="42"/>
      <c r="P3034" s="40"/>
      <c r="Q3034" s="61"/>
      <c r="R3034" s="61"/>
      <c r="S3034" s="40"/>
      <c r="T3034" s="38"/>
      <c r="U3034" s="38"/>
      <c r="V3034" s="38"/>
      <c r="W3034" s="60"/>
      <c r="AB3034" s="42"/>
      <c r="AC3034" s="35"/>
      <c r="AD3034" s="38"/>
      <c r="AE3034" s="38"/>
      <c r="AF3034" s="38"/>
      <c r="AG3034" s="38"/>
      <c r="AH3034" s="60"/>
    </row>
    <row r="3035" spans="1:34" ht="15.75" customHeight="1">
      <c r="A3035" s="133"/>
      <c r="B3035" s="38" t="s">
        <v>10742</v>
      </c>
      <c r="C3035" s="37" t="s">
        <v>1366</v>
      </c>
      <c r="D3035" s="20" t="s">
        <v>10743</v>
      </c>
      <c r="E3035" s="20"/>
      <c r="F3035" s="55" t="s">
        <v>1369</v>
      </c>
      <c r="G3035" s="55" t="s">
        <v>1370</v>
      </c>
      <c r="H3035" s="37"/>
      <c r="I3035" s="21" t="s">
        <v>1371</v>
      </c>
      <c r="J3035" s="21" t="s">
        <v>1371</v>
      </c>
      <c r="K3035" s="22"/>
      <c r="L3035" s="56">
        <v>45093</v>
      </c>
      <c r="O3035" s="42"/>
      <c r="P3035" s="40"/>
      <c r="Q3035" s="61"/>
      <c r="R3035" s="61"/>
      <c r="S3035" s="40"/>
      <c r="T3035" s="38"/>
      <c r="U3035" s="38"/>
      <c r="V3035" s="38"/>
      <c r="W3035" s="60"/>
      <c r="AB3035" s="42"/>
      <c r="AC3035" s="35"/>
      <c r="AD3035" s="38"/>
      <c r="AE3035" s="38"/>
      <c r="AF3035" s="38"/>
      <c r="AG3035" s="38"/>
      <c r="AH3035" s="60"/>
    </row>
    <row r="3036" spans="1:34" ht="15.75" customHeight="1">
      <c r="A3036" s="133"/>
      <c r="B3036" s="18" t="s">
        <v>10744</v>
      </c>
      <c r="C3036" s="37" t="s">
        <v>1366</v>
      </c>
      <c r="D3036" s="20" t="s">
        <v>10745</v>
      </c>
      <c r="E3036" s="20" t="s">
        <v>10746</v>
      </c>
      <c r="F3036" s="55" t="s">
        <v>1369</v>
      </c>
      <c r="G3036" s="55" t="s">
        <v>1370</v>
      </c>
      <c r="H3036" s="37"/>
      <c r="I3036" s="21" t="s">
        <v>1371</v>
      </c>
      <c r="J3036" s="21" t="s">
        <v>1371</v>
      </c>
      <c r="K3036" s="22" t="s">
        <v>10747</v>
      </c>
      <c r="L3036" s="56">
        <v>45093</v>
      </c>
      <c r="O3036" s="42"/>
      <c r="P3036" s="40"/>
      <c r="Q3036" s="61"/>
      <c r="R3036" s="61"/>
      <c r="S3036" s="40"/>
      <c r="T3036" s="38"/>
      <c r="U3036" s="38"/>
      <c r="V3036" s="38"/>
      <c r="W3036" s="60"/>
      <c r="AB3036" s="42"/>
      <c r="AC3036" s="35"/>
      <c r="AD3036" s="38"/>
      <c r="AE3036" s="38"/>
      <c r="AF3036" s="38"/>
      <c r="AG3036" s="38"/>
      <c r="AH3036" s="60"/>
    </row>
    <row r="3037" spans="1:34" ht="15.75" customHeight="1">
      <c r="A3037" s="133"/>
      <c r="B3037" s="18" t="s">
        <v>10748</v>
      </c>
      <c r="C3037" s="37" t="s">
        <v>1366</v>
      </c>
      <c r="D3037" s="20" t="s">
        <v>10749</v>
      </c>
      <c r="E3037" s="20" t="s">
        <v>10750</v>
      </c>
      <c r="F3037" s="55" t="s">
        <v>1369</v>
      </c>
      <c r="G3037" s="55" t="s">
        <v>1370</v>
      </c>
      <c r="H3037" s="37"/>
      <c r="I3037" s="21" t="s">
        <v>1371</v>
      </c>
      <c r="J3037" s="21" t="s">
        <v>1371</v>
      </c>
      <c r="K3037" s="22" t="s">
        <v>10751</v>
      </c>
      <c r="L3037" s="56">
        <v>45093</v>
      </c>
      <c r="O3037" s="42"/>
      <c r="P3037" s="40"/>
      <c r="Q3037" s="61"/>
      <c r="R3037" s="61"/>
      <c r="S3037" s="40"/>
      <c r="T3037" s="38"/>
      <c r="U3037" s="38"/>
      <c r="V3037" s="38"/>
      <c r="W3037" s="60"/>
      <c r="AB3037" s="42"/>
      <c r="AC3037" s="35"/>
      <c r="AD3037" s="38"/>
      <c r="AE3037" s="38"/>
      <c r="AF3037" s="38"/>
      <c r="AG3037" s="38"/>
      <c r="AH3037" s="60"/>
    </row>
    <row r="3038" spans="1:34" ht="15.75" customHeight="1">
      <c r="A3038" s="133"/>
      <c r="B3038" s="29" t="s">
        <v>10666</v>
      </c>
      <c r="C3038" s="37" t="s">
        <v>24</v>
      </c>
      <c r="D3038" s="20" t="s">
        <v>10667</v>
      </c>
      <c r="E3038" s="20" t="s">
        <v>10752</v>
      </c>
      <c r="F3038" s="19" t="s">
        <v>27</v>
      </c>
      <c r="G3038" s="19" t="s">
        <v>28</v>
      </c>
      <c r="H3038" s="37"/>
      <c r="I3038" s="21" t="s">
        <v>29</v>
      </c>
      <c r="J3038" s="21" t="s">
        <v>29</v>
      </c>
      <c r="K3038" s="22" t="s">
        <v>10753</v>
      </c>
      <c r="L3038" s="39"/>
      <c r="O3038" s="42"/>
      <c r="P3038" s="40"/>
      <c r="Q3038" s="61"/>
      <c r="R3038" s="61"/>
      <c r="S3038" s="40"/>
      <c r="T3038" s="38"/>
      <c r="U3038" s="38"/>
      <c r="V3038" s="38"/>
      <c r="W3038" s="60"/>
      <c r="AB3038" s="42"/>
      <c r="AC3038" s="35"/>
      <c r="AD3038" s="38"/>
      <c r="AE3038" s="38"/>
      <c r="AF3038" s="38"/>
      <c r="AG3038" s="38"/>
      <c r="AH3038" s="60"/>
    </row>
    <row r="3039" spans="1:34" ht="15.75" customHeight="1">
      <c r="A3039" s="38"/>
      <c r="B3039" s="38"/>
      <c r="C3039" s="37"/>
      <c r="D3039" s="20"/>
      <c r="E3039" s="20"/>
      <c r="F3039" s="37"/>
      <c r="G3039" s="37"/>
      <c r="H3039" s="37"/>
      <c r="I3039" s="21"/>
      <c r="J3039" s="21"/>
      <c r="K3039" s="22"/>
      <c r="L3039" s="56"/>
      <c r="M3039" s="40"/>
      <c r="O3039" s="42"/>
      <c r="P3039" s="40"/>
      <c r="Q3039" s="61"/>
      <c r="R3039" s="61"/>
      <c r="S3039" s="40"/>
      <c r="T3039" s="38"/>
      <c r="U3039" s="38"/>
      <c r="V3039" s="38"/>
      <c r="W3039" s="60"/>
      <c r="AB3039" s="42"/>
      <c r="AC3039" s="35"/>
      <c r="AD3039" s="38"/>
      <c r="AE3039" s="38"/>
      <c r="AF3039" s="38"/>
      <c r="AG3039" s="38"/>
      <c r="AH3039" s="60"/>
    </row>
    <row r="3040" spans="1:34" ht="15.75" customHeight="1">
      <c r="A3040" s="18" t="s">
        <v>10754</v>
      </c>
      <c r="B3040" s="29" t="s">
        <v>10755</v>
      </c>
      <c r="C3040" s="37" t="s">
        <v>46</v>
      </c>
      <c r="D3040" s="20" t="s">
        <v>10756</v>
      </c>
      <c r="E3040" s="20" t="s">
        <v>10757</v>
      </c>
      <c r="F3040" s="37" t="s">
        <v>286</v>
      </c>
      <c r="G3040" s="19" t="s">
        <v>50</v>
      </c>
      <c r="H3040" s="37"/>
      <c r="I3040" s="21" t="s">
        <v>286</v>
      </c>
      <c r="J3040" s="21" t="s">
        <v>29</v>
      </c>
      <c r="K3040" s="22" t="s">
        <v>10757</v>
      </c>
      <c r="L3040" s="56"/>
      <c r="M3040" s="40"/>
      <c r="O3040" s="42"/>
      <c r="P3040" s="40"/>
      <c r="Q3040" s="61"/>
      <c r="R3040" s="61"/>
      <c r="S3040" s="40"/>
      <c r="T3040" s="38"/>
      <c r="U3040" s="38"/>
      <c r="V3040" s="38"/>
      <c r="W3040" s="60"/>
      <c r="AB3040" s="42"/>
      <c r="AC3040" s="35"/>
      <c r="AD3040" s="38"/>
      <c r="AE3040" s="38"/>
      <c r="AF3040" s="38"/>
      <c r="AG3040" s="38"/>
      <c r="AH3040" s="60"/>
    </row>
    <row r="3041" spans="1:34" ht="15.75" customHeight="1">
      <c r="A3041" s="54" t="s">
        <v>9663</v>
      </c>
      <c r="B3041" s="18" t="s">
        <v>10758</v>
      </c>
      <c r="C3041" s="37" t="s">
        <v>228</v>
      </c>
      <c r="D3041" s="20" t="s">
        <v>10759</v>
      </c>
      <c r="E3041" s="20"/>
      <c r="F3041" s="19" t="s">
        <v>231</v>
      </c>
      <c r="G3041" s="19" t="s">
        <v>232</v>
      </c>
      <c r="H3041" s="37"/>
      <c r="I3041" s="21" t="s">
        <v>233</v>
      </c>
      <c r="J3041" s="21" t="s">
        <v>233</v>
      </c>
      <c r="K3041" s="22"/>
      <c r="L3041" s="56">
        <v>45096</v>
      </c>
      <c r="M3041" s="40"/>
      <c r="O3041" s="42"/>
      <c r="P3041" s="40"/>
      <c r="Q3041" s="61"/>
      <c r="R3041" s="61"/>
      <c r="S3041" s="40"/>
      <c r="T3041" s="38"/>
      <c r="U3041" s="38"/>
      <c r="V3041" s="38"/>
      <c r="W3041" s="60"/>
      <c r="AB3041" s="42"/>
      <c r="AC3041" s="35"/>
      <c r="AD3041" s="38"/>
      <c r="AE3041" s="38"/>
      <c r="AF3041" s="38"/>
      <c r="AG3041" s="38"/>
      <c r="AH3041" s="60"/>
    </row>
    <row r="3042" spans="1:34" ht="15.75" customHeight="1">
      <c r="A3042" s="114" t="s">
        <v>39</v>
      </c>
      <c r="B3042" s="36" t="s">
        <v>10760</v>
      </c>
      <c r="C3042" s="37" t="s">
        <v>121</v>
      </c>
      <c r="D3042" s="20" t="s">
        <v>10761</v>
      </c>
      <c r="E3042" s="20" t="s">
        <v>10762</v>
      </c>
      <c r="F3042" s="19" t="s">
        <v>90</v>
      </c>
      <c r="G3042" s="19" t="s">
        <v>91</v>
      </c>
      <c r="H3042" s="19" t="s">
        <v>36</v>
      </c>
      <c r="I3042" s="21" t="s">
        <v>29</v>
      </c>
      <c r="J3042" s="21" t="s">
        <v>29</v>
      </c>
      <c r="K3042" s="22" t="s">
        <v>10763</v>
      </c>
      <c r="L3042" s="56">
        <v>45096</v>
      </c>
      <c r="O3042" s="42"/>
      <c r="P3042" s="40"/>
      <c r="Q3042" s="61"/>
      <c r="R3042" s="61"/>
      <c r="S3042" s="40"/>
      <c r="T3042" s="38"/>
      <c r="U3042" s="38"/>
      <c r="V3042" s="38"/>
      <c r="W3042" s="60"/>
      <c r="AB3042" s="42"/>
      <c r="AC3042" s="35"/>
      <c r="AD3042" s="38"/>
      <c r="AE3042" s="38"/>
      <c r="AF3042" s="38"/>
      <c r="AG3042" s="38"/>
      <c r="AH3042" s="60"/>
    </row>
    <row r="3043" spans="1:34" ht="15.75" customHeight="1">
      <c r="A3043" s="38" t="s">
        <v>10522</v>
      </c>
      <c r="B3043" s="29" t="s">
        <v>10764</v>
      </c>
      <c r="C3043" s="37" t="s">
        <v>24</v>
      </c>
      <c r="D3043" s="20" t="s">
        <v>10765</v>
      </c>
      <c r="E3043" s="20" t="s">
        <v>10766</v>
      </c>
      <c r="F3043" s="19" t="s">
        <v>27</v>
      </c>
      <c r="G3043" s="19" t="s">
        <v>28</v>
      </c>
      <c r="H3043" s="37"/>
      <c r="I3043" s="21" t="s">
        <v>29</v>
      </c>
      <c r="J3043" s="21" t="s">
        <v>29</v>
      </c>
      <c r="K3043" s="22" t="s">
        <v>10767</v>
      </c>
      <c r="L3043" s="56">
        <v>45096</v>
      </c>
      <c r="O3043" s="42"/>
      <c r="P3043" s="40"/>
      <c r="Q3043" s="61"/>
      <c r="R3043" s="61"/>
      <c r="S3043" s="40"/>
      <c r="T3043" s="38"/>
      <c r="U3043" s="38"/>
      <c r="V3043" s="38"/>
      <c r="W3043" s="60"/>
      <c r="AB3043" s="42"/>
      <c r="AC3043" s="35"/>
      <c r="AD3043" s="38"/>
      <c r="AE3043" s="38"/>
      <c r="AF3043" s="38"/>
      <c r="AG3043" s="38"/>
      <c r="AH3043" s="60"/>
    </row>
    <row r="3044" spans="1:34" ht="15.75" customHeight="1">
      <c r="A3044" s="38" t="s">
        <v>10768</v>
      </c>
      <c r="B3044" s="18" t="s">
        <v>10769</v>
      </c>
      <c r="C3044" s="37" t="s">
        <v>228</v>
      </c>
      <c r="D3044" s="20" t="s">
        <v>10770</v>
      </c>
      <c r="E3044" s="20" t="s">
        <v>10771</v>
      </c>
      <c r="F3044" s="19" t="s">
        <v>231</v>
      </c>
      <c r="G3044" s="19" t="s">
        <v>232</v>
      </c>
      <c r="H3044" s="37"/>
      <c r="I3044" s="21" t="s">
        <v>233</v>
      </c>
      <c r="J3044" s="21" t="s">
        <v>233</v>
      </c>
      <c r="K3044" s="22" t="s">
        <v>10772</v>
      </c>
      <c r="L3044" s="56">
        <v>45096</v>
      </c>
      <c r="O3044" s="42"/>
      <c r="P3044" s="40"/>
      <c r="Q3044" s="61"/>
      <c r="R3044" s="61"/>
      <c r="S3044" s="40"/>
      <c r="T3044" s="38"/>
      <c r="U3044" s="38"/>
      <c r="V3044" s="38"/>
      <c r="W3044" s="60"/>
      <c r="AB3044" s="42"/>
      <c r="AC3044" s="35"/>
      <c r="AD3044" s="38"/>
      <c r="AE3044" s="38"/>
      <c r="AF3044" s="38"/>
      <c r="AG3044" s="38"/>
      <c r="AH3044" s="60"/>
    </row>
    <row r="3045" spans="1:34" ht="15.75" customHeight="1">
      <c r="A3045" s="111" t="s">
        <v>56</v>
      </c>
      <c r="B3045" s="18" t="s">
        <v>10773</v>
      </c>
      <c r="C3045" s="37" t="s">
        <v>87</v>
      </c>
      <c r="D3045" s="20" t="s">
        <v>10774</v>
      </c>
      <c r="E3045" s="20" t="s">
        <v>10775</v>
      </c>
      <c r="F3045" s="37" t="s">
        <v>49</v>
      </c>
      <c r="G3045" s="19" t="s">
        <v>50</v>
      </c>
      <c r="H3045" s="37"/>
      <c r="I3045" s="21" t="s">
        <v>29</v>
      </c>
      <c r="J3045" s="21" t="s">
        <v>29</v>
      </c>
      <c r="K3045" s="22" t="s">
        <v>10776</v>
      </c>
      <c r="L3045" s="56">
        <v>45096</v>
      </c>
      <c r="O3045" s="42"/>
      <c r="P3045" s="40"/>
      <c r="Q3045" s="61"/>
      <c r="R3045" s="61"/>
      <c r="S3045" s="40"/>
      <c r="T3045" s="38"/>
      <c r="U3045" s="38"/>
      <c r="V3045" s="38"/>
      <c r="W3045" s="60"/>
      <c r="AB3045" s="42"/>
      <c r="AC3045" s="35"/>
      <c r="AD3045" s="38"/>
      <c r="AE3045" s="38"/>
      <c r="AF3045" s="38"/>
      <c r="AG3045" s="38"/>
      <c r="AH3045" s="60"/>
    </row>
    <row r="3046" spans="1:34" ht="15.75" customHeight="1">
      <c r="A3046" s="75">
        <v>51</v>
      </c>
      <c r="B3046" s="18" t="s">
        <v>10777</v>
      </c>
      <c r="C3046" s="37" t="s">
        <v>87</v>
      </c>
      <c r="D3046" s="20" t="s">
        <v>10778</v>
      </c>
      <c r="E3046" s="20" t="s">
        <v>10779</v>
      </c>
      <c r="F3046" s="19" t="s">
        <v>90</v>
      </c>
      <c r="G3046" s="19" t="s">
        <v>91</v>
      </c>
      <c r="H3046" s="37"/>
      <c r="I3046" s="21" t="s">
        <v>29</v>
      </c>
      <c r="J3046" s="21" t="s">
        <v>29</v>
      </c>
      <c r="K3046" s="22" t="s">
        <v>10780</v>
      </c>
      <c r="L3046" s="56">
        <v>45096</v>
      </c>
      <c r="O3046" s="42"/>
      <c r="P3046" s="40"/>
      <c r="Q3046" s="61"/>
      <c r="R3046" s="61"/>
      <c r="S3046" s="40"/>
      <c r="T3046" s="38"/>
      <c r="U3046" s="38"/>
      <c r="V3046" s="38"/>
      <c r="W3046" s="60"/>
      <c r="AB3046" s="42"/>
      <c r="AC3046" s="35"/>
      <c r="AD3046" s="38"/>
      <c r="AE3046" s="38"/>
      <c r="AF3046" s="38"/>
      <c r="AG3046" s="38"/>
      <c r="AH3046" s="60"/>
    </row>
    <row r="3047" spans="1:34" ht="15.75" customHeight="1">
      <c r="A3047" s="111" t="s">
        <v>64</v>
      </c>
      <c r="B3047" s="18" t="s">
        <v>10781</v>
      </c>
      <c r="C3047" s="55" t="s">
        <v>24</v>
      </c>
      <c r="D3047" s="20" t="s">
        <v>10782</v>
      </c>
      <c r="E3047" s="20" t="s">
        <v>10783</v>
      </c>
      <c r="F3047" s="19" t="s">
        <v>27</v>
      </c>
      <c r="G3047" s="19" t="s">
        <v>28</v>
      </c>
      <c r="H3047" s="55"/>
      <c r="I3047" s="21" t="s">
        <v>29</v>
      </c>
      <c r="J3047" s="21" t="s">
        <v>29</v>
      </c>
      <c r="K3047" s="22" t="s">
        <v>10784</v>
      </c>
      <c r="L3047" s="56">
        <v>45096</v>
      </c>
      <c r="O3047" s="42"/>
      <c r="P3047" s="40"/>
      <c r="Q3047" s="61"/>
      <c r="R3047" s="61"/>
      <c r="S3047" s="40"/>
      <c r="T3047" s="38"/>
      <c r="U3047" s="38"/>
      <c r="V3047" s="38"/>
      <c r="W3047" s="60"/>
      <c r="AB3047" s="42"/>
      <c r="AC3047" s="35"/>
      <c r="AD3047" s="38"/>
      <c r="AE3047" s="38"/>
      <c r="AF3047" s="38"/>
      <c r="AG3047" s="38"/>
      <c r="AH3047" s="60"/>
    </row>
    <row r="3048" spans="1:34" ht="15.75" customHeight="1">
      <c r="A3048" s="75">
        <v>3</v>
      </c>
      <c r="B3048" s="18" t="s">
        <v>10785</v>
      </c>
      <c r="C3048" s="37" t="s">
        <v>87</v>
      </c>
      <c r="D3048" s="20" t="s">
        <v>10786</v>
      </c>
      <c r="E3048" s="20" t="s">
        <v>10787</v>
      </c>
      <c r="F3048" s="19" t="s">
        <v>90</v>
      </c>
      <c r="G3048" s="19" t="s">
        <v>91</v>
      </c>
      <c r="H3048" s="37"/>
      <c r="I3048" s="21" t="s">
        <v>29</v>
      </c>
      <c r="J3048" s="21" t="s">
        <v>29</v>
      </c>
      <c r="K3048" s="22" t="s">
        <v>10788</v>
      </c>
      <c r="L3048" s="56">
        <v>45096</v>
      </c>
      <c r="O3048" s="42"/>
      <c r="P3048" s="40"/>
      <c r="Q3048" s="61"/>
      <c r="R3048" s="61"/>
      <c r="S3048" s="40"/>
      <c r="T3048" s="38"/>
      <c r="U3048" s="38"/>
      <c r="V3048" s="38"/>
      <c r="W3048" s="60"/>
      <c r="AB3048" s="42"/>
      <c r="AC3048" s="35"/>
      <c r="AD3048" s="38"/>
      <c r="AE3048" s="38"/>
      <c r="AF3048" s="38"/>
      <c r="AG3048" s="38"/>
      <c r="AH3048" s="60"/>
    </row>
    <row r="3049" spans="1:34" ht="15.75" customHeight="1">
      <c r="A3049" s="111" t="s">
        <v>73</v>
      </c>
      <c r="B3049" s="18" t="s">
        <v>10789</v>
      </c>
      <c r="C3049" s="37" t="s">
        <v>46</v>
      </c>
      <c r="D3049" s="20" t="s">
        <v>10790</v>
      </c>
      <c r="E3049" s="20" t="s">
        <v>10791</v>
      </c>
      <c r="F3049" s="37" t="s">
        <v>49</v>
      </c>
      <c r="G3049" s="19" t="s">
        <v>50</v>
      </c>
      <c r="H3049" s="37"/>
      <c r="I3049" s="21" t="s">
        <v>29</v>
      </c>
      <c r="J3049" s="21" t="s">
        <v>29</v>
      </c>
      <c r="K3049" s="22" t="s">
        <v>10792</v>
      </c>
      <c r="L3049" s="56">
        <v>45096</v>
      </c>
      <c r="O3049" s="42"/>
      <c r="P3049" s="40"/>
      <c r="Q3049" s="61"/>
      <c r="R3049" s="61"/>
      <c r="S3049" s="40"/>
      <c r="T3049" s="38"/>
      <c r="U3049" s="38"/>
      <c r="V3049" s="38"/>
      <c r="W3049" s="60"/>
      <c r="AB3049" s="42"/>
      <c r="AC3049" s="35"/>
      <c r="AD3049" s="38"/>
      <c r="AE3049" s="38"/>
      <c r="AF3049" s="38"/>
      <c r="AG3049" s="38"/>
      <c r="AH3049" s="60"/>
    </row>
    <row r="3050" spans="1:34" ht="15.75" customHeight="1">
      <c r="A3050" s="75">
        <v>3.6</v>
      </c>
      <c r="B3050" s="18" t="s">
        <v>10793</v>
      </c>
      <c r="C3050" s="37" t="s">
        <v>24</v>
      </c>
      <c r="D3050" s="20" t="s">
        <v>10794</v>
      </c>
      <c r="E3050" s="20" t="s">
        <v>10795</v>
      </c>
      <c r="F3050" s="19" t="s">
        <v>27</v>
      </c>
      <c r="G3050" s="19" t="s">
        <v>28</v>
      </c>
      <c r="H3050" s="37"/>
      <c r="I3050" s="21" t="s">
        <v>29</v>
      </c>
      <c r="J3050" s="21" t="s">
        <v>29</v>
      </c>
      <c r="K3050" s="22" t="s">
        <v>10796</v>
      </c>
      <c r="L3050" s="56">
        <v>45096</v>
      </c>
      <c r="O3050" s="42"/>
      <c r="P3050" s="40"/>
      <c r="Q3050" s="61"/>
      <c r="R3050" s="61"/>
      <c r="S3050" s="40"/>
      <c r="T3050" s="38"/>
      <c r="U3050" s="38"/>
      <c r="V3050" s="38"/>
      <c r="W3050" s="60"/>
      <c r="AB3050" s="42"/>
      <c r="AC3050" s="35"/>
      <c r="AD3050" s="38"/>
      <c r="AE3050" s="38"/>
      <c r="AF3050" s="38"/>
      <c r="AG3050" s="38"/>
      <c r="AH3050" s="60"/>
    </row>
    <row r="3051" spans="1:34" ht="15.75" customHeight="1">
      <c r="A3051" s="111" t="s">
        <v>82</v>
      </c>
      <c r="B3051" s="18" t="s">
        <v>10797</v>
      </c>
      <c r="C3051" s="37" t="s">
        <v>1470</v>
      </c>
      <c r="D3051" s="20" t="s">
        <v>10798</v>
      </c>
      <c r="E3051" s="20" t="s">
        <v>10799</v>
      </c>
      <c r="F3051" s="19" t="s">
        <v>3286</v>
      </c>
      <c r="G3051" s="37" t="s">
        <v>1461</v>
      </c>
      <c r="H3051" s="37"/>
      <c r="I3051" s="21" t="s">
        <v>233</v>
      </c>
      <c r="J3051" s="21" t="s">
        <v>233</v>
      </c>
      <c r="K3051" s="22" t="s">
        <v>10800</v>
      </c>
      <c r="L3051" s="56">
        <v>45096</v>
      </c>
      <c r="O3051" s="42"/>
      <c r="P3051" s="40"/>
      <c r="Q3051" s="61"/>
      <c r="R3051" s="61"/>
      <c r="S3051" s="40"/>
      <c r="T3051" s="38"/>
      <c r="U3051" s="38"/>
      <c r="V3051" s="38"/>
      <c r="W3051" s="60"/>
      <c r="AB3051" s="42"/>
      <c r="AC3051" s="35"/>
      <c r="AD3051" s="38"/>
      <c r="AE3051" s="38"/>
      <c r="AF3051" s="38"/>
      <c r="AG3051" s="38"/>
      <c r="AH3051" s="60"/>
    </row>
    <row r="3052" spans="1:34" ht="15.75" customHeight="1">
      <c r="A3052" s="75" t="s">
        <v>10801</v>
      </c>
      <c r="B3052" s="18" t="s">
        <v>10802</v>
      </c>
      <c r="C3052" s="37" t="s">
        <v>228</v>
      </c>
      <c r="D3052" s="20" t="s">
        <v>10803</v>
      </c>
      <c r="E3052" s="20" t="s">
        <v>10804</v>
      </c>
      <c r="F3052" s="19" t="s">
        <v>231</v>
      </c>
      <c r="G3052" s="19" t="s">
        <v>232</v>
      </c>
      <c r="H3052" s="37"/>
      <c r="I3052" s="21" t="s">
        <v>233</v>
      </c>
      <c r="J3052" s="21" t="s">
        <v>233</v>
      </c>
      <c r="K3052" s="22" t="s">
        <v>10805</v>
      </c>
      <c r="L3052" s="56">
        <v>45096</v>
      </c>
      <c r="O3052" s="42"/>
      <c r="P3052" s="40"/>
      <c r="Q3052" s="61"/>
      <c r="R3052" s="61"/>
      <c r="S3052" s="40"/>
      <c r="T3052" s="38"/>
      <c r="U3052" s="38"/>
      <c r="V3052" s="38"/>
      <c r="W3052" s="60"/>
      <c r="AB3052" s="42"/>
      <c r="AC3052" s="35"/>
      <c r="AD3052" s="38"/>
      <c r="AE3052" s="38"/>
      <c r="AF3052" s="38"/>
      <c r="AG3052" s="38"/>
      <c r="AH3052" s="60"/>
    </row>
    <row r="3053" spans="1:34" ht="15.75" customHeight="1">
      <c r="A3053" s="111" t="s">
        <v>92</v>
      </c>
      <c r="B3053" s="36" t="s">
        <v>10806</v>
      </c>
      <c r="C3053" s="19" t="s">
        <v>121</v>
      </c>
      <c r="D3053" s="20" t="s">
        <v>10807</v>
      </c>
      <c r="E3053" s="20" t="s">
        <v>10808</v>
      </c>
      <c r="F3053" s="19" t="s">
        <v>90</v>
      </c>
      <c r="G3053" s="37" t="s">
        <v>452</v>
      </c>
      <c r="H3053" s="37"/>
      <c r="I3053" s="21" t="s">
        <v>29</v>
      </c>
      <c r="J3053" s="21" t="s">
        <v>452</v>
      </c>
      <c r="K3053" s="22" t="s">
        <v>10809</v>
      </c>
      <c r="L3053" s="56">
        <v>45096</v>
      </c>
      <c r="O3053" s="42"/>
      <c r="P3053" s="40"/>
      <c r="Q3053" s="61"/>
      <c r="R3053" s="61"/>
      <c r="S3053" s="40"/>
      <c r="T3053" s="38"/>
      <c r="U3053" s="38"/>
      <c r="V3053" s="38"/>
      <c r="W3053" s="60"/>
      <c r="AB3053" s="42"/>
      <c r="AC3053" s="35"/>
      <c r="AD3053" s="38"/>
      <c r="AE3053" s="38"/>
      <c r="AF3053" s="38"/>
      <c r="AG3053" s="38"/>
      <c r="AH3053" s="60"/>
    </row>
    <row r="3054" spans="1:34" ht="15.75" customHeight="1">
      <c r="A3054" s="112">
        <v>512</v>
      </c>
      <c r="B3054" s="18" t="s">
        <v>10810</v>
      </c>
      <c r="C3054" s="37" t="s">
        <v>46</v>
      </c>
      <c r="D3054" s="20" t="s">
        <v>10811</v>
      </c>
      <c r="E3054" s="20" t="s">
        <v>10812</v>
      </c>
      <c r="F3054" s="37" t="s">
        <v>49</v>
      </c>
      <c r="G3054" s="19" t="s">
        <v>50</v>
      </c>
      <c r="H3054" s="37"/>
      <c r="I3054" s="21" t="s">
        <v>29</v>
      </c>
      <c r="J3054" s="21" t="s">
        <v>29</v>
      </c>
      <c r="K3054" s="22" t="s">
        <v>10812</v>
      </c>
      <c r="L3054" s="56">
        <v>45096</v>
      </c>
      <c r="O3054" s="42"/>
      <c r="P3054" s="40"/>
      <c r="Q3054" s="61"/>
      <c r="R3054" s="61"/>
      <c r="S3054" s="40"/>
      <c r="T3054" s="38"/>
      <c r="U3054" s="38"/>
      <c r="V3054" s="38"/>
      <c r="W3054" s="60"/>
      <c r="AB3054" s="42"/>
      <c r="AC3054" s="35"/>
      <c r="AD3054" s="38"/>
      <c r="AE3054" s="38"/>
      <c r="AF3054" s="38"/>
      <c r="AG3054" s="38"/>
      <c r="AH3054" s="60"/>
    </row>
    <row r="3055" spans="1:34" ht="15.75" customHeight="1">
      <c r="A3055" s="111" t="s">
        <v>100</v>
      </c>
      <c r="B3055" s="29" t="s">
        <v>10813</v>
      </c>
      <c r="C3055" s="37" t="s">
        <v>1486</v>
      </c>
      <c r="D3055" s="20" t="s">
        <v>10814</v>
      </c>
      <c r="E3055" s="20"/>
      <c r="F3055" s="37" t="s">
        <v>286</v>
      </c>
      <c r="G3055" s="37" t="s">
        <v>1490</v>
      </c>
      <c r="H3055" s="37"/>
      <c r="I3055" s="21" t="s">
        <v>286</v>
      </c>
      <c r="J3055" s="21" t="s">
        <v>1371</v>
      </c>
      <c r="K3055" s="22"/>
      <c r="L3055" s="56"/>
      <c r="O3055" s="42"/>
      <c r="P3055" s="40"/>
      <c r="Q3055" s="61"/>
      <c r="R3055" s="61"/>
      <c r="S3055" s="40"/>
      <c r="T3055" s="38"/>
      <c r="U3055" s="38"/>
      <c r="V3055" s="38"/>
      <c r="W3055" s="60"/>
      <c r="AB3055" s="42"/>
      <c r="AC3055" s="35"/>
      <c r="AD3055" s="38"/>
      <c r="AE3055" s="38"/>
      <c r="AF3055" s="38"/>
      <c r="AG3055" s="38"/>
      <c r="AH3055" s="60"/>
    </row>
    <row r="3056" spans="1:34" ht="15.75" customHeight="1">
      <c r="A3056" s="75">
        <v>163</v>
      </c>
      <c r="B3056" s="18" t="s">
        <v>10815</v>
      </c>
      <c r="C3056" s="37" t="s">
        <v>24</v>
      </c>
      <c r="D3056" s="20" t="s">
        <v>10816</v>
      </c>
      <c r="E3056" s="20" t="s">
        <v>10817</v>
      </c>
      <c r="F3056" s="19" t="s">
        <v>27</v>
      </c>
      <c r="G3056" s="19" t="s">
        <v>28</v>
      </c>
      <c r="H3056" s="37"/>
      <c r="I3056" s="21" t="s">
        <v>29</v>
      </c>
      <c r="J3056" s="21" t="s">
        <v>29</v>
      </c>
      <c r="K3056" s="22" t="s">
        <v>10818</v>
      </c>
      <c r="L3056" s="56">
        <v>45096</v>
      </c>
      <c r="O3056" s="42"/>
      <c r="P3056" s="40"/>
      <c r="Q3056" s="61"/>
      <c r="R3056" s="61"/>
      <c r="S3056" s="40"/>
      <c r="T3056" s="38"/>
      <c r="U3056" s="38"/>
      <c r="V3056" s="38"/>
      <c r="W3056" s="60"/>
      <c r="AB3056" s="42"/>
      <c r="AC3056" s="35"/>
      <c r="AD3056" s="38"/>
      <c r="AE3056" s="38"/>
      <c r="AF3056" s="38"/>
      <c r="AG3056" s="38"/>
      <c r="AH3056" s="60"/>
    </row>
    <row r="3057" spans="1:34" ht="15.75" customHeight="1">
      <c r="B3057" s="18" t="s">
        <v>10819</v>
      </c>
      <c r="C3057" s="37" t="s">
        <v>24</v>
      </c>
      <c r="D3057" s="20" t="s">
        <v>10820</v>
      </c>
      <c r="E3057" s="20" t="s">
        <v>10821</v>
      </c>
      <c r="F3057" s="19" t="s">
        <v>27</v>
      </c>
      <c r="G3057" s="19" t="s">
        <v>28</v>
      </c>
      <c r="H3057" s="19" t="s">
        <v>36</v>
      </c>
      <c r="I3057" s="21" t="s">
        <v>29</v>
      </c>
      <c r="J3057" s="21" t="s">
        <v>29</v>
      </c>
      <c r="K3057" s="22" t="s">
        <v>10822</v>
      </c>
      <c r="L3057" s="56">
        <v>45096</v>
      </c>
      <c r="O3057" s="42"/>
      <c r="P3057" s="40"/>
      <c r="Q3057" s="61"/>
      <c r="R3057" s="61"/>
      <c r="S3057" s="40"/>
      <c r="T3057" s="38"/>
      <c r="U3057" s="38"/>
      <c r="V3057" s="38"/>
      <c r="W3057" s="60"/>
      <c r="AB3057" s="42"/>
      <c r="AC3057" s="35"/>
      <c r="AD3057" s="38"/>
      <c r="AE3057" s="38"/>
      <c r="AF3057" s="38"/>
      <c r="AG3057" s="38"/>
      <c r="AH3057" s="60"/>
    </row>
    <row r="3058" spans="1:34" ht="15.75" customHeight="1">
      <c r="B3058" s="18" t="s">
        <v>10823</v>
      </c>
      <c r="C3058" s="37" t="s">
        <v>87</v>
      </c>
      <c r="D3058" s="20" t="s">
        <v>10824</v>
      </c>
      <c r="E3058" s="20" t="s">
        <v>10825</v>
      </c>
      <c r="F3058" s="19" t="s">
        <v>90</v>
      </c>
      <c r="G3058" s="19" t="s">
        <v>91</v>
      </c>
      <c r="H3058" s="37"/>
      <c r="I3058" s="21" t="s">
        <v>29</v>
      </c>
      <c r="J3058" s="21" t="s">
        <v>29</v>
      </c>
      <c r="K3058" s="22" t="s">
        <v>10825</v>
      </c>
      <c r="L3058" s="56">
        <v>45096</v>
      </c>
      <c r="O3058" s="42"/>
      <c r="P3058" s="40"/>
      <c r="Q3058" s="61"/>
      <c r="R3058" s="61"/>
      <c r="S3058" s="40"/>
      <c r="T3058" s="38"/>
      <c r="U3058" s="38"/>
      <c r="V3058" s="38"/>
      <c r="W3058" s="60"/>
      <c r="AB3058" s="42"/>
      <c r="AC3058" s="35"/>
      <c r="AD3058" s="38"/>
      <c r="AE3058" s="38"/>
      <c r="AF3058" s="38"/>
      <c r="AG3058" s="38"/>
      <c r="AH3058" s="60"/>
    </row>
    <row r="3059" spans="1:34" ht="15.75" customHeight="1">
      <c r="A3059" s="35"/>
      <c r="B3059" s="18" t="s">
        <v>10826</v>
      </c>
      <c r="C3059" s="37" t="s">
        <v>24</v>
      </c>
      <c r="D3059" s="20" t="s">
        <v>10827</v>
      </c>
      <c r="E3059" s="20" t="s">
        <v>10828</v>
      </c>
      <c r="F3059" s="19" t="s">
        <v>27</v>
      </c>
      <c r="G3059" s="19" t="s">
        <v>28</v>
      </c>
      <c r="H3059" s="37"/>
      <c r="I3059" s="21" t="s">
        <v>29</v>
      </c>
      <c r="J3059" s="21" t="s">
        <v>29</v>
      </c>
      <c r="K3059" s="22" t="s">
        <v>10829</v>
      </c>
      <c r="L3059" s="56">
        <v>45096</v>
      </c>
      <c r="O3059" s="42"/>
      <c r="P3059" s="40"/>
      <c r="Q3059" s="61"/>
      <c r="R3059" s="61"/>
      <c r="S3059" s="40"/>
      <c r="T3059" s="38"/>
      <c r="U3059" s="38"/>
      <c r="V3059" s="38"/>
      <c r="W3059" s="60"/>
      <c r="AB3059" s="42"/>
      <c r="AC3059" s="35"/>
      <c r="AD3059" s="38"/>
      <c r="AE3059" s="38"/>
      <c r="AF3059" s="38"/>
      <c r="AG3059" s="38"/>
      <c r="AH3059" s="60"/>
    </row>
    <row r="3060" spans="1:34" ht="15.75" customHeight="1">
      <c r="A3060" s="134"/>
      <c r="B3060" s="18" t="s">
        <v>10830</v>
      </c>
      <c r="C3060" s="37" t="s">
        <v>24</v>
      </c>
      <c r="D3060" s="20" t="s">
        <v>10831</v>
      </c>
      <c r="E3060" s="20" t="s">
        <v>10832</v>
      </c>
      <c r="F3060" s="19" t="s">
        <v>27</v>
      </c>
      <c r="G3060" s="19" t="s">
        <v>28</v>
      </c>
      <c r="H3060" s="37"/>
      <c r="I3060" s="21" t="s">
        <v>29</v>
      </c>
      <c r="J3060" s="21" t="s">
        <v>29</v>
      </c>
      <c r="K3060" s="22" t="s">
        <v>10833</v>
      </c>
      <c r="L3060" s="56">
        <v>45096</v>
      </c>
      <c r="O3060" s="42"/>
      <c r="P3060" s="40"/>
      <c r="Q3060" s="61"/>
      <c r="R3060" s="61"/>
      <c r="S3060" s="40"/>
      <c r="T3060" s="38"/>
      <c r="U3060" s="38"/>
      <c r="V3060" s="38"/>
      <c r="W3060" s="60"/>
      <c r="AB3060" s="42"/>
      <c r="AC3060" s="35"/>
      <c r="AD3060" s="38"/>
      <c r="AE3060" s="38"/>
      <c r="AF3060" s="38"/>
      <c r="AG3060" s="38"/>
      <c r="AH3060" s="60"/>
    </row>
    <row r="3061" spans="1:34" ht="15.75" customHeight="1">
      <c r="A3061" s="134"/>
      <c r="B3061" s="18" t="s">
        <v>10834</v>
      </c>
      <c r="C3061" s="37" t="s">
        <v>24</v>
      </c>
      <c r="D3061" s="20" t="s">
        <v>10835</v>
      </c>
      <c r="E3061" s="20" t="s">
        <v>10836</v>
      </c>
      <c r="F3061" s="19" t="s">
        <v>27</v>
      </c>
      <c r="G3061" s="19" t="s">
        <v>28</v>
      </c>
      <c r="H3061" s="37"/>
      <c r="I3061" s="21" t="s">
        <v>29</v>
      </c>
      <c r="J3061" s="21" t="s">
        <v>29</v>
      </c>
      <c r="K3061" s="22" t="s">
        <v>10837</v>
      </c>
      <c r="L3061" s="56">
        <v>45096</v>
      </c>
      <c r="O3061" s="42"/>
      <c r="P3061" s="40"/>
      <c r="Q3061" s="61"/>
      <c r="R3061" s="61"/>
      <c r="S3061" s="40"/>
      <c r="T3061" s="38"/>
      <c r="U3061" s="38"/>
      <c r="V3061" s="38"/>
      <c r="W3061" s="60"/>
      <c r="AB3061" s="42"/>
      <c r="AC3061" s="35"/>
      <c r="AD3061" s="38"/>
      <c r="AE3061" s="38"/>
      <c r="AF3061" s="38"/>
      <c r="AG3061" s="38"/>
      <c r="AH3061" s="60"/>
    </row>
    <row r="3062" spans="1:34" ht="15.75" customHeight="1">
      <c r="A3062" s="134"/>
      <c r="B3062" s="18" t="s">
        <v>10838</v>
      </c>
      <c r="C3062" s="37" t="s">
        <v>1470</v>
      </c>
      <c r="D3062" s="20" t="s">
        <v>10839</v>
      </c>
      <c r="E3062" s="20" t="s">
        <v>10840</v>
      </c>
      <c r="F3062" s="19" t="s">
        <v>3286</v>
      </c>
      <c r="G3062" s="19" t="s">
        <v>1461</v>
      </c>
      <c r="H3062" s="37"/>
      <c r="I3062" s="21" t="s">
        <v>233</v>
      </c>
      <c r="J3062" s="21" t="s">
        <v>233</v>
      </c>
      <c r="K3062" s="22" t="s">
        <v>10840</v>
      </c>
      <c r="L3062" s="56">
        <v>45096</v>
      </c>
      <c r="O3062" s="42"/>
      <c r="P3062" s="40"/>
      <c r="Q3062" s="61"/>
      <c r="R3062" s="61"/>
      <c r="S3062" s="40"/>
      <c r="T3062" s="38"/>
      <c r="U3062" s="38"/>
      <c r="V3062" s="38"/>
      <c r="W3062" s="60"/>
      <c r="AB3062" s="42"/>
      <c r="AC3062" s="35"/>
      <c r="AD3062" s="38"/>
      <c r="AE3062" s="38"/>
      <c r="AF3062" s="38"/>
      <c r="AG3062" s="38"/>
      <c r="AH3062" s="60"/>
    </row>
    <row r="3063" spans="1:34" ht="15.75" customHeight="1">
      <c r="A3063" s="134"/>
      <c r="B3063" s="29" t="s">
        <v>10841</v>
      </c>
      <c r="C3063" s="37" t="s">
        <v>1486</v>
      </c>
      <c r="D3063" s="20" t="s">
        <v>10842</v>
      </c>
      <c r="E3063" s="20" t="s">
        <v>10843</v>
      </c>
      <c r="F3063" s="37" t="s">
        <v>286</v>
      </c>
      <c r="G3063" s="37" t="s">
        <v>1490</v>
      </c>
      <c r="H3063" s="37"/>
      <c r="I3063" s="21" t="s">
        <v>286</v>
      </c>
      <c r="J3063" s="21" t="s">
        <v>10844</v>
      </c>
      <c r="K3063" s="22" t="s">
        <v>10845</v>
      </c>
      <c r="L3063" s="56"/>
      <c r="O3063" s="42"/>
      <c r="P3063" s="40"/>
      <c r="Q3063" s="61"/>
      <c r="R3063" s="61"/>
      <c r="S3063" s="40"/>
      <c r="T3063" s="38"/>
      <c r="U3063" s="38"/>
      <c r="V3063" s="38"/>
      <c r="W3063" s="60"/>
      <c r="AB3063" s="42"/>
      <c r="AC3063" s="35"/>
      <c r="AD3063" s="38"/>
      <c r="AE3063" s="38"/>
      <c r="AF3063" s="38"/>
      <c r="AG3063" s="38"/>
      <c r="AH3063" s="60"/>
    </row>
    <row r="3064" spans="1:34" ht="15.75" customHeight="1">
      <c r="A3064" s="134"/>
      <c r="B3064" s="36" t="s">
        <v>10846</v>
      </c>
      <c r="C3064" s="19" t="s">
        <v>121</v>
      </c>
      <c r="D3064" s="20" t="s">
        <v>10847</v>
      </c>
      <c r="E3064" s="20" t="s">
        <v>10848</v>
      </c>
      <c r="F3064" s="19" t="s">
        <v>27</v>
      </c>
      <c r="G3064" s="37" t="s">
        <v>452</v>
      </c>
      <c r="H3064" s="37"/>
      <c r="I3064" s="21" t="s">
        <v>29</v>
      </c>
      <c r="J3064" s="21" t="s">
        <v>452</v>
      </c>
      <c r="K3064" s="22" t="s">
        <v>10849</v>
      </c>
      <c r="L3064" s="56">
        <v>45096</v>
      </c>
      <c r="O3064" s="42"/>
      <c r="P3064" s="40"/>
      <c r="Q3064" s="61"/>
      <c r="R3064" s="61"/>
      <c r="S3064" s="40"/>
      <c r="T3064" s="38"/>
      <c r="U3064" s="38"/>
      <c r="V3064" s="38"/>
      <c r="W3064" s="60"/>
      <c r="AB3064" s="42"/>
      <c r="AC3064" s="35"/>
      <c r="AD3064" s="38"/>
      <c r="AE3064" s="38"/>
      <c r="AF3064" s="38"/>
      <c r="AG3064" s="38"/>
      <c r="AH3064" s="60"/>
    </row>
    <row r="3065" spans="1:34" ht="15.75" customHeight="1">
      <c r="A3065" s="134"/>
      <c r="B3065" s="18" t="s">
        <v>10850</v>
      </c>
      <c r="C3065" s="37" t="s">
        <v>24</v>
      </c>
      <c r="D3065" s="20" t="s">
        <v>10851</v>
      </c>
      <c r="E3065" s="20" t="s">
        <v>10852</v>
      </c>
      <c r="F3065" s="19" t="s">
        <v>27</v>
      </c>
      <c r="G3065" s="19" t="s">
        <v>28</v>
      </c>
      <c r="H3065" s="37"/>
      <c r="I3065" s="21" t="s">
        <v>29</v>
      </c>
      <c r="J3065" s="21" t="s">
        <v>29</v>
      </c>
      <c r="K3065" s="22" t="s">
        <v>10853</v>
      </c>
      <c r="L3065" s="56">
        <v>45096</v>
      </c>
      <c r="O3065" s="42"/>
      <c r="P3065" s="40"/>
      <c r="Q3065" s="61"/>
      <c r="R3065" s="61"/>
      <c r="S3065" s="40"/>
      <c r="T3065" s="38"/>
      <c r="U3065" s="38"/>
      <c r="V3065" s="38"/>
      <c r="W3065" s="60"/>
      <c r="AB3065" s="42"/>
      <c r="AC3065" s="35"/>
      <c r="AD3065" s="38"/>
      <c r="AE3065" s="38"/>
      <c r="AF3065" s="38"/>
      <c r="AG3065" s="38"/>
      <c r="AH3065" s="60"/>
    </row>
    <row r="3066" spans="1:34" ht="15.75" customHeight="1">
      <c r="A3066" s="134"/>
      <c r="B3066" s="18" t="s">
        <v>10854</v>
      </c>
      <c r="C3066" s="37" t="s">
        <v>46</v>
      </c>
      <c r="D3066" s="20" t="s">
        <v>10855</v>
      </c>
      <c r="E3066" s="20" t="s">
        <v>10856</v>
      </c>
      <c r="F3066" s="37" t="s">
        <v>49</v>
      </c>
      <c r="G3066" s="19" t="s">
        <v>50</v>
      </c>
      <c r="H3066" s="37"/>
      <c r="I3066" s="21" t="s">
        <v>29</v>
      </c>
      <c r="J3066" s="21" t="s">
        <v>29</v>
      </c>
      <c r="K3066" s="22" t="s">
        <v>10857</v>
      </c>
      <c r="L3066" s="56">
        <v>45096</v>
      </c>
      <c r="O3066" s="42"/>
      <c r="P3066" s="40"/>
      <c r="Q3066" s="61"/>
      <c r="R3066" s="61"/>
      <c r="S3066" s="40"/>
      <c r="T3066" s="38"/>
      <c r="U3066" s="38"/>
      <c r="V3066" s="38"/>
      <c r="W3066" s="60"/>
      <c r="AB3066" s="42"/>
      <c r="AC3066" s="35"/>
      <c r="AD3066" s="38"/>
      <c r="AE3066" s="38"/>
      <c r="AF3066" s="38"/>
      <c r="AG3066" s="38"/>
      <c r="AH3066" s="60"/>
    </row>
    <row r="3067" spans="1:34" ht="15.75" customHeight="1">
      <c r="A3067" s="134"/>
      <c r="B3067" s="18" t="s">
        <v>10858</v>
      </c>
      <c r="C3067" s="37" t="s">
        <v>87</v>
      </c>
      <c r="D3067" s="20" t="s">
        <v>10859</v>
      </c>
      <c r="E3067" s="20" t="s">
        <v>10860</v>
      </c>
      <c r="F3067" s="19" t="s">
        <v>90</v>
      </c>
      <c r="G3067" s="19" t="s">
        <v>91</v>
      </c>
      <c r="H3067" s="37"/>
      <c r="I3067" s="21" t="s">
        <v>29</v>
      </c>
      <c r="J3067" s="21" t="s">
        <v>29</v>
      </c>
      <c r="K3067" s="22" t="s">
        <v>10861</v>
      </c>
      <c r="L3067" s="56">
        <v>45096</v>
      </c>
      <c r="O3067" s="42"/>
      <c r="P3067" s="40"/>
      <c r="Q3067" s="61"/>
      <c r="R3067" s="61"/>
      <c r="S3067" s="40"/>
      <c r="T3067" s="38"/>
      <c r="U3067" s="38"/>
      <c r="V3067" s="38"/>
      <c r="W3067" s="60"/>
      <c r="AB3067" s="42"/>
      <c r="AC3067" s="35"/>
      <c r="AD3067" s="38"/>
      <c r="AE3067" s="38"/>
      <c r="AF3067" s="38"/>
      <c r="AG3067" s="38"/>
      <c r="AH3067" s="60"/>
    </row>
    <row r="3068" spans="1:34" ht="15.75" customHeight="1">
      <c r="A3068" s="134"/>
      <c r="B3068" s="18" t="s">
        <v>10862</v>
      </c>
      <c r="C3068" s="37" t="s">
        <v>24</v>
      </c>
      <c r="D3068" s="20" t="s">
        <v>10863</v>
      </c>
      <c r="E3068" s="20" t="s">
        <v>10864</v>
      </c>
      <c r="F3068" s="19" t="s">
        <v>27</v>
      </c>
      <c r="G3068" s="19" t="s">
        <v>28</v>
      </c>
      <c r="H3068" s="37"/>
      <c r="I3068" s="21" t="s">
        <v>29</v>
      </c>
      <c r="J3068" s="21" t="s">
        <v>29</v>
      </c>
      <c r="K3068" s="22" t="s">
        <v>10865</v>
      </c>
      <c r="L3068" s="56">
        <v>45096</v>
      </c>
      <c r="O3068" s="42"/>
      <c r="P3068" s="40"/>
      <c r="Q3068" s="61"/>
      <c r="R3068" s="61"/>
      <c r="S3068" s="40"/>
      <c r="T3068" s="38"/>
      <c r="U3068" s="38"/>
      <c r="V3068" s="38"/>
      <c r="W3068" s="60"/>
      <c r="AB3068" s="42"/>
      <c r="AC3068" s="35"/>
      <c r="AD3068" s="38"/>
      <c r="AE3068" s="38"/>
      <c r="AF3068" s="38"/>
      <c r="AG3068" s="38"/>
      <c r="AH3068" s="60"/>
    </row>
    <row r="3069" spans="1:34" ht="15.75" customHeight="1">
      <c r="A3069" s="134"/>
      <c r="B3069" s="18" t="s">
        <v>10866</v>
      </c>
      <c r="C3069" s="37" t="s">
        <v>87</v>
      </c>
      <c r="D3069" s="20" t="s">
        <v>10867</v>
      </c>
      <c r="E3069" s="20" t="s">
        <v>10868</v>
      </c>
      <c r="F3069" s="19" t="s">
        <v>90</v>
      </c>
      <c r="G3069" s="19" t="s">
        <v>91</v>
      </c>
      <c r="H3069" s="37"/>
      <c r="I3069" s="21" t="s">
        <v>29</v>
      </c>
      <c r="J3069" s="21" t="s">
        <v>29</v>
      </c>
      <c r="K3069" s="22" t="s">
        <v>10869</v>
      </c>
      <c r="L3069" s="56">
        <v>45096</v>
      </c>
      <c r="O3069" s="42"/>
      <c r="P3069" s="40"/>
      <c r="Q3069" s="61"/>
      <c r="R3069" s="61"/>
      <c r="S3069" s="40"/>
      <c r="T3069" s="38"/>
      <c r="U3069" s="38"/>
      <c r="V3069" s="38"/>
      <c r="W3069" s="60"/>
      <c r="AB3069" s="42"/>
      <c r="AC3069" s="35"/>
      <c r="AD3069" s="38"/>
      <c r="AE3069" s="38"/>
      <c r="AF3069" s="38"/>
      <c r="AG3069" s="38"/>
      <c r="AH3069" s="60"/>
    </row>
    <row r="3070" spans="1:34" ht="15.75" customHeight="1">
      <c r="A3070" s="134"/>
      <c r="B3070" s="38"/>
      <c r="C3070" s="37"/>
      <c r="D3070" s="20"/>
      <c r="E3070" s="20"/>
      <c r="F3070" s="37"/>
      <c r="G3070" s="37"/>
      <c r="H3070" s="37"/>
      <c r="I3070" s="21"/>
      <c r="J3070" s="21"/>
      <c r="K3070" s="22"/>
      <c r="L3070" s="39"/>
      <c r="O3070" s="42"/>
      <c r="P3070" s="40"/>
      <c r="Q3070" s="61"/>
      <c r="R3070" s="61"/>
      <c r="S3070" s="40"/>
      <c r="T3070" s="38"/>
      <c r="U3070" s="38"/>
      <c r="V3070" s="38"/>
      <c r="W3070" s="60"/>
      <c r="AB3070" s="42"/>
      <c r="AC3070" s="35"/>
      <c r="AD3070" s="38"/>
      <c r="AE3070" s="38"/>
      <c r="AF3070" s="38"/>
      <c r="AG3070" s="38"/>
      <c r="AH3070" s="60"/>
    </row>
    <row r="3071" spans="1:34" ht="15.75" customHeight="1">
      <c r="A3071" s="38" t="s">
        <v>10870</v>
      </c>
      <c r="B3071" s="38" t="s">
        <v>10871</v>
      </c>
      <c r="C3071" s="37" t="s">
        <v>1430</v>
      </c>
      <c r="D3071" s="20" t="s">
        <v>10872</v>
      </c>
      <c r="E3071" s="20" t="s">
        <v>10873</v>
      </c>
      <c r="F3071" s="37" t="s">
        <v>49</v>
      </c>
      <c r="G3071" s="19" t="s">
        <v>50</v>
      </c>
      <c r="H3071" s="37"/>
      <c r="I3071" s="21" t="s">
        <v>233</v>
      </c>
      <c r="J3071" s="21" t="s">
        <v>233</v>
      </c>
      <c r="K3071" s="22" t="s">
        <v>10873</v>
      </c>
      <c r="L3071" s="56">
        <v>45096</v>
      </c>
      <c r="M3071" s="40"/>
      <c r="O3071" s="42"/>
      <c r="P3071" s="40"/>
      <c r="Q3071" s="61"/>
      <c r="R3071" s="61"/>
      <c r="S3071" s="40"/>
      <c r="T3071" s="38"/>
      <c r="U3071" s="38"/>
      <c r="V3071" s="38"/>
      <c r="W3071" s="60"/>
      <c r="AB3071" s="42"/>
      <c r="AC3071" s="35"/>
      <c r="AD3071" s="38"/>
      <c r="AE3071" s="38"/>
      <c r="AF3071" s="38"/>
      <c r="AG3071" s="38"/>
      <c r="AH3071" s="60"/>
    </row>
    <row r="3072" spans="1:34" ht="15.75" customHeight="1">
      <c r="A3072" s="54" t="s">
        <v>2628</v>
      </c>
      <c r="B3072" s="18" t="s">
        <v>10874</v>
      </c>
      <c r="C3072" s="37" t="s">
        <v>1430</v>
      </c>
      <c r="D3072" s="20" t="s">
        <v>10875</v>
      </c>
      <c r="E3072" s="20" t="s">
        <v>10876</v>
      </c>
      <c r="F3072" s="55" t="s">
        <v>1445</v>
      </c>
      <c r="G3072" s="55" t="s">
        <v>1432</v>
      </c>
      <c r="H3072" s="37"/>
      <c r="I3072" s="21" t="s">
        <v>233</v>
      </c>
      <c r="J3072" s="21" t="s">
        <v>233</v>
      </c>
      <c r="K3072" s="22" t="s">
        <v>10877</v>
      </c>
      <c r="L3072" s="56">
        <v>45096</v>
      </c>
      <c r="O3072" s="42"/>
      <c r="P3072" s="40"/>
      <c r="Q3072" s="61"/>
      <c r="R3072" s="61"/>
      <c r="S3072" s="40"/>
      <c r="T3072" s="38"/>
      <c r="U3072" s="38"/>
      <c r="V3072" s="38"/>
      <c r="W3072" s="60"/>
      <c r="AB3072" s="42"/>
      <c r="AC3072" s="35"/>
      <c r="AD3072" s="38"/>
      <c r="AE3072" s="38"/>
      <c r="AF3072" s="38"/>
      <c r="AG3072" s="38"/>
      <c r="AH3072" s="60"/>
    </row>
    <row r="3073" spans="1:34" ht="15.75" customHeight="1">
      <c r="A3073" s="114" t="s">
        <v>39</v>
      </c>
      <c r="B3073" s="18" t="s">
        <v>10878</v>
      </c>
      <c r="C3073" s="37" t="s">
        <v>1430</v>
      </c>
      <c r="D3073" s="20" t="s">
        <v>10879</v>
      </c>
      <c r="E3073" s="20"/>
      <c r="F3073" s="37" t="s">
        <v>49</v>
      </c>
      <c r="G3073" s="19" t="s">
        <v>50</v>
      </c>
      <c r="H3073" s="37"/>
      <c r="I3073" s="21" t="s">
        <v>233</v>
      </c>
      <c r="J3073" s="21" t="s">
        <v>233</v>
      </c>
      <c r="K3073" s="22"/>
      <c r="L3073" s="56">
        <v>45096</v>
      </c>
      <c r="O3073" s="42"/>
      <c r="P3073" s="40"/>
      <c r="Q3073" s="61"/>
      <c r="R3073" s="61"/>
      <c r="S3073" s="40"/>
      <c r="T3073" s="38"/>
      <c r="U3073" s="38"/>
      <c r="V3073" s="38"/>
      <c r="W3073" s="60"/>
      <c r="AB3073" s="42"/>
      <c r="AC3073" s="35"/>
      <c r="AD3073" s="38"/>
      <c r="AE3073" s="38"/>
      <c r="AF3073" s="38"/>
      <c r="AG3073" s="38"/>
      <c r="AH3073" s="60"/>
    </row>
    <row r="3074" spans="1:34" ht="15.75" customHeight="1">
      <c r="A3074" s="38" t="s">
        <v>10522</v>
      </c>
      <c r="B3074" s="29" t="s">
        <v>10880</v>
      </c>
      <c r="C3074" s="37" t="s">
        <v>24</v>
      </c>
      <c r="D3074" s="20" t="s">
        <v>10881</v>
      </c>
      <c r="E3074" s="20"/>
      <c r="F3074" s="19" t="s">
        <v>27</v>
      </c>
      <c r="G3074" s="19" t="s">
        <v>28</v>
      </c>
      <c r="H3074" s="37"/>
      <c r="I3074" s="21" t="s">
        <v>29</v>
      </c>
      <c r="J3074" s="21" t="s">
        <v>29</v>
      </c>
      <c r="K3074" s="22"/>
      <c r="L3074" s="56">
        <v>45096</v>
      </c>
      <c r="O3074" s="42"/>
      <c r="P3074" s="40"/>
      <c r="Q3074" s="61"/>
      <c r="R3074" s="61"/>
      <c r="S3074" s="40"/>
      <c r="T3074" s="38"/>
      <c r="U3074" s="38"/>
      <c r="V3074" s="38"/>
      <c r="W3074" s="60"/>
      <c r="AB3074" s="42"/>
      <c r="AC3074" s="35"/>
      <c r="AD3074" s="38"/>
      <c r="AE3074" s="38"/>
      <c r="AF3074" s="38"/>
      <c r="AG3074" s="38"/>
      <c r="AH3074" s="60"/>
    </row>
    <row r="3075" spans="1:34" ht="15.75" customHeight="1">
      <c r="A3075" s="38" t="s">
        <v>10882</v>
      </c>
      <c r="B3075" s="18" t="s">
        <v>10883</v>
      </c>
      <c r="C3075" s="21" t="s">
        <v>24</v>
      </c>
      <c r="D3075" s="20" t="s">
        <v>10884</v>
      </c>
      <c r="E3075" s="20"/>
      <c r="F3075" s="19" t="s">
        <v>27</v>
      </c>
      <c r="G3075" s="19" t="s">
        <v>28</v>
      </c>
      <c r="H3075" s="37" t="s">
        <v>813</v>
      </c>
      <c r="I3075" s="21" t="s">
        <v>29</v>
      </c>
      <c r="J3075" s="21" t="s">
        <v>29</v>
      </c>
      <c r="K3075" s="22"/>
      <c r="L3075" s="56">
        <v>45096</v>
      </c>
      <c r="O3075" s="42"/>
      <c r="P3075" s="40"/>
      <c r="Q3075" s="61"/>
      <c r="R3075" s="61"/>
      <c r="S3075" s="40"/>
      <c r="T3075" s="38"/>
      <c r="U3075" s="38"/>
      <c r="V3075" s="38"/>
      <c r="W3075" s="60"/>
      <c r="AB3075" s="42"/>
      <c r="AC3075" s="35"/>
      <c r="AD3075" s="38"/>
      <c r="AE3075" s="38"/>
      <c r="AF3075" s="38"/>
      <c r="AG3075" s="38"/>
      <c r="AH3075" s="60"/>
    </row>
    <row r="3076" spans="1:34" ht="15.75" customHeight="1">
      <c r="A3076" s="111" t="s">
        <v>56</v>
      </c>
      <c r="B3076" s="18" t="s">
        <v>10885</v>
      </c>
      <c r="C3076" s="21" t="s">
        <v>24</v>
      </c>
      <c r="D3076" s="20" t="s">
        <v>10886</v>
      </c>
      <c r="E3076" s="20" t="s">
        <v>10887</v>
      </c>
      <c r="F3076" s="19" t="s">
        <v>27</v>
      </c>
      <c r="G3076" s="19" t="s">
        <v>28</v>
      </c>
      <c r="H3076" s="21"/>
      <c r="I3076" s="21" t="s">
        <v>29</v>
      </c>
      <c r="J3076" s="21" t="s">
        <v>29</v>
      </c>
      <c r="K3076" s="22" t="s">
        <v>10888</v>
      </c>
      <c r="L3076" s="56">
        <v>45096</v>
      </c>
      <c r="O3076" s="42"/>
      <c r="P3076" s="40"/>
      <c r="Q3076" s="61"/>
      <c r="R3076" s="61"/>
      <c r="S3076" s="40"/>
      <c r="T3076" s="38"/>
      <c r="U3076" s="38"/>
      <c r="V3076" s="38"/>
      <c r="W3076" s="60"/>
      <c r="AB3076" s="42"/>
      <c r="AC3076" s="35"/>
      <c r="AD3076" s="38"/>
      <c r="AE3076" s="38"/>
      <c r="AF3076" s="38"/>
      <c r="AG3076" s="38"/>
      <c r="AH3076" s="60"/>
    </row>
    <row r="3077" spans="1:34" ht="15.75" customHeight="1">
      <c r="A3077" s="75">
        <v>52</v>
      </c>
      <c r="B3077" s="18" t="s">
        <v>10889</v>
      </c>
      <c r="C3077" s="55" t="s">
        <v>24</v>
      </c>
      <c r="D3077" s="20" t="s">
        <v>10890</v>
      </c>
      <c r="E3077" s="20" t="s">
        <v>10891</v>
      </c>
      <c r="F3077" s="19" t="s">
        <v>27</v>
      </c>
      <c r="G3077" s="19" t="s">
        <v>28</v>
      </c>
      <c r="H3077" s="37" t="s">
        <v>762</v>
      </c>
      <c r="I3077" s="21" t="s">
        <v>29</v>
      </c>
      <c r="J3077" s="21" t="s">
        <v>29</v>
      </c>
      <c r="K3077" s="22" t="s">
        <v>10892</v>
      </c>
      <c r="L3077" s="56">
        <v>45096</v>
      </c>
      <c r="O3077" s="42"/>
      <c r="P3077" s="40"/>
      <c r="Q3077" s="61"/>
      <c r="R3077" s="61"/>
      <c r="S3077" s="40"/>
      <c r="T3077" s="38"/>
      <c r="U3077" s="38"/>
      <c r="V3077" s="38"/>
      <c r="W3077" s="60"/>
      <c r="AB3077" s="42"/>
      <c r="AC3077" s="35"/>
      <c r="AD3077" s="38"/>
      <c r="AE3077" s="38"/>
      <c r="AF3077" s="38"/>
      <c r="AG3077" s="38"/>
      <c r="AH3077" s="60"/>
    </row>
    <row r="3078" spans="1:34" ht="15.75" customHeight="1">
      <c r="A3078" s="111" t="s">
        <v>64</v>
      </c>
      <c r="B3078" s="18" t="s">
        <v>10893</v>
      </c>
      <c r="C3078" s="55" t="s">
        <v>24</v>
      </c>
      <c r="D3078" s="20" t="s">
        <v>10894</v>
      </c>
      <c r="E3078" s="20" t="s">
        <v>10895</v>
      </c>
      <c r="F3078" s="19" t="s">
        <v>27</v>
      </c>
      <c r="G3078" s="19" t="s">
        <v>28</v>
      </c>
      <c r="H3078" s="37" t="s">
        <v>762</v>
      </c>
      <c r="I3078" s="21" t="s">
        <v>29</v>
      </c>
      <c r="J3078" s="21" t="s">
        <v>29</v>
      </c>
      <c r="K3078" s="22" t="s">
        <v>10896</v>
      </c>
      <c r="L3078" s="56">
        <v>45096</v>
      </c>
      <c r="O3078" s="42"/>
      <c r="P3078" s="40"/>
      <c r="Q3078" s="61"/>
      <c r="R3078" s="61"/>
      <c r="S3078" s="40"/>
      <c r="T3078" s="38"/>
      <c r="U3078" s="38"/>
      <c r="V3078" s="38"/>
      <c r="W3078" s="60"/>
      <c r="AB3078" s="42"/>
      <c r="AC3078" s="35"/>
      <c r="AD3078" s="38"/>
      <c r="AE3078" s="38"/>
      <c r="AF3078" s="38"/>
      <c r="AG3078" s="38"/>
      <c r="AH3078" s="60"/>
    </row>
    <row r="3079" spans="1:34" ht="15.75" customHeight="1">
      <c r="A3079" s="75">
        <v>2.8</v>
      </c>
      <c r="B3079" s="18" t="s">
        <v>10897</v>
      </c>
      <c r="C3079" s="37" t="s">
        <v>46</v>
      </c>
      <c r="D3079" s="20" t="s">
        <v>10898</v>
      </c>
      <c r="E3079" s="20" t="s">
        <v>10899</v>
      </c>
      <c r="F3079" s="37" t="s">
        <v>49</v>
      </c>
      <c r="G3079" s="19" t="s">
        <v>50</v>
      </c>
      <c r="H3079" s="37"/>
      <c r="I3079" s="21" t="s">
        <v>29</v>
      </c>
      <c r="J3079" s="21" t="s">
        <v>29</v>
      </c>
      <c r="K3079" s="22" t="s">
        <v>10900</v>
      </c>
      <c r="L3079" s="56">
        <v>45096</v>
      </c>
      <c r="O3079" s="42"/>
      <c r="P3079" s="40"/>
      <c r="Q3079" s="61"/>
      <c r="R3079" s="61"/>
      <c r="S3079" s="40"/>
      <c r="T3079" s="38"/>
      <c r="U3079" s="38"/>
      <c r="V3079" s="38"/>
      <c r="W3079" s="60"/>
      <c r="AB3079" s="42"/>
      <c r="AC3079" s="35"/>
      <c r="AD3079" s="38"/>
      <c r="AE3079" s="38"/>
      <c r="AF3079" s="38"/>
      <c r="AG3079" s="38"/>
      <c r="AH3079" s="60"/>
    </row>
    <row r="3080" spans="1:34" ht="15.75" customHeight="1">
      <c r="A3080" s="111" t="s">
        <v>73</v>
      </c>
      <c r="B3080" s="18" t="s">
        <v>10901</v>
      </c>
      <c r="C3080" s="37" t="s">
        <v>46</v>
      </c>
      <c r="D3080" s="20" t="s">
        <v>10902</v>
      </c>
      <c r="E3080" s="20" t="s">
        <v>10903</v>
      </c>
      <c r="F3080" s="37" t="s">
        <v>49</v>
      </c>
      <c r="G3080" s="19" t="s">
        <v>50</v>
      </c>
      <c r="H3080" s="37"/>
      <c r="I3080" s="21" t="s">
        <v>29</v>
      </c>
      <c r="J3080" s="21" t="s">
        <v>29</v>
      </c>
      <c r="K3080" s="22" t="s">
        <v>10903</v>
      </c>
      <c r="L3080" s="56">
        <v>45096</v>
      </c>
      <c r="O3080" s="42"/>
      <c r="P3080" s="40"/>
      <c r="Q3080" s="61"/>
      <c r="R3080" s="61"/>
      <c r="S3080" s="40"/>
      <c r="T3080" s="38"/>
      <c r="U3080" s="38"/>
      <c r="V3080" s="38"/>
      <c r="W3080" s="60"/>
      <c r="AB3080" s="42"/>
      <c r="AC3080" s="35"/>
      <c r="AD3080" s="38"/>
      <c r="AE3080" s="38"/>
      <c r="AF3080" s="38"/>
      <c r="AG3080" s="38"/>
      <c r="AH3080" s="60"/>
    </row>
    <row r="3081" spans="1:34" ht="15.75" customHeight="1">
      <c r="A3081" s="75">
        <v>3.4</v>
      </c>
      <c r="B3081" s="18" t="s">
        <v>10904</v>
      </c>
      <c r="C3081" s="37" t="s">
        <v>1638</v>
      </c>
      <c r="D3081" s="20" t="s">
        <v>10905</v>
      </c>
      <c r="E3081" s="20" t="s">
        <v>10906</v>
      </c>
      <c r="F3081" s="37" t="s">
        <v>1399</v>
      </c>
      <c r="G3081" s="19" t="s">
        <v>1641</v>
      </c>
      <c r="H3081" s="37"/>
      <c r="I3081" s="21" t="s">
        <v>1371</v>
      </c>
      <c r="J3081" s="21" t="s">
        <v>1371</v>
      </c>
      <c r="K3081" s="22" t="s">
        <v>10906</v>
      </c>
      <c r="L3081" s="56">
        <v>45096</v>
      </c>
      <c r="O3081" s="42"/>
      <c r="P3081" s="40"/>
      <c r="Q3081" s="61"/>
      <c r="R3081" s="61"/>
      <c r="S3081" s="40"/>
      <c r="T3081" s="38"/>
      <c r="U3081" s="38"/>
      <c r="V3081" s="38"/>
      <c r="W3081" s="60"/>
      <c r="AB3081" s="42"/>
      <c r="AC3081" s="35"/>
      <c r="AD3081" s="38"/>
      <c r="AE3081" s="38"/>
      <c r="AF3081" s="38"/>
      <c r="AG3081" s="38"/>
      <c r="AH3081" s="60"/>
    </row>
    <row r="3082" spans="1:34" ht="15.75" customHeight="1">
      <c r="A3082" s="111" t="s">
        <v>82</v>
      </c>
      <c r="B3082" s="18" t="s">
        <v>10907</v>
      </c>
      <c r="C3082" s="37" t="s">
        <v>46</v>
      </c>
      <c r="D3082" s="20" t="s">
        <v>10908</v>
      </c>
      <c r="E3082" s="20" t="s">
        <v>10909</v>
      </c>
      <c r="F3082" s="37" t="s">
        <v>49</v>
      </c>
      <c r="G3082" s="19" t="s">
        <v>50</v>
      </c>
      <c r="H3082" s="37"/>
      <c r="I3082" s="21" t="s">
        <v>29</v>
      </c>
      <c r="J3082" s="21" t="s">
        <v>29</v>
      </c>
      <c r="K3082" s="22" t="s">
        <v>10910</v>
      </c>
      <c r="L3082" s="56">
        <v>45096</v>
      </c>
      <c r="O3082" s="42"/>
      <c r="P3082" s="40"/>
      <c r="Q3082" s="61"/>
      <c r="R3082" s="61"/>
      <c r="S3082" s="40"/>
      <c r="T3082" s="38"/>
      <c r="U3082" s="38"/>
      <c r="V3082" s="38"/>
      <c r="W3082" s="60"/>
      <c r="AB3082" s="42"/>
      <c r="AC3082" s="35"/>
      <c r="AD3082" s="38"/>
      <c r="AE3082" s="38"/>
      <c r="AF3082" s="38"/>
      <c r="AG3082" s="38"/>
      <c r="AH3082" s="60"/>
    </row>
    <row r="3083" spans="1:34" ht="15.75" customHeight="1">
      <c r="A3083" s="75" t="s">
        <v>10911</v>
      </c>
      <c r="B3083" s="18" t="s">
        <v>10912</v>
      </c>
      <c r="C3083" s="37" t="s">
        <v>87</v>
      </c>
      <c r="D3083" s="20" t="s">
        <v>10913</v>
      </c>
      <c r="E3083" s="20" t="s">
        <v>10914</v>
      </c>
      <c r="F3083" s="19" t="s">
        <v>90</v>
      </c>
      <c r="G3083" s="19" t="s">
        <v>91</v>
      </c>
      <c r="H3083" s="37"/>
      <c r="I3083" s="21" t="s">
        <v>29</v>
      </c>
      <c r="J3083" s="21" t="s">
        <v>29</v>
      </c>
      <c r="K3083" s="22" t="s">
        <v>10915</v>
      </c>
      <c r="L3083" s="56">
        <v>45096</v>
      </c>
      <c r="O3083" s="42"/>
      <c r="P3083" s="40"/>
      <c r="Q3083" s="61"/>
      <c r="R3083" s="61"/>
      <c r="S3083" s="40"/>
      <c r="T3083" s="38"/>
      <c r="U3083" s="38"/>
      <c r="V3083" s="38"/>
      <c r="W3083" s="60"/>
      <c r="AB3083" s="42"/>
      <c r="AC3083" s="35"/>
      <c r="AD3083" s="38"/>
      <c r="AE3083" s="38"/>
      <c r="AF3083" s="38"/>
      <c r="AG3083" s="38"/>
      <c r="AH3083" s="60"/>
    </row>
    <row r="3084" spans="1:34" ht="15.75" customHeight="1">
      <c r="A3084" s="111" t="s">
        <v>92</v>
      </c>
      <c r="B3084" s="18" t="s">
        <v>10916</v>
      </c>
      <c r="C3084" s="37" t="s">
        <v>24</v>
      </c>
      <c r="D3084" s="20" t="s">
        <v>10917</v>
      </c>
      <c r="E3084" s="20" t="s">
        <v>10918</v>
      </c>
      <c r="F3084" s="19" t="s">
        <v>27</v>
      </c>
      <c r="G3084" s="19" t="s">
        <v>28</v>
      </c>
      <c r="H3084" s="19" t="s">
        <v>36</v>
      </c>
      <c r="I3084" s="21" t="s">
        <v>29</v>
      </c>
      <c r="J3084" s="21" t="s">
        <v>29</v>
      </c>
      <c r="K3084" s="22" t="s">
        <v>10919</v>
      </c>
      <c r="L3084" s="56">
        <v>45096</v>
      </c>
      <c r="O3084" s="42"/>
      <c r="P3084" s="40"/>
      <c r="Q3084" s="61"/>
      <c r="R3084" s="61"/>
      <c r="S3084" s="40"/>
      <c r="T3084" s="38"/>
      <c r="U3084" s="38"/>
      <c r="V3084" s="38"/>
      <c r="W3084" s="60"/>
      <c r="AB3084" s="42"/>
      <c r="AC3084" s="35"/>
      <c r="AD3084" s="38"/>
      <c r="AE3084" s="38"/>
      <c r="AF3084" s="38"/>
      <c r="AG3084" s="38"/>
      <c r="AH3084" s="60"/>
    </row>
    <row r="3085" spans="1:34" ht="15.75" customHeight="1">
      <c r="A3085" s="112">
        <v>800</v>
      </c>
      <c r="B3085" s="18" t="s">
        <v>10920</v>
      </c>
      <c r="C3085" s="37" t="s">
        <v>228</v>
      </c>
      <c r="D3085" s="20" t="s">
        <v>10921</v>
      </c>
      <c r="E3085" s="20" t="s">
        <v>10922</v>
      </c>
      <c r="F3085" s="19" t="s">
        <v>231</v>
      </c>
      <c r="G3085" s="19" t="s">
        <v>232</v>
      </c>
      <c r="H3085" s="37"/>
      <c r="I3085" s="21" t="s">
        <v>233</v>
      </c>
      <c r="J3085" s="21" t="s">
        <v>233</v>
      </c>
      <c r="K3085" s="22" t="s">
        <v>10923</v>
      </c>
      <c r="L3085" s="56">
        <v>45096</v>
      </c>
      <c r="O3085" s="42"/>
      <c r="P3085" s="40"/>
      <c r="Q3085" s="61"/>
      <c r="R3085" s="61"/>
      <c r="S3085" s="40"/>
      <c r="T3085" s="38"/>
      <c r="U3085" s="38"/>
      <c r="V3085" s="38"/>
      <c r="W3085" s="60"/>
      <c r="AB3085" s="42"/>
      <c r="AC3085" s="35"/>
      <c r="AD3085" s="38"/>
      <c r="AE3085" s="38"/>
      <c r="AF3085" s="38"/>
      <c r="AG3085" s="38"/>
      <c r="AH3085" s="60"/>
    </row>
    <row r="3086" spans="1:34" ht="15.75" customHeight="1">
      <c r="A3086" s="111" t="s">
        <v>100</v>
      </c>
      <c r="B3086" s="29" t="s">
        <v>10924</v>
      </c>
      <c r="C3086" s="37" t="s">
        <v>1430</v>
      </c>
      <c r="D3086" s="20" t="s">
        <v>10925</v>
      </c>
      <c r="E3086" s="20" t="s">
        <v>10926</v>
      </c>
      <c r="F3086" s="55" t="s">
        <v>1445</v>
      </c>
      <c r="G3086" s="55" t="s">
        <v>1432</v>
      </c>
      <c r="H3086" s="37"/>
      <c r="I3086" s="21" t="s">
        <v>286</v>
      </c>
      <c r="J3086" s="21" t="s">
        <v>233</v>
      </c>
      <c r="K3086" s="22" t="s">
        <v>10926</v>
      </c>
      <c r="L3086" s="56"/>
      <c r="O3086" s="42"/>
      <c r="P3086" s="40"/>
      <c r="Q3086" s="61"/>
      <c r="R3086" s="61"/>
      <c r="S3086" s="40"/>
      <c r="T3086" s="38"/>
      <c r="U3086" s="38"/>
      <c r="V3086" s="38"/>
      <c r="W3086" s="60"/>
      <c r="AB3086" s="42"/>
      <c r="AC3086" s="35"/>
      <c r="AD3086" s="38"/>
      <c r="AE3086" s="38"/>
      <c r="AF3086" s="38"/>
      <c r="AG3086" s="38"/>
      <c r="AH3086" s="60"/>
    </row>
    <row r="3087" spans="1:34" ht="15.75" customHeight="1">
      <c r="A3087" s="75">
        <v>157</v>
      </c>
      <c r="B3087" s="18" t="s">
        <v>10927</v>
      </c>
      <c r="C3087" s="37" t="s">
        <v>24</v>
      </c>
      <c r="D3087" s="20" t="s">
        <v>10928</v>
      </c>
      <c r="E3087" s="20" t="s">
        <v>10929</v>
      </c>
      <c r="F3087" s="19" t="s">
        <v>27</v>
      </c>
      <c r="G3087" s="19" t="s">
        <v>28</v>
      </c>
      <c r="H3087" s="37"/>
      <c r="I3087" s="21" t="s">
        <v>29</v>
      </c>
      <c r="J3087" s="21" t="s">
        <v>29</v>
      </c>
      <c r="K3087" s="22" t="s">
        <v>10930</v>
      </c>
      <c r="L3087" s="56">
        <v>45096</v>
      </c>
      <c r="O3087" s="42"/>
      <c r="P3087" s="40"/>
      <c r="Q3087" s="61"/>
      <c r="R3087" s="61"/>
      <c r="S3087" s="40"/>
      <c r="T3087" s="38"/>
      <c r="U3087" s="38"/>
      <c r="V3087" s="38"/>
      <c r="W3087" s="60"/>
      <c r="AB3087" s="42"/>
      <c r="AC3087" s="35"/>
      <c r="AD3087" s="38"/>
      <c r="AE3087" s="38"/>
      <c r="AF3087" s="38"/>
      <c r="AG3087" s="38"/>
      <c r="AH3087" s="60"/>
    </row>
    <row r="3088" spans="1:34" ht="15.75" customHeight="1">
      <c r="B3088" s="18" t="s">
        <v>10931</v>
      </c>
      <c r="C3088" s="37" t="s">
        <v>24</v>
      </c>
      <c r="D3088" s="20" t="s">
        <v>10932</v>
      </c>
      <c r="E3088" s="20" t="s">
        <v>10933</v>
      </c>
      <c r="F3088" s="19" t="s">
        <v>27</v>
      </c>
      <c r="G3088" s="19" t="s">
        <v>28</v>
      </c>
      <c r="H3088" s="37"/>
      <c r="I3088" s="21" t="s">
        <v>29</v>
      </c>
      <c r="J3088" s="21" t="s">
        <v>29</v>
      </c>
      <c r="K3088" s="22" t="s">
        <v>10934</v>
      </c>
      <c r="L3088" s="56">
        <v>45096</v>
      </c>
      <c r="O3088" s="42"/>
      <c r="P3088" s="40"/>
      <c r="Q3088" s="61"/>
      <c r="R3088" s="61"/>
      <c r="S3088" s="40"/>
      <c r="T3088" s="38"/>
      <c r="U3088" s="38"/>
      <c r="V3088" s="38"/>
      <c r="W3088" s="60"/>
      <c r="AB3088" s="42"/>
      <c r="AC3088" s="35"/>
      <c r="AD3088" s="38"/>
      <c r="AE3088" s="38"/>
      <c r="AF3088" s="38"/>
      <c r="AG3088" s="38"/>
      <c r="AH3088" s="60"/>
    </row>
    <row r="3089" spans="1:34" ht="15.75" customHeight="1">
      <c r="A3089" s="135"/>
      <c r="B3089" s="18" t="s">
        <v>10935</v>
      </c>
      <c r="C3089" s="55" t="s">
        <v>228</v>
      </c>
      <c r="D3089" s="20" t="s">
        <v>10936</v>
      </c>
      <c r="E3089" s="20" t="s">
        <v>10937</v>
      </c>
      <c r="F3089" s="19" t="s">
        <v>231</v>
      </c>
      <c r="G3089" s="19" t="s">
        <v>232</v>
      </c>
      <c r="H3089" s="55"/>
      <c r="I3089" s="21" t="s">
        <v>233</v>
      </c>
      <c r="J3089" s="21" t="s">
        <v>233</v>
      </c>
      <c r="K3089" s="22" t="s">
        <v>10938</v>
      </c>
      <c r="L3089" s="56">
        <v>45096</v>
      </c>
      <c r="M3089" s="136"/>
      <c r="N3089" s="136"/>
      <c r="O3089" s="42"/>
      <c r="P3089" s="40"/>
      <c r="Q3089" s="61"/>
      <c r="R3089" s="61"/>
      <c r="S3089" s="40"/>
      <c r="T3089" s="38"/>
      <c r="U3089" s="38"/>
      <c r="V3089" s="38"/>
      <c r="W3089" s="60"/>
      <c r="AB3089" s="42"/>
      <c r="AC3089" s="35"/>
      <c r="AD3089" s="38"/>
      <c r="AE3089" s="38"/>
      <c r="AF3089" s="38"/>
      <c r="AG3089" s="38"/>
      <c r="AH3089" s="60"/>
    </row>
    <row r="3090" spans="1:34" ht="15.75" customHeight="1">
      <c r="A3090" s="137"/>
      <c r="B3090" s="18" t="s">
        <v>10939</v>
      </c>
      <c r="C3090" s="37" t="s">
        <v>24</v>
      </c>
      <c r="D3090" s="20" t="s">
        <v>10940</v>
      </c>
      <c r="E3090" s="20" t="s">
        <v>10941</v>
      </c>
      <c r="F3090" s="19" t="s">
        <v>27</v>
      </c>
      <c r="G3090" s="19" t="s">
        <v>28</v>
      </c>
      <c r="H3090" s="37" t="s">
        <v>762</v>
      </c>
      <c r="I3090" s="21" t="s">
        <v>29</v>
      </c>
      <c r="J3090" s="21" t="s">
        <v>29</v>
      </c>
      <c r="K3090" s="22" t="s">
        <v>10942</v>
      </c>
      <c r="L3090" s="56">
        <v>45096</v>
      </c>
      <c r="O3090" s="42"/>
      <c r="P3090" s="40"/>
      <c r="Q3090" s="61"/>
      <c r="R3090" s="61"/>
      <c r="S3090" s="40"/>
      <c r="T3090" s="38"/>
      <c r="U3090" s="38"/>
      <c r="V3090" s="38"/>
      <c r="W3090" s="60"/>
      <c r="AB3090" s="42"/>
      <c r="AC3090" s="35"/>
      <c r="AD3090" s="38"/>
      <c r="AE3090" s="38"/>
      <c r="AF3090" s="38"/>
      <c r="AG3090" s="38"/>
      <c r="AH3090" s="60"/>
    </row>
    <row r="3091" spans="1:34" ht="15.75" customHeight="1">
      <c r="A3091" s="138"/>
      <c r="B3091" s="18" t="s">
        <v>10943</v>
      </c>
      <c r="C3091" s="37" t="s">
        <v>87</v>
      </c>
      <c r="D3091" s="20" t="s">
        <v>10944</v>
      </c>
      <c r="E3091" s="20" t="s">
        <v>10945</v>
      </c>
      <c r="F3091" s="19" t="s">
        <v>90</v>
      </c>
      <c r="G3091" s="19" t="s">
        <v>91</v>
      </c>
      <c r="H3091" s="37"/>
      <c r="I3091" s="21" t="s">
        <v>29</v>
      </c>
      <c r="J3091" s="21" t="s">
        <v>29</v>
      </c>
      <c r="K3091" s="22" t="s">
        <v>10946</v>
      </c>
      <c r="L3091" s="56">
        <v>45096</v>
      </c>
      <c r="O3091" s="42"/>
      <c r="P3091" s="40"/>
      <c r="Q3091" s="61"/>
      <c r="R3091" s="61"/>
      <c r="S3091" s="40"/>
      <c r="T3091" s="38"/>
      <c r="U3091" s="38"/>
      <c r="V3091" s="38"/>
      <c r="W3091" s="60"/>
      <c r="AB3091" s="42"/>
      <c r="AC3091" s="35"/>
      <c r="AD3091" s="38"/>
      <c r="AE3091" s="38"/>
      <c r="AF3091" s="38"/>
      <c r="AG3091" s="38"/>
      <c r="AH3091" s="60"/>
    </row>
    <row r="3092" spans="1:34" ht="15.75" customHeight="1">
      <c r="A3092" s="139"/>
      <c r="B3092" s="18" t="s">
        <v>10947</v>
      </c>
      <c r="C3092" s="55" t="s">
        <v>24</v>
      </c>
      <c r="D3092" s="20" t="s">
        <v>10948</v>
      </c>
      <c r="E3092" s="20" t="s">
        <v>10949</v>
      </c>
      <c r="F3092" s="19" t="s">
        <v>27</v>
      </c>
      <c r="G3092" s="19" t="s">
        <v>28</v>
      </c>
      <c r="H3092" s="19" t="s">
        <v>36</v>
      </c>
      <c r="I3092" s="21" t="s">
        <v>29</v>
      </c>
      <c r="J3092" s="21" t="s">
        <v>29</v>
      </c>
      <c r="K3092" s="22" t="s">
        <v>10950</v>
      </c>
      <c r="L3092" s="56">
        <v>45096</v>
      </c>
      <c r="O3092" s="42"/>
      <c r="P3092" s="40"/>
      <c r="Q3092" s="61"/>
      <c r="R3092" s="61"/>
      <c r="S3092" s="40"/>
      <c r="T3092" s="38"/>
      <c r="U3092" s="38"/>
      <c r="V3092" s="38"/>
      <c r="W3092" s="60"/>
      <c r="AB3092" s="42"/>
      <c r="AC3092" s="35"/>
      <c r="AD3092" s="38"/>
      <c r="AE3092" s="38"/>
      <c r="AF3092" s="38"/>
      <c r="AG3092" s="38"/>
      <c r="AH3092" s="60"/>
    </row>
    <row r="3093" spans="1:34" ht="15.75" customHeight="1">
      <c r="A3093" s="139"/>
      <c r="B3093" s="18" t="s">
        <v>10951</v>
      </c>
      <c r="C3093" s="37" t="s">
        <v>1470</v>
      </c>
      <c r="D3093" s="20" t="s">
        <v>10952</v>
      </c>
      <c r="E3093" s="20" t="s">
        <v>10953</v>
      </c>
      <c r="F3093" s="19" t="s">
        <v>3286</v>
      </c>
      <c r="G3093" s="37" t="s">
        <v>1461</v>
      </c>
      <c r="H3093" s="37"/>
      <c r="I3093" s="21" t="s">
        <v>233</v>
      </c>
      <c r="J3093" s="21" t="s">
        <v>233</v>
      </c>
      <c r="K3093" s="22" t="s">
        <v>10954</v>
      </c>
      <c r="L3093" s="56">
        <v>45096</v>
      </c>
      <c r="O3093" s="42"/>
      <c r="P3093" s="40"/>
      <c r="Q3093" s="61"/>
      <c r="R3093" s="61"/>
      <c r="S3093" s="40"/>
      <c r="T3093" s="38"/>
      <c r="U3093" s="38"/>
      <c r="V3093" s="38"/>
      <c r="W3093" s="60"/>
      <c r="AB3093" s="42"/>
      <c r="AC3093" s="35"/>
      <c r="AD3093" s="38"/>
      <c r="AE3093" s="38"/>
      <c r="AF3093" s="38"/>
      <c r="AG3093" s="38"/>
      <c r="AH3093" s="60"/>
    </row>
    <row r="3094" spans="1:34" ht="15.75" customHeight="1">
      <c r="A3094" s="138"/>
      <c r="B3094" s="18" t="s">
        <v>10955</v>
      </c>
      <c r="C3094" s="55" t="s">
        <v>24</v>
      </c>
      <c r="D3094" s="20" t="s">
        <v>10956</v>
      </c>
      <c r="E3094" s="20" t="s">
        <v>10957</v>
      </c>
      <c r="F3094" s="19" t="s">
        <v>27</v>
      </c>
      <c r="G3094" s="19" t="s">
        <v>28</v>
      </c>
      <c r="H3094" s="55"/>
      <c r="I3094" s="21" t="s">
        <v>29</v>
      </c>
      <c r="J3094" s="21" t="s">
        <v>29</v>
      </c>
      <c r="K3094" s="22" t="s">
        <v>10958</v>
      </c>
      <c r="L3094" s="56">
        <v>45096</v>
      </c>
      <c r="O3094" s="42"/>
      <c r="P3094" s="40"/>
      <c r="Q3094" s="61"/>
      <c r="R3094" s="61"/>
      <c r="S3094" s="40"/>
      <c r="T3094" s="38"/>
      <c r="U3094" s="38"/>
      <c r="V3094" s="38"/>
      <c r="W3094" s="60"/>
      <c r="AB3094" s="42"/>
      <c r="AC3094" s="35"/>
      <c r="AD3094" s="38"/>
      <c r="AE3094" s="38"/>
      <c r="AF3094" s="38"/>
      <c r="AG3094" s="38"/>
      <c r="AH3094" s="60"/>
    </row>
    <row r="3095" spans="1:34" ht="15.75" customHeight="1">
      <c r="A3095" s="139"/>
      <c r="B3095" s="18" t="s">
        <v>10959</v>
      </c>
      <c r="C3095" s="37" t="s">
        <v>1430</v>
      </c>
      <c r="D3095" s="20" t="s">
        <v>10960</v>
      </c>
      <c r="E3095" s="20"/>
      <c r="F3095" s="37" t="s">
        <v>49</v>
      </c>
      <c r="G3095" s="19" t="s">
        <v>50</v>
      </c>
      <c r="H3095" s="37"/>
      <c r="I3095" s="21" t="s">
        <v>233</v>
      </c>
      <c r="J3095" s="21" t="s">
        <v>233</v>
      </c>
      <c r="K3095" s="22"/>
      <c r="L3095" s="56">
        <v>45096</v>
      </c>
      <c r="O3095" s="42"/>
      <c r="P3095" s="40"/>
      <c r="Q3095" s="61"/>
      <c r="R3095" s="61"/>
      <c r="S3095" s="40"/>
      <c r="T3095" s="38"/>
      <c r="U3095" s="38"/>
      <c r="V3095" s="38"/>
      <c r="W3095" s="60"/>
      <c r="AB3095" s="42"/>
      <c r="AC3095" s="35"/>
      <c r="AD3095" s="38"/>
      <c r="AE3095" s="38"/>
      <c r="AF3095" s="38"/>
      <c r="AG3095" s="38"/>
      <c r="AH3095" s="60"/>
    </row>
    <row r="3096" spans="1:34" ht="15.75" customHeight="1">
      <c r="A3096" s="139"/>
      <c r="B3096" s="18" t="s">
        <v>10961</v>
      </c>
      <c r="C3096" s="37" t="s">
        <v>87</v>
      </c>
      <c r="D3096" s="20" t="s">
        <v>10962</v>
      </c>
      <c r="E3096" s="20" t="s">
        <v>10963</v>
      </c>
      <c r="F3096" s="19" t="s">
        <v>90</v>
      </c>
      <c r="G3096" s="19" t="s">
        <v>91</v>
      </c>
      <c r="H3096" s="37"/>
      <c r="I3096" s="21" t="s">
        <v>29</v>
      </c>
      <c r="J3096" s="21" t="s">
        <v>29</v>
      </c>
      <c r="K3096" s="22" t="s">
        <v>10964</v>
      </c>
      <c r="L3096" s="56">
        <v>45096</v>
      </c>
      <c r="O3096" s="42"/>
      <c r="P3096" s="40"/>
      <c r="Q3096" s="61"/>
      <c r="R3096" s="61"/>
      <c r="S3096" s="40"/>
      <c r="T3096" s="38"/>
      <c r="U3096" s="38"/>
      <c r="V3096" s="38"/>
      <c r="W3096" s="60"/>
      <c r="AB3096" s="42"/>
      <c r="AC3096" s="35"/>
      <c r="AD3096" s="38"/>
      <c r="AE3096" s="38"/>
      <c r="AF3096" s="38"/>
      <c r="AG3096" s="38"/>
      <c r="AH3096" s="60"/>
    </row>
    <row r="3097" spans="1:34" ht="15.75" customHeight="1">
      <c r="A3097" s="138"/>
      <c r="B3097" s="18" t="s">
        <v>10965</v>
      </c>
      <c r="C3097" s="37" t="s">
        <v>24</v>
      </c>
      <c r="D3097" s="20" t="s">
        <v>10966</v>
      </c>
      <c r="E3097" s="20" t="s">
        <v>10967</v>
      </c>
      <c r="F3097" s="19" t="s">
        <v>27</v>
      </c>
      <c r="G3097" s="19" t="s">
        <v>28</v>
      </c>
      <c r="H3097" s="37"/>
      <c r="I3097" s="21" t="s">
        <v>29</v>
      </c>
      <c r="J3097" s="21" t="s">
        <v>29</v>
      </c>
      <c r="K3097" s="22" t="s">
        <v>10968</v>
      </c>
      <c r="L3097" s="56">
        <v>45096</v>
      </c>
      <c r="O3097" s="42"/>
      <c r="P3097" s="40"/>
      <c r="Q3097" s="61"/>
      <c r="R3097" s="61"/>
      <c r="S3097" s="40"/>
      <c r="T3097" s="38"/>
      <c r="U3097" s="38"/>
      <c r="V3097" s="38"/>
      <c r="W3097" s="60"/>
      <c r="AB3097" s="42"/>
      <c r="AC3097" s="35"/>
      <c r="AD3097" s="38"/>
      <c r="AE3097" s="38"/>
      <c r="AF3097" s="38"/>
      <c r="AG3097" s="38"/>
      <c r="AH3097" s="60"/>
    </row>
    <row r="3098" spans="1:34" ht="15.75" customHeight="1">
      <c r="A3098" s="139"/>
      <c r="B3098" s="18" t="s">
        <v>10969</v>
      </c>
      <c r="C3098" s="37" t="s">
        <v>87</v>
      </c>
      <c r="D3098" s="20" t="s">
        <v>10970</v>
      </c>
      <c r="E3098" s="20" t="s">
        <v>10971</v>
      </c>
      <c r="F3098" s="19" t="s">
        <v>90</v>
      </c>
      <c r="G3098" s="19" t="s">
        <v>91</v>
      </c>
      <c r="H3098" s="37"/>
      <c r="I3098" s="21" t="s">
        <v>29</v>
      </c>
      <c r="J3098" s="21" t="s">
        <v>29</v>
      </c>
      <c r="K3098" s="22" t="s">
        <v>10972</v>
      </c>
      <c r="L3098" s="56">
        <v>45096</v>
      </c>
      <c r="O3098" s="42"/>
      <c r="P3098" s="40"/>
      <c r="Q3098" s="61"/>
      <c r="R3098" s="61"/>
      <c r="S3098" s="40"/>
      <c r="T3098" s="38"/>
      <c r="U3098" s="38"/>
      <c r="V3098" s="38"/>
      <c r="W3098" s="60"/>
      <c r="AB3098" s="42"/>
      <c r="AC3098" s="35"/>
      <c r="AD3098" s="38"/>
      <c r="AE3098" s="38"/>
      <c r="AF3098" s="38"/>
      <c r="AG3098" s="38"/>
      <c r="AH3098" s="60"/>
    </row>
    <row r="3099" spans="1:34" ht="15.75" customHeight="1">
      <c r="A3099" s="139"/>
      <c r="B3099" s="29" t="s">
        <v>10973</v>
      </c>
      <c r="C3099" s="55" t="s">
        <v>46</v>
      </c>
      <c r="D3099" s="20" t="s">
        <v>10974</v>
      </c>
      <c r="E3099" s="20" t="s">
        <v>10975</v>
      </c>
      <c r="F3099" s="55" t="s">
        <v>286</v>
      </c>
      <c r="G3099" s="19" t="s">
        <v>50</v>
      </c>
      <c r="H3099" s="55"/>
      <c r="I3099" s="21" t="s">
        <v>286</v>
      </c>
      <c r="J3099" s="21" t="s">
        <v>29</v>
      </c>
      <c r="K3099" s="22" t="s">
        <v>10976</v>
      </c>
      <c r="L3099" s="56"/>
      <c r="O3099" s="42"/>
      <c r="P3099" s="40"/>
      <c r="Q3099" s="61"/>
      <c r="R3099" s="61"/>
      <c r="S3099" s="40"/>
      <c r="T3099" s="38"/>
      <c r="U3099" s="38"/>
      <c r="V3099" s="38"/>
      <c r="W3099" s="60"/>
      <c r="AB3099" s="42"/>
      <c r="AC3099" s="35"/>
      <c r="AD3099" s="38"/>
      <c r="AE3099" s="38"/>
      <c r="AF3099" s="38"/>
      <c r="AG3099" s="38"/>
      <c r="AH3099" s="60"/>
    </row>
    <row r="3100" spans="1:34" ht="15.75" customHeight="1">
      <c r="A3100" s="139"/>
      <c r="B3100" s="18" t="s">
        <v>10977</v>
      </c>
      <c r="C3100" s="55" t="s">
        <v>228</v>
      </c>
      <c r="D3100" s="20" t="s">
        <v>10978</v>
      </c>
      <c r="E3100" s="20" t="s">
        <v>10979</v>
      </c>
      <c r="F3100" s="19" t="s">
        <v>231</v>
      </c>
      <c r="G3100" s="19" t="s">
        <v>232</v>
      </c>
      <c r="H3100" s="37" t="s">
        <v>762</v>
      </c>
      <c r="I3100" s="21" t="s">
        <v>233</v>
      </c>
      <c r="J3100" s="21" t="s">
        <v>233</v>
      </c>
      <c r="K3100" s="22" t="s">
        <v>10980</v>
      </c>
      <c r="L3100" s="56">
        <v>45096</v>
      </c>
      <c r="O3100" s="42"/>
      <c r="P3100" s="40"/>
      <c r="Q3100" s="61"/>
      <c r="R3100" s="61"/>
      <c r="S3100" s="40"/>
      <c r="T3100" s="38"/>
      <c r="U3100" s="38"/>
      <c r="V3100" s="38"/>
      <c r="W3100" s="60"/>
      <c r="AB3100" s="42"/>
      <c r="AC3100" s="35"/>
      <c r="AD3100" s="38"/>
      <c r="AE3100" s="38"/>
      <c r="AF3100" s="38"/>
      <c r="AG3100" s="38"/>
      <c r="AH3100" s="60"/>
    </row>
    <row r="3101" spans="1:34" ht="15.75" customHeight="1">
      <c r="A3101" s="138"/>
      <c r="B3101" s="18" t="s">
        <v>10981</v>
      </c>
      <c r="C3101" s="55" t="s">
        <v>228</v>
      </c>
      <c r="D3101" s="20" t="s">
        <v>10982</v>
      </c>
      <c r="E3101" s="20" t="s">
        <v>10983</v>
      </c>
      <c r="F3101" s="19" t="s">
        <v>231</v>
      </c>
      <c r="G3101" s="19" t="s">
        <v>232</v>
      </c>
      <c r="H3101" s="37" t="s">
        <v>762</v>
      </c>
      <c r="I3101" s="21" t="s">
        <v>233</v>
      </c>
      <c r="J3101" s="21" t="s">
        <v>233</v>
      </c>
      <c r="K3101" s="22" t="s">
        <v>10984</v>
      </c>
      <c r="L3101" s="56">
        <v>45096</v>
      </c>
      <c r="O3101" s="42"/>
      <c r="P3101" s="40"/>
      <c r="Q3101" s="61"/>
      <c r="R3101" s="61"/>
      <c r="S3101" s="40"/>
      <c r="T3101" s="38"/>
      <c r="U3101" s="38"/>
      <c r="V3101" s="38"/>
      <c r="W3101" s="60"/>
      <c r="AB3101" s="42"/>
      <c r="AC3101" s="35"/>
      <c r="AD3101" s="38"/>
      <c r="AE3101" s="38"/>
      <c r="AF3101" s="38"/>
      <c r="AG3101" s="38"/>
      <c r="AH3101" s="60"/>
    </row>
    <row r="3102" spans="1:34" ht="15.75" customHeight="1">
      <c r="A3102" s="139"/>
      <c r="B3102" s="18" t="s">
        <v>10985</v>
      </c>
      <c r="C3102" s="37" t="s">
        <v>1470</v>
      </c>
      <c r="D3102" s="20" t="s">
        <v>10986</v>
      </c>
      <c r="E3102" s="20" t="s">
        <v>10987</v>
      </c>
      <c r="F3102" s="19" t="s">
        <v>3286</v>
      </c>
      <c r="G3102" s="19" t="s">
        <v>1461</v>
      </c>
      <c r="H3102" s="37"/>
      <c r="I3102" s="21" t="s">
        <v>233</v>
      </c>
      <c r="J3102" s="21" t="s">
        <v>233</v>
      </c>
      <c r="K3102" s="22" t="s">
        <v>10988</v>
      </c>
      <c r="L3102" s="56">
        <v>45096</v>
      </c>
      <c r="O3102" s="42"/>
      <c r="P3102" s="40"/>
      <c r="Q3102" s="61"/>
      <c r="R3102" s="61"/>
      <c r="S3102" s="40"/>
      <c r="T3102" s="38"/>
      <c r="U3102" s="38"/>
      <c r="V3102" s="38"/>
      <c r="W3102" s="60"/>
      <c r="AB3102" s="42"/>
      <c r="AC3102" s="35"/>
      <c r="AD3102" s="38"/>
      <c r="AE3102" s="38"/>
      <c r="AF3102" s="38"/>
      <c r="AG3102" s="38"/>
      <c r="AH3102" s="60"/>
    </row>
    <row r="3103" spans="1:34" ht="15.75" customHeight="1">
      <c r="A3103" s="139"/>
      <c r="B3103" s="18" t="s">
        <v>10989</v>
      </c>
      <c r="C3103" s="37" t="s">
        <v>46</v>
      </c>
      <c r="D3103" s="20" t="s">
        <v>10990</v>
      </c>
      <c r="E3103" s="20" t="s">
        <v>10991</v>
      </c>
      <c r="F3103" s="37" t="s">
        <v>49</v>
      </c>
      <c r="G3103" s="19" t="s">
        <v>50</v>
      </c>
      <c r="H3103" s="37"/>
      <c r="I3103" s="21" t="s">
        <v>29</v>
      </c>
      <c r="J3103" s="21" t="s">
        <v>29</v>
      </c>
      <c r="K3103" s="22" t="s">
        <v>10992</v>
      </c>
      <c r="L3103" s="56">
        <v>45096</v>
      </c>
      <c r="O3103" s="42"/>
      <c r="P3103" s="40"/>
      <c r="Q3103" s="61"/>
      <c r="R3103" s="61"/>
      <c r="S3103" s="40"/>
      <c r="T3103" s="38"/>
      <c r="U3103" s="38"/>
      <c r="V3103" s="38"/>
      <c r="W3103" s="60"/>
      <c r="AB3103" s="42"/>
      <c r="AC3103" s="35"/>
      <c r="AD3103" s="38"/>
      <c r="AE3103" s="38"/>
      <c r="AF3103" s="38"/>
      <c r="AG3103" s="38"/>
      <c r="AH3103" s="60"/>
    </row>
    <row r="3104" spans="1:34" ht="15.75" customHeight="1">
      <c r="A3104" s="138"/>
      <c r="B3104" s="18" t="s">
        <v>10993</v>
      </c>
      <c r="C3104" s="37" t="s">
        <v>87</v>
      </c>
      <c r="D3104" s="20" t="s">
        <v>10994</v>
      </c>
      <c r="E3104" s="20" t="s">
        <v>10995</v>
      </c>
      <c r="F3104" s="19" t="s">
        <v>90</v>
      </c>
      <c r="G3104" s="19" t="s">
        <v>91</v>
      </c>
      <c r="H3104" s="37"/>
      <c r="I3104" s="21" t="s">
        <v>29</v>
      </c>
      <c r="J3104" s="21" t="s">
        <v>29</v>
      </c>
      <c r="K3104" s="22" t="s">
        <v>10996</v>
      </c>
      <c r="L3104" s="56">
        <v>45096</v>
      </c>
      <c r="O3104" s="42"/>
      <c r="P3104" s="40"/>
      <c r="Q3104" s="61"/>
      <c r="R3104" s="61"/>
      <c r="S3104" s="40"/>
      <c r="T3104" s="38"/>
      <c r="U3104" s="38"/>
      <c r="V3104" s="38"/>
      <c r="W3104" s="60"/>
      <c r="AB3104" s="42"/>
      <c r="AC3104" s="35"/>
      <c r="AD3104" s="38"/>
      <c r="AE3104" s="38"/>
      <c r="AF3104" s="38"/>
      <c r="AG3104" s="38"/>
      <c r="AH3104" s="60"/>
    </row>
    <row r="3105" spans="1:34" ht="15.75" customHeight="1">
      <c r="A3105" s="139"/>
      <c r="B3105" s="18" t="s">
        <v>10997</v>
      </c>
      <c r="C3105" s="37" t="s">
        <v>46</v>
      </c>
      <c r="D3105" s="20" t="s">
        <v>10998</v>
      </c>
      <c r="E3105" s="20" t="s">
        <v>10999</v>
      </c>
      <c r="F3105" s="37" t="s">
        <v>49</v>
      </c>
      <c r="G3105" s="19" t="s">
        <v>50</v>
      </c>
      <c r="H3105" s="37"/>
      <c r="I3105" s="21" t="s">
        <v>29</v>
      </c>
      <c r="J3105" s="21" t="s">
        <v>29</v>
      </c>
      <c r="K3105" s="22" t="s">
        <v>11000</v>
      </c>
      <c r="L3105" s="56">
        <v>45096</v>
      </c>
      <c r="O3105" s="42"/>
      <c r="P3105" s="40"/>
      <c r="Q3105" s="61"/>
      <c r="R3105" s="61"/>
      <c r="S3105" s="40"/>
      <c r="T3105" s="38"/>
      <c r="U3105" s="38"/>
      <c r="V3105" s="38"/>
      <c r="W3105" s="60"/>
      <c r="AB3105" s="42"/>
      <c r="AC3105" s="35"/>
      <c r="AD3105" s="38"/>
      <c r="AE3105" s="38"/>
      <c r="AF3105" s="38"/>
      <c r="AG3105" s="38"/>
      <c r="AH3105" s="60"/>
    </row>
    <row r="3106" spans="1:34" ht="15.75" customHeight="1">
      <c r="A3106" s="139"/>
      <c r="B3106" s="18" t="s">
        <v>11001</v>
      </c>
      <c r="C3106" s="37" t="s">
        <v>87</v>
      </c>
      <c r="D3106" s="20" t="s">
        <v>11002</v>
      </c>
      <c r="E3106" s="20" t="s">
        <v>11003</v>
      </c>
      <c r="F3106" s="19" t="s">
        <v>90</v>
      </c>
      <c r="G3106" s="19" t="s">
        <v>91</v>
      </c>
      <c r="H3106" s="37"/>
      <c r="I3106" s="21" t="s">
        <v>29</v>
      </c>
      <c r="J3106" s="21" t="s">
        <v>29</v>
      </c>
      <c r="K3106" s="22" t="s">
        <v>11004</v>
      </c>
      <c r="L3106" s="56">
        <v>45096</v>
      </c>
      <c r="O3106" s="42"/>
      <c r="P3106" s="40"/>
      <c r="Q3106" s="61"/>
      <c r="R3106" s="61"/>
      <c r="S3106" s="40"/>
      <c r="T3106" s="38"/>
      <c r="U3106" s="38"/>
      <c r="V3106" s="38"/>
      <c r="W3106" s="60"/>
      <c r="AB3106" s="42"/>
      <c r="AC3106" s="35"/>
      <c r="AD3106" s="38"/>
      <c r="AE3106" s="38"/>
      <c r="AF3106" s="38"/>
      <c r="AG3106" s="38"/>
      <c r="AH3106" s="60"/>
    </row>
    <row r="3107" spans="1:34" ht="15.75" customHeight="1">
      <c r="A3107" s="138"/>
      <c r="B3107" s="38"/>
      <c r="C3107" s="140"/>
      <c r="D3107" s="20"/>
      <c r="E3107" s="20"/>
      <c r="F3107" s="140"/>
      <c r="G3107" s="140"/>
      <c r="H3107" s="140"/>
      <c r="I3107" s="21"/>
      <c r="J3107" s="21"/>
      <c r="K3107" s="22"/>
      <c r="L3107" s="39"/>
      <c r="O3107" s="42"/>
      <c r="P3107" s="40"/>
      <c r="Q3107" s="61"/>
      <c r="R3107" s="61"/>
      <c r="S3107" s="40"/>
      <c r="T3107" s="38"/>
      <c r="U3107" s="38"/>
      <c r="V3107" s="38"/>
      <c r="W3107" s="60"/>
      <c r="AB3107" s="42"/>
      <c r="AC3107" s="35"/>
      <c r="AD3107" s="38"/>
      <c r="AE3107" s="38"/>
      <c r="AF3107" s="38"/>
      <c r="AG3107" s="38"/>
      <c r="AH3107" s="60"/>
    </row>
    <row r="3108" spans="1:34" ht="15.75" customHeight="1">
      <c r="A3108" s="38" t="s">
        <v>11005</v>
      </c>
      <c r="B3108" s="29" t="s">
        <v>11006</v>
      </c>
      <c r="C3108" s="37" t="s">
        <v>24</v>
      </c>
      <c r="D3108" s="20" t="s">
        <v>11007</v>
      </c>
      <c r="E3108" s="20" t="s">
        <v>11008</v>
      </c>
      <c r="F3108" s="19" t="s">
        <v>27</v>
      </c>
      <c r="G3108" s="19" t="s">
        <v>28</v>
      </c>
      <c r="H3108" s="37" t="s">
        <v>55</v>
      </c>
      <c r="I3108" s="21" t="s">
        <v>29</v>
      </c>
      <c r="J3108" s="21" t="s">
        <v>29</v>
      </c>
      <c r="K3108" s="22" t="s">
        <v>11009</v>
      </c>
      <c r="L3108" s="56">
        <v>45096</v>
      </c>
      <c r="M3108" s="40"/>
      <c r="N3108" s="40"/>
      <c r="O3108" s="42"/>
      <c r="P3108" s="40"/>
      <c r="Q3108" s="61"/>
      <c r="R3108" s="61"/>
      <c r="S3108" s="40"/>
      <c r="T3108" s="38"/>
      <c r="U3108" s="38"/>
      <c r="V3108" s="38"/>
      <c r="W3108" s="60"/>
      <c r="AB3108" s="42"/>
      <c r="AC3108" s="35"/>
      <c r="AD3108" s="38"/>
      <c r="AE3108" s="38"/>
      <c r="AF3108" s="38"/>
      <c r="AG3108" s="38"/>
      <c r="AH3108" s="60"/>
    </row>
    <row r="3109" spans="1:34" ht="15.75" customHeight="1">
      <c r="A3109" s="54" t="s">
        <v>2628</v>
      </c>
      <c r="B3109" s="18" t="s">
        <v>11010</v>
      </c>
      <c r="C3109" s="37" t="s">
        <v>412</v>
      </c>
      <c r="D3109" s="20" t="s">
        <v>11011</v>
      </c>
      <c r="E3109" s="20" t="s">
        <v>11012</v>
      </c>
      <c r="F3109" s="19" t="s">
        <v>414</v>
      </c>
      <c r="G3109" s="19" t="s">
        <v>415</v>
      </c>
      <c r="H3109" s="37" t="s">
        <v>55</v>
      </c>
      <c r="I3109" s="21" t="s">
        <v>233</v>
      </c>
      <c r="J3109" s="21" t="s">
        <v>233</v>
      </c>
      <c r="K3109" s="22" t="s">
        <v>11013</v>
      </c>
      <c r="L3109" s="56">
        <v>45096</v>
      </c>
      <c r="M3109" s="40"/>
      <c r="N3109" s="40"/>
      <c r="O3109" s="42"/>
      <c r="P3109" s="40"/>
      <c r="Q3109" s="61"/>
      <c r="R3109" s="61"/>
      <c r="S3109" s="40"/>
      <c r="T3109" s="38"/>
      <c r="U3109" s="38"/>
      <c r="V3109" s="38"/>
      <c r="W3109" s="60"/>
      <c r="AB3109" s="42"/>
      <c r="AC3109" s="35"/>
      <c r="AD3109" s="38"/>
      <c r="AE3109" s="38"/>
      <c r="AF3109" s="38"/>
      <c r="AG3109" s="38"/>
      <c r="AH3109" s="60"/>
    </row>
    <row r="3110" spans="1:34" ht="15.75" customHeight="1">
      <c r="A3110" s="114" t="s">
        <v>39</v>
      </c>
      <c r="B3110" s="18" t="s">
        <v>11014</v>
      </c>
      <c r="C3110" s="55" t="s">
        <v>24</v>
      </c>
      <c r="D3110" s="20" t="s">
        <v>11015</v>
      </c>
      <c r="E3110" s="20" t="s">
        <v>11016</v>
      </c>
      <c r="F3110" s="19" t="s">
        <v>27</v>
      </c>
      <c r="G3110" s="19" t="s">
        <v>28</v>
      </c>
      <c r="H3110" s="37" t="s">
        <v>813</v>
      </c>
      <c r="I3110" s="21" t="s">
        <v>29</v>
      </c>
      <c r="J3110" s="21" t="s">
        <v>29</v>
      </c>
      <c r="K3110" s="22" t="s">
        <v>11017</v>
      </c>
      <c r="L3110" s="56">
        <v>45096</v>
      </c>
      <c r="M3110" s="40"/>
      <c r="N3110" s="40"/>
      <c r="O3110" s="42"/>
      <c r="P3110" s="40"/>
      <c r="Q3110" s="61"/>
      <c r="R3110" s="61"/>
      <c r="S3110" s="40"/>
      <c r="T3110" s="38"/>
      <c r="U3110" s="38"/>
      <c r="V3110" s="38"/>
      <c r="W3110" s="60"/>
      <c r="AB3110" s="42"/>
      <c r="AC3110" s="35"/>
      <c r="AD3110" s="38"/>
      <c r="AE3110" s="38"/>
      <c r="AF3110" s="38"/>
      <c r="AG3110" s="38"/>
      <c r="AH3110" s="60"/>
    </row>
    <row r="3111" spans="1:34" ht="15.75" customHeight="1">
      <c r="A3111" s="38" t="s">
        <v>10522</v>
      </c>
      <c r="B3111" s="18" t="s">
        <v>11018</v>
      </c>
      <c r="C3111" s="37" t="s">
        <v>1486</v>
      </c>
      <c r="D3111" s="20" t="s">
        <v>11019</v>
      </c>
      <c r="E3111" s="20"/>
      <c r="F3111" s="37" t="s">
        <v>1489</v>
      </c>
      <c r="G3111" s="37" t="s">
        <v>1490</v>
      </c>
      <c r="H3111" s="37" t="s">
        <v>55</v>
      </c>
      <c r="I3111" s="21" t="s">
        <v>1371</v>
      </c>
      <c r="J3111" s="21" t="s">
        <v>1371</v>
      </c>
      <c r="K3111" s="22"/>
      <c r="L3111" s="56">
        <v>45096</v>
      </c>
      <c r="M3111" s="40"/>
      <c r="N3111" s="40"/>
      <c r="O3111" s="42"/>
      <c r="P3111" s="40"/>
      <c r="Q3111" s="61"/>
      <c r="R3111" s="61"/>
      <c r="S3111" s="40"/>
      <c r="T3111" s="38"/>
      <c r="U3111" s="38"/>
      <c r="V3111" s="38"/>
      <c r="W3111" s="60"/>
      <c r="AB3111" s="42"/>
      <c r="AC3111" s="35"/>
      <c r="AD3111" s="38"/>
      <c r="AE3111" s="38"/>
      <c r="AF3111" s="38"/>
      <c r="AG3111" s="38"/>
      <c r="AH3111" s="60"/>
    </row>
    <row r="3112" spans="1:34" ht="15.75" customHeight="1">
      <c r="A3112" s="38" t="s">
        <v>11020</v>
      </c>
      <c r="B3112" s="18" t="s">
        <v>11021</v>
      </c>
      <c r="C3112" s="37" t="s">
        <v>1638</v>
      </c>
      <c r="D3112" s="20" t="s">
        <v>11022</v>
      </c>
      <c r="E3112" s="20" t="s">
        <v>11023</v>
      </c>
      <c r="F3112" s="37" t="s">
        <v>1399</v>
      </c>
      <c r="G3112" s="19" t="s">
        <v>1641</v>
      </c>
      <c r="H3112" s="37" t="s">
        <v>55</v>
      </c>
      <c r="I3112" s="21" t="s">
        <v>1371</v>
      </c>
      <c r="J3112" s="21" t="s">
        <v>1371</v>
      </c>
      <c r="K3112" s="22" t="s">
        <v>11024</v>
      </c>
      <c r="L3112" s="56">
        <v>45096</v>
      </c>
      <c r="M3112" s="40"/>
      <c r="N3112" s="40"/>
      <c r="O3112" s="42"/>
      <c r="P3112" s="40"/>
      <c r="Q3112" s="61"/>
      <c r="R3112" s="61"/>
      <c r="S3112" s="40"/>
      <c r="T3112" s="38"/>
      <c r="U3112" s="38"/>
      <c r="V3112" s="38"/>
      <c r="W3112" s="60"/>
      <c r="AB3112" s="42"/>
      <c r="AC3112" s="35"/>
      <c r="AD3112" s="38"/>
      <c r="AE3112" s="38"/>
      <c r="AF3112" s="38"/>
      <c r="AG3112" s="38"/>
      <c r="AH3112" s="60"/>
    </row>
    <row r="3113" spans="1:34" ht="15.75" customHeight="1">
      <c r="A3113" s="111" t="s">
        <v>56</v>
      </c>
      <c r="B3113" s="18" t="s">
        <v>11025</v>
      </c>
      <c r="C3113" s="37" t="s">
        <v>87</v>
      </c>
      <c r="D3113" s="20" t="s">
        <v>11026</v>
      </c>
      <c r="E3113" s="20" t="s">
        <v>11027</v>
      </c>
      <c r="F3113" s="19" t="s">
        <v>90</v>
      </c>
      <c r="G3113" s="19" t="s">
        <v>91</v>
      </c>
      <c r="H3113" s="37" t="s">
        <v>55</v>
      </c>
      <c r="I3113" s="21" t="s">
        <v>29</v>
      </c>
      <c r="J3113" s="21" t="s">
        <v>29</v>
      </c>
      <c r="K3113" s="22" t="s">
        <v>11028</v>
      </c>
      <c r="L3113" s="56">
        <v>45096</v>
      </c>
      <c r="M3113" s="40"/>
      <c r="N3113" s="40"/>
      <c r="O3113" s="42"/>
      <c r="P3113" s="40"/>
      <c r="Q3113" s="61"/>
      <c r="R3113" s="61"/>
      <c r="S3113" s="40"/>
      <c r="T3113" s="38"/>
      <c r="U3113" s="38"/>
      <c r="V3113" s="38"/>
      <c r="W3113" s="60"/>
      <c r="AB3113" s="42"/>
      <c r="AC3113" s="35"/>
      <c r="AD3113" s="38"/>
      <c r="AE3113" s="38"/>
      <c r="AF3113" s="38"/>
      <c r="AG3113" s="38"/>
      <c r="AH3113" s="60"/>
    </row>
    <row r="3114" spans="1:34" ht="15.75" customHeight="1">
      <c r="A3114" s="75">
        <v>46</v>
      </c>
      <c r="B3114" s="18" t="s">
        <v>11029</v>
      </c>
      <c r="C3114" s="37" t="s">
        <v>1638</v>
      </c>
      <c r="D3114" s="20" t="s">
        <v>11030</v>
      </c>
      <c r="E3114" s="20" t="s">
        <v>11031</v>
      </c>
      <c r="F3114" s="37" t="s">
        <v>1399</v>
      </c>
      <c r="G3114" s="19" t="s">
        <v>1641</v>
      </c>
      <c r="H3114" s="37" t="s">
        <v>55</v>
      </c>
      <c r="I3114" s="21" t="s">
        <v>1371</v>
      </c>
      <c r="J3114" s="21" t="s">
        <v>1371</v>
      </c>
      <c r="K3114" s="22" t="s">
        <v>11032</v>
      </c>
      <c r="L3114" s="56">
        <v>45096</v>
      </c>
      <c r="M3114" s="40"/>
      <c r="N3114" s="40"/>
      <c r="O3114" s="42"/>
      <c r="P3114" s="40"/>
      <c r="Q3114" s="61"/>
      <c r="R3114" s="61"/>
      <c r="S3114" s="40"/>
      <c r="T3114" s="38"/>
      <c r="U3114" s="38"/>
      <c r="V3114" s="38"/>
      <c r="W3114" s="60"/>
      <c r="AB3114" s="42"/>
      <c r="AC3114" s="35"/>
      <c r="AD3114" s="38"/>
      <c r="AE3114" s="38"/>
      <c r="AF3114" s="38"/>
      <c r="AG3114" s="38"/>
      <c r="AH3114" s="60"/>
    </row>
    <row r="3115" spans="1:34" ht="15.75" customHeight="1">
      <c r="A3115" s="111" t="s">
        <v>64</v>
      </c>
      <c r="B3115" s="18" t="s">
        <v>11033</v>
      </c>
      <c r="C3115" s="37" t="s">
        <v>87</v>
      </c>
      <c r="D3115" s="20" t="s">
        <v>11034</v>
      </c>
      <c r="E3115" s="20" t="s">
        <v>11035</v>
      </c>
      <c r="F3115" s="19" t="s">
        <v>90</v>
      </c>
      <c r="G3115" s="19" t="s">
        <v>91</v>
      </c>
      <c r="H3115" s="37" t="s">
        <v>55</v>
      </c>
      <c r="I3115" s="21" t="s">
        <v>29</v>
      </c>
      <c r="J3115" s="21" t="s">
        <v>29</v>
      </c>
      <c r="K3115" s="22" t="s">
        <v>11036</v>
      </c>
      <c r="L3115" s="56">
        <v>45096</v>
      </c>
      <c r="M3115" s="40"/>
      <c r="N3115" s="40"/>
      <c r="O3115" s="42"/>
      <c r="P3115" s="40"/>
      <c r="Q3115" s="61"/>
      <c r="R3115" s="61"/>
      <c r="S3115" s="40"/>
      <c r="T3115" s="38"/>
      <c r="U3115" s="38"/>
      <c r="V3115" s="38"/>
      <c r="W3115" s="60"/>
      <c r="AB3115" s="42"/>
      <c r="AC3115" s="35"/>
      <c r="AD3115" s="38"/>
      <c r="AE3115" s="38"/>
      <c r="AF3115" s="38"/>
      <c r="AG3115" s="38"/>
      <c r="AH3115" s="60"/>
    </row>
    <row r="3116" spans="1:34" ht="15.75" customHeight="1">
      <c r="A3116" s="75">
        <v>2.7</v>
      </c>
      <c r="B3116" s="18" t="s">
        <v>11037</v>
      </c>
      <c r="C3116" s="37" t="s">
        <v>87</v>
      </c>
      <c r="D3116" s="20" t="s">
        <v>11038</v>
      </c>
      <c r="E3116" s="20" t="s">
        <v>11039</v>
      </c>
      <c r="F3116" s="19" t="s">
        <v>90</v>
      </c>
      <c r="G3116" s="19" t="s">
        <v>91</v>
      </c>
      <c r="H3116" s="37" t="s">
        <v>55</v>
      </c>
      <c r="I3116" s="21" t="s">
        <v>29</v>
      </c>
      <c r="J3116" s="21" t="s">
        <v>29</v>
      </c>
      <c r="K3116" s="22" t="s">
        <v>11040</v>
      </c>
      <c r="L3116" s="56">
        <v>45096</v>
      </c>
      <c r="M3116" s="40"/>
      <c r="N3116" s="40"/>
      <c r="O3116" s="42"/>
      <c r="P3116" s="40"/>
      <c r="Q3116" s="61"/>
      <c r="R3116" s="61"/>
      <c r="S3116" s="40"/>
      <c r="T3116" s="38"/>
      <c r="U3116" s="38"/>
      <c r="V3116" s="38"/>
      <c r="W3116" s="60"/>
      <c r="AB3116" s="42"/>
      <c r="AC3116" s="35"/>
      <c r="AD3116" s="38"/>
      <c r="AE3116" s="38"/>
      <c r="AF3116" s="38"/>
      <c r="AG3116" s="38"/>
      <c r="AH3116" s="60"/>
    </row>
    <row r="3117" spans="1:34" ht="15.75" customHeight="1">
      <c r="A3117" s="111" t="s">
        <v>73</v>
      </c>
      <c r="B3117" s="18" t="s">
        <v>11041</v>
      </c>
      <c r="C3117" s="55" t="s">
        <v>87</v>
      </c>
      <c r="D3117" s="20" t="s">
        <v>11042</v>
      </c>
      <c r="E3117" s="20" t="s">
        <v>11043</v>
      </c>
      <c r="F3117" s="19" t="s">
        <v>90</v>
      </c>
      <c r="G3117" s="19" t="s">
        <v>91</v>
      </c>
      <c r="H3117" s="37" t="s">
        <v>55</v>
      </c>
      <c r="I3117" s="21" t="s">
        <v>29</v>
      </c>
      <c r="J3117" s="21" t="s">
        <v>29</v>
      </c>
      <c r="K3117" s="22" t="s">
        <v>11044</v>
      </c>
      <c r="L3117" s="56">
        <v>45096</v>
      </c>
      <c r="M3117" s="40"/>
      <c r="N3117" s="40"/>
      <c r="O3117" s="42"/>
      <c r="P3117" s="40"/>
      <c r="Q3117" s="61"/>
      <c r="R3117" s="61"/>
      <c r="S3117" s="40"/>
      <c r="T3117" s="38"/>
      <c r="U3117" s="38"/>
      <c r="V3117" s="38"/>
      <c r="W3117" s="60"/>
      <c r="AB3117" s="42"/>
      <c r="AC3117" s="35"/>
      <c r="AD3117" s="38"/>
      <c r="AE3117" s="38"/>
      <c r="AF3117" s="38"/>
      <c r="AG3117" s="38"/>
      <c r="AH3117" s="60"/>
    </row>
    <row r="3118" spans="1:34" ht="15.75" customHeight="1">
      <c r="A3118" s="75">
        <v>3.6</v>
      </c>
      <c r="B3118" s="18" t="s">
        <v>11045</v>
      </c>
      <c r="C3118" s="37" t="s">
        <v>87</v>
      </c>
      <c r="D3118" s="20" t="s">
        <v>11046</v>
      </c>
      <c r="E3118" s="20" t="s">
        <v>11047</v>
      </c>
      <c r="F3118" s="19" t="s">
        <v>90</v>
      </c>
      <c r="G3118" s="19" t="s">
        <v>91</v>
      </c>
      <c r="H3118" s="37" t="s">
        <v>55</v>
      </c>
      <c r="I3118" s="21" t="s">
        <v>29</v>
      </c>
      <c r="J3118" s="21" t="s">
        <v>29</v>
      </c>
      <c r="K3118" s="22" t="s">
        <v>11048</v>
      </c>
      <c r="L3118" s="56">
        <v>45096</v>
      </c>
      <c r="M3118" s="40"/>
      <c r="N3118" s="40"/>
      <c r="O3118" s="42"/>
      <c r="P3118" s="40"/>
      <c r="Q3118" s="61"/>
      <c r="R3118" s="61"/>
      <c r="S3118" s="40"/>
      <c r="T3118" s="38"/>
      <c r="U3118" s="38"/>
      <c r="V3118" s="38"/>
      <c r="W3118" s="60"/>
      <c r="AB3118" s="42"/>
      <c r="AC3118" s="35"/>
      <c r="AD3118" s="38"/>
      <c r="AE3118" s="38"/>
      <c r="AF3118" s="38"/>
      <c r="AG3118" s="38"/>
      <c r="AH3118" s="60"/>
    </row>
    <row r="3119" spans="1:34" ht="15.75" customHeight="1">
      <c r="A3119" s="111" t="s">
        <v>82</v>
      </c>
      <c r="B3119" s="18" t="s">
        <v>11049</v>
      </c>
      <c r="C3119" s="37" t="s">
        <v>24</v>
      </c>
      <c r="D3119" s="20" t="s">
        <v>11050</v>
      </c>
      <c r="E3119" s="20" t="s">
        <v>11051</v>
      </c>
      <c r="F3119" s="19" t="s">
        <v>27</v>
      </c>
      <c r="G3119" s="19" t="s">
        <v>28</v>
      </c>
      <c r="H3119" s="37" t="s">
        <v>55</v>
      </c>
      <c r="I3119" s="21" t="s">
        <v>29</v>
      </c>
      <c r="J3119" s="21" t="s">
        <v>29</v>
      </c>
      <c r="K3119" s="22" t="s">
        <v>11052</v>
      </c>
      <c r="L3119" s="56">
        <v>45096</v>
      </c>
      <c r="M3119" s="40"/>
      <c r="N3119" s="40"/>
      <c r="O3119" s="42"/>
      <c r="P3119" s="40"/>
      <c r="Q3119" s="61"/>
      <c r="R3119" s="61"/>
      <c r="S3119" s="40"/>
      <c r="T3119" s="38"/>
      <c r="U3119" s="38"/>
      <c r="V3119" s="38"/>
      <c r="W3119" s="60"/>
      <c r="AB3119" s="42"/>
      <c r="AC3119" s="35"/>
      <c r="AD3119" s="38"/>
      <c r="AE3119" s="38"/>
      <c r="AF3119" s="38"/>
      <c r="AG3119" s="38"/>
      <c r="AH3119" s="60"/>
    </row>
    <row r="3120" spans="1:34" ht="15.75" customHeight="1">
      <c r="A3120" s="75" t="s">
        <v>55</v>
      </c>
      <c r="B3120" s="18" t="s">
        <v>11053</v>
      </c>
      <c r="C3120" s="37" t="s">
        <v>24</v>
      </c>
      <c r="D3120" s="20" t="s">
        <v>11054</v>
      </c>
      <c r="E3120" s="20" t="s">
        <v>11055</v>
      </c>
      <c r="F3120" s="19" t="s">
        <v>27</v>
      </c>
      <c r="G3120" s="19" t="s">
        <v>28</v>
      </c>
      <c r="H3120" s="37" t="s">
        <v>55</v>
      </c>
      <c r="I3120" s="21" t="s">
        <v>29</v>
      </c>
      <c r="J3120" s="21" t="s">
        <v>29</v>
      </c>
      <c r="K3120" s="22" t="s">
        <v>11056</v>
      </c>
      <c r="L3120" s="56">
        <v>45096</v>
      </c>
      <c r="M3120" s="40"/>
      <c r="N3120" s="40"/>
      <c r="O3120" s="42"/>
      <c r="P3120" s="40"/>
      <c r="Q3120" s="61"/>
      <c r="R3120" s="61"/>
      <c r="S3120" s="40"/>
      <c r="T3120" s="38"/>
      <c r="U3120" s="38"/>
      <c r="V3120" s="38"/>
      <c r="W3120" s="60"/>
      <c r="AB3120" s="42"/>
      <c r="AC3120" s="35"/>
      <c r="AD3120" s="38"/>
      <c r="AE3120" s="38"/>
      <c r="AF3120" s="38"/>
      <c r="AG3120" s="38"/>
      <c r="AH3120" s="60"/>
    </row>
    <row r="3121" spans="1:34" ht="15.75" customHeight="1">
      <c r="A3121" s="111" t="s">
        <v>92</v>
      </c>
      <c r="B3121" s="18" t="s">
        <v>11057</v>
      </c>
      <c r="C3121" s="37" t="s">
        <v>1486</v>
      </c>
      <c r="D3121" s="20" t="s">
        <v>11058</v>
      </c>
      <c r="E3121" s="20" t="s">
        <v>11059</v>
      </c>
      <c r="F3121" s="37" t="s">
        <v>1489</v>
      </c>
      <c r="G3121" s="37" t="s">
        <v>1490</v>
      </c>
      <c r="H3121" s="37" t="s">
        <v>55</v>
      </c>
      <c r="I3121" s="21" t="s">
        <v>1371</v>
      </c>
      <c r="J3121" s="21" t="s">
        <v>1371</v>
      </c>
      <c r="K3121" s="22" t="s">
        <v>11060</v>
      </c>
      <c r="L3121" s="56">
        <v>45096</v>
      </c>
      <c r="M3121" s="40"/>
      <c r="N3121" s="40"/>
      <c r="O3121" s="42"/>
      <c r="P3121" s="40"/>
      <c r="Q3121" s="61"/>
      <c r="R3121" s="61"/>
      <c r="S3121" s="40"/>
      <c r="T3121" s="38"/>
      <c r="U3121" s="38"/>
      <c r="V3121" s="38"/>
      <c r="W3121" s="60"/>
      <c r="AB3121" s="42"/>
      <c r="AC3121" s="35"/>
      <c r="AD3121" s="38"/>
      <c r="AE3121" s="38"/>
      <c r="AF3121" s="38"/>
      <c r="AG3121" s="38"/>
      <c r="AH3121" s="60"/>
    </row>
    <row r="3122" spans="1:34" ht="15.75" customHeight="1">
      <c r="A3122" s="112">
        <v>503</v>
      </c>
      <c r="B3122" s="18" t="s">
        <v>11061</v>
      </c>
      <c r="C3122" s="37" t="s">
        <v>1486</v>
      </c>
      <c r="D3122" s="20" t="s">
        <v>11062</v>
      </c>
      <c r="E3122" s="20" t="s">
        <v>11063</v>
      </c>
      <c r="F3122" s="37" t="s">
        <v>1489</v>
      </c>
      <c r="G3122" s="37" t="s">
        <v>1490</v>
      </c>
      <c r="H3122" s="37" t="s">
        <v>55</v>
      </c>
      <c r="I3122" s="21" t="s">
        <v>1371</v>
      </c>
      <c r="J3122" s="21" t="s">
        <v>1371</v>
      </c>
      <c r="K3122" s="22" t="s">
        <v>11064</v>
      </c>
      <c r="L3122" s="56">
        <v>45096</v>
      </c>
      <c r="M3122" s="40"/>
      <c r="N3122" s="40"/>
      <c r="O3122" s="42"/>
      <c r="P3122" s="40"/>
      <c r="Q3122" s="61"/>
      <c r="R3122" s="61"/>
      <c r="S3122" s="40"/>
      <c r="T3122" s="38"/>
      <c r="U3122" s="38"/>
      <c r="V3122" s="38"/>
      <c r="W3122" s="60"/>
      <c r="AB3122" s="42"/>
      <c r="AC3122" s="35"/>
      <c r="AD3122" s="38"/>
      <c r="AE3122" s="38"/>
      <c r="AF3122" s="38"/>
      <c r="AG3122" s="38"/>
      <c r="AH3122" s="60"/>
    </row>
    <row r="3123" spans="1:34" ht="15.75" customHeight="1">
      <c r="A3123" s="111" t="s">
        <v>100</v>
      </c>
      <c r="B3123" s="18" t="s">
        <v>11065</v>
      </c>
      <c r="C3123" s="37" t="s">
        <v>1486</v>
      </c>
      <c r="D3123" s="20" t="s">
        <v>11066</v>
      </c>
      <c r="E3123" s="20" t="s">
        <v>11067</v>
      </c>
      <c r="F3123" s="37" t="s">
        <v>1489</v>
      </c>
      <c r="G3123" s="37" t="s">
        <v>1490</v>
      </c>
      <c r="H3123" s="37" t="s">
        <v>55</v>
      </c>
      <c r="I3123" s="21" t="s">
        <v>1371</v>
      </c>
      <c r="J3123" s="21" t="s">
        <v>1371</v>
      </c>
      <c r="K3123" s="22" t="s">
        <v>11067</v>
      </c>
      <c r="L3123" s="56">
        <v>45096</v>
      </c>
      <c r="M3123" s="40"/>
      <c r="N3123" s="40"/>
      <c r="O3123" s="42"/>
      <c r="P3123" s="40"/>
      <c r="Q3123" s="61"/>
      <c r="R3123" s="61"/>
      <c r="S3123" s="40"/>
      <c r="T3123" s="38"/>
      <c r="U3123" s="38"/>
      <c r="V3123" s="38"/>
      <c r="W3123" s="60"/>
      <c r="AB3123" s="42"/>
      <c r="AC3123" s="35"/>
      <c r="AD3123" s="38"/>
      <c r="AE3123" s="38"/>
      <c r="AF3123" s="38"/>
      <c r="AG3123" s="38"/>
      <c r="AH3123" s="60"/>
    </row>
    <row r="3124" spans="1:34" ht="15.75" customHeight="1">
      <c r="A3124" s="75" t="s">
        <v>55</v>
      </c>
      <c r="B3124" s="18" t="s">
        <v>11068</v>
      </c>
      <c r="C3124" s="37" t="s">
        <v>24</v>
      </c>
      <c r="D3124" s="20" t="s">
        <v>11069</v>
      </c>
      <c r="E3124" s="20" t="s">
        <v>11070</v>
      </c>
      <c r="F3124" s="19" t="s">
        <v>27</v>
      </c>
      <c r="G3124" s="19" t="s">
        <v>28</v>
      </c>
      <c r="H3124" s="37" t="s">
        <v>55</v>
      </c>
      <c r="I3124" s="21" t="s">
        <v>29</v>
      </c>
      <c r="J3124" s="21" t="s">
        <v>29</v>
      </c>
      <c r="K3124" s="22" t="s">
        <v>11071</v>
      </c>
      <c r="L3124" s="56">
        <v>45096</v>
      </c>
      <c r="M3124" s="40"/>
      <c r="N3124" s="40"/>
      <c r="O3124" s="42"/>
      <c r="P3124" s="40"/>
      <c r="Q3124" s="61"/>
      <c r="R3124" s="61"/>
      <c r="S3124" s="40"/>
      <c r="T3124" s="38"/>
      <c r="U3124" s="38"/>
      <c r="V3124" s="38"/>
      <c r="W3124" s="60"/>
      <c r="AB3124" s="42"/>
      <c r="AC3124" s="35"/>
      <c r="AD3124" s="38"/>
      <c r="AE3124" s="38"/>
      <c r="AF3124" s="38"/>
      <c r="AG3124" s="38"/>
      <c r="AH3124" s="60"/>
    </row>
    <row r="3125" spans="1:34" ht="15.75" customHeight="1">
      <c r="A3125" s="138"/>
      <c r="B3125" s="18" t="s">
        <v>11072</v>
      </c>
      <c r="C3125" s="37" t="s">
        <v>1366</v>
      </c>
      <c r="D3125" s="20" t="s">
        <v>11073</v>
      </c>
      <c r="E3125" s="20"/>
      <c r="F3125" s="55" t="s">
        <v>1369</v>
      </c>
      <c r="G3125" s="55" t="s">
        <v>1370</v>
      </c>
      <c r="H3125" s="37" t="s">
        <v>55</v>
      </c>
      <c r="I3125" s="21" t="s">
        <v>1371</v>
      </c>
      <c r="J3125" s="21" t="s">
        <v>1371</v>
      </c>
      <c r="K3125" s="22"/>
      <c r="L3125" s="56">
        <v>45096</v>
      </c>
      <c r="M3125" s="40"/>
      <c r="N3125" s="40"/>
      <c r="O3125" s="42"/>
      <c r="P3125" s="40"/>
      <c r="Q3125" s="61"/>
      <c r="R3125" s="61"/>
      <c r="S3125" s="40"/>
      <c r="T3125" s="38"/>
      <c r="U3125" s="38"/>
      <c r="V3125" s="38"/>
      <c r="W3125" s="60"/>
      <c r="AB3125" s="42"/>
      <c r="AC3125" s="35"/>
      <c r="AD3125" s="38"/>
      <c r="AE3125" s="38"/>
      <c r="AF3125" s="38"/>
      <c r="AG3125" s="38"/>
      <c r="AH3125" s="60"/>
    </row>
    <row r="3126" spans="1:34" ht="15.75" customHeight="1">
      <c r="A3126" s="141"/>
      <c r="B3126" s="18" t="s">
        <v>11074</v>
      </c>
      <c r="C3126" s="37" t="s">
        <v>1486</v>
      </c>
      <c r="D3126" s="20" t="s">
        <v>11075</v>
      </c>
      <c r="E3126" s="20" t="s">
        <v>11076</v>
      </c>
      <c r="F3126" s="37" t="s">
        <v>1489</v>
      </c>
      <c r="G3126" s="37" t="s">
        <v>1490</v>
      </c>
      <c r="H3126" s="37" t="s">
        <v>55</v>
      </c>
      <c r="I3126" s="21" t="s">
        <v>1371</v>
      </c>
      <c r="J3126" s="21" t="s">
        <v>1371</v>
      </c>
      <c r="K3126" s="22" t="s">
        <v>11077</v>
      </c>
      <c r="L3126" s="56">
        <v>45096</v>
      </c>
      <c r="M3126" s="40"/>
      <c r="N3126" s="40"/>
      <c r="O3126" s="42"/>
      <c r="P3126" s="40"/>
      <c r="Q3126" s="61"/>
      <c r="R3126" s="61"/>
      <c r="S3126" s="40"/>
      <c r="T3126" s="38"/>
      <c r="U3126" s="38"/>
      <c r="V3126" s="38"/>
      <c r="W3126" s="60"/>
      <c r="AB3126" s="42"/>
      <c r="AC3126" s="35"/>
      <c r="AD3126" s="38"/>
      <c r="AE3126" s="38"/>
      <c r="AF3126" s="38"/>
      <c r="AG3126" s="38"/>
      <c r="AH3126" s="60"/>
    </row>
    <row r="3127" spans="1:34" ht="15.75" customHeight="1">
      <c r="A3127" s="142"/>
      <c r="B3127" s="18" t="s">
        <v>11078</v>
      </c>
      <c r="C3127" s="37" t="s">
        <v>1638</v>
      </c>
      <c r="D3127" s="20" t="s">
        <v>11079</v>
      </c>
      <c r="E3127" s="20" t="s">
        <v>11080</v>
      </c>
      <c r="F3127" s="37" t="s">
        <v>1399</v>
      </c>
      <c r="G3127" s="19" t="s">
        <v>1641</v>
      </c>
      <c r="H3127" s="37" t="s">
        <v>55</v>
      </c>
      <c r="I3127" s="21" t="s">
        <v>1371</v>
      </c>
      <c r="J3127" s="21" t="s">
        <v>1371</v>
      </c>
      <c r="K3127" s="22" t="s">
        <v>11081</v>
      </c>
      <c r="L3127" s="56">
        <v>45096</v>
      </c>
      <c r="M3127" s="40"/>
      <c r="N3127" s="40"/>
      <c r="O3127" s="42"/>
      <c r="P3127" s="40"/>
      <c r="Q3127" s="61"/>
      <c r="R3127" s="61"/>
      <c r="S3127" s="40"/>
      <c r="T3127" s="38"/>
      <c r="U3127" s="38"/>
      <c r="V3127" s="38"/>
      <c r="W3127" s="60"/>
      <c r="AB3127" s="42"/>
      <c r="AC3127" s="35"/>
      <c r="AD3127" s="38"/>
      <c r="AE3127" s="38"/>
      <c r="AF3127" s="38"/>
      <c r="AG3127" s="38"/>
      <c r="AH3127" s="60"/>
    </row>
    <row r="3128" spans="1:34" ht="15.75" customHeight="1">
      <c r="A3128" s="142"/>
      <c r="B3128" s="18" t="s">
        <v>11082</v>
      </c>
      <c r="C3128" s="37" t="s">
        <v>24</v>
      </c>
      <c r="D3128" s="20" t="s">
        <v>11083</v>
      </c>
      <c r="E3128" s="20" t="s">
        <v>11084</v>
      </c>
      <c r="F3128" s="19" t="s">
        <v>27</v>
      </c>
      <c r="G3128" s="19" t="s">
        <v>28</v>
      </c>
      <c r="H3128" s="37" t="s">
        <v>813</v>
      </c>
      <c r="I3128" s="21" t="s">
        <v>29</v>
      </c>
      <c r="J3128" s="21" t="s">
        <v>29</v>
      </c>
      <c r="K3128" s="22" t="s">
        <v>11085</v>
      </c>
      <c r="L3128" s="56">
        <v>45096</v>
      </c>
      <c r="M3128" s="40"/>
      <c r="N3128" s="40"/>
      <c r="O3128" s="42"/>
      <c r="P3128" s="40"/>
      <c r="Q3128" s="61"/>
      <c r="R3128" s="61"/>
      <c r="S3128" s="40"/>
      <c r="T3128" s="38"/>
      <c r="U3128" s="38"/>
      <c r="V3128" s="38"/>
      <c r="W3128" s="60"/>
      <c r="AB3128" s="42"/>
      <c r="AC3128" s="35"/>
      <c r="AD3128" s="38"/>
      <c r="AE3128" s="38"/>
      <c r="AF3128" s="38"/>
      <c r="AG3128" s="38"/>
      <c r="AH3128" s="60"/>
    </row>
    <row r="3129" spans="1:34" ht="15.75" customHeight="1">
      <c r="A3129" s="141"/>
      <c r="B3129" s="18" t="s">
        <v>11086</v>
      </c>
      <c r="C3129" s="55" t="s">
        <v>24</v>
      </c>
      <c r="D3129" s="20" t="s">
        <v>11087</v>
      </c>
      <c r="E3129" s="20" t="s">
        <v>11088</v>
      </c>
      <c r="F3129" s="19" t="s">
        <v>27</v>
      </c>
      <c r="G3129" s="19" t="s">
        <v>28</v>
      </c>
      <c r="H3129" s="37" t="s">
        <v>813</v>
      </c>
      <c r="I3129" s="21" t="s">
        <v>29</v>
      </c>
      <c r="J3129" s="21" t="s">
        <v>29</v>
      </c>
      <c r="K3129" s="22" t="s">
        <v>11089</v>
      </c>
      <c r="L3129" s="56">
        <v>45096</v>
      </c>
      <c r="M3129" s="40"/>
      <c r="N3129" s="40"/>
      <c r="O3129" s="42"/>
      <c r="P3129" s="40"/>
      <c r="Q3129" s="61"/>
      <c r="R3129" s="61"/>
      <c r="S3129" s="40"/>
      <c r="T3129" s="38"/>
      <c r="U3129" s="38"/>
      <c r="V3129" s="38"/>
      <c r="W3129" s="60"/>
      <c r="AB3129" s="42"/>
      <c r="AC3129" s="35"/>
      <c r="AD3129" s="38"/>
      <c r="AE3129" s="38"/>
      <c r="AF3129" s="38"/>
      <c r="AG3129" s="38"/>
      <c r="AH3129" s="60"/>
    </row>
    <row r="3130" spans="1:34" ht="15.75" customHeight="1">
      <c r="A3130" s="142"/>
      <c r="B3130" s="18" t="s">
        <v>11090</v>
      </c>
      <c r="C3130" s="55" t="s">
        <v>24</v>
      </c>
      <c r="D3130" s="20" t="s">
        <v>11091</v>
      </c>
      <c r="E3130" s="20" t="s">
        <v>11092</v>
      </c>
      <c r="F3130" s="19" t="s">
        <v>27</v>
      </c>
      <c r="G3130" s="19" t="s">
        <v>28</v>
      </c>
      <c r="H3130" s="37" t="s">
        <v>813</v>
      </c>
      <c r="I3130" s="21" t="s">
        <v>29</v>
      </c>
      <c r="J3130" s="21" t="s">
        <v>29</v>
      </c>
      <c r="K3130" s="22" t="s">
        <v>11093</v>
      </c>
      <c r="L3130" s="56">
        <v>45096</v>
      </c>
      <c r="M3130" s="40"/>
      <c r="N3130" s="40"/>
      <c r="O3130" s="42"/>
      <c r="P3130" s="40"/>
      <c r="Q3130" s="61"/>
      <c r="R3130" s="61"/>
      <c r="S3130" s="40"/>
      <c r="T3130" s="38"/>
      <c r="U3130" s="38"/>
      <c r="V3130" s="38"/>
      <c r="W3130" s="60"/>
      <c r="AB3130" s="42"/>
      <c r="AC3130" s="35"/>
      <c r="AD3130" s="38"/>
      <c r="AE3130" s="38"/>
      <c r="AF3130" s="38"/>
      <c r="AG3130" s="38"/>
      <c r="AH3130" s="60"/>
    </row>
    <row r="3131" spans="1:34" ht="15.75" customHeight="1">
      <c r="A3131" s="142"/>
      <c r="B3131" s="18" t="s">
        <v>11094</v>
      </c>
      <c r="C3131" s="55" t="s">
        <v>24</v>
      </c>
      <c r="D3131" s="20" t="s">
        <v>11095</v>
      </c>
      <c r="E3131" s="20" t="s">
        <v>11096</v>
      </c>
      <c r="F3131" s="19" t="s">
        <v>27</v>
      </c>
      <c r="G3131" s="19" t="s">
        <v>28</v>
      </c>
      <c r="H3131" s="37" t="s">
        <v>55</v>
      </c>
      <c r="I3131" s="21" t="s">
        <v>29</v>
      </c>
      <c r="J3131" s="21" t="s">
        <v>29</v>
      </c>
      <c r="K3131" s="22" t="s">
        <v>11097</v>
      </c>
      <c r="L3131" s="56">
        <v>45096</v>
      </c>
      <c r="M3131" s="40"/>
      <c r="N3131" s="40"/>
      <c r="O3131" s="42"/>
      <c r="P3131" s="40"/>
      <c r="Q3131" s="61"/>
      <c r="R3131" s="61"/>
      <c r="S3131" s="40"/>
      <c r="T3131" s="38"/>
      <c r="U3131" s="38"/>
      <c r="V3131" s="38"/>
      <c r="W3131" s="60"/>
      <c r="AB3131" s="42"/>
      <c r="AC3131" s="35"/>
      <c r="AD3131" s="38"/>
      <c r="AE3131" s="38"/>
      <c r="AF3131" s="38"/>
      <c r="AG3131" s="38"/>
      <c r="AH3131" s="60"/>
    </row>
    <row r="3132" spans="1:34" ht="15.75" customHeight="1">
      <c r="A3132" s="141"/>
      <c r="B3132" s="18" t="s">
        <v>11098</v>
      </c>
      <c r="C3132" s="37" t="s">
        <v>412</v>
      </c>
      <c r="D3132" s="20" t="s">
        <v>11099</v>
      </c>
      <c r="E3132" s="20"/>
      <c r="F3132" s="19" t="s">
        <v>414</v>
      </c>
      <c r="G3132" s="37" t="s">
        <v>415</v>
      </c>
      <c r="H3132" s="37" t="s">
        <v>55</v>
      </c>
      <c r="I3132" s="21" t="s">
        <v>29</v>
      </c>
      <c r="J3132" s="21" t="s">
        <v>29</v>
      </c>
      <c r="K3132" s="22"/>
      <c r="L3132" s="56">
        <v>45096</v>
      </c>
      <c r="M3132" s="40"/>
      <c r="N3132" s="40"/>
      <c r="O3132" s="42"/>
      <c r="P3132" s="40"/>
      <c r="Q3132" s="61"/>
      <c r="R3132" s="61"/>
      <c r="S3132" s="40"/>
      <c r="T3132" s="38"/>
      <c r="U3132" s="38"/>
      <c r="V3132" s="38"/>
      <c r="W3132" s="60"/>
      <c r="AB3132" s="42"/>
      <c r="AC3132" s="35"/>
      <c r="AD3132" s="38"/>
      <c r="AE3132" s="38"/>
      <c r="AF3132" s="38"/>
      <c r="AG3132" s="38"/>
      <c r="AH3132" s="60"/>
    </row>
    <row r="3133" spans="1:34" ht="15.75" customHeight="1">
      <c r="A3133" s="142"/>
      <c r="B3133" s="18" t="s">
        <v>11100</v>
      </c>
      <c r="C3133" s="37" t="s">
        <v>1486</v>
      </c>
      <c r="D3133" s="20" t="s">
        <v>11101</v>
      </c>
      <c r="E3133" s="20" t="s">
        <v>11102</v>
      </c>
      <c r="F3133" s="37" t="s">
        <v>1489</v>
      </c>
      <c r="G3133" s="37" t="s">
        <v>1490</v>
      </c>
      <c r="H3133" s="37" t="s">
        <v>55</v>
      </c>
      <c r="I3133" s="21" t="s">
        <v>1371</v>
      </c>
      <c r="J3133" s="21" t="s">
        <v>1371</v>
      </c>
      <c r="K3133" s="22" t="s">
        <v>11103</v>
      </c>
      <c r="L3133" s="56">
        <v>45096</v>
      </c>
      <c r="M3133" s="40"/>
      <c r="N3133" s="40"/>
      <c r="O3133" s="42"/>
      <c r="P3133" s="40"/>
      <c r="Q3133" s="61"/>
      <c r="R3133" s="61"/>
      <c r="S3133" s="40"/>
      <c r="T3133" s="38"/>
      <c r="U3133" s="38"/>
      <c r="V3133" s="38"/>
      <c r="W3133" s="60"/>
      <c r="AB3133" s="42"/>
      <c r="AC3133" s="35"/>
      <c r="AD3133" s="38"/>
      <c r="AE3133" s="38"/>
      <c r="AF3133" s="38"/>
      <c r="AG3133" s="38"/>
      <c r="AH3133" s="60"/>
    </row>
    <row r="3134" spans="1:34" ht="15.75" customHeight="1">
      <c r="A3134" s="142"/>
      <c r="B3134" s="18" t="s">
        <v>11104</v>
      </c>
      <c r="C3134" s="55" t="s">
        <v>24</v>
      </c>
      <c r="D3134" s="20" t="s">
        <v>11105</v>
      </c>
      <c r="E3134" s="20" t="s">
        <v>11106</v>
      </c>
      <c r="F3134" s="19" t="s">
        <v>27</v>
      </c>
      <c r="G3134" s="19" t="s">
        <v>28</v>
      </c>
      <c r="H3134" s="37" t="s">
        <v>55</v>
      </c>
      <c r="I3134" s="21" t="s">
        <v>29</v>
      </c>
      <c r="J3134" s="21" t="s">
        <v>29</v>
      </c>
      <c r="K3134" s="22" t="s">
        <v>11107</v>
      </c>
      <c r="L3134" s="56">
        <v>45096</v>
      </c>
      <c r="M3134" s="40"/>
      <c r="N3134" s="40"/>
      <c r="O3134" s="42"/>
      <c r="P3134" s="40"/>
      <c r="Q3134" s="61"/>
      <c r="R3134" s="61"/>
      <c r="S3134" s="40"/>
      <c r="T3134" s="38"/>
      <c r="U3134" s="38"/>
      <c r="V3134" s="38"/>
      <c r="W3134" s="60"/>
      <c r="AB3134" s="42"/>
      <c r="AC3134" s="35"/>
      <c r="AD3134" s="38"/>
      <c r="AE3134" s="38"/>
      <c r="AF3134" s="38"/>
      <c r="AG3134" s="38"/>
      <c r="AH3134" s="60"/>
    </row>
    <row r="3135" spans="1:34" ht="15.75" customHeight="1">
      <c r="A3135" s="141"/>
      <c r="B3135" s="38"/>
      <c r="C3135" s="37"/>
      <c r="D3135" s="20"/>
      <c r="E3135" s="20"/>
      <c r="F3135" s="37"/>
      <c r="G3135" s="37"/>
      <c r="H3135" s="37"/>
      <c r="I3135" s="21"/>
      <c r="J3135" s="21"/>
      <c r="K3135" s="22"/>
      <c r="L3135" s="113"/>
      <c r="M3135" s="40"/>
      <c r="N3135" s="40"/>
      <c r="O3135" s="42"/>
      <c r="P3135" s="40"/>
      <c r="Q3135" s="61"/>
      <c r="R3135" s="61"/>
      <c r="S3135" s="40"/>
      <c r="T3135" s="38"/>
      <c r="U3135" s="38"/>
      <c r="V3135" s="38"/>
      <c r="W3135" s="60"/>
      <c r="AB3135" s="42"/>
      <c r="AC3135" s="35"/>
      <c r="AD3135" s="38"/>
      <c r="AE3135" s="38"/>
      <c r="AF3135" s="38"/>
      <c r="AG3135" s="38"/>
      <c r="AH3135" s="60"/>
    </row>
    <row r="3136" spans="1:34" ht="15.75" customHeight="1">
      <c r="A3136" s="38" t="s">
        <v>11108</v>
      </c>
      <c r="B3136" s="18" t="s">
        <v>11109</v>
      </c>
      <c r="C3136" s="55" t="s">
        <v>46</v>
      </c>
      <c r="D3136" s="20" t="s">
        <v>11110</v>
      </c>
      <c r="E3136" s="20" t="s">
        <v>11111</v>
      </c>
      <c r="F3136" s="37" t="s">
        <v>49</v>
      </c>
      <c r="G3136" s="19" t="s">
        <v>50</v>
      </c>
      <c r="H3136" s="37" t="s">
        <v>55</v>
      </c>
      <c r="I3136" s="21" t="s">
        <v>29</v>
      </c>
      <c r="J3136" s="21" t="s">
        <v>29</v>
      </c>
      <c r="K3136" s="22" t="s">
        <v>11112</v>
      </c>
      <c r="L3136" s="56">
        <v>45096</v>
      </c>
      <c r="M3136" s="40"/>
      <c r="N3136" s="40"/>
      <c r="O3136" s="42"/>
      <c r="P3136" s="40"/>
      <c r="Q3136" s="61"/>
      <c r="R3136" s="61"/>
      <c r="S3136" s="40"/>
      <c r="T3136" s="38"/>
      <c r="U3136" s="38"/>
      <c r="V3136" s="38"/>
      <c r="W3136" s="60"/>
      <c r="AB3136" s="42"/>
      <c r="AC3136" s="35"/>
      <c r="AD3136" s="38"/>
      <c r="AE3136" s="38"/>
      <c r="AF3136" s="38"/>
      <c r="AG3136" s="38"/>
      <c r="AH3136" s="60"/>
    </row>
    <row r="3137" spans="1:34" ht="15.75" customHeight="1">
      <c r="A3137" s="71" t="s">
        <v>2714</v>
      </c>
      <c r="B3137" s="34" t="s">
        <v>11113</v>
      </c>
      <c r="C3137" s="37" t="s">
        <v>87</v>
      </c>
      <c r="D3137" s="20" t="s">
        <v>11114</v>
      </c>
      <c r="E3137" s="20" t="s">
        <v>11115</v>
      </c>
      <c r="F3137" s="37" t="s">
        <v>49</v>
      </c>
      <c r="G3137" s="19" t="s">
        <v>50</v>
      </c>
      <c r="H3137" s="37" t="s">
        <v>55</v>
      </c>
      <c r="I3137" s="21" t="s">
        <v>29</v>
      </c>
      <c r="J3137" s="21" t="s">
        <v>29</v>
      </c>
      <c r="K3137" s="22" t="s">
        <v>11116</v>
      </c>
      <c r="L3137" s="56">
        <v>45096</v>
      </c>
      <c r="M3137" s="40"/>
      <c r="N3137" s="40"/>
      <c r="O3137" s="42"/>
      <c r="P3137" s="40"/>
      <c r="Q3137" s="61"/>
      <c r="R3137" s="61"/>
      <c r="S3137" s="40"/>
      <c r="T3137" s="38"/>
      <c r="U3137" s="38"/>
      <c r="V3137" s="38"/>
      <c r="W3137" s="60"/>
      <c r="AB3137" s="42"/>
      <c r="AC3137" s="35"/>
      <c r="AD3137" s="38"/>
      <c r="AE3137" s="38"/>
      <c r="AF3137" s="38"/>
      <c r="AG3137" s="38"/>
      <c r="AH3137" s="60"/>
    </row>
    <row r="3138" spans="1:34" ht="15.75" customHeight="1">
      <c r="A3138" s="114" t="s">
        <v>39</v>
      </c>
      <c r="B3138" s="18" t="s">
        <v>11117</v>
      </c>
      <c r="C3138" s="55" t="s">
        <v>24</v>
      </c>
      <c r="D3138" s="20" t="s">
        <v>11118</v>
      </c>
      <c r="E3138" s="20" t="s">
        <v>11119</v>
      </c>
      <c r="F3138" s="19" t="s">
        <v>27</v>
      </c>
      <c r="G3138" s="19" t="s">
        <v>28</v>
      </c>
      <c r="H3138" s="37" t="s">
        <v>813</v>
      </c>
      <c r="I3138" s="21" t="s">
        <v>29</v>
      </c>
      <c r="J3138" s="21" t="s">
        <v>29</v>
      </c>
      <c r="K3138" s="22" t="s">
        <v>11120</v>
      </c>
      <c r="L3138" s="56">
        <v>45096</v>
      </c>
      <c r="M3138" s="40"/>
      <c r="N3138" s="40"/>
      <c r="O3138" s="42"/>
      <c r="P3138" s="40"/>
      <c r="Q3138" s="61"/>
      <c r="R3138" s="61"/>
      <c r="S3138" s="40"/>
      <c r="T3138" s="38"/>
      <c r="U3138" s="38"/>
      <c r="V3138" s="38"/>
      <c r="W3138" s="60"/>
      <c r="AB3138" s="42"/>
      <c r="AC3138" s="35"/>
      <c r="AD3138" s="38"/>
      <c r="AE3138" s="38"/>
      <c r="AF3138" s="38"/>
      <c r="AG3138" s="38"/>
      <c r="AH3138" s="60"/>
    </row>
    <row r="3139" spans="1:34" ht="15.75" customHeight="1">
      <c r="A3139" s="38" t="s">
        <v>10522</v>
      </c>
      <c r="B3139" s="18" t="s">
        <v>11121</v>
      </c>
      <c r="C3139" s="55" t="s">
        <v>87</v>
      </c>
      <c r="D3139" s="20" t="s">
        <v>11122</v>
      </c>
      <c r="E3139" s="20"/>
      <c r="F3139" s="19" t="s">
        <v>90</v>
      </c>
      <c r="G3139" s="19" t="s">
        <v>91</v>
      </c>
      <c r="H3139" s="37" t="s">
        <v>55</v>
      </c>
      <c r="I3139" s="21" t="s">
        <v>29</v>
      </c>
      <c r="J3139" s="21" t="s">
        <v>29</v>
      </c>
      <c r="K3139" s="22"/>
      <c r="L3139" s="56">
        <v>45096</v>
      </c>
      <c r="M3139" s="40"/>
      <c r="N3139" s="40"/>
      <c r="O3139" s="42"/>
      <c r="P3139" s="40"/>
      <c r="Q3139" s="61"/>
      <c r="R3139" s="61"/>
      <c r="S3139" s="40"/>
      <c r="T3139" s="38"/>
      <c r="U3139" s="38"/>
      <c r="V3139" s="38"/>
      <c r="W3139" s="60"/>
      <c r="AB3139" s="42"/>
      <c r="AC3139" s="35"/>
      <c r="AD3139" s="38"/>
      <c r="AE3139" s="38"/>
      <c r="AF3139" s="38"/>
      <c r="AG3139" s="38"/>
      <c r="AH3139" s="60"/>
    </row>
    <row r="3140" spans="1:34" ht="15.75" customHeight="1">
      <c r="A3140" s="38" t="s">
        <v>6667</v>
      </c>
      <c r="B3140" s="18" t="s">
        <v>11123</v>
      </c>
      <c r="C3140" s="55" t="s">
        <v>87</v>
      </c>
      <c r="D3140" s="20" t="s">
        <v>11124</v>
      </c>
      <c r="E3140" s="20" t="s">
        <v>11125</v>
      </c>
      <c r="F3140" s="19" t="s">
        <v>90</v>
      </c>
      <c r="G3140" s="19" t="s">
        <v>91</v>
      </c>
      <c r="H3140" s="37" t="s">
        <v>55</v>
      </c>
      <c r="I3140" s="21" t="s">
        <v>29</v>
      </c>
      <c r="J3140" s="21" t="s">
        <v>29</v>
      </c>
      <c r="K3140" s="22" t="s">
        <v>11126</v>
      </c>
      <c r="L3140" s="56">
        <v>45096</v>
      </c>
      <c r="M3140" s="40"/>
      <c r="N3140" s="40"/>
      <c r="O3140" s="42"/>
      <c r="P3140" s="40"/>
      <c r="Q3140" s="61"/>
      <c r="R3140" s="61"/>
      <c r="S3140" s="40"/>
      <c r="T3140" s="38"/>
      <c r="U3140" s="38"/>
      <c r="V3140" s="38"/>
      <c r="W3140" s="60"/>
      <c r="AB3140" s="42"/>
      <c r="AC3140" s="35"/>
      <c r="AD3140" s="38"/>
      <c r="AE3140" s="38"/>
      <c r="AF3140" s="38"/>
      <c r="AG3140" s="38"/>
      <c r="AH3140" s="60"/>
    </row>
    <row r="3141" spans="1:34" ht="15.75" customHeight="1">
      <c r="A3141" s="111" t="s">
        <v>56</v>
      </c>
      <c r="B3141" s="18" t="s">
        <v>11127</v>
      </c>
      <c r="C3141" s="55" t="s">
        <v>87</v>
      </c>
      <c r="D3141" s="20" t="s">
        <v>11128</v>
      </c>
      <c r="E3141" s="20" t="s">
        <v>11129</v>
      </c>
      <c r="F3141" s="19" t="s">
        <v>90</v>
      </c>
      <c r="G3141" s="19" t="s">
        <v>91</v>
      </c>
      <c r="H3141" s="37" t="s">
        <v>55</v>
      </c>
      <c r="I3141" s="21" t="s">
        <v>29</v>
      </c>
      <c r="J3141" s="21" t="s">
        <v>29</v>
      </c>
      <c r="K3141" s="22" t="s">
        <v>11130</v>
      </c>
      <c r="L3141" s="56">
        <v>45096</v>
      </c>
      <c r="M3141" s="40"/>
      <c r="N3141" s="40"/>
      <c r="O3141" s="42"/>
      <c r="P3141" s="40"/>
      <c r="Q3141" s="61"/>
      <c r="R3141" s="61"/>
      <c r="S3141" s="40"/>
      <c r="T3141" s="38"/>
      <c r="U3141" s="38"/>
      <c r="V3141" s="38"/>
      <c r="W3141" s="60"/>
      <c r="AB3141" s="42"/>
      <c r="AC3141" s="35"/>
      <c r="AD3141" s="38"/>
      <c r="AE3141" s="38"/>
      <c r="AF3141" s="38"/>
      <c r="AG3141" s="38"/>
      <c r="AH3141" s="60"/>
    </row>
    <row r="3142" spans="1:34" ht="15.75" customHeight="1">
      <c r="A3142" s="75">
        <v>57</v>
      </c>
      <c r="B3142" s="18" t="s">
        <v>11131</v>
      </c>
      <c r="C3142" s="55" t="s">
        <v>87</v>
      </c>
      <c r="D3142" s="20" t="s">
        <v>11132</v>
      </c>
      <c r="E3142" s="20" t="s">
        <v>11133</v>
      </c>
      <c r="F3142" s="19" t="s">
        <v>90</v>
      </c>
      <c r="G3142" s="19" t="s">
        <v>91</v>
      </c>
      <c r="H3142" s="37" t="s">
        <v>55</v>
      </c>
      <c r="I3142" s="21" t="s">
        <v>29</v>
      </c>
      <c r="J3142" s="21" t="s">
        <v>29</v>
      </c>
      <c r="K3142" s="22" t="s">
        <v>11134</v>
      </c>
      <c r="L3142" s="56">
        <v>45096</v>
      </c>
      <c r="M3142" s="40"/>
      <c r="N3142" s="40"/>
      <c r="O3142" s="42"/>
      <c r="P3142" s="40"/>
      <c r="Q3142" s="61"/>
      <c r="R3142" s="61"/>
      <c r="S3142" s="40"/>
      <c r="T3142" s="38"/>
      <c r="U3142" s="38"/>
      <c r="V3142" s="38"/>
      <c r="W3142" s="60"/>
      <c r="AB3142" s="42"/>
      <c r="AC3142" s="35"/>
      <c r="AD3142" s="38"/>
      <c r="AE3142" s="38"/>
      <c r="AF3142" s="38"/>
      <c r="AG3142" s="38"/>
      <c r="AH3142" s="60"/>
    </row>
    <row r="3143" spans="1:34" ht="15.75" customHeight="1">
      <c r="A3143" s="111" t="s">
        <v>64</v>
      </c>
      <c r="B3143" s="29" t="s">
        <v>11135</v>
      </c>
      <c r="C3143" s="143" t="s">
        <v>24</v>
      </c>
      <c r="D3143" s="20" t="s">
        <v>11136</v>
      </c>
      <c r="E3143" s="20" t="s">
        <v>11137</v>
      </c>
      <c r="F3143" s="19" t="s">
        <v>27</v>
      </c>
      <c r="G3143" s="19" t="s">
        <v>28</v>
      </c>
      <c r="H3143" s="37" t="s">
        <v>55</v>
      </c>
      <c r="I3143" s="21" t="s">
        <v>29</v>
      </c>
      <c r="J3143" s="21" t="s">
        <v>29</v>
      </c>
      <c r="K3143" s="22" t="s">
        <v>11138</v>
      </c>
      <c r="L3143" s="56">
        <v>45096</v>
      </c>
      <c r="M3143" s="40"/>
      <c r="N3143" s="40"/>
      <c r="O3143" s="42"/>
      <c r="P3143" s="40"/>
      <c r="Q3143" s="61"/>
      <c r="R3143" s="61"/>
      <c r="S3143" s="40"/>
      <c r="T3143" s="38"/>
      <c r="U3143" s="38"/>
      <c r="V3143" s="38"/>
      <c r="W3143" s="60"/>
      <c r="AB3143" s="42"/>
      <c r="AC3143" s="35"/>
      <c r="AD3143" s="38"/>
      <c r="AE3143" s="38"/>
      <c r="AF3143" s="38"/>
      <c r="AG3143" s="38"/>
      <c r="AH3143" s="60"/>
    </row>
    <row r="3144" spans="1:34" ht="15.75" customHeight="1">
      <c r="A3144" s="75">
        <v>2.9</v>
      </c>
      <c r="B3144" s="18" t="s">
        <v>11139</v>
      </c>
      <c r="C3144" s="55" t="s">
        <v>87</v>
      </c>
      <c r="D3144" s="20" t="s">
        <v>11140</v>
      </c>
      <c r="E3144" s="20" t="s">
        <v>11141</v>
      </c>
      <c r="F3144" s="19" t="s">
        <v>90</v>
      </c>
      <c r="G3144" s="19" t="s">
        <v>91</v>
      </c>
      <c r="H3144" s="37" t="s">
        <v>55</v>
      </c>
      <c r="I3144" s="21" t="s">
        <v>29</v>
      </c>
      <c r="J3144" s="21" t="s">
        <v>29</v>
      </c>
      <c r="K3144" s="22" t="s">
        <v>11142</v>
      </c>
      <c r="L3144" s="56">
        <v>45096</v>
      </c>
      <c r="M3144" s="40"/>
      <c r="N3144" s="40"/>
      <c r="O3144" s="42"/>
      <c r="P3144" s="40"/>
      <c r="Q3144" s="61"/>
      <c r="R3144" s="61"/>
      <c r="S3144" s="40"/>
      <c r="T3144" s="38"/>
      <c r="U3144" s="38"/>
      <c r="V3144" s="38"/>
      <c r="W3144" s="60"/>
      <c r="AB3144" s="42"/>
      <c r="AC3144" s="35"/>
      <c r="AD3144" s="38"/>
      <c r="AE3144" s="38"/>
      <c r="AF3144" s="38"/>
      <c r="AG3144" s="38"/>
      <c r="AH3144" s="60"/>
    </row>
    <row r="3145" spans="1:34" ht="15.75" customHeight="1">
      <c r="A3145" s="111" t="s">
        <v>73</v>
      </c>
      <c r="B3145" s="18" t="s">
        <v>11143</v>
      </c>
      <c r="C3145" s="55" t="s">
        <v>24</v>
      </c>
      <c r="D3145" s="20" t="s">
        <v>11144</v>
      </c>
      <c r="E3145" s="20" t="s">
        <v>11145</v>
      </c>
      <c r="F3145" s="19" t="s">
        <v>27</v>
      </c>
      <c r="G3145" s="19" t="s">
        <v>28</v>
      </c>
      <c r="H3145" s="37" t="s">
        <v>55</v>
      </c>
      <c r="I3145" s="21" t="s">
        <v>29</v>
      </c>
      <c r="J3145" s="21" t="s">
        <v>29</v>
      </c>
      <c r="K3145" s="22" t="s">
        <v>11146</v>
      </c>
      <c r="L3145" s="56">
        <v>45096</v>
      </c>
      <c r="M3145" s="40"/>
      <c r="N3145" s="40"/>
      <c r="O3145" s="42"/>
      <c r="P3145" s="40"/>
      <c r="Q3145" s="61"/>
      <c r="R3145" s="61"/>
      <c r="S3145" s="40"/>
      <c r="T3145" s="38"/>
      <c r="U3145" s="38"/>
      <c r="V3145" s="38"/>
      <c r="W3145" s="60"/>
      <c r="AB3145" s="42"/>
      <c r="AC3145" s="35"/>
      <c r="AD3145" s="38"/>
      <c r="AE3145" s="38"/>
      <c r="AF3145" s="38"/>
      <c r="AG3145" s="38"/>
      <c r="AH3145" s="60"/>
    </row>
    <row r="3146" spans="1:34" ht="15.75" customHeight="1">
      <c r="A3146" s="75">
        <v>3.2</v>
      </c>
      <c r="B3146" s="34" t="s">
        <v>11147</v>
      </c>
      <c r="C3146" s="55" t="s">
        <v>87</v>
      </c>
      <c r="D3146" s="20" t="s">
        <v>11148</v>
      </c>
      <c r="E3146" s="20" t="s">
        <v>11149</v>
      </c>
      <c r="F3146" s="37" t="s">
        <v>49</v>
      </c>
      <c r="G3146" s="19" t="s">
        <v>50</v>
      </c>
      <c r="H3146" s="37" t="s">
        <v>55</v>
      </c>
      <c r="I3146" s="21" t="s">
        <v>29</v>
      </c>
      <c r="J3146" s="21" t="s">
        <v>29</v>
      </c>
      <c r="K3146" s="22" t="s">
        <v>11149</v>
      </c>
      <c r="L3146" s="56">
        <v>45096</v>
      </c>
      <c r="M3146" s="40"/>
      <c r="N3146" s="40"/>
      <c r="O3146" s="42"/>
      <c r="P3146" s="40"/>
      <c r="Q3146" s="61"/>
      <c r="R3146" s="61"/>
      <c r="S3146" s="40"/>
      <c r="T3146" s="38"/>
      <c r="U3146" s="38"/>
      <c r="V3146" s="38"/>
      <c r="W3146" s="60"/>
      <c r="AB3146" s="42"/>
      <c r="AC3146" s="35"/>
      <c r="AD3146" s="38"/>
      <c r="AE3146" s="38"/>
      <c r="AF3146" s="38"/>
      <c r="AG3146" s="38"/>
      <c r="AH3146" s="60"/>
    </row>
    <row r="3147" spans="1:34" ht="15.75" customHeight="1">
      <c r="A3147" s="111" t="s">
        <v>82</v>
      </c>
      <c r="B3147" s="18" t="s">
        <v>11150</v>
      </c>
      <c r="C3147" s="55" t="s">
        <v>87</v>
      </c>
      <c r="D3147" s="20" t="s">
        <v>11151</v>
      </c>
      <c r="E3147" s="20" t="s">
        <v>11152</v>
      </c>
      <c r="F3147" s="19" t="s">
        <v>90</v>
      </c>
      <c r="G3147" s="19" t="s">
        <v>91</v>
      </c>
      <c r="H3147" s="37" t="s">
        <v>55</v>
      </c>
      <c r="I3147" s="21" t="s">
        <v>29</v>
      </c>
      <c r="J3147" s="21" t="s">
        <v>29</v>
      </c>
      <c r="K3147" s="22" t="s">
        <v>11153</v>
      </c>
      <c r="L3147" s="56">
        <v>45096</v>
      </c>
      <c r="M3147" s="40"/>
      <c r="N3147" s="40"/>
      <c r="O3147" s="42"/>
      <c r="P3147" s="40"/>
      <c r="Q3147" s="61"/>
      <c r="R3147" s="61"/>
      <c r="S3147" s="40"/>
      <c r="T3147" s="38"/>
      <c r="U3147" s="38"/>
      <c r="V3147" s="38"/>
      <c r="W3147" s="60"/>
      <c r="AB3147" s="42"/>
      <c r="AC3147" s="35"/>
      <c r="AD3147" s="38"/>
      <c r="AE3147" s="38"/>
      <c r="AF3147" s="38"/>
      <c r="AG3147" s="38"/>
      <c r="AH3147" s="60"/>
    </row>
    <row r="3148" spans="1:34" ht="15.75" customHeight="1">
      <c r="A3148" s="75" t="s">
        <v>11154</v>
      </c>
      <c r="B3148" s="18" t="s">
        <v>11155</v>
      </c>
      <c r="C3148" s="55" t="s">
        <v>87</v>
      </c>
      <c r="D3148" s="20" t="s">
        <v>11156</v>
      </c>
      <c r="E3148" s="20" t="s">
        <v>11157</v>
      </c>
      <c r="F3148" s="19" t="s">
        <v>90</v>
      </c>
      <c r="G3148" s="19" t="s">
        <v>91</v>
      </c>
      <c r="H3148" s="37" t="s">
        <v>55</v>
      </c>
      <c r="I3148" s="21" t="s">
        <v>29</v>
      </c>
      <c r="J3148" s="21" t="s">
        <v>29</v>
      </c>
      <c r="K3148" s="22" t="s">
        <v>11158</v>
      </c>
      <c r="L3148" s="56">
        <v>45096</v>
      </c>
      <c r="M3148" s="40"/>
      <c r="N3148" s="40"/>
      <c r="O3148" s="42"/>
      <c r="P3148" s="40"/>
      <c r="Q3148" s="61"/>
      <c r="R3148" s="61"/>
      <c r="S3148" s="40"/>
      <c r="T3148" s="38"/>
      <c r="U3148" s="38"/>
      <c r="V3148" s="38"/>
      <c r="W3148" s="60"/>
      <c r="AB3148" s="42"/>
      <c r="AC3148" s="35"/>
      <c r="AD3148" s="38"/>
      <c r="AE3148" s="38"/>
      <c r="AF3148" s="38"/>
      <c r="AG3148" s="38"/>
      <c r="AH3148" s="60"/>
    </row>
    <row r="3149" spans="1:34" ht="15.75" customHeight="1">
      <c r="A3149" s="111" t="s">
        <v>92</v>
      </c>
      <c r="B3149" s="18" t="s">
        <v>11159</v>
      </c>
      <c r="C3149" s="55" t="s">
        <v>24</v>
      </c>
      <c r="D3149" s="20" t="s">
        <v>11160</v>
      </c>
      <c r="E3149" s="20" t="s">
        <v>11161</v>
      </c>
      <c r="F3149" s="19" t="s">
        <v>27</v>
      </c>
      <c r="G3149" s="19" t="s">
        <v>28</v>
      </c>
      <c r="H3149" s="37" t="s">
        <v>55</v>
      </c>
      <c r="I3149" s="21" t="s">
        <v>29</v>
      </c>
      <c r="J3149" s="21" t="s">
        <v>29</v>
      </c>
      <c r="K3149" s="22" t="s">
        <v>11162</v>
      </c>
      <c r="L3149" s="56">
        <v>45096</v>
      </c>
      <c r="M3149" s="40"/>
      <c r="N3149" s="40"/>
      <c r="O3149" s="42"/>
      <c r="P3149" s="40"/>
      <c r="Q3149" s="61"/>
      <c r="R3149" s="61"/>
      <c r="S3149" s="40"/>
      <c r="T3149" s="38"/>
      <c r="U3149" s="38"/>
      <c r="V3149" s="38"/>
      <c r="W3149" s="60"/>
      <c r="AB3149" s="42"/>
      <c r="AC3149" s="35"/>
      <c r="AD3149" s="38"/>
      <c r="AE3149" s="38"/>
      <c r="AF3149" s="38"/>
      <c r="AG3149" s="38"/>
      <c r="AH3149" s="60"/>
    </row>
    <row r="3150" spans="1:34" ht="15.75" customHeight="1">
      <c r="A3150" s="112">
        <v>1285</v>
      </c>
      <c r="B3150" s="18" t="s">
        <v>11163</v>
      </c>
      <c r="C3150" s="55" t="s">
        <v>24</v>
      </c>
      <c r="D3150" s="20" t="s">
        <v>11164</v>
      </c>
      <c r="E3150" s="20" t="s">
        <v>11165</v>
      </c>
      <c r="F3150" s="19" t="s">
        <v>27</v>
      </c>
      <c r="G3150" s="19" t="s">
        <v>28</v>
      </c>
      <c r="H3150" s="37" t="s">
        <v>55</v>
      </c>
      <c r="I3150" s="21" t="s">
        <v>29</v>
      </c>
      <c r="J3150" s="21" t="s">
        <v>29</v>
      </c>
      <c r="K3150" s="22" t="s">
        <v>11166</v>
      </c>
      <c r="L3150" s="56">
        <v>45096</v>
      </c>
      <c r="M3150" s="40"/>
      <c r="N3150" s="40"/>
      <c r="O3150" s="42"/>
      <c r="P3150" s="40"/>
      <c r="Q3150" s="61"/>
      <c r="R3150" s="61"/>
      <c r="S3150" s="40"/>
      <c r="T3150" s="38"/>
      <c r="U3150" s="38"/>
      <c r="V3150" s="38"/>
      <c r="W3150" s="60"/>
      <c r="AB3150" s="42"/>
      <c r="AC3150" s="35"/>
      <c r="AD3150" s="38"/>
      <c r="AE3150" s="38"/>
      <c r="AF3150" s="38"/>
      <c r="AG3150" s="38"/>
      <c r="AH3150" s="60"/>
    </row>
    <row r="3151" spans="1:34" ht="15.75" customHeight="1">
      <c r="A3151" s="111" t="s">
        <v>100</v>
      </c>
      <c r="B3151" s="34" t="s">
        <v>11167</v>
      </c>
      <c r="C3151" s="55" t="s">
        <v>87</v>
      </c>
      <c r="D3151" s="20" t="s">
        <v>11168</v>
      </c>
      <c r="E3151" s="20" t="s">
        <v>11169</v>
      </c>
      <c r="F3151" s="37" t="s">
        <v>49</v>
      </c>
      <c r="G3151" s="19" t="s">
        <v>50</v>
      </c>
      <c r="H3151" s="37" t="s">
        <v>55</v>
      </c>
      <c r="I3151" s="21" t="s">
        <v>29</v>
      </c>
      <c r="J3151" s="21" t="s">
        <v>29</v>
      </c>
      <c r="K3151" s="22" t="s">
        <v>11170</v>
      </c>
      <c r="L3151" s="56">
        <v>45096</v>
      </c>
      <c r="M3151" s="40"/>
      <c r="N3151" s="40"/>
      <c r="O3151" s="42"/>
      <c r="P3151" s="40"/>
      <c r="Q3151" s="61"/>
      <c r="R3151" s="61"/>
      <c r="S3151" s="40"/>
      <c r="T3151" s="38"/>
      <c r="U3151" s="38"/>
      <c r="V3151" s="38"/>
      <c r="W3151" s="60"/>
      <c r="AB3151" s="42"/>
      <c r="AC3151" s="35"/>
      <c r="AD3151" s="38"/>
      <c r="AE3151" s="38"/>
      <c r="AF3151" s="38"/>
      <c r="AG3151" s="38"/>
      <c r="AH3151" s="60"/>
    </row>
    <row r="3152" spans="1:34" ht="15.75" customHeight="1">
      <c r="A3152" s="75">
        <v>166</v>
      </c>
      <c r="B3152" s="18" t="s">
        <v>11171</v>
      </c>
      <c r="C3152" s="55" t="s">
        <v>46</v>
      </c>
      <c r="D3152" s="20" t="s">
        <v>11172</v>
      </c>
      <c r="E3152" s="20" t="s">
        <v>11173</v>
      </c>
      <c r="F3152" s="37" t="s">
        <v>49</v>
      </c>
      <c r="G3152" s="19" t="s">
        <v>50</v>
      </c>
      <c r="H3152" s="37" t="s">
        <v>55</v>
      </c>
      <c r="I3152" s="21" t="s">
        <v>29</v>
      </c>
      <c r="J3152" s="21" t="s">
        <v>29</v>
      </c>
      <c r="K3152" s="22" t="s">
        <v>11174</v>
      </c>
      <c r="L3152" s="56">
        <v>45096</v>
      </c>
      <c r="M3152" s="40"/>
      <c r="N3152" s="40"/>
      <c r="O3152" s="42"/>
      <c r="P3152" s="40"/>
      <c r="Q3152" s="61"/>
      <c r="R3152" s="61"/>
      <c r="S3152" s="40"/>
      <c r="T3152" s="38"/>
      <c r="U3152" s="38"/>
      <c r="V3152" s="38"/>
      <c r="W3152" s="60"/>
      <c r="AB3152" s="42"/>
      <c r="AC3152" s="35"/>
      <c r="AD3152" s="38"/>
      <c r="AE3152" s="38"/>
      <c r="AF3152" s="38"/>
      <c r="AG3152" s="38"/>
      <c r="AH3152" s="60"/>
    </row>
    <row r="3153" spans="1:34" ht="15.75" customHeight="1">
      <c r="A3153" s="35"/>
      <c r="B3153" s="18" t="s">
        <v>11175</v>
      </c>
      <c r="C3153" s="55" t="s">
        <v>87</v>
      </c>
      <c r="D3153" s="20" t="s">
        <v>11176</v>
      </c>
      <c r="E3153" s="20" t="s">
        <v>11177</v>
      </c>
      <c r="F3153" s="19" t="s">
        <v>90</v>
      </c>
      <c r="G3153" s="19" t="s">
        <v>91</v>
      </c>
      <c r="H3153" s="37" t="s">
        <v>55</v>
      </c>
      <c r="I3153" s="21" t="s">
        <v>29</v>
      </c>
      <c r="J3153" s="21" t="s">
        <v>29</v>
      </c>
      <c r="K3153" s="22" t="s">
        <v>11178</v>
      </c>
      <c r="L3153" s="56">
        <v>45096</v>
      </c>
      <c r="M3153" s="40"/>
      <c r="N3153" s="40"/>
      <c r="O3153" s="42"/>
      <c r="P3153" s="40"/>
      <c r="Q3153" s="61"/>
      <c r="R3153" s="61"/>
      <c r="S3153" s="40"/>
      <c r="T3153" s="38"/>
      <c r="U3153" s="38"/>
      <c r="V3153" s="38"/>
      <c r="W3153" s="60"/>
      <c r="AB3153" s="42"/>
      <c r="AC3153" s="35"/>
      <c r="AD3153" s="38"/>
      <c r="AE3153" s="38"/>
      <c r="AF3153" s="38"/>
      <c r="AG3153" s="38"/>
      <c r="AH3153" s="60"/>
    </row>
    <row r="3154" spans="1:34" ht="15.75" customHeight="1">
      <c r="A3154" s="144"/>
      <c r="B3154" s="18" t="s">
        <v>11179</v>
      </c>
      <c r="C3154" s="55" t="s">
        <v>46</v>
      </c>
      <c r="D3154" s="20" t="s">
        <v>11180</v>
      </c>
      <c r="E3154" s="20" t="s">
        <v>11181</v>
      </c>
      <c r="F3154" s="37" t="s">
        <v>49</v>
      </c>
      <c r="G3154" s="19" t="s">
        <v>50</v>
      </c>
      <c r="H3154" s="37" t="s">
        <v>55</v>
      </c>
      <c r="I3154" s="21" t="s">
        <v>29</v>
      </c>
      <c r="J3154" s="21" t="s">
        <v>29</v>
      </c>
      <c r="K3154" s="22" t="s">
        <v>11182</v>
      </c>
      <c r="L3154" s="56">
        <v>45096</v>
      </c>
      <c r="M3154" s="40"/>
      <c r="N3154" s="40"/>
      <c r="Q3154" s="61"/>
      <c r="R3154" s="61"/>
      <c r="T3154" s="38"/>
      <c r="U3154" s="38"/>
      <c r="V3154" s="38"/>
      <c r="W3154" s="60"/>
      <c r="AB3154" s="42"/>
      <c r="AC3154" s="35"/>
      <c r="AD3154" s="38"/>
      <c r="AE3154" s="38"/>
      <c r="AF3154" s="38"/>
      <c r="AG3154" s="38"/>
      <c r="AH3154" s="60"/>
    </row>
    <row r="3155" spans="1:34" ht="15.75" customHeight="1">
      <c r="A3155" s="144"/>
      <c r="B3155" s="38"/>
      <c r="C3155" s="37"/>
      <c r="D3155" s="20"/>
      <c r="E3155" s="20"/>
      <c r="F3155" s="37"/>
      <c r="G3155" s="37"/>
      <c r="H3155" s="37" t="s">
        <v>55</v>
      </c>
      <c r="I3155" s="21"/>
      <c r="J3155" s="21"/>
      <c r="K3155" s="22"/>
      <c r="L3155" s="113"/>
      <c r="M3155" s="40"/>
      <c r="N3155" s="40"/>
      <c r="O3155" s="42"/>
      <c r="P3155" s="40"/>
      <c r="Q3155" s="61"/>
      <c r="R3155" s="61"/>
      <c r="S3155" s="40"/>
      <c r="T3155" s="38"/>
      <c r="U3155" s="38"/>
      <c r="V3155" s="38"/>
      <c r="W3155" s="60"/>
      <c r="AB3155" s="42"/>
      <c r="AC3155" s="35"/>
      <c r="AD3155" s="38"/>
      <c r="AE3155" s="38"/>
      <c r="AF3155" s="38"/>
      <c r="AG3155" s="38"/>
      <c r="AH3155" s="60"/>
    </row>
    <row r="3156" spans="1:34" ht="15.75" customHeight="1">
      <c r="A3156" s="38" t="s">
        <v>11183</v>
      </c>
      <c r="B3156" s="18" t="s">
        <v>11184</v>
      </c>
      <c r="C3156" s="55" t="s">
        <v>87</v>
      </c>
      <c r="D3156" s="20" t="s">
        <v>11185</v>
      </c>
      <c r="E3156" s="20" t="s">
        <v>11186</v>
      </c>
      <c r="F3156" s="19" t="s">
        <v>90</v>
      </c>
      <c r="G3156" s="19" t="s">
        <v>91</v>
      </c>
      <c r="H3156" s="37" t="s">
        <v>55</v>
      </c>
      <c r="I3156" s="21" t="s">
        <v>29</v>
      </c>
      <c r="J3156" s="21" t="s">
        <v>29</v>
      </c>
      <c r="K3156" s="22" t="s">
        <v>11187</v>
      </c>
      <c r="L3156" s="56">
        <v>45097</v>
      </c>
      <c r="M3156" s="40"/>
      <c r="N3156" s="40"/>
      <c r="O3156" s="42"/>
      <c r="P3156" s="40"/>
      <c r="Q3156" s="61"/>
      <c r="R3156" s="61"/>
      <c r="S3156" s="40"/>
      <c r="T3156" s="38"/>
      <c r="U3156" s="38"/>
      <c r="V3156" s="38"/>
      <c r="W3156" s="60"/>
      <c r="AB3156" s="42"/>
      <c r="AC3156" s="35"/>
      <c r="AD3156" s="38"/>
      <c r="AE3156" s="38"/>
      <c r="AF3156" s="38"/>
      <c r="AG3156" s="38"/>
      <c r="AH3156" s="60"/>
    </row>
    <row r="3157" spans="1:34" ht="15.75" customHeight="1">
      <c r="A3157" s="54" t="s">
        <v>8241</v>
      </c>
      <c r="B3157" s="18" t="s">
        <v>11188</v>
      </c>
      <c r="C3157" s="55" t="s">
        <v>1430</v>
      </c>
      <c r="D3157" s="20" t="s">
        <v>11189</v>
      </c>
      <c r="E3157" s="20" t="s">
        <v>11190</v>
      </c>
      <c r="F3157" s="55" t="s">
        <v>1445</v>
      </c>
      <c r="G3157" s="55" t="s">
        <v>1432</v>
      </c>
      <c r="H3157" s="37" t="s">
        <v>55</v>
      </c>
      <c r="I3157" s="21" t="s">
        <v>233</v>
      </c>
      <c r="J3157" s="21" t="s">
        <v>233</v>
      </c>
      <c r="K3157" s="22" t="s">
        <v>11191</v>
      </c>
      <c r="L3157" s="56">
        <v>45097</v>
      </c>
      <c r="M3157" s="40"/>
      <c r="N3157" s="40"/>
      <c r="O3157" s="42"/>
      <c r="P3157" s="40"/>
      <c r="Q3157" s="61"/>
      <c r="R3157" s="61"/>
      <c r="S3157" s="40"/>
      <c r="T3157" s="38"/>
      <c r="U3157" s="38"/>
      <c r="V3157" s="38"/>
      <c r="W3157" s="60"/>
      <c r="AB3157" s="42"/>
      <c r="AC3157" s="35"/>
      <c r="AD3157" s="38"/>
      <c r="AE3157" s="38"/>
      <c r="AF3157" s="38"/>
      <c r="AG3157" s="38"/>
      <c r="AH3157" s="60"/>
    </row>
    <row r="3158" spans="1:34" ht="15.75" customHeight="1">
      <c r="A3158" s="114" t="s">
        <v>39</v>
      </c>
      <c r="B3158" s="18" t="s">
        <v>11192</v>
      </c>
      <c r="C3158" s="55" t="s">
        <v>87</v>
      </c>
      <c r="D3158" s="20" t="s">
        <v>11193</v>
      </c>
      <c r="E3158" s="20" t="s">
        <v>11194</v>
      </c>
      <c r="F3158" s="19" t="s">
        <v>90</v>
      </c>
      <c r="G3158" s="19" t="s">
        <v>91</v>
      </c>
      <c r="H3158" s="37" t="s">
        <v>55</v>
      </c>
      <c r="I3158" s="21" t="s">
        <v>29</v>
      </c>
      <c r="J3158" s="21" t="s">
        <v>29</v>
      </c>
      <c r="K3158" s="22" t="s">
        <v>11195</v>
      </c>
      <c r="L3158" s="56">
        <v>45097</v>
      </c>
      <c r="M3158" s="40"/>
      <c r="N3158" s="40"/>
      <c r="O3158" s="42"/>
      <c r="P3158" s="40"/>
      <c r="Q3158" s="61"/>
      <c r="R3158" s="61"/>
      <c r="S3158" s="40"/>
      <c r="T3158" s="38"/>
      <c r="U3158" s="38"/>
      <c r="V3158" s="38"/>
      <c r="W3158" s="60"/>
      <c r="AB3158" s="42"/>
      <c r="AC3158" s="35"/>
      <c r="AD3158" s="38"/>
      <c r="AE3158" s="38"/>
      <c r="AF3158" s="38"/>
      <c r="AG3158" s="38"/>
      <c r="AH3158" s="60"/>
    </row>
    <row r="3159" spans="1:34" ht="15.75" customHeight="1">
      <c r="A3159" s="38" t="s">
        <v>10522</v>
      </c>
      <c r="B3159" s="18" t="s">
        <v>11196</v>
      </c>
      <c r="C3159" s="55" t="s">
        <v>46</v>
      </c>
      <c r="D3159" s="20" t="s">
        <v>11197</v>
      </c>
      <c r="E3159" s="20" t="s">
        <v>11198</v>
      </c>
      <c r="F3159" s="37" t="s">
        <v>49</v>
      </c>
      <c r="G3159" s="19" t="s">
        <v>50</v>
      </c>
      <c r="H3159" s="37" t="s">
        <v>55</v>
      </c>
      <c r="I3159" s="21" t="s">
        <v>29</v>
      </c>
      <c r="J3159" s="21" t="s">
        <v>29</v>
      </c>
      <c r="K3159" s="22" t="s">
        <v>11199</v>
      </c>
      <c r="L3159" s="56">
        <v>45097</v>
      </c>
      <c r="M3159" s="40"/>
      <c r="N3159" s="40"/>
      <c r="O3159" s="42"/>
      <c r="P3159" s="40"/>
      <c r="Q3159" s="61"/>
      <c r="R3159" s="61"/>
      <c r="S3159" s="40"/>
      <c r="T3159" s="38"/>
      <c r="U3159" s="38"/>
      <c r="V3159" s="38"/>
      <c r="W3159" s="60"/>
      <c r="AB3159" s="42"/>
      <c r="AC3159" s="35"/>
      <c r="AD3159" s="38"/>
      <c r="AE3159" s="38"/>
      <c r="AF3159" s="38"/>
      <c r="AG3159" s="38"/>
      <c r="AH3159" s="60"/>
    </row>
    <row r="3160" spans="1:34" ht="15.75" customHeight="1">
      <c r="A3160" s="38" t="s">
        <v>11200</v>
      </c>
      <c r="B3160" s="18" t="s">
        <v>11201</v>
      </c>
      <c r="C3160" s="55" t="s">
        <v>24</v>
      </c>
      <c r="D3160" s="20" t="s">
        <v>11202</v>
      </c>
      <c r="E3160" s="20" t="s">
        <v>11203</v>
      </c>
      <c r="F3160" s="19" t="s">
        <v>27</v>
      </c>
      <c r="G3160" s="19" t="s">
        <v>28</v>
      </c>
      <c r="H3160" s="37" t="s">
        <v>55</v>
      </c>
      <c r="I3160" s="21" t="s">
        <v>29</v>
      </c>
      <c r="J3160" s="21" t="s">
        <v>29</v>
      </c>
      <c r="K3160" s="22" t="s">
        <v>11204</v>
      </c>
      <c r="L3160" s="56">
        <v>45097</v>
      </c>
      <c r="M3160" s="40"/>
      <c r="N3160" s="40"/>
      <c r="O3160" s="42"/>
      <c r="P3160" s="40"/>
      <c r="Q3160" s="61"/>
      <c r="R3160" s="61"/>
      <c r="S3160" s="40"/>
      <c r="T3160" s="38"/>
      <c r="U3160" s="38"/>
      <c r="V3160" s="38"/>
      <c r="W3160" s="60"/>
      <c r="AB3160" s="42"/>
      <c r="AC3160" s="35"/>
      <c r="AD3160" s="38"/>
      <c r="AE3160" s="38"/>
      <c r="AF3160" s="38"/>
      <c r="AG3160" s="38"/>
      <c r="AH3160" s="60"/>
    </row>
    <row r="3161" spans="1:34" ht="15.75" customHeight="1">
      <c r="A3161" s="111" t="s">
        <v>56</v>
      </c>
      <c r="B3161" s="18" t="s">
        <v>11205</v>
      </c>
      <c r="C3161" s="55" t="s">
        <v>1470</v>
      </c>
      <c r="D3161" s="20" t="s">
        <v>11206</v>
      </c>
      <c r="E3161" s="20" t="s">
        <v>11207</v>
      </c>
      <c r="F3161" s="19" t="s">
        <v>3286</v>
      </c>
      <c r="G3161" s="37" t="s">
        <v>1461</v>
      </c>
      <c r="H3161" s="37" t="s">
        <v>55</v>
      </c>
      <c r="I3161" s="21" t="s">
        <v>233</v>
      </c>
      <c r="J3161" s="21" t="s">
        <v>233</v>
      </c>
      <c r="K3161" s="22" t="s">
        <v>11208</v>
      </c>
      <c r="L3161" s="56">
        <v>45097</v>
      </c>
      <c r="M3161" s="40"/>
      <c r="N3161" s="40"/>
      <c r="O3161" s="42"/>
      <c r="P3161" s="40"/>
      <c r="Q3161" s="61"/>
      <c r="R3161" s="61"/>
      <c r="S3161" s="40"/>
      <c r="T3161" s="38"/>
      <c r="U3161" s="38"/>
      <c r="V3161" s="38"/>
      <c r="W3161" s="60"/>
      <c r="AB3161" s="42"/>
      <c r="AC3161" s="35"/>
      <c r="AD3161" s="38"/>
      <c r="AE3161" s="38"/>
      <c r="AF3161" s="38"/>
      <c r="AG3161" s="38"/>
      <c r="AH3161" s="60"/>
    </row>
    <row r="3162" spans="1:34" ht="15.75" customHeight="1">
      <c r="A3162" s="75">
        <v>54</v>
      </c>
      <c r="B3162" s="18" t="s">
        <v>11209</v>
      </c>
      <c r="C3162" s="55" t="s">
        <v>24</v>
      </c>
      <c r="D3162" s="20" t="s">
        <v>11210</v>
      </c>
      <c r="E3162" s="20" t="s">
        <v>11211</v>
      </c>
      <c r="F3162" s="19" t="s">
        <v>27</v>
      </c>
      <c r="G3162" s="19" t="s">
        <v>28</v>
      </c>
      <c r="H3162" s="37" t="s">
        <v>55</v>
      </c>
      <c r="I3162" s="21" t="s">
        <v>29</v>
      </c>
      <c r="J3162" s="21" t="s">
        <v>29</v>
      </c>
      <c r="K3162" s="22" t="s">
        <v>11212</v>
      </c>
      <c r="L3162" s="56">
        <v>45097</v>
      </c>
      <c r="M3162" s="40"/>
      <c r="N3162" s="40"/>
      <c r="O3162" s="42"/>
      <c r="P3162" s="40"/>
      <c r="Q3162" s="61"/>
      <c r="R3162" s="61"/>
      <c r="S3162" s="40"/>
      <c r="T3162" s="38"/>
      <c r="U3162" s="38"/>
      <c r="V3162" s="38"/>
      <c r="W3162" s="60"/>
      <c r="AB3162" s="42"/>
      <c r="AC3162" s="35"/>
      <c r="AD3162" s="38"/>
      <c r="AE3162" s="38"/>
      <c r="AF3162" s="38"/>
      <c r="AG3162" s="38"/>
      <c r="AH3162" s="60"/>
    </row>
    <row r="3163" spans="1:34" ht="15.75" customHeight="1">
      <c r="A3163" s="111" t="s">
        <v>64</v>
      </c>
      <c r="B3163" s="18" t="s">
        <v>11213</v>
      </c>
      <c r="C3163" s="55" t="s">
        <v>46</v>
      </c>
      <c r="D3163" s="20" t="s">
        <v>11214</v>
      </c>
      <c r="E3163" s="20" t="s">
        <v>11215</v>
      </c>
      <c r="F3163" s="37" t="s">
        <v>49</v>
      </c>
      <c r="G3163" s="19" t="s">
        <v>50</v>
      </c>
      <c r="H3163" s="37" t="s">
        <v>55</v>
      </c>
      <c r="I3163" s="21" t="s">
        <v>29</v>
      </c>
      <c r="J3163" s="21" t="s">
        <v>29</v>
      </c>
      <c r="K3163" s="22" t="s">
        <v>11216</v>
      </c>
      <c r="L3163" s="56">
        <v>45097</v>
      </c>
      <c r="M3163" s="40"/>
      <c r="N3163" s="40"/>
      <c r="O3163" s="42"/>
      <c r="P3163" s="40"/>
      <c r="Q3163" s="61"/>
      <c r="R3163" s="61"/>
      <c r="S3163" s="40"/>
      <c r="T3163" s="38"/>
      <c r="U3163" s="38"/>
      <c r="V3163" s="38"/>
      <c r="W3163" s="60"/>
      <c r="AB3163" s="42"/>
      <c r="AC3163" s="35"/>
      <c r="AD3163" s="38"/>
      <c r="AE3163" s="38"/>
      <c r="AF3163" s="38"/>
      <c r="AG3163" s="38"/>
      <c r="AH3163" s="60"/>
    </row>
    <row r="3164" spans="1:34" ht="15.75" customHeight="1">
      <c r="A3164" s="75">
        <v>2.7</v>
      </c>
      <c r="B3164" s="18" t="s">
        <v>11217</v>
      </c>
      <c r="C3164" s="55" t="s">
        <v>87</v>
      </c>
      <c r="D3164" s="20" t="s">
        <v>11218</v>
      </c>
      <c r="E3164" s="20" t="s">
        <v>11219</v>
      </c>
      <c r="F3164" s="19" t="s">
        <v>90</v>
      </c>
      <c r="G3164" s="19" t="s">
        <v>91</v>
      </c>
      <c r="H3164" s="37" t="s">
        <v>55</v>
      </c>
      <c r="I3164" s="21" t="s">
        <v>29</v>
      </c>
      <c r="J3164" s="21" t="s">
        <v>29</v>
      </c>
      <c r="K3164" s="22" t="s">
        <v>11220</v>
      </c>
      <c r="L3164" s="56">
        <v>45097</v>
      </c>
      <c r="M3164" s="40"/>
      <c r="N3164" s="40"/>
      <c r="O3164" s="42"/>
      <c r="P3164" s="40"/>
      <c r="Q3164" s="61"/>
      <c r="R3164" s="61"/>
      <c r="S3164" s="40"/>
      <c r="T3164" s="38"/>
      <c r="U3164" s="38"/>
      <c r="V3164" s="38"/>
      <c r="W3164" s="60"/>
      <c r="AB3164" s="42"/>
      <c r="AC3164" s="35"/>
      <c r="AD3164" s="38"/>
      <c r="AE3164" s="38"/>
      <c r="AF3164" s="38"/>
      <c r="AG3164" s="38"/>
      <c r="AH3164" s="60"/>
    </row>
    <row r="3165" spans="1:34" ht="15.75" customHeight="1">
      <c r="A3165" s="111" t="s">
        <v>73</v>
      </c>
      <c r="B3165" s="18" t="s">
        <v>11221</v>
      </c>
      <c r="C3165" s="55" t="s">
        <v>46</v>
      </c>
      <c r="D3165" s="20" t="s">
        <v>11222</v>
      </c>
      <c r="E3165" s="20" t="s">
        <v>11223</v>
      </c>
      <c r="F3165" s="37" t="s">
        <v>49</v>
      </c>
      <c r="G3165" s="19" t="s">
        <v>50</v>
      </c>
      <c r="H3165" s="37" t="s">
        <v>55</v>
      </c>
      <c r="I3165" s="21" t="s">
        <v>29</v>
      </c>
      <c r="J3165" s="21" t="s">
        <v>29</v>
      </c>
      <c r="K3165" s="22" t="s">
        <v>11224</v>
      </c>
      <c r="L3165" s="56">
        <v>45097</v>
      </c>
      <c r="M3165" s="40"/>
      <c r="N3165" s="40"/>
      <c r="O3165" s="42"/>
      <c r="P3165" s="40"/>
      <c r="Q3165" s="61"/>
      <c r="R3165" s="61"/>
      <c r="S3165" s="40"/>
      <c r="T3165" s="38"/>
      <c r="U3165" s="38"/>
      <c r="V3165" s="38"/>
      <c r="W3165" s="60"/>
      <c r="AB3165" s="42"/>
      <c r="AC3165" s="35"/>
      <c r="AD3165" s="38"/>
      <c r="AE3165" s="38"/>
      <c r="AF3165" s="38"/>
      <c r="AG3165" s="38"/>
      <c r="AH3165" s="60"/>
    </row>
    <row r="3166" spans="1:34" ht="15.75" customHeight="1">
      <c r="A3166" s="75">
        <v>3.1</v>
      </c>
      <c r="B3166" s="18" t="s">
        <v>11225</v>
      </c>
      <c r="C3166" s="55" t="s">
        <v>46</v>
      </c>
      <c r="D3166" s="20" t="s">
        <v>11226</v>
      </c>
      <c r="E3166" s="20" t="s">
        <v>11227</v>
      </c>
      <c r="F3166" s="37" t="s">
        <v>49</v>
      </c>
      <c r="G3166" s="19" t="s">
        <v>50</v>
      </c>
      <c r="H3166" s="37" t="s">
        <v>55</v>
      </c>
      <c r="I3166" s="21" t="s">
        <v>29</v>
      </c>
      <c r="J3166" s="21" t="s">
        <v>29</v>
      </c>
      <c r="K3166" s="22" t="s">
        <v>11228</v>
      </c>
      <c r="L3166" s="56">
        <v>45097</v>
      </c>
      <c r="M3166" s="40"/>
      <c r="N3166" s="40"/>
      <c r="O3166" s="42"/>
      <c r="P3166" s="40"/>
      <c r="Q3166" s="61"/>
      <c r="R3166" s="61"/>
      <c r="S3166" s="40"/>
      <c r="T3166" s="38"/>
      <c r="U3166" s="38"/>
      <c r="V3166" s="38"/>
      <c r="W3166" s="60"/>
      <c r="AB3166" s="42"/>
      <c r="AC3166" s="35"/>
      <c r="AD3166" s="38"/>
      <c r="AE3166" s="38"/>
      <c r="AF3166" s="38"/>
      <c r="AG3166" s="38"/>
      <c r="AH3166" s="60"/>
    </row>
    <row r="3167" spans="1:34" ht="15.75" customHeight="1">
      <c r="A3167" s="111" t="s">
        <v>82</v>
      </c>
      <c r="B3167" s="18" t="s">
        <v>11229</v>
      </c>
      <c r="C3167" s="55" t="s">
        <v>1430</v>
      </c>
      <c r="D3167" s="20" t="s">
        <v>11230</v>
      </c>
      <c r="E3167" s="20" t="s">
        <v>11231</v>
      </c>
      <c r="F3167" s="55" t="s">
        <v>1445</v>
      </c>
      <c r="G3167" s="55" t="s">
        <v>1432</v>
      </c>
      <c r="H3167" s="37" t="s">
        <v>55</v>
      </c>
      <c r="I3167" s="21" t="s">
        <v>29</v>
      </c>
      <c r="J3167" s="21" t="s">
        <v>29</v>
      </c>
      <c r="K3167" s="22" t="s">
        <v>11232</v>
      </c>
      <c r="L3167" s="56">
        <v>45097</v>
      </c>
      <c r="M3167" s="40"/>
      <c r="N3167" s="40"/>
      <c r="O3167" s="42"/>
      <c r="P3167" s="40"/>
      <c r="Q3167" s="61"/>
      <c r="R3167" s="61"/>
      <c r="S3167" s="40"/>
      <c r="T3167" s="38"/>
      <c r="U3167" s="38"/>
      <c r="V3167" s="38"/>
      <c r="W3167" s="60"/>
      <c r="AB3167" s="42"/>
      <c r="AC3167" s="35"/>
      <c r="AD3167" s="38"/>
      <c r="AE3167" s="38"/>
      <c r="AF3167" s="38"/>
      <c r="AG3167" s="38"/>
      <c r="AH3167" s="60"/>
    </row>
    <row r="3168" spans="1:34" ht="15.75" customHeight="1">
      <c r="A3168" s="75" t="s">
        <v>11233</v>
      </c>
      <c r="B3168" s="18" t="s">
        <v>11234</v>
      </c>
      <c r="C3168" s="55" t="s">
        <v>87</v>
      </c>
      <c r="D3168" s="20" t="s">
        <v>11235</v>
      </c>
      <c r="E3168" s="20" t="s">
        <v>11236</v>
      </c>
      <c r="F3168" s="19" t="s">
        <v>90</v>
      </c>
      <c r="G3168" s="19" t="s">
        <v>91</v>
      </c>
      <c r="H3168" s="37" t="s">
        <v>55</v>
      </c>
      <c r="I3168" s="21" t="s">
        <v>29</v>
      </c>
      <c r="J3168" s="21" t="s">
        <v>29</v>
      </c>
      <c r="K3168" s="22" t="s">
        <v>11237</v>
      </c>
      <c r="L3168" s="56">
        <v>45097</v>
      </c>
      <c r="M3168" s="40"/>
      <c r="N3168" s="40"/>
      <c r="O3168" s="42"/>
      <c r="P3168" s="40"/>
      <c r="Q3168" s="61"/>
      <c r="R3168" s="61"/>
      <c r="S3168" s="40"/>
      <c r="T3168" s="38"/>
      <c r="U3168" s="38"/>
      <c r="V3168" s="38"/>
      <c r="W3168" s="60"/>
      <c r="AB3168" s="42"/>
      <c r="AC3168" s="35"/>
      <c r="AD3168" s="38"/>
      <c r="AE3168" s="38"/>
      <c r="AF3168" s="38"/>
      <c r="AG3168" s="38"/>
      <c r="AH3168" s="60"/>
    </row>
    <row r="3169" spans="1:34" ht="15.75" customHeight="1">
      <c r="A3169" s="111" t="s">
        <v>92</v>
      </c>
      <c r="B3169" s="34" t="s">
        <v>11238</v>
      </c>
      <c r="C3169" s="55" t="s">
        <v>87</v>
      </c>
      <c r="D3169" s="20" t="s">
        <v>11239</v>
      </c>
      <c r="E3169" s="20" t="s">
        <v>11240</v>
      </c>
      <c r="F3169" s="37" t="s">
        <v>49</v>
      </c>
      <c r="G3169" s="19" t="s">
        <v>50</v>
      </c>
      <c r="H3169" s="37" t="s">
        <v>55</v>
      </c>
      <c r="I3169" s="21" t="s">
        <v>29</v>
      </c>
      <c r="J3169" s="21" t="s">
        <v>29</v>
      </c>
      <c r="K3169" s="22" t="s">
        <v>11241</v>
      </c>
      <c r="L3169" s="56">
        <v>45097</v>
      </c>
      <c r="M3169" s="40"/>
      <c r="N3169" s="40"/>
      <c r="O3169" s="42"/>
      <c r="P3169" s="40"/>
      <c r="Q3169" s="61"/>
      <c r="R3169" s="61"/>
      <c r="S3169" s="40"/>
      <c r="T3169" s="38"/>
      <c r="U3169" s="38"/>
      <c r="V3169" s="38"/>
      <c r="W3169" s="60"/>
      <c r="AB3169" s="42"/>
      <c r="AC3169" s="35"/>
      <c r="AD3169" s="38"/>
      <c r="AE3169" s="38"/>
      <c r="AF3169" s="38"/>
      <c r="AG3169" s="38"/>
      <c r="AH3169" s="60"/>
    </row>
    <row r="3170" spans="1:34" ht="15.75" customHeight="1">
      <c r="A3170" s="112">
        <v>969</v>
      </c>
      <c r="B3170" s="18" t="s">
        <v>11242</v>
      </c>
      <c r="C3170" s="37" t="s">
        <v>412</v>
      </c>
      <c r="D3170" s="20" t="s">
        <v>11243</v>
      </c>
      <c r="E3170" s="20" t="s">
        <v>11244</v>
      </c>
      <c r="F3170" s="19" t="s">
        <v>414</v>
      </c>
      <c r="G3170" s="19" t="s">
        <v>415</v>
      </c>
      <c r="H3170" s="37" t="s">
        <v>55</v>
      </c>
      <c r="I3170" s="21" t="s">
        <v>233</v>
      </c>
      <c r="J3170" s="21" t="s">
        <v>233</v>
      </c>
      <c r="K3170" s="22" t="s">
        <v>11245</v>
      </c>
      <c r="L3170" s="56">
        <v>45097</v>
      </c>
      <c r="M3170" s="40"/>
      <c r="N3170" s="40"/>
      <c r="O3170" s="42"/>
      <c r="P3170" s="40"/>
      <c r="Q3170" s="61"/>
      <c r="R3170" s="61"/>
      <c r="S3170" s="40"/>
      <c r="T3170" s="38"/>
      <c r="U3170" s="38"/>
      <c r="V3170" s="38"/>
      <c r="W3170" s="60"/>
      <c r="AB3170" s="42"/>
      <c r="AC3170" s="35"/>
      <c r="AD3170" s="38"/>
      <c r="AE3170" s="38"/>
      <c r="AF3170" s="38"/>
      <c r="AG3170" s="38"/>
      <c r="AH3170" s="60"/>
    </row>
    <row r="3171" spans="1:34" ht="15.75" customHeight="1">
      <c r="A3171" s="111" t="s">
        <v>100</v>
      </c>
      <c r="B3171" s="18" t="s">
        <v>11246</v>
      </c>
      <c r="C3171" s="55" t="s">
        <v>24</v>
      </c>
      <c r="D3171" s="20" t="s">
        <v>11247</v>
      </c>
      <c r="E3171" s="20" t="s">
        <v>11248</v>
      </c>
      <c r="F3171" s="19" t="s">
        <v>27</v>
      </c>
      <c r="G3171" s="19" t="s">
        <v>28</v>
      </c>
      <c r="H3171" s="37" t="s">
        <v>813</v>
      </c>
      <c r="I3171" s="21" t="s">
        <v>29</v>
      </c>
      <c r="J3171" s="21" t="s">
        <v>29</v>
      </c>
      <c r="K3171" s="22" t="s">
        <v>11249</v>
      </c>
      <c r="L3171" s="56">
        <v>45097</v>
      </c>
      <c r="M3171" s="40"/>
      <c r="N3171" s="40"/>
      <c r="O3171" s="42"/>
      <c r="P3171" s="40"/>
      <c r="Q3171" s="61"/>
      <c r="R3171" s="61"/>
      <c r="S3171" s="40"/>
      <c r="T3171" s="38"/>
      <c r="U3171" s="38"/>
      <c r="V3171" s="38"/>
      <c r="W3171" s="60"/>
      <c r="AB3171" s="42"/>
      <c r="AC3171" s="35"/>
      <c r="AD3171" s="38"/>
      <c r="AE3171" s="38"/>
      <c r="AF3171" s="38"/>
      <c r="AG3171" s="38"/>
      <c r="AH3171" s="60"/>
    </row>
    <row r="3172" spans="1:34" ht="15.75" customHeight="1">
      <c r="A3172" s="75">
        <v>165</v>
      </c>
      <c r="B3172" s="18" t="s">
        <v>11250</v>
      </c>
      <c r="C3172" s="55" t="s">
        <v>87</v>
      </c>
      <c r="D3172" s="20" t="s">
        <v>11251</v>
      </c>
      <c r="E3172" s="20" t="s">
        <v>11252</v>
      </c>
      <c r="F3172" s="19" t="s">
        <v>90</v>
      </c>
      <c r="G3172" s="19" t="s">
        <v>91</v>
      </c>
      <c r="H3172" s="37" t="s">
        <v>55</v>
      </c>
      <c r="I3172" s="21" t="s">
        <v>29</v>
      </c>
      <c r="J3172" s="21" t="s">
        <v>29</v>
      </c>
      <c r="K3172" s="22" t="s">
        <v>11253</v>
      </c>
      <c r="L3172" s="56">
        <v>45097</v>
      </c>
      <c r="M3172" s="40"/>
      <c r="N3172" s="40"/>
      <c r="O3172" s="42"/>
      <c r="P3172" s="40"/>
      <c r="Q3172" s="61"/>
      <c r="R3172" s="61"/>
      <c r="S3172" s="40"/>
      <c r="T3172" s="38"/>
      <c r="U3172" s="38"/>
      <c r="V3172" s="38"/>
      <c r="W3172" s="60"/>
      <c r="AB3172" s="42"/>
      <c r="AC3172" s="35"/>
      <c r="AD3172" s="38"/>
      <c r="AE3172" s="38"/>
      <c r="AF3172" s="38"/>
      <c r="AG3172" s="38"/>
      <c r="AH3172" s="60"/>
    </row>
    <row r="3173" spans="1:34" ht="15.75" customHeight="1">
      <c r="A3173" s="35"/>
      <c r="B3173" s="18" t="s">
        <v>11254</v>
      </c>
      <c r="C3173" s="55" t="s">
        <v>87</v>
      </c>
      <c r="D3173" s="20" t="s">
        <v>11255</v>
      </c>
      <c r="E3173" s="20" t="s">
        <v>11256</v>
      </c>
      <c r="F3173" s="19" t="s">
        <v>90</v>
      </c>
      <c r="G3173" s="19" t="s">
        <v>91</v>
      </c>
      <c r="H3173" s="37" t="s">
        <v>55</v>
      </c>
      <c r="I3173" s="21" t="s">
        <v>29</v>
      </c>
      <c r="J3173" s="21" t="s">
        <v>29</v>
      </c>
      <c r="K3173" s="22" t="s">
        <v>11257</v>
      </c>
      <c r="L3173" s="56">
        <v>45097</v>
      </c>
      <c r="M3173" s="40"/>
      <c r="N3173" s="40"/>
      <c r="O3173" s="42"/>
      <c r="P3173" s="40"/>
      <c r="Q3173" s="61"/>
      <c r="R3173" s="61"/>
      <c r="S3173" s="40"/>
      <c r="T3173" s="38"/>
      <c r="U3173" s="38"/>
      <c r="V3173" s="38"/>
      <c r="W3173" s="60"/>
      <c r="AB3173" s="42"/>
      <c r="AC3173" s="35"/>
      <c r="AD3173" s="38"/>
      <c r="AE3173" s="38"/>
      <c r="AF3173" s="38"/>
      <c r="AG3173" s="38"/>
      <c r="AH3173" s="60"/>
    </row>
    <row r="3174" spans="1:34" ht="15.75" customHeight="1">
      <c r="A3174" s="35"/>
      <c r="B3174" s="36" t="s">
        <v>11258</v>
      </c>
      <c r="C3174" s="55" t="s">
        <v>121</v>
      </c>
      <c r="D3174" s="20" t="s">
        <v>11259</v>
      </c>
      <c r="E3174" s="20" t="s">
        <v>11260</v>
      </c>
      <c r="F3174" s="19" t="s">
        <v>90</v>
      </c>
      <c r="G3174" s="19" t="s">
        <v>91</v>
      </c>
      <c r="H3174" s="37" t="s">
        <v>55</v>
      </c>
      <c r="I3174" s="21" t="s">
        <v>29</v>
      </c>
      <c r="J3174" s="21" t="s">
        <v>29</v>
      </c>
      <c r="K3174" s="22" t="s">
        <v>11261</v>
      </c>
      <c r="L3174" s="56">
        <v>45097</v>
      </c>
      <c r="M3174" s="40"/>
      <c r="N3174" s="40"/>
      <c r="O3174" s="42"/>
      <c r="P3174" s="40"/>
      <c r="Q3174" s="61"/>
      <c r="R3174" s="61"/>
      <c r="S3174" s="40"/>
      <c r="T3174" s="38"/>
      <c r="U3174" s="38"/>
      <c r="V3174" s="38"/>
      <c r="W3174" s="60"/>
      <c r="AB3174" s="42"/>
      <c r="AC3174" s="35"/>
      <c r="AD3174" s="38"/>
      <c r="AE3174" s="38"/>
      <c r="AF3174" s="38"/>
      <c r="AG3174" s="38"/>
      <c r="AH3174" s="60"/>
    </row>
    <row r="3175" spans="1:34" ht="15.75" customHeight="1">
      <c r="A3175" s="35"/>
      <c r="B3175" s="34" t="s">
        <v>11262</v>
      </c>
      <c r="C3175" s="55" t="s">
        <v>24</v>
      </c>
      <c r="D3175" s="20" t="s">
        <v>11263</v>
      </c>
      <c r="E3175" s="20" t="s">
        <v>11264</v>
      </c>
      <c r="F3175" s="19" t="s">
        <v>90</v>
      </c>
      <c r="G3175" s="19" t="s">
        <v>91</v>
      </c>
      <c r="H3175" s="37" t="s">
        <v>55</v>
      </c>
      <c r="I3175" s="21" t="s">
        <v>29</v>
      </c>
      <c r="J3175" s="21" t="s">
        <v>29</v>
      </c>
      <c r="K3175" s="22" t="s">
        <v>11265</v>
      </c>
      <c r="L3175" s="56">
        <v>45097</v>
      </c>
      <c r="M3175" s="40"/>
      <c r="N3175" s="40"/>
      <c r="O3175" s="42"/>
      <c r="P3175" s="40"/>
      <c r="Q3175" s="61"/>
      <c r="R3175" s="61"/>
      <c r="S3175" s="40"/>
      <c r="T3175" s="38"/>
      <c r="U3175" s="38"/>
      <c r="V3175" s="38"/>
      <c r="W3175" s="60"/>
      <c r="AB3175" s="42"/>
      <c r="AC3175" s="35"/>
      <c r="AD3175" s="38"/>
      <c r="AE3175" s="38"/>
      <c r="AF3175" s="38"/>
      <c r="AG3175" s="38"/>
      <c r="AH3175" s="60"/>
    </row>
    <row r="3176" spans="1:34" ht="15.75" customHeight="1">
      <c r="A3176" s="35"/>
      <c r="B3176" s="18" t="s">
        <v>11266</v>
      </c>
      <c r="C3176" s="55" t="s">
        <v>87</v>
      </c>
      <c r="D3176" s="20" t="s">
        <v>11267</v>
      </c>
      <c r="E3176" s="20" t="s">
        <v>11268</v>
      </c>
      <c r="F3176" s="19" t="s">
        <v>90</v>
      </c>
      <c r="G3176" s="19" t="s">
        <v>91</v>
      </c>
      <c r="H3176" s="37" t="s">
        <v>55</v>
      </c>
      <c r="I3176" s="21" t="s">
        <v>29</v>
      </c>
      <c r="J3176" s="21" t="s">
        <v>29</v>
      </c>
      <c r="K3176" s="22" t="s">
        <v>11269</v>
      </c>
      <c r="L3176" s="56">
        <v>45097</v>
      </c>
      <c r="M3176" s="40"/>
      <c r="N3176" s="40"/>
      <c r="O3176" s="42"/>
      <c r="P3176" s="40"/>
      <c r="Q3176" s="61"/>
      <c r="R3176" s="61"/>
      <c r="S3176" s="40"/>
      <c r="T3176" s="38"/>
      <c r="U3176" s="38"/>
      <c r="V3176" s="38"/>
      <c r="W3176" s="60"/>
      <c r="AB3176" s="42"/>
      <c r="AC3176" s="35"/>
      <c r="AD3176" s="38"/>
      <c r="AE3176" s="38"/>
      <c r="AF3176" s="38"/>
      <c r="AG3176" s="38"/>
      <c r="AH3176" s="60"/>
    </row>
    <row r="3177" spans="1:34" ht="15.75" customHeight="1">
      <c r="A3177" s="35"/>
      <c r="B3177" s="18" t="s">
        <v>11270</v>
      </c>
      <c r="C3177" s="55" t="s">
        <v>24</v>
      </c>
      <c r="D3177" s="20" t="s">
        <v>11271</v>
      </c>
      <c r="E3177" s="20" t="s">
        <v>11272</v>
      </c>
      <c r="F3177" s="19" t="s">
        <v>27</v>
      </c>
      <c r="G3177" s="19" t="s">
        <v>28</v>
      </c>
      <c r="H3177" s="37" t="s">
        <v>762</v>
      </c>
      <c r="I3177" s="21" t="s">
        <v>29</v>
      </c>
      <c r="J3177" s="21" t="s">
        <v>29</v>
      </c>
      <c r="K3177" s="22" t="s">
        <v>11273</v>
      </c>
      <c r="L3177" s="56">
        <v>45097</v>
      </c>
      <c r="M3177" s="40"/>
      <c r="N3177" s="40"/>
      <c r="O3177" s="42"/>
      <c r="P3177" s="40"/>
      <c r="Q3177" s="61"/>
      <c r="R3177" s="61"/>
      <c r="S3177" s="40"/>
      <c r="T3177" s="38"/>
      <c r="U3177" s="38"/>
      <c r="V3177" s="38"/>
      <c r="W3177" s="60"/>
      <c r="AB3177" s="42"/>
      <c r="AC3177" s="35"/>
      <c r="AD3177" s="38"/>
      <c r="AE3177" s="38"/>
      <c r="AF3177" s="38"/>
      <c r="AG3177" s="38"/>
      <c r="AH3177" s="60"/>
    </row>
    <row r="3178" spans="1:34" ht="15.75" customHeight="1">
      <c r="A3178" s="35"/>
      <c r="B3178" s="18" t="s">
        <v>11274</v>
      </c>
      <c r="C3178" s="55" t="s">
        <v>24</v>
      </c>
      <c r="D3178" s="20" t="s">
        <v>11275</v>
      </c>
      <c r="E3178" s="20" t="s">
        <v>11276</v>
      </c>
      <c r="F3178" s="19" t="s">
        <v>27</v>
      </c>
      <c r="G3178" s="19" t="s">
        <v>28</v>
      </c>
      <c r="H3178" s="37" t="s">
        <v>55</v>
      </c>
      <c r="I3178" s="21" t="s">
        <v>29</v>
      </c>
      <c r="J3178" s="21" t="s">
        <v>29</v>
      </c>
      <c r="K3178" s="22" t="s">
        <v>11277</v>
      </c>
      <c r="L3178" s="56">
        <v>45097</v>
      </c>
      <c r="M3178" s="40"/>
      <c r="N3178" s="40"/>
      <c r="O3178" s="42"/>
      <c r="P3178" s="40"/>
      <c r="Q3178" s="61"/>
      <c r="R3178" s="61"/>
      <c r="S3178" s="40"/>
      <c r="T3178" s="38"/>
      <c r="U3178" s="38"/>
      <c r="V3178" s="38"/>
      <c r="W3178" s="60"/>
      <c r="AB3178" s="42"/>
      <c r="AC3178" s="35"/>
      <c r="AD3178" s="38"/>
      <c r="AE3178" s="38"/>
      <c r="AF3178" s="38"/>
      <c r="AG3178" s="38"/>
      <c r="AH3178" s="60"/>
    </row>
    <row r="3179" spans="1:34" ht="15.75" customHeight="1">
      <c r="A3179" s="35"/>
      <c r="B3179" s="18" t="s">
        <v>11278</v>
      </c>
      <c r="C3179" s="55" t="s">
        <v>87</v>
      </c>
      <c r="D3179" s="20" t="s">
        <v>11279</v>
      </c>
      <c r="E3179" s="20" t="s">
        <v>11280</v>
      </c>
      <c r="F3179" s="19" t="s">
        <v>90</v>
      </c>
      <c r="G3179" s="19" t="s">
        <v>91</v>
      </c>
      <c r="H3179" s="37" t="s">
        <v>55</v>
      </c>
      <c r="I3179" s="21" t="s">
        <v>29</v>
      </c>
      <c r="J3179" s="21" t="s">
        <v>29</v>
      </c>
      <c r="K3179" s="22" t="s">
        <v>11281</v>
      </c>
      <c r="L3179" s="56">
        <v>45097</v>
      </c>
      <c r="M3179" s="40"/>
      <c r="N3179" s="40"/>
      <c r="O3179" s="42"/>
      <c r="P3179" s="40"/>
      <c r="Q3179" s="61"/>
      <c r="R3179" s="61"/>
      <c r="S3179" s="40"/>
      <c r="T3179" s="38"/>
      <c r="U3179" s="38"/>
      <c r="V3179" s="38"/>
      <c r="W3179" s="60"/>
      <c r="AB3179" s="42"/>
      <c r="AC3179" s="35"/>
      <c r="AD3179" s="38"/>
      <c r="AE3179" s="38"/>
      <c r="AF3179" s="38"/>
      <c r="AG3179" s="38"/>
      <c r="AH3179" s="60"/>
    </row>
    <row r="3180" spans="1:34" ht="15.75" customHeight="1">
      <c r="A3180" s="35"/>
      <c r="B3180" s="18" t="s">
        <v>11282</v>
      </c>
      <c r="C3180" s="55" t="s">
        <v>87</v>
      </c>
      <c r="D3180" s="20" t="s">
        <v>11283</v>
      </c>
      <c r="E3180" s="20" t="s">
        <v>11284</v>
      </c>
      <c r="F3180" s="19" t="s">
        <v>90</v>
      </c>
      <c r="G3180" s="19" t="s">
        <v>91</v>
      </c>
      <c r="H3180" s="37" t="s">
        <v>55</v>
      </c>
      <c r="I3180" s="21" t="s">
        <v>29</v>
      </c>
      <c r="J3180" s="21" t="s">
        <v>29</v>
      </c>
      <c r="K3180" s="22" t="s">
        <v>11285</v>
      </c>
      <c r="L3180" s="56">
        <v>45097</v>
      </c>
      <c r="M3180" s="40"/>
      <c r="N3180" s="40"/>
      <c r="O3180" s="42"/>
      <c r="P3180" s="40"/>
      <c r="Q3180" s="61"/>
      <c r="R3180" s="61"/>
      <c r="S3180" s="40"/>
      <c r="T3180" s="38"/>
      <c r="U3180" s="38"/>
      <c r="V3180" s="38"/>
      <c r="W3180" s="60"/>
      <c r="AB3180" s="42"/>
      <c r="AC3180" s="35"/>
      <c r="AD3180" s="38"/>
      <c r="AE3180" s="38"/>
      <c r="AF3180" s="38"/>
      <c r="AG3180" s="38"/>
      <c r="AH3180" s="60"/>
    </row>
    <row r="3181" spans="1:34" ht="15.75" customHeight="1">
      <c r="A3181" s="35"/>
      <c r="B3181" s="29" t="s">
        <v>11286</v>
      </c>
      <c r="C3181" s="37" t="s">
        <v>24</v>
      </c>
      <c r="D3181" s="20" t="s">
        <v>11287</v>
      </c>
      <c r="E3181" s="61" t="s">
        <v>11288</v>
      </c>
      <c r="F3181" s="19" t="s">
        <v>27</v>
      </c>
      <c r="G3181" s="19" t="s">
        <v>28</v>
      </c>
      <c r="H3181" s="37" t="s">
        <v>813</v>
      </c>
      <c r="I3181" s="21" t="s">
        <v>29</v>
      </c>
      <c r="J3181" s="21" t="s">
        <v>29</v>
      </c>
      <c r="K3181" s="61" t="s">
        <v>11289</v>
      </c>
      <c r="L3181" s="56"/>
      <c r="M3181" s="40"/>
      <c r="N3181" s="40"/>
      <c r="O3181" s="42"/>
      <c r="P3181" s="40"/>
      <c r="Q3181" s="61"/>
      <c r="R3181" s="61"/>
      <c r="S3181" s="40"/>
      <c r="T3181" s="38"/>
      <c r="U3181" s="38"/>
      <c r="V3181" s="38"/>
      <c r="W3181" s="60"/>
      <c r="AB3181" s="42"/>
      <c r="AC3181" s="35"/>
      <c r="AD3181" s="38"/>
      <c r="AE3181" s="38"/>
      <c r="AF3181" s="38"/>
      <c r="AG3181" s="38"/>
      <c r="AH3181" s="60"/>
    </row>
    <row r="3182" spans="1:34" ht="15.75" customHeight="1">
      <c r="A3182" s="35"/>
      <c r="B3182" s="29" t="s">
        <v>11290</v>
      </c>
      <c r="C3182" s="37" t="s">
        <v>24</v>
      </c>
      <c r="D3182" s="20" t="s">
        <v>11291</v>
      </c>
      <c r="E3182" s="61" t="s">
        <v>11292</v>
      </c>
      <c r="F3182" s="19" t="s">
        <v>27</v>
      </c>
      <c r="G3182" s="19" t="s">
        <v>28</v>
      </c>
      <c r="H3182" s="37" t="s">
        <v>55</v>
      </c>
      <c r="I3182" s="21" t="s">
        <v>29</v>
      </c>
      <c r="J3182" s="21" t="s">
        <v>29</v>
      </c>
      <c r="K3182" s="61" t="s">
        <v>11293</v>
      </c>
      <c r="L3182" s="56">
        <v>45097</v>
      </c>
      <c r="M3182" s="40"/>
      <c r="N3182" s="40"/>
      <c r="O3182" s="42"/>
      <c r="P3182" s="40"/>
      <c r="Q3182" s="61"/>
      <c r="R3182" s="61"/>
      <c r="S3182" s="40"/>
      <c r="T3182" s="38"/>
      <c r="U3182" s="38"/>
      <c r="V3182" s="38"/>
      <c r="W3182" s="60"/>
      <c r="AB3182" s="42"/>
      <c r="AC3182" s="35"/>
      <c r="AD3182" s="38"/>
      <c r="AE3182" s="38"/>
      <c r="AF3182" s="38"/>
      <c r="AG3182" s="38"/>
      <c r="AH3182" s="60"/>
    </row>
    <row r="3183" spans="1:34" ht="15.75" customHeight="1">
      <c r="A3183" s="35"/>
      <c r="B3183" s="38"/>
      <c r="C3183" s="37"/>
      <c r="D3183" s="20"/>
      <c r="E3183" s="20"/>
      <c r="F3183" s="37"/>
      <c r="G3183" s="37"/>
      <c r="H3183" s="37"/>
      <c r="I3183" s="21"/>
      <c r="J3183" s="21"/>
      <c r="K3183" s="22"/>
      <c r="L3183" s="113"/>
      <c r="M3183" s="40"/>
      <c r="N3183" s="40"/>
      <c r="O3183" s="42"/>
      <c r="P3183" s="40"/>
      <c r="Q3183" s="61"/>
      <c r="R3183" s="61"/>
      <c r="S3183" s="40"/>
      <c r="T3183" s="38"/>
      <c r="U3183" s="38"/>
      <c r="V3183" s="38"/>
      <c r="W3183" s="60"/>
      <c r="AB3183" s="42"/>
      <c r="AC3183" s="35"/>
      <c r="AD3183" s="38"/>
      <c r="AE3183" s="38"/>
      <c r="AF3183" s="38"/>
      <c r="AG3183" s="38"/>
      <c r="AH3183" s="60"/>
    </row>
    <row r="3184" spans="1:34" ht="15.75" customHeight="1">
      <c r="A3184" s="38" t="s">
        <v>11294</v>
      </c>
      <c r="B3184" s="41"/>
      <c r="C3184" s="106"/>
      <c r="D3184" s="107"/>
      <c r="E3184" s="107"/>
      <c r="F3184" s="106"/>
      <c r="G3184" s="106"/>
      <c r="H3184" s="106"/>
      <c r="I3184" s="108"/>
      <c r="J3184" s="108"/>
      <c r="K3184" s="109"/>
      <c r="L3184" s="110"/>
      <c r="M3184" s="40"/>
      <c r="N3184" s="40"/>
      <c r="O3184" s="42"/>
      <c r="P3184" s="40"/>
      <c r="Q3184" s="61"/>
      <c r="R3184" s="61"/>
      <c r="S3184" s="40"/>
      <c r="T3184" s="38"/>
      <c r="U3184" s="38"/>
      <c r="V3184" s="38"/>
      <c r="W3184" s="60"/>
      <c r="AB3184" s="42"/>
      <c r="AC3184" s="35"/>
      <c r="AD3184" s="38"/>
      <c r="AE3184" s="38"/>
      <c r="AF3184" s="38"/>
      <c r="AG3184" s="38"/>
      <c r="AH3184" s="60"/>
    </row>
    <row r="3185" spans="1:34" ht="15.75" customHeight="1">
      <c r="A3185" s="54" t="s">
        <v>8241</v>
      </c>
      <c r="B3185" s="41"/>
      <c r="C3185" s="106"/>
      <c r="D3185" s="107"/>
      <c r="E3185" s="107"/>
      <c r="F3185" s="106"/>
      <c r="G3185" s="106"/>
      <c r="H3185" s="106"/>
      <c r="I3185" s="108"/>
      <c r="J3185" s="108"/>
      <c r="K3185" s="109"/>
      <c r="L3185" s="110"/>
      <c r="M3185" s="40"/>
      <c r="N3185" s="40"/>
      <c r="O3185" s="42"/>
      <c r="P3185" s="40"/>
      <c r="Q3185" s="61"/>
      <c r="R3185" s="61"/>
      <c r="S3185" s="40"/>
      <c r="T3185" s="38"/>
      <c r="U3185" s="38"/>
      <c r="V3185" s="38"/>
      <c r="W3185" s="60"/>
      <c r="AB3185" s="42"/>
      <c r="AC3185" s="35"/>
      <c r="AD3185" s="38"/>
      <c r="AE3185" s="38"/>
      <c r="AF3185" s="38"/>
      <c r="AG3185" s="38"/>
      <c r="AH3185" s="60"/>
    </row>
    <row r="3186" spans="1:34" ht="15.75" customHeight="1">
      <c r="A3186" s="114" t="s">
        <v>39</v>
      </c>
      <c r="B3186" s="41"/>
      <c r="C3186" s="106"/>
      <c r="D3186" s="107"/>
      <c r="E3186" s="107"/>
      <c r="F3186" s="106"/>
      <c r="G3186" s="106"/>
      <c r="H3186" s="106"/>
      <c r="I3186" s="108"/>
      <c r="J3186" s="108"/>
      <c r="K3186" s="109"/>
      <c r="L3186" s="110"/>
      <c r="M3186" s="40"/>
      <c r="N3186" s="40"/>
      <c r="O3186" s="42"/>
      <c r="P3186" s="40"/>
      <c r="Q3186" s="61"/>
      <c r="R3186" s="61"/>
      <c r="S3186" s="40"/>
      <c r="T3186" s="38"/>
      <c r="U3186" s="38"/>
      <c r="V3186" s="38"/>
      <c r="W3186" s="60"/>
      <c r="AB3186" s="42"/>
      <c r="AC3186" s="35"/>
      <c r="AD3186" s="38"/>
      <c r="AE3186" s="38"/>
      <c r="AF3186" s="38"/>
      <c r="AG3186" s="38"/>
      <c r="AH3186" s="60"/>
    </row>
    <row r="3187" spans="1:34" ht="15.75" customHeight="1">
      <c r="A3187" s="38" t="s">
        <v>10522</v>
      </c>
      <c r="B3187" s="41"/>
      <c r="C3187" s="106"/>
      <c r="D3187" s="107"/>
      <c r="E3187" s="107"/>
      <c r="F3187" s="106"/>
      <c r="G3187" s="106"/>
      <c r="H3187" s="106"/>
      <c r="I3187" s="108"/>
      <c r="J3187" s="108"/>
      <c r="K3187" s="109"/>
      <c r="L3187" s="110"/>
      <c r="M3187" s="40"/>
      <c r="N3187" s="40"/>
      <c r="O3187" s="42"/>
      <c r="P3187" s="40"/>
      <c r="Q3187" s="61"/>
      <c r="R3187" s="61"/>
      <c r="S3187" s="40"/>
      <c r="T3187" s="38"/>
      <c r="U3187" s="38"/>
      <c r="V3187" s="38"/>
      <c r="W3187" s="60"/>
      <c r="AB3187" s="42"/>
      <c r="AC3187" s="35"/>
      <c r="AD3187" s="38"/>
      <c r="AE3187" s="38"/>
      <c r="AF3187" s="38"/>
      <c r="AG3187" s="38"/>
      <c r="AH3187" s="60"/>
    </row>
    <row r="3188" spans="1:34" ht="15.75" customHeight="1">
      <c r="A3188" s="38" t="s">
        <v>8415</v>
      </c>
      <c r="B3188" s="41"/>
      <c r="C3188" s="106"/>
      <c r="D3188" s="107"/>
      <c r="E3188" s="107"/>
      <c r="F3188" s="106"/>
      <c r="G3188" s="106"/>
      <c r="H3188" s="106"/>
      <c r="I3188" s="108"/>
      <c r="J3188" s="108"/>
      <c r="K3188" s="109"/>
      <c r="L3188" s="110"/>
      <c r="M3188" s="40"/>
      <c r="N3188" s="40"/>
      <c r="O3188" s="42"/>
      <c r="P3188" s="40"/>
      <c r="Q3188" s="61"/>
      <c r="R3188" s="61"/>
      <c r="S3188" s="40"/>
      <c r="T3188" s="38"/>
      <c r="U3188" s="38"/>
      <c r="V3188" s="38"/>
      <c r="W3188" s="60"/>
      <c r="AB3188" s="42"/>
      <c r="AC3188" s="35"/>
      <c r="AD3188" s="38"/>
      <c r="AE3188" s="38"/>
      <c r="AF3188" s="38"/>
      <c r="AG3188" s="38"/>
      <c r="AH3188" s="60"/>
    </row>
    <row r="3189" spans="1:34" ht="15.75" customHeight="1">
      <c r="A3189" s="111" t="s">
        <v>56</v>
      </c>
      <c r="B3189" s="41"/>
      <c r="C3189" s="106"/>
      <c r="D3189" s="107"/>
      <c r="E3189" s="107"/>
      <c r="F3189" s="106"/>
      <c r="G3189" s="106"/>
      <c r="H3189" s="106"/>
      <c r="I3189" s="108"/>
      <c r="J3189" s="108"/>
      <c r="K3189" s="109"/>
      <c r="L3189" s="110"/>
      <c r="M3189" s="40"/>
      <c r="N3189" s="40"/>
      <c r="O3189" s="42"/>
      <c r="P3189" s="40"/>
      <c r="Q3189" s="61"/>
      <c r="R3189" s="61"/>
      <c r="S3189" s="40"/>
      <c r="T3189" s="38"/>
      <c r="U3189" s="38"/>
      <c r="V3189" s="38"/>
      <c r="W3189" s="60"/>
      <c r="AB3189" s="42"/>
      <c r="AC3189" s="35"/>
      <c r="AD3189" s="38"/>
      <c r="AE3189" s="38"/>
      <c r="AF3189" s="38"/>
      <c r="AG3189" s="38"/>
      <c r="AH3189" s="60"/>
    </row>
    <row r="3190" spans="1:34" ht="15.75" customHeight="1">
      <c r="A3190" s="75">
        <v>59</v>
      </c>
      <c r="B3190" s="41"/>
      <c r="C3190" s="106"/>
      <c r="D3190" s="107"/>
      <c r="E3190" s="107"/>
      <c r="F3190" s="106"/>
      <c r="G3190" s="106"/>
      <c r="H3190" s="106"/>
      <c r="I3190" s="108"/>
      <c r="J3190" s="108"/>
      <c r="K3190" s="109"/>
      <c r="L3190" s="110"/>
      <c r="M3190" s="40"/>
      <c r="N3190" s="40"/>
      <c r="O3190" s="42"/>
      <c r="P3190" s="40"/>
      <c r="Q3190" s="61"/>
      <c r="R3190" s="61"/>
      <c r="S3190" s="40"/>
      <c r="T3190" s="38"/>
      <c r="U3190" s="38"/>
      <c r="V3190" s="38"/>
      <c r="W3190" s="60"/>
      <c r="AB3190" s="42"/>
      <c r="AC3190" s="35"/>
      <c r="AD3190" s="38"/>
      <c r="AE3190" s="38"/>
      <c r="AF3190" s="38"/>
      <c r="AG3190" s="38"/>
      <c r="AH3190" s="60"/>
    </row>
    <row r="3191" spans="1:34" ht="15.75" customHeight="1">
      <c r="A3191" s="111" t="s">
        <v>64</v>
      </c>
      <c r="B3191" s="41"/>
      <c r="C3191" s="106"/>
      <c r="D3191" s="107"/>
      <c r="E3191" s="107"/>
      <c r="F3191" s="106"/>
      <c r="G3191" s="106"/>
      <c r="H3191" s="106"/>
      <c r="I3191" s="108"/>
      <c r="J3191" s="108"/>
      <c r="K3191" s="109"/>
      <c r="L3191" s="110"/>
      <c r="M3191" s="40"/>
      <c r="N3191" s="40"/>
      <c r="O3191" s="42"/>
      <c r="P3191" s="40"/>
      <c r="Q3191" s="61"/>
      <c r="R3191" s="61"/>
      <c r="S3191" s="40"/>
      <c r="T3191" s="38"/>
      <c r="U3191" s="38"/>
      <c r="V3191" s="38"/>
      <c r="W3191" s="60"/>
      <c r="AB3191" s="42"/>
      <c r="AC3191" s="35"/>
      <c r="AD3191" s="38"/>
      <c r="AE3191" s="38"/>
      <c r="AF3191" s="38"/>
      <c r="AG3191" s="38"/>
      <c r="AH3191" s="60"/>
    </row>
    <row r="3192" spans="1:34" ht="15.75" customHeight="1">
      <c r="A3192" s="75">
        <v>3</v>
      </c>
      <c r="B3192" s="41"/>
      <c r="C3192" s="106"/>
      <c r="D3192" s="107"/>
      <c r="E3192" s="107"/>
      <c r="F3192" s="106"/>
      <c r="G3192" s="106"/>
      <c r="H3192" s="106"/>
      <c r="I3192" s="108"/>
      <c r="J3192" s="108"/>
      <c r="K3192" s="109"/>
      <c r="L3192" s="110"/>
      <c r="M3192" s="40"/>
      <c r="N3192" s="40"/>
      <c r="O3192" s="42"/>
      <c r="P3192" s="40"/>
      <c r="Q3192" s="61"/>
      <c r="R3192" s="61"/>
      <c r="S3192" s="40"/>
      <c r="T3192" s="38"/>
      <c r="U3192" s="38"/>
      <c r="V3192" s="38"/>
      <c r="W3192" s="60"/>
      <c r="AB3192" s="42"/>
      <c r="AC3192" s="35"/>
      <c r="AD3192" s="38"/>
      <c r="AE3192" s="38"/>
      <c r="AF3192" s="38"/>
      <c r="AG3192" s="38"/>
      <c r="AH3192" s="60"/>
    </row>
    <row r="3193" spans="1:34" ht="15.75" customHeight="1">
      <c r="A3193" s="111" t="s">
        <v>73</v>
      </c>
      <c r="B3193" s="41"/>
      <c r="C3193" s="106"/>
      <c r="D3193" s="107"/>
      <c r="E3193" s="107"/>
      <c r="F3193" s="106"/>
      <c r="G3193" s="106"/>
      <c r="H3193" s="106"/>
      <c r="I3193" s="108"/>
      <c r="J3193" s="108"/>
      <c r="K3193" s="109"/>
      <c r="L3193" s="110"/>
      <c r="M3193" s="40"/>
      <c r="N3193" s="40"/>
      <c r="O3193" s="42"/>
      <c r="P3193" s="40"/>
      <c r="Q3193" s="61"/>
      <c r="R3193" s="61"/>
      <c r="S3193" s="40"/>
      <c r="T3193" s="38"/>
      <c r="U3193" s="38"/>
      <c r="V3193" s="38"/>
      <c r="W3193" s="60"/>
      <c r="AB3193" s="42"/>
      <c r="AC3193" s="35"/>
      <c r="AD3193" s="38"/>
      <c r="AE3193" s="38"/>
      <c r="AF3193" s="38"/>
      <c r="AG3193" s="38"/>
      <c r="AH3193" s="60"/>
    </row>
    <row r="3194" spans="1:34" ht="15.75" customHeight="1">
      <c r="A3194" s="75">
        <v>3.5</v>
      </c>
      <c r="B3194" s="41"/>
      <c r="C3194" s="106"/>
      <c r="D3194" s="107"/>
      <c r="E3194" s="107"/>
      <c r="F3194" s="106"/>
      <c r="G3194" s="106"/>
      <c r="H3194" s="106"/>
      <c r="I3194" s="108"/>
      <c r="J3194" s="108"/>
      <c r="K3194" s="109"/>
      <c r="L3194" s="110"/>
      <c r="M3194" s="40"/>
      <c r="N3194" s="40"/>
      <c r="O3194" s="42"/>
      <c r="P3194" s="40"/>
      <c r="Q3194" s="61"/>
      <c r="R3194" s="61"/>
      <c r="S3194" s="40"/>
      <c r="T3194" s="38"/>
      <c r="U3194" s="38"/>
      <c r="V3194" s="38"/>
      <c r="W3194" s="60"/>
      <c r="AB3194" s="42"/>
      <c r="AC3194" s="35"/>
      <c r="AD3194" s="38"/>
      <c r="AE3194" s="38"/>
      <c r="AF3194" s="38"/>
      <c r="AG3194" s="38"/>
      <c r="AH3194" s="60"/>
    </row>
    <row r="3195" spans="1:34" ht="15.75" customHeight="1">
      <c r="A3195" s="111" t="s">
        <v>82</v>
      </c>
      <c r="B3195" s="41"/>
      <c r="C3195" s="106"/>
      <c r="D3195" s="107"/>
      <c r="E3195" s="107"/>
      <c r="F3195" s="106"/>
      <c r="G3195" s="106"/>
      <c r="H3195" s="106"/>
      <c r="I3195" s="108"/>
      <c r="J3195" s="108"/>
      <c r="K3195" s="109"/>
      <c r="L3195" s="110"/>
      <c r="M3195" s="40"/>
      <c r="N3195" s="40"/>
      <c r="O3195" s="42"/>
      <c r="P3195" s="40"/>
      <c r="Q3195" s="61"/>
      <c r="R3195" s="61"/>
      <c r="S3195" s="40"/>
      <c r="T3195" s="38"/>
      <c r="U3195" s="38"/>
      <c r="V3195" s="38"/>
      <c r="W3195" s="60"/>
      <c r="AB3195" s="42"/>
      <c r="AC3195" s="35"/>
      <c r="AD3195" s="38"/>
      <c r="AE3195" s="38"/>
      <c r="AF3195" s="38"/>
      <c r="AG3195" s="38"/>
      <c r="AH3195" s="60"/>
    </row>
    <row r="3196" spans="1:34" ht="15.75" customHeight="1">
      <c r="A3196" s="75" t="s">
        <v>11295</v>
      </c>
      <c r="B3196" s="41"/>
      <c r="C3196" s="106"/>
      <c r="D3196" s="107"/>
      <c r="E3196" s="107"/>
      <c r="F3196" s="106"/>
      <c r="G3196" s="106"/>
      <c r="H3196" s="106"/>
      <c r="I3196" s="108"/>
      <c r="J3196" s="108"/>
      <c r="K3196" s="109"/>
      <c r="L3196" s="110"/>
      <c r="M3196" s="40"/>
      <c r="N3196" s="40"/>
      <c r="O3196" s="42"/>
      <c r="P3196" s="40"/>
      <c r="Q3196" s="61"/>
      <c r="R3196" s="61"/>
      <c r="S3196" s="40"/>
      <c r="T3196" s="38"/>
      <c r="U3196" s="38"/>
      <c r="V3196" s="38"/>
      <c r="W3196" s="60"/>
      <c r="AB3196" s="42"/>
      <c r="AC3196" s="35"/>
      <c r="AD3196" s="38"/>
      <c r="AE3196" s="38"/>
      <c r="AF3196" s="38"/>
      <c r="AG3196" s="38"/>
      <c r="AH3196" s="60"/>
    </row>
    <row r="3197" spans="1:34" ht="15.75" customHeight="1">
      <c r="A3197" s="111" t="s">
        <v>92</v>
      </c>
      <c r="B3197" s="41"/>
      <c r="C3197" s="106"/>
      <c r="D3197" s="107"/>
      <c r="E3197" s="107"/>
      <c r="F3197" s="106"/>
      <c r="G3197" s="106"/>
      <c r="H3197" s="106"/>
      <c r="I3197" s="108"/>
      <c r="J3197" s="108"/>
      <c r="K3197" s="109"/>
      <c r="L3197" s="110"/>
      <c r="M3197" s="40"/>
      <c r="N3197" s="40"/>
      <c r="O3197" s="42"/>
      <c r="P3197" s="40"/>
      <c r="Q3197" s="61"/>
      <c r="R3197" s="61"/>
      <c r="S3197" s="40"/>
      <c r="T3197" s="38"/>
      <c r="U3197" s="38"/>
      <c r="V3197" s="38"/>
      <c r="W3197" s="60"/>
      <c r="AB3197" s="42"/>
      <c r="AC3197" s="35"/>
      <c r="AD3197" s="38"/>
      <c r="AE3197" s="38"/>
      <c r="AF3197" s="38"/>
      <c r="AG3197" s="38"/>
      <c r="AH3197" s="60"/>
    </row>
    <row r="3198" spans="1:34" ht="15.75" customHeight="1">
      <c r="A3198" s="112">
        <v>1334</v>
      </c>
      <c r="B3198" s="41"/>
      <c r="C3198" s="106"/>
      <c r="D3198" s="107"/>
      <c r="E3198" s="107"/>
      <c r="F3198" s="106"/>
      <c r="G3198" s="106"/>
      <c r="H3198" s="106"/>
      <c r="I3198" s="108"/>
      <c r="J3198" s="108"/>
      <c r="K3198" s="109"/>
      <c r="L3198" s="110"/>
      <c r="M3198" s="40"/>
      <c r="N3198" s="40"/>
      <c r="O3198" s="42"/>
      <c r="P3198" s="40"/>
      <c r="Q3198" s="61"/>
      <c r="R3198" s="61"/>
      <c r="S3198" s="40"/>
      <c r="T3198" s="38"/>
      <c r="U3198" s="38"/>
      <c r="V3198" s="38"/>
      <c r="W3198" s="60"/>
      <c r="AB3198" s="42"/>
      <c r="AC3198" s="35"/>
      <c r="AD3198" s="38"/>
      <c r="AE3198" s="38"/>
      <c r="AF3198" s="38"/>
      <c r="AG3198" s="38"/>
      <c r="AH3198" s="60"/>
    </row>
    <row r="3199" spans="1:34" ht="15.75" customHeight="1">
      <c r="A3199" s="111" t="s">
        <v>100</v>
      </c>
      <c r="B3199" s="41"/>
      <c r="C3199" s="106"/>
      <c r="D3199" s="107"/>
      <c r="E3199" s="107"/>
      <c r="F3199" s="106"/>
      <c r="G3199" s="106"/>
      <c r="H3199" s="106"/>
      <c r="I3199" s="108"/>
      <c r="J3199" s="108"/>
      <c r="K3199" s="109"/>
      <c r="L3199" s="110"/>
      <c r="M3199" s="40"/>
      <c r="N3199" s="40"/>
      <c r="O3199" s="42"/>
      <c r="P3199" s="40"/>
      <c r="Q3199" s="61"/>
      <c r="R3199" s="61"/>
      <c r="S3199" s="40"/>
      <c r="T3199" s="38"/>
      <c r="U3199" s="38"/>
      <c r="V3199" s="38"/>
      <c r="W3199" s="60"/>
      <c r="AB3199" s="42"/>
      <c r="AC3199" s="35"/>
      <c r="AD3199" s="38"/>
      <c r="AE3199" s="38"/>
      <c r="AF3199" s="38"/>
      <c r="AG3199" s="38"/>
      <c r="AH3199" s="60"/>
    </row>
    <row r="3200" spans="1:34" ht="15.75" customHeight="1">
      <c r="A3200" s="75">
        <v>165</v>
      </c>
      <c r="B3200" s="41"/>
      <c r="C3200" s="106"/>
      <c r="D3200" s="107"/>
      <c r="E3200" s="107"/>
      <c r="F3200" s="106"/>
      <c r="G3200" s="106"/>
      <c r="H3200" s="106"/>
      <c r="I3200" s="108"/>
      <c r="J3200" s="108"/>
      <c r="K3200" s="109"/>
      <c r="L3200" s="110"/>
      <c r="M3200" s="40"/>
      <c r="N3200" s="40"/>
      <c r="O3200" s="42"/>
      <c r="P3200" s="40"/>
      <c r="Q3200" s="61"/>
      <c r="R3200" s="61"/>
      <c r="S3200" s="40"/>
      <c r="T3200" s="38"/>
      <c r="U3200" s="38"/>
      <c r="V3200" s="38"/>
      <c r="W3200" s="60"/>
      <c r="AB3200" s="42"/>
      <c r="AC3200" s="35"/>
      <c r="AD3200" s="38"/>
      <c r="AE3200" s="38"/>
      <c r="AF3200" s="38"/>
      <c r="AG3200" s="38"/>
      <c r="AH3200" s="60"/>
    </row>
    <row r="3201" spans="1:34" ht="15.75" customHeight="1">
      <c r="A3201" s="35"/>
      <c r="B3201" s="38"/>
      <c r="C3201" s="37"/>
      <c r="D3201" s="20"/>
      <c r="E3201" s="20"/>
      <c r="F3201" s="37"/>
      <c r="G3201" s="37"/>
      <c r="H3201" s="37"/>
      <c r="I3201" s="21"/>
      <c r="J3201" s="21"/>
      <c r="K3201" s="22"/>
      <c r="L3201" s="113"/>
      <c r="M3201" s="40"/>
      <c r="N3201" s="40"/>
      <c r="O3201" s="42"/>
      <c r="P3201" s="40"/>
      <c r="Q3201" s="61"/>
      <c r="R3201" s="61"/>
      <c r="S3201" s="40"/>
      <c r="T3201" s="38"/>
      <c r="U3201" s="38"/>
      <c r="V3201" s="38"/>
      <c r="W3201" s="60"/>
      <c r="AB3201" s="42"/>
      <c r="AC3201" s="35"/>
      <c r="AD3201" s="38"/>
      <c r="AE3201" s="38"/>
      <c r="AF3201" s="38"/>
      <c r="AG3201" s="38"/>
      <c r="AH3201" s="60"/>
    </row>
    <row r="3202" spans="1:34" ht="15.75" customHeight="1">
      <c r="A3202" s="38" t="s">
        <v>11296</v>
      </c>
      <c r="B3202" s="29" t="s">
        <v>11297</v>
      </c>
      <c r="C3202" s="143" t="s">
        <v>24</v>
      </c>
      <c r="D3202" s="20" t="s">
        <v>11298</v>
      </c>
      <c r="E3202" s="20" t="s">
        <v>11299</v>
      </c>
      <c r="F3202" s="19" t="s">
        <v>27</v>
      </c>
      <c r="G3202" s="19" t="s">
        <v>28</v>
      </c>
      <c r="H3202" s="19" t="s">
        <v>36</v>
      </c>
      <c r="I3202" s="21" t="s">
        <v>29</v>
      </c>
      <c r="J3202" s="21" t="s">
        <v>29</v>
      </c>
      <c r="K3202" s="22" t="s">
        <v>11300</v>
      </c>
      <c r="L3202" s="56">
        <v>45097</v>
      </c>
      <c r="M3202" s="40"/>
      <c r="N3202" s="40"/>
      <c r="O3202" s="42"/>
      <c r="P3202" s="40"/>
      <c r="Q3202" s="61"/>
      <c r="R3202" s="61"/>
      <c r="S3202" s="40"/>
      <c r="T3202" s="38"/>
      <c r="U3202" s="38"/>
      <c r="V3202" s="38"/>
      <c r="W3202" s="60"/>
      <c r="AB3202" s="42"/>
      <c r="AC3202" s="35"/>
      <c r="AD3202" s="38"/>
      <c r="AE3202" s="38"/>
      <c r="AF3202" s="38"/>
      <c r="AG3202" s="38"/>
      <c r="AH3202" s="60"/>
    </row>
    <row r="3203" spans="1:34" ht="15.75" customHeight="1">
      <c r="A3203" s="54" t="s">
        <v>11301</v>
      </c>
      <c r="B3203" s="18" t="s">
        <v>11302</v>
      </c>
      <c r="C3203" s="143" t="s">
        <v>24</v>
      </c>
      <c r="D3203" s="20" t="s">
        <v>11303</v>
      </c>
      <c r="E3203" s="20" t="s">
        <v>11304</v>
      </c>
      <c r="F3203" s="19" t="s">
        <v>27</v>
      </c>
      <c r="G3203" s="19" t="s">
        <v>28</v>
      </c>
      <c r="H3203" s="37" t="s">
        <v>55</v>
      </c>
      <c r="I3203" s="21" t="s">
        <v>29</v>
      </c>
      <c r="J3203" s="21" t="s">
        <v>29</v>
      </c>
      <c r="K3203" s="22" t="s">
        <v>11305</v>
      </c>
      <c r="L3203" s="56">
        <v>45097</v>
      </c>
      <c r="M3203" s="40"/>
      <c r="N3203" s="40"/>
      <c r="O3203" s="42"/>
      <c r="P3203" s="40"/>
      <c r="Q3203" s="61"/>
      <c r="R3203" s="61"/>
      <c r="S3203" s="40"/>
      <c r="T3203" s="38"/>
      <c r="U3203" s="38"/>
      <c r="V3203" s="38"/>
      <c r="W3203" s="60"/>
      <c r="AB3203" s="42"/>
      <c r="AC3203" s="35"/>
      <c r="AD3203" s="38"/>
      <c r="AE3203" s="38"/>
      <c r="AF3203" s="38"/>
      <c r="AG3203" s="38"/>
      <c r="AH3203" s="60"/>
    </row>
    <row r="3204" spans="1:34" ht="15.75" customHeight="1">
      <c r="A3204" s="114" t="s">
        <v>39</v>
      </c>
      <c r="B3204" s="18" t="s">
        <v>11306</v>
      </c>
      <c r="C3204" s="55" t="s">
        <v>87</v>
      </c>
      <c r="D3204" s="20" t="s">
        <v>11307</v>
      </c>
      <c r="E3204" s="20" t="s">
        <v>11308</v>
      </c>
      <c r="F3204" s="19" t="s">
        <v>90</v>
      </c>
      <c r="G3204" s="19" t="s">
        <v>91</v>
      </c>
      <c r="H3204" s="37" t="s">
        <v>55</v>
      </c>
      <c r="I3204" s="21" t="s">
        <v>29</v>
      </c>
      <c r="J3204" s="21" t="s">
        <v>29</v>
      </c>
      <c r="K3204" s="22" t="s">
        <v>11309</v>
      </c>
      <c r="L3204" s="56">
        <v>45097</v>
      </c>
      <c r="M3204" s="40"/>
      <c r="N3204" s="40"/>
      <c r="O3204" s="42"/>
      <c r="P3204" s="40"/>
      <c r="Q3204" s="61"/>
      <c r="R3204" s="61"/>
      <c r="S3204" s="40"/>
      <c r="T3204" s="38"/>
      <c r="U3204" s="38"/>
      <c r="V3204" s="38"/>
      <c r="W3204" s="60"/>
      <c r="AB3204" s="42"/>
      <c r="AC3204" s="35"/>
      <c r="AD3204" s="38"/>
      <c r="AE3204" s="38"/>
      <c r="AF3204" s="38"/>
      <c r="AG3204" s="38"/>
      <c r="AH3204" s="60"/>
    </row>
    <row r="3205" spans="1:34" ht="15.75" customHeight="1">
      <c r="A3205" s="38" t="s">
        <v>10522</v>
      </c>
      <c r="B3205" s="18" t="s">
        <v>11310</v>
      </c>
      <c r="C3205" s="55" t="s">
        <v>87</v>
      </c>
      <c r="D3205" s="20" t="s">
        <v>11311</v>
      </c>
      <c r="E3205" s="20" t="s">
        <v>11312</v>
      </c>
      <c r="F3205" s="19" t="s">
        <v>90</v>
      </c>
      <c r="G3205" s="19" t="s">
        <v>91</v>
      </c>
      <c r="H3205" s="37" t="s">
        <v>55</v>
      </c>
      <c r="I3205" s="21" t="s">
        <v>29</v>
      </c>
      <c r="J3205" s="21" t="s">
        <v>29</v>
      </c>
      <c r="K3205" s="22" t="s">
        <v>11313</v>
      </c>
      <c r="L3205" s="56">
        <v>45097</v>
      </c>
      <c r="M3205" s="40"/>
      <c r="N3205" s="40"/>
      <c r="O3205" s="42"/>
      <c r="P3205" s="40"/>
      <c r="Q3205" s="61"/>
      <c r="R3205" s="61"/>
      <c r="S3205" s="40"/>
      <c r="T3205" s="38"/>
      <c r="U3205" s="38"/>
      <c r="V3205" s="38"/>
      <c r="W3205" s="60"/>
      <c r="AB3205" s="42"/>
      <c r="AC3205" s="35"/>
      <c r="AD3205" s="38"/>
      <c r="AE3205" s="38"/>
      <c r="AF3205" s="38"/>
      <c r="AG3205" s="38"/>
      <c r="AH3205" s="60"/>
    </row>
    <row r="3206" spans="1:34" ht="15.75" customHeight="1">
      <c r="A3206" s="38" t="s">
        <v>8415</v>
      </c>
      <c r="B3206" s="18" t="s">
        <v>11314</v>
      </c>
      <c r="C3206" s="55" t="s">
        <v>24</v>
      </c>
      <c r="D3206" s="20" t="s">
        <v>11315</v>
      </c>
      <c r="E3206" s="20" t="s">
        <v>11316</v>
      </c>
      <c r="F3206" s="19" t="s">
        <v>27</v>
      </c>
      <c r="G3206" s="19" t="s">
        <v>28</v>
      </c>
      <c r="H3206" s="37" t="s">
        <v>55</v>
      </c>
      <c r="I3206" s="21" t="s">
        <v>29</v>
      </c>
      <c r="J3206" s="21" t="s">
        <v>29</v>
      </c>
      <c r="K3206" s="22" t="s">
        <v>11317</v>
      </c>
      <c r="L3206" s="56">
        <v>45097</v>
      </c>
      <c r="M3206" s="40"/>
      <c r="N3206" s="40"/>
      <c r="O3206" s="42"/>
      <c r="P3206" s="40"/>
      <c r="Q3206" s="61"/>
      <c r="R3206" s="61"/>
      <c r="S3206" s="40"/>
      <c r="T3206" s="38"/>
      <c r="U3206" s="38"/>
      <c r="V3206" s="38"/>
      <c r="W3206" s="60"/>
      <c r="AB3206" s="42"/>
      <c r="AC3206" s="35"/>
      <c r="AD3206" s="38"/>
      <c r="AE3206" s="38"/>
      <c r="AF3206" s="38"/>
      <c r="AG3206" s="38"/>
      <c r="AH3206" s="60"/>
    </row>
    <row r="3207" spans="1:34" ht="15.75" customHeight="1">
      <c r="A3207" s="111" t="s">
        <v>56</v>
      </c>
      <c r="B3207" s="18" t="s">
        <v>11318</v>
      </c>
      <c r="C3207" s="55" t="s">
        <v>46</v>
      </c>
      <c r="D3207" s="20" t="s">
        <v>11319</v>
      </c>
      <c r="E3207" s="20" t="s">
        <v>11320</v>
      </c>
      <c r="F3207" s="37" t="s">
        <v>49</v>
      </c>
      <c r="G3207" s="19" t="s">
        <v>50</v>
      </c>
      <c r="H3207" s="37" t="s">
        <v>55</v>
      </c>
      <c r="I3207" s="21" t="s">
        <v>29</v>
      </c>
      <c r="J3207" s="21" t="s">
        <v>29</v>
      </c>
      <c r="K3207" s="22" t="s">
        <v>11321</v>
      </c>
      <c r="L3207" s="56">
        <v>45097</v>
      </c>
      <c r="M3207" s="40"/>
      <c r="N3207" s="40"/>
      <c r="O3207" s="42"/>
      <c r="P3207" s="40"/>
      <c r="Q3207" s="61"/>
      <c r="R3207" s="61"/>
      <c r="S3207" s="40"/>
      <c r="T3207" s="38"/>
      <c r="U3207" s="38"/>
      <c r="V3207" s="38"/>
      <c r="W3207" s="60"/>
      <c r="AB3207" s="42"/>
      <c r="AC3207" s="35"/>
      <c r="AD3207" s="38"/>
      <c r="AE3207" s="38"/>
      <c r="AF3207" s="38"/>
      <c r="AG3207" s="38"/>
      <c r="AH3207" s="60"/>
    </row>
    <row r="3208" spans="1:34" ht="15.75" customHeight="1">
      <c r="A3208" s="75">
        <v>59</v>
      </c>
      <c r="B3208" s="18" t="s">
        <v>11322</v>
      </c>
      <c r="C3208" s="55" t="s">
        <v>46</v>
      </c>
      <c r="D3208" s="20" t="s">
        <v>11323</v>
      </c>
      <c r="E3208" s="20" t="s">
        <v>11324</v>
      </c>
      <c r="F3208" s="37" t="s">
        <v>49</v>
      </c>
      <c r="G3208" s="19" t="s">
        <v>50</v>
      </c>
      <c r="H3208" s="37" t="s">
        <v>55</v>
      </c>
      <c r="I3208" s="21" t="s">
        <v>29</v>
      </c>
      <c r="J3208" s="21" t="s">
        <v>29</v>
      </c>
      <c r="K3208" s="22" t="s">
        <v>11325</v>
      </c>
      <c r="L3208" s="56">
        <v>45097</v>
      </c>
      <c r="M3208" s="40"/>
      <c r="N3208" s="40"/>
      <c r="O3208" s="42"/>
      <c r="P3208" s="40"/>
      <c r="Q3208" s="61"/>
      <c r="R3208" s="61"/>
      <c r="S3208" s="40"/>
      <c r="T3208" s="38"/>
      <c r="U3208" s="38"/>
      <c r="V3208" s="38"/>
      <c r="W3208" s="60"/>
      <c r="AB3208" s="42"/>
      <c r="AC3208" s="35"/>
      <c r="AD3208" s="38"/>
      <c r="AE3208" s="38"/>
      <c r="AF3208" s="38"/>
      <c r="AG3208" s="38"/>
      <c r="AH3208" s="60"/>
    </row>
    <row r="3209" spans="1:34" ht="15.75" customHeight="1">
      <c r="A3209" s="111" t="s">
        <v>64</v>
      </c>
      <c r="B3209" s="18" t="s">
        <v>11326</v>
      </c>
      <c r="C3209" s="37" t="s">
        <v>412</v>
      </c>
      <c r="D3209" s="20" t="s">
        <v>11327</v>
      </c>
      <c r="E3209" s="20" t="s">
        <v>11328</v>
      </c>
      <c r="F3209" s="19" t="s">
        <v>414</v>
      </c>
      <c r="G3209" s="37" t="s">
        <v>415</v>
      </c>
      <c r="H3209" s="37" t="s">
        <v>55</v>
      </c>
      <c r="I3209" s="21" t="s">
        <v>233</v>
      </c>
      <c r="J3209" s="21" t="s">
        <v>233</v>
      </c>
      <c r="K3209" s="22" t="s">
        <v>11329</v>
      </c>
      <c r="L3209" s="56">
        <v>45097</v>
      </c>
      <c r="M3209" s="40"/>
      <c r="N3209" s="40"/>
      <c r="O3209" s="42"/>
      <c r="P3209" s="40"/>
      <c r="Q3209" s="61"/>
      <c r="R3209" s="61"/>
      <c r="S3209" s="40"/>
      <c r="T3209" s="38"/>
      <c r="U3209" s="38"/>
      <c r="V3209" s="38"/>
      <c r="W3209" s="60"/>
      <c r="AB3209" s="42"/>
      <c r="AC3209" s="35"/>
      <c r="AD3209" s="38"/>
      <c r="AE3209" s="38"/>
      <c r="AF3209" s="38"/>
      <c r="AG3209" s="38"/>
      <c r="AH3209" s="60"/>
    </row>
    <row r="3210" spans="1:34" ht="15.75" customHeight="1">
      <c r="A3210" s="75">
        <v>3</v>
      </c>
      <c r="B3210" s="18" t="s">
        <v>11330</v>
      </c>
      <c r="C3210" s="37" t="s">
        <v>412</v>
      </c>
      <c r="D3210" s="20" t="s">
        <v>11331</v>
      </c>
      <c r="E3210" s="20" t="s">
        <v>11332</v>
      </c>
      <c r="F3210" s="19" t="s">
        <v>414</v>
      </c>
      <c r="G3210" s="19" t="s">
        <v>415</v>
      </c>
      <c r="H3210" s="37" t="s">
        <v>55</v>
      </c>
      <c r="I3210" s="21" t="s">
        <v>233</v>
      </c>
      <c r="J3210" s="21" t="s">
        <v>233</v>
      </c>
      <c r="K3210" s="22" t="s">
        <v>11333</v>
      </c>
      <c r="L3210" s="56">
        <v>45097</v>
      </c>
      <c r="M3210" s="40"/>
      <c r="N3210" s="40"/>
      <c r="O3210" s="42"/>
      <c r="P3210" s="40"/>
      <c r="Q3210" s="61"/>
      <c r="R3210" s="61"/>
      <c r="S3210" s="40"/>
      <c r="T3210" s="38"/>
      <c r="U3210" s="38"/>
      <c r="V3210" s="38"/>
      <c r="W3210" s="60"/>
      <c r="AB3210" s="42"/>
      <c r="AC3210" s="35"/>
      <c r="AD3210" s="38"/>
      <c r="AE3210" s="38"/>
      <c r="AF3210" s="38"/>
      <c r="AG3210" s="38"/>
      <c r="AH3210" s="60"/>
    </row>
    <row r="3211" spans="1:34" ht="15.75" customHeight="1">
      <c r="A3211" s="111" t="s">
        <v>73</v>
      </c>
      <c r="B3211" s="18" t="s">
        <v>11334</v>
      </c>
      <c r="C3211" s="55" t="s">
        <v>1366</v>
      </c>
      <c r="D3211" s="20" t="s">
        <v>11335</v>
      </c>
      <c r="E3211" s="20" t="s">
        <v>11336</v>
      </c>
      <c r="F3211" s="55" t="s">
        <v>1369</v>
      </c>
      <c r="G3211" s="55" t="s">
        <v>1370</v>
      </c>
      <c r="H3211" s="37" t="s">
        <v>55</v>
      </c>
      <c r="I3211" s="21" t="s">
        <v>1371</v>
      </c>
      <c r="J3211" s="21" t="s">
        <v>1371</v>
      </c>
      <c r="K3211" s="22" t="s">
        <v>11337</v>
      </c>
      <c r="L3211" s="56">
        <v>45097</v>
      </c>
      <c r="M3211" s="40"/>
      <c r="N3211" s="40"/>
      <c r="O3211" s="42"/>
      <c r="P3211" s="40"/>
      <c r="Q3211" s="61"/>
      <c r="R3211" s="61"/>
      <c r="S3211" s="40"/>
      <c r="T3211" s="38"/>
      <c r="U3211" s="38"/>
      <c r="V3211" s="38"/>
      <c r="W3211" s="60"/>
      <c r="AB3211" s="42"/>
      <c r="AC3211" s="35"/>
      <c r="AD3211" s="38"/>
      <c r="AE3211" s="38"/>
      <c r="AF3211" s="38"/>
      <c r="AG3211" s="38"/>
      <c r="AH3211" s="60"/>
    </row>
    <row r="3212" spans="1:34" ht="15.75" customHeight="1">
      <c r="A3212" s="75">
        <v>3.3</v>
      </c>
      <c r="B3212" s="18" t="s">
        <v>11338</v>
      </c>
      <c r="C3212" s="55" t="s">
        <v>87</v>
      </c>
      <c r="D3212" s="20" t="s">
        <v>11339</v>
      </c>
      <c r="E3212" s="20" t="s">
        <v>11340</v>
      </c>
      <c r="F3212" s="19" t="s">
        <v>90</v>
      </c>
      <c r="G3212" s="19" t="s">
        <v>91</v>
      </c>
      <c r="H3212" s="37" t="s">
        <v>55</v>
      </c>
      <c r="I3212" s="21" t="s">
        <v>29</v>
      </c>
      <c r="J3212" s="21" t="s">
        <v>29</v>
      </c>
      <c r="K3212" s="22" t="s">
        <v>11341</v>
      </c>
      <c r="L3212" s="56">
        <v>45097</v>
      </c>
      <c r="M3212" s="40"/>
      <c r="N3212" s="40"/>
      <c r="O3212" s="42"/>
      <c r="P3212" s="40"/>
      <c r="Q3212" s="61"/>
      <c r="R3212" s="61"/>
      <c r="S3212" s="40"/>
      <c r="T3212" s="38"/>
      <c r="U3212" s="38"/>
      <c r="V3212" s="38"/>
      <c r="W3212" s="60"/>
      <c r="AB3212" s="42"/>
      <c r="AC3212" s="35"/>
      <c r="AD3212" s="38"/>
      <c r="AE3212" s="38"/>
      <c r="AF3212" s="38"/>
      <c r="AG3212" s="38"/>
      <c r="AH3212" s="60"/>
    </row>
    <row r="3213" spans="1:34" ht="15.75" customHeight="1">
      <c r="A3213" s="111" t="s">
        <v>82</v>
      </c>
      <c r="B3213" s="29" t="s">
        <v>11342</v>
      </c>
      <c r="C3213" s="55" t="s">
        <v>87</v>
      </c>
      <c r="D3213" s="20" t="s">
        <v>11343</v>
      </c>
      <c r="E3213" s="20" t="s">
        <v>11344</v>
      </c>
      <c r="F3213" s="19" t="s">
        <v>90</v>
      </c>
      <c r="G3213" s="19" t="s">
        <v>91</v>
      </c>
      <c r="H3213" s="37" t="s">
        <v>55</v>
      </c>
      <c r="I3213" s="21" t="s">
        <v>29</v>
      </c>
      <c r="J3213" s="21" t="s">
        <v>29</v>
      </c>
      <c r="K3213" s="22" t="s">
        <v>11345</v>
      </c>
      <c r="L3213" s="56">
        <v>45097</v>
      </c>
      <c r="M3213" s="40"/>
      <c r="N3213" s="40"/>
      <c r="O3213" s="42"/>
      <c r="P3213" s="40"/>
      <c r="Q3213" s="61"/>
      <c r="R3213" s="61"/>
      <c r="S3213" s="40"/>
      <c r="T3213" s="38"/>
      <c r="U3213" s="38"/>
      <c r="V3213" s="38"/>
      <c r="W3213" s="60"/>
      <c r="AB3213" s="42"/>
      <c r="AC3213" s="35"/>
      <c r="AD3213" s="38"/>
      <c r="AE3213" s="38"/>
      <c r="AF3213" s="38"/>
      <c r="AG3213" s="38"/>
      <c r="AH3213" s="60"/>
    </row>
    <row r="3214" spans="1:34" ht="15.75" customHeight="1">
      <c r="A3214" s="75" t="s">
        <v>11346</v>
      </c>
      <c r="B3214" s="36" t="s">
        <v>11347</v>
      </c>
      <c r="C3214" s="19" t="s">
        <v>121</v>
      </c>
      <c r="D3214" s="20" t="s">
        <v>11348</v>
      </c>
      <c r="E3214" s="20" t="s">
        <v>11349</v>
      </c>
      <c r="F3214" s="37" t="s">
        <v>1489</v>
      </c>
      <c r="G3214" s="55" t="s">
        <v>452</v>
      </c>
      <c r="H3214" s="37" t="s">
        <v>55</v>
      </c>
      <c r="I3214" s="21" t="s">
        <v>1371</v>
      </c>
      <c r="J3214" s="21" t="s">
        <v>452</v>
      </c>
      <c r="K3214" s="22" t="s">
        <v>11350</v>
      </c>
      <c r="L3214" s="56">
        <v>45097</v>
      </c>
      <c r="M3214" s="40"/>
      <c r="N3214" s="40"/>
      <c r="O3214" s="42"/>
      <c r="P3214" s="40"/>
      <c r="Q3214" s="61"/>
      <c r="R3214" s="61"/>
      <c r="S3214" s="40"/>
      <c r="T3214" s="38"/>
      <c r="U3214" s="38"/>
      <c r="V3214" s="38"/>
      <c r="W3214" s="60"/>
      <c r="AB3214" s="42"/>
      <c r="AC3214" s="35"/>
      <c r="AD3214" s="38"/>
      <c r="AE3214" s="38"/>
      <c r="AF3214" s="38"/>
      <c r="AG3214" s="38"/>
      <c r="AH3214" s="60"/>
    </row>
    <row r="3215" spans="1:34" ht="15.75" customHeight="1">
      <c r="A3215" s="111" t="s">
        <v>92</v>
      </c>
      <c r="B3215" s="18" t="s">
        <v>11351</v>
      </c>
      <c r="C3215" s="55" t="s">
        <v>46</v>
      </c>
      <c r="D3215" s="20" t="s">
        <v>11352</v>
      </c>
      <c r="E3215" s="20" t="s">
        <v>11353</v>
      </c>
      <c r="F3215" s="37" t="s">
        <v>49</v>
      </c>
      <c r="G3215" s="19" t="s">
        <v>50</v>
      </c>
      <c r="H3215" s="37" t="s">
        <v>55</v>
      </c>
      <c r="I3215" s="21" t="s">
        <v>29</v>
      </c>
      <c r="J3215" s="21" t="s">
        <v>29</v>
      </c>
      <c r="K3215" s="22" t="s">
        <v>11354</v>
      </c>
      <c r="L3215" s="56">
        <v>45097</v>
      </c>
      <c r="M3215" s="40"/>
      <c r="N3215" s="40"/>
      <c r="O3215" s="42"/>
      <c r="P3215" s="40"/>
      <c r="Q3215" s="61"/>
      <c r="R3215" s="61"/>
      <c r="S3215" s="40"/>
      <c r="T3215" s="38"/>
      <c r="U3215" s="38"/>
      <c r="V3215" s="38"/>
      <c r="W3215" s="60"/>
      <c r="AB3215" s="42"/>
      <c r="AC3215" s="35"/>
      <c r="AD3215" s="38"/>
      <c r="AE3215" s="38"/>
      <c r="AF3215" s="38"/>
      <c r="AG3215" s="38"/>
      <c r="AH3215" s="60"/>
    </row>
    <row r="3216" spans="1:34" ht="15.75" customHeight="1">
      <c r="A3216" s="112">
        <v>889</v>
      </c>
      <c r="B3216" s="34" t="s">
        <v>11355</v>
      </c>
      <c r="C3216" s="55" t="s">
        <v>87</v>
      </c>
      <c r="D3216" s="20" t="s">
        <v>11356</v>
      </c>
      <c r="E3216" s="20" t="s">
        <v>11357</v>
      </c>
      <c r="F3216" s="37" t="s">
        <v>49</v>
      </c>
      <c r="G3216" s="19" t="s">
        <v>50</v>
      </c>
      <c r="H3216" s="37" t="s">
        <v>55</v>
      </c>
      <c r="I3216" s="21" t="s">
        <v>29</v>
      </c>
      <c r="J3216" s="21" t="s">
        <v>29</v>
      </c>
      <c r="K3216" s="22" t="s">
        <v>11358</v>
      </c>
      <c r="L3216" s="56">
        <v>45097</v>
      </c>
      <c r="M3216" s="40"/>
      <c r="N3216" s="40"/>
      <c r="O3216" s="42"/>
      <c r="P3216" s="40"/>
      <c r="Q3216" s="61"/>
      <c r="R3216" s="61"/>
      <c r="S3216" s="40"/>
      <c r="T3216" s="38"/>
      <c r="U3216" s="38"/>
      <c r="V3216" s="38"/>
      <c r="W3216" s="60"/>
      <c r="AB3216" s="42"/>
      <c r="AC3216" s="35"/>
      <c r="AD3216" s="38"/>
      <c r="AE3216" s="38"/>
      <c r="AF3216" s="38"/>
      <c r="AG3216" s="38"/>
      <c r="AH3216" s="60"/>
    </row>
    <row r="3217" spans="1:34" ht="15.75" customHeight="1">
      <c r="A3217" s="111" t="s">
        <v>100</v>
      </c>
      <c r="B3217" s="18" t="s">
        <v>11359</v>
      </c>
      <c r="C3217" s="55" t="s">
        <v>24</v>
      </c>
      <c r="D3217" s="20" t="s">
        <v>11360</v>
      </c>
      <c r="E3217" s="20" t="s">
        <v>11361</v>
      </c>
      <c r="F3217" s="19" t="s">
        <v>27</v>
      </c>
      <c r="G3217" s="19" t="s">
        <v>28</v>
      </c>
      <c r="H3217" s="37" t="s">
        <v>55</v>
      </c>
      <c r="I3217" s="21" t="s">
        <v>29</v>
      </c>
      <c r="J3217" s="21" t="s">
        <v>29</v>
      </c>
      <c r="K3217" s="22" t="s">
        <v>11362</v>
      </c>
      <c r="L3217" s="56">
        <v>45097</v>
      </c>
      <c r="M3217" s="40"/>
      <c r="N3217" s="40"/>
      <c r="O3217" s="42"/>
      <c r="P3217" s="40"/>
      <c r="Q3217" s="61"/>
      <c r="R3217" s="61"/>
      <c r="S3217" s="40"/>
      <c r="T3217" s="38"/>
      <c r="U3217" s="38"/>
      <c r="V3217" s="38"/>
      <c r="W3217" s="60"/>
      <c r="AB3217" s="42"/>
      <c r="AC3217" s="35"/>
      <c r="AD3217" s="38"/>
      <c r="AE3217" s="38"/>
      <c r="AF3217" s="38"/>
      <c r="AG3217" s="38"/>
      <c r="AH3217" s="60"/>
    </row>
    <row r="3218" spans="1:34" ht="15.75" customHeight="1">
      <c r="A3218" s="75">
        <v>161</v>
      </c>
      <c r="B3218" s="34" t="s">
        <v>11363</v>
      </c>
      <c r="C3218" s="55" t="s">
        <v>87</v>
      </c>
      <c r="D3218" s="20" t="s">
        <v>11364</v>
      </c>
      <c r="E3218" s="20" t="s">
        <v>11365</v>
      </c>
      <c r="F3218" s="37" t="s">
        <v>49</v>
      </c>
      <c r="G3218" s="19" t="s">
        <v>50</v>
      </c>
      <c r="H3218" s="37" t="s">
        <v>55</v>
      </c>
      <c r="I3218" s="21" t="s">
        <v>29</v>
      </c>
      <c r="J3218" s="21" t="s">
        <v>29</v>
      </c>
      <c r="K3218" s="22" t="s">
        <v>11366</v>
      </c>
      <c r="L3218" s="56">
        <v>45097</v>
      </c>
      <c r="M3218" s="40"/>
      <c r="N3218" s="40"/>
      <c r="O3218" s="42"/>
      <c r="P3218" s="40"/>
      <c r="Q3218" s="61"/>
      <c r="R3218" s="61"/>
      <c r="S3218" s="40"/>
      <c r="T3218" s="38"/>
      <c r="U3218" s="38"/>
      <c r="V3218" s="38"/>
      <c r="W3218" s="60"/>
      <c r="AB3218" s="42"/>
      <c r="AC3218" s="35"/>
      <c r="AD3218" s="38"/>
      <c r="AE3218" s="38"/>
      <c r="AF3218" s="38"/>
      <c r="AG3218" s="38"/>
      <c r="AH3218" s="60"/>
    </row>
    <row r="3219" spans="1:34" ht="15.75" customHeight="1">
      <c r="A3219" s="35"/>
      <c r="B3219" s="18" t="s">
        <v>11367</v>
      </c>
      <c r="C3219" s="55" t="s">
        <v>24</v>
      </c>
      <c r="D3219" s="20" t="s">
        <v>11368</v>
      </c>
      <c r="E3219" s="20" t="s">
        <v>11369</v>
      </c>
      <c r="F3219" s="19" t="s">
        <v>27</v>
      </c>
      <c r="G3219" s="19" t="s">
        <v>28</v>
      </c>
      <c r="H3219" s="37" t="s">
        <v>55</v>
      </c>
      <c r="I3219" s="21" t="s">
        <v>29</v>
      </c>
      <c r="J3219" s="21" t="s">
        <v>29</v>
      </c>
      <c r="K3219" s="22" t="s">
        <v>11370</v>
      </c>
      <c r="L3219" s="56">
        <v>45097</v>
      </c>
      <c r="M3219" s="40"/>
      <c r="N3219" s="40"/>
      <c r="O3219" s="42"/>
      <c r="P3219" s="40"/>
      <c r="Q3219" s="61"/>
      <c r="R3219" s="61"/>
      <c r="S3219" s="40"/>
      <c r="T3219" s="38"/>
      <c r="U3219" s="38"/>
      <c r="V3219" s="38"/>
      <c r="W3219" s="60"/>
      <c r="AB3219" s="42"/>
      <c r="AC3219" s="35"/>
      <c r="AD3219" s="38"/>
      <c r="AE3219" s="38"/>
      <c r="AF3219" s="38"/>
      <c r="AG3219" s="38"/>
      <c r="AH3219" s="60"/>
    </row>
    <row r="3220" spans="1:34" ht="15.75" customHeight="1">
      <c r="A3220" s="35"/>
      <c r="B3220" s="18" t="s">
        <v>11371</v>
      </c>
      <c r="C3220" s="55" t="s">
        <v>1638</v>
      </c>
      <c r="D3220" s="20" t="s">
        <v>11372</v>
      </c>
      <c r="E3220" s="20" t="s">
        <v>11373</v>
      </c>
      <c r="F3220" s="37" t="s">
        <v>1399</v>
      </c>
      <c r="G3220" s="19" t="s">
        <v>1641</v>
      </c>
      <c r="H3220" s="37" t="s">
        <v>55</v>
      </c>
      <c r="I3220" s="21" t="s">
        <v>1371</v>
      </c>
      <c r="J3220" s="21" t="s">
        <v>1371</v>
      </c>
      <c r="K3220" s="22" t="s">
        <v>11374</v>
      </c>
      <c r="L3220" s="56">
        <v>45097</v>
      </c>
      <c r="M3220" s="40"/>
      <c r="N3220" s="40"/>
      <c r="O3220" s="42"/>
      <c r="P3220" s="40"/>
      <c r="Q3220" s="61"/>
      <c r="R3220" s="61"/>
      <c r="S3220" s="40"/>
      <c r="T3220" s="38"/>
      <c r="U3220" s="38"/>
      <c r="V3220" s="38"/>
      <c r="W3220" s="60"/>
      <c r="AB3220" s="42"/>
      <c r="AC3220" s="35"/>
      <c r="AD3220" s="38"/>
      <c r="AE3220" s="38"/>
      <c r="AF3220" s="38"/>
      <c r="AG3220" s="38"/>
      <c r="AH3220" s="60"/>
    </row>
    <row r="3221" spans="1:34" ht="15.75" customHeight="1">
      <c r="A3221" s="145"/>
      <c r="B3221" s="18" t="s">
        <v>11375</v>
      </c>
      <c r="C3221" s="55" t="s">
        <v>1638</v>
      </c>
      <c r="D3221" s="20" t="s">
        <v>11376</v>
      </c>
      <c r="E3221" s="20" t="s">
        <v>11377</v>
      </c>
      <c r="F3221" s="37" t="s">
        <v>1399</v>
      </c>
      <c r="G3221" s="19" t="s">
        <v>1641</v>
      </c>
      <c r="H3221" s="37" t="s">
        <v>55</v>
      </c>
      <c r="I3221" s="21" t="s">
        <v>1371</v>
      </c>
      <c r="J3221" s="21" t="s">
        <v>1371</v>
      </c>
      <c r="K3221" s="22" t="s">
        <v>11378</v>
      </c>
      <c r="L3221" s="56">
        <v>45097</v>
      </c>
      <c r="M3221" s="40"/>
      <c r="N3221" s="40"/>
      <c r="O3221" s="42"/>
      <c r="P3221" s="40"/>
      <c r="Q3221" s="61"/>
      <c r="R3221" s="61"/>
      <c r="S3221" s="40"/>
      <c r="T3221" s="38"/>
      <c r="U3221" s="38"/>
      <c r="V3221" s="38"/>
      <c r="W3221" s="60"/>
      <c r="AB3221" s="42"/>
      <c r="AC3221" s="35"/>
      <c r="AD3221" s="38"/>
      <c r="AE3221" s="38"/>
      <c r="AF3221" s="38"/>
      <c r="AG3221" s="38"/>
      <c r="AH3221" s="60"/>
    </row>
    <row r="3222" spans="1:34" ht="15.75" customHeight="1">
      <c r="A3222" s="146"/>
      <c r="B3222" s="18" t="s">
        <v>11379</v>
      </c>
      <c r="C3222" s="55" t="s">
        <v>46</v>
      </c>
      <c r="D3222" s="20" t="s">
        <v>11380</v>
      </c>
      <c r="E3222" s="20" t="s">
        <v>11381</v>
      </c>
      <c r="F3222" s="37" t="s">
        <v>49</v>
      </c>
      <c r="G3222" s="19" t="s">
        <v>50</v>
      </c>
      <c r="H3222" s="37" t="s">
        <v>55</v>
      </c>
      <c r="I3222" s="21" t="s">
        <v>29</v>
      </c>
      <c r="J3222" s="21" t="s">
        <v>29</v>
      </c>
      <c r="K3222" s="22" t="s">
        <v>11382</v>
      </c>
      <c r="L3222" s="56">
        <v>45097</v>
      </c>
      <c r="M3222" s="40"/>
      <c r="N3222" s="40"/>
      <c r="O3222" s="42"/>
      <c r="P3222" s="40"/>
      <c r="Q3222" s="61"/>
      <c r="R3222" s="61"/>
      <c r="S3222" s="40"/>
      <c r="T3222" s="38"/>
      <c r="U3222" s="38"/>
      <c r="V3222" s="38"/>
      <c r="W3222" s="60"/>
      <c r="AB3222" s="42"/>
      <c r="AC3222" s="35"/>
      <c r="AD3222" s="38"/>
      <c r="AE3222" s="38"/>
      <c r="AF3222" s="38"/>
      <c r="AG3222" s="38"/>
      <c r="AH3222" s="60"/>
    </row>
    <row r="3223" spans="1:34" ht="15.75" customHeight="1">
      <c r="A3223" s="146"/>
      <c r="B3223" s="18" t="s">
        <v>11383</v>
      </c>
      <c r="C3223" s="55" t="s">
        <v>46</v>
      </c>
      <c r="D3223" s="20" t="s">
        <v>11384</v>
      </c>
      <c r="E3223" s="20" t="s">
        <v>11385</v>
      </c>
      <c r="F3223" s="37" t="s">
        <v>49</v>
      </c>
      <c r="G3223" s="19" t="s">
        <v>50</v>
      </c>
      <c r="H3223" s="37" t="s">
        <v>55</v>
      </c>
      <c r="I3223" s="21" t="s">
        <v>29</v>
      </c>
      <c r="J3223" s="21" t="s">
        <v>29</v>
      </c>
      <c r="K3223" s="22" t="s">
        <v>11386</v>
      </c>
      <c r="L3223" s="56">
        <v>45097</v>
      </c>
      <c r="M3223" s="40"/>
      <c r="N3223" s="40"/>
      <c r="O3223" s="42"/>
      <c r="P3223" s="40"/>
      <c r="Q3223" s="61"/>
      <c r="R3223" s="61"/>
      <c r="S3223" s="40"/>
      <c r="T3223" s="38"/>
      <c r="U3223" s="38"/>
      <c r="V3223" s="38"/>
      <c r="W3223" s="60"/>
      <c r="AB3223" s="42"/>
      <c r="AC3223" s="35"/>
      <c r="AD3223" s="38"/>
      <c r="AE3223" s="38"/>
      <c r="AF3223" s="38"/>
      <c r="AG3223" s="38"/>
      <c r="AH3223" s="60"/>
    </row>
    <row r="3224" spans="1:34" ht="15.75" customHeight="1">
      <c r="A3224" s="146"/>
      <c r="B3224" s="18" t="s">
        <v>11387</v>
      </c>
      <c r="C3224" s="37" t="s">
        <v>412</v>
      </c>
      <c r="D3224" s="20" t="s">
        <v>11388</v>
      </c>
      <c r="E3224" s="20"/>
      <c r="F3224" s="19" t="s">
        <v>414</v>
      </c>
      <c r="G3224" s="37" t="s">
        <v>415</v>
      </c>
      <c r="H3224" s="37" t="s">
        <v>55</v>
      </c>
      <c r="I3224" s="21" t="s">
        <v>233</v>
      </c>
      <c r="J3224" s="21" t="s">
        <v>233</v>
      </c>
      <c r="K3224" s="22"/>
      <c r="L3224" s="56">
        <v>45097</v>
      </c>
      <c r="M3224" s="40"/>
      <c r="N3224" s="40"/>
      <c r="O3224" s="42"/>
      <c r="P3224" s="40"/>
      <c r="Q3224" s="61"/>
      <c r="R3224" s="61"/>
      <c r="S3224" s="40"/>
      <c r="T3224" s="38"/>
      <c r="U3224" s="38"/>
      <c r="V3224" s="38"/>
      <c r="W3224" s="60"/>
      <c r="AB3224" s="42"/>
      <c r="AC3224" s="35"/>
      <c r="AD3224" s="38"/>
      <c r="AE3224" s="38"/>
      <c r="AF3224" s="38"/>
      <c r="AG3224" s="38"/>
      <c r="AH3224" s="60"/>
    </row>
    <row r="3225" spans="1:34" ht="15.75" customHeight="1">
      <c r="A3225" s="146"/>
      <c r="B3225" s="29" t="s">
        <v>11389</v>
      </c>
      <c r="C3225" s="55" t="s">
        <v>46</v>
      </c>
      <c r="D3225" s="20" t="s">
        <v>11390</v>
      </c>
      <c r="E3225" s="20" t="s">
        <v>11391</v>
      </c>
      <c r="F3225" s="55" t="s">
        <v>286</v>
      </c>
      <c r="G3225" s="19" t="s">
        <v>50</v>
      </c>
      <c r="H3225" s="37" t="s">
        <v>55</v>
      </c>
      <c r="I3225" s="21" t="s">
        <v>286</v>
      </c>
      <c r="J3225" s="21" t="s">
        <v>29</v>
      </c>
      <c r="K3225" s="22" t="s">
        <v>11392</v>
      </c>
      <c r="L3225" s="56"/>
      <c r="M3225" s="40"/>
      <c r="N3225" s="40"/>
      <c r="O3225" s="42"/>
      <c r="P3225" s="40"/>
      <c r="Q3225" s="61"/>
      <c r="R3225" s="61"/>
      <c r="S3225" s="40"/>
      <c r="T3225" s="38"/>
      <c r="U3225" s="38"/>
      <c r="V3225" s="38"/>
      <c r="W3225" s="60"/>
      <c r="AB3225" s="42"/>
      <c r="AC3225" s="35"/>
      <c r="AD3225" s="38"/>
      <c r="AE3225" s="38"/>
      <c r="AF3225" s="38"/>
      <c r="AG3225" s="38"/>
      <c r="AH3225" s="60"/>
    </row>
    <row r="3226" spans="1:34" ht="15.75" customHeight="1">
      <c r="A3226" s="146"/>
      <c r="B3226" s="18" t="s">
        <v>11393</v>
      </c>
      <c r="C3226" s="55" t="s">
        <v>87</v>
      </c>
      <c r="D3226" s="20" t="s">
        <v>11394</v>
      </c>
      <c r="E3226" s="20" t="s">
        <v>11395</v>
      </c>
      <c r="F3226" s="19" t="s">
        <v>90</v>
      </c>
      <c r="G3226" s="19" t="s">
        <v>91</v>
      </c>
      <c r="H3226" s="37" t="s">
        <v>55</v>
      </c>
      <c r="I3226" s="21" t="s">
        <v>29</v>
      </c>
      <c r="J3226" s="21" t="s">
        <v>29</v>
      </c>
      <c r="K3226" s="22" t="s">
        <v>11396</v>
      </c>
      <c r="L3226" s="56">
        <v>45097</v>
      </c>
      <c r="M3226" s="40"/>
      <c r="N3226" s="40"/>
      <c r="O3226" s="42"/>
      <c r="P3226" s="40"/>
      <c r="Q3226" s="61"/>
      <c r="R3226" s="61"/>
      <c r="S3226" s="40"/>
      <c r="T3226" s="38"/>
      <c r="U3226" s="38"/>
      <c r="V3226" s="38"/>
      <c r="W3226" s="60"/>
      <c r="AB3226" s="42"/>
      <c r="AC3226" s="35"/>
      <c r="AD3226" s="38"/>
      <c r="AE3226" s="38"/>
      <c r="AF3226" s="38"/>
      <c r="AG3226" s="38"/>
      <c r="AH3226" s="60"/>
    </row>
    <row r="3227" spans="1:34" ht="15.75" customHeight="1">
      <c r="A3227" s="146"/>
      <c r="B3227" s="18" t="s">
        <v>11397</v>
      </c>
      <c r="C3227" s="55" t="s">
        <v>87</v>
      </c>
      <c r="D3227" s="20" t="s">
        <v>11398</v>
      </c>
      <c r="E3227" s="20" t="s">
        <v>11399</v>
      </c>
      <c r="F3227" s="19" t="s">
        <v>90</v>
      </c>
      <c r="G3227" s="19" t="s">
        <v>91</v>
      </c>
      <c r="H3227" s="37" t="s">
        <v>55</v>
      </c>
      <c r="I3227" s="21" t="s">
        <v>29</v>
      </c>
      <c r="J3227" s="21" t="s">
        <v>29</v>
      </c>
      <c r="K3227" s="22" t="s">
        <v>11400</v>
      </c>
      <c r="L3227" s="56">
        <v>45097</v>
      </c>
      <c r="M3227" s="40"/>
      <c r="N3227" s="40"/>
      <c r="O3227" s="42"/>
      <c r="P3227" s="40"/>
      <c r="Q3227" s="61"/>
      <c r="R3227" s="61"/>
      <c r="S3227" s="40"/>
      <c r="T3227" s="38"/>
      <c r="U3227" s="38"/>
      <c r="V3227" s="38"/>
      <c r="W3227" s="60"/>
      <c r="AB3227" s="42"/>
      <c r="AC3227" s="35"/>
      <c r="AD3227" s="38"/>
      <c r="AE3227" s="38"/>
      <c r="AF3227" s="38"/>
      <c r="AG3227" s="38"/>
      <c r="AH3227" s="60"/>
    </row>
    <row r="3228" spans="1:34" ht="15.75" customHeight="1">
      <c r="A3228" s="146"/>
      <c r="B3228" s="18" t="s">
        <v>11401</v>
      </c>
      <c r="C3228" s="55" t="s">
        <v>24</v>
      </c>
      <c r="D3228" s="20" t="s">
        <v>11402</v>
      </c>
      <c r="E3228" s="20" t="s">
        <v>11403</v>
      </c>
      <c r="F3228" s="19" t="s">
        <v>27</v>
      </c>
      <c r="G3228" s="19" t="s">
        <v>28</v>
      </c>
      <c r="H3228" s="37" t="s">
        <v>55</v>
      </c>
      <c r="I3228" s="21" t="s">
        <v>29</v>
      </c>
      <c r="J3228" s="21" t="s">
        <v>29</v>
      </c>
      <c r="K3228" s="22" t="s">
        <v>11404</v>
      </c>
      <c r="L3228" s="56">
        <v>45097</v>
      </c>
      <c r="M3228" s="40"/>
      <c r="N3228" s="40"/>
      <c r="O3228" s="42"/>
      <c r="P3228" s="40"/>
      <c r="Q3228" s="61"/>
      <c r="R3228" s="61"/>
      <c r="S3228" s="40"/>
      <c r="T3228" s="38"/>
      <c r="U3228" s="38"/>
      <c r="V3228" s="38"/>
      <c r="W3228" s="60"/>
      <c r="AB3228" s="42"/>
      <c r="AC3228" s="35"/>
      <c r="AD3228" s="38"/>
      <c r="AE3228" s="38"/>
      <c r="AF3228" s="38"/>
      <c r="AG3228" s="38"/>
      <c r="AH3228" s="60"/>
    </row>
    <row r="3229" spans="1:34" ht="15.75" customHeight="1">
      <c r="A3229" s="146"/>
      <c r="B3229" s="18" t="s">
        <v>11405</v>
      </c>
      <c r="C3229" s="55" t="s">
        <v>24</v>
      </c>
      <c r="D3229" s="20" t="s">
        <v>11406</v>
      </c>
      <c r="E3229" s="20" t="s">
        <v>11407</v>
      </c>
      <c r="F3229" s="19" t="s">
        <v>27</v>
      </c>
      <c r="G3229" s="19" t="s">
        <v>28</v>
      </c>
      <c r="H3229" s="37" t="s">
        <v>55</v>
      </c>
      <c r="I3229" s="21" t="s">
        <v>29</v>
      </c>
      <c r="J3229" s="21" t="s">
        <v>29</v>
      </c>
      <c r="K3229" s="22" t="s">
        <v>11408</v>
      </c>
      <c r="L3229" s="56">
        <v>45097</v>
      </c>
      <c r="M3229" s="40"/>
      <c r="N3229" s="40"/>
      <c r="O3229" s="42"/>
      <c r="P3229" s="40"/>
      <c r="Q3229" s="61"/>
      <c r="R3229" s="61"/>
      <c r="S3229" s="40"/>
      <c r="T3229" s="38"/>
      <c r="U3229" s="38"/>
      <c r="V3229" s="38"/>
      <c r="W3229" s="60"/>
      <c r="AB3229" s="42"/>
      <c r="AC3229" s="35"/>
      <c r="AD3229" s="38"/>
      <c r="AE3229" s="38"/>
      <c r="AF3229" s="38"/>
      <c r="AG3229" s="38"/>
      <c r="AH3229" s="60"/>
    </row>
    <row r="3230" spans="1:34" ht="15.75" customHeight="1">
      <c r="A3230" s="146"/>
      <c r="B3230" s="18" t="s">
        <v>11409</v>
      </c>
      <c r="C3230" s="55" t="s">
        <v>24</v>
      </c>
      <c r="D3230" s="20" t="s">
        <v>11410</v>
      </c>
      <c r="E3230" s="20" t="s">
        <v>11411</v>
      </c>
      <c r="F3230" s="19" t="s">
        <v>27</v>
      </c>
      <c r="G3230" s="19" t="s">
        <v>28</v>
      </c>
      <c r="H3230" s="19" t="s">
        <v>36</v>
      </c>
      <c r="I3230" s="21" t="s">
        <v>29</v>
      </c>
      <c r="J3230" s="21" t="s">
        <v>29</v>
      </c>
      <c r="K3230" s="22" t="s">
        <v>11412</v>
      </c>
      <c r="L3230" s="56">
        <v>45097</v>
      </c>
      <c r="M3230" s="40"/>
      <c r="N3230" s="40"/>
      <c r="O3230" s="42"/>
      <c r="P3230" s="40"/>
      <c r="Q3230" s="61"/>
      <c r="R3230" s="61"/>
      <c r="S3230" s="40"/>
      <c r="T3230" s="38"/>
      <c r="U3230" s="38"/>
      <c r="V3230" s="38"/>
      <c r="W3230" s="60"/>
      <c r="AB3230" s="42"/>
      <c r="AC3230" s="35"/>
      <c r="AD3230" s="38"/>
      <c r="AE3230" s="38"/>
      <c r="AF3230" s="38"/>
      <c r="AG3230" s="38"/>
      <c r="AH3230" s="60"/>
    </row>
    <row r="3231" spans="1:34" ht="15.75" customHeight="1">
      <c r="A3231" s="146"/>
      <c r="B3231" s="18" t="s">
        <v>11413</v>
      </c>
      <c r="C3231" s="55" t="s">
        <v>46</v>
      </c>
      <c r="D3231" s="20" t="s">
        <v>11414</v>
      </c>
      <c r="E3231" s="20" t="s">
        <v>11415</v>
      </c>
      <c r="F3231" s="37" t="s">
        <v>49</v>
      </c>
      <c r="G3231" s="19" t="s">
        <v>50</v>
      </c>
      <c r="H3231" s="37" t="s">
        <v>55</v>
      </c>
      <c r="I3231" s="21" t="s">
        <v>29</v>
      </c>
      <c r="J3231" s="21" t="s">
        <v>29</v>
      </c>
      <c r="K3231" s="22" t="s">
        <v>11416</v>
      </c>
      <c r="L3231" s="56">
        <v>45097</v>
      </c>
      <c r="M3231" s="40"/>
      <c r="N3231" s="40"/>
      <c r="O3231" s="42"/>
      <c r="P3231" s="40"/>
      <c r="Q3231" s="61"/>
      <c r="R3231" s="61"/>
      <c r="S3231" s="40"/>
      <c r="T3231" s="38"/>
      <c r="U3231" s="38"/>
      <c r="V3231" s="38"/>
      <c r="W3231" s="60"/>
      <c r="AB3231" s="42"/>
      <c r="AC3231" s="35"/>
      <c r="AD3231" s="38"/>
      <c r="AE3231" s="38"/>
      <c r="AF3231" s="38"/>
      <c r="AG3231" s="38"/>
      <c r="AH3231" s="60"/>
    </row>
    <row r="3232" spans="1:34" ht="15.75" customHeight="1">
      <c r="A3232" s="146"/>
      <c r="B3232" s="18" t="s">
        <v>11417</v>
      </c>
      <c r="C3232" s="55" t="s">
        <v>1638</v>
      </c>
      <c r="D3232" s="20" t="s">
        <v>11418</v>
      </c>
      <c r="E3232" s="20" t="s">
        <v>11419</v>
      </c>
      <c r="F3232" s="37" t="s">
        <v>1399</v>
      </c>
      <c r="G3232" s="19" t="s">
        <v>1641</v>
      </c>
      <c r="H3232" s="37" t="s">
        <v>55</v>
      </c>
      <c r="I3232" s="21" t="s">
        <v>1371</v>
      </c>
      <c r="J3232" s="21" t="s">
        <v>1371</v>
      </c>
      <c r="K3232" s="22" t="s">
        <v>11420</v>
      </c>
      <c r="L3232" s="56">
        <v>45097</v>
      </c>
      <c r="M3232" s="40"/>
      <c r="N3232" s="40"/>
      <c r="O3232" s="42"/>
      <c r="P3232" s="40"/>
      <c r="Q3232" s="61"/>
      <c r="R3232" s="61"/>
      <c r="S3232" s="40"/>
      <c r="T3232" s="38"/>
      <c r="U3232" s="38"/>
      <c r="V3232" s="38"/>
      <c r="W3232" s="60"/>
      <c r="AB3232" s="42"/>
      <c r="AC3232" s="35"/>
      <c r="AD3232" s="38"/>
      <c r="AE3232" s="38"/>
      <c r="AF3232" s="38"/>
      <c r="AG3232" s="38"/>
      <c r="AH3232" s="60"/>
    </row>
    <row r="3233" spans="1:34" ht="15.75" customHeight="1">
      <c r="A3233" s="146"/>
      <c r="B3233" s="18" t="s">
        <v>11421</v>
      </c>
      <c r="C3233" s="55" t="s">
        <v>1366</v>
      </c>
      <c r="D3233" s="20" t="s">
        <v>11422</v>
      </c>
      <c r="E3233" s="20"/>
      <c r="F3233" s="55" t="s">
        <v>1369</v>
      </c>
      <c r="G3233" s="55" t="s">
        <v>1370</v>
      </c>
      <c r="H3233" s="37" t="s">
        <v>55</v>
      </c>
      <c r="I3233" s="21" t="s">
        <v>1371</v>
      </c>
      <c r="J3233" s="21" t="s">
        <v>1371</v>
      </c>
      <c r="K3233" s="22"/>
      <c r="L3233" s="56">
        <v>45097</v>
      </c>
      <c r="M3233" s="40"/>
      <c r="N3233" s="40"/>
      <c r="O3233" s="42"/>
      <c r="P3233" s="40"/>
      <c r="Q3233" s="61"/>
      <c r="R3233" s="61"/>
      <c r="S3233" s="40"/>
      <c r="T3233" s="38"/>
      <c r="U3233" s="38"/>
      <c r="V3233" s="38"/>
      <c r="W3233" s="60"/>
      <c r="AB3233" s="42"/>
      <c r="AC3233" s="35"/>
      <c r="AD3233" s="38"/>
      <c r="AE3233" s="38"/>
      <c r="AF3233" s="38"/>
      <c r="AG3233" s="38"/>
      <c r="AH3233" s="60"/>
    </row>
    <row r="3234" spans="1:34" ht="15.75" customHeight="1">
      <c r="A3234" s="146"/>
      <c r="B3234" s="36" t="s">
        <v>11423</v>
      </c>
      <c r="C3234" s="19" t="s">
        <v>121</v>
      </c>
      <c r="D3234" s="20" t="s">
        <v>11424</v>
      </c>
      <c r="E3234" s="20" t="s">
        <v>11425</v>
      </c>
      <c r="F3234" s="37" t="s">
        <v>1489</v>
      </c>
      <c r="G3234" s="55" t="s">
        <v>452</v>
      </c>
      <c r="H3234" s="37" t="s">
        <v>55</v>
      </c>
      <c r="I3234" s="21" t="s">
        <v>1371</v>
      </c>
      <c r="J3234" s="21" t="s">
        <v>452</v>
      </c>
      <c r="K3234" s="22" t="s">
        <v>11426</v>
      </c>
      <c r="L3234" s="56">
        <v>45097</v>
      </c>
      <c r="M3234" s="40"/>
      <c r="N3234" s="40"/>
      <c r="O3234" s="42"/>
      <c r="P3234" s="40"/>
      <c r="Q3234" s="61"/>
      <c r="R3234" s="61"/>
      <c r="S3234" s="40"/>
      <c r="T3234" s="38"/>
      <c r="U3234" s="38"/>
      <c r="V3234" s="38"/>
      <c r="W3234" s="60"/>
      <c r="AB3234" s="42"/>
      <c r="AC3234" s="35"/>
      <c r="AD3234" s="38"/>
      <c r="AE3234" s="38"/>
      <c r="AF3234" s="38"/>
      <c r="AG3234" s="38"/>
      <c r="AH3234" s="60"/>
    </row>
    <row r="3235" spans="1:34" ht="15.75" customHeight="1">
      <c r="A3235" s="146"/>
      <c r="B3235" s="18" t="s">
        <v>11427</v>
      </c>
      <c r="C3235" s="55" t="s">
        <v>46</v>
      </c>
      <c r="D3235" s="20" t="s">
        <v>11428</v>
      </c>
      <c r="E3235" s="20" t="s">
        <v>11429</v>
      </c>
      <c r="F3235" s="37" t="s">
        <v>49</v>
      </c>
      <c r="G3235" s="19" t="s">
        <v>50</v>
      </c>
      <c r="H3235" s="37" t="s">
        <v>55</v>
      </c>
      <c r="I3235" s="21" t="s">
        <v>29</v>
      </c>
      <c r="J3235" s="21" t="s">
        <v>29</v>
      </c>
      <c r="K3235" s="22" t="s">
        <v>11430</v>
      </c>
      <c r="L3235" s="56">
        <v>45097</v>
      </c>
      <c r="M3235" s="40"/>
      <c r="N3235" s="40"/>
      <c r="O3235" s="42"/>
      <c r="P3235" s="40"/>
      <c r="Q3235" s="61"/>
      <c r="R3235" s="61"/>
      <c r="S3235" s="40"/>
      <c r="T3235" s="38"/>
      <c r="U3235" s="38"/>
      <c r="V3235" s="38"/>
      <c r="W3235" s="60"/>
      <c r="AB3235" s="42"/>
      <c r="AC3235" s="35"/>
      <c r="AD3235" s="38"/>
      <c r="AE3235" s="38"/>
      <c r="AF3235" s="38"/>
      <c r="AG3235" s="38"/>
      <c r="AH3235" s="60"/>
    </row>
    <row r="3236" spans="1:34" ht="15.75" customHeight="1">
      <c r="A3236" s="146"/>
      <c r="B3236" s="18" t="s">
        <v>11431</v>
      </c>
      <c r="C3236" s="55" t="s">
        <v>1470</v>
      </c>
      <c r="D3236" s="20" t="s">
        <v>11432</v>
      </c>
      <c r="E3236" s="20" t="s">
        <v>11433</v>
      </c>
      <c r="F3236" s="19" t="s">
        <v>3286</v>
      </c>
      <c r="G3236" s="19" t="s">
        <v>1461</v>
      </c>
      <c r="H3236" s="37" t="s">
        <v>55</v>
      </c>
      <c r="I3236" s="21" t="s">
        <v>233</v>
      </c>
      <c r="J3236" s="21" t="s">
        <v>233</v>
      </c>
      <c r="K3236" s="22" t="s">
        <v>11434</v>
      </c>
      <c r="L3236" s="56">
        <v>45097</v>
      </c>
      <c r="M3236" s="40"/>
      <c r="N3236" s="40"/>
      <c r="O3236" s="42"/>
      <c r="P3236" s="40"/>
      <c r="Q3236" s="61"/>
      <c r="R3236" s="61"/>
      <c r="S3236" s="40"/>
      <c r="T3236" s="38"/>
      <c r="U3236" s="38"/>
      <c r="V3236" s="38"/>
      <c r="W3236" s="60"/>
      <c r="AB3236" s="42"/>
      <c r="AC3236" s="35"/>
      <c r="AD3236" s="38"/>
      <c r="AE3236" s="38"/>
      <c r="AF3236" s="38"/>
      <c r="AG3236" s="38"/>
      <c r="AH3236" s="60"/>
    </row>
    <row r="3237" spans="1:34" ht="15.75" customHeight="1">
      <c r="A3237" s="146"/>
      <c r="B3237" s="18" t="s">
        <v>11435</v>
      </c>
      <c r="C3237" s="55" t="s">
        <v>87</v>
      </c>
      <c r="D3237" s="20" t="s">
        <v>11436</v>
      </c>
      <c r="E3237" s="20" t="s">
        <v>11437</v>
      </c>
      <c r="F3237" s="19" t="s">
        <v>90</v>
      </c>
      <c r="G3237" s="19" t="s">
        <v>91</v>
      </c>
      <c r="H3237" s="37" t="s">
        <v>55</v>
      </c>
      <c r="I3237" s="21" t="s">
        <v>29</v>
      </c>
      <c r="J3237" s="21" t="s">
        <v>29</v>
      </c>
      <c r="K3237" s="22" t="s">
        <v>11438</v>
      </c>
      <c r="L3237" s="56">
        <v>45097</v>
      </c>
      <c r="M3237" s="40"/>
      <c r="N3237" s="40"/>
      <c r="O3237" s="42"/>
      <c r="P3237" s="40"/>
      <c r="Q3237" s="61"/>
      <c r="R3237" s="61"/>
      <c r="S3237" s="40"/>
      <c r="T3237" s="38"/>
      <c r="U3237" s="38"/>
      <c r="V3237" s="38"/>
      <c r="W3237" s="60"/>
      <c r="AB3237" s="42"/>
      <c r="AC3237" s="35"/>
      <c r="AD3237" s="38"/>
      <c r="AE3237" s="38"/>
      <c r="AF3237" s="38"/>
      <c r="AG3237" s="38"/>
      <c r="AH3237" s="60"/>
    </row>
    <row r="3238" spans="1:34" ht="15.75" customHeight="1">
      <c r="A3238" s="146"/>
      <c r="B3238" s="18" t="s">
        <v>11439</v>
      </c>
      <c r="C3238" s="55" t="s">
        <v>24</v>
      </c>
      <c r="D3238" s="20" t="s">
        <v>11440</v>
      </c>
      <c r="E3238" s="20" t="s">
        <v>11441</v>
      </c>
      <c r="F3238" s="19" t="s">
        <v>27</v>
      </c>
      <c r="G3238" s="19" t="s">
        <v>28</v>
      </c>
      <c r="H3238" s="37" t="s">
        <v>55</v>
      </c>
      <c r="I3238" s="21" t="s">
        <v>29</v>
      </c>
      <c r="J3238" s="21" t="s">
        <v>29</v>
      </c>
      <c r="K3238" s="22" t="s">
        <v>11442</v>
      </c>
      <c r="L3238" s="56">
        <v>45097</v>
      </c>
      <c r="M3238" s="40"/>
      <c r="N3238" s="40"/>
      <c r="O3238" s="42"/>
      <c r="P3238" s="40"/>
      <c r="Q3238" s="61"/>
      <c r="R3238" s="61"/>
      <c r="S3238" s="40"/>
      <c r="T3238" s="38"/>
      <c r="U3238" s="38"/>
      <c r="V3238" s="38"/>
      <c r="W3238" s="60"/>
      <c r="AB3238" s="42"/>
      <c r="AC3238" s="35"/>
      <c r="AD3238" s="38"/>
      <c r="AE3238" s="38"/>
      <c r="AF3238" s="38"/>
      <c r="AG3238" s="38"/>
      <c r="AH3238" s="60"/>
    </row>
    <row r="3239" spans="1:34" ht="15.75" customHeight="1">
      <c r="A3239" s="146"/>
      <c r="B3239" s="18" t="s">
        <v>11443</v>
      </c>
      <c r="C3239" s="55" t="s">
        <v>24</v>
      </c>
      <c r="D3239" s="20" t="s">
        <v>11444</v>
      </c>
      <c r="E3239" s="20" t="s">
        <v>11445</v>
      </c>
      <c r="F3239" s="19" t="s">
        <v>27</v>
      </c>
      <c r="G3239" s="19" t="s">
        <v>28</v>
      </c>
      <c r="H3239" s="19" t="s">
        <v>36</v>
      </c>
      <c r="I3239" s="21" t="s">
        <v>29</v>
      </c>
      <c r="J3239" s="21" t="s">
        <v>29</v>
      </c>
      <c r="K3239" s="22" t="s">
        <v>11446</v>
      </c>
      <c r="L3239" s="56">
        <v>45097</v>
      </c>
      <c r="M3239" s="40"/>
      <c r="N3239" s="40"/>
      <c r="O3239" s="42"/>
      <c r="P3239" s="40"/>
      <c r="Q3239" s="61"/>
      <c r="R3239" s="61"/>
      <c r="S3239" s="40"/>
      <c r="T3239" s="38"/>
      <c r="U3239" s="38"/>
      <c r="V3239" s="38"/>
      <c r="W3239" s="60"/>
      <c r="AB3239" s="42"/>
      <c r="AC3239" s="35"/>
      <c r="AD3239" s="38"/>
      <c r="AE3239" s="38"/>
      <c r="AF3239" s="38"/>
      <c r="AG3239" s="38"/>
      <c r="AH3239" s="60"/>
    </row>
    <row r="3240" spans="1:34" ht="15.75" customHeight="1">
      <c r="A3240" s="146"/>
      <c r="B3240" s="18" t="s">
        <v>11447</v>
      </c>
      <c r="C3240" s="37" t="s">
        <v>412</v>
      </c>
      <c r="D3240" s="20" t="s">
        <v>11448</v>
      </c>
      <c r="E3240" s="20" t="s">
        <v>11449</v>
      </c>
      <c r="F3240" s="19" t="s">
        <v>414</v>
      </c>
      <c r="G3240" s="19" t="s">
        <v>415</v>
      </c>
      <c r="H3240" s="37" t="s">
        <v>55</v>
      </c>
      <c r="I3240" s="21" t="s">
        <v>233</v>
      </c>
      <c r="J3240" s="21" t="s">
        <v>233</v>
      </c>
      <c r="K3240" s="22" t="s">
        <v>11450</v>
      </c>
      <c r="L3240" s="56">
        <v>45097</v>
      </c>
      <c r="M3240" s="40"/>
      <c r="N3240" s="40"/>
      <c r="O3240" s="42"/>
      <c r="P3240" s="40"/>
      <c r="Q3240" s="61"/>
      <c r="R3240" s="61"/>
      <c r="S3240" s="40"/>
      <c r="T3240" s="38"/>
      <c r="U3240" s="38"/>
      <c r="V3240" s="38"/>
      <c r="W3240" s="60"/>
      <c r="AB3240" s="42"/>
      <c r="AC3240" s="35"/>
      <c r="AD3240" s="38"/>
      <c r="AE3240" s="38"/>
      <c r="AF3240" s="38"/>
      <c r="AG3240" s="38"/>
      <c r="AH3240" s="60"/>
    </row>
    <row r="3241" spans="1:34" ht="15.75" customHeight="1">
      <c r="A3241" s="146"/>
      <c r="B3241" s="18" t="s">
        <v>11451</v>
      </c>
      <c r="C3241" s="55" t="s">
        <v>24</v>
      </c>
      <c r="D3241" s="20" t="s">
        <v>11452</v>
      </c>
      <c r="E3241" s="20" t="s">
        <v>11453</v>
      </c>
      <c r="F3241" s="19" t="s">
        <v>27</v>
      </c>
      <c r="G3241" s="19" t="s">
        <v>28</v>
      </c>
      <c r="H3241" s="19" t="s">
        <v>36</v>
      </c>
      <c r="I3241" s="21" t="s">
        <v>29</v>
      </c>
      <c r="J3241" s="21" t="s">
        <v>29</v>
      </c>
      <c r="K3241" s="22" t="s">
        <v>11454</v>
      </c>
      <c r="L3241" s="56">
        <v>45097</v>
      </c>
      <c r="M3241" s="40"/>
      <c r="N3241" s="40"/>
      <c r="O3241" s="42"/>
      <c r="P3241" s="40"/>
      <c r="Q3241" s="61"/>
      <c r="R3241" s="61"/>
      <c r="S3241" s="40"/>
      <c r="T3241" s="38"/>
      <c r="U3241" s="38"/>
      <c r="V3241" s="38"/>
      <c r="W3241" s="60"/>
      <c r="AB3241" s="42"/>
      <c r="AC3241" s="35"/>
      <c r="AD3241" s="38"/>
      <c r="AE3241" s="38"/>
      <c r="AF3241" s="38"/>
      <c r="AG3241" s="38"/>
      <c r="AH3241" s="60"/>
    </row>
    <row r="3242" spans="1:34" ht="15.75" customHeight="1">
      <c r="A3242" s="146"/>
      <c r="B3242" s="18" t="s">
        <v>11455</v>
      </c>
      <c r="C3242" s="55" t="s">
        <v>1638</v>
      </c>
      <c r="D3242" s="20" t="s">
        <v>11456</v>
      </c>
      <c r="E3242" s="20" t="s">
        <v>11457</v>
      </c>
      <c r="F3242" s="37" t="s">
        <v>1399</v>
      </c>
      <c r="G3242" s="19" t="s">
        <v>1641</v>
      </c>
      <c r="H3242" s="37" t="s">
        <v>55</v>
      </c>
      <c r="I3242" s="21" t="s">
        <v>1371</v>
      </c>
      <c r="J3242" s="21" t="s">
        <v>1371</v>
      </c>
      <c r="K3242" s="22" t="s">
        <v>11458</v>
      </c>
      <c r="L3242" s="56">
        <v>45097</v>
      </c>
      <c r="M3242" s="40"/>
      <c r="N3242" s="40"/>
      <c r="O3242" s="42"/>
      <c r="P3242" s="40"/>
      <c r="Q3242" s="61"/>
      <c r="R3242" s="61"/>
      <c r="S3242" s="40"/>
      <c r="T3242" s="38"/>
      <c r="U3242" s="38"/>
      <c r="V3242" s="38"/>
      <c r="W3242" s="60"/>
      <c r="AB3242" s="42"/>
      <c r="AC3242" s="35"/>
      <c r="AD3242" s="38"/>
      <c r="AE3242" s="38"/>
      <c r="AF3242" s="38"/>
      <c r="AG3242" s="38"/>
      <c r="AH3242" s="60"/>
    </row>
    <row r="3243" spans="1:34" ht="15.75" customHeight="1">
      <c r="A3243" s="146"/>
      <c r="B3243" s="18" t="s">
        <v>11459</v>
      </c>
      <c r="C3243" s="55" t="s">
        <v>87</v>
      </c>
      <c r="D3243" s="20" t="s">
        <v>11460</v>
      </c>
      <c r="E3243" s="20" t="s">
        <v>11461</v>
      </c>
      <c r="F3243" s="19" t="s">
        <v>90</v>
      </c>
      <c r="G3243" s="19" t="s">
        <v>91</v>
      </c>
      <c r="H3243" s="37" t="s">
        <v>55</v>
      </c>
      <c r="I3243" s="21" t="s">
        <v>29</v>
      </c>
      <c r="J3243" s="21" t="s">
        <v>29</v>
      </c>
      <c r="K3243" s="22" t="s">
        <v>11462</v>
      </c>
      <c r="L3243" s="56">
        <v>45097</v>
      </c>
      <c r="M3243" s="40"/>
      <c r="N3243" s="40"/>
      <c r="O3243" s="42"/>
      <c r="P3243" s="40"/>
      <c r="Q3243" s="61"/>
      <c r="R3243" s="61"/>
      <c r="S3243" s="40"/>
      <c r="T3243" s="38"/>
      <c r="U3243" s="38"/>
      <c r="V3243" s="38"/>
      <c r="W3243" s="60"/>
      <c r="AB3243" s="42"/>
      <c r="AC3243" s="35"/>
      <c r="AD3243" s="38"/>
      <c r="AE3243" s="38"/>
      <c r="AF3243" s="38"/>
      <c r="AG3243" s="38"/>
      <c r="AH3243" s="60"/>
    </row>
    <row r="3244" spans="1:34" ht="15.75" customHeight="1">
      <c r="A3244" s="146"/>
      <c r="B3244" s="18" t="s">
        <v>11463</v>
      </c>
      <c r="C3244" s="55" t="s">
        <v>87</v>
      </c>
      <c r="D3244" s="20" t="s">
        <v>11464</v>
      </c>
      <c r="E3244" s="20" t="s">
        <v>11465</v>
      </c>
      <c r="F3244" s="19" t="s">
        <v>90</v>
      </c>
      <c r="G3244" s="19" t="s">
        <v>91</v>
      </c>
      <c r="H3244" s="37" t="s">
        <v>55</v>
      </c>
      <c r="I3244" s="21" t="s">
        <v>29</v>
      </c>
      <c r="J3244" s="21" t="s">
        <v>29</v>
      </c>
      <c r="K3244" s="22" t="s">
        <v>11466</v>
      </c>
      <c r="L3244" s="56">
        <v>45097</v>
      </c>
      <c r="M3244" s="40"/>
      <c r="N3244" s="40"/>
      <c r="O3244" s="42"/>
      <c r="P3244" s="40"/>
      <c r="Q3244" s="61"/>
      <c r="R3244" s="61"/>
      <c r="S3244" s="40"/>
      <c r="T3244" s="38"/>
      <c r="U3244" s="38"/>
      <c r="V3244" s="38"/>
      <c r="W3244" s="60"/>
      <c r="AB3244" s="42"/>
      <c r="AC3244" s="35"/>
      <c r="AD3244" s="38"/>
      <c r="AE3244" s="38"/>
      <c r="AF3244" s="38"/>
      <c r="AG3244" s="38"/>
      <c r="AH3244" s="60"/>
    </row>
    <row r="3245" spans="1:34" ht="15.75" customHeight="1">
      <c r="A3245" s="146"/>
      <c r="B3245" s="29" t="s">
        <v>11467</v>
      </c>
      <c r="C3245" s="55" t="s">
        <v>87</v>
      </c>
      <c r="D3245" s="20" t="s">
        <v>11468</v>
      </c>
      <c r="E3245" s="20" t="s">
        <v>11469</v>
      </c>
      <c r="F3245" s="55" t="s">
        <v>286</v>
      </c>
      <c r="G3245" s="19" t="s">
        <v>91</v>
      </c>
      <c r="H3245" s="37" t="s">
        <v>55</v>
      </c>
      <c r="I3245" s="21" t="s">
        <v>286</v>
      </c>
      <c r="J3245" s="21" t="s">
        <v>29</v>
      </c>
      <c r="K3245" s="22" t="s">
        <v>11470</v>
      </c>
      <c r="L3245" s="56"/>
      <c r="M3245" s="40"/>
      <c r="N3245" s="40"/>
      <c r="O3245" s="42"/>
      <c r="P3245" s="40"/>
      <c r="Q3245" s="61"/>
      <c r="R3245" s="61"/>
      <c r="S3245" s="40"/>
      <c r="T3245" s="38"/>
      <c r="U3245" s="38"/>
      <c r="V3245" s="38"/>
      <c r="W3245" s="60"/>
      <c r="AB3245" s="42"/>
      <c r="AC3245" s="35"/>
      <c r="AD3245" s="38"/>
      <c r="AE3245" s="38"/>
      <c r="AF3245" s="38"/>
      <c r="AG3245" s="38"/>
      <c r="AH3245" s="60"/>
    </row>
    <row r="3246" spans="1:34" ht="15.75" customHeight="1">
      <c r="A3246" s="146"/>
      <c r="B3246" s="18" t="s">
        <v>11471</v>
      </c>
      <c r="C3246" s="55" t="s">
        <v>46</v>
      </c>
      <c r="D3246" s="20" t="s">
        <v>11472</v>
      </c>
      <c r="E3246" s="20" t="s">
        <v>11473</v>
      </c>
      <c r="F3246" s="37" t="s">
        <v>49</v>
      </c>
      <c r="G3246" s="19" t="s">
        <v>50</v>
      </c>
      <c r="H3246" s="37" t="s">
        <v>55</v>
      </c>
      <c r="I3246" s="21" t="s">
        <v>29</v>
      </c>
      <c r="J3246" s="21" t="s">
        <v>29</v>
      </c>
      <c r="K3246" s="22" t="s">
        <v>11474</v>
      </c>
      <c r="L3246" s="56">
        <v>45097</v>
      </c>
      <c r="M3246" s="40"/>
      <c r="N3246" s="40"/>
      <c r="O3246" s="42"/>
      <c r="P3246" s="40"/>
      <c r="Q3246" s="61"/>
      <c r="R3246" s="61"/>
      <c r="S3246" s="40"/>
      <c r="T3246" s="38"/>
      <c r="U3246" s="38"/>
      <c r="V3246" s="38"/>
      <c r="W3246" s="60"/>
      <c r="AB3246" s="42"/>
      <c r="AC3246" s="35"/>
      <c r="AD3246" s="38"/>
      <c r="AE3246" s="38"/>
      <c r="AF3246" s="38"/>
      <c r="AG3246" s="38"/>
      <c r="AH3246" s="60"/>
    </row>
    <row r="3247" spans="1:34" ht="15.75" customHeight="1">
      <c r="A3247" s="146"/>
      <c r="B3247" s="34" t="s">
        <v>11475</v>
      </c>
      <c r="C3247" s="55" t="s">
        <v>24</v>
      </c>
      <c r="D3247" s="20" t="s">
        <v>11476</v>
      </c>
      <c r="E3247" s="20" t="s">
        <v>11477</v>
      </c>
      <c r="F3247" s="19" t="s">
        <v>90</v>
      </c>
      <c r="G3247" s="19" t="s">
        <v>91</v>
      </c>
      <c r="H3247" s="37" t="s">
        <v>55</v>
      </c>
      <c r="I3247" s="21" t="s">
        <v>29</v>
      </c>
      <c r="J3247" s="21" t="s">
        <v>29</v>
      </c>
      <c r="K3247" s="22" t="s">
        <v>11478</v>
      </c>
      <c r="L3247" s="56">
        <v>45097</v>
      </c>
      <c r="M3247" s="40"/>
      <c r="N3247" s="40"/>
      <c r="O3247" s="42"/>
      <c r="P3247" s="40"/>
      <c r="Q3247" s="61"/>
      <c r="R3247" s="61"/>
      <c r="S3247" s="40"/>
      <c r="T3247" s="38"/>
      <c r="U3247" s="38"/>
      <c r="V3247" s="38"/>
      <c r="W3247" s="60"/>
      <c r="AB3247" s="42"/>
      <c r="AC3247" s="35"/>
      <c r="AD3247" s="38"/>
      <c r="AE3247" s="38"/>
      <c r="AF3247" s="38"/>
      <c r="AG3247" s="38"/>
      <c r="AH3247" s="60"/>
    </row>
    <row r="3248" spans="1:34" ht="15.75" customHeight="1">
      <c r="A3248" s="146"/>
      <c r="B3248" s="18" t="s">
        <v>11479</v>
      </c>
      <c r="C3248" s="55" t="s">
        <v>24</v>
      </c>
      <c r="D3248" s="20" t="s">
        <v>11480</v>
      </c>
      <c r="E3248" s="20" t="s">
        <v>11481</v>
      </c>
      <c r="F3248" s="19" t="s">
        <v>27</v>
      </c>
      <c r="G3248" s="19" t="s">
        <v>28</v>
      </c>
      <c r="H3248" s="37" t="s">
        <v>55</v>
      </c>
      <c r="I3248" s="21" t="s">
        <v>29</v>
      </c>
      <c r="J3248" s="21" t="s">
        <v>29</v>
      </c>
      <c r="K3248" s="22" t="s">
        <v>11482</v>
      </c>
      <c r="L3248" s="56">
        <v>45097</v>
      </c>
      <c r="M3248" s="40"/>
      <c r="N3248" s="40"/>
      <c r="O3248" s="42"/>
      <c r="P3248" s="40"/>
      <c r="Q3248" s="61"/>
      <c r="R3248" s="61"/>
      <c r="S3248" s="40"/>
      <c r="T3248" s="38"/>
      <c r="U3248" s="38"/>
      <c r="V3248" s="38"/>
      <c r="W3248" s="60"/>
      <c r="AB3248" s="42"/>
      <c r="AC3248" s="35"/>
      <c r="AD3248" s="38"/>
      <c r="AE3248" s="38"/>
      <c r="AF3248" s="38"/>
      <c r="AG3248" s="38"/>
      <c r="AH3248" s="60"/>
    </row>
    <row r="3249" spans="1:34" ht="15.75" customHeight="1">
      <c r="A3249" s="146"/>
      <c r="B3249" s="18" t="s">
        <v>11483</v>
      </c>
      <c r="C3249" s="55" t="s">
        <v>24</v>
      </c>
      <c r="D3249" s="20" t="s">
        <v>11484</v>
      </c>
      <c r="E3249" s="20" t="s">
        <v>11485</v>
      </c>
      <c r="F3249" s="19" t="s">
        <v>27</v>
      </c>
      <c r="G3249" s="19" t="s">
        <v>28</v>
      </c>
      <c r="H3249" s="37" t="s">
        <v>55</v>
      </c>
      <c r="I3249" s="21" t="s">
        <v>29</v>
      </c>
      <c r="J3249" s="21" t="s">
        <v>29</v>
      </c>
      <c r="K3249" s="22" t="s">
        <v>11485</v>
      </c>
      <c r="L3249" s="56">
        <v>45097</v>
      </c>
      <c r="M3249" s="40"/>
      <c r="N3249" s="40"/>
      <c r="O3249" s="42"/>
      <c r="P3249" s="40"/>
      <c r="Q3249" s="61"/>
      <c r="R3249" s="61"/>
      <c r="S3249" s="40"/>
      <c r="T3249" s="38"/>
      <c r="U3249" s="38"/>
      <c r="V3249" s="38"/>
      <c r="W3249" s="60"/>
      <c r="AB3249" s="42"/>
      <c r="AC3249" s="35"/>
      <c r="AD3249" s="38"/>
      <c r="AE3249" s="38"/>
      <c r="AF3249" s="38"/>
      <c r="AG3249" s="38"/>
      <c r="AH3249" s="60"/>
    </row>
    <row r="3250" spans="1:34" ht="15.75" customHeight="1">
      <c r="A3250" s="146"/>
      <c r="B3250" s="18" t="s">
        <v>11486</v>
      </c>
      <c r="C3250" s="37" t="s">
        <v>412</v>
      </c>
      <c r="D3250" s="20" t="s">
        <v>11487</v>
      </c>
      <c r="E3250" s="20" t="s">
        <v>11488</v>
      </c>
      <c r="F3250" s="19" t="s">
        <v>414</v>
      </c>
      <c r="G3250" s="37" t="s">
        <v>415</v>
      </c>
      <c r="H3250" s="37" t="s">
        <v>55</v>
      </c>
      <c r="I3250" s="21" t="s">
        <v>233</v>
      </c>
      <c r="J3250" s="21" t="s">
        <v>233</v>
      </c>
      <c r="K3250" s="22" t="s">
        <v>11489</v>
      </c>
      <c r="L3250" s="56">
        <v>45097</v>
      </c>
      <c r="M3250" s="40"/>
      <c r="N3250" s="40"/>
      <c r="O3250" s="42"/>
      <c r="P3250" s="40"/>
      <c r="Q3250" s="61"/>
      <c r="R3250" s="61"/>
      <c r="S3250" s="40"/>
      <c r="T3250" s="38"/>
      <c r="U3250" s="38"/>
      <c r="V3250" s="38"/>
      <c r="W3250" s="60"/>
      <c r="AB3250" s="42"/>
      <c r="AC3250" s="35"/>
      <c r="AD3250" s="38"/>
      <c r="AE3250" s="38"/>
      <c r="AF3250" s="38"/>
      <c r="AG3250" s="38"/>
      <c r="AH3250" s="60"/>
    </row>
    <row r="3251" spans="1:34" ht="15.75" customHeight="1">
      <c r="A3251" s="146"/>
      <c r="B3251" s="18" t="s">
        <v>11490</v>
      </c>
      <c r="C3251" s="55" t="s">
        <v>87</v>
      </c>
      <c r="D3251" s="20" t="s">
        <v>11491</v>
      </c>
      <c r="E3251" s="20" t="s">
        <v>11492</v>
      </c>
      <c r="F3251" s="19" t="s">
        <v>90</v>
      </c>
      <c r="G3251" s="19" t="s">
        <v>91</v>
      </c>
      <c r="H3251" s="37" t="s">
        <v>55</v>
      </c>
      <c r="I3251" s="21" t="s">
        <v>29</v>
      </c>
      <c r="J3251" s="21" t="s">
        <v>29</v>
      </c>
      <c r="K3251" s="22" t="s">
        <v>11493</v>
      </c>
      <c r="L3251" s="56">
        <v>45097</v>
      </c>
      <c r="M3251" s="40"/>
      <c r="N3251" s="40"/>
      <c r="O3251" s="42"/>
      <c r="P3251" s="40"/>
      <c r="Q3251" s="61"/>
      <c r="R3251" s="61"/>
      <c r="S3251" s="40"/>
      <c r="T3251" s="38"/>
      <c r="U3251" s="38"/>
      <c r="V3251" s="38"/>
      <c r="W3251" s="60"/>
      <c r="AB3251" s="42"/>
      <c r="AC3251" s="35"/>
      <c r="AD3251" s="38"/>
      <c r="AE3251" s="38"/>
      <c r="AF3251" s="38"/>
      <c r="AG3251" s="38"/>
      <c r="AH3251" s="60"/>
    </row>
    <row r="3252" spans="1:34" ht="15.75" customHeight="1">
      <c r="A3252" s="146"/>
      <c r="B3252" s="18" t="s">
        <v>11494</v>
      </c>
      <c r="C3252" s="55" t="s">
        <v>46</v>
      </c>
      <c r="D3252" s="20" t="s">
        <v>11495</v>
      </c>
      <c r="E3252" s="20" t="s">
        <v>11496</v>
      </c>
      <c r="F3252" s="37" t="s">
        <v>49</v>
      </c>
      <c r="G3252" s="19" t="s">
        <v>50</v>
      </c>
      <c r="H3252" s="37" t="s">
        <v>55</v>
      </c>
      <c r="I3252" s="21" t="s">
        <v>29</v>
      </c>
      <c r="J3252" s="21" t="s">
        <v>29</v>
      </c>
      <c r="K3252" s="22" t="s">
        <v>11497</v>
      </c>
      <c r="L3252" s="56">
        <v>45097</v>
      </c>
      <c r="M3252" s="40"/>
      <c r="N3252" s="40"/>
      <c r="O3252" s="42"/>
      <c r="P3252" s="40"/>
      <c r="Q3252" s="61"/>
      <c r="R3252" s="61"/>
      <c r="S3252" s="40"/>
      <c r="T3252" s="38"/>
      <c r="U3252" s="38"/>
      <c r="V3252" s="38"/>
      <c r="W3252" s="60"/>
      <c r="AB3252" s="42"/>
      <c r="AC3252" s="35"/>
      <c r="AD3252" s="38"/>
      <c r="AE3252" s="38"/>
      <c r="AF3252" s="38"/>
      <c r="AG3252" s="38"/>
      <c r="AH3252" s="60"/>
    </row>
    <row r="3253" spans="1:34" ht="15.75" customHeight="1">
      <c r="A3253" s="146"/>
      <c r="B3253" s="18" t="s">
        <v>11498</v>
      </c>
      <c r="C3253" s="55" t="s">
        <v>24</v>
      </c>
      <c r="D3253" s="20" t="s">
        <v>11499</v>
      </c>
      <c r="E3253" s="20" t="s">
        <v>11500</v>
      </c>
      <c r="F3253" s="19" t="s">
        <v>27</v>
      </c>
      <c r="G3253" s="19" t="s">
        <v>28</v>
      </c>
      <c r="H3253" s="37" t="s">
        <v>55</v>
      </c>
      <c r="I3253" s="21" t="s">
        <v>29</v>
      </c>
      <c r="J3253" s="21" t="s">
        <v>29</v>
      </c>
      <c r="K3253" s="22" t="s">
        <v>11501</v>
      </c>
      <c r="L3253" s="56">
        <v>45097</v>
      </c>
      <c r="M3253" s="40"/>
      <c r="N3253" s="40"/>
      <c r="O3253" s="42"/>
      <c r="P3253" s="40"/>
      <c r="Q3253" s="61"/>
      <c r="R3253" s="61"/>
      <c r="S3253" s="40"/>
      <c r="T3253" s="38"/>
      <c r="U3253" s="38"/>
      <c r="V3253" s="38"/>
      <c r="W3253" s="60"/>
      <c r="AB3253" s="42"/>
      <c r="AC3253" s="35"/>
      <c r="AD3253" s="38"/>
      <c r="AE3253" s="38"/>
      <c r="AF3253" s="38"/>
      <c r="AG3253" s="38"/>
      <c r="AH3253" s="60"/>
    </row>
    <row r="3254" spans="1:34" ht="15.75" customHeight="1">
      <c r="A3254" s="146"/>
      <c r="B3254" s="18" t="s">
        <v>11502</v>
      </c>
      <c r="C3254" s="55" t="s">
        <v>24</v>
      </c>
      <c r="D3254" s="20" t="s">
        <v>11503</v>
      </c>
      <c r="E3254" s="20" t="s">
        <v>11504</v>
      </c>
      <c r="F3254" s="19" t="s">
        <v>27</v>
      </c>
      <c r="G3254" s="19" t="s">
        <v>28</v>
      </c>
      <c r="H3254" s="19" t="s">
        <v>36</v>
      </c>
      <c r="I3254" s="21" t="s">
        <v>29</v>
      </c>
      <c r="J3254" s="21" t="s">
        <v>29</v>
      </c>
      <c r="K3254" s="22" t="s">
        <v>11505</v>
      </c>
      <c r="L3254" s="56">
        <v>45097</v>
      </c>
      <c r="M3254" s="40"/>
      <c r="N3254" s="40"/>
      <c r="O3254" s="42"/>
      <c r="P3254" s="40"/>
      <c r="Q3254" s="61"/>
      <c r="R3254" s="61"/>
      <c r="S3254" s="40"/>
      <c r="T3254" s="38"/>
      <c r="U3254" s="38"/>
      <c r="V3254" s="38"/>
      <c r="W3254" s="60"/>
      <c r="AB3254" s="42"/>
      <c r="AC3254" s="35"/>
      <c r="AD3254" s="38"/>
      <c r="AE3254" s="38"/>
      <c r="AF3254" s="38"/>
      <c r="AG3254" s="38"/>
      <c r="AH3254" s="60"/>
    </row>
    <row r="3255" spans="1:34" ht="15.75" customHeight="1">
      <c r="A3255" s="146"/>
      <c r="B3255" s="34" t="s">
        <v>4799</v>
      </c>
      <c r="C3255" s="55" t="s">
        <v>87</v>
      </c>
      <c r="D3255" s="20" t="s">
        <v>11506</v>
      </c>
      <c r="E3255" s="20" t="s">
        <v>11507</v>
      </c>
      <c r="F3255" s="37" t="s">
        <v>49</v>
      </c>
      <c r="G3255" s="19" t="s">
        <v>50</v>
      </c>
      <c r="H3255" s="37" t="s">
        <v>55</v>
      </c>
      <c r="I3255" s="21" t="s">
        <v>29</v>
      </c>
      <c r="J3255" s="21" t="s">
        <v>29</v>
      </c>
      <c r="K3255" s="22" t="s">
        <v>11508</v>
      </c>
      <c r="L3255" s="56">
        <v>45097</v>
      </c>
      <c r="M3255" s="40"/>
      <c r="N3255" s="40"/>
      <c r="O3255" s="42"/>
      <c r="P3255" s="40"/>
      <c r="Q3255" s="61"/>
      <c r="R3255" s="61"/>
      <c r="S3255" s="40"/>
      <c r="T3255" s="38"/>
      <c r="U3255" s="38"/>
      <c r="V3255" s="38"/>
      <c r="W3255" s="60"/>
      <c r="AB3255" s="42"/>
      <c r="AC3255" s="35"/>
      <c r="AD3255" s="38"/>
      <c r="AE3255" s="38"/>
      <c r="AF3255" s="38"/>
      <c r="AG3255" s="38"/>
      <c r="AH3255" s="60"/>
    </row>
    <row r="3256" spans="1:34" ht="15.75" customHeight="1">
      <c r="A3256" s="146"/>
      <c r="B3256" s="34" t="s">
        <v>11509</v>
      </c>
      <c r="C3256" s="55" t="s">
        <v>87</v>
      </c>
      <c r="D3256" s="20" t="s">
        <v>11510</v>
      </c>
      <c r="E3256" s="20" t="s">
        <v>11511</v>
      </c>
      <c r="F3256" s="37" t="s">
        <v>49</v>
      </c>
      <c r="G3256" s="19" t="s">
        <v>50</v>
      </c>
      <c r="H3256" s="37" t="s">
        <v>55</v>
      </c>
      <c r="I3256" s="21" t="s">
        <v>29</v>
      </c>
      <c r="J3256" s="21" t="s">
        <v>29</v>
      </c>
      <c r="K3256" s="22" t="s">
        <v>11512</v>
      </c>
      <c r="L3256" s="56">
        <v>45097</v>
      </c>
      <c r="M3256" s="40"/>
      <c r="N3256" s="40"/>
      <c r="O3256" s="42"/>
      <c r="P3256" s="40"/>
      <c r="Q3256" s="61"/>
      <c r="R3256" s="61"/>
      <c r="S3256" s="40"/>
      <c r="T3256" s="38"/>
      <c r="U3256" s="38"/>
      <c r="V3256" s="38"/>
      <c r="W3256" s="60"/>
      <c r="AB3256" s="42"/>
      <c r="AC3256" s="35"/>
      <c r="AD3256" s="38"/>
      <c r="AE3256" s="38"/>
      <c r="AF3256" s="38"/>
      <c r="AG3256" s="38"/>
      <c r="AH3256" s="60"/>
    </row>
    <row r="3257" spans="1:34" ht="15.75" customHeight="1">
      <c r="A3257" s="146"/>
      <c r="B3257" s="18" t="s">
        <v>11513</v>
      </c>
      <c r="C3257" s="55" t="s">
        <v>1638</v>
      </c>
      <c r="D3257" s="20" t="s">
        <v>11514</v>
      </c>
      <c r="E3257" s="20" t="s">
        <v>11515</v>
      </c>
      <c r="F3257" s="37" t="s">
        <v>1399</v>
      </c>
      <c r="G3257" s="19" t="s">
        <v>1641</v>
      </c>
      <c r="H3257" s="37" t="s">
        <v>55</v>
      </c>
      <c r="I3257" s="21" t="s">
        <v>1371</v>
      </c>
      <c r="J3257" s="21" t="s">
        <v>1371</v>
      </c>
      <c r="K3257" s="22" t="s">
        <v>11516</v>
      </c>
      <c r="L3257" s="56">
        <v>45097</v>
      </c>
      <c r="M3257" s="40"/>
      <c r="N3257" s="40"/>
      <c r="O3257" s="42"/>
      <c r="P3257" s="40"/>
      <c r="Q3257" s="61"/>
      <c r="R3257" s="61"/>
      <c r="S3257" s="40"/>
      <c r="T3257" s="38"/>
      <c r="U3257" s="38"/>
      <c r="V3257" s="38"/>
      <c r="W3257" s="60"/>
      <c r="AB3257" s="42"/>
      <c r="AC3257" s="35"/>
      <c r="AD3257" s="38"/>
      <c r="AE3257" s="38"/>
      <c r="AF3257" s="38"/>
      <c r="AG3257" s="38"/>
      <c r="AH3257" s="60"/>
    </row>
    <row r="3258" spans="1:34" ht="15.75" customHeight="1">
      <c r="A3258" s="146"/>
      <c r="B3258" s="18" t="s">
        <v>11517</v>
      </c>
      <c r="C3258" s="55" t="s">
        <v>24</v>
      </c>
      <c r="D3258" s="20" t="s">
        <v>11518</v>
      </c>
      <c r="E3258" s="20" t="s">
        <v>11519</v>
      </c>
      <c r="F3258" s="19" t="s">
        <v>27</v>
      </c>
      <c r="G3258" s="19" t="s">
        <v>28</v>
      </c>
      <c r="H3258" s="37" t="s">
        <v>55</v>
      </c>
      <c r="I3258" s="21" t="s">
        <v>29</v>
      </c>
      <c r="J3258" s="21" t="s">
        <v>29</v>
      </c>
      <c r="K3258" s="22" t="s">
        <v>11520</v>
      </c>
      <c r="L3258" s="56">
        <v>45097</v>
      </c>
      <c r="M3258" s="40"/>
      <c r="N3258" s="40"/>
      <c r="O3258" s="42"/>
      <c r="P3258" s="40"/>
      <c r="Q3258" s="61"/>
      <c r="R3258" s="61"/>
      <c r="S3258" s="40"/>
      <c r="T3258" s="38"/>
      <c r="U3258" s="38"/>
      <c r="V3258" s="38"/>
      <c r="W3258" s="60"/>
      <c r="AB3258" s="42"/>
      <c r="AC3258" s="35"/>
      <c r="AD3258" s="38"/>
      <c r="AE3258" s="38"/>
      <c r="AF3258" s="38"/>
      <c r="AG3258" s="38"/>
      <c r="AH3258" s="60"/>
    </row>
    <row r="3259" spans="1:34" ht="15.75" customHeight="1">
      <c r="A3259" s="146"/>
      <c r="B3259" s="18" t="s">
        <v>11521</v>
      </c>
      <c r="C3259" s="55" t="s">
        <v>24</v>
      </c>
      <c r="D3259" s="20" t="s">
        <v>11522</v>
      </c>
      <c r="E3259" s="20" t="s">
        <v>11523</v>
      </c>
      <c r="F3259" s="19" t="s">
        <v>27</v>
      </c>
      <c r="G3259" s="19" t="s">
        <v>28</v>
      </c>
      <c r="H3259" s="37" t="s">
        <v>55</v>
      </c>
      <c r="I3259" s="21" t="s">
        <v>29</v>
      </c>
      <c r="J3259" s="21" t="s">
        <v>29</v>
      </c>
      <c r="K3259" s="22" t="s">
        <v>11524</v>
      </c>
      <c r="L3259" s="56">
        <v>45097</v>
      </c>
      <c r="M3259" s="40"/>
      <c r="N3259" s="40"/>
      <c r="O3259" s="42"/>
      <c r="P3259" s="40"/>
      <c r="Q3259" s="61"/>
      <c r="R3259" s="61"/>
      <c r="S3259" s="40"/>
      <c r="T3259" s="38"/>
      <c r="U3259" s="38"/>
      <c r="V3259" s="38"/>
      <c r="W3259" s="60"/>
      <c r="AB3259" s="42"/>
      <c r="AC3259" s="35"/>
      <c r="AD3259" s="38"/>
      <c r="AE3259" s="38"/>
      <c r="AF3259" s="38"/>
      <c r="AG3259" s="38"/>
      <c r="AH3259" s="60"/>
    </row>
    <row r="3260" spans="1:34" ht="15.75" customHeight="1">
      <c r="A3260" s="146"/>
      <c r="B3260" s="18" t="s">
        <v>11525</v>
      </c>
      <c r="C3260" s="55" t="s">
        <v>87</v>
      </c>
      <c r="D3260" s="20" t="s">
        <v>11526</v>
      </c>
      <c r="E3260" s="20" t="s">
        <v>11527</v>
      </c>
      <c r="F3260" s="19" t="s">
        <v>90</v>
      </c>
      <c r="G3260" s="19" t="s">
        <v>91</v>
      </c>
      <c r="H3260" s="37" t="s">
        <v>55</v>
      </c>
      <c r="I3260" s="21" t="s">
        <v>29</v>
      </c>
      <c r="J3260" s="21" t="s">
        <v>29</v>
      </c>
      <c r="K3260" s="22" t="s">
        <v>11528</v>
      </c>
      <c r="L3260" s="56">
        <v>45097</v>
      </c>
      <c r="M3260" s="40"/>
      <c r="N3260" s="40"/>
      <c r="O3260" s="42"/>
      <c r="P3260" s="40"/>
      <c r="Q3260" s="61"/>
      <c r="R3260" s="61"/>
      <c r="S3260" s="40"/>
      <c r="T3260" s="38"/>
      <c r="U3260" s="38"/>
      <c r="V3260" s="38"/>
      <c r="W3260" s="60"/>
      <c r="AB3260" s="42"/>
      <c r="AC3260" s="35"/>
      <c r="AD3260" s="38"/>
      <c r="AE3260" s="38"/>
      <c r="AF3260" s="38"/>
      <c r="AG3260" s="38"/>
      <c r="AH3260" s="60"/>
    </row>
    <row r="3261" spans="1:34" ht="15.75" customHeight="1">
      <c r="A3261" s="146"/>
      <c r="B3261" s="18" t="s">
        <v>11529</v>
      </c>
      <c r="C3261" s="55" t="s">
        <v>24</v>
      </c>
      <c r="D3261" s="20" t="s">
        <v>11530</v>
      </c>
      <c r="E3261" s="20" t="s">
        <v>11531</v>
      </c>
      <c r="F3261" s="19" t="s">
        <v>27</v>
      </c>
      <c r="G3261" s="19" t="s">
        <v>28</v>
      </c>
      <c r="H3261" s="37" t="s">
        <v>55</v>
      </c>
      <c r="I3261" s="21" t="s">
        <v>29</v>
      </c>
      <c r="J3261" s="21" t="s">
        <v>29</v>
      </c>
      <c r="K3261" s="22" t="s">
        <v>11532</v>
      </c>
      <c r="L3261" s="56">
        <v>45097</v>
      </c>
      <c r="M3261" s="40"/>
      <c r="N3261" s="40"/>
      <c r="O3261" s="42"/>
      <c r="P3261" s="40"/>
      <c r="Q3261" s="61"/>
      <c r="R3261" s="61"/>
      <c r="S3261" s="40"/>
      <c r="T3261" s="38"/>
      <c r="U3261" s="38"/>
      <c r="V3261" s="38"/>
      <c r="W3261" s="60"/>
      <c r="AB3261" s="42"/>
      <c r="AC3261" s="35"/>
      <c r="AD3261" s="38"/>
      <c r="AE3261" s="38"/>
      <c r="AF3261" s="38"/>
      <c r="AG3261" s="38"/>
      <c r="AH3261" s="60"/>
    </row>
    <row r="3262" spans="1:34" ht="15.75" customHeight="1">
      <c r="A3262" s="146"/>
      <c r="B3262" s="38"/>
      <c r="C3262" s="37"/>
      <c r="D3262" s="20"/>
      <c r="E3262" s="20"/>
      <c r="F3262" s="37"/>
      <c r="G3262" s="37"/>
      <c r="H3262" s="37"/>
      <c r="I3262" s="21"/>
      <c r="J3262" s="21"/>
      <c r="K3262" s="22"/>
      <c r="L3262" s="113"/>
      <c r="M3262" s="40"/>
      <c r="N3262" s="40"/>
      <c r="O3262" s="42"/>
      <c r="P3262" s="40"/>
      <c r="Q3262" s="61"/>
      <c r="R3262" s="61"/>
      <c r="S3262" s="40"/>
      <c r="T3262" s="38"/>
      <c r="U3262" s="38"/>
      <c r="V3262" s="38"/>
      <c r="W3262" s="60"/>
      <c r="AB3262" s="42"/>
      <c r="AC3262" s="35"/>
      <c r="AD3262" s="38"/>
      <c r="AE3262" s="38"/>
      <c r="AF3262" s="38"/>
      <c r="AG3262" s="38"/>
      <c r="AH3262" s="60"/>
    </row>
    <row r="3263" spans="1:34" ht="15.75" customHeight="1">
      <c r="A3263" s="38" t="s">
        <v>11533</v>
      </c>
      <c r="B3263" s="18" t="s">
        <v>11534</v>
      </c>
      <c r="C3263" s="55" t="s">
        <v>46</v>
      </c>
      <c r="D3263" s="20" t="s">
        <v>11535</v>
      </c>
      <c r="E3263" s="20" t="s">
        <v>11536</v>
      </c>
      <c r="F3263" s="37" t="s">
        <v>49</v>
      </c>
      <c r="G3263" s="19" t="s">
        <v>50</v>
      </c>
      <c r="H3263" s="37" t="s">
        <v>55</v>
      </c>
      <c r="I3263" s="21" t="s">
        <v>29</v>
      </c>
      <c r="J3263" s="21" t="s">
        <v>29</v>
      </c>
      <c r="K3263" s="22" t="s">
        <v>11537</v>
      </c>
      <c r="L3263" s="56">
        <v>45097</v>
      </c>
      <c r="M3263" s="40"/>
      <c r="N3263" s="40"/>
      <c r="O3263" s="42"/>
      <c r="P3263" s="40"/>
      <c r="Q3263" s="61"/>
      <c r="R3263" s="61"/>
      <c r="S3263" s="40"/>
      <c r="T3263" s="38"/>
      <c r="U3263" s="38"/>
      <c r="V3263" s="38"/>
      <c r="W3263" s="60"/>
      <c r="AB3263" s="42"/>
      <c r="AC3263" s="35"/>
      <c r="AD3263" s="38"/>
      <c r="AE3263" s="38"/>
      <c r="AF3263" s="38"/>
      <c r="AG3263" s="38"/>
      <c r="AH3263" s="60"/>
    </row>
    <row r="3264" spans="1:34" ht="15.75" customHeight="1">
      <c r="A3264" s="54" t="s">
        <v>2714</v>
      </c>
      <c r="B3264" s="34" t="s">
        <v>11538</v>
      </c>
      <c r="C3264" s="55" t="s">
        <v>24</v>
      </c>
      <c r="D3264" s="20" t="s">
        <v>11539</v>
      </c>
      <c r="E3264" s="20" t="s">
        <v>11540</v>
      </c>
      <c r="F3264" s="19" t="s">
        <v>90</v>
      </c>
      <c r="G3264" s="19" t="s">
        <v>91</v>
      </c>
      <c r="H3264" s="37" t="s">
        <v>55</v>
      </c>
      <c r="I3264" s="21" t="s">
        <v>29</v>
      </c>
      <c r="J3264" s="21" t="s">
        <v>29</v>
      </c>
      <c r="K3264" s="22" t="s">
        <v>11541</v>
      </c>
      <c r="L3264" s="56">
        <v>45097</v>
      </c>
      <c r="M3264" s="40"/>
      <c r="N3264" s="40"/>
      <c r="O3264" s="42"/>
      <c r="P3264" s="40"/>
      <c r="Q3264" s="61"/>
      <c r="R3264" s="61"/>
      <c r="S3264" s="40"/>
      <c r="T3264" s="38"/>
      <c r="U3264" s="38"/>
      <c r="V3264" s="38"/>
      <c r="W3264" s="60"/>
      <c r="AB3264" s="42"/>
      <c r="AC3264" s="35"/>
      <c r="AD3264" s="38"/>
      <c r="AE3264" s="38"/>
      <c r="AF3264" s="38"/>
      <c r="AG3264" s="38"/>
      <c r="AH3264" s="60"/>
    </row>
    <row r="3265" spans="1:34" ht="15.75" customHeight="1">
      <c r="A3265" s="114" t="s">
        <v>39</v>
      </c>
      <c r="B3265" s="18" t="s">
        <v>11542</v>
      </c>
      <c r="C3265" s="55" t="s">
        <v>1470</v>
      </c>
      <c r="D3265" s="20" t="s">
        <v>11543</v>
      </c>
      <c r="E3265" s="20" t="s">
        <v>11544</v>
      </c>
      <c r="F3265" s="19" t="s">
        <v>3286</v>
      </c>
      <c r="G3265" s="37" t="s">
        <v>1461</v>
      </c>
      <c r="H3265" s="37" t="s">
        <v>55</v>
      </c>
      <c r="I3265" s="21" t="s">
        <v>233</v>
      </c>
      <c r="J3265" s="21" t="s">
        <v>233</v>
      </c>
      <c r="K3265" s="22" t="s">
        <v>11545</v>
      </c>
      <c r="L3265" s="56">
        <v>45097</v>
      </c>
      <c r="M3265" s="40"/>
      <c r="N3265" s="40"/>
      <c r="O3265" s="42"/>
      <c r="P3265" s="40"/>
      <c r="Q3265" s="61"/>
      <c r="R3265" s="61"/>
      <c r="S3265" s="40"/>
      <c r="T3265" s="38"/>
      <c r="U3265" s="38"/>
      <c r="V3265" s="38"/>
      <c r="W3265" s="60"/>
      <c r="AB3265" s="42"/>
      <c r="AC3265" s="35"/>
      <c r="AD3265" s="38"/>
      <c r="AE3265" s="38"/>
      <c r="AF3265" s="38"/>
      <c r="AG3265" s="38"/>
      <c r="AH3265" s="60"/>
    </row>
    <row r="3266" spans="1:34" ht="15.75" customHeight="1">
      <c r="A3266" s="38" t="s">
        <v>11546</v>
      </c>
      <c r="B3266" s="18" t="s">
        <v>11547</v>
      </c>
      <c r="C3266" s="55" t="s">
        <v>24</v>
      </c>
      <c r="D3266" s="20" t="s">
        <v>11548</v>
      </c>
      <c r="E3266" s="20" t="s">
        <v>11549</v>
      </c>
      <c r="F3266" s="19" t="s">
        <v>27</v>
      </c>
      <c r="G3266" s="19" t="s">
        <v>28</v>
      </c>
      <c r="H3266" s="37" t="s">
        <v>55</v>
      </c>
      <c r="I3266" s="21" t="s">
        <v>29</v>
      </c>
      <c r="J3266" s="21" t="s">
        <v>29</v>
      </c>
      <c r="K3266" s="22" t="s">
        <v>11550</v>
      </c>
      <c r="L3266" s="56">
        <v>45097</v>
      </c>
      <c r="M3266" s="40"/>
      <c r="N3266" s="40"/>
      <c r="O3266" s="42"/>
      <c r="P3266" s="40"/>
      <c r="Q3266" s="61"/>
      <c r="R3266" s="61"/>
      <c r="S3266" s="40"/>
      <c r="T3266" s="38"/>
      <c r="U3266" s="38"/>
      <c r="V3266" s="38"/>
      <c r="W3266" s="60"/>
      <c r="AB3266" s="42"/>
      <c r="AC3266" s="35"/>
      <c r="AD3266" s="38"/>
      <c r="AE3266" s="38"/>
      <c r="AF3266" s="38"/>
      <c r="AG3266" s="38"/>
      <c r="AH3266" s="60"/>
    </row>
    <row r="3267" spans="1:34" ht="15.75" customHeight="1">
      <c r="A3267" s="38" t="s">
        <v>8415</v>
      </c>
      <c r="B3267" s="29" t="s">
        <v>11551</v>
      </c>
      <c r="C3267" s="55" t="s">
        <v>1470</v>
      </c>
      <c r="D3267" s="20" t="s">
        <v>11552</v>
      </c>
      <c r="E3267" s="20" t="s">
        <v>11553</v>
      </c>
      <c r="F3267" s="55" t="s">
        <v>286</v>
      </c>
      <c r="G3267" s="19" t="s">
        <v>1461</v>
      </c>
      <c r="H3267" s="37" t="s">
        <v>55</v>
      </c>
      <c r="I3267" s="21" t="s">
        <v>286</v>
      </c>
      <c r="J3267" s="21" t="s">
        <v>233</v>
      </c>
      <c r="K3267" s="22" t="s">
        <v>11554</v>
      </c>
      <c r="L3267" s="56"/>
      <c r="M3267" s="40"/>
      <c r="N3267" s="40"/>
      <c r="O3267" s="42"/>
      <c r="P3267" s="40"/>
      <c r="Q3267" s="61"/>
      <c r="R3267" s="61"/>
      <c r="S3267" s="40"/>
      <c r="T3267" s="38"/>
      <c r="U3267" s="38"/>
      <c r="V3267" s="38"/>
      <c r="W3267" s="60"/>
      <c r="AB3267" s="42"/>
      <c r="AC3267" s="35"/>
      <c r="AD3267" s="38"/>
      <c r="AE3267" s="38"/>
      <c r="AF3267" s="38"/>
      <c r="AG3267" s="38"/>
      <c r="AH3267" s="60"/>
    </row>
    <row r="3268" spans="1:34" ht="15.75" customHeight="1">
      <c r="A3268" s="111" t="s">
        <v>56</v>
      </c>
      <c r="B3268" s="29" t="s">
        <v>11555</v>
      </c>
      <c r="C3268" s="55" t="s">
        <v>1470</v>
      </c>
      <c r="D3268" s="20" t="s">
        <v>11556</v>
      </c>
      <c r="E3268" s="20" t="s">
        <v>11557</v>
      </c>
      <c r="F3268" s="55" t="s">
        <v>286</v>
      </c>
      <c r="G3268" s="37" t="s">
        <v>1461</v>
      </c>
      <c r="H3268" s="37" t="s">
        <v>55</v>
      </c>
      <c r="I3268" s="21" t="s">
        <v>286</v>
      </c>
      <c r="J3268" s="21" t="s">
        <v>233</v>
      </c>
      <c r="K3268" s="22" t="s">
        <v>11558</v>
      </c>
      <c r="L3268" s="56"/>
      <c r="M3268" s="40"/>
      <c r="N3268" s="40"/>
      <c r="O3268" s="42"/>
      <c r="P3268" s="40"/>
      <c r="Q3268" s="61"/>
      <c r="R3268" s="61"/>
      <c r="S3268" s="40"/>
      <c r="T3268" s="38"/>
      <c r="U3268" s="38"/>
      <c r="V3268" s="38"/>
      <c r="W3268" s="60"/>
      <c r="AB3268" s="42"/>
      <c r="AC3268" s="35"/>
      <c r="AD3268" s="38"/>
      <c r="AE3268" s="38"/>
      <c r="AF3268" s="38"/>
      <c r="AG3268" s="38"/>
      <c r="AH3268" s="60"/>
    </row>
    <row r="3269" spans="1:34" ht="15.75" customHeight="1">
      <c r="A3269" s="75">
        <v>59</v>
      </c>
      <c r="B3269" s="18" t="s">
        <v>11559</v>
      </c>
      <c r="C3269" s="55" t="s">
        <v>46</v>
      </c>
      <c r="D3269" s="20" t="s">
        <v>11560</v>
      </c>
      <c r="E3269" s="20" t="s">
        <v>11561</v>
      </c>
      <c r="F3269" s="37" t="s">
        <v>49</v>
      </c>
      <c r="G3269" s="19" t="s">
        <v>50</v>
      </c>
      <c r="H3269" s="37" t="s">
        <v>55</v>
      </c>
      <c r="I3269" s="21" t="s">
        <v>29</v>
      </c>
      <c r="J3269" s="21" t="s">
        <v>29</v>
      </c>
      <c r="K3269" s="22" t="s">
        <v>11562</v>
      </c>
      <c r="L3269" s="56">
        <v>45097</v>
      </c>
      <c r="M3269" s="40"/>
      <c r="N3269" s="40"/>
      <c r="O3269" s="42"/>
      <c r="P3269" s="40"/>
      <c r="Q3269" s="61"/>
      <c r="R3269" s="61"/>
      <c r="S3269" s="40"/>
      <c r="T3269" s="38"/>
      <c r="U3269" s="38"/>
      <c r="V3269" s="38"/>
      <c r="W3269" s="60"/>
      <c r="AB3269" s="42"/>
      <c r="AC3269" s="35"/>
      <c r="AD3269" s="38"/>
      <c r="AE3269" s="38"/>
      <c r="AF3269" s="38"/>
      <c r="AG3269" s="38"/>
      <c r="AH3269" s="60"/>
    </row>
    <row r="3270" spans="1:34" ht="15.75" customHeight="1">
      <c r="A3270" s="111" t="s">
        <v>64</v>
      </c>
      <c r="B3270" s="29" t="s">
        <v>11563</v>
      </c>
      <c r="C3270" s="55" t="s">
        <v>1430</v>
      </c>
      <c r="D3270" s="20" t="s">
        <v>11564</v>
      </c>
      <c r="E3270" s="20" t="s">
        <v>11565</v>
      </c>
      <c r="F3270" s="55" t="s">
        <v>286</v>
      </c>
      <c r="G3270" s="55" t="s">
        <v>1432</v>
      </c>
      <c r="H3270" s="37" t="s">
        <v>55</v>
      </c>
      <c r="I3270" s="21" t="s">
        <v>286</v>
      </c>
      <c r="J3270" s="21" t="s">
        <v>233</v>
      </c>
      <c r="K3270" s="22" t="s">
        <v>11566</v>
      </c>
      <c r="L3270" s="56"/>
      <c r="M3270" s="40"/>
      <c r="N3270" s="40"/>
      <c r="O3270" s="42"/>
      <c r="P3270" s="40"/>
      <c r="Q3270" s="61"/>
      <c r="R3270" s="61"/>
      <c r="S3270" s="40"/>
      <c r="T3270" s="38"/>
      <c r="U3270" s="38"/>
      <c r="V3270" s="38"/>
      <c r="W3270" s="60"/>
      <c r="AB3270" s="42"/>
      <c r="AC3270" s="35"/>
      <c r="AD3270" s="38"/>
      <c r="AE3270" s="38"/>
      <c r="AF3270" s="38"/>
      <c r="AG3270" s="38"/>
      <c r="AH3270" s="60"/>
    </row>
    <row r="3271" spans="1:34" ht="15.75" customHeight="1">
      <c r="A3271" s="75">
        <v>2.6</v>
      </c>
      <c r="B3271" s="29" t="s">
        <v>11567</v>
      </c>
      <c r="C3271" s="55" t="s">
        <v>1430</v>
      </c>
      <c r="D3271" s="20" t="s">
        <v>11568</v>
      </c>
      <c r="E3271" s="20" t="s">
        <v>11569</v>
      </c>
      <c r="F3271" s="55" t="s">
        <v>286</v>
      </c>
      <c r="G3271" s="55" t="s">
        <v>1432</v>
      </c>
      <c r="H3271" s="37" t="s">
        <v>55</v>
      </c>
      <c r="I3271" s="21" t="s">
        <v>286</v>
      </c>
      <c r="J3271" s="21" t="s">
        <v>233</v>
      </c>
      <c r="K3271" s="22" t="s">
        <v>11570</v>
      </c>
      <c r="L3271" s="56"/>
      <c r="M3271" s="40"/>
      <c r="N3271" s="40"/>
      <c r="O3271" s="42"/>
      <c r="P3271" s="40"/>
      <c r="Q3271" s="61"/>
      <c r="R3271" s="61"/>
      <c r="S3271" s="40"/>
      <c r="T3271" s="38"/>
      <c r="U3271" s="38"/>
      <c r="V3271" s="38"/>
      <c r="W3271" s="60"/>
      <c r="AB3271" s="42"/>
      <c r="AC3271" s="35"/>
      <c r="AD3271" s="38"/>
      <c r="AE3271" s="38"/>
      <c r="AF3271" s="38"/>
      <c r="AG3271" s="38"/>
      <c r="AH3271" s="60"/>
    </row>
    <row r="3272" spans="1:34" ht="15.75" customHeight="1">
      <c r="A3272" s="111" t="s">
        <v>73</v>
      </c>
      <c r="B3272" s="18" t="s">
        <v>11571</v>
      </c>
      <c r="C3272" s="55" t="s">
        <v>1486</v>
      </c>
      <c r="D3272" s="20" t="s">
        <v>11572</v>
      </c>
      <c r="E3272" s="20" t="s">
        <v>11573</v>
      </c>
      <c r="F3272" s="37" t="s">
        <v>1489</v>
      </c>
      <c r="G3272" s="37" t="s">
        <v>1490</v>
      </c>
      <c r="H3272" s="37" t="s">
        <v>55</v>
      </c>
      <c r="I3272" s="21" t="s">
        <v>1371</v>
      </c>
      <c r="J3272" s="21" t="s">
        <v>1371</v>
      </c>
      <c r="K3272" s="22" t="s">
        <v>11574</v>
      </c>
      <c r="L3272" s="56">
        <v>45097</v>
      </c>
      <c r="M3272" s="40"/>
      <c r="N3272" s="40"/>
      <c r="O3272" s="42"/>
      <c r="P3272" s="40"/>
      <c r="Q3272" s="61"/>
      <c r="R3272" s="61"/>
      <c r="S3272" s="40"/>
      <c r="T3272" s="38"/>
      <c r="U3272" s="38"/>
      <c r="V3272" s="38"/>
      <c r="W3272" s="60"/>
      <c r="AB3272" s="42"/>
      <c r="AC3272" s="35"/>
      <c r="AD3272" s="38"/>
      <c r="AE3272" s="38"/>
      <c r="AF3272" s="38"/>
      <c r="AG3272" s="38"/>
      <c r="AH3272" s="60"/>
    </row>
    <row r="3273" spans="1:34" ht="15.75" customHeight="1">
      <c r="A3273" s="75">
        <v>3.1</v>
      </c>
      <c r="B3273" s="29" t="s">
        <v>11575</v>
      </c>
      <c r="C3273" s="55" t="s">
        <v>46</v>
      </c>
      <c r="D3273" s="20" t="s">
        <v>11576</v>
      </c>
      <c r="E3273" s="20" t="s">
        <v>11577</v>
      </c>
      <c r="F3273" s="55" t="s">
        <v>286</v>
      </c>
      <c r="G3273" s="19" t="s">
        <v>50</v>
      </c>
      <c r="H3273" s="37" t="s">
        <v>55</v>
      </c>
      <c r="I3273" s="21" t="s">
        <v>286</v>
      </c>
      <c r="J3273" s="21" t="s">
        <v>29</v>
      </c>
      <c r="K3273" s="22" t="s">
        <v>11578</v>
      </c>
      <c r="L3273" s="56"/>
      <c r="M3273" s="40"/>
      <c r="N3273" s="40"/>
      <c r="O3273" s="42"/>
      <c r="P3273" s="40"/>
      <c r="Q3273" s="61"/>
      <c r="R3273" s="61"/>
      <c r="S3273" s="40"/>
      <c r="T3273" s="38"/>
      <c r="U3273" s="38"/>
      <c r="V3273" s="38"/>
      <c r="W3273" s="60"/>
      <c r="AB3273" s="42"/>
      <c r="AC3273" s="35"/>
      <c r="AD3273" s="38"/>
      <c r="AE3273" s="38"/>
      <c r="AF3273" s="38"/>
      <c r="AG3273" s="38"/>
      <c r="AH3273" s="60"/>
    </row>
    <row r="3274" spans="1:34" ht="15.75" customHeight="1">
      <c r="A3274" s="111" t="s">
        <v>82</v>
      </c>
      <c r="B3274" s="18" t="s">
        <v>11579</v>
      </c>
      <c r="C3274" s="55" t="s">
        <v>87</v>
      </c>
      <c r="D3274" s="20" t="s">
        <v>11580</v>
      </c>
      <c r="E3274" s="20" t="s">
        <v>11581</v>
      </c>
      <c r="F3274" s="19" t="s">
        <v>90</v>
      </c>
      <c r="G3274" s="19" t="s">
        <v>91</v>
      </c>
      <c r="H3274" s="37" t="s">
        <v>55</v>
      </c>
      <c r="I3274" s="21" t="s">
        <v>29</v>
      </c>
      <c r="J3274" s="21" t="s">
        <v>29</v>
      </c>
      <c r="K3274" s="22" t="s">
        <v>11582</v>
      </c>
      <c r="L3274" s="56">
        <v>45097</v>
      </c>
      <c r="M3274" s="40"/>
      <c r="N3274" s="40"/>
      <c r="O3274" s="42"/>
      <c r="P3274" s="40"/>
      <c r="Q3274" s="61"/>
      <c r="R3274" s="61"/>
      <c r="S3274" s="40"/>
      <c r="T3274" s="38"/>
      <c r="U3274" s="38"/>
      <c r="V3274" s="38"/>
      <c r="W3274" s="60"/>
      <c r="AB3274" s="42"/>
      <c r="AC3274" s="35"/>
      <c r="AD3274" s="38"/>
      <c r="AE3274" s="38"/>
      <c r="AF3274" s="38"/>
      <c r="AG3274" s="38"/>
      <c r="AH3274" s="60"/>
    </row>
    <row r="3275" spans="1:34" ht="15.75" customHeight="1">
      <c r="A3275" s="75" t="s">
        <v>11583</v>
      </c>
      <c r="B3275" s="18" t="s">
        <v>11575</v>
      </c>
      <c r="C3275" s="55" t="s">
        <v>46</v>
      </c>
      <c r="D3275" s="20" t="s">
        <v>11584</v>
      </c>
      <c r="E3275" s="20" t="s">
        <v>11577</v>
      </c>
      <c r="F3275" s="37" t="s">
        <v>49</v>
      </c>
      <c r="G3275" s="19" t="s">
        <v>50</v>
      </c>
      <c r="H3275" s="37" t="s">
        <v>55</v>
      </c>
      <c r="I3275" s="21" t="s">
        <v>29</v>
      </c>
      <c r="J3275" s="21" t="s">
        <v>29</v>
      </c>
      <c r="K3275" s="22" t="s">
        <v>11578</v>
      </c>
      <c r="L3275" s="56">
        <v>45097</v>
      </c>
      <c r="M3275" s="40"/>
      <c r="N3275" s="40"/>
      <c r="O3275" s="42"/>
      <c r="P3275" s="40"/>
      <c r="Q3275" s="61"/>
      <c r="R3275" s="61"/>
      <c r="S3275" s="40"/>
      <c r="T3275" s="38"/>
      <c r="U3275" s="38"/>
      <c r="V3275" s="38"/>
      <c r="W3275" s="60"/>
      <c r="AB3275" s="42"/>
      <c r="AC3275" s="35"/>
      <c r="AD3275" s="38"/>
      <c r="AE3275" s="38"/>
      <c r="AF3275" s="38"/>
      <c r="AG3275" s="38"/>
      <c r="AH3275" s="60"/>
    </row>
    <row r="3276" spans="1:34" ht="15.75" customHeight="1">
      <c r="A3276" s="111" t="s">
        <v>92</v>
      </c>
      <c r="B3276" s="18" t="s">
        <v>11585</v>
      </c>
      <c r="C3276" s="55" t="s">
        <v>46</v>
      </c>
      <c r="D3276" s="20" t="s">
        <v>11586</v>
      </c>
      <c r="E3276" s="20" t="s">
        <v>11587</v>
      </c>
      <c r="F3276" s="37" t="s">
        <v>49</v>
      </c>
      <c r="G3276" s="19" t="s">
        <v>50</v>
      </c>
      <c r="H3276" s="37" t="s">
        <v>55</v>
      </c>
      <c r="I3276" s="21" t="s">
        <v>29</v>
      </c>
      <c r="J3276" s="21" t="s">
        <v>29</v>
      </c>
      <c r="K3276" s="22" t="s">
        <v>11588</v>
      </c>
      <c r="L3276" s="56">
        <v>45097</v>
      </c>
      <c r="M3276" s="40"/>
      <c r="N3276" s="40"/>
      <c r="O3276" s="42"/>
      <c r="P3276" s="40"/>
      <c r="Q3276" s="61"/>
      <c r="R3276" s="61"/>
      <c r="S3276" s="40"/>
      <c r="T3276" s="38"/>
      <c r="U3276" s="38"/>
      <c r="V3276" s="38"/>
      <c r="W3276" s="60"/>
      <c r="AB3276" s="42"/>
      <c r="AC3276" s="35"/>
      <c r="AD3276" s="38"/>
      <c r="AE3276" s="38"/>
      <c r="AF3276" s="38"/>
      <c r="AG3276" s="38"/>
      <c r="AH3276" s="60"/>
    </row>
    <row r="3277" spans="1:34" ht="15.75" customHeight="1">
      <c r="A3277" s="112">
        <v>715</v>
      </c>
      <c r="B3277" s="18" t="s">
        <v>11589</v>
      </c>
      <c r="C3277" s="55" t="s">
        <v>24</v>
      </c>
      <c r="D3277" s="20" t="s">
        <v>11590</v>
      </c>
      <c r="E3277" s="20" t="s">
        <v>11591</v>
      </c>
      <c r="F3277" s="19" t="s">
        <v>27</v>
      </c>
      <c r="G3277" s="19" t="s">
        <v>28</v>
      </c>
      <c r="H3277" s="37" t="s">
        <v>55</v>
      </c>
      <c r="I3277" s="21" t="s">
        <v>29</v>
      </c>
      <c r="J3277" s="21" t="s">
        <v>29</v>
      </c>
      <c r="K3277" s="22" t="s">
        <v>11592</v>
      </c>
      <c r="L3277" s="56">
        <v>45097</v>
      </c>
      <c r="M3277" s="40"/>
      <c r="N3277" s="40"/>
      <c r="O3277" s="42"/>
      <c r="P3277" s="40"/>
      <c r="Q3277" s="61"/>
      <c r="R3277" s="61"/>
      <c r="S3277" s="40"/>
      <c r="T3277" s="38"/>
      <c r="U3277" s="38"/>
      <c r="V3277" s="38"/>
      <c r="W3277" s="60"/>
      <c r="AB3277" s="42"/>
      <c r="AC3277" s="35"/>
      <c r="AD3277" s="38"/>
      <c r="AE3277" s="38"/>
      <c r="AF3277" s="38"/>
      <c r="AG3277" s="38"/>
      <c r="AH3277" s="60"/>
    </row>
    <row r="3278" spans="1:34" ht="15.75" customHeight="1">
      <c r="A3278" s="111" t="s">
        <v>100</v>
      </c>
      <c r="B3278" s="18" t="s">
        <v>11593</v>
      </c>
      <c r="C3278" s="55" t="s">
        <v>87</v>
      </c>
      <c r="D3278" s="20" t="s">
        <v>11594</v>
      </c>
      <c r="E3278" s="20" t="s">
        <v>11595</v>
      </c>
      <c r="F3278" s="19" t="s">
        <v>90</v>
      </c>
      <c r="G3278" s="19" t="s">
        <v>91</v>
      </c>
      <c r="H3278" s="37" t="s">
        <v>55</v>
      </c>
      <c r="I3278" s="21" t="s">
        <v>29</v>
      </c>
      <c r="J3278" s="21" t="s">
        <v>29</v>
      </c>
      <c r="K3278" s="22" t="s">
        <v>11596</v>
      </c>
      <c r="L3278" s="56">
        <v>45097</v>
      </c>
      <c r="M3278" s="40"/>
      <c r="N3278" s="40"/>
      <c r="O3278" s="42"/>
      <c r="P3278" s="40"/>
      <c r="Q3278" s="61"/>
      <c r="R3278" s="61"/>
      <c r="S3278" s="40"/>
      <c r="T3278" s="38"/>
      <c r="U3278" s="38"/>
      <c r="V3278" s="38"/>
      <c r="W3278" s="60"/>
      <c r="AB3278" s="42"/>
      <c r="AC3278" s="35"/>
      <c r="AD3278" s="38"/>
      <c r="AE3278" s="38"/>
      <c r="AF3278" s="38"/>
      <c r="AG3278" s="38"/>
      <c r="AH3278" s="60"/>
    </row>
    <row r="3279" spans="1:34" ht="15.75" customHeight="1">
      <c r="A3279" s="75" t="s">
        <v>55</v>
      </c>
      <c r="B3279" s="18" t="s">
        <v>11597</v>
      </c>
      <c r="C3279" s="55" t="s">
        <v>1638</v>
      </c>
      <c r="D3279" s="20" t="s">
        <v>11598</v>
      </c>
      <c r="E3279" s="20" t="s">
        <v>11599</v>
      </c>
      <c r="F3279" s="37" t="s">
        <v>1399</v>
      </c>
      <c r="G3279" s="19" t="s">
        <v>1641</v>
      </c>
      <c r="H3279" s="37" t="s">
        <v>55</v>
      </c>
      <c r="I3279" s="21" t="s">
        <v>1371</v>
      </c>
      <c r="J3279" s="21" t="s">
        <v>1371</v>
      </c>
      <c r="K3279" s="22" t="s">
        <v>11600</v>
      </c>
      <c r="L3279" s="56">
        <v>45097</v>
      </c>
      <c r="M3279" s="40"/>
      <c r="N3279" s="40"/>
      <c r="O3279" s="42"/>
      <c r="P3279" s="40"/>
      <c r="Q3279" s="61"/>
      <c r="R3279" s="61"/>
      <c r="S3279" s="40"/>
      <c r="T3279" s="38"/>
      <c r="U3279" s="38"/>
      <c r="V3279" s="38"/>
      <c r="W3279" s="60"/>
      <c r="AB3279" s="42"/>
      <c r="AC3279" s="35"/>
      <c r="AD3279" s="38"/>
      <c r="AE3279" s="38"/>
      <c r="AF3279" s="38"/>
      <c r="AG3279" s="38"/>
      <c r="AH3279" s="60"/>
    </row>
    <row r="3280" spans="1:34" ht="15.75" customHeight="1">
      <c r="B3280" s="29" t="s">
        <v>11601</v>
      </c>
      <c r="C3280" s="55" t="s">
        <v>1638</v>
      </c>
      <c r="D3280" s="20" t="s">
        <v>11602</v>
      </c>
      <c r="E3280" s="20" t="s">
        <v>11603</v>
      </c>
      <c r="F3280" s="55" t="s">
        <v>286</v>
      </c>
      <c r="G3280" s="19" t="s">
        <v>1641</v>
      </c>
      <c r="H3280" s="37" t="s">
        <v>55</v>
      </c>
      <c r="I3280" s="21" t="s">
        <v>286</v>
      </c>
      <c r="J3280" s="21" t="s">
        <v>233</v>
      </c>
      <c r="K3280" s="22" t="s">
        <v>11604</v>
      </c>
      <c r="L3280" s="56"/>
      <c r="M3280" s="40"/>
      <c r="N3280" s="40"/>
      <c r="O3280" s="42"/>
      <c r="P3280" s="40"/>
      <c r="Q3280" s="61"/>
      <c r="R3280" s="61"/>
      <c r="S3280" s="40"/>
      <c r="T3280" s="38"/>
      <c r="U3280" s="38"/>
      <c r="V3280" s="38"/>
      <c r="W3280" s="60"/>
      <c r="AB3280" s="42"/>
      <c r="AC3280" s="35"/>
      <c r="AD3280" s="38"/>
      <c r="AE3280" s="38"/>
      <c r="AF3280" s="38"/>
      <c r="AG3280" s="38"/>
      <c r="AH3280" s="60"/>
    </row>
    <row r="3281" spans="1:34" ht="15.75" customHeight="1">
      <c r="B3281" s="34" t="s">
        <v>11605</v>
      </c>
      <c r="C3281" s="55" t="s">
        <v>87</v>
      </c>
      <c r="D3281" s="20" t="s">
        <v>11606</v>
      </c>
      <c r="E3281" s="20" t="s">
        <v>11607</v>
      </c>
      <c r="F3281" s="37" t="s">
        <v>49</v>
      </c>
      <c r="G3281" s="19" t="s">
        <v>50</v>
      </c>
      <c r="H3281" s="37" t="s">
        <v>55</v>
      </c>
      <c r="I3281" s="21" t="s">
        <v>29</v>
      </c>
      <c r="J3281" s="21" t="s">
        <v>29</v>
      </c>
      <c r="K3281" s="22" t="s">
        <v>11608</v>
      </c>
      <c r="L3281" s="56">
        <v>45097</v>
      </c>
      <c r="M3281" s="40"/>
      <c r="N3281" s="40"/>
      <c r="O3281" s="42"/>
      <c r="P3281" s="40"/>
      <c r="Q3281" s="61"/>
      <c r="R3281" s="61"/>
      <c r="S3281" s="40"/>
      <c r="T3281" s="38"/>
      <c r="U3281" s="38"/>
      <c r="V3281" s="38"/>
      <c r="W3281" s="60"/>
      <c r="AB3281" s="42"/>
      <c r="AC3281" s="35"/>
      <c r="AD3281" s="38"/>
      <c r="AE3281" s="38"/>
      <c r="AF3281" s="38"/>
      <c r="AG3281" s="38"/>
      <c r="AH3281" s="60"/>
    </row>
    <row r="3282" spans="1:34" ht="15.75" customHeight="1">
      <c r="B3282" s="29" t="s">
        <v>11609</v>
      </c>
      <c r="C3282" s="55" t="s">
        <v>87</v>
      </c>
      <c r="D3282" s="20" t="s">
        <v>11610</v>
      </c>
      <c r="E3282" s="20" t="s">
        <v>11611</v>
      </c>
      <c r="F3282" s="19" t="s">
        <v>90</v>
      </c>
      <c r="G3282" s="19" t="s">
        <v>91</v>
      </c>
      <c r="H3282" s="37" t="s">
        <v>55</v>
      </c>
      <c r="I3282" s="21" t="s">
        <v>29</v>
      </c>
      <c r="J3282" s="21" t="s">
        <v>29</v>
      </c>
      <c r="K3282" s="22" t="s">
        <v>11612</v>
      </c>
      <c r="L3282" s="56"/>
      <c r="M3282" s="40"/>
      <c r="N3282" s="40"/>
      <c r="O3282" s="42"/>
      <c r="P3282" s="40"/>
      <c r="Q3282" s="61"/>
      <c r="R3282" s="61"/>
      <c r="S3282" s="40"/>
      <c r="T3282" s="38"/>
      <c r="U3282" s="38"/>
      <c r="V3282" s="38"/>
      <c r="W3282" s="60"/>
      <c r="AB3282" s="42"/>
      <c r="AC3282" s="35"/>
      <c r="AD3282" s="38"/>
      <c r="AE3282" s="38"/>
      <c r="AF3282" s="38"/>
      <c r="AG3282" s="38"/>
      <c r="AH3282" s="60"/>
    </row>
    <row r="3283" spans="1:34" ht="15.75" customHeight="1">
      <c r="B3283" s="18" t="s">
        <v>11613</v>
      </c>
      <c r="C3283" s="55" t="s">
        <v>1638</v>
      </c>
      <c r="D3283" s="20" t="s">
        <v>11614</v>
      </c>
      <c r="E3283" s="20" t="s">
        <v>11615</v>
      </c>
      <c r="F3283" s="37" t="s">
        <v>1399</v>
      </c>
      <c r="G3283" s="19" t="s">
        <v>1641</v>
      </c>
      <c r="H3283" s="37" t="s">
        <v>55</v>
      </c>
      <c r="I3283" s="21" t="s">
        <v>1371</v>
      </c>
      <c r="J3283" s="21" t="s">
        <v>1371</v>
      </c>
      <c r="K3283" s="22" t="s">
        <v>11616</v>
      </c>
      <c r="L3283" s="56">
        <v>45097</v>
      </c>
      <c r="M3283" s="40"/>
      <c r="N3283" s="40"/>
      <c r="O3283" s="42"/>
      <c r="P3283" s="40"/>
      <c r="Q3283" s="61"/>
      <c r="R3283" s="61"/>
      <c r="S3283" s="40"/>
      <c r="T3283" s="38"/>
      <c r="U3283" s="38"/>
      <c r="V3283" s="38"/>
      <c r="W3283" s="60"/>
      <c r="AB3283" s="42"/>
      <c r="AC3283" s="35"/>
      <c r="AD3283" s="38"/>
      <c r="AE3283" s="38"/>
      <c r="AF3283" s="38"/>
      <c r="AG3283" s="38"/>
      <c r="AH3283" s="60"/>
    </row>
    <row r="3284" spans="1:34" ht="15.75" customHeight="1">
      <c r="B3284" s="18" t="s">
        <v>11617</v>
      </c>
      <c r="C3284" s="55" t="s">
        <v>46</v>
      </c>
      <c r="D3284" s="20" t="s">
        <v>11618</v>
      </c>
      <c r="E3284" s="20" t="s">
        <v>11619</v>
      </c>
      <c r="F3284" s="37" t="s">
        <v>49</v>
      </c>
      <c r="G3284" s="19" t="s">
        <v>50</v>
      </c>
      <c r="H3284" s="37" t="s">
        <v>55</v>
      </c>
      <c r="I3284" s="21" t="s">
        <v>29</v>
      </c>
      <c r="J3284" s="21" t="s">
        <v>29</v>
      </c>
      <c r="K3284" s="22" t="s">
        <v>11620</v>
      </c>
      <c r="L3284" s="56">
        <v>45097</v>
      </c>
      <c r="M3284" s="40"/>
      <c r="N3284" s="40"/>
      <c r="O3284" s="42"/>
      <c r="P3284" s="40"/>
      <c r="Q3284" s="61"/>
      <c r="R3284" s="61"/>
      <c r="S3284" s="40"/>
      <c r="T3284" s="38"/>
      <c r="U3284" s="38"/>
      <c r="V3284" s="38"/>
      <c r="W3284" s="60"/>
      <c r="AB3284" s="42"/>
      <c r="AC3284" s="35"/>
      <c r="AD3284" s="38"/>
      <c r="AE3284" s="38"/>
      <c r="AF3284" s="38"/>
      <c r="AG3284" s="38"/>
      <c r="AH3284" s="60"/>
    </row>
    <row r="3285" spans="1:34" ht="15.75" customHeight="1">
      <c r="B3285" s="18" t="s">
        <v>11621</v>
      </c>
      <c r="C3285" s="55" t="s">
        <v>24</v>
      </c>
      <c r="D3285" s="20" t="s">
        <v>11622</v>
      </c>
      <c r="E3285" s="20" t="s">
        <v>11623</v>
      </c>
      <c r="F3285" s="19" t="s">
        <v>27</v>
      </c>
      <c r="G3285" s="19" t="s">
        <v>28</v>
      </c>
      <c r="H3285" s="37" t="s">
        <v>55</v>
      </c>
      <c r="I3285" s="21" t="s">
        <v>29</v>
      </c>
      <c r="J3285" s="21" t="s">
        <v>29</v>
      </c>
      <c r="K3285" s="22" t="s">
        <v>11624</v>
      </c>
      <c r="L3285" s="56">
        <v>45097</v>
      </c>
      <c r="M3285" s="40"/>
      <c r="N3285" s="40"/>
      <c r="O3285" s="42"/>
      <c r="P3285" s="40"/>
      <c r="Q3285" s="61"/>
      <c r="R3285" s="61"/>
      <c r="S3285" s="40"/>
      <c r="T3285" s="38"/>
      <c r="U3285" s="38"/>
      <c r="V3285" s="38"/>
      <c r="W3285" s="60"/>
      <c r="AB3285" s="42"/>
      <c r="AC3285" s="35"/>
      <c r="AD3285" s="38"/>
      <c r="AE3285" s="38"/>
      <c r="AF3285" s="38"/>
      <c r="AG3285" s="38"/>
      <c r="AH3285" s="60"/>
    </row>
    <row r="3286" spans="1:34" ht="15.75" customHeight="1">
      <c r="B3286" s="18" t="s">
        <v>11625</v>
      </c>
      <c r="C3286" s="55" t="s">
        <v>24</v>
      </c>
      <c r="D3286" s="20" t="s">
        <v>11626</v>
      </c>
      <c r="E3286" s="20" t="s">
        <v>11627</v>
      </c>
      <c r="F3286" s="19" t="s">
        <v>27</v>
      </c>
      <c r="G3286" s="19" t="s">
        <v>28</v>
      </c>
      <c r="H3286" s="37" t="s">
        <v>55</v>
      </c>
      <c r="I3286" s="21" t="s">
        <v>29</v>
      </c>
      <c r="J3286" s="21" t="s">
        <v>29</v>
      </c>
      <c r="K3286" s="22" t="s">
        <v>11628</v>
      </c>
      <c r="L3286" s="56">
        <v>45097</v>
      </c>
      <c r="M3286" s="40"/>
      <c r="N3286" s="40"/>
      <c r="O3286" s="42"/>
      <c r="P3286" s="40"/>
      <c r="Q3286" s="61"/>
      <c r="R3286" s="61"/>
      <c r="S3286" s="40"/>
      <c r="T3286" s="38"/>
      <c r="U3286" s="38"/>
      <c r="V3286" s="38"/>
      <c r="W3286" s="60"/>
      <c r="AB3286" s="42"/>
      <c r="AC3286" s="35"/>
      <c r="AD3286" s="38"/>
      <c r="AE3286" s="38"/>
      <c r="AF3286" s="38"/>
      <c r="AG3286" s="38"/>
      <c r="AH3286" s="60"/>
    </row>
    <row r="3287" spans="1:34" ht="15.75" customHeight="1">
      <c r="A3287" s="35"/>
      <c r="B3287" s="18" t="s">
        <v>11629</v>
      </c>
      <c r="C3287" s="55" t="s">
        <v>1486</v>
      </c>
      <c r="D3287" s="20" t="s">
        <v>11630</v>
      </c>
      <c r="E3287" s="20" t="s">
        <v>11631</v>
      </c>
      <c r="F3287" s="37" t="s">
        <v>1489</v>
      </c>
      <c r="G3287" s="37" t="s">
        <v>1490</v>
      </c>
      <c r="H3287" s="37" t="s">
        <v>55</v>
      </c>
      <c r="I3287" s="21" t="s">
        <v>1371</v>
      </c>
      <c r="J3287" s="21" t="s">
        <v>1371</v>
      </c>
      <c r="K3287" s="22" t="s">
        <v>11632</v>
      </c>
      <c r="L3287" s="56">
        <v>45097</v>
      </c>
      <c r="M3287" s="40"/>
      <c r="N3287" s="40"/>
      <c r="O3287" s="42"/>
      <c r="P3287" s="40"/>
      <c r="Q3287" s="61"/>
      <c r="R3287" s="61"/>
      <c r="S3287" s="40"/>
      <c r="T3287" s="38"/>
      <c r="U3287" s="38"/>
      <c r="V3287" s="38"/>
      <c r="W3287" s="60"/>
      <c r="AB3287" s="42"/>
      <c r="AC3287" s="35"/>
      <c r="AD3287" s="38"/>
      <c r="AE3287" s="38"/>
      <c r="AF3287" s="38"/>
      <c r="AG3287" s="38"/>
      <c r="AH3287" s="60"/>
    </row>
    <row r="3288" spans="1:34" ht="15.75" customHeight="1">
      <c r="A3288" s="35"/>
      <c r="B3288" s="29" t="s">
        <v>11633</v>
      </c>
      <c r="C3288" s="143" t="s">
        <v>24</v>
      </c>
      <c r="D3288" s="20" t="s">
        <v>11634</v>
      </c>
      <c r="E3288" s="20" t="s">
        <v>11635</v>
      </c>
      <c r="F3288" s="19" t="s">
        <v>27</v>
      </c>
      <c r="G3288" s="19" t="s">
        <v>28</v>
      </c>
      <c r="H3288" s="37" t="s">
        <v>55</v>
      </c>
      <c r="I3288" s="21" t="s">
        <v>29</v>
      </c>
      <c r="J3288" s="21" t="s">
        <v>29</v>
      </c>
      <c r="K3288" s="22" t="s">
        <v>11636</v>
      </c>
      <c r="L3288" s="56">
        <v>45097</v>
      </c>
      <c r="M3288" s="40"/>
      <c r="N3288" s="40"/>
      <c r="O3288" s="42"/>
      <c r="P3288" s="40"/>
      <c r="Q3288" s="61"/>
      <c r="R3288" s="61"/>
      <c r="S3288" s="40"/>
      <c r="T3288" s="38"/>
      <c r="U3288" s="38"/>
      <c r="V3288" s="38"/>
      <c r="W3288" s="60"/>
      <c r="AB3288" s="42"/>
      <c r="AC3288" s="35"/>
      <c r="AD3288" s="38"/>
      <c r="AE3288" s="38"/>
      <c r="AF3288" s="38"/>
      <c r="AG3288" s="38"/>
      <c r="AH3288" s="60"/>
    </row>
    <row r="3289" spans="1:34" ht="15.75" customHeight="1">
      <c r="A3289" s="35"/>
      <c r="B3289" s="34" t="s">
        <v>11637</v>
      </c>
      <c r="C3289" s="55" t="s">
        <v>24</v>
      </c>
      <c r="D3289" s="20" t="s">
        <v>11638</v>
      </c>
      <c r="E3289" s="20" t="s">
        <v>11639</v>
      </c>
      <c r="F3289" s="19" t="s">
        <v>90</v>
      </c>
      <c r="G3289" s="19" t="s">
        <v>91</v>
      </c>
      <c r="H3289" s="37" t="s">
        <v>55</v>
      </c>
      <c r="I3289" s="21" t="s">
        <v>29</v>
      </c>
      <c r="J3289" s="21" t="s">
        <v>29</v>
      </c>
      <c r="K3289" s="22" t="s">
        <v>11640</v>
      </c>
      <c r="L3289" s="56">
        <v>45097</v>
      </c>
      <c r="M3289" s="40"/>
      <c r="N3289" s="40"/>
      <c r="O3289" s="42"/>
      <c r="P3289" s="40"/>
      <c r="Q3289" s="61"/>
      <c r="R3289" s="61"/>
      <c r="S3289" s="40"/>
      <c r="T3289" s="38"/>
      <c r="U3289" s="38"/>
      <c r="V3289" s="38"/>
      <c r="W3289" s="60"/>
      <c r="AB3289" s="42"/>
      <c r="AC3289" s="35"/>
      <c r="AD3289" s="38"/>
      <c r="AE3289" s="38"/>
      <c r="AF3289" s="38"/>
      <c r="AG3289" s="38"/>
      <c r="AH3289" s="60"/>
    </row>
    <row r="3290" spans="1:34" ht="15.75" customHeight="1">
      <c r="A3290" s="35"/>
      <c r="B3290" s="18" t="s">
        <v>11641</v>
      </c>
      <c r="C3290" s="55" t="s">
        <v>24</v>
      </c>
      <c r="D3290" s="20" t="s">
        <v>11642</v>
      </c>
      <c r="E3290" s="20" t="s">
        <v>11643</v>
      </c>
      <c r="F3290" s="19" t="s">
        <v>27</v>
      </c>
      <c r="G3290" s="19" t="s">
        <v>28</v>
      </c>
      <c r="H3290" s="37" t="s">
        <v>55</v>
      </c>
      <c r="I3290" s="21" t="s">
        <v>29</v>
      </c>
      <c r="J3290" s="21" t="s">
        <v>29</v>
      </c>
      <c r="K3290" s="22" t="s">
        <v>11644</v>
      </c>
      <c r="L3290" s="56">
        <v>45097</v>
      </c>
      <c r="M3290" s="40"/>
      <c r="N3290" s="40"/>
      <c r="O3290" s="42"/>
      <c r="P3290" s="40"/>
      <c r="Q3290" s="61"/>
      <c r="R3290" s="61"/>
      <c r="S3290" s="40"/>
      <c r="T3290" s="38"/>
      <c r="U3290" s="38"/>
      <c r="V3290" s="38"/>
      <c r="W3290" s="60"/>
      <c r="AB3290" s="42"/>
      <c r="AC3290" s="35"/>
      <c r="AD3290" s="38"/>
      <c r="AE3290" s="38"/>
      <c r="AF3290" s="38"/>
      <c r="AG3290" s="38"/>
      <c r="AH3290" s="60"/>
    </row>
    <row r="3291" spans="1:34" ht="15.75" customHeight="1">
      <c r="A3291" s="35"/>
      <c r="B3291" s="29" t="s">
        <v>11645</v>
      </c>
      <c r="C3291" s="55" t="s">
        <v>1470</v>
      </c>
      <c r="D3291" s="20" t="s">
        <v>11646</v>
      </c>
      <c r="E3291" s="20"/>
      <c r="F3291" s="55" t="s">
        <v>286</v>
      </c>
      <c r="G3291" s="19" t="s">
        <v>1461</v>
      </c>
      <c r="H3291" s="37" t="s">
        <v>55</v>
      </c>
      <c r="I3291" s="21" t="s">
        <v>286</v>
      </c>
      <c r="J3291" s="21" t="s">
        <v>233</v>
      </c>
      <c r="K3291" s="22"/>
      <c r="L3291" s="56"/>
      <c r="M3291" s="40"/>
      <c r="N3291" s="40"/>
      <c r="O3291" s="42"/>
      <c r="P3291" s="40"/>
      <c r="Q3291" s="61"/>
      <c r="R3291" s="61"/>
      <c r="S3291" s="40"/>
      <c r="T3291" s="38"/>
      <c r="U3291" s="38"/>
      <c r="V3291" s="38"/>
      <c r="W3291" s="60"/>
      <c r="AB3291" s="42"/>
      <c r="AC3291" s="35"/>
      <c r="AD3291" s="38"/>
      <c r="AE3291" s="38"/>
      <c r="AF3291" s="38"/>
      <c r="AG3291" s="38"/>
      <c r="AH3291" s="60"/>
    </row>
    <row r="3292" spans="1:34" ht="15.75" customHeight="1">
      <c r="A3292" s="35"/>
      <c r="B3292" s="38" t="s">
        <v>11647</v>
      </c>
      <c r="C3292" s="55" t="s">
        <v>24</v>
      </c>
      <c r="D3292" s="20" t="s">
        <v>11648</v>
      </c>
      <c r="E3292" s="20"/>
      <c r="F3292" s="19" t="s">
        <v>27</v>
      </c>
      <c r="G3292" s="19" t="s">
        <v>28</v>
      </c>
      <c r="H3292" s="37" t="s">
        <v>55</v>
      </c>
      <c r="I3292" s="21" t="s">
        <v>29</v>
      </c>
      <c r="J3292" s="21" t="s">
        <v>29</v>
      </c>
      <c r="K3292" s="22"/>
      <c r="L3292" s="56"/>
      <c r="M3292" s="40"/>
      <c r="N3292" s="40"/>
      <c r="O3292" s="42"/>
      <c r="P3292" s="40"/>
      <c r="Q3292" s="61"/>
      <c r="R3292" s="61"/>
      <c r="S3292" s="40"/>
      <c r="T3292" s="38"/>
      <c r="U3292" s="38"/>
      <c r="V3292" s="38"/>
      <c r="W3292" s="60"/>
      <c r="AB3292" s="42"/>
      <c r="AC3292" s="35"/>
      <c r="AD3292" s="38"/>
      <c r="AE3292" s="38"/>
      <c r="AF3292" s="38"/>
      <c r="AG3292" s="38"/>
      <c r="AH3292" s="60"/>
    </row>
    <row r="3293" spans="1:34" ht="15.75" customHeight="1">
      <c r="A3293" s="35"/>
      <c r="B3293" s="18" t="s">
        <v>11649</v>
      </c>
      <c r="C3293" s="55" t="s">
        <v>24</v>
      </c>
      <c r="D3293" s="20" t="s">
        <v>11650</v>
      </c>
      <c r="E3293" s="20" t="s">
        <v>11651</v>
      </c>
      <c r="F3293" s="19" t="s">
        <v>27</v>
      </c>
      <c r="G3293" s="19" t="s">
        <v>28</v>
      </c>
      <c r="H3293" s="37" t="s">
        <v>55</v>
      </c>
      <c r="I3293" s="21" t="s">
        <v>29</v>
      </c>
      <c r="J3293" s="21" t="s">
        <v>29</v>
      </c>
      <c r="K3293" s="22" t="s">
        <v>11652</v>
      </c>
      <c r="L3293" s="56">
        <v>45097</v>
      </c>
      <c r="M3293" s="40"/>
      <c r="N3293" s="40"/>
      <c r="O3293" s="42"/>
      <c r="P3293" s="40"/>
      <c r="Q3293" s="61"/>
      <c r="R3293" s="61"/>
      <c r="S3293" s="40"/>
      <c r="T3293" s="38"/>
      <c r="U3293" s="38"/>
      <c r="V3293" s="38"/>
      <c r="W3293" s="60"/>
      <c r="AB3293" s="42"/>
      <c r="AC3293" s="35"/>
      <c r="AD3293" s="38"/>
      <c r="AE3293" s="38"/>
      <c r="AF3293" s="38"/>
      <c r="AG3293" s="38"/>
      <c r="AH3293" s="60"/>
    </row>
    <row r="3294" spans="1:34" ht="15.75" customHeight="1">
      <c r="A3294" s="35"/>
      <c r="B3294" s="38" t="s">
        <v>11653</v>
      </c>
      <c r="C3294" s="55" t="s">
        <v>24</v>
      </c>
      <c r="D3294" s="20" t="s">
        <v>11654</v>
      </c>
      <c r="E3294" s="20"/>
      <c r="F3294" s="19" t="s">
        <v>27</v>
      </c>
      <c r="G3294" s="19" t="s">
        <v>28</v>
      </c>
      <c r="H3294" s="37" t="s">
        <v>55</v>
      </c>
      <c r="I3294" s="21" t="s">
        <v>29</v>
      </c>
      <c r="J3294" s="21" t="s">
        <v>29</v>
      </c>
      <c r="K3294" s="22"/>
      <c r="L3294" s="56"/>
      <c r="M3294" s="40"/>
      <c r="N3294" s="40"/>
      <c r="O3294" s="42"/>
      <c r="P3294" s="40"/>
      <c r="Q3294" s="61"/>
      <c r="R3294" s="61"/>
      <c r="S3294" s="40"/>
      <c r="T3294" s="38"/>
      <c r="U3294" s="38"/>
      <c r="V3294" s="38"/>
      <c r="W3294" s="60"/>
      <c r="AB3294" s="42"/>
      <c r="AC3294" s="35"/>
      <c r="AD3294" s="38"/>
      <c r="AE3294" s="38"/>
      <c r="AF3294" s="38"/>
      <c r="AG3294" s="38"/>
      <c r="AH3294" s="60"/>
    </row>
    <row r="3295" spans="1:34" ht="15.75" customHeight="1">
      <c r="A3295" s="35"/>
      <c r="B3295" s="38" t="s">
        <v>11655</v>
      </c>
      <c r="C3295" s="55" t="s">
        <v>24</v>
      </c>
      <c r="D3295" s="20" t="s">
        <v>11656</v>
      </c>
      <c r="E3295" s="20" t="s">
        <v>11657</v>
      </c>
      <c r="F3295" s="19" t="s">
        <v>27</v>
      </c>
      <c r="G3295" s="19" t="s">
        <v>28</v>
      </c>
      <c r="H3295" s="37" t="s">
        <v>55</v>
      </c>
      <c r="I3295" s="21" t="s">
        <v>29</v>
      </c>
      <c r="J3295" s="21" t="s">
        <v>29</v>
      </c>
      <c r="K3295" s="22" t="s">
        <v>11658</v>
      </c>
      <c r="L3295" s="56"/>
      <c r="M3295" s="40"/>
      <c r="N3295" s="40"/>
      <c r="O3295" s="42"/>
      <c r="P3295" s="40"/>
      <c r="Q3295" s="61"/>
      <c r="R3295" s="61"/>
      <c r="S3295" s="40"/>
      <c r="T3295" s="38"/>
      <c r="U3295" s="38"/>
      <c r="V3295" s="38"/>
      <c r="W3295" s="60"/>
      <c r="AB3295" s="42"/>
      <c r="AC3295" s="35"/>
      <c r="AD3295" s="38"/>
      <c r="AE3295" s="38"/>
      <c r="AF3295" s="38"/>
      <c r="AG3295" s="38"/>
      <c r="AH3295" s="60"/>
    </row>
    <row r="3296" spans="1:34" ht="15.75" customHeight="1">
      <c r="A3296" s="35"/>
      <c r="B3296" s="18" t="s">
        <v>11659</v>
      </c>
      <c r="C3296" s="55" t="s">
        <v>412</v>
      </c>
      <c r="D3296" s="20" t="s">
        <v>11660</v>
      </c>
      <c r="E3296" s="20"/>
      <c r="F3296" s="19" t="s">
        <v>414</v>
      </c>
      <c r="G3296" s="19" t="s">
        <v>415</v>
      </c>
      <c r="H3296" s="37" t="s">
        <v>55</v>
      </c>
      <c r="I3296" s="21" t="s">
        <v>233</v>
      </c>
      <c r="J3296" s="21" t="s">
        <v>233</v>
      </c>
      <c r="K3296" s="22"/>
      <c r="L3296" s="56">
        <v>45097</v>
      </c>
      <c r="M3296" s="40"/>
      <c r="N3296" s="40"/>
      <c r="O3296" s="42"/>
      <c r="P3296" s="40"/>
      <c r="Q3296" s="61"/>
      <c r="R3296" s="61"/>
      <c r="S3296" s="40"/>
      <c r="T3296" s="38"/>
      <c r="U3296" s="38"/>
      <c r="V3296" s="38"/>
      <c r="W3296" s="60"/>
      <c r="AB3296" s="42"/>
      <c r="AC3296" s="35"/>
      <c r="AD3296" s="38"/>
      <c r="AE3296" s="38"/>
      <c r="AF3296" s="38"/>
      <c r="AG3296" s="38"/>
      <c r="AH3296" s="60"/>
    </row>
    <row r="3297" spans="1:34" ht="15.75" customHeight="1">
      <c r="A3297" s="35"/>
      <c r="B3297" s="18" t="s">
        <v>11661</v>
      </c>
      <c r="C3297" s="55" t="s">
        <v>87</v>
      </c>
      <c r="D3297" s="20" t="s">
        <v>11662</v>
      </c>
      <c r="E3297" s="20" t="s">
        <v>11663</v>
      </c>
      <c r="F3297" s="19" t="s">
        <v>90</v>
      </c>
      <c r="G3297" s="19" t="s">
        <v>91</v>
      </c>
      <c r="H3297" s="37" t="s">
        <v>55</v>
      </c>
      <c r="I3297" s="21" t="s">
        <v>29</v>
      </c>
      <c r="J3297" s="21" t="s">
        <v>29</v>
      </c>
      <c r="K3297" s="22" t="s">
        <v>11664</v>
      </c>
      <c r="L3297" s="56">
        <v>45097</v>
      </c>
      <c r="M3297" s="40"/>
      <c r="N3297" s="40"/>
      <c r="O3297" s="42"/>
      <c r="P3297" s="40"/>
      <c r="Q3297" s="61"/>
      <c r="R3297" s="61"/>
      <c r="S3297" s="40"/>
      <c r="T3297" s="38"/>
      <c r="U3297" s="38"/>
      <c r="V3297" s="38"/>
      <c r="W3297" s="60"/>
      <c r="AB3297" s="42"/>
      <c r="AC3297" s="35"/>
      <c r="AD3297" s="38"/>
      <c r="AE3297" s="38"/>
      <c r="AF3297" s="38"/>
      <c r="AG3297" s="38"/>
      <c r="AH3297" s="60"/>
    </row>
    <row r="3298" spans="1:34" ht="15.75" customHeight="1">
      <c r="A3298" s="35"/>
      <c r="B3298" s="18" t="s">
        <v>11665</v>
      </c>
      <c r="C3298" s="55" t="s">
        <v>24</v>
      </c>
      <c r="D3298" s="20" t="s">
        <v>11666</v>
      </c>
      <c r="E3298" s="20" t="s">
        <v>11667</v>
      </c>
      <c r="F3298" s="19" t="s">
        <v>27</v>
      </c>
      <c r="G3298" s="19" t="s">
        <v>28</v>
      </c>
      <c r="H3298" s="37" t="s">
        <v>55</v>
      </c>
      <c r="I3298" s="21" t="s">
        <v>29</v>
      </c>
      <c r="J3298" s="21" t="s">
        <v>29</v>
      </c>
      <c r="K3298" s="22" t="s">
        <v>11668</v>
      </c>
      <c r="L3298" s="56">
        <v>45097</v>
      </c>
      <c r="M3298" s="40"/>
      <c r="N3298" s="40"/>
      <c r="O3298" s="42"/>
      <c r="P3298" s="40"/>
      <c r="Q3298" s="61"/>
      <c r="R3298" s="61"/>
      <c r="S3298" s="40"/>
      <c r="T3298" s="38"/>
      <c r="U3298" s="38"/>
      <c r="V3298" s="38"/>
      <c r="W3298" s="60"/>
      <c r="AB3298" s="42"/>
      <c r="AC3298" s="35"/>
      <c r="AD3298" s="38"/>
      <c r="AE3298" s="38"/>
      <c r="AF3298" s="38"/>
      <c r="AG3298" s="38"/>
      <c r="AH3298" s="60"/>
    </row>
    <row r="3299" spans="1:34" ht="15.75" customHeight="1">
      <c r="A3299" s="35"/>
      <c r="B3299" s="18" t="s">
        <v>11669</v>
      </c>
      <c r="C3299" s="55" t="s">
        <v>46</v>
      </c>
      <c r="D3299" s="20" t="s">
        <v>11670</v>
      </c>
      <c r="E3299" s="20" t="s">
        <v>11671</v>
      </c>
      <c r="F3299" s="37" t="s">
        <v>49</v>
      </c>
      <c r="G3299" s="19" t="s">
        <v>50</v>
      </c>
      <c r="H3299" s="37" t="s">
        <v>55</v>
      </c>
      <c r="I3299" s="21" t="s">
        <v>29</v>
      </c>
      <c r="J3299" s="21" t="s">
        <v>29</v>
      </c>
      <c r="K3299" s="22" t="s">
        <v>11672</v>
      </c>
      <c r="L3299" s="56">
        <v>45097</v>
      </c>
      <c r="M3299" s="40"/>
      <c r="N3299" s="40"/>
      <c r="O3299" s="42"/>
      <c r="P3299" s="40"/>
      <c r="Q3299" s="61"/>
      <c r="R3299" s="61"/>
      <c r="S3299" s="40"/>
      <c r="T3299" s="38"/>
      <c r="U3299" s="38"/>
      <c r="V3299" s="38"/>
      <c r="W3299" s="60"/>
      <c r="AB3299" s="42"/>
      <c r="AC3299" s="35"/>
      <c r="AD3299" s="38"/>
      <c r="AE3299" s="38"/>
      <c r="AF3299" s="38"/>
      <c r="AG3299" s="38"/>
      <c r="AH3299" s="60"/>
    </row>
    <row r="3300" spans="1:34" ht="15.75" customHeight="1">
      <c r="A3300" s="35"/>
      <c r="B3300" s="18" t="s">
        <v>11673</v>
      </c>
      <c r="C3300" s="55" t="s">
        <v>87</v>
      </c>
      <c r="D3300" s="20" t="s">
        <v>11674</v>
      </c>
      <c r="E3300" s="20" t="s">
        <v>11675</v>
      </c>
      <c r="F3300" s="19" t="s">
        <v>90</v>
      </c>
      <c r="G3300" s="19" t="s">
        <v>91</v>
      </c>
      <c r="H3300" s="37" t="s">
        <v>55</v>
      </c>
      <c r="I3300" s="21" t="s">
        <v>29</v>
      </c>
      <c r="J3300" s="21" t="s">
        <v>29</v>
      </c>
      <c r="K3300" s="22" t="s">
        <v>11676</v>
      </c>
      <c r="L3300" s="56">
        <v>45097</v>
      </c>
      <c r="M3300" s="40"/>
      <c r="N3300" s="40"/>
      <c r="O3300" s="42"/>
      <c r="P3300" s="40"/>
      <c r="Q3300" s="61"/>
      <c r="R3300" s="61"/>
      <c r="S3300" s="40"/>
      <c r="T3300" s="38"/>
      <c r="U3300" s="38"/>
      <c r="V3300" s="38"/>
      <c r="W3300" s="60"/>
      <c r="AB3300" s="42"/>
      <c r="AC3300" s="35"/>
      <c r="AD3300" s="38"/>
      <c r="AE3300" s="38"/>
      <c r="AF3300" s="38"/>
      <c r="AG3300" s="38"/>
      <c r="AH3300" s="60"/>
    </row>
    <row r="3301" spans="1:34" ht="15.75" customHeight="1">
      <c r="A3301" s="35"/>
      <c r="B3301" s="18" t="s">
        <v>11677</v>
      </c>
      <c r="C3301" s="55" t="s">
        <v>24</v>
      </c>
      <c r="D3301" s="20" t="s">
        <v>11678</v>
      </c>
      <c r="E3301" s="20" t="s">
        <v>11679</v>
      </c>
      <c r="F3301" s="19" t="s">
        <v>27</v>
      </c>
      <c r="G3301" s="19" t="s">
        <v>28</v>
      </c>
      <c r="H3301" s="37" t="s">
        <v>55</v>
      </c>
      <c r="I3301" s="21" t="s">
        <v>29</v>
      </c>
      <c r="J3301" s="21" t="s">
        <v>29</v>
      </c>
      <c r="K3301" s="22" t="s">
        <v>11680</v>
      </c>
      <c r="L3301" s="56">
        <v>45097</v>
      </c>
      <c r="M3301" s="40"/>
      <c r="N3301" s="40"/>
      <c r="O3301" s="42"/>
      <c r="P3301" s="40"/>
      <c r="Q3301" s="61"/>
      <c r="R3301" s="61"/>
      <c r="S3301" s="40"/>
      <c r="T3301" s="38"/>
      <c r="U3301" s="38"/>
      <c r="V3301" s="38"/>
      <c r="W3301" s="60"/>
      <c r="AB3301" s="42"/>
      <c r="AC3301" s="35"/>
      <c r="AD3301" s="38"/>
      <c r="AE3301" s="38"/>
      <c r="AF3301" s="38"/>
      <c r="AG3301" s="38"/>
      <c r="AH3301" s="60"/>
    </row>
    <row r="3302" spans="1:34" ht="15.75" customHeight="1">
      <c r="A3302" s="35"/>
      <c r="B3302" s="18" t="s">
        <v>11681</v>
      </c>
      <c r="C3302" s="55" t="s">
        <v>24</v>
      </c>
      <c r="D3302" s="20" t="s">
        <v>11682</v>
      </c>
      <c r="E3302" s="20" t="s">
        <v>11683</v>
      </c>
      <c r="F3302" s="19" t="s">
        <v>27</v>
      </c>
      <c r="G3302" s="19" t="s">
        <v>28</v>
      </c>
      <c r="H3302" s="37" t="s">
        <v>55</v>
      </c>
      <c r="I3302" s="21" t="s">
        <v>29</v>
      </c>
      <c r="J3302" s="21" t="s">
        <v>29</v>
      </c>
      <c r="K3302" s="22" t="s">
        <v>11684</v>
      </c>
      <c r="L3302" s="56">
        <v>45097</v>
      </c>
      <c r="M3302" s="40"/>
      <c r="N3302" s="40"/>
      <c r="O3302" s="42"/>
      <c r="P3302" s="40"/>
      <c r="Q3302" s="61"/>
      <c r="R3302" s="61"/>
      <c r="S3302" s="40"/>
      <c r="T3302" s="38"/>
      <c r="U3302" s="38"/>
      <c r="V3302" s="38"/>
      <c r="W3302" s="60"/>
      <c r="AB3302" s="42"/>
      <c r="AC3302" s="35"/>
      <c r="AD3302" s="38"/>
      <c r="AE3302" s="38"/>
      <c r="AF3302" s="38"/>
      <c r="AG3302" s="38"/>
      <c r="AH3302" s="60"/>
    </row>
    <row r="3303" spans="1:34" ht="15.75" customHeight="1">
      <c r="A3303" s="35"/>
      <c r="B3303" s="18" t="s">
        <v>11685</v>
      </c>
      <c r="C3303" s="55" t="s">
        <v>87</v>
      </c>
      <c r="D3303" s="20" t="s">
        <v>11686</v>
      </c>
      <c r="E3303" s="20" t="s">
        <v>11687</v>
      </c>
      <c r="F3303" s="19" t="s">
        <v>90</v>
      </c>
      <c r="G3303" s="19" t="s">
        <v>91</v>
      </c>
      <c r="H3303" s="37" t="s">
        <v>55</v>
      </c>
      <c r="I3303" s="21" t="s">
        <v>29</v>
      </c>
      <c r="J3303" s="21" t="s">
        <v>29</v>
      </c>
      <c r="K3303" s="22" t="s">
        <v>11688</v>
      </c>
      <c r="L3303" s="56">
        <v>45097</v>
      </c>
      <c r="M3303" s="40"/>
      <c r="N3303" s="40"/>
      <c r="O3303" s="42"/>
      <c r="P3303" s="40"/>
      <c r="Q3303" s="61"/>
      <c r="R3303" s="61"/>
      <c r="S3303" s="40"/>
      <c r="T3303" s="38"/>
      <c r="U3303" s="38"/>
      <c r="V3303" s="38"/>
      <c r="W3303" s="60"/>
      <c r="AB3303" s="42"/>
      <c r="AC3303" s="35"/>
      <c r="AD3303" s="38"/>
      <c r="AE3303" s="38"/>
      <c r="AF3303" s="38"/>
      <c r="AG3303" s="38"/>
      <c r="AH3303" s="60"/>
    </row>
    <row r="3304" spans="1:34" ht="15.75" customHeight="1">
      <c r="A3304" s="35"/>
      <c r="B3304" s="18" t="s">
        <v>11689</v>
      </c>
      <c r="C3304" s="55" t="s">
        <v>46</v>
      </c>
      <c r="D3304" s="20" t="s">
        <v>11690</v>
      </c>
      <c r="E3304" s="20" t="s">
        <v>11691</v>
      </c>
      <c r="F3304" s="37" t="s">
        <v>49</v>
      </c>
      <c r="G3304" s="19" t="s">
        <v>50</v>
      </c>
      <c r="H3304" s="37" t="s">
        <v>55</v>
      </c>
      <c r="I3304" s="21" t="s">
        <v>29</v>
      </c>
      <c r="J3304" s="21" t="s">
        <v>29</v>
      </c>
      <c r="K3304" s="22" t="s">
        <v>11692</v>
      </c>
      <c r="L3304" s="56">
        <v>45097</v>
      </c>
      <c r="M3304" s="40"/>
      <c r="N3304" s="40"/>
      <c r="O3304" s="42"/>
      <c r="P3304" s="40"/>
      <c r="Q3304" s="61"/>
      <c r="R3304" s="61"/>
      <c r="S3304" s="40"/>
      <c r="T3304" s="38"/>
      <c r="U3304" s="38"/>
      <c r="V3304" s="38"/>
      <c r="W3304" s="60"/>
      <c r="AB3304" s="42"/>
      <c r="AC3304" s="35"/>
      <c r="AD3304" s="38"/>
      <c r="AE3304" s="38"/>
      <c r="AF3304" s="38"/>
      <c r="AG3304" s="38"/>
      <c r="AH3304" s="60"/>
    </row>
    <row r="3305" spans="1:34" ht="15.75" customHeight="1">
      <c r="A3305" s="35"/>
      <c r="B3305" s="18" t="s">
        <v>11693</v>
      </c>
      <c r="C3305" s="55" t="s">
        <v>24</v>
      </c>
      <c r="D3305" s="20" t="s">
        <v>11694</v>
      </c>
      <c r="E3305" s="20" t="s">
        <v>11695</v>
      </c>
      <c r="F3305" s="19" t="s">
        <v>27</v>
      </c>
      <c r="G3305" s="19" t="s">
        <v>28</v>
      </c>
      <c r="H3305" s="37" t="s">
        <v>55</v>
      </c>
      <c r="I3305" s="21" t="s">
        <v>29</v>
      </c>
      <c r="J3305" s="21" t="s">
        <v>29</v>
      </c>
      <c r="K3305" s="22" t="s">
        <v>11696</v>
      </c>
      <c r="L3305" s="56">
        <v>45097</v>
      </c>
      <c r="M3305" s="40"/>
      <c r="N3305" s="40"/>
      <c r="O3305" s="42"/>
      <c r="P3305" s="40"/>
      <c r="Q3305" s="61"/>
      <c r="R3305" s="61"/>
      <c r="S3305" s="40"/>
      <c r="T3305" s="38"/>
      <c r="U3305" s="38"/>
      <c r="V3305" s="38"/>
      <c r="W3305" s="60"/>
      <c r="AB3305" s="42"/>
      <c r="AC3305" s="35"/>
      <c r="AD3305" s="38"/>
      <c r="AE3305" s="38"/>
      <c r="AF3305" s="38"/>
      <c r="AG3305" s="38"/>
      <c r="AH3305" s="60"/>
    </row>
    <row r="3306" spans="1:34" ht="15.75" customHeight="1">
      <c r="A3306" s="35"/>
      <c r="B3306" s="18" t="s">
        <v>11697</v>
      </c>
      <c r="C3306" s="55" t="s">
        <v>46</v>
      </c>
      <c r="D3306" s="20" t="s">
        <v>11698</v>
      </c>
      <c r="E3306" s="20" t="s">
        <v>11699</v>
      </c>
      <c r="F3306" s="37" t="s">
        <v>49</v>
      </c>
      <c r="G3306" s="19" t="s">
        <v>50</v>
      </c>
      <c r="H3306" s="37" t="s">
        <v>55</v>
      </c>
      <c r="I3306" s="21" t="s">
        <v>29</v>
      </c>
      <c r="J3306" s="21" t="s">
        <v>29</v>
      </c>
      <c r="K3306" s="22" t="s">
        <v>11700</v>
      </c>
      <c r="L3306" s="56">
        <v>45097</v>
      </c>
      <c r="M3306" s="40"/>
      <c r="N3306" s="40"/>
      <c r="O3306" s="42"/>
      <c r="P3306" s="40"/>
      <c r="Q3306" s="61"/>
      <c r="R3306" s="61"/>
      <c r="S3306" s="40"/>
      <c r="T3306" s="38"/>
      <c r="U3306" s="38"/>
      <c r="V3306" s="38"/>
      <c r="W3306" s="60"/>
      <c r="AB3306" s="42"/>
      <c r="AC3306" s="35"/>
      <c r="AD3306" s="38"/>
      <c r="AE3306" s="38"/>
      <c r="AF3306" s="38"/>
      <c r="AG3306" s="38"/>
      <c r="AH3306" s="60"/>
    </row>
    <row r="3307" spans="1:34" ht="15.75" customHeight="1">
      <c r="A3307" s="35"/>
      <c r="B3307" s="18" t="s">
        <v>11701</v>
      </c>
      <c r="C3307" s="55" t="s">
        <v>87</v>
      </c>
      <c r="D3307" s="20" t="s">
        <v>11702</v>
      </c>
      <c r="E3307" s="20" t="s">
        <v>11703</v>
      </c>
      <c r="F3307" s="19" t="s">
        <v>90</v>
      </c>
      <c r="G3307" s="19" t="s">
        <v>91</v>
      </c>
      <c r="H3307" s="37" t="s">
        <v>55</v>
      </c>
      <c r="I3307" s="21" t="s">
        <v>29</v>
      </c>
      <c r="J3307" s="21" t="s">
        <v>29</v>
      </c>
      <c r="K3307" s="22" t="s">
        <v>11704</v>
      </c>
      <c r="L3307" s="56">
        <v>45097</v>
      </c>
      <c r="M3307" s="40"/>
      <c r="N3307" s="40"/>
      <c r="O3307" s="42"/>
      <c r="P3307" s="40"/>
      <c r="Q3307" s="61"/>
      <c r="R3307" s="61"/>
      <c r="S3307" s="40"/>
      <c r="T3307" s="38"/>
      <c r="U3307" s="38"/>
      <c r="V3307" s="38"/>
      <c r="W3307" s="60"/>
      <c r="AB3307" s="42"/>
      <c r="AC3307" s="35"/>
      <c r="AD3307" s="38"/>
      <c r="AE3307" s="38"/>
      <c r="AF3307" s="38"/>
      <c r="AG3307" s="38"/>
      <c r="AH3307" s="60"/>
    </row>
    <row r="3308" spans="1:34" ht="15.75" customHeight="1">
      <c r="A3308" s="35"/>
      <c r="B3308" s="38"/>
      <c r="C3308" s="143"/>
      <c r="D3308" s="20"/>
      <c r="E3308" s="147"/>
      <c r="F3308" s="143"/>
      <c r="G3308" s="143"/>
      <c r="H3308" s="143"/>
      <c r="I3308" s="21"/>
      <c r="J3308" s="21"/>
      <c r="K3308" s="148"/>
      <c r="L3308" s="113"/>
      <c r="M3308" s="40"/>
      <c r="N3308" s="40"/>
      <c r="O3308" s="42"/>
      <c r="P3308" s="40"/>
      <c r="Q3308" s="61"/>
      <c r="R3308" s="61"/>
      <c r="S3308" s="40"/>
      <c r="T3308" s="38"/>
      <c r="U3308" s="38"/>
      <c r="V3308" s="38"/>
      <c r="W3308" s="60"/>
      <c r="AB3308" s="42"/>
      <c r="AC3308" s="35"/>
      <c r="AD3308" s="38"/>
      <c r="AE3308" s="38"/>
      <c r="AF3308" s="38"/>
      <c r="AG3308" s="38"/>
      <c r="AH3308" s="60"/>
    </row>
    <row r="3309" spans="1:34" ht="15.75" customHeight="1">
      <c r="A3309" s="38" t="s">
        <v>11705</v>
      </c>
      <c r="B3309" s="29" t="s">
        <v>11706</v>
      </c>
      <c r="C3309" s="8" t="s">
        <v>24</v>
      </c>
      <c r="D3309" s="20" t="s">
        <v>11707</v>
      </c>
      <c r="E3309" s="149" t="s">
        <v>11708</v>
      </c>
      <c r="F3309" s="19" t="s">
        <v>27</v>
      </c>
      <c r="G3309" s="19" t="s">
        <v>28</v>
      </c>
      <c r="H3309" s="37" t="s">
        <v>55</v>
      </c>
      <c r="I3309" s="21" t="s">
        <v>29</v>
      </c>
      <c r="J3309" s="21" t="s">
        <v>29</v>
      </c>
      <c r="K3309" s="150" t="s">
        <v>11709</v>
      </c>
      <c r="L3309" s="56">
        <v>45097</v>
      </c>
      <c r="M3309" s="40"/>
      <c r="N3309" s="40"/>
      <c r="O3309" s="42"/>
      <c r="P3309" s="40"/>
      <c r="Q3309" s="61"/>
      <c r="R3309" s="61"/>
      <c r="S3309" s="40"/>
      <c r="T3309" s="38"/>
      <c r="U3309" s="38"/>
      <c r="V3309" s="38"/>
      <c r="W3309" s="60"/>
      <c r="AB3309" s="42"/>
      <c r="AC3309" s="35"/>
      <c r="AD3309" s="38"/>
      <c r="AE3309" s="38"/>
      <c r="AF3309" s="38"/>
      <c r="AG3309" s="38"/>
      <c r="AH3309" s="60"/>
    </row>
    <row r="3310" spans="1:34" ht="15.75" customHeight="1">
      <c r="A3310" s="54" t="s">
        <v>2628</v>
      </c>
      <c r="B3310" s="18" t="s">
        <v>11710</v>
      </c>
      <c r="C3310" s="55" t="s">
        <v>24</v>
      </c>
      <c r="D3310" s="20" t="s">
        <v>11711</v>
      </c>
      <c r="E3310" s="149" t="s">
        <v>11712</v>
      </c>
      <c r="F3310" s="19" t="s">
        <v>27</v>
      </c>
      <c r="G3310" s="19" t="s">
        <v>28</v>
      </c>
      <c r="H3310" s="37" t="s">
        <v>55</v>
      </c>
      <c r="I3310" s="21" t="s">
        <v>29</v>
      </c>
      <c r="J3310" s="21" t="s">
        <v>29</v>
      </c>
      <c r="K3310" s="150" t="s">
        <v>11713</v>
      </c>
      <c r="L3310" s="56">
        <v>45097</v>
      </c>
      <c r="M3310" s="40"/>
      <c r="N3310" s="40"/>
      <c r="O3310" s="42"/>
      <c r="P3310" s="40"/>
      <c r="Q3310" s="61"/>
      <c r="R3310" s="61"/>
      <c r="S3310" s="40"/>
      <c r="T3310" s="38"/>
      <c r="U3310" s="38"/>
      <c r="V3310" s="38"/>
      <c r="W3310" s="60"/>
      <c r="AB3310" s="42"/>
      <c r="AC3310" s="35"/>
      <c r="AD3310" s="38"/>
      <c r="AE3310" s="38"/>
      <c r="AF3310" s="38"/>
      <c r="AG3310" s="38"/>
      <c r="AH3310" s="60"/>
    </row>
    <row r="3311" spans="1:34" ht="15.75" customHeight="1">
      <c r="A3311" s="114" t="s">
        <v>39</v>
      </c>
      <c r="B3311" s="18" t="s">
        <v>11714</v>
      </c>
      <c r="C3311" s="55" t="s">
        <v>46</v>
      </c>
      <c r="D3311" s="20" t="s">
        <v>11715</v>
      </c>
      <c r="E3311" s="20" t="s">
        <v>11716</v>
      </c>
      <c r="F3311" s="37" t="s">
        <v>49</v>
      </c>
      <c r="G3311" s="19" t="s">
        <v>50</v>
      </c>
      <c r="H3311" s="37" t="s">
        <v>55</v>
      </c>
      <c r="I3311" s="21" t="s">
        <v>29</v>
      </c>
      <c r="J3311" s="21" t="s">
        <v>29</v>
      </c>
      <c r="K3311" s="22" t="s">
        <v>11717</v>
      </c>
      <c r="L3311" s="56">
        <v>45097</v>
      </c>
      <c r="M3311" s="40"/>
      <c r="N3311" s="40"/>
      <c r="O3311" s="42"/>
      <c r="P3311" s="40"/>
      <c r="Q3311" s="61"/>
      <c r="R3311" s="61"/>
      <c r="S3311" s="40"/>
      <c r="T3311" s="38"/>
      <c r="U3311" s="38"/>
      <c r="V3311" s="38"/>
      <c r="W3311" s="60"/>
      <c r="AB3311" s="42"/>
      <c r="AC3311" s="35"/>
      <c r="AD3311" s="38"/>
      <c r="AE3311" s="38"/>
      <c r="AF3311" s="38"/>
      <c r="AG3311" s="38"/>
      <c r="AH3311" s="60"/>
    </row>
    <row r="3312" spans="1:34" ht="15.75" customHeight="1">
      <c r="A3312" s="38" t="s">
        <v>11546</v>
      </c>
      <c r="B3312" s="18" t="s">
        <v>11718</v>
      </c>
      <c r="C3312" s="55" t="s">
        <v>87</v>
      </c>
      <c r="D3312" s="20" t="s">
        <v>11719</v>
      </c>
      <c r="E3312" s="20" t="s">
        <v>11720</v>
      </c>
      <c r="F3312" s="19" t="s">
        <v>90</v>
      </c>
      <c r="G3312" s="19" t="s">
        <v>91</v>
      </c>
      <c r="H3312" s="37" t="s">
        <v>55</v>
      </c>
      <c r="I3312" s="21" t="s">
        <v>29</v>
      </c>
      <c r="J3312" s="21" t="s">
        <v>29</v>
      </c>
      <c r="K3312" s="22" t="s">
        <v>11721</v>
      </c>
      <c r="L3312" s="56">
        <v>45097</v>
      </c>
      <c r="M3312" s="40"/>
      <c r="N3312" s="40"/>
      <c r="O3312" s="42"/>
      <c r="P3312" s="40"/>
      <c r="Q3312" s="61"/>
      <c r="R3312" s="61"/>
      <c r="S3312" s="40"/>
      <c r="T3312" s="38"/>
      <c r="U3312" s="38"/>
      <c r="V3312" s="38"/>
      <c r="W3312" s="60"/>
      <c r="AB3312" s="42"/>
      <c r="AC3312" s="35"/>
      <c r="AD3312" s="38"/>
      <c r="AE3312" s="38"/>
      <c r="AF3312" s="38"/>
      <c r="AG3312" s="38"/>
      <c r="AH3312" s="60"/>
    </row>
    <row r="3313" spans="1:34" ht="15.75" customHeight="1">
      <c r="A3313" s="38" t="s">
        <v>4283</v>
      </c>
      <c r="B3313" s="29" t="s">
        <v>11722</v>
      </c>
      <c r="C3313" s="55" t="s">
        <v>87</v>
      </c>
      <c r="D3313" s="20" t="s">
        <v>11723</v>
      </c>
      <c r="E3313" s="20" t="s">
        <v>11724</v>
      </c>
      <c r="F3313" s="19" t="s">
        <v>90</v>
      </c>
      <c r="G3313" s="19" t="s">
        <v>91</v>
      </c>
      <c r="H3313" s="37" t="s">
        <v>55</v>
      </c>
      <c r="I3313" s="21" t="s">
        <v>29</v>
      </c>
      <c r="J3313" s="21" t="s">
        <v>29</v>
      </c>
      <c r="K3313" s="22" t="s">
        <v>11725</v>
      </c>
      <c r="L3313" s="56">
        <v>45097</v>
      </c>
      <c r="M3313" s="40"/>
      <c r="N3313" s="40"/>
      <c r="O3313" s="42"/>
      <c r="P3313" s="40"/>
      <c r="Q3313" s="61"/>
      <c r="R3313" s="61"/>
      <c r="S3313" s="40"/>
      <c r="T3313" s="38"/>
      <c r="U3313" s="38"/>
      <c r="V3313" s="38"/>
      <c r="W3313" s="60"/>
      <c r="AB3313" s="42"/>
      <c r="AC3313" s="35"/>
      <c r="AD3313" s="38"/>
      <c r="AE3313" s="38"/>
      <c r="AF3313" s="38"/>
      <c r="AG3313" s="38"/>
      <c r="AH3313" s="60"/>
    </row>
    <row r="3314" spans="1:34" ht="15.75" customHeight="1">
      <c r="A3314" s="111" t="s">
        <v>56</v>
      </c>
      <c r="B3314" s="18" t="s">
        <v>11726</v>
      </c>
      <c r="C3314" s="55" t="s">
        <v>24</v>
      </c>
      <c r="D3314" s="20" t="s">
        <v>11727</v>
      </c>
      <c r="E3314" s="20" t="s">
        <v>11728</v>
      </c>
      <c r="F3314" s="19" t="s">
        <v>27</v>
      </c>
      <c r="G3314" s="19" t="s">
        <v>28</v>
      </c>
      <c r="H3314" s="37" t="s">
        <v>55</v>
      </c>
      <c r="I3314" s="21" t="s">
        <v>29</v>
      </c>
      <c r="J3314" s="21" t="s">
        <v>29</v>
      </c>
      <c r="K3314" s="22" t="s">
        <v>11728</v>
      </c>
      <c r="L3314" s="56">
        <v>45097</v>
      </c>
      <c r="M3314" s="40"/>
      <c r="N3314" s="40"/>
      <c r="O3314" s="42"/>
      <c r="P3314" s="40"/>
      <c r="Q3314" s="61"/>
      <c r="R3314" s="61"/>
      <c r="S3314" s="40"/>
      <c r="T3314" s="38"/>
      <c r="U3314" s="38"/>
      <c r="V3314" s="38"/>
      <c r="W3314" s="60"/>
      <c r="AB3314" s="42"/>
      <c r="AC3314" s="35"/>
      <c r="AD3314" s="38"/>
      <c r="AE3314" s="38"/>
      <c r="AF3314" s="38"/>
      <c r="AG3314" s="38"/>
      <c r="AH3314" s="60"/>
    </row>
    <row r="3315" spans="1:34" ht="15.75" customHeight="1">
      <c r="A3315" s="75">
        <v>67</v>
      </c>
      <c r="B3315" s="18" t="s">
        <v>11729</v>
      </c>
      <c r="C3315" s="55" t="s">
        <v>24</v>
      </c>
      <c r="D3315" s="20" t="s">
        <v>11730</v>
      </c>
      <c r="E3315" s="20" t="s">
        <v>11731</v>
      </c>
      <c r="F3315" s="19" t="s">
        <v>27</v>
      </c>
      <c r="G3315" s="19" t="s">
        <v>28</v>
      </c>
      <c r="H3315" s="37" t="s">
        <v>55</v>
      </c>
      <c r="I3315" s="21" t="s">
        <v>29</v>
      </c>
      <c r="J3315" s="21" t="s">
        <v>29</v>
      </c>
      <c r="K3315" s="22" t="s">
        <v>11732</v>
      </c>
      <c r="L3315" s="56">
        <v>45097</v>
      </c>
      <c r="M3315" s="40"/>
      <c r="N3315" s="40"/>
      <c r="O3315" s="42"/>
      <c r="P3315" s="40"/>
      <c r="Q3315" s="61"/>
      <c r="R3315" s="61"/>
      <c r="S3315" s="40"/>
      <c r="T3315" s="38"/>
      <c r="U3315" s="38"/>
      <c r="V3315" s="38"/>
      <c r="W3315" s="60"/>
      <c r="AB3315" s="42"/>
      <c r="AC3315" s="35"/>
      <c r="AD3315" s="38"/>
      <c r="AE3315" s="38"/>
      <c r="AF3315" s="38"/>
      <c r="AG3315" s="38"/>
      <c r="AH3315" s="60"/>
    </row>
    <row r="3316" spans="1:34" ht="15.75" customHeight="1">
      <c r="A3316" s="111" t="s">
        <v>64</v>
      </c>
      <c r="B3316" s="18" t="s">
        <v>11733</v>
      </c>
      <c r="C3316" s="55" t="s">
        <v>24</v>
      </c>
      <c r="D3316" s="20" t="s">
        <v>11734</v>
      </c>
      <c r="E3316" s="20" t="s">
        <v>11735</v>
      </c>
      <c r="F3316" s="19" t="s">
        <v>27</v>
      </c>
      <c r="G3316" s="19" t="s">
        <v>28</v>
      </c>
      <c r="H3316" s="37" t="s">
        <v>55</v>
      </c>
      <c r="I3316" s="21" t="s">
        <v>29</v>
      </c>
      <c r="J3316" s="21" t="s">
        <v>29</v>
      </c>
      <c r="K3316" s="22" t="s">
        <v>11736</v>
      </c>
      <c r="L3316" s="56">
        <v>45097</v>
      </c>
      <c r="M3316" s="40"/>
      <c r="N3316" s="40"/>
      <c r="O3316" s="42"/>
      <c r="P3316" s="40"/>
      <c r="Q3316" s="61"/>
      <c r="R3316" s="61"/>
      <c r="S3316" s="40"/>
      <c r="T3316" s="38"/>
      <c r="U3316" s="38"/>
      <c r="V3316" s="38"/>
      <c r="W3316" s="60"/>
      <c r="AB3316" s="42"/>
      <c r="AC3316" s="35"/>
      <c r="AD3316" s="38"/>
      <c r="AE3316" s="38"/>
      <c r="AF3316" s="38"/>
      <c r="AG3316" s="38"/>
      <c r="AH3316" s="60"/>
    </row>
    <row r="3317" spans="1:34" ht="15.75" customHeight="1">
      <c r="A3317" s="75">
        <v>3</v>
      </c>
      <c r="B3317" s="34" t="s">
        <v>11737</v>
      </c>
      <c r="C3317" s="55" t="s">
        <v>24</v>
      </c>
      <c r="D3317" s="20" t="s">
        <v>11738</v>
      </c>
      <c r="E3317" s="20" t="s">
        <v>11739</v>
      </c>
      <c r="F3317" s="19" t="s">
        <v>90</v>
      </c>
      <c r="G3317" s="19" t="s">
        <v>91</v>
      </c>
      <c r="H3317" s="37" t="s">
        <v>55</v>
      </c>
      <c r="I3317" s="21" t="s">
        <v>29</v>
      </c>
      <c r="J3317" s="21" t="s">
        <v>29</v>
      </c>
      <c r="K3317" s="22" t="s">
        <v>11740</v>
      </c>
      <c r="L3317" s="56">
        <v>45097</v>
      </c>
      <c r="M3317" s="40"/>
      <c r="N3317" s="40"/>
      <c r="O3317" s="42"/>
      <c r="P3317" s="40"/>
      <c r="Q3317" s="61"/>
      <c r="R3317" s="61"/>
      <c r="S3317" s="40"/>
      <c r="T3317" s="38"/>
      <c r="U3317" s="38"/>
      <c r="V3317" s="38"/>
      <c r="W3317" s="60"/>
      <c r="AB3317" s="42"/>
      <c r="AC3317" s="35"/>
      <c r="AD3317" s="38"/>
      <c r="AE3317" s="38"/>
      <c r="AF3317" s="38"/>
      <c r="AG3317" s="38"/>
      <c r="AH3317" s="60"/>
    </row>
    <row r="3318" spans="1:34" ht="15.75" customHeight="1">
      <c r="A3318" s="111" t="s">
        <v>73</v>
      </c>
      <c r="B3318" s="18" t="s">
        <v>11741</v>
      </c>
      <c r="C3318" s="55" t="s">
        <v>24</v>
      </c>
      <c r="D3318" s="20" t="s">
        <v>11742</v>
      </c>
      <c r="E3318" s="20" t="s">
        <v>11743</v>
      </c>
      <c r="F3318" s="19" t="s">
        <v>27</v>
      </c>
      <c r="G3318" s="19" t="s">
        <v>28</v>
      </c>
      <c r="H3318" s="37" t="s">
        <v>55</v>
      </c>
      <c r="I3318" s="21" t="s">
        <v>29</v>
      </c>
      <c r="J3318" s="21" t="s">
        <v>29</v>
      </c>
      <c r="K3318" s="22" t="s">
        <v>11744</v>
      </c>
      <c r="L3318" s="56">
        <v>45097</v>
      </c>
      <c r="M3318" s="40"/>
      <c r="N3318" s="40"/>
      <c r="O3318" s="42"/>
      <c r="P3318" s="40"/>
      <c r="Q3318" s="61"/>
      <c r="R3318" s="61"/>
      <c r="S3318" s="40"/>
      <c r="T3318" s="38"/>
      <c r="U3318" s="38"/>
      <c r="V3318" s="38"/>
      <c r="W3318" s="60"/>
      <c r="AB3318" s="42"/>
      <c r="AC3318" s="35"/>
      <c r="AD3318" s="38"/>
      <c r="AE3318" s="38"/>
      <c r="AF3318" s="38"/>
      <c r="AG3318" s="38"/>
      <c r="AH3318" s="60"/>
    </row>
    <row r="3319" spans="1:34" ht="15.75" customHeight="1">
      <c r="A3319" s="75">
        <v>3.3</v>
      </c>
      <c r="B3319" s="34" t="s">
        <v>11745</v>
      </c>
      <c r="C3319" s="55" t="s">
        <v>87</v>
      </c>
      <c r="D3319" s="20" t="s">
        <v>11746</v>
      </c>
      <c r="E3319" s="20" t="s">
        <v>11747</v>
      </c>
      <c r="F3319" s="37" t="s">
        <v>49</v>
      </c>
      <c r="G3319" s="19" t="s">
        <v>50</v>
      </c>
      <c r="H3319" s="37" t="s">
        <v>55</v>
      </c>
      <c r="I3319" s="21" t="s">
        <v>29</v>
      </c>
      <c r="J3319" s="21" t="s">
        <v>29</v>
      </c>
      <c r="K3319" s="22" t="s">
        <v>11748</v>
      </c>
      <c r="L3319" s="56">
        <v>45097</v>
      </c>
      <c r="M3319" s="40"/>
      <c r="N3319" s="40"/>
      <c r="O3319" s="42"/>
      <c r="P3319" s="40"/>
      <c r="Q3319" s="61"/>
      <c r="R3319" s="61"/>
      <c r="S3319" s="40"/>
      <c r="T3319" s="38"/>
      <c r="U3319" s="38"/>
      <c r="V3319" s="38"/>
      <c r="W3319" s="60"/>
      <c r="AB3319" s="42"/>
      <c r="AC3319" s="35"/>
      <c r="AD3319" s="38"/>
      <c r="AE3319" s="38"/>
      <c r="AF3319" s="38"/>
      <c r="AG3319" s="38"/>
      <c r="AH3319" s="60"/>
    </row>
    <row r="3320" spans="1:34" ht="15.75" customHeight="1">
      <c r="A3320" s="111" t="s">
        <v>82</v>
      </c>
      <c r="B3320" s="18" t="s">
        <v>11749</v>
      </c>
      <c r="C3320" s="55" t="s">
        <v>87</v>
      </c>
      <c r="D3320" s="20" t="s">
        <v>11750</v>
      </c>
      <c r="E3320" s="20" t="s">
        <v>11751</v>
      </c>
      <c r="F3320" s="19" t="s">
        <v>90</v>
      </c>
      <c r="G3320" s="19" t="s">
        <v>91</v>
      </c>
      <c r="H3320" s="37" t="s">
        <v>55</v>
      </c>
      <c r="I3320" s="21" t="s">
        <v>29</v>
      </c>
      <c r="J3320" s="21" t="s">
        <v>29</v>
      </c>
      <c r="K3320" s="22" t="s">
        <v>11752</v>
      </c>
      <c r="L3320" s="56">
        <v>45097</v>
      </c>
      <c r="M3320" s="40"/>
      <c r="N3320" s="40"/>
      <c r="O3320" s="42"/>
      <c r="P3320" s="40"/>
      <c r="Q3320" s="61"/>
      <c r="R3320" s="61"/>
      <c r="S3320" s="40"/>
      <c r="T3320" s="38"/>
      <c r="U3320" s="38"/>
      <c r="V3320" s="38"/>
      <c r="W3320" s="60"/>
      <c r="AB3320" s="42"/>
      <c r="AC3320" s="35"/>
      <c r="AD3320" s="38"/>
      <c r="AE3320" s="38"/>
      <c r="AF3320" s="38"/>
      <c r="AG3320" s="38"/>
      <c r="AH3320" s="60"/>
    </row>
    <row r="3321" spans="1:34" ht="15.75" customHeight="1">
      <c r="A3321" s="75" t="s">
        <v>11753</v>
      </c>
      <c r="B3321" s="18" t="s">
        <v>11754</v>
      </c>
      <c r="C3321" s="55" t="s">
        <v>24</v>
      </c>
      <c r="D3321" s="20" t="s">
        <v>11755</v>
      </c>
      <c r="E3321" s="20" t="s">
        <v>11756</v>
      </c>
      <c r="F3321" s="19" t="s">
        <v>27</v>
      </c>
      <c r="G3321" s="19" t="s">
        <v>28</v>
      </c>
      <c r="H3321" s="37" t="s">
        <v>55</v>
      </c>
      <c r="I3321" s="21" t="s">
        <v>29</v>
      </c>
      <c r="J3321" s="21" t="s">
        <v>29</v>
      </c>
      <c r="K3321" s="22" t="s">
        <v>11757</v>
      </c>
      <c r="L3321" s="56">
        <v>45097</v>
      </c>
      <c r="M3321" s="40"/>
      <c r="N3321" s="40"/>
      <c r="O3321" s="42"/>
      <c r="P3321" s="40"/>
      <c r="Q3321" s="61"/>
      <c r="R3321" s="61"/>
      <c r="S3321" s="40"/>
      <c r="T3321" s="38"/>
      <c r="U3321" s="38"/>
      <c r="V3321" s="38"/>
      <c r="W3321" s="60"/>
      <c r="AB3321" s="42"/>
      <c r="AC3321" s="35"/>
      <c r="AD3321" s="38"/>
      <c r="AE3321" s="38"/>
      <c r="AF3321" s="38"/>
      <c r="AG3321" s="38"/>
      <c r="AH3321" s="60"/>
    </row>
    <row r="3322" spans="1:34" ht="15.75" customHeight="1">
      <c r="A3322" s="111" t="s">
        <v>92</v>
      </c>
      <c r="B3322" s="18" t="s">
        <v>11758</v>
      </c>
      <c r="C3322" s="55" t="s">
        <v>24</v>
      </c>
      <c r="D3322" s="20" t="s">
        <v>11759</v>
      </c>
      <c r="E3322" s="20" t="s">
        <v>11760</v>
      </c>
      <c r="F3322" s="19" t="s">
        <v>27</v>
      </c>
      <c r="G3322" s="19" t="s">
        <v>28</v>
      </c>
      <c r="H3322" s="37" t="s">
        <v>55</v>
      </c>
      <c r="I3322" s="21" t="s">
        <v>29</v>
      </c>
      <c r="J3322" s="21" t="s">
        <v>29</v>
      </c>
      <c r="K3322" s="22" t="s">
        <v>11761</v>
      </c>
      <c r="L3322" s="56">
        <v>45097</v>
      </c>
      <c r="M3322" s="40"/>
      <c r="N3322" s="40"/>
      <c r="O3322" s="42"/>
      <c r="P3322" s="40"/>
      <c r="Q3322" s="61"/>
      <c r="R3322" s="61"/>
      <c r="S3322" s="40"/>
      <c r="T3322" s="38"/>
      <c r="U3322" s="38"/>
      <c r="V3322" s="38"/>
      <c r="W3322" s="60"/>
      <c r="AB3322" s="42"/>
      <c r="AC3322" s="35"/>
      <c r="AD3322" s="38"/>
      <c r="AE3322" s="38"/>
      <c r="AF3322" s="38"/>
      <c r="AG3322" s="38"/>
      <c r="AH3322" s="60"/>
    </row>
    <row r="3323" spans="1:34" ht="15.75" customHeight="1">
      <c r="A3323" s="112">
        <v>3407</v>
      </c>
      <c r="B3323" s="18" t="s">
        <v>11762</v>
      </c>
      <c r="C3323" s="55" t="s">
        <v>24</v>
      </c>
      <c r="D3323" s="20" t="s">
        <v>11763</v>
      </c>
      <c r="E3323" s="20" t="s">
        <v>11764</v>
      </c>
      <c r="F3323" s="19" t="s">
        <v>27</v>
      </c>
      <c r="G3323" s="19" t="s">
        <v>28</v>
      </c>
      <c r="H3323" s="37" t="s">
        <v>55</v>
      </c>
      <c r="I3323" s="21" t="s">
        <v>29</v>
      </c>
      <c r="J3323" s="21" t="s">
        <v>29</v>
      </c>
      <c r="K3323" s="22" t="s">
        <v>11765</v>
      </c>
      <c r="L3323" s="56">
        <v>45097</v>
      </c>
      <c r="M3323" s="40"/>
      <c r="N3323" s="40"/>
      <c r="O3323" s="42"/>
      <c r="P3323" s="40"/>
      <c r="Q3323" s="61"/>
      <c r="R3323" s="61"/>
      <c r="S3323" s="40"/>
      <c r="T3323" s="38"/>
      <c r="U3323" s="38"/>
      <c r="V3323" s="38"/>
      <c r="W3323" s="60"/>
      <c r="AB3323" s="42"/>
      <c r="AC3323" s="35"/>
      <c r="AD3323" s="38"/>
      <c r="AE3323" s="38"/>
      <c r="AF3323" s="38"/>
      <c r="AG3323" s="38"/>
      <c r="AH3323" s="60"/>
    </row>
    <row r="3324" spans="1:34" ht="15.75" customHeight="1">
      <c r="A3324" s="111" t="s">
        <v>100</v>
      </c>
      <c r="B3324" s="18" t="s">
        <v>11766</v>
      </c>
      <c r="C3324" s="55" t="s">
        <v>46</v>
      </c>
      <c r="D3324" s="20" t="s">
        <v>11767</v>
      </c>
      <c r="E3324" s="20" t="s">
        <v>11768</v>
      </c>
      <c r="F3324" s="37" t="s">
        <v>49</v>
      </c>
      <c r="G3324" s="19" t="s">
        <v>50</v>
      </c>
      <c r="H3324" s="37" t="s">
        <v>55</v>
      </c>
      <c r="I3324" s="21" t="s">
        <v>29</v>
      </c>
      <c r="J3324" s="21" t="s">
        <v>29</v>
      </c>
      <c r="K3324" s="22" t="s">
        <v>11769</v>
      </c>
      <c r="L3324" s="56">
        <v>45097</v>
      </c>
      <c r="M3324" s="40"/>
      <c r="N3324" s="40"/>
      <c r="O3324" s="42"/>
      <c r="P3324" s="40"/>
      <c r="Q3324" s="61"/>
      <c r="R3324" s="61"/>
      <c r="S3324" s="40"/>
      <c r="T3324" s="38"/>
      <c r="U3324" s="38"/>
      <c r="V3324" s="38"/>
      <c r="W3324" s="60"/>
      <c r="AB3324" s="42"/>
      <c r="AC3324" s="35"/>
      <c r="AD3324" s="38"/>
      <c r="AE3324" s="38"/>
      <c r="AF3324" s="38"/>
      <c r="AG3324" s="38"/>
      <c r="AH3324" s="60"/>
    </row>
    <row r="3325" spans="1:34" ht="15.75" customHeight="1">
      <c r="A3325" s="75">
        <v>165</v>
      </c>
      <c r="B3325" s="18" t="s">
        <v>11770</v>
      </c>
      <c r="C3325" s="55" t="s">
        <v>87</v>
      </c>
      <c r="D3325" s="20" t="s">
        <v>11771</v>
      </c>
      <c r="E3325" s="20" t="s">
        <v>11772</v>
      </c>
      <c r="F3325" s="19" t="s">
        <v>90</v>
      </c>
      <c r="G3325" s="19" t="s">
        <v>91</v>
      </c>
      <c r="H3325" s="37" t="s">
        <v>55</v>
      </c>
      <c r="I3325" s="21" t="s">
        <v>29</v>
      </c>
      <c r="J3325" s="21" t="s">
        <v>29</v>
      </c>
      <c r="K3325" s="22" t="s">
        <v>11773</v>
      </c>
      <c r="L3325" s="56">
        <v>45097</v>
      </c>
      <c r="M3325" s="40"/>
      <c r="N3325" s="40"/>
      <c r="O3325" s="42"/>
      <c r="P3325" s="40"/>
      <c r="Q3325" s="61"/>
      <c r="R3325" s="61"/>
      <c r="S3325" s="40"/>
      <c r="T3325" s="38"/>
      <c r="U3325" s="38"/>
      <c r="V3325" s="38"/>
      <c r="W3325" s="60"/>
      <c r="AB3325" s="42"/>
      <c r="AC3325" s="35"/>
      <c r="AD3325" s="38"/>
      <c r="AE3325" s="38"/>
      <c r="AF3325" s="38"/>
      <c r="AG3325" s="38"/>
      <c r="AH3325" s="60"/>
    </row>
    <row r="3326" spans="1:34" ht="15.75" customHeight="1">
      <c r="A3326" s="35"/>
      <c r="B3326" s="18" t="s">
        <v>11774</v>
      </c>
      <c r="C3326" s="55" t="s">
        <v>87</v>
      </c>
      <c r="D3326" s="20" t="s">
        <v>11775</v>
      </c>
      <c r="E3326" s="20" t="s">
        <v>11776</v>
      </c>
      <c r="F3326" s="19" t="s">
        <v>90</v>
      </c>
      <c r="G3326" s="19" t="s">
        <v>91</v>
      </c>
      <c r="H3326" s="37" t="s">
        <v>55</v>
      </c>
      <c r="I3326" s="21" t="s">
        <v>29</v>
      </c>
      <c r="J3326" s="21" t="s">
        <v>29</v>
      </c>
      <c r="K3326" s="22" t="s">
        <v>11777</v>
      </c>
      <c r="L3326" s="56">
        <v>45097</v>
      </c>
      <c r="M3326" s="40"/>
      <c r="N3326" s="40"/>
      <c r="O3326" s="42"/>
      <c r="P3326" s="40"/>
      <c r="Q3326" s="61"/>
      <c r="R3326" s="61"/>
      <c r="S3326" s="40"/>
      <c r="T3326" s="38"/>
      <c r="U3326" s="38"/>
      <c r="V3326" s="38"/>
      <c r="W3326" s="60"/>
      <c r="AB3326" s="42"/>
      <c r="AC3326" s="35"/>
      <c r="AD3326" s="38"/>
      <c r="AE3326" s="38"/>
      <c r="AF3326" s="38"/>
      <c r="AG3326" s="38"/>
      <c r="AH3326" s="60"/>
    </row>
    <row r="3327" spans="1:34" ht="15.75" customHeight="1">
      <c r="A3327" s="35"/>
      <c r="B3327" s="18" t="s">
        <v>11778</v>
      </c>
      <c r="C3327" s="55" t="s">
        <v>87</v>
      </c>
      <c r="D3327" s="20" t="s">
        <v>11779</v>
      </c>
      <c r="E3327" s="20" t="s">
        <v>11780</v>
      </c>
      <c r="F3327" s="19" t="s">
        <v>90</v>
      </c>
      <c r="G3327" s="19" t="s">
        <v>91</v>
      </c>
      <c r="H3327" s="37" t="s">
        <v>55</v>
      </c>
      <c r="I3327" s="21" t="s">
        <v>29</v>
      </c>
      <c r="J3327" s="21" t="s">
        <v>29</v>
      </c>
      <c r="K3327" s="22" t="s">
        <v>11781</v>
      </c>
      <c r="L3327" s="56">
        <v>45097</v>
      </c>
      <c r="M3327" s="40"/>
      <c r="N3327" s="40"/>
      <c r="O3327" s="42"/>
      <c r="P3327" s="40"/>
      <c r="Q3327" s="61"/>
      <c r="R3327" s="61"/>
      <c r="S3327" s="40"/>
      <c r="T3327" s="38"/>
      <c r="U3327" s="38"/>
      <c r="V3327" s="38"/>
      <c r="W3327" s="60"/>
      <c r="AB3327" s="42"/>
      <c r="AC3327" s="35"/>
      <c r="AD3327" s="38"/>
      <c r="AE3327" s="38"/>
      <c r="AF3327" s="38"/>
      <c r="AG3327" s="38"/>
      <c r="AH3327" s="60"/>
    </row>
    <row r="3328" spans="1:34" ht="15.75" customHeight="1">
      <c r="A3328" s="133"/>
      <c r="B3328" s="119" t="s">
        <v>11766</v>
      </c>
      <c r="C3328" s="19" t="s">
        <v>121</v>
      </c>
      <c r="D3328" s="20" t="s">
        <v>11767</v>
      </c>
      <c r="E3328" s="20" t="s">
        <v>11769</v>
      </c>
      <c r="F3328" s="37" t="s">
        <v>286</v>
      </c>
      <c r="G3328" s="37" t="s">
        <v>286</v>
      </c>
      <c r="H3328" s="37" t="s">
        <v>55</v>
      </c>
      <c r="I3328" s="19" t="s">
        <v>286</v>
      </c>
      <c r="J3328" s="19" t="s">
        <v>29</v>
      </c>
      <c r="K3328" s="22" t="s">
        <v>11769</v>
      </c>
      <c r="L3328" s="113"/>
      <c r="M3328" s="40"/>
      <c r="N3328" s="40"/>
      <c r="O3328" s="42"/>
      <c r="P3328" s="40"/>
      <c r="Q3328" s="61"/>
      <c r="R3328" s="61"/>
      <c r="S3328" s="40"/>
      <c r="T3328" s="38"/>
      <c r="U3328" s="38"/>
      <c r="V3328" s="38"/>
      <c r="W3328" s="60"/>
      <c r="AB3328" s="42"/>
      <c r="AC3328" s="35"/>
      <c r="AD3328" s="38"/>
      <c r="AE3328" s="38"/>
      <c r="AF3328" s="38"/>
      <c r="AG3328" s="38"/>
      <c r="AH3328" s="60"/>
    </row>
    <row r="3329" spans="1:34" ht="15.75" customHeight="1">
      <c r="A3329" s="133"/>
      <c r="B3329" s="38"/>
      <c r="C3329" s="37"/>
      <c r="D3329" s="20"/>
      <c r="E3329" s="147"/>
      <c r="F3329" s="37"/>
      <c r="G3329" s="37"/>
      <c r="H3329" s="37"/>
      <c r="I3329" s="19"/>
      <c r="J3329" s="19"/>
      <c r="K3329" s="148"/>
      <c r="L3329" s="113"/>
      <c r="M3329" s="40"/>
      <c r="N3329" s="40"/>
      <c r="O3329" s="42"/>
      <c r="P3329" s="40"/>
      <c r="Q3329" s="61"/>
      <c r="R3329" s="61"/>
      <c r="S3329" s="40"/>
      <c r="T3329" s="38"/>
      <c r="U3329" s="38"/>
      <c r="V3329" s="38"/>
      <c r="W3329" s="60"/>
      <c r="AB3329" s="42"/>
      <c r="AC3329" s="35"/>
      <c r="AD3329" s="38"/>
      <c r="AE3329" s="38"/>
      <c r="AF3329" s="38"/>
      <c r="AG3329" s="38"/>
      <c r="AH3329" s="60"/>
    </row>
    <row r="3330" spans="1:34" ht="15.75" customHeight="1">
      <c r="A3330" s="38" t="s">
        <v>11782</v>
      </c>
      <c r="B3330" s="41"/>
      <c r="C3330" s="151"/>
      <c r="D3330" s="107"/>
      <c r="E3330" s="152"/>
      <c r="F3330" s="151"/>
      <c r="G3330" s="151"/>
      <c r="H3330" s="151"/>
      <c r="I3330" s="108"/>
      <c r="J3330" s="108"/>
      <c r="K3330" s="153"/>
      <c r="L3330" s="110"/>
      <c r="M3330" s="40"/>
      <c r="N3330" s="40"/>
      <c r="O3330" s="42"/>
      <c r="P3330" s="40"/>
      <c r="Q3330" s="61"/>
      <c r="R3330" s="61"/>
      <c r="S3330" s="40"/>
      <c r="T3330" s="38"/>
      <c r="U3330" s="38"/>
      <c r="V3330" s="38"/>
      <c r="W3330" s="60"/>
      <c r="AB3330" s="42"/>
      <c r="AC3330" s="35"/>
      <c r="AD3330" s="38"/>
      <c r="AE3330" s="38"/>
      <c r="AF3330" s="38"/>
      <c r="AG3330" s="38"/>
      <c r="AH3330" s="60"/>
    </row>
    <row r="3331" spans="1:34" ht="15.75" customHeight="1">
      <c r="A3331" s="54" t="s">
        <v>11783</v>
      </c>
      <c r="B3331" s="41"/>
      <c r="C3331" s="151"/>
      <c r="D3331" s="107"/>
      <c r="E3331" s="152"/>
      <c r="F3331" s="151"/>
      <c r="G3331" s="151"/>
      <c r="H3331" s="151"/>
      <c r="I3331" s="108"/>
      <c r="J3331" s="108"/>
      <c r="K3331" s="153"/>
      <c r="L3331" s="110"/>
      <c r="M3331" s="40"/>
      <c r="N3331" s="40"/>
      <c r="O3331" s="42"/>
      <c r="P3331" s="40"/>
      <c r="Q3331" s="61"/>
      <c r="R3331" s="61"/>
      <c r="S3331" s="40"/>
      <c r="T3331" s="38"/>
      <c r="U3331" s="38"/>
      <c r="V3331" s="38"/>
      <c r="W3331" s="60"/>
      <c r="AB3331" s="42"/>
      <c r="AC3331" s="35"/>
      <c r="AD3331" s="38"/>
      <c r="AE3331" s="38"/>
      <c r="AF3331" s="38"/>
      <c r="AG3331" s="38"/>
      <c r="AH3331" s="60"/>
    </row>
    <row r="3332" spans="1:34" ht="15.75" customHeight="1">
      <c r="A3332" s="114" t="s">
        <v>39</v>
      </c>
      <c r="B3332" s="41"/>
      <c r="C3332" s="151"/>
      <c r="D3332" s="107"/>
      <c r="E3332" s="152"/>
      <c r="F3332" s="151"/>
      <c r="G3332" s="151"/>
      <c r="H3332" s="151"/>
      <c r="I3332" s="108"/>
      <c r="J3332" s="108"/>
      <c r="K3332" s="153"/>
      <c r="L3332" s="110"/>
      <c r="M3332" s="40"/>
      <c r="N3332" s="40"/>
      <c r="O3332" s="42"/>
      <c r="P3332" s="40"/>
      <c r="Q3332" s="61"/>
      <c r="R3332" s="61"/>
      <c r="S3332" s="40"/>
      <c r="T3332" s="38"/>
      <c r="U3332" s="38"/>
      <c r="V3332" s="38"/>
      <c r="W3332" s="60"/>
      <c r="AB3332" s="42"/>
      <c r="AC3332" s="35"/>
      <c r="AD3332" s="38"/>
      <c r="AE3332" s="38"/>
      <c r="AF3332" s="38"/>
      <c r="AG3332" s="38"/>
      <c r="AH3332" s="60"/>
    </row>
    <row r="3333" spans="1:34" ht="15.75" customHeight="1">
      <c r="A3333" s="38" t="s">
        <v>11546</v>
      </c>
      <c r="B3333" s="41"/>
      <c r="C3333" s="151"/>
      <c r="D3333" s="107"/>
      <c r="E3333" s="152"/>
      <c r="F3333" s="151"/>
      <c r="G3333" s="151"/>
      <c r="H3333" s="151"/>
      <c r="I3333" s="108"/>
      <c r="J3333" s="108"/>
      <c r="K3333" s="153"/>
      <c r="L3333" s="110"/>
      <c r="M3333" s="40"/>
      <c r="N3333" s="40"/>
      <c r="O3333" s="42"/>
      <c r="P3333" s="40"/>
      <c r="Q3333" s="61"/>
      <c r="R3333" s="61"/>
      <c r="S3333" s="40"/>
      <c r="T3333" s="38"/>
      <c r="U3333" s="38"/>
      <c r="V3333" s="38"/>
      <c r="W3333" s="60"/>
      <c r="AB3333" s="42"/>
      <c r="AC3333" s="35"/>
      <c r="AD3333" s="38"/>
      <c r="AE3333" s="38"/>
      <c r="AF3333" s="38"/>
      <c r="AG3333" s="38"/>
      <c r="AH3333" s="60"/>
    </row>
    <row r="3334" spans="1:34" ht="15.75" customHeight="1">
      <c r="A3334" s="38" t="s">
        <v>9775</v>
      </c>
      <c r="B3334" s="41"/>
      <c r="C3334" s="151"/>
      <c r="D3334" s="107"/>
      <c r="E3334" s="107"/>
      <c r="F3334" s="151"/>
      <c r="G3334" s="151"/>
      <c r="H3334" s="151"/>
      <c r="I3334" s="108"/>
      <c r="J3334" s="108"/>
      <c r="K3334" s="109"/>
      <c r="L3334" s="110"/>
      <c r="M3334" s="40"/>
      <c r="N3334" s="40"/>
      <c r="O3334" s="42"/>
      <c r="P3334" s="40"/>
      <c r="Q3334" s="61"/>
      <c r="R3334" s="61"/>
      <c r="S3334" s="40"/>
      <c r="T3334" s="38"/>
      <c r="U3334" s="38"/>
      <c r="V3334" s="38"/>
      <c r="W3334" s="60"/>
      <c r="AB3334" s="42"/>
      <c r="AC3334" s="35"/>
      <c r="AD3334" s="38"/>
      <c r="AE3334" s="38"/>
      <c r="AF3334" s="38"/>
      <c r="AG3334" s="38"/>
      <c r="AH3334" s="60"/>
    </row>
    <row r="3335" spans="1:34" ht="15.75" customHeight="1">
      <c r="A3335" s="111" t="s">
        <v>56</v>
      </c>
      <c r="B3335" s="41"/>
      <c r="C3335" s="151"/>
      <c r="D3335" s="107"/>
      <c r="E3335" s="107"/>
      <c r="F3335" s="151"/>
      <c r="G3335" s="151"/>
      <c r="H3335" s="151"/>
      <c r="I3335" s="108"/>
      <c r="J3335" s="108"/>
      <c r="K3335" s="109"/>
      <c r="L3335" s="110"/>
      <c r="M3335" s="40"/>
      <c r="N3335" s="40"/>
      <c r="O3335" s="42"/>
      <c r="P3335" s="40"/>
      <c r="Q3335" s="61"/>
      <c r="R3335" s="61"/>
      <c r="S3335" s="40"/>
      <c r="T3335" s="38"/>
      <c r="U3335" s="38"/>
      <c r="V3335" s="38"/>
      <c r="W3335" s="60"/>
      <c r="AB3335" s="42"/>
      <c r="AC3335" s="35"/>
      <c r="AD3335" s="38"/>
      <c r="AE3335" s="38"/>
      <c r="AF3335" s="38"/>
      <c r="AG3335" s="38"/>
      <c r="AH3335" s="60"/>
    </row>
    <row r="3336" spans="1:34" ht="15.75" customHeight="1">
      <c r="A3336" s="75">
        <v>55</v>
      </c>
      <c r="B3336" s="41"/>
      <c r="C3336" s="151"/>
      <c r="D3336" s="107"/>
      <c r="E3336" s="107"/>
      <c r="F3336" s="151"/>
      <c r="G3336" s="151"/>
      <c r="H3336" s="151"/>
      <c r="I3336" s="108"/>
      <c r="J3336" s="108"/>
      <c r="K3336" s="109"/>
      <c r="L3336" s="110"/>
      <c r="M3336" s="40"/>
      <c r="N3336" s="40"/>
      <c r="O3336" s="42"/>
      <c r="P3336" s="40"/>
      <c r="Q3336" s="61"/>
      <c r="R3336" s="61"/>
      <c r="S3336" s="40"/>
      <c r="T3336" s="38"/>
      <c r="U3336" s="38"/>
      <c r="V3336" s="38"/>
      <c r="W3336" s="60"/>
      <c r="AB3336" s="42"/>
      <c r="AC3336" s="35"/>
      <c r="AD3336" s="38"/>
      <c r="AE3336" s="38"/>
      <c r="AF3336" s="38"/>
      <c r="AG3336" s="38"/>
      <c r="AH3336" s="60"/>
    </row>
    <row r="3337" spans="1:34" ht="15.75" customHeight="1">
      <c r="A3337" s="111" t="s">
        <v>64</v>
      </c>
      <c r="B3337" s="41"/>
      <c r="C3337" s="151"/>
      <c r="D3337" s="107"/>
      <c r="E3337" s="107"/>
      <c r="F3337" s="151"/>
      <c r="G3337" s="151"/>
      <c r="H3337" s="151"/>
      <c r="I3337" s="108"/>
      <c r="J3337" s="108"/>
      <c r="K3337" s="109"/>
      <c r="L3337" s="110"/>
      <c r="M3337" s="40"/>
      <c r="N3337" s="40"/>
      <c r="O3337" s="42"/>
      <c r="P3337" s="40"/>
      <c r="Q3337" s="61"/>
      <c r="R3337" s="61"/>
      <c r="S3337" s="40"/>
      <c r="T3337" s="38"/>
      <c r="U3337" s="38"/>
      <c r="V3337" s="38"/>
      <c r="W3337" s="60"/>
      <c r="AB3337" s="42"/>
      <c r="AC3337" s="35"/>
      <c r="AD3337" s="38"/>
      <c r="AE3337" s="38"/>
      <c r="AF3337" s="38"/>
      <c r="AG3337" s="38"/>
      <c r="AH3337" s="60"/>
    </row>
    <row r="3338" spans="1:34" ht="15.75" customHeight="1">
      <c r="A3338" s="75">
        <v>2.9</v>
      </c>
      <c r="B3338" s="41"/>
      <c r="C3338" s="151"/>
      <c r="D3338" s="107"/>
      <c r="E3338" s="107"/>
      <c r="F3338" s="151"/>
      <c r="G3338" s="151"/>
      <c r="H3338" s="151"/>
      <c r="I3338" s="108"/>
      <c r="J3338" s="108"/>
      <c r="K3338" s="109"/>
      <c r="L3338" s="110"/>
      <c r="M3338" s="40"/>
      <c r="N3338" s="40"/>
      <c r="O3338" s="42"/>
      <c r="P3338" s="40"/>
      <c r="Q3338" s="61"/>
      <c r="R3338" s="61"/>
      <c r="S3338" s="40"/>
      <c r="T3338" s="38"/>
      <c r="U3338" s="38"/>
      <c r="V3338" s="38"/>
      <c r="W3338" s="60"/>
      <c r="AB3338" s="42"/>
      <c r="AC3338" s="35"/>
      <c r="AD3338" s="38"/>
      <c r="AE3338" s="38"/>
      <c r="AF3338" s="38"/>
      <c r="AG3338" s="38"/>
      <c r="AH3338" s="60"/>
    </row>
    <row r="3339" spans="1:34" ht="15.75" customHeight="1">
      <c r="A3339" s="111" t="s">
        <v>73</v>
      </c>
      <c r="B3339" s="41"/>
      <c r="C3339" s="151"/>
      <c r="D3339" s="107"/>
      <c r="E3339" s="107"/>
      <c r="F3339" s="151"/>
      <c r="G3339" s="151"/>
      <c r="H3339" s="151"/>
      <c r="I3339" s="108"/>
      <c r="J3339" s="108"/>
      <c r="K3339" s="109"/>
      <c r="L3339" s="110"/>
      <c r="M3339" s="40"/>
      <c r="N3339" s="40"/>
      <c r="O3339" s="42"/>
      <c r="P3339" s="40"/>
      <c r="Q3339" s="61"/>
      <c r="R3339" s="61"/>
      <c r="S3339" s="40"/>
      <c r="T3339" s="38"/>
      <c r="U3339" s="38"/>
      <c r="V3339" s="38"/>
      <c r="W3339" s="60"/>
      <c r="AB3339" s="42"/>
      <c r="AC3339" s="35"/>
      <c r="AD3339" s="38"/>
      <c r="AE3339" s="38"/>
      <c r="AF3339" s="38"/>
      <c r="AG3339" s="38"/>
      <c r="AH3339" s="60"/>
    </row>
    <row r="3340" spans="1:34" ht="15.75" customHeight="1">
      <c r="A3340" s="75">
        <v>3.3</v>
      </c>
      <c r="B3340" s="41"/>
      <c r="C3340" s="151"/>
      <c r="D3340" s="107"/>
      <c r="E3340" s="107"/>
      <c r="F3340" s="151"/>
      <c r="G3340" s="151"/>
      <c r="H3340" s="151"/>
      <c r="I3340" s="108"/>
      <c r="J3340" s="108"/>
      <c r="K3340" s="109"/>
      <c r="L3340" s="110"/>
      <c r="M3340" s="40"/>
      <c r="N3340" s="40"/>
      <c r="O3340" s="42"/>
      <c r="P3340" s="40"/>
      <c r="Q3340" s="61"/>
      <c r="R3340" s="61"/>
      <c r="S3340" s="40"/>
      <c r="T3340" s="38"/>
      <c r="U3340" s="38"/>
      <c r="V3340" s="38"/>
      <c r="W3340" s="60"/>
      <c r="AB3340" s="42"/>
      <c r="AC3340" s="35"/>
      <c r="AD3340" s="38"/>
      <c r="AE3340" s="38"/>
      <c r="AF3340" s="38"/>
      <c r="AG3340" s="38"/>
      <c r="AH3340" s="60"/>
    </row>
    <row r="3341" spans="1:34" ht="15.75" customHeight="1">
      <c r="A3341" s="111" t="s">
        <v>82</v>
      </c>
      <c r="B3341" s="41"/>
      <c r="C3341" s="151"/>
      <c r="D3341" s="107"/>
      <c r="E3341" s="107"/>
      <c r="F3341" s="151"/>
      <c r="G3341" s="151"/>
      <c r="H3341" s="151"/>
      <c r="I3341" s="108"/>
      <c r="J3341" s="108"/>
      <c r="K3341" s="109"/>
      <c r="L3341" s="110"/>
      <c r="M3341" s="40"/>
      <c r="N3341" s="40"/>
      <c r="O3341" s="42"/>
      <c r="P3341" s="40"/>
      <c r="Q3341" s="61"/>
      <c r="R3341" s="61"/>
      <c r="S3341" s="40"/>
      <c r="T3341" s="38"/>
      <c r="U3341" s="38"/>
      <c r="V3341" s="38"/>
      <c r="W3341" s="60"/>
      <c r="AB3341" s="42"/>
      <c r="AC3341" s="35"/>
      <c r="AD3341" s="38"/>
      <c r="AE3341" s="38"/>
      <c r="AF3341" s="38"/>
      <c r="AG3341" s="38"/>
      <c r="AH3341" s="60"/>
    </row>
    <row r="3342" spans="1:34" ht="15.75" customHeight="1">
      <c r="A3342" s="75" t="s">
        <v>11784</v>
      </c>
      <c r="B3342" s="41"/>
      <c r="C3342" s="151"/>
      <c r="D3342" s="107"/>
      <c r="E3342" s="107"/>
      <c r="F3342" s="151"/>
      <c r="G3342" s="151"/>
      <c r="H3342" s="151"/>
      <c r="I3342" s="108"/>
      <c r="J3342" s="108"/>
      <c r="K3342" s="109"/>
      <c r="L3342" s="110"/>
      <c r="M3342" s="40"/>
      <c r="N3342" s="40"/>
      <c r="O3342" s="42"/>
      <c r="P3342" s="40"/>
      <c r="Q3342" s="61"/>
      <c r="R3342" s="61"/>
      <c r="S3342" s="40"/>
      <c r="T3342" s="38"/>
      <c r="U3342" s="38"/>
      <c r="V3342" s="38"/>
      <c r="W3342" s="60"/>
      <c r="AB3342" s="42"/>
      <c r="AC3342" s="35"/>
      <c r="AD3342" s="38"/>
      <c r="AE3342" s="38"/>
      <c r="AF3342" s="38"/>
      <c r="AG3342" s="38"/>
      <c r="AH3342" s="60"/>
    </row>
    <row r="3343" spans="1:34" ht="15.75" customHeight="1">
      <c r="A3343" s="111" t="s">
        <v>92</v>
      </c>
      <c r="B3343" s="41"/>
      <c r="C3343" s="151"/>
      <c r="D3343" s="107"/>
      <c r="E3343" s="107"/>
      <c r="F3343" s="151"/>
      <c r="G3343" s="151"/>
      <c r="H3343" s="151"/>
      <c r="I3343" s="108"/>
      <c r="J3343" s="108"/>
      <c r="K3343" s="109"/>
      <c r="L3343" s="110"/>
      <c r="M3343" s="40"/>
      <c r="N3343" s="40"/>
      <c r="O3343" s="42"/>
      <c r="P3343" s="40"/>
      <c r="Q3343" s="61"/>
      <c r="R3343" s="61"/>
      <c r="S3343" s="40"/>
      <c r="T3343" s="38"/>
      <c r="U3343" s="38"/>
      <c r="V3343" s="38"/>
      <c r="W3343" s="60"/>
      <c r="AB3343" s="42"/>
      <c r="AC3343" s="35"/>
      <c r="AD3343" s="38"/>
      <c r="AE3343" s="38"/>
      <c r="AF3343" s="38"/>
      <c r="AG3343" s="38"/>
      <c r="AH3343" s="60"/>
    </row>
    <row r="3344" spans="1:34" ht="15.75" customHeight="1">
      <c r="A3344" s="112">
        <v>960</v>
      </c>
      <c r="B3344" s="41"/>
      <c r="C3344" s="151"/>
      <c r="D3344" s="107"/>
      <c r="E3344" s="107"/>
      <c r="F3344" s="151"/>
      <c r="G3344" s="151"/>
      <c r="H3344" s="151"/>
      <c r="I3344" s="108"/>
      <c r="J3344" s="108"/>
      <c r="K3344" s="109"/>
      <c r="L3344" s="110"/>
      <c r="M3344" s="40"/>
      <c r="N3344" s="40"/>
      <c r="O3344" s="42"/>
      <c r="P3344" s="40"/>
      <c r="Q3344" s="61"/>
      <c r="R3344" s="61"/>
      <c r="S3344" s="40"/>
      <c r="T3344" s="38"/>
      <c r="U3344" s="38"/>
      <c r="V3344" s="38"/>
      <c r="W3344" s="60"/>
      <c r="AB3344" s="42"/>
      <c r="AC3344" s="35"/>
      <c r="AD3344" s="38"/>
      <c r="AE3344" s="38"/>
      <c r="AF3344" s="38"/>
      <c r="AG3344" s="38"/>
      <c r="AH3344" s="60"/>
    </row>
    <row r="3345" spans="1:34" ht="15.75" customHeight="1">
      <c r="A3345" s="111" t="s">
        <v>100</v>
      </c>
      <c r="B3345" s="41"/>
      <c r="C3345" s="151"/>
      <c r="D3345" s="107"/>
      <c r="E3345" s="107"/>
      <c r="F3345" s="151"/>
      <c r="G3345" s="151"/>
      <c r="H3345" s="151"/>
      <c r="I3345" s="108"/>
      <c r="J3345" s="108"/>
      <c r="K3345" s="109"/>
      <c r="L3345" s="110"/>
      <c r="M3345" s="40"/>
      <c r="N3345" s="40"/>
      <c r="O3345" s="42"/>
      <c r="P3345" s="40"/>
      <c r="Q3345" s="61"/>
      <c r="R3345" s="61"/>
      <c r="S3345" s="40"/>
      <c r="T3345" s="38"/>
      <c r="U3345" s="38"/>
      <c r="V3345" s="38"/>
      <c r="W3345" s="60"/>
      <c r="AB3345" s="42"/>
      <c r="AC3345" s="35"/>
      <c r="AD3345" s="38"/>
      <c r="AE3345" s="38"/>
      <c r="AF3345" s="38"/>
      <c r="AG3345" s="38"/>
      <c r="AH3345" s="60"/>
    </row>
    <row r="3346" spans="1:34" ht="15.75" customHeight="1">
      <c r="A3346" s="75">
        <v>160</v>
      </c>
      <c r="B3346" s="41"/>
      <c r="C3346" s="151"/>
      <c r="D3346" s="107"/>
      <c r="E3346" s="107"/>
      <c r="F3346" s="151"/>
      <c r="G3346" s="151"/>
      <c r="H3346" s="151"/>
      <c r="I3346" s="108"/>
      <c r="J3346" s="108"/>
      <c r="K3346" s="109"/>
      <c r="L3346" s="110"/>
      <c r="M3346" s="40"/>
      <c r="N3346" s="40"/>
      <c r="O3346" s="42"/>
      <c r="P3346" s="40"/>
      <c r="Q3346" s="61"/>
      <c r="R3346" s="61"/>
      <c r="S3346" s="40"/>
      <c r="T3346" s="38"/>
      <c r="U3346" s="38"/>
      <c r="V3346" s="38"/>
      <c r="W3346" s="60"/>
      <c r="AB3346" s="42"/>
      <c r="AC3346" s="35"/>
      <c r="AD3346" s="38"/>
      <c r="AE3346" s="38"/>
      <c r="AF3346" s="38"/>
      <c r="AG3346" s="38"/>
      <c r="AH3346" s="60"/>
    </row>
    <row r="3347" spans="1:34" ht="15.75" customHeight="1">
      <c r="A3347" s="35"/>
      <c r="B3347" s="38"/>
      <c r="C3347" s="55"/>
      <c r="D3347" s="20"/>
      <c r="E3347" s="149"/>
      <c r="F3347" s="55"/>
      <c r="G3347" s="55"/>
      <c r="H3347" s="55"/>
      <c r="I3347" s="21"/>
      <c r="J3347" s="21"/>
      <c r="K3347" s="150"/>
      <c r="L3347" s="113"/>
      <c r="M3347" s="40"/>
      <c r="N3347" s="40"/>
      <c r="O3347" s="42"/>
      <c r="P3347" s="40"/>
      <c r="Q3347" s="61"/>
      <c r="R3347" s="61"/>
      <c r="S3347" s="40"/>
      <c r="T3347" s="38"/>
      <c r="U3347" s="38"/>
      <c r="V3347" s="38"/>
      <c r="W3347" s="60"/>
      <c r="AB3347" s="42"/>
      <c r="AC3347" s="35"/>
      <c r="AD3347" s="38"/>
      <c r="AE3347" s="38"/>
      <c r="AF3347" s="38"/>
      <c r="AG3347" s="38"/>
      <c r="AH3347" s="60"/>
    </row>
    <row r="3348" spans="1:34" ht="15.75" customHeight="1">
      <c r="A3348" s="38" t="s">
        <v>11785</v>
      </c>
      <c r="B3348" s="38" t="s">
        <v>11786</v>
      </c>
      <c r="C3348" s="37" t="s">
        <v>412</v>
      </c>
      <c r="D3348" s="20" t="s">
        <v>11787</v>
      </c>
      <c r="E3348" s="20"/>
      <c r="F3348" s="19" t="s">
        <v>414</v>
      </c>
      <c r="G3348" s="37" t="s">
        <v>415</v>
      </c>
      <c r="H3348" s="37" t="s">
        <v>55</v>
      </c>
      <c r="I3348" s="19" t="s">
        <v>233</v>
      </c>
      <c r="J3348" s="19" t="s">
        <v>233</v>
      </c>
      <c r="K3348" s="22"/>
      <c r="L3348" s="56">
        <v>45097</v>
      </c>
      <c r="M3348" s="40"/>
      <c r="N3348" s="40"/>
      <c r="O3348" s="42"/>
      <c r="P3348" s="40"/>
      <c r="Q3348" s="61"/>
      <c r="R3348" s="61"/>
      <c r="S3348" s="40"/>
      <c r="T3348" s="38"/>
      <c r="U3348" s="38"/>
      <c r="V3348" s="38"/>
      <c r="W3348" s="60"/>
      <c r="AB3348" s="42"/>
      <c r="AC3348" s="35"/>
      <c r="AD3348" s="38"/>
      <c r="AE3348" s="38"/>
      <c r="AF3348" s="38"/>
      <c r="AG3348" s="38"/>
      <c r="AH3348" s="60"/>
    </row>
    <row r="3349" spans="1:34" ht="15.75" customHeight="1">
      <c r="A3349" s="54" t="s">
        <v>2628</v>
      </c>
      <c r="B3349" s="34" t="s">
        <v>11788</v>
      </c>
      <c r="C3349" s="37" t="s">
        <v>24</v>
      </c>
      <c r="D3349" s="20" t="s">
        <v>11789</v>
      </c>
      <c r="E3349" s="20" t="s">
        <v>11790</v>
      </c>
      <c r="F3349" s="19" t="s">
        <v>90</v>
      </c>
      <c r="G3349" s="19" t="s">
        <v>91</v>
      </c>
      <c r="H3349" s="37" t="s">
        <v>55</v>
      </c>
      <c r="I3349" s="19" t="s">
        <v>29</v>
      </c>
      <c r="J3349" s="19" t="s">
        <v>29</v>
      </c>
      <c r="K3349" s="22" t="s">
        <v>11791</v>
      </c>
      <c r="L3349" s="56">
        <v>45097</v>
      </c>
      <c r="M3349" s="40"/>
      <c r="N3349" s="40"/>
      <c r="O3349" s="42"/>
      <c r="P3349" s="40"/>
      <c r="Q3349" s="61"/>
      <c r="R3349" s="61"/>
      <c r="S3349" s="40"/>
      <c r="T3349" s="38"/>
      <c r="U3349" s="38"/>
      <c r="V3349" s="38"/>
      <c r="W3349" s="60"/>
      <c r="AB3349" s="42"/>
      <c r="AC3349" s="35"/>
      <c r="AD3349" s="38"/>
      <c r="AE3349" s="38"/>
      <c r="AF3349" s="38"/>
      <c r="AG3349" s="38"/>
      <c r="AH3349" s="60"/>
    </row>
    <row r="3350" spans="1:34" ht="15.75" customHeight="1">
      <c r="A3350" s="114" t="s">
        <v>39</v>
      </c>
      <c r="B3350" s="99" t="s">
        <v>11792</v>
      </c>
      <c r="C3350" s="19" t="s">
        <v>121</v>
      </c>
      <c r="D3350" s="20" t="s">
        <v>11793</v>
      </c>
      <c r="E3350" s="20" t="s">
        <v>11794</v>
      </c>
      <c r="F3350" s="37" t="s">
        <v>286</v>
      </c>
      <c r="G3350" s="37" t="s">
        <v>286</v>
      </c>
      <c r="H3350" s="37" t="s">
        <v>55</v>
      </c>
      <c r="I3350" s="19" t="s">
        <v>286</v>
      </c>
      <c r="J3350" s="19" t="s">
        <v>233</v>
      </c>
      <c r="K3350" s="22" t="s">
        <v>11795</v>
      </c>
      <c r="L3350" s="56"/>
      <c r="M3350" s="40"/>
      <c r="N3350" s="40"/>
      <c r="O3350" s="42"/>
      <c r="P3350" s="40"/>
      <c r="Q3350" s="61"/>
      <c r="R3350" s="61"/>
      <c r="S3350" s="40"/>
      <c r="T3350" s="38"/>
      <c r="U3350" s="38"/>
      <c r="V3350" s="38"/>
      <c r="W3350" s="60"/>
      <c r="AB3350" s="42"/>
      <c r="AC3350" s="35"/>
      <c r="AD3350" s="38"/>
      <c r="AE3350" s="38"/>
      <c r="AF3350" s="38"/>
      <c r="AG3350" s="38"/>
      <c r="AH3350" s="60"/>
    </row>
    <row r="3351" spans="1:34" ht="15.75" customHeight="1">
      <c r="A3351" s="38" t="s">
        <v>11546</v>
      </c>
      <c r="B3351" s="18" t="s">
        <v>11796</v>
      </c>
      <c r="C3351" s="37" t="s">
        <v>24</v>
      </c>
      <c r="D3351" s="20" t="s">
        <v>11797</v>
      </c>
      <c r="E3351" s="20" t="s">
        <v>11798</v>
      </c>
      <c r="F3351" s="19" t="s">
        <v>27</v>
      </c>
      <c r="G3351" s="19" t="s">
        <v>28</v>
      </c>
      <c r="H3351" s="37" t="s">
        <v>55</v>
      </c>
      <c r="I3351" s="19" t="s">
        <v>29</v>
      </c>
      <c r="J3351" s="19" t="s">
        <v>29</v>
      </c>
      <c r="K3351" s="22" t="s">
        <v>11799</v>
      </c>
      <c r="L3351" s="56">
        <v>45097</v>
      </c>
      <c r="M3351" s="40"/>
      <c r="N3351" s="40"/>
      <c r="O3351" s="42"/>
      <c r="P3351" s="40"/>
      <c r="Q3351" s="61"/>
      <c r="R3351" s="61"/>
      <c r="S3351" s="40"/>
      <c r="T3351" s="38"/>
      <c r="U3351" s="38"/>
      <c r="V3351" s="38"/>
      <c r="W3351" s="60"/>
      <c r="AB3351" s="42"/>
      <c r="AC3351" s="35"/>
      <c r="AD3351" s="38"/>
      <c r="AE3351" s="38"/>
      <c r="AF3351" s="38"/>
      <c r="AG3351" s="38"/>
      <c r="AH3351" s="60"/>
    </row>
    <row r="3352" spans="1:34" ht="15.75" customHeight="1">
      <c r="A3352" s="38" t="s">
        <v>11200</v>
      </c>
      <c r="B3352" s="34" t="s">
        <v>11800</v>
      </c>
      <c r="C3352" s="37" t="s">
        <v>24</v>
      </c>
      <c r="D3352" s="20" t="s">
        <v>11801</v>
      </c>
      <c r="E3352" s="20" t="s">
        <v>11802</v>
      </c>
      <c r="F3352" s="19" t="s">
        <v>90</v>
      </c>
      <c r="G3352" s="19" t="s">
        <v>91</v>
      </c>
      <c r="H3352" s="37" t="s">
        <v>55</v>
      </c>
      <c r="I3352" s="19" t="s">
        <v>29</v>
      </c>
      <c r="J3352" s="19" t="s">
        <v>29</v>
      </c>
      <c r="K3352" s="22" t="s">
        <v>11803</v>
      </c>
      <c r="L3352" s="56">
        <v>45097</v>
      </c>
      <c r="M3352" s="40"/>
      <c r="N3352" s="40"/>
      <c r="O3352" s="42"/>
      <c r="P3352" s="40"/>
      <c r="Q3352" s="61"/>
      <c r="R3352" s="61"/>
      <c r="S3352" s="40"/>
      <c r="T3352" s="38"/>
      <c r="U3352" s="38"/>
      <c r="V3352" s="38"/>
      <c r="W3352" s="60"/>
      <c r="AB3352" s="42"/>
      <c r="AC3352" s="35"/>
      <c r="AD3352" s="38"/>
      <c r="AE3352" s="38"/>
      <c r="AF3352" s="38"/>
      <c r="AG3352" s="38"/>
      <c r="AH3352" s="60"/>
    </row>
    <row r="3353" spans="1:34" ht="15.75" customHeight="1">
      <c r="A3353" s="111" t="s">
        <v>56</v>
      </c>
      <c r="B3353" s="38" t="s">
        <v>11804</v>
      </c>
      <c r="C3353" s="37" t="s">
        <v>412</v>
      </c>
      <c r="D3353" s="20" t="s">
        <v>11805</v>
      </c>
      <c r="E3353" s="20"/>
      <c r="F3353" s="19" t="s">
        <v>414</v>
      </c>
      <c r="G3353" s="19" t="s">
        <v>415</v>
      </c>
      <c r="H3353" s="37" t="s">
        <v>55</v>
      </c>
      <c r="I3353" s="19" t="s">
        <v>233</v>
      </c>
      <c r="J3353" s="19" t="s">
        <v>233</v>
      </c>
      <c r="K3353" s="22"/>
      <c r="L3353" s="56">
        <v>45097</v>
      </c>
      <c r="M3353" s="40"/>
      <c r="N3353" s="40"/>
      <c r="O3353" s="42"/>
      <c r="P3353" s="40"/>
      <c r="Q3353" s="61"/>
      <c r="R3353" s="61"/>
      <c r="S3353" s="40"/>
      <c r="T3353" s="38"/>
      <c r="U3353" s="38"/>
      <c r="V3353" s="38"/>
      <c r="W3353" s="60"/>
      <c r="AB3353" s="42"/>
      <c r="AC3353" s="35"/>
      <c r="AD3353" s="38"/>
      <c r="AE3353" s="38"/>
      <c r="AF3353" s="38"/>
      <c r="AG3353" s="38"/>
      <c r="AH3353" s="60"/>
    </row>
    <row r="3354" spans="1:34" ht="15.75" customHeight="1">
      <c r="A3354" s="75">
        <v>54</v>
      </c>
      <c r="B3354" s="18" t="s">
        <v>11806</v>
      </c>
      <c r="C3354" s="37" t="s">
        <v>412</v>
      </c>
      <c r="D3354" s="20" t="s">
        <v>11807</v>
      </c>
      <c r="E3354" s="20" t="s">
        <v>11808</v>
      </c>
      <c r="F3354" s="19" t="s">
        <v>414</v>
      </c>
      <c r="G3354" s="37" t="s">
        <v>415</v>
      </c>
      <c r="H3354" s="37" t="s">
        <v>55</v>
      </c>
      <c r="I3354" s="19" t="s">
        <v>233</v>
      </c>
      <c r="J3354" s="19" t="s">
        <v>233</v>
      </c>
      <c r="K3354" s="22" t="s">
        <v>11809</v>
      </c>
      <c r="L3354" s="56">
        <v>45097</v>
      </c>
      <c r="M3354" s="40"/>
      <c r="N3354" s="40"/>
      <c r="O3354" s="42"/>
      <c r="P3354" s="40"/>
      <c r="Q3354" s="61"/>
      <c r="R3354" s="61"/>
      <c r="S3354" s="40"/>
      <c r="T3354" s="38"/>
      <c r="U3354" s="38"/>
      <c r="V3354" s="38"/>
      <c r="W3354" s="60"/>
      <c r="AB3354" s="42"/>
      <c r="AC3354" s="35"/>
      <c r="AD3354" s="38"/>
      <c r="AE3354" s="38"/>
      <c r="AF3354" s="38"/>
      <c r="AG3354" s="38"/>
      <c r="AH3354" s="60"/>
    </row>
    <row r="3355" spans="1:34" ht="15.75" customHeight="1">
      <c r="A3355" s="111" t="s">
        <v>64</v>
      </c>
      <c r="B3355" s="18" t="s">
        <v>11810</v>
      </c>
      <c r="C3355" s="37" t="s">
        <v>87</v>
      </c>
      <c r="D3355" s="20" t="s">
        <v>11811</v>
      </c>
      <c r="E3355" s="20" t="s">
        <v>11812</v>
      </c>
      <c r="F3355" s="19" t="s">
        <v>90</v>
      </c>
      <c r="G3355" s="19" t="s">
        <v>91</v>
      </c>
      <c r="H3355" s="37" t="s">
        <v>55</v>
      </c>
      <c r="I3355" s="19" t="s">
        <v>29</v>
      </c>
      <c r="J3355" s="19" t="s">
        <v>29</v>
      </c>
      <c r="K3355" s="22" t="s">
        <v>11813</v>
      </c>
      <c r="L3355" s="56">
        <v>45097</v>
      </c>
      <c r="M3355" s="40"/>
      <c r="N3355" s="40"/>
      <c r="O3355" s="42"/>
      <c r="P3355" s="40"/>
      <c r="Q3355" s="61"/>
      <c r="R3355" s="61"/>
      <c r="S3355" s="40"/>
      <c r="T3355" s="38"/>
      <c r="U3355" s="38"/>
      <c r="V3355" s="38"/>
      <c r="W3355" s="60"/>
      <c r="AB3355" s="42"/>
      <c r="AC3355" s="35"/>
      <c r="AD3355" s="38"/>
      <c r="AE3355" s="38"/>
      <c r="AF3355" s="38"/>
      <c r="AG3355" s="38"/>
      <c r="AH3355" s="60"/>
    </row>
    <row r="3356" spans="1:34" ht="15.75" customHeight="1">
      <c r="A3356" s="75">
        <v>2.6</v>
      </c>
      <c r="B3356" s="18" t="s">
        <v>11814</v>
      </c>
      <c r="C3356" s="37" t="s">
        <v>46</v>
      </c>
      <c r="D3356" s="20" t="s">
        <v>11815</v>
      </c>
      <c r="E3356" s="20" t="s">
        <v>11816</v>
      </c>
      <c r="F3356" s="37" t="s">
        <v>49</v>
      </c>
      <c r="G3356" s="19" t="s">
        <v>50</v>
      </c>
      <c r="H3356" s="37" t="s">
        <v>55</v>
      </c>
      <c r="I3356" s="19" t="s">
        <v>29</v>
      </c>
      <c r="J3356" s="19" t="s">
        <v>29</v>
      </c>
      <c r="K3356" s="22" t="s">
        <v>11817</v>
      </c>
      <c r="L3356" s="56">
        <v>45097</v>
      </c>
      <c r="M3356" s="40"/>
      <c r="N3356" s="40"/>
      <c r="O3356" s="42"/>
      <c r="P3356" s="40"/>
      <c r="Q3356" s="61"/>
      <c r="R3356" s="61"/>
      <c r="S3356" s="40"/>
      <c r="T3356" s="38"/>
      <c r="U3356" s="38"/>
      <c r="V3356" s="38"/>
      <c r="W3356" s="60"/>
      <c r="AB3356" s="42"/>
      <c r="AC3356" s="35"/>
      <c r="AD3356" s="38"/>
      <c r="AE3356" s="38"/>
      <c r="AF3356" s="38"/>
      <c r="AG3356" s="38"/>
      <c r="AH3356" s="60"/>
    </row>
    <row r="3357" spans="1:34" ht="15.75" customHeight="1">
      <c r="A3357" s="111" t="s">
        <v>73</v>
      </c>
      <c r="B3357" s="29" t="s">
        <v>11818</v>
      </c>
      <c r="C3357" s="37" t="s">
        <v>228</v>
      </c>
      <c r="D3357" s="20" t="s">
        <v>11819</v>
      </c>
      <c r="E3357" s="20" t="s">
        <v>11820</v>
      </c>
      <c r="F3357" s="19" t="s">
        <v>231</v>
      </c>
      <c r="G3357" s="19" t="s">
        <v>232</v>
      </c>
      <c r="H3357" s="37" t="s">
        <v>55</v>
      </c>
      <c r="I3357" s="19" t="s">
        <v>233</v>
      </c>
      <c r="J3357" s="19" t="s">
        <v>233</v>
      </c>
      <c r="K3357" s="22" t="s">
        <v>11821</v>
      </c>
      <c r="L3357" s="56">
        <v>45097</v>
      </c>
      <c r="M3357" s="40"/>
      <c r="N3357" s="40"/>
      <c r="O3357" s="42"/>
      <c r="P3357" s="40"/>
      <c r="Q3357" s="61"/>
      <c r="R3357" s="61"/>
      <c r="S3357" s="40"/>
      <c r="T3357" s="38"/>
      <c r="U3357" s="38"/>
      <c r="V3357" s="38"/>
      <c r="W3357" s="60"/>
      <c r="AB3357" s="42"/>
      <c r="AC3357" s="35"/>
      <c r="AD3357" s="38"/>
      <c r="AE3357" s="38"/>
      <c r="AF3357" s="38"/>
      <c r="AG3357" s="38"/>
      <c r="AH3357" s="60"/>
    </row>
    <row r="3358" spans="1:34" ht="15.75" customHeight="1">
      <c r="A3358" s="75">
        <v>3.3</v>
      </c>
      <c r="B3358" s="18" t="s">
        <v>11822</v>
      </c>
      <c r="C3358" s="37" t="s">
        <v>87</v>
      </c>
      <c r="D3358" s="20" t="s">
        <v>11823</v>
      </c>
      <c r="E3358" s="20" t="s">
        <v>11824</v>
      </c>
      <c r="F3358" s="19" t="s">
        <v>90</v>
      </c>
      <c r="G3358" s="19" t="s">
        <v>91</v>
      </c>
      <c r="H3358" s="37" t="s">
        <v>55</v>
      </c>
      <c r="I3358" s="19" t="s">
        <v>29</v>
      </c>
      <c r="J3358" s="19" t="s">
        <v>29</v>
      </c>
      <c r="K3358" s="22" t="s">
        <v>11825</v>
      </c>
      <c r="L3358" s="56">
        <v>45097</v>
      </c>
      <c r="M3358" s="40"/>
      <c r="N3358" s="40"/>
      <c r="O3358" s="42"/>
      <c r="P3358" s="40"/>
      <c r="Q3358" s="61"/>
      <c r="R3358" s="61"/>
      <c r="S3358" s="40"/>
      <c r="T3358" s="38"/>
      <c r="U3358" s="38"/>
      <c r="V3358" s="38"/>
      <c r="W3358" s="60"/>
      <c r="AB3358" s="42"/>
      <c r="AC3358" s="35"/>
      <c r="AD3358" s="38"/>
      <c r="AE3358" s="38"/>
      <c r="AF3358" s="38"/>
      <c r="AG3358" s="38"/>
      <c r="AH3358" s="60"/>
    </row>
    <row r="3359" spans="1:34" ht="15.75" customHeight="1">
      <c r="A3359" s="111" t="s">
        <v>82</v>
      </c>
      <c r="B3359" s="38" t="s">
        <v>11826</v>
      </c>
      <c r="C3359" s="37" t="s">
        <v>46</v>
      </c>
      <c r="D3359" s="20" t="s">
        <v>11827</v>
      </c>
      <c r="E3359" s="20"/>
      <c r="F3359" s="37" t="s">
        <v>49</v>
      </c>
      <c r="G3359" s="19" t="s">
        <v>50</v>
      </c>
      <c r="H3359" s="37" t="s">
        <v>55</v>
      </c>
      <c r="I3359" s="19" t="s">
        <v>29</v>
      </c>
      <c r="J3359" s="19" t="s">
        <v>29</v>
      </c>
      <c r="K3359" s="22"/>
      <c r="L3359" s="56">
        <v>45097</v>
      </c>
      <c r="M3359" s="40"/>
      <c r="N3359" s="40"/>
      <c r="O3359" s="42"/>
      <c r="P3359" s="40"/>
      <c r="Q3359" s="61"/>
      <c r="R3359" s="61"/>
      <c r="S3359" s="40"/>
      <c r="T3359" s="38"/>
      <c r="U3359" s="38"/>
      <c r="V3359" s="38"/>
      <c r="W3359" s="60"/>
      <c r="AB3359" s="42"/>
      <c r="AC3359" s="35"/>
      <c r="AD3359" s="38"/>
      <c r="AE3359" s="38"/>
      <c r="AF3359" s="38"/>
      <c r="AG3359" s="38"/>
      <c r="AH3359" s="60"/>
    </row>
    <row r="3360" spans="1:34" ht="15.75" customHeight="1">
      <c r="A3360" s="75" t="s">
        <v>11828</v>
      </c>
      <c r="B3360" s="38" t="s">
        <v>11829</v>
      </c>
      <c r="C3360" s="37" t="s">
        <v>24</v>
      </c>
      <c r="D3360" s="20" t="s">
        <v>11830</v>
      </c>
      <c r="E3360" s="20"/>
      <c r="F3360" s="19" t="s">
        <v>27</v>
      </c>
      <c r="G3360" s="19" t="s">
        <v>28</v>
      </c>
      <c r="H3360" s="37" t="s">
        <v>55</v>
      </c>
      <c r="I3360" s="19" t="s">
        <v>29</v>
      </c>
      <c r="J3360" s="19" t="s">
        <v>29</v>
      </c>
      <c r="K3360" s="22"/>
      <c r="L3360" s="56">
        <v>45097</v>
      </c>
      <c r="M3360" s="40"/>
      <c r="N3360" s="40"/>
      <c r="O3360" s="42"/>
      <c r="P3360" s="40"/>
      <c r="Q3360" s="61"/>
      <c r="R3360" s="61"/>
      <c r="S3360" s="40"/>
      <c r="T3360" s="38"/>
      <c r="U3360" s="38"/>
      <c r="V3360" s="38"/>
      <c r="W3360" s="60"/>
      <c r="AB3360" s="42"/>
      <c r="AC3360" s="35"/>
      <c r="AD3360" s="38"/>
      <c r="AE3360" s="38"/>
      <c r="AF3360" s="38"/>
      <c r="AG3360" s="38"/>
      <c r="AH3360" s="60"/>
    </row>
    <row r="3361" spans="1:34" ht="15.75" customHeight="1">
      <c r="A3361" s="111" t="s">
        <v>92</v>
      </c>
      <c r="B3361" s="18" t="s">
        <v>11831</v>
      </c>
      <c r="C3361" s="37" t="s">
        <v>412</v>
      </c>
      <c r="D3361" s="20" t="s">
        <v>11832</v>
      </c>
      <c r="E3361" s="20" t="s">
        <v>11833</v>
      </c>
      <c r="F3361" s="19" t="s">
        <v>414</v>
      </c>
      <c r="G3361" s="19" t="s">
        <v>415</v>
      </c>
      <c r="H3361" s="37" t="s">
        <v>55</v>
      </c>
      <c r="I3361" s="19" t="s">
        <v>29</v>
      </c>
      <c r="J3361" s="19" t="s">
        <v>29</v>
      </c>
      <c r="K3361" s="22" t="s">
        <v>11834</v>
      </c>
      <c r="L3361" s="56">
        <v>45097</v>
      </c>
      <c r="M3361" s="40"/>
      <c r="N3361" s="40"/>
      <c r="O3361" s="42"/>
      <c r="P3361" s="40"/>
      <c r="Q3361" s="61"/>
      <c r="R3361" s="61"/>
      <c r="S3361" s="40"/>
      <c r="T3361" s="38"/>
      <c r="U3361" s="38"/>
      <c r="V3361" s="38"/>
      <c r="W3361" s="60"/>
      <c r="AB3361" s="42"/>
      <c r="AC3361" s="35"/>
      <c r="AD3361" s="38"/>
      <c r="AE3361" s="38"/>
      <c r="AF3361" s="38"/>
      <c r="AG3361" s="38"/>
      <c r="AH3361" s="60"/>
    </row>
    <row r="3362" spans="1:34" ht="15.75" customHeight="1">
      <c r="A3362" s="112">
        <v>1020</v>
      </c>
      <c r="B3362" s="18" t="s">
        <v>11835</v>
      </c>
      <c r="C3362" s="37" t="s">
        <v>46</v>
      </c>
      <c r="D3362" s="20" t="s">
        <v>11836</v>
      </c>
      <c r="E3362" s="20" t="s">
        <v>11837</v>
      </c>
      <c r="F3362" s="37" t="s">
        <v>49</v>
      </c>
      <c r="G3362" s="19" t="s">
        <v>50</v>
      </c>
      <c r="H3362" s="37" t="s">
        <v>55</v>
      </c>
      <c r="I3362" s="19" t="s">
        <v>29</v>
      </c>
      <c r="J3362" s="19" t="s">
        <v>29</v>
      </c>
      <c r="K3362" s="22" t="s">
        <v>11838</v>
      </c>
      <c r="L3362" s="56">
        <v>45097</v>
      </c>
      <c r="M3362" s="40"/>
      <c r="N3362" s="40"/>
      <c r="O3362" s="42"/>
      <c r="P3362" s="40"/>
      <c r="Q3362" s="61"/>
      <c r="R3362" s="61"/>
      <c r="S3362" s="40"/>
      <c r="T3362" s="38"/>
      <c r="U3362" s="38"/>
      <c r="V3362" s="38"/>
      <c r="W3362" s="60"/>
      <c r="AB3362" s="42"/>
      <c r="AC3362" s="35"/>
      <c r="AD3362" s="38"/>
      <c r="AE3362" s="38"/>
      <c r="AF3362" s="38"/>
      <c r="AG3362" s="38"/>
      <c r="AH3362" s="60"/>
    </row>
    <row r="3363" spans="1:34" ht="15.75" customHeight="1">
      <c r="A3363" s="111" t="s">
        <v>100</v>
      </c>
      <c r="B3363" s="38"/>
      <c r="C3363" s="154"/>
      <c r="D3363" s="20"/>
      <c r="E3363" s="20"/>
      <c r="F3363" s="154"/>
      <c r="G3363" s="154"/>
      <c r="H3363" s="154"/>
      <c r="I3363" s="21"/>
      <c r="J3363" s="21"/>
      <c r="K3363" s="22"/>
      <c r="L3363" s="113"/>
      <c r="M3363" s="40"/>
      <c r="N3363" s="40"/>
      <c r="O3363" s="42"/>
      <c r="P3363" s="40"/>
      <c r="Q3363" s="61"/>
      <c r="R3363" s="61"/>
      <c r="S3363" s="40"/>
      <c r="T3363" s="38"/>
      <c r="U3363" s="38"/>
      <c r="V3363" s="38"/>
      <c r="W3363" s="60"/>
      <c r="AB3363" s="42"/>
      <c r="AC3363" s="35"/>
      <c r="AD3363" s="38"/>
      <c r="AE3363" s="38"/>
      <c r="AF3363" s="38"/>
      <c r="AG3363" s="38"/>
      <c r="AH3363" s="60"/>
    </row>
    <row r="3364" spans="1:34" ht="15.75" customHeight="1">
      <c r="A3364" s="75">
        <v>160</v>
      </c>
      <c r="B3364" s="38"/>
      <c r="C3364" s="154"/>
      <c r="D3364" s="20"/>
      <c r="E3364" s="20"/>
      <c r="F3364" s="154"/>
      <c r="G3364" s="154"/>
      <c r="H3364" s="154"/>
      <c r="I3364" s="21"/>
      <c r="J3364" s="21"/>
      <c r="K3364" s="22"/>
      <c r="L3364" s="113"/>
      <c r="M3364" s="40"/>
      <c r="N3364" s="40"/>
      <c r="O3364" s="42"/>
      <c r="P3364" s="40"/>
      <c r="Q3364" s="61"/>
      <c r="R3364" s="61"/>
      <c r="S3364" s="40"/>
      <c r="T3364" s="38"/>
      <c r="U3364" s="38"/>
      <c r="V3364" s="38"/>
      <c r="W3364" s="60"/>
      <c r="AB3364" s="42"/>
      <c r="AC3364" s="35"/>
      <c r="AD3364" s="38"/>
      <c r="AE3364" s="38"/>
      <c r="AF3364" s="38"/>
      <c r="AG3364" s="38"/>
      <c r="AH3364" s="60"/>
    </row>
    <row r="3365" spans="1:34" ht="15.75" customHeight="1">
      <c r="B3365" s="38"/>
      <c r="C3365" s="154"/>
      <c r="D3365" s="20"/>
      <c r="E3365" s="20"/>
      <c r="F3365" s="154"/>
      <c r="G3365" s="154"/>
      <c r="H3365" s="154"/>
      <c r="I3365" s="21"/>
      <c r="J3365" s="21"/>
      <c r="K3365" s="22"/>
      <c r="L3365" s="113"/>
      <c r="M3365" s="40"/>
      <c r="N3365" s="40"/>
      <c r="O3365" s="42"/>
      <c r="P3365" s="40"/>
      <c r="Q3365" s="61"/>
      <c r="R3365" s="61"/>
      <c r="S3365" s="40"/>
      <c r="T3365" s="38"/>
      <c r="U3365" s="38"/>
      <c r="V3365" s="38"/>
      <c r="W3365" s="60"/>
      <c r="AB3365" s="42"/>
      <c r="AC3365" s="35"/>
      <c r="AD3365" s="38"/>
      <c r="AE3365" s="38"/>
      <c r="AF3365" s="38"/>
      <c r="AG3365" s="38"/>
      <c r="AH3365" s="60"/>
    </row>
    <row r="3366" spans="1:34" ht="15.75" customHeight="1">
      <c r="A3366" s="35"/>
      <c r="B3366" s="38"/>
      <c r="C3366" s="154"/>
      <c r="D3366" s="20"/>
      <c r="E3366" s="20"/>
      <c r="F3366" s="154"/>
      <c r="G3366" s="154"/>
      <c r="H3366" s="154"/>
      <c r="I3366" s="21"/>
      <c r="J3366" s="21"/>
      <c r="K3366" s="22"/>
      <c r="L3366" s="113"/>
      <c r="M3366" s="40"/>
      <c r="N3366" s="40"/>
      <c r="O3366" s="42"/>
      <c r="P3366" s="40"/>
      <c r="Q3366" s="61"/>
      <c r="R3366" s="61"/>
      <c r="S3366" s="40"/>
      <c r="T3366" s="38"/>
      <c r="U3366" s="38"/>
      <c r="V3366" s="38"/>
      <c r="W3366" s="60"/>
      <c r="AB3366" s="42"/>
      <c r="AC3366" s="35"/>
      <c r="AD3366" s="38"/>
      <c r="AE3366" s="38"/>
      <c r="AF3366" s="38"/>
      <c r="AG3366" s="38"/>
      <c r="AH3366" s="60"/>
    </row>
    <row r="3367" spans="1:34" ht="15.75" customHeight="1">
      <c r="A3367" s="38" t="s">
        <v>11839</v>
      </c>
      <c r="B3367" s="29" t="s">
        <v>11840</v>
      </c>
      <c r="C3367" s="37" t="s">
        <v>24</v>
      </c>
      <c r="D3367" s="20" t="s">
        <v>11841</v>
      </c>
      <c r="E3367" s="20" t="s">
        <v>11842</v>
      </c>
      <c r="F3367" s="19" t="s">
        <v>27</v>
      </c>
      <c r="G3367" s="19" t="s">
        <v>28</v>
      </c>
      <c r="H3367" s="19" t="s">
        <v>36</v>
      </c>
      <c r="I3367" s="19" t="s">
        <v>29</v>
      </c>
      <c r="J3367" s="155" t="str">
        <f t="shared" ref="J3367:J3522" si="0">IF(G3367="R","NA",I3367)</f>
        <v>TT</v>
      </c>
      <c r="K3367" s="22" t="s">
        <v>11843</v>
      </c>
      <c r="L3367" s="56">
        <v>45097</v>
      </c>
      <c r="M3367" s="40"/>
      <c r="N3367" s="40"/>
      <c r="O3367" s="42"/>
      <c r="P3367" s="40"/>
      <c r="Q3367" s="61"/>
      <c r="R3367" s="61"/>
      <c r="S3367" s="40"/>
      <c r="T3367" s="38"/>
      <c r="U3367" s="38"/>
      <c r="V3367" s="38"/>
      <c r="W3367" s="60"/>
      <c r="AB3367" s="42"/>
      <c r="AC3367" s="35"/>
      <c r="AD3367" s="38"/>
      <c r="AE3367" s="38"/>
      <c r="AF3367" s="38"/>
      <c r="AG3367" s="38"/>
      <c r="AH3367" s="60"/>
    </row>
    <row r="3368" spans="1:34" ht="15.75" customHeight="1">
      <c r="A3368" s="54" t="s">
        <v>11844</v>
      </c>
      <c r="B3368" s="18" t="s">
        <v>11845</v>
      </c>
      <c r="C3368" s="37" t="s">
        <v>87</v>
      </c>
      <c r="D3368" s="20" t="s">
        <v>11846</v>
      </c>
      <c r="E3368" s="20" t="s">
        <v>11847</v>
      </c>
      <c r="F3368" s="37" t="s">
        <v>49</v>
      </c>
      <c r="G3368" s="19" t="s">
        <v>91</v>
      </c>
      <c r="H3368" s="37" t="s">
        <v>55</v>
      </c>
      <c r="I3368" s="19" t="s">
        <v>29</v>
      </c>
      <c r="J3368" s="155" t="str">
        <f t="shared" si="0"/>
        <v>TT</v>
      </c>
      <c r="K3368" s="22" t="s">
        <v>11848</v>
      </c>
      <c r="L3368" s="56">
        <v>45097</v>
      </c>
      <c r="M3368" s="40"/>
      <c r="N3368" s="40"/>
      <c r="O3368" s="42"/>
      <c r="P3368" s="40"/>
      <c r="Q3368" s="61"/>
      <c r="R3368" s="61"/>
      <c r="S3368" s="40"/>
      <c r="T3368" s="38"/>
      <c r="U3368" s="38"/>
      <c r="V3368" s="38"/>
      <c r="W3368" s="60"/>
      <c r="AB3368" s="42"/>
      <c r="AC3368" s="35"/>
      <c r="AD3368" s="38"/>
      <c r="AE3368" s="38"/>
      <c r="AF3368" s="38"/>
      <c r="AG3368" s="38"/>
      <c r="AH3368" s="60"/>
    </row>
    <row r="3369" spans="1:34" ht="15.75" customHeight="1">
      <c r="A3369" s="114" t="s">
        <v>39</v>
      </c>
      <c r="B3369" s="18" t="s">
        <v>11849</v>
      </c>
      <c r="C3369" s="37" t="s">
        <v>24</v>
      </c>
      <c r="D3369" s="20" t="s">
        <v>11850</v>
      </c>
      <c r="E3369" s="20" t="s">
        <v>11851</v>
      </c>
      <c r="F3369" s="19" t="s">
        <v>27</v>
      </c>
      <c r="G3369" s="19" t="s">
        <v>28</v>
      </c>
      <c r="H3369" s="37" t="s">
        <v>55</v>
      </c>
      <c r="I3369" s="19" t="s">
        <v>29</v>
      </c>
      <c r="J3369" s="155" t="str">
        <f t="shared" si="0"/>
        <v>TT</v>
      </c>
      <c r="K3369" s="22" t="s">
        <v>11852</v>
      </c>
      <c r="L3369" s="56">
        <v>45097</v>
      </c>
      <c r="M3369" s="40"/>
      <c r="N3369" s="40"/>
      <c r="O3369" s="42"/>
      <c r="P3369" s="40"/>
      <c r="Q3369" s="61"/>
      <c r="R3369" s="61"/>
      <c r="S3369" s="40"/>
      <c r="T3369" s="38"/>
      <c r="U3369" s="38"/>
      <c r="V3369" s="38"/>
      <c r="W3369" s="60"/>
      <c r="AB3369" s="42"/>
      <c r="AC3369" s="35"/>
      <c r="AD3369" s="38"/>
      <c r="AE3369" s="38"/>
      <c r="AF3369" s="38"/>
      <c r="AG3369" s="38"/>
      <c r="AH3369" s="60"/>
    </row>
    <row r="3370" spans="1:34" ht="15.75" customHeight="1">
      <c r="A3370" s="38" t="s">
        <v>11546</v>
      </c>
      <c r="B3370" s="18" t="s">
        <v>11853</v>
      </c>
      <c r="C3370" s="143" t="s">
        <v>87</v>
      </c>
      <c r="D3370" s="20" t="s">
        <v>11854</v>
      </c>
      <c r="E3370" s="20" t="s">
        <v>11855</v>
      </c>
      <c r="F3370" s="37" t="s">
        <v>49</v>
      </c>
      <c r="G3370" s="19" t="s">
        <v>91</v>
      </c>
      <c r="H3370" s="37" t="s">
        <v>55</v>
      </c>
      <c r="I3370" s="19" t="s">
        <v>29</v>
      </c>
      <c r="J3370" s="155" t="str">
        <f t="shared" si="0"/>
        <v>TT</v>
      </c>
      <c r="K3370" s="22" t="s">
        <v>11856</v>
      </c>
      <c r="L3370" s="56">
        <v>45097</v>
      </c>
      <c r="M3370" s="40"/>
      <c r="N3370" s="40"/>
      <c r="O3370" s="42"/>
      <c r="P3370" s="40"/>
      <c r="Q3370" s="61"/>
      <c r="R3370" s="61"/>
      <c r="S3370" s="40"/>
      <c r="T3370" s="38"/>
      <c r="U3370" s="38"/>
      <c r="V3370" s="38"/>
      <c r="W3370" s="60"/>
      <c r="AB3370" s="42"/>
      <c r="AC3370" s="35"/>
      <c r="AD3370" s="38"/>
      <c r="AE3370" s="38"/>
      <c r="AF3370" s="38"/>
      <c r="AG3370" s="38"/>
      <c r="AH3370" s="60"/>
    </row>
    <row r="3371" spans="1:34" ht="15.75" customHeight="1">
      <c r="A3371" s="38" t="s">
        <v>11857</v>
      </c>
      <c r="B3371" s="18" t="s">
        <v>11858</v>
      </c>
      <c r="C3371" s="37" t="s">
        <v>46</v>
      </c>
      <c r="D3371" s="20" t="s">
        <v>11859</v>
      </c>
      <c r="E3371" s="20" t="s">
        <v>11860</v>
      </c>
      <c r="F3371" s="37" t="s">
        <v>49</v>
      </c>
      <c r="G3371" s="19" t="s">
        <v>50</v>
      </c>
      <c r="H3371" s="37" t="s">
        <v>55</v>
      </c>
      <c r="I3371" s="19" t="s">
        <v>29</v>
      </c>
      <c r="J3371" s="155" t="str">
        <f t="shared" si="0"/>
        <v>TT</v>
      </c>
      <c r="K3371" s="22" t="s">
        <v>11861</v>
      </c>
      <c r="L3371" s="56">
        <v>45097</v>
      </c>
      <c r="M3371" s="40"/>
      <c r="N3371" s="40"/>
      <c r="O3371" s="42"/>
      <c r="P3371" s="40"/>
      <c r="Q3371" s="61"/>
      <c r="R3371" s="61"/>
      <c r="S3371" s="40"/>
      <c r="T3371" s="38"/>
      <c r="U3371" s="38"/>
      <c r="V3371" s="38"/>
      <c r="W3371" s="60"/>
      <c r="AB3371" s="42"/>
      <c r="AC3371" s="35"/>
      <c r="AD3371" s="38"/>
      <c r="AE3371" s="38"/>
      <c r="AF3371" s="38"/>
      <c r="AG3371" s="38"/>
      <c r="AH3371" s="60"/>
    </row>
    <row r="3372" spans="1:34" ht="15.75" customHeight="1">
      <c r="A3372" s="111" t="s">
        <v>56</v>
      </c>
      <c r="B3372" s="18" t="s">
        <v>11862</v>
      </c>
      <c r="C3372" s="37" t="s">
        <v>24</v>
      </c>
      <c r="D3372" s="20" t="s">
        <v>11863</v>
      </c>
      <c r="E3372" s="20" t="s">
        <v>11864</v>
      </c>
      <c r="F3372" s="19" t="s">
        <v>27</v>
      </c>
      <c r="G3372" s="19" t="s">
        <v>28</v>
      </c>
      <c r="H3372" s="37" t="s">
        <v>55</v>
      </c>
      <c r="I3372" s="19" t="s">
        <v>29</v>
      </c>
      <c r="J3372" s="155" t="str">
        <f t="shared" si="0"/>
        <v>TT</v>
      </c>
      <c r="K3372" s="22" t="s">
        <v>11865</v>
      </c>
      <c r="L3372" s="56">
        <v>45097</v>
      </c>
      <c r="M3372" s="40"/>
      <c r="N3372" s="40"/>
      <c r="O3372" s="42"/>
      <c r="P3372" s="40"/>
      <c r="Q3372" s="61"/>
      <c r="R3372" s="61"/>
      <c r="S3372" s="40"/>
      <c r="T3372" s="38"/>
      <c r="U3372" s="38"/>
      <c r="V3372" s="38"/>
      <c r="W3372" s="60"/>
      <c r="AB3372" s="42"/>
      <c r="AC3372" s="35"/>
      <c r="AD3372" s="38"/>
      <c r="AE3372" s="38"/>
      <c r="AF3372" s="38"/>
      <c r="AG3372" s="38"/>
      <c r="AH3372" s="60"/>
    </row>
    <row r="3373" spans="1:34" ht="15.75" customHeight="1">
      <c r="A3373" s="75">
        <v>45</v>
      </c>
      <c r="B3373" s="18" t="s">
        <v>11866</v>
      </c>
      <c r="C3373" s="37" t="s">
        <v>228</v>
      </c>
      <c r="D3373" s="20" t="s">
        <v>11867</v>
      </c>
      <c r="E3373" s="20" t="s">
        <v>11868</v>
      </c>
      <c r="F3373" s="19" t="s">
        <v>231</v>
      </c>
      <c r="G3373" s="19" t="s">
        <v>232</v>
      </c>
      <c r="H3373" s="37" t="s">
        <v>55</v>
      </c>
      <c r="I3373" s="19" t="s">
        <v>233</v>
      </c>
      <c r="J3373" s="155" t="str">
        <f t="shared" si="0"/>
        <v>NTT</v>
      </c>
      <c r="K3373" s="22" t="s">
        <v>11869</v>
      </c>
      <c r="L3373" s="56">
        <v>45097</v>
      </c>
      <c r="M3373" s="40"/>
      <c r="N3373" s="40"/>
      <c r="O3373" s="42"/>
      <c r="P3373" s="40"/>
      <c r="Q3373" s="61"/>
      <c r="R3373" s="61"/>
      <c r="S3373" s="40"/>
      <c r="T3373" s="38"/>
      <c r="U3373" s="38"/>
      <c r="V3373" s="38"/>
      <c r="W3373" s="60"/>
      <c r="AB3373" s="42"/>
      <c r="AC3373" s="35"/>
      <c r="AD3373" s="38"/>
      <c r="AE3373" s="38"/>
      <c r="AF3373" s="38"/>
      <c r="AG3373" s="38"/>
      <c r="AH3373" s="60"/>
    </row>
    <row r="3374" spans="1:34" ht="15.75" customHeight="1">
      <c r="A3374" s="111" t="s">
        <v>64</v>
      </c>
      <c r="B3374" s="18" t="s">
        <v>11870</v>
      </c>
      <c r="C3374" s="37" t="s">
        <v>1470</v>
      </c>
      <c r="D3374" s="20" t="s">
        <v>11871</v>
      </c>
      <c r="E3374" s="20"/>
      <c r="F3374" s="19" t="s">
        <v>3286</v>
      </c>
      <c r="G3374" s="37" t="s">
        <v>1461</v>
      </c>
      <c r="H3374" s="37" t="s">
        <v>55</v>
      </c>
      <c r="I3374" s="19" t="s">
        <v>233</v>
      </c>
      <c r="J3374" s="155" t="str">
        <f t="shared" si="0"/>
        <v>NTT</v>
      </c>
      <c r="K3374" s="22"/>
      <c r="L3374" s="56">
        <v>45097</v>
      </c>
      <c r="M3374" s="40"/>
      <c r="N3374" s="40"/>
      <c r="O3374" s="42"/>
      <c r="P3374" s="40"/>
      <c r="Q3374" s="61"/>
      <c r="R3374" s="61"/>
      <c r="S3374" s="40"/>
      <c r="T3374" s="38"/>
      <c r="U3374" s="38"/>
      <c r="V3374" s="38"/>
      <c r="W3374" s="60"/>
      <c r="AB3374" s="42"/>
      <c r="AC3374" s="35"/>
      <c r="AD3374" s="38"/>
      <c r="AE3374" s="38"/>
      <c r="AF3374" s="38"/>
      <c r="AG3374" s="38"/>
      <c r="AH3374" s="60"/>
    </row>
    <row r="3375" spans="1:34" ht="15.75" customHeight="1">
      <c r="A3375" s="75">
        <v>2.6</v>
      </c>
      <c r="B3375" s="18" t="s">
        <v>11872</v>
      </c>
      <c r="C3375" s="37" t="s">
        <v>24</v>
      </c>
      <c r="D3375" s="20" t="s">
        <v>11873</v>
      </c>
      <c r="E3375" s="20"/>
      <c r="F3375" s="19" t="s">
        <v>27</v>
      </c>
      <c r="G3375" s="19" t="s">
        <v>28</v>
      </c>
      <c r="H3375" s="37" t="s">
        <v>55</v>
      </c>
      <c r="I3375" s="19" t="s">
        <v>29</v>
      </c>
      <c r="J3375" s="155" t="str">
        <f t="shared" si="0"/>
        <v>TT</v>
      </c>
      <c r="K3375" s="22"/>
      <c r="L3375" s="56">
        <v>45097</v>
      </c>
      <c r="M3375" s="40"/>
      <c r="N3375" s="40"/>
      <c r="O3375" s="42"/>
      <c r="P3375" s="40"/>
      <c r="Q3375" s="61"/>
      <c r="R3375" s="61"/>
      <c r="S3375" s="40"/>
      <c r="T3375" s="38"/>
      <c r="U3375" s="38"/>
      <c r="V3375" s="38"/>
      <c r="W3375" s="60"/>
      <c r="AB3375" s="42"/>
      <c r="AC3375" s="35"/>
      <c r="AD3375" s="38"/>
      <c r="AE3375" s="38"/>
      <c r="AF3375" s="38"/>
      <c r="AG3375" s="38"/>
      <c r="AH3375" s="60"/>
    </row>
    <row r="3376" spans="1:34" ht="15.75" customHeight="1">
      <c r="A3376" s="111" t="s">
        <v>73</v>
      </c>
      <c r="B3376" s="18" t="s">
        <v>11874</v>
      </c>
      <c r="C3376" s="37" t="s">
        <v>228</v>
      </c>
      <c r="D3376" s="20" t="s">
        <v>11875</v>
      </c>
      <c r="E3376" s="20"/>
      <c r="F3376" s="19" t="s">
        <v>231</v>
      </c>
      <c r="G3376" s="19" t="s">
        <v>232</v>
      </c>
      <c r="H3376" s="37" t="s">
        <v>55</v>
      </c>
      <c r="I3376" s="19" t="s">
        <v>233</v>
      </c>
      <c r="J3376" s="155" t="str">
        <f t="shared" si="0"/>
        <v>NTT</v>
      </c>
      <c r="K3376" s="22"/>
      <c r="L3376" s="56">
        <v>45097</v>
      </c>
      <c r="M3376" s="40"/>
      <c r="N3376" s="40"/>
      <c r="O3376" s="42"/>
      <c r="P3376" s="40"/>
      <c r="Q3376" s="61"/>
      <c r="R3376" s="61"/>
      <c r="S3376" s="40"/>
      <c r="T3376" s="38"/>
      <c r="U3376" s="38"/>
      <c r="V3376" s="38"/>
      <c r="W3376" s="60"/>
      <c r="AB3376" s="42"/>
      <c r="AC3376" s="35"/>
      <c r="AD3376" s="38"/>
      <c r="AE3376" s="38"/>
      <c r="AF3376" s="38"/>
      <c r="AG3376" s="38"/>
      <c r="AH3376" s="60"/>
    </row>
    <row r="3377" spans="1:34" ht="15.75" customHeight="1">
      <c r="A3377" s="75">
        <v>3.3</v>
      </c>
      <c r="B3377" s="18" t="s">
        <v>11876</v>
      </c>
      <c r="C3377" s="37" t="s">
        <v>46</v>
      </c>
      <c r="D3377" s="20" t="s">
        <v>11877</v>
      </c>
      <c r="E3377" s="20" t="s">
        <v>11878</v>
      </c>
      <c r="F3377" s="37" t="s">
        <v>49</v>
      </c>
      <c r="G3377" s="19" t="s">
        <v>50</v>
      </c>
      <c r="H3377" s="37" t="s">
        <v>55</v>
      </c>
      <c r="I3377" s="19" t="s">
        <v>29</v>
      </c>
      <c r="J3377" s="155" t="str">
        <f t="shared" si="0"/>
        <v>TT</v>
      </c>
      <c r="K3377" s="22" t="s">
        <v>11879</v>
      </c>
      <c r="L3377" s="56">
        <v>45097</v>
      </c>
      <c r="O3377" s="42"/>
      <c r="P3377" s="40"/>
      <c r="Q3377" s="61"/>
      <c r="R3377" s="61"/>
      <c r="S3377" s="40"/>
      <c r="T3377" s="38"/>
      <c r="U3377" s="38"/>
      <c r="V3377" s="38"/>
      <c r="W3377" s="60"/>
      <c r="AB3377" s="42"/>
      <c r="AC3377" s="35"/>
      <c r="AD3377" s="38"/>
      <c r="AE3377" s="38"/>
      <c r="AF3377" s="38"/>
      <c r="AG3377" s="38"/>
      <c r="AH3377" s="60"/>
    </row>
    <row r="3378" spans="1:34" ht="15.75" customHeight="1">
      <c r="A3378" s="111" t="s">
        <v>82</v>
      </c>
      <c r="B3378" s="18" t="s">
        <v>11880</v>
      </c>
      <c r="C3378" s="37" t="s">
        <v>24</v>
      </c>
      <c r="D3378" s="20" t="s">
        <v>11881</v>
      </c>
      <c r="E3378" s="20" t="s">
        <v>11882</v>
      </c>
      <c r="F3378" s="19" t="s">
        <v>27</v>
      </c>
      <c r="G3378" s="19" t="s">
        <v>28</v>
      </c>
      <c r="H3378" s="37" t="s">
        <v>55</v>
      </c>
      <c r="I3378" s="19" t="s">
        <v>29</v>
      </c>
      <c r="J3378" s="155" t="str">
        <f t="shared" si="0"/>
        <v>TT</v>
      </c>
      <c r="K3378" s="22" t="s">
        <v>11883</v>
      </c>
      <c r="L3378" s="56">
        <v>45097</v>
      </c>
      <c r="O3378" s="42"/>
      <c r="P3378" s="40"/>
      <c r="Q3378" s="61"/>
      <c r="R3378" s="61"/>
      <c r="S3378" s="40"/>
      <c r="T3378" s="38"/>
      <c r="U3378" s="38"/>
      <c r="V3378" s="38"/>
      <c r="W3378" s="60"/>
      <c r="AB3378" s="42"/>
      <c r="AC3378" s="35"/>
      <c r="AD3378" s="38"/>
      <c r="AE3378" s="38"/>
      <c r="AF3378" s="38"/>
      <c r="AG3378" s="38"/>
      <c r="AH3378" s="60"/>
    </row>
    <row r="3379" spans="1:34" ht="15.75" customHeight="1">
      <c r="A3379" s="75" t="s">
        <v>11884</v>
      </c>
      <c r="B3379" s="18" t="s">
        <v>11885</v>
      </c>
      <c r="C3379" s="37" t="s">
        <v>24</v>
      </c>
      <c r="D3379" s="20" t="s">
        <v>11886</v>
      </c>
      <c r="E3379" s="20" t="s">
        <v>11887</v>
      </c>
      <c r="F3379" s="19" t="s">
        <v>27</v>
      </c>
      <c r="G3379" s="19" t="s">
        <v>28</v>
      </c>
      <c r="H3379" s="37" t="s">
        <v>55</v>
      </c>
      <c r="I3379" s="19" t="s">
        <v>29</v>
      </c>
      <c r="J3379" s="155" t="str">
        <f t="shared" si="0"/>
        <v>TT</v>
      </c>
      <c r="K3379" s="22" t="s">
        <v>11888</v>
      </c>
      <c r="L3379" s="56">
        <v>45097</v>
      </c>
      <c r="O3379" s="42"/>
      <c r="P3379" s="40"/>
      <c r="Q3379" s="61"/>
      <c r="R3379" s="61"/>
      <c r="S3379" s="40"/>
      <c r="T3379" s="38"/>
      <c r="U3379" s="38"/>
      <c r="V3379" s="38"/>
      <c r="W3379" s="60"/>
      <c r="AB3379" s="42"/>
      <c r="AC3379" s="35"/>
      <c r="AD3379" s="38"/>
      <c r="AE3379" s="38"/>
      <c r="AF3379" s="38"/>
      <c r="AG3379" s="38"/>
      <c r="AH3379" s="60"/>
    </row>
    <row r="3380" spans="1:34" ht="15.75" customHeight="1">
      <c r="A3380" s="111" t="s">
        <v>92</v>
      </c>
      <c r="B3380" s="18" t="s">
        <v>11889</v>
      </c>
      <c r="C3380" s="37" t="s">
        <v>87</v>
      </c>
      <c r="D3380" s="20" t="s">
        <v>11890</v>
      </c>
      <c r="E3380" s="20"/>
      <c r="F3380" s="19" t="s">
        <v>90</v>
      </c>
      <c r="G3380" s="19" t="s">
        <v>91</v>
      </c>
      <c r="H3380" s="37" t="s">
        <v>55</v>
      </c>
      <c r="I3380" s="19" t="s">
        <v>29</v>
      </c>
      <c r="J3380" s="155" t="str">
        <f t="shared" si="0"/>
        <v>TT</v>
      </c>
      <c r="K3380" s="22"/>
      <c r="L3380" s="56">
        <v>45097</v>
      </c>
      <c r="O3380" s="42"/>
      <c r="P3380" s="40"/>
      <c r="Q3380" s="61"/>
      <c r="R3380" s="61"/>
      <c r="S3380" s="40"/>
      <c r="T3380" s="38"/>
      <c r="U3380" s="38"/>
      <c r="V3380" s="38"/>
      <c r="W3380" s="60"/>
      <c r="AB3380" s="42"/>
      <c r="AC3380" s="35"/>
      <c r="AD3380" s="38"/>
      <c r="AE3380" s="38"/>
      <c r="AF3380" s="38"/>
      <c r="AG3380" s="38"/>
      <c r="AH3380" s="60"/>
    </row>
    <row r="3381" spans="1:34" ht="15.75" customHeight="1">
      <c r="A3381" s="112">
        <v>1288</v>
      </c>
      <c r="B3381" s="18" t="s">
        <v>11891</v>
      </c>
      <c r="C3381" s="37" t="s">
        <v>24</v>
      </c>
      <c r="D3381" s="20" t="s">
        <v>11892</v>
      </c>
      <c r="E3381" s="20" t="s">
        <v>11893</v>
      </c>
      <c r="F3381" s="19" t="s">
        <v>27</v>
      </c>
      <c r="G3381" s="19" t="s">
        <v>28</v>
      </c>
      <c r="H3381" s="37" t="s">
        <v>55</v>
      </c>
      <c r="I3381" s="19" t="s">
        <v>29</v>
      </c>
      <c r="J3381" s="155" t="str">
        <f t="shared" si="0"/>
        <v>TT</v>
      </c>
      <c r="K3381" s="22" t="s">
        <v>11894</v>
      </c>
      <c r="L3381" s="56">
        <v>45097</v>
      </c>
      <c r="O3381" s="42"/>
      <c r="P3381" s="40"/>
      <c r="Q3381" s="61"/>
      <c r="R3381" s="61"/>
      <c r="S3381" s="40"/>
      <c r="T3381" s="38"/>
      <c r="U3381" s="38"/>
      <c r="V3381" s="38"/>
      <c r="W3381" s="60"/>
      <c r="AB3381" s="42"/>
      <c r="AC3381" s="35"/>
      <c r="AD3381" s="38"/>
      <c r="AE3381" s="38"/>
      <c r="AF3381" s="38"/>
      <c r="AG3381" s="38"/>
      <c r="AH3381" s="60"/>
    </row>
    <row r="3382" spans="1:34" ht="15.75" customHeight="1">
      <c r="A3382" s="111" t="s">
        <v>100</v>
      </c>
      <c r="B3382" s="18" t="s">
        <v>11895</v>
      </c>
      <c r="C3382" s="37" t="s">
        <v>24</v>
      </c>
      <c r="D3382" s="20" t="s">
        <v>11896</v>
      </c>
      <c r="E3382" s="20" t="s">
        <v>11897</v>
      </c>
      <c r="F3382" s="19" t="s">
        <v>27</v>
      </c>
      <c r="G3382" s="19" t="s">
        <v>28</v>
      </c>
      <c r="H3382" s="37" t="s">
        <v>55</v>
      </c>
      <c r="I3382" s="19" t="s">
        <v>29</v>
      </c>
      <c r="J3382" s="155" t="str">
        <f t="shared" si="0"/>
        <v>TT</v>
      </c>
      <c r="K3382" s="22" t="s">
        <v>11898</v>
      </c>
      <c r="L3382" s="56">
        <v>45097</v>
      </c>
      <c r="O3382" s="42"/>
      <c r="P3382" s="40"/>
      <c r="Q3382" s="61"/>
      <c r="R3382" s="61"/>
      <c r="S3382" s="40"/>
      <c r="T3382" s="38"/>
      <c r="U3382" s="38"/>
      <c r="V3382" s="38"/>
      <c r="W3382" s="60"/>
      <c r="AB3382" s="42"/>
      <c r="AC3382" s="35"/>
      <c r="AD3382" s="38"/>
      <c r="AE3382" s="38"/>
      <c r="AF3382" s="38"/>
      <c r="AG3382" s="38"/>
      <c r="AH3382" s="60"/>
    </row>
    <row r="3383" spans="1:34" ht="15.75" customHeight="1">
      <c r="A3383" s="75">
        <v>164</v>
      </c>
      <c r="B3383" s="18" t="s">
        <v>11899</v>
      </c>
      <c r="C3383" s="37" t="s">
        <v>1470</v>
      </c>
      <c r="D3383" s="20" t="s">
        <v>11900</v>
      </c>
      <c r="E3383" s="20"/>
      <c r="F3383" s="19" t="s">
        <v>3286</v>
      </c>
      <c r="G3383" s="19" t="s">
        <v>1461</v>
      </c>
      <c r="H3383" s="37" t="s">
        <v>55</v>
      </c>
      <c r="I3383" s="19" t="s">
        <v>233</v>
      </c>
      <c r="J3383" s="155" t="str">
        <f t="shared" si="0"/>
        <v>NTT</v>
      </c>
      <c r="K3383" s="22"/>
      <c r="L3383" s="56">
        <v>45097</v>
      </c>
      <c r="O3383" s="42"/>
      <c r="P3383" s="40"/>
      <c r="Q3383" s="61"/>
      <c r="R3383" s="61"/>
      <c r="S3383" s="40"/>
      <c r="T3383" s="38"/>
      <c r="U3383" s="38"/>
      <c r="V3383" s="38"/>
      <c r="W3383" s="60"/>
      <c r="AB3383" s="42"/>
      <c r="AC3383" s="35"/>
      <c r="AD3383" s="38"/>
      <c r="AE3383" s="38"/>
      <c r="AF3383" s="38"/>
      <c r="AG3383" s="38"/>
      <c r="AH3383" s="60"/>
    </row>
    <row r="3384" spans="1:34" ht="15.75" customHeight="1">
      <c r="A3384" s="35"/>
      <c r="B3384" s="18" t="s">
        <v>11901</v>
      </c>
      <c r="C3384" s="37" t="s">
        <v>24</v>
      </c>
      <c r="D3384" s="20" t="s">
        <v>11902</v>
      </c>
      <c r="E3384" s="20"/>
      <c r="F3384" s="19" t="s">
        <v>27</v>
      </c>
      <c r="G3384" s="19" t="s">
        <v>28</v>
      </c>
      <c r="H3384" s="37" t="s">
        <v>55</v>
      </c>
      <c r="I3384" s="19" t="s">
        <v>29</v>
      </c>
      <c r="J3384" s="155" t="str">
        <f t="shared" si="0"/>
        <v>TT</v>
      </c>
      <c r="K3384" s="22"/>
      <c r="L3384" s="56">
        <v>45097</v>
      </c>
      <c r="O3384" s="42"/>
      <c r="P3384" s="40"/>
      <c r="Q3384" s="61"/>
      <c r="R3384" s="61"/>
      <c r="S3384" s="40"/>
      <c r="T3384" s="38"/>
      <c r="U3384" s="38"/>
      <c r="V3384" s="38"/>
      <c r="W3384" s="60"/>
      <c r="AB3384" s="42"/>
      <c r="AC3384" s="35"/>
      <c r="AD3384" s="38"/>
      <c r="AE3384" s="38"/>
      <c r="AF3384" s="38"/>
      <c r="AG3384" s="38"/>
      <c r="AH3384" s="60"/>
    </row>
    <row r="3385" spans="1:34" ht="15.75" customHeight="1">
      <c r="A3385" s="35"/>
      <c r="B3385" s="18" t="s">
        <v>11903</v>
      </c>
      <c r="C3385" s="37" t="s">
        <v>24</v>
      </c>
      <c r="D3385" s="20" t="s">
        <v>11904</v>
      </c>
      <c r="E3385" s="20"/>
      <c r="F3385" s="19" t="s">
        <v>27</v>
      </c>
      <c r="G3385" s="19" t="s">
        <v>28</v>
      </c>
      <c r="H3385" s="37" t="s">
        <v>55</v>
      </c>
      <c r="I3385" s="19" t="s">
        <v>29</v>
      </c>
      <c r="J3385" s="155" t="str">
        <f t="shared" si="0"/>
        <v>TT</v>
      </c>
      <c r="K3385" s="22"/>
      <c r="L3385" s="56">
        <v>45097</v>
      </c>
      <c r="P3385" s="40"/>
      <c r="Q3385" s="61"/>
      <c r="R3385" s="61"/>
      <c r="S3385" s="40"/>
      <c r="T3385" s="38"/>
      <c r="U3385" s="38"/>
      <c r="V3385" s="38"/>
      <c r="W3385" s="60"/>
      <c r="AB3385" s="42"/>
      <c r="AC3385" s="35"/>
      <c r="AD3385" s="38"/>
      <c r="AE3385" s="38"/>
      <c r="AF3385" s="38"/>
      <c r="AG3385" s="38"/>
      <c r="AH3385" s="60"/>
    </row>
    <row r="3386" spans="1:34" ht="15.75" customHeight="1">
      <c r="A3386" s="35"/>
      <c r="B3386" s="18" t="s">
        <v>11905</v>
      </c>
      <c r="C3386" s="37" t="s">
        <v>87</v>
      </c>
      <c r="D3386" s="20" t="s">
        <v>11906</v>
      </c>
      <c r="E3386" s="20"/>
      <c r="F3386" s="19" t="s">
        <v>90</v>
      </c>
      <c r="G3386" s="19" t="s">
        <v>91</v>
      </c>
      <c r="H3386" s="37" t="s">
        <v>55</v>
      </c>
      <c r="I3386" s="19" t="s">
        <v>29</v>
      </c>
      <c r="J3386" s="155" t="str">
        <f t="shared" si="0"/>
        <v>TT</v>
      </c>
      <c r="K3386" s="22"/>
      <c r="L3386" s="56">
        <v>45097</v>
      </c>
      <c r="P3386" s="40"/>
      <c r="Q3386" s="61"/>
      <c r="R3386" s="61"/>
      <c r="S3386" s="40"/>
      <c r="T3386" s="38"/>
      <c r="U3386" s="38"/>
      <c r="V3386" s="38"/>
      <c r="W3386" s="60"/>
      <c r="AB3386" s="42"/>
      <c r="AC3386" s="35"/>
      <c r="AD3386" s="38"/>
      <c r="AE3386" s="38"/>
      <c r="AF3386" s="38"/>
      <c r="AG3386" s="38"/>
      <c r="AH3386" s="60"/>
    </row>
    <row r="3387" spans="1:34" ht="15.75" customHeight="1">
      <c r="A3387" s="35"/>
      <c r="B3387" s="18" t="s">
        <v>11907</v>
      </c>
      <c r="C3387" s="37" t="s">
        <v>24</v>
      </c>
      <c r="D3387" s="20" t="s">
        <v>11908</v>
      </c>
      <c r="E3387" s="20"/>
      <c r="F3387" s="19" t="s">
        <v>27</v>
      </c>
      <c r="G3387" s="19" t="s">
        <v>28</v>
      </c>
      <c r="H3387" s="37" t="s">
        <v>55</v>
      </c>
      <c r="I3387" s="19" t="s">
        <v>29</v>
      </c>
      <c r="J3387" s="155" t="str">
        <f t="shared" si="0"/>
        <v>TT</v>
      </c>
      <c r="K3387" s="22"/>
      <c r="L3387" s="56">
        <v>45097</v>
      </c>
      <c r="P3387" s="40"/>
      <c r="Q3387" s="61"/>
      <c r="R3387" s="61"/>
      <c r="S3387" s="40"/>
      <c r="T3387" s="38"/>
      <c r="U3387" s="38"/>
      <c r="V3387" s="38"/>
      <c r="W3387" s="60"/>
      <c r="AB3387" s="42"/>
      <c r="AC3387" s="35"/>
      <c r="AD3387" s="38"/>
      <c r="AE3387" s="38"/>
      <c r="AF3387" s="38"/>
      <c r="AG3387" s="38"/>
      <c r="AH3387" s="60"/>
    </row>
    <row r="3388" spans="1:34" ht="15.75" customHeight="1">
      <c r="A3388" s="35"/>
      <c r="B3388" s="18" t="s">
        <v>11909</v>
      </c>
      <c r="C3388" s="37" t="s">
        <v>24</v>
      </c>
      <c r="D3388" s="20" t="s">
        <v>11910</v>
      </c>
      <c r="E3388" s="20" t="s">
        <v>11911</v>
      </c>
      <c r="F3388" s="19" t="s">
        <v>27</v>
      </c>
      <c r="G3388" s="19" t="s">
        <v>28</v>
      </c>
      <c r="H3388" s="37" t="s">
        <v>55</v>
      </c>
      <c r="I3388" s="19" t="s">
        <v>29</v>
      </c>
      <c r="J3388" s="155" t="str">
        <f t="shared" si="0"/>
        <v>TT</v>
      </c>
      <c r="K3388" s="22" t="s">
        <v>11912</v>
      </c>
      <c r="L3388" s="56">
        <v>45097</v>
      </c>
      <c r="P3388" s="40"/>
      <c r="Q3388" s="61"/>
      <c r="R3388" s="61"/>
      <c r="S3388" s="40"/>
      <c r="T3388" s="38"/>
      <c r="U3388" s="38"/>
      <c r="V3388" s="38"/>
      <c r="W3388" s="60"/>
      <c r="AB3388" s="42"/>
      <c r="AC3388" s="35"/>
      <c r="AD3388" s="38"/>
      <c r="AE3388" s="38"/>
      <c r="AF3388" s="38"/>
      <c r="AG3388" s="38"/>
      <c r="AH3388" s="60"/>
    </row>
    <row r="3389" spans="1:34" ht="15.75" customHeight="1">
      <c r="A3389" s="35"/>
      <c r="B3389" s="18" t="s">
        <v>11913</v>
      </c>
      <c r="C3389" s="37" t="s">
        <v>87</v>
      </c>
      <c r="D3389" s="20" t="s">
        <v>11914</v>
      </c>
      <c r="E3389" s="20" t="s">
        <v>11915</v>
      </c>
      <c r="F3389" s="19" t="s">
        <v>90</v>
      </c>
      <c r="G3389" s="19" t="s">
        <v>91</v>
      </c>
      <c r="H3389" s="37" t="s">
        <v>55</v>
      </c>
      <c r="I3389" s="19" t="s">
        <v>29</v>
      </c>
      <c r="J3389" s="155" t="str">
        <f t="shared" si="0"/>
        <v>TT</v>
      </c>
      <c r="K3389" s="22" t="s">
        <v>11916</v>
      </c>
      <c r="L3389" s="56">
        <v>45097</v>
      </c>
      <c r="P3389" s="40"/>
      <c r="Q3389" s="61"/>
      <c r="R3389" s="61"/>
      <c r="S3389" s="40"/>
      <c r="T3389" s="38"/>
      <c r="U3389" s="38"/>
      <c r="V3389" s="38"/>
      <c r="W3389" s="60"/>
      <c r="AB3389" s="42"/>
      <c r="AC3389" s="35"/>
      <c r="AD3389" s="38"/>
      <c r="AE3389" s="38"/>
      <c r="AF3389" s="38"/>
      <c r="AG3389" s="38"/>
      <c r="AH3389" s="60"/>
    </row>
    <row r="3390" spans="1:34" ht="15.75" customHeight="1">
      <c r="A3390" s="35"/>
      <c r="B3390" s="18" t="s">
        <v>11917</v>
      </c>
      <c r="C3390" s="37" t="s">
        <v>87</v>
      </c>
      <c r="D3390" s="20" t="s">
        <v>11918</v>
      </c>
      <c r="E3390" s="20"/>
      <c r="F3390" s="19" t="s">
        <v>90</v>
      </c>
      <c r="G3390" s="19" t="s">
        <v>91</v>
      </c>
      <c r="H3390" s="37" t="s">
        <v>55</v>
      </c>
      <c r="I3390" s="19" t="s">
        <v>29</v>
      </c>
      <c r="J3390" s="155" t="str">
        <f t="shared" si="0"/>
        <v>TT</v>
      </c>
      <c r="K3390" s="22"/>
      <c r="L3390" s="56">
        <v>45097</v>
      </c>
      <c r="P3390" s="40"/>
      <c r="Q3390" s="61"/>
      <c r="R3390" s="61"/>
      <c r="S3390" s="40"/>
      <c r="T3390" s="38"/>
      <c r="U3390" s="38"/>
      <c r="V3390" s="38"/>
      <c r="W3390" s="60"/>
      <c r="AB3390" s="42"/>
      <c r="AC3390" s="35"/>
      <c r="AD3390" s="38"/>
      <c r="AE3390" s="38"/>
      <c r="AF3390" s="38"/>
      <c r="AG3390" s="38"/>
      <c r="AH3390" s="60"/>
    </row>
    <row r="3391" spans="1:34" ht="15.75" customHeight="1">
      <c r="A3391" s="35"/>
      <c r="B3391" s="34" t="s">
        <v>11919</v>
      </c>
      <c r="C3391" s="37" t="s">
        <v>87</v>
      </c>
      <c r="D3391" s="20" t="s">
        <v>11920</v>
      </c>
      <c r="E3391" s="20" t="s">
        <v>11921</v>
      </c>
      <c r="F3391" s="37" t="s">
        <v>49</v>
      </c>
      <c r="G3391" s="19" t="s">
        <v>50</v>
      </c>
      <c r="H3391" s="37" t="s">
        <v>55</v>
      </c>
      <c r="I3391" s="19" t="s">
        <v>29</v>
      </c>
      <c r="J3391" s="155" t="str">
        <f t="shared" si="0"/>
        <v>TT</v>
      </c>
      <c r="K3391" s="22" t="s">
        <v>11922</v>
      </c>
      <c r="L3391" s="56">
        <v>45097</v>
      </c>
      <c r="P3391" s="40"/>
      <c r="Q3391" s="61"/>
      <c r="R3391" s="61"/>
      <c r="S3391" s="40"/>
      <c r="T3391" s="38"/>
      <c r="U3391" s="38"/>
      <c r="V3391" s="38"/>
      <c r="W3391" s="60"/>
      <c r="AB3391" s="42"/>
      <c r="AC3391" s="35"/>
      <c r="AD3391" s="38"/>
      <c r="AE3391" s="38"/>
      <c r="AF3391" s="38"/>
      <c r="AG3391" s="38"/>
      <c r="AH3391" s="60"/>
    </row>
    <row r="3392" spans="1:34" ht="15.75" customHeight="1">
      <c r="A3392" s="35"/>
      <c r="B3392" s="18" t="s">
        <v>11923</v>
      </c>
      <c r="C3392" s="37" t="s">
        <v>46</v>
      </c>
      <c r="D3392" s="20" t="s">
        <v>11924</v>
      </c>
      <c r="E3392" s="20" t="s">
        <v>11925</v>
      </c>
      <c r="F3392" s="37" t="s">
        <v>49</v>
      </c>
      <c r="G3392" s="19" t="s">
        <v>50</v>
      </c>
      <c r="H3392" s="37" t="s">
        <v>55</v>
      </c>
      <c r="I3392" s="19" t="s">
        <v>29</v>
      </c>
      <c r="J3392" s="155" t="str">
        <f t="shared" si="0"/>
        <v>TT</v>
      </c>
      <c r="K3392" s="22" t="s">
        <v>11926</v>
      </c>
      <c r="L3392" s="56">
        <v>45097</v>
      </c>
      <c r="P3392" s="40"/>
      <c r="Q3392" s="61"/>
      <c r="R3392" s="61"/>
      <c r="S3392" s="40"/>
      <c r="T3392" s="38"/>
      <c r="U3392" s="38"/>
      <c r="V3392" s="38"/>
      <c r="W3392" s="60"/>
      <c r="AB3392" s="42"/>
      <c r="AC3392" s="35"/>
      <c r="AD3392" s="38"/>
      <c r="AE3392" s="38"/>
      <c r="AF3392" s="38"/>
      <c r="AG3392" s="38"/>
      <c r="AH3392" s="60"/>
    </row>
    <row r="3393" spans="1:34" ht="15.75" customHeight="1">
      <c r="A3393" s="35"/>
      <c r="B3393" s="18" t="s">
        <v>11927</v>
      </c>
      <c r="C3393" s="37" t="s">
        <v>24</v>
      </c>
      <c r="D3393" s="20" t="s">
        <v>11928</v>
      </c>
      <c r="E3393" s="20"/>
      <c r="F3393" s="19" t="s">
        <v>27</v>
      </c>
      <c r="G3393" s="19" t="s">
        <v>28</v>
      </c>
      <c r="H3393" s="37" t="s">
        <v>55</v>
      </c>
      <c r="I3393" s="19" t="s">
        <v>29</v>
      </c>
      <c r="J3393" s="155" t="str">
        <f t="shared" si="0"/>
        <v>TT</v>
      </c>
      <c r="K3393" s="22"/>
      <c r="L3393" s="56">
        <v>45097</v>
      </c>
      <c r="P3393" s="40"/>
      <c r="Q3393" s="61"/>
      <c r="R3393" s="61"/>
      <c r="S3393" s="40"/>
      <c r="T3393" s="38"/>
      <c r="U3393" s="38"/>
      <c r="V3393" s="38"/>
      <c r="W3393" s="60"/>
      <c r="AB3393" s="42"/>
      <c r="AC3393" s="35"/>
      <c r="AD3393" s="38"/>
      <c r="AE3393" s="38"/>
      <c r="AF3393" s="38"/>
      <c r="AG3393" s="38"/>
      <c r="AH3393" s="60"/>
    </row>
    <row r="3394" spans="1:34" ht="15.75" customHeight="1">
      <c r="A3394" s="35"/>
      <c r="B3394" s="18" t="s">
        <v>11929</v>
      </c>
      <c r="C3394" s="37" t="s">
        <v>46</v>
      </c>
      <c r="D3394" s="20" t="s">
        <v>11930</v>
      </c>
      <c r="E3394" s="20" t="s">
        <v>11931</v>
      </c>
      <c r="F3394" s="37" t="s">
        <v>49</v>
      </c>
      <c r="G3394" s="19" t="s">
        <v>50</v>
      </c>
      <c r="H3394" s="37" t="s">
        <v>55</v>
      </c>
      <c r="I3394" s="19" t="s">
        <v>29</v>
      </c>
      <c r="J3394" s="155" t="str">
        <f t="shared" si="0"/>
        <v>TT</v>
      </c>
      <c r="K3394" s="22" t="s">
        <v>11932</v>
      </c>
      <c r="L3394" s="56">
        <v>45097</v>
      </c>
      <c r="P3394" s="40"/>
      <c r="Q3394" s="61"/>
      <c r="R3394" s="61"/>
      <c r="S3394" s="40"/>
      <c r="T3394" s="38"/>
      <c r="U3394" s="38"/>
      <c r="V3394" s="38"/>
      <c r="W3394" s="60"/>
      <c r="AB3394" s="42"/>
      <c r="AC3394" s="35"/>
      <c r="AD3394" s="38"/>
      <c r="AE3394" s="38"/>
      <c r="AF3394" s="38"/>
      <c r="AG3394" s="38"/>
      <c r="AH3394" s="60"/>
    </row>
    <row r="3395" spans="1:34" ht="15.75" customHeight="1">
      <c r="A3395" s="35"/>
      <c r="B3395" s="38"/>
      <c r="C3395" s="37"/>
      <c r="D3395" s="20"/>
      <c r="E3395" s="20"/>
      <c r="F3395" s="37"/>
      <c r="G3395" s="37"/>
      <c r="H3395" s="37"/>
      <c r="I3395" s="19"/>
      <c r="J3395" s="155">
        <f t="shared" si="0"/>
        <v>0</v>
      </c>
      <c r="K3395" s="22"/>
      <c r="L3395" s="39"/>
      <c r="P3395" s="40"/>
      <c r="Q3395" s="61"/>
      <c r="R3395" s="61"/>
      <c r="S3395" s="40"/>
      <c r="T3395" s="38"/>
      <c r="U3395" s="38"/>
      <c r="V3395" s="38"/>
      <c r="W3395" s="60"/>
      <c r="AB3395" s="42"/>
      <c r="AC3395" s="35"/>
      <c r="AD3395" s="38"/>
      <c r="AE3395" s="38"/>
      <c r="AF3395" s="38"/>
      <c r="AG3395" s="38"/>
      <c r="AH3395" s="60"/>
    </row>
    <row r="3396" spans="1:34" ht="15.75" customHeight="1">
      <c r="A3396" s="38" t="s">
        <v>11933</v>
      </c>
      <c r="B3396" s="18" t="s">
        <v>11934</v>
      </c>
      <c r="C3396" s="143" t="s">
        <v>87</v>
      </c>
      <c r="D3396" s="20" t="s">
        <v>11935</v>
      </c>
      <c r="E3396" s="20" t="s">
        <v>11936</v>
      </c>
      <c r="F3396" s="19" t="s">
        <v>90</v>
      </c>
      <c r="G3396" s="19" t="s">
        <v>91</v>
      </c>
      <c r="H3396" s="143"/>
      <c r="I3396" s="19" t="s">
        <v>29</v>
      </c>
      <c r="J3396" s="155" t="str">
        <f t="shared" si="0"/>
        <v>TT</v>
      </c>
      <c r="K3396" s="22" t="s">
        <v>11937</v>
      </c>
      <c r="L3396" s="56">
        <v>45097</v>
      </c>
      <c r="M3396" s="40"/>
      <c r="P3396" s="40"/>
      <c r="Q3396" s="61"/>
      <c r="R3396" s="61"/>
      <c r="S3396" s="40"/>
      <c r="T3396" s="38"/>
      <c r="U3396" s="38"/>
      <c r="V3396" s="38"/>
      <c r="W3396" s="60"/>
      <c r="AB3396" s="42"/>
      <c r="AC3396" s="35"/>
      <c r="AD3396" s="38"/>
      <c r="AE3396" s="38"/>
      <c r="AF3396" s="38"/>
      <c r="AG3396" s="38"/>
      <c r="AH3396" s="60"/>
    </row>
    <row r="3397" spans="1:34" ht="15.75" customHeight="1">
      <c r="A3397" s="54" t="s">
        <v>2714</v>
      </c>
      <c r="B3397" s="18" t="s">
        <v>11938</v>
      </c>
      <c r="C3397" s="143" t="s">
        <v>24</v>
      </c>
      <c r="D3397" s="20" t="s">
        <v>11939</v>
      </c>
      <c r="E3397" s="20" t="s">
        <v>11940</v>
      </c>
      <c r="F3397" s="19" t="s">
        <v>27</v>
      </c>
      <c r="G3397" s="19" t="s">
        <v>28</v>
      </c>
      <c r="H3397" s="19" t="s">
        <v>36</v>
      </c>
      <c r="I3397" s="19" t="s">
        <v>29</v>
      </c>
      <c r="J3397" s="155" t="str">
        <f t="shared" si="0"/>
        <v>TT</v>
      </c>
      <c r="K3397" s="22" t="s">
        <v>11941</v>
      </c>
      <c r="L3397" s="56">
        <v>45097</v>
      </c>
      <c r="P3397" s="40"/>
      <c r="Q3397" s="61"/>
      <c r="R3397" s="61"/>
      <c r="S3397" s="40"/>
      <c r="T3397" s="38"/>
      <c r="U3397" s="38"/>
      <c r="V3397" s="38"/>
      <c r="W3397" s="60"/>
      <c r="AB3397" s="42"/>
      <c r="AC3397" s="35"/>
      <c r="AD3397" s="38"/>
      <c r="AE3397" s="38"/>
      <c r="AF3397" s="38"/>
      <c r="AG3397" s="38"/>
      <c r="AH3397" s="60"/>
    </row>
    <row r="3398" spans="1:34" ht="15.75" customHeight="1">
      <c r="A3398" s="114" t="s">
        <v>39</v>
      </c>
      <c r="B3398" s="18" t="s">
        <v>11942</v>
      </c>
      <c r="C3398" s="37" t="s">
        <v>87</v>
      </c>
      <c r="D3398" s="20" t="s">
        <v>11943</v>
      </c>
      <c r="E3398" s="20" t="s">
        <v>11944</v>
      </c>
      <c r="F3398" s="19" t="s">
        <v>90</v>
      </c>
      <c r="G3398" s="19" t="s">
        <v>91</v>
      </c>
      <c r="H3398" s="37"/>
      <c r="I3398" s="19" t="s">
        <v>29</v>
      </c>
      <c r="J3398" s="155" t="str">
        <f t="shared" si="0"/>
        <v>TT</v>
      </c>
      <c r="K3398" s="22" t="s">
        <v>11945</v>
      </c>
      <c r="L3398" s="56">
        <v>45097</v>
      </c>
      <c r="P3398" s="40"/>
      <c r="Q3398" s="61"/>
      <c r="R3398" s="61"/>
      <c r="S3398" s="40"/>
      <c r="T3398" s="38"/>
      <c r="U3398" s="38"/>
      <c r="V3398" s="38"/>
      <c r="W3398" s="60"/>
      <c r="AB3398" s="42"/>
      <c r="AC3398" s="35"/>
      <c r="AD3398" s="38"/>
      <c r="AE3398" s="38"/>
      <c r="AF3398" s="38"/>
      <c r="AG3398" s="38"/>
      <c r="AH3398" s="60"/>
    </row>
    <row r="3399" spans="1:34" ht="15.75" customHeight="1">
      <c r="A3399" s="38" t="s">
        <v>11546</v>
      </c>
      <c r="B3399" s="18" t="s">
        <v>11946</v>
      </c>
      <c r="C3399" s="143" t="s">
        <v>46</v>
      </c>
      <c r="D3399" s="20" t="s">
        <v>11947</v>
      </c>
      <c r="E3399" s="20" t="s">
        <v>11948</v>
      </c>
      <c r="F3399" s="37" t="s">
        <v>49</v>
      </c>
      <c r="G3399" s="19" t="s">
        <v>50</v>
      </c>
      <c r="H3399" s="19" t="s">
        <v>36</v>
      </c>
      <c r="I3399" s="19" t="s">
        <v>29</v>
      </c>
      <c r="J3399" s="155" t="str">
        <f t="shared" si="0"/>
        <v>TT</v>
      </c>
      <c r="K3399" s="22" t="s">
        <v>11949</v>
      </c>
      <c r="L3399" s="56">
        <v>45097</v>
      </c>
      <c r="P3399" s="40"/>
      <c r="Q3399" s="61"/>
      <c r="R3399" s="61"/>
      <c r="S3399" s="40"/>
      <c r="T3399" s="38"/>
      <c r="U3399" s="38"/>
      <c r="V3399" s="38"/>
      <c r="W3399" s="60"/>
      <c r="AB3399" s="42"/>
      <c r="AC3399" s="35"/>
      <c r="AD3399" s="38"/>
      <c r="AE3399" s="38"/>
      <c r="AF3399" s="38"/>
      <c r="AG3399" s="38"/>
      <c r="AH3399" s="60"/>
    </row>
    <row r="3400" spans="1:34" ht="15.75" customHeight="1">
      <c r="A3400" s="38" t="s">
        <v>9775</v>
      </c>
      <c r="B3400" s="18" t="s">
        <v>11950</v>
      </c>
      <c r="C3400" s="37" t="s">
        <v>1470</v>
      </c>
      <c r="D3400" s="20" t="s">
        <v>11951</v>
      </c>
      <c r="E3400" s="20"/>
      <c r="F3400" s="19" t="s">
        <v>3286</v>
      </c>
      <c r="G3400" s="37" t="s">
        <v>1461</v>
      </c>
      <c r="H3400" s="37"/>
      <c r="I3400" s="19" t="s">
        <v>233</v>
      </c>
      <c r="J3400" s="155" t="str">
        <f t="shared" si="0"/>
        <v>NTT</v>
      </c>
      <c r="K3400" s="22"/>
      <c r="L3400" s="56">
        <v>45097</v>
      </c>
      <c r="P3400" s="40"/>
      <c r="Q3400" s="61"/>
      <c r="R3400" s="61"/>
      <c r="S3400" s="40"/>
      <c r="T3400" s="38"/>
      <c r="U3400" s="38"/>
      <c r="V3400" s="38"/>
      <c r="W3400" s="60"/>
      <c r="AB3400" s="42"/>
      <c r="AC3400" s="35"/>
      <c r="AD3400" s="38"/>
      <c r="AE3400" s="38"/>
      <c r="AF3400" s="38"/>
      <c r="AG3400" s="38"/>
      <c r="AH3400" s="60"/>
    </row>
    <row r="3401" spans="1:34" ht="15.75" customHeight="1">
      <c r="A3401" s="111" t="s">
        <v>56</v>
      </c>
      <c r="B3401" s="18" t="s">
        <v>11952</v>
      </c>
      <c r="C3401" s="143" t="s">
        <v>46</v>
      </c>
      <c r="D3401" s="20" t="s">
        <v>11953</v>
      </c>
      <c r="E3401" s="20" t="s">
        <v>11954</v>
      </c>
      <c r="F3401" s="37" t="s">
        <v>49</v>
      </c>
      <c r="G3401" s="19" t="s">
        <v>50</v>
      </c>
      <c r="H3401" s="19" t="s">
        <v>36</v>
      </c>
      <c r="I3401" s="19" t="s">
        <v>29</v>
      </c>
      <c r="J3401" s="155" t="str">
        <f t="shared" si="0"/>
        <v>TT</v>
      </c>
      <c r="K3401" s="22" t="s">
        <v>11955</v>
      </c>
      <c r="L3401" s="56">
        <v>45097</v>
      </c>
      <c r="P3401" s="40"/>
      <c r="Q3401" s="61"/>
      <c r="R3401" s="61"/>
      <c r="S3401" s="40"/>
      <c r="T3401" s="38"/>
      <c r="U3401" s="38"/>
      <c r="V3401" s="38"/>
      <c r="W3401" s="60"/>
      <c r="AB3401" s="42"/>
      <c r="AC3401" s="35"/>
      <c r="AD3401" s="38"/>
      <c r="AE3401" s="38"/>
      <c r="AF3401" s="38"/>
      <c r="AG3401" s="38"/>
      <c r="AH3401" s="60"/>
    </row>
    <row r="3402" spans="1:34" ht="15.75" customHeight="1">
      <c r="A3402" s="75">
        <v>55</v>
      </c>
      <c r="B3402" s="18" t="s">
        <v>11956</v>
      </c>
      <c r="C3402" s="37" t="s">
        <v>1470</v>
      </c>
      <c r="D3402" s="20" t="s">
        <v>11957</v>
      </c>
      <c r="E3402" s="20"/>
      <c r="F3402" s="19" t="s">
        <v>3286</v>
      </c>
      <c r="G3402" s="19" t="s">
        <v>1461</v>
      </c>
      <c r="H3402" s="37"/>
      <c r="I3402" s="19" t="s">
        <v>233</v>
      </c>
      <c r="J3402" s="155" t="str">
        <f t="shared" si="0"/>
        <v>NTT</v>
      </c>
      <c r="K3402" s="22"/>
      <c r="L3402" s="56">
        <v>45097</v>
      </c>
      <c r="P3402" s="40"/>
      <c r="Q3402" s="61"/>
      <c r="R3402" s="61"/>
      <c r="S3402" s="40"/>
      <c r="T3402" s="38"/>
      <c r="U3402" s="38"/>
      <c r="V3402" s="38"/>
      <c r="W3402" s="60"/>
      <c r="AB3402" s="42"/>
      <c r="AC3402" s="35"/>
      <c r="AD3402" s="38"/>
      <c r="AE3402" s="38"/>
      <c r="AF3402" s="38"/>
      <c r="AG3402" s="38"/>
      <c r="AH3402" s="60"/>
    </row>
    <row r="3403" spans="1:34" ht="15.75" customHeight="1">
      <c r="A3403" s="111" t="s">
        <v>64</v>
      </c>
      <c r="B3403" s="18" t="s">
        <v>11958</v>
      </c>
      <c r="C3403" s="37" t="s">
        <v>24</v>
      </c>
      <c r="D3403" s="20" t="s">
        <v>11959</v>
      </c>
      <c r="E3403" s="20" t="s">
        <v>11960</v>
      </c>
      <c r="F3403" s="19" t="s">
        <v>27</v>
      </c>
      <c r="G3403" s="19" t="s">
        <v>28</v>
      </c>
      <c r="H3403" s="37"/>
      <c r="I3403" s="19" t="s">
        <v>29</v>
      </c>
      <c r="J3403" s="155" t="str">
        <f t="shared" si="0"/>
        <v>TT</v>
      </c>
      <c r="K3403" s="22" t="s">
        <v>11961</v>
      </c>
      <c r="L3403" s="56">
        <v>45097</v>
      </c>
      <c r="P3403" s="40"/>
      <c r="Q3403" s="61"/>
      <c r="R3403" s="61"/>
      <c r="S3403" s="40"/>
      <c r="T3403" s="38"/>
      <c r="U3403" s="38"/>
      <c r="V3403" s="38"/>
      <c r="W3403" s="60"/>
      <c r="AB3403" s="42"/>
      <c r="AC3403" s="35"/>
      <c r="AD3403" s="38"/>
      <c r="AE3403" s="38"/>
      <c r="AF3403" s="38"/>
      <c r="AG3403" s="38"/>
      <c r="AH3403" s="60"/>
    </row>
    <row r="3404" spans="1:34" ht="15.75" customHeight="1">
      <c r="A3404" s="75">
        <v>2.7</v>
      </c>
      <c r="B3404" s="34" t="s">
        <v>11962</v>
      </c>
      <c r="C3404" s="37" t="s">
        <v>87</v>
      </c>
      <c r="D3404" s="20" t="s">
        <v>11963</v>
      </c>
      <c r="E3404" s="20" t="s">
        <v>11964</v>
      </c>
      <c r="F3404" s="37" t="s">
        <v>49</v>
      </c>
      <c r="G3404" s="19" t="s">
        <v>50</v>
      </c>
      <c r="H3404" s="19" t="s">
        <v>36</v>
      </c>
      <c r="I3404" s="19" t="s">
        <v>29</v>
      </c>
      <c r="J3404" s="155" t="str">
        <f t="shared" si="0"/>
        <v>TT</v>
      </c>
      <c r="K3404" s="22" t="s">
        <v>11965</v>
      </c>
      <c r="L3404" s="56">
        <v>45097</v>
      </c>
      <c r="P3404" s="40"/>
      <c r="Q3404" s="61"/>
      <c r="R3404" s="61"/>
      <c r="S3404" s="40"/>
      <c r="T3404" s="38"/>
      <c r="U3404" s="38"/>
      <c r="V3404" s="38"/>
      <c r="W3404" s="60"/>
      <c r="AB3404" s="42"/>
      <c r="AC3404" s="35"/>
      <c r="AD3404" s="38"/>
      <c r="AE3404" s="38"/>
      <c r="AF3404" s="38"/>
      <c r="AG3404" s="38"/>
      <c r="AH3404" s="60"/>
    </row>
    <row r="3405" spans="1:34" ht="15.75" customHeight="1">
      <c r="A3405" s="111" t="s">
        <v>73</v>
      </c>
      <c r="B3405" s="18" t="s">
        <v>11966</v>
      </c>
      <c r="C3405" s="37" t="s">
        <v>24</v>
      </c>
      <c r="D3405" s="20" t="s">
        <v>11967</v>
      </c>
      <c r="E3405" s="20" t="s">
        <v>11968</v>
      </c>
      <c r="F3405" s="19" t="s">
        <v>27</v>
      </c>
      <c r="G3405" s="19" t="s">
        <v>28</v>
      </c>
      <c r="H3405" s="19" t="s">
        <v>36</v>
      </c>
      <c r="I3405" s="19" t="s">
        <v>29</v>
      </c>
      <c r="J3405" s="155" t="str">
        <f t="shared" si="0"/>
        <v>TT</v>
      </c>
      <c r="K3405" s="22" t="s">
        <v>11969</v>
      </c>
      <c r="L3405" s="56">
        <v>45097</v>
      </c>
      <c r="P3405" s="40"/>
      <c r="Q3405" s="61"/>
      <c r="R3405" s="61"/>
      <c r="S3405" s="40"/>
      <c r="T3405" s="38"/>
      <c r="U3405" s="38"/>
      <c r="V3405" s="38"/>
      <c r="W3405" s="60"/>
      <c r="AB3405" s="42"/>
      <c r="AC3405" s="35"/>
      <c r="AD3405" s="38"/>
      <c r="AE3405" s="38"/>
      <c r="AF3405" s="38"/>
      <c r="AG3405" s="38"/>
      <c r="AH3405" s="60"/>
    </row>
    <row r="3406" spans="1:34" ht="15.75" customHeight="1">
      <c r="A3406" s="75">
        <v>3.3</v>
      </c>
      <c r="B3406" s="18" t="s">
        <v>11970</v>
      </c>
      <c r="C3406" s="37" t="s">
        <v>24</v>
      </c>
      <c r="D3406" s="20" t="s">
        <v>11971</v>
      </c>
      <c r="E3406" s="20" t="s">
        <v>11972</v>
      </c>
      <c r="F3406" s="19" t="s">
        <v>27</v>
      </c>
      <c r="G3406" s="19" t="s">
        <v>28</v>
      </c>
      <c r="H3406" s="37"/>
      <c r="I3406" s="19" t="s">
        <v>29</v>
      </c>
      <c r="J3406" s="155" t="str">
        <f t="shared" si="0"/>
        <v>TT</v>
      </c>
      <c r="K3406" s="22" t="s">
        <v>11973</v>
      </c>
      <c r="L3406" s="56">
        <v>45097</v>
      </c>
      <c r="P3406" s="40"/>
      <c r="Q3406" s="61"/>
      <c r="R3406" s="61"/>
      <c r="S3406" s="40"/>
      <c r="T3406" s="38"/>
      <c r="U3406" s="38"/>
      <c r="V3406" s="38"/>
      <c r="W3406" s="60"/>
      <c r="AB3406" s="42"/>
      <c r="AC3406" s="35"/>
      <c r="AD3406" s="38"/>
      <c r="AE3406" s="38"/>
      <c r="AF3406" s="38"/>
      <c r="AG3406" s="38"/>
      <c r="AH3406" s="60"/>
    </row>
    <row r="3407" spans="1:34" ht="15.75" customHeight="1">
      <c r="A3407" s="111" t="s">
        <v>82</v>
      </c>
      <c r="B3407" s="34" t="s">
        <v>11974</v>
      </c>
      <c r="C3407" s="37" t="s">
        <v>24</v>
      </c>
      <c r="D3407" s="20" t="s">
        <v>11975</v>
      </c>
      <c r="E3407" s="20" t="s">
        <v>11976</v>
      </c>
      <c r="F3407" s="19" t="s">
        <v>90</v>
      </c>
      <c r="G3407" s="19" t="s">
        <v>91</v>
      </c>
      <c r="H3407" s="19" t="s">
        <v>36</v>
      </c>
      <c r="I3407" s="19" t="s">
        <v>29</v>
      </c>
      <c r="J3407" s="155" t="str">
        <f t="shared" si="0"/>
        <v>TT</v>
      </c>
      <c r="K3407" s="22" t="s">
        <v>11977</v>
      </c>
      <c r="L3407" s="56">
        <v>45097</v>
      </c>
      <c r="P3407" s="40"/>
      <c r="Q3407" s="61"/>
      <c r="R3407" s="61"/>
      <c r="S3407" s="40"/>
      <c r="T3407" s="38"/>
      <c r="U3407" s="38"/>
      <c r="V3407" s="38"/>
      <c r="W3407" s="60"/>
      <c r="AB3407" s="42"/>
      <c r="AC3407" s="35"/>
      <c r="AD3407" s="38"/>
      <c r="AE3407" s="38"/>
      <c r="AF3407" s="38"/>
      <c r="AG3407" s="38"/>
      <c r="AH3407" s="60"/>
    </row>
    <row r="3408" spans="1:34" ht="15.75" customHeight="1">
      <c r="A3408" s="75" t="s">
        <v>11978</v>
      </c>
      <c r="B3408" s="29" t="s">
        <v>11979</v>
      </c>
      <c r="C3408" s="37" t="s">
        <v>24</v>
      </c>
      <c r="D3408" s="20" t="s">
        <v>11980</v>
      </c>
      <c r="E3408" s="20" t="s">
        <v>11981</v>
      </c>
      <c r="F3408" s="19" t="s">
        <v>27</v>
      </c>
      <c r="G3408" s="19" t="s">
        <v>28</v>
      </c>
      <c r="H3408" s="19" t="s">
        <v>36</v>
      </c>
      <c r="I3408" s="19" t="s">
        <v>29</v>
      </c>
      <c r="J3408" s="155" t="str">
        <f t="shared" si="0"/>
        <v>TT</v>
      </c>
      <c r="K3408" s="22" t="s">
        <v>11982</v>
      </c>
      <c r="L3408" s="56">
        <v>45097</v>
      </c>
      <c r="P3408" s="40"/>
      <c r="Q3408" s="61"/>
      <c r="R3408" s="61"/>
      <c r="S3408" s="40"/>
      <c r="T3408" s="38"/>
      <c r="U3408" s="38"/>
      <c r="V3408" s="38"/>
      <c r="W3408" s="60"/>
      <c r="AB3408" s="42"/>
      <c r="AC3408" s="35"/>
      <c r="AD3408" s="38"/>
      <c r="AE3408" s="38"/>
      <c r="AF3408" s="38"/>
      <c r="AG3408" s="38"/>
      <c r="AH3408" s="60"/>
    </row>
    <row r="3409" spans="1:34" ht="15.75" customHeight="1">
      <c r="A3409" s="111" t="s">
        <v>92</v>
      </c>
      <c r="B3409" s="18" t="s">
        <v>11983</v>
      </c>
      <c r="C3409" s="37" t="s">
        <v>1430</v>
      </c>
      <c r="D3409" s="20" t="s">
        <v>11984</v>
      </c>
      <c r="E3409" s="20" t="s">
        <v>11985</v>
      </c>
      <c r="F3409" s="55" t="s">
        <v>1445</v>
      </c>
      <c r="G3409" s="55" t="s">
        <v>1432</v>
      </c>
      <c r="H3409" s="37"/>
      <c r="I3409" s="19" t="s">
        <v>233</v>
      </c>
      <c r="J3409" s="155" t="str">
        <f t="shared" si="0"/>
        <v>NTT</v>
      </c>
      <c r="K3409" s="22" t="s">
        <v>11986</v>
      </c>
      <c r="L3409" s="56">
        <v>45097</v>
      </c>
      <c r="P3409" s="40"/>
      <c r="Q3409" s="61"/>
      <c r="R3409" s="61"/>
      <c r="S3409" s="40"/>
      <c r="T3409" s="38"/>
      <c r="U3409" s="38"/>
      <c r="V3409" s="38"/>
      <c r="W3409" s="60"/>
      <c r="AB3409" s="42"/>
      <c r="AC3409" s="35"/>
      <c r="AD3409" s="38"/>
      <c r="AE3409" s="38"/>
      <c r="AF3409" s="38"/>
      <c r="AG3409" s="38"/>
      <c r="AH3409" s="60"/>
    </row>
    <row r="3410" spans="1:34" ht="15.75" customHeight="1">
      <c r="A3410" s="112">
        <v>1463</v>
      </c>
      <c r="B3410" s="18" t="s">
        <v>11987</v>
      </c>
      <c r="C3410" s="37" t="s">
        <v>87</v>
      </c>
      <c r="D3410" s="20" t="s">
        <v>11988</v>
      </c>
      <c r="E3410" s="20" t="s">
        <v>11989</v>
      </c>
      <c r="F3410" s="19" t="s">
        <v>90</v>
      </c>
      <c r="G3410" s="19" t="s">
        <v>91</v>
      </c>
      <c r="H3410" s="19" t="s">
        <v>36</v>
      </c>
      <c r="I3410" s="19" t="s">
        <v>29</v>
      </c>
      <c r="J3410" s="155" t="str">
        <f t="shared" si="0"/>
        <v>TT</v>
      </c>
      <c r="K3410" s="22" t="s">
        <v>11990</v>
      </c>
      <c r="L3410" s="56">
        <v>45097</v>
      </c>
      <c r="P3410" s="40"/>
      <c r="Q3410" s="61"/>
      <c r="R3410" s="61"/>
      <c r="S3410" s="40"/>
      <c r="T3410" s="38"/>
      <c r="U3410" s="38"/>
      <c r="V3410" s="38"/>
      <c r="W3410" s="60"/>
      <c r="AB3410" s="42"/>
      <c r="AC3410" s="35"/>
      <c r="AD3410" s="38"/>
      <c r="AE3410" s="38"/>
      <c r="AF3410" s="38"/>
      <c r="AG3410" s="38"/>
      <c r="AH3410" s="60"/>
    </row>
    <row r="3411" spans="1:34" ht="15.75" customHeight="1">
      <c r="A3411" s="111" t="s">
        <v>100</v>
      </c>
      <c r="B3411" s="18" t="s">
        <v>11991</v>
      </c>
      <c r="C3411" s="37" t="s">
        <v>24</v>
      </c>
      <c r="D3411" s="20" t="s">
        <v>11992</v>
      </c>
      <c r="E3411" s="20" t="s">
        <v>11993</v>
      </c>
      <c r="F3411" s="19" t="s">
        <v>27</v>
      </c>
      <c r="G3411" s="19" t="s">
        <v>28</v>
      </c>
      <c r="H3411" s="19" t="s">
        <v>36</v>
      </c>
      <c r="I3411" s="19" t="s">
        <v>29</v>
      </c>
      <c r="J3411" s="155" t="str">
        <f t="shared" si="0"/>
        <v>TT</v>
      </c>
      <c r="K3411" s="22" t="s">
        <v>11994</v>
      </c>
      <c r="L3411" s="56">
        <v>45097</v>
      </c>
      <c r="P3411" s="40"/>
      <c r="Q3411" s="61"/>
      <c r="R3411" s="61"/>
      <c r="S3411" s="40"/>
      <c r="T3411" s="38"/>
      <c r="U3411" s="38"/>
      <c r="V3411" s="38"/>
      <c r="W3411" s="60"/>
      <c r="AB3411" s="42"/>
      <c r="AC3411" s="35"/>
      <c r="AD3411" s="38"/>
      <c r="AE3411" s="38"/>
      <c r="AF3411" s="38"/>
      <c r="AG3411" s="38"/>
      <c r="AH3411" s="60"/>
    </row>
    <row r="3412" spans="1:34" ht="15.75" customHeight="1">
      <c r="A3412" s="75" t="s">
        <v>55</v>
      </c>
      <c r="B3412" s="18" t="s">
        <v>11995</v>
      </c>
      <c r="C3412" s="37" t="s">
        <v>46</v>
      </c>
      <c r="D3412" s="20" t="s">
        <v>11996</v>
      </c>
      <c r="E3412" s="20" t="s">
        <v>11997</v>
      </c>
      <c r="F3412" s="37" t="s">
        <v>49</v>
      </c>
      <c r="G3412" s="19" t="s">
        <v>50</v>
      </c>
      <c r="H3412" s="37"/>
      <c r="I3412" s="19" t="s">
        <v>29</v>
      </c>
      <c r="J3412" s="155" t="str">
        <f t="shared" si="0"/>
        <v>TT</v>
      </c>
      <c r="K3412" s="22" t="s">
        <v>11998</v>
      </c>
      <c r="L3412" s="56">
        <v>45097</v>
      </c>
      <c r="P3412" s="40"/>
      <c r="Q3412" s="61"/>
      <c r="R3412" s="61"/>
      <c r="S3412" s="40"/>
      <c r="T3412" s="38"/>
      <c r="U3412" s="38"/>
      <c r="V3412" s="38"/>
      <c r="W3412" s="60"/>
      <c r="AB3412" s="42"/>
      <c r="AC3412" s="35"/>
      <c r="AD3412" s="38"/>
      <c r="AE3412" s="38"/>
      <c r="AF3412" s="38"/>
      <c r="AG3412" s="38"/>
      <c r="AH3412" s="60"/>
    </row>
    <row r="3413" spans="1:34" ht="15.75" customHeight="1">
      <c r="A3413" s="35"/>
      <c r="B3413" s="18" t="s">
        <v>11999</v>
      </c>
      <c r="C3413" s="37" t="s">
        <v>24</v>
      </c>
      <c r="D3413" s="20" t="s">
        <v>12000</v>
      </c>
      <c r="E3413" s="20" t="s">
        <v>12001</v>
      </c>
      <c r="F3413" s="19" t="s">
        <v>27</v>
      </c>
      <c r="G3413" s="19" t="s">
        <v>28</v>
      </c>
      <c r="H3413" s="37"/>
      <c r="I3413" s="19" t="s">
        <v>29</v>
      </c>
      <c r="J3413" s="155" t="str">
        <f t="shared" si="0"/>
        <v>TT</v>
      </c>
      <c r="K3413" s="22" t="s">
        <v>12002</v>
      </c>
      <c r="L3413" s="56">
        <v>45097</v>
      </c>
      <c r="P3413" s="40"/>
      <c r="Q3413" s="61"/>
      <c r="R3413" s="61"/>
      <c r="S3413" s="40"/>
      <c r="T3413" s="38"/>
      <c r="U3413" s="38"/>
      <c r="V3413" s="38"/>
      <c r="W3413" s="60"/>
      <c r="AB3413" s="42"/>
      <c r="AC3413" s="35"/>
      <c r="AD3413" s="38"/>
      <c r="AE3413" s="38"/>
      <c r="AF3413" s="38"/>
      <c r="AG3413" s="38"/>
      <c r="AH3413" s="60"/>
    </row>
    <row r="3414" spans="1:34" ht="15.75" customHeight="1">
      <c r="A3414" s="35"/>
      <c r="B3414" s="18" t="s">
        <v>12003</v>
      </c>
      <c r="C3414" s="37" t="s">
        <v>1470</v>
      </c>
      <c r="D3414" s="20" t="s">
        <v>12004</v>
      </c>
      <c r="E3414" s="20" t="s">
        <v>12005</v>
      </c>
      <c r="F3414" s="19" t="s">
        <v>3286</v>
      </c>
      <c r="G3414" s="37" t="s">
        <v>1461</v>
      </c>
      <c r="H3414" s="37"/>
      <c r="I3414" s="19" t="s">
        <v>233</v>
      </c>
      <c r="J3414" s="155" t="str">
        <f t="shared" si="0"/>
        <v>NTT</v>
      </c>
      <c r="K3414" s="22" t="s">
        <v>12006</v>
      </c>
      <c r="L3414" s="56">
        <v>45097</v>
      </c>
      <c r="P3414" s="40"/>
      <c r="Q3414" s="61"/>
      <c r="R3414" s="61"/>
      <c r="S3414" s="40"/>
      <c r="T3414" s="38"/>
      <c r="U3414" s="38"/>
      <c r="V3414" s="38"/>
      <c r="W3414" s="60"/>
      <c r="AB3414" s="42"/>
      <c r="AC3414" s="35"/>
      <c r="AD3414" s="38"/>
      <c r="AE3414" s="38"/>
      <c r="AF3414" s="38"/>
      <c r="AG3414" s="38"/>
      <c r="AH3414" s="60"/>
    </row>
    <row r="3415" spans="1:34" ht="15.75" customHeight="1">
      <c r="A3415" s="35"/>
      <c r="B3415" s="18" t="s">
        <v>12007</v>
      </c>
      <c r="C3415" s="37" t="s">
        <v>24</v>
      </c>
      <c r="D3415" s="20" t="s">
        <v>12008</v>
      </c>
      <c r="E3415" s="20" t="s">
        <v>12009</v>
      </c>
      <c r="F3415" s="19" t="s">
        <v>27</v>
      </c>
      <c r="G3415" s="19" t="s">
        <v>28</v>
      </c>
      <c r="H3415" s="37" t="s">
        <v>813</v>
      </c>
      <c r="I3415" s="19" t="s">
        <v>29</v>
      </c>
      <c r="J3415" s="155" t="str">
        <f t="shared" si="0"/>
        <v>TT</v>
      </c>
      <c r="K3415" s="22" t="s">
        <v>12010</v>
      </c>
      <c r="L3415" s="56">
        <v>45097</v>
      </c>
      <c r="P3415" s="40"/>
      <c r="Q3415" s="61"/>
      <c r="R3415" s="61"/>
      <c r="S3415" s="40"/>
      <c r="T3415" s="38"/>
      <c r="U3415" s="38"/>
      <c r="V3415" s="38"/>
      <c r="W3415" s="60"/>
      <c r="AB3415" s="42"/>
      <c r="AC3415" s="35"/>
      <c r="AD3415" s="38"/>
      <c r="AE3415" s="38"/>
      <c r="AF3415" s="38"/>
      <c r="AG3415" s="38"/>
      <c r="AH3415" s="60"/>
    </row>
    <row r="3416" spans="1:34" ht="15.75" customHeight="1">
      <c r="A3416" s="35"/>
      <c r="B3416" s="18" t="s">
        <v>12011</v>
      </c>
      <c r="C3416" s="143" t="s">
        <v>87</v>
      </c>
      <c r="D3416" s="20" t="s">
        <v>12012</v>
      </c>
      <c r="E3416" s="20" t="s">
        <v>12013</v>
      </c>
      <c r="F3416" s="19" t="s">
        <v>90</v>
      </c>
      <c r="G3416" s="19" t="s">
        <v>91</v>
      </c>
      <c r="H3416" s="19" t="s">
        <v>36</v>
      </c>
      <c r="I3416" s="19" t="s">
        <v>29</v>
      </c>
      <c r="J3416" s="155" t="str">
        <f t="shared" si="0"/>
        <v>TT</v>
      </c>
      <c r="K3416" s="22" t="s">
        <v>12014</v>
      </c>
      <c r="L3416" s="56">
        <v>45097</v>
      </c>
      <c r="P3416" s="40"/>
      <c r="Q3416" s="61"/>
      <c r="R3416" s="61"/>
      <c r="S3416" s="40"/>
      <c r="T3416" s="38"/>
      <c r="U3416" s="38"/>
      <c r="V3416" s="38"/>
      <c r="W3416" s="60"/>
      <c r="AB3416" s="42"/>
      <c r="AC3416" s="35"/>
      <c r="AD3416" s="38"/>
      <c r="AE3416" s="38"/>
      <c r="AF3416" s="38"/>
      <c r="AG3416" s="38"/>
      <c r="AH3416" s="60"/>
    </row>
    <row r="3417" spans="1:34" ht="15.75" customHeight="1">
      <c r="A3417" s="35"/>
      <c r="B3417" s="18" t="s">
        <v>12015</v>
      </c>
      <c r="C3417" s="37" t="s">
        <v>87</v>
      </c>
      <c r="D3417" s="20" t="s">
        <v>12016</v>
      </c>
      <c r="E3417" s="20" t="s">
        <v>12017</v>
      </c>
      <c r="F3417" s="19" t="s">
        <v>90</v>
      </c>
      <c r="G3417" s="19" t="s">
        <v>91</v>
      </c>
      <c r="H3417" s="37"/>
      <c r="I3417" s="19" t="s">
        <v>29</v>
      </c>
      <c r="J3417" s="155" t="str">
        <f t="shared" si="0"/>
        <v>TT</v>
      </c>
      <c r="K3417" s="22" t="s">
        <v>12018</v>
      </c>
      <c r="L3417" s="56">
        <v>45097</v>
      </c>
      <c r="P3417" s="40"/>
      <c r="Q3417" s="61"/>
      <c r="R3417" s="61"/>
      <c r="S3417" s="40"/>
      <c r="T3417" s="38"/>
      <c r="U3417" s="38"/>
      <c r="V3417" s="38"/>
      <c r="W3417" s="60"/>
      <c r="AB3417" s="42"/>
      <c r="AC3417" s="35"/>
      <c r="AD3417" s="38"/>
      <c r="AE3417" s="38"/>
      <c r="AF3417" s="38"/>
      <c r="AG3417" s="38"/>
      <c r="AH3417" s="60"/>
    </row>
    <row r="3418" spans="1:34" ht="15.75" customHeight="1">
      <c r="A3418" s="35"/>
      <c r="B3418" s="18" t="s">
        <v>12019</v>
      </c>
      <c r="C3418" s="37" t="s">
        <v>24</v>
      </c>
      <c r="D3418" s="20" t="s">
        <v>12020</v>
      </c>
      <c r="E3418" s="20" t="s">
        <v>12021</v>
      </c>
      <c r="F3418" s="19" t="s">
        <v>27</v>
      </c>
      <c r="G3418" s="19" t="s">
        <v>28</v>
      </c>
      <c r="H3418" s="37"/>
      <c r="I3418" s="19" t="s">
        <v>29</v>
      </c>
      <c r="J3418" s="155" t="str">
        <f t="shared" si="0"/>
        <v>TT</v>
      </c>
      <c r="K3418" s="22" t="s">
        <v>12022</v>
      </c>
      <c r="L3418" s="56">
        <v>45097</v>
      </c>
      <c r="P3418" s="40"/>
      <c r="Q3418" s="61"/>
      <c r="R3418" s="61"/>
      <c r="S3418" s="40"/>
      <c r="T3418" s="38"/>
      <c r="U3418" s="38"/>
      <c r="V3418" s="38"/>
      <c r="W3418" s="60"/>
      <c r="AB3418" s="42"/>
      <c r="AC3418" s="35"/>
      <c r="AD3418" s="38"/>
      <c r="AE3418" s="38"/>
      <c r="AF3418" s="38"/>
      <c r="AG3418" s="38"/>
      <c r="AH3418" s="60"/>
    </row>
    <row r="3419" spans="1:34" ht="15.75" customHeight="1">
      <c r="A3419" s="35"/>
      <c r="B3419" s="18" t="s">
        <v>12023</v>
      </c>
      <c r="C3419" s="37" t="s">
        <v>24</v>
      </c>
      <c r="D3419" s="20" t="s">
        <v>12024</v>
      </c>
      <c r="E3419" s="20" t="s">
        <v>12025</v>
      </c>
      <c r="F3419" s="19" t="s">
        <v>27</v>
      </c>
      <c r="G3419" s="19" t="s">
        <v>28</v>
      </c>
      <c r="H3419" s="37" t="s">
        <v>762</v>
      </c>
      <c r="I3419" s="19" t="s">
        <v>29</v>
      </c>
      <c r="J3419" s="155" t="str">
        <f t="shared" si="0"/>
        <v>TT</v>
      </c>
      <c r="K3419" s="22" t="s">
        <v>12026</v>
      </c>
      <c r="L3419" s="56">
        <v>45097</v>
      </c>
      <c r="P3419" s="40"/>
      <c r="Q3419" s="61"/>
      <c r="R3419" s="61"/>
      <c r="S3419" s="40"/>
      <c r="T3419" s="38"/>
      <c r="U3419" s="38"/>
      <c r="V3419" s="38"/>
      <c r="W3419" s="60"/>
      <c r="AB3419" s="42"/>
      <c r="AC3419" s="35"/>
      <c r="AD3419" s="38"/>
      <c r="AE3419" s="38"/>
      <c r="AF3419" s="38"/>
      <c r="AG3419" s="38"/>
      <c r="AH3419" s="60"/>
    </row>
    <row r="3420" spans="1:34" ht="15.75" customHeight="1">
      <c r="A3420" s="35"/>
      <c r="B3420" s="18" t="s">
        <v>12027</v>
      </c>
      <c r="C3420" s="37" t="s">
        <v>24</v>
      </c>
      <c r="D3420" s="20" t="s">
        <v>12028</v>
      </c>
      <c r="E3420" s="20" t="s">
        <v>12029</v>
      </c>
      <c r="F3420" s="19" t="s">
        <v>27</v>
      </c>
      <c r="G3420" s="19" t="s">
        <v>28</v>
      </c>
      <c r="H3420" s="19" t="s">
        <v>36</v>
      </c>
      <c r="I3420" s="19" t="s">
        <v>29</v>
      </c>
      <c r="J3420" s="155" t="str">
        <f t="shared" si="0"/>
        <v>TT</v>
      </c>
      <c r="K3420" s="22" t="s">
        <v>12030</v>
      </c>
      <c r="L3420" s="56">
        <v>45097</v>
      </c>
      <c r="P3420" s="40"/>
      <c r="Q3420" s="61"/>
      <c r="R3420" s="61"/>
      <c r="S3420" s="40"/>
      <c r="T3420" s="38"/>
      <c r="U3420" s="38"/>
      <c r="V3420" s="38"/>
      <c r="W3420" s="60"/>
      <c r="AB3420" s="42"/>
      <c r="AC3420" s="35"/>
      <c r="AD3420" s="38"/>
      <c r="AE3420" s="38"/>
      <c r="AF3420" s="38"/>
      <c r="AG3420" s="38"/>
      <c r="AH3420" s="60"/>
    </row>
    <row r="3421" spans="1:34" ht="15.75" customHeight="1">
      <c r="A3421" s="35"/>
      <c r="B3421" s="18" t="s">
        <v>12031</v>
      </c>
      <c r="C3421" s="37" t="s">
        <v>24</v>
      </c>
      <c r="D3421" s="20" t="s">
        <v>12032</v>
      </c>
      <c r="E3421" s="20" t="s">
        <v>12033</v>
      </c>
      <c r="F3421" s="19" t="s">
        <v>27</v>
      </c>
      <c r="G3421" s="19" t="s">
        <v>28</v>
      </c>
      <c r="H3421" s="37"/>
      <c r="I3421" s="19" t="s">
        <v>29</v>
      </c>
      <c r="J3421" s="155" t="str">
        <f t="shared" si="0"/>
        <v>TT</v>
      </c>
      <c r="K3421" s="22" t="s">
        <v>12034</v>
      </c>
      <c r="L3421" s="56">
        <v>45097</v>
      </c>
      <c r="P3421" s="40"/>
      <c r="Q3421" s="61"/>
      <c r="R3421" s="61"/>
      <c r="S3421" s="40"/>
      <c r="T3421" s="38"/>
      <c r="U3421" s="38"/>
      <c r="V3421" s="38"/>
      <c r="W3421" s="60"/>
      <c r="AB3421" s="42"/>
      <c r="AC3421" s="35"/>
      <c r="AD3421" s="38"/>
      <c r="AE3421" s="38"/>
      <c r="AF3421" s="38"/>
      <c r="AG3421" s="38"/>
      <c r="AH3421" s="60"/>
    </row>
    <row r="3422" spans="1:34" ht="15.75" customHeight="1">
      <c r="A3422" s="35"/>
      <c r="B3422" s="18" t="s">
        <v>12035</v>
      </c>
      <c r="C3422" s="37" t="s">
        <v>24</v>
      </c>
      <c r="D3422" s="20" t="s">
        <v>12036</v>
      </c>
      <c r="E3422" s="20" t="s">
        <v>12037</v>
      </c>
      <c r="F3422" s="19" t="s">
        <v>27</v>
      </c>
      <c r="G3422" s="19" t="s">
        <v>28</v>
      </c>
      <c r="H3422" s="19" t="s">
        <v>36</v>
      </c>
      <c r="I3422" s="19" t="s">
        <v>29</v>
      </c>
      <c r="J3422" s="155" t="str">
        <f t="shared" si="0"/>
        <v>TT</v>
      </c>
      <c r="K3422" s="22" t="s">
        <v>12038</v>
      </c>
      <c r="L3422" s="56">
        <v>45097</v>
      </c>
      <c r="P3422" s="40"/>
      <c r="Q3422" s="61"/>
      <c r="R3422" s="61"/>
      <c r="S3422" s="40"/>
      <c r="T3422" s="38"/>
      <c r="U3422" s="38"/>
      <c r="V3422" s="38"/>
      <c r="W3422" s="60"/>
      <c r="AB3422" s="42"/>
      <c r="AC3422" s="35"/>
      <c r="AD3422" s="38"/>
      <c r="AE3422" s="38"/>
      <c r="AF3422" s="38"/>
      <c r="AG3422" s="38"/>
      <c r="AH3422" s="60"/>
    </row>
    <row r="3423" spans="1:34" ht="15.75" customHeight="1">
      <c r="A3423" s="35"/>
      <c r="B3423" s="18" t="s">
        <v>12039</v>
      </c>
      <c r="C3423" s="37" t="s">
        <v>87</v>
      </c>
      <c r="D3423" s="20" t="s">
        <v>12040</v>
      </c>
      <c r="E3423" s="20" t="s">
        <v>12041</v>
      </c>
      <c r="F3423" s="19" t="s">
        <v>90</v>
      </c>
      <c r="G3423" s="19" t="s">
        <v>91</v>
      </c>
      <c r="H3423" s="37"/>
      <c r="I3423" s="19" t="s">
        <v>29</v>
      </c>
      <c r="J3423" s="155" t="str">
        <f t="shared" si="0"/>
        <v>TT</v>
      </c>
      <c r="K3423" s="22" t="s">
        <v>12042</v>
      </c>
      <c r="L3423" s="56">
        <v>45097</v>
      </c>
      <c r="P3423" s="40"/>
      <c r="Q3423" s="61"/>
      <c r="R3423" s="61"/>
      <c r="S3423" s="40"/>
      <c r="T3423" s="38"/>
      <c r="U3423" s="38"/>
      <c r="V3423" s="38"/>
      <c r="W3423" s="60"/>
      <c r="AB3423" s="42"/>
      <c r="AC3423" s="35"/>
      <c r="AD3423" s="38"/>
      <c r="AE3423" s="38"/>
      <c r="AF3423" s="38"/>
      <c r="AG3423" s="38"/>
      <c r="AH3423" s="60"/>
    </row>
    <row r="3424" spans="1:34" ht="15.75" customHeight="1">
      <c r="A3424" s="35"/>
      <c r="B3424" s="18" t="s">
        <v>12043</v>
      </c>
      <c r="C3424" s="37" t="s">
        <v>46</v>
      </c>
      <c r="D3424" s="20" t="s">
        <v>12044</v>
      </c>
      <c r="E3424" s="20" t="s">
        <v>12045</v>
      </c>
      <c r="F3424" s="37" t="s">
        <v>49</v>
      </c>
      <c r="G3424" s="19" t="s">
        <v>50</v>
      </c>
      <c r="H3424" s="37"/>
      <c r="I3424" s="19" t="s">
        <v>29</v>
      </c>
      <c r="J3424" s="155" t="str">
        <f t="shared" si="0"/>
        <v>TT</v>
      </c>
      <c r="K3424" s="22" t="s">
        <v>12046</v>
      </c>
      <c r="L3424" s="56">
        <v>45097</v>
      </c>
      <c r="P3424" s="40"/>
      <c r="Q3424" s="61"/>
      <c r="R3424" s="61"/>
      <c r="S3424" s="40"/>
      <c r="T3424" s="38"/>
      <c r="U3424" s="38"/>
      <c r="V3424" s="38"/>
      <c r="W3424" s="60"/>
      <c r="AB3424" s="42"/>
      <c r="AC3424" s="35"/>
      <c r="AD3424" s="38"/>
      <c r="AE3424" s="38"/>
      <c r="AF3424" s="38"/>
      <c r="AG3424" s="38"/>
      <c r="AH3424" s="60"/>
    </row>
    <row r="3425" spans="1:34" ht="15.75" customHeight="1">
      <c r="A3425" s="35"/>
      <c r="B3425" s="38"/>
      <c r="C3425" s="37"/>
      <c r="D3425" s="20"/>
      <c r="E3425" s="20"/>
      <c r="F3425" s="37"/>
      <c r="G3425" s="37"/>
      <c r="H3425" s="37"/>
      <c r="I3425" s="19"/>
      <c r="J3425" s="155">
        <f t="shared" si="0"/>
        <v>0</v>
      </c>
      <c r="K3425" s="22"/>
      <c r="L3425" s="39"/>
      <c r="P3425" s="40"/>
      <c r="Q3425" s="61"/>
      <c r="R3425" s="61"/>
      <c r="S3425" s="40"/>
      <c r="T3425" s="38"/>
      <c r="U3425" s="38"/>
      <c r="V3425" s="38"/>
      <c r="W3425" s="60"/>
      <c r="AB3425" s="42"/>
      <c r="AC3425" s="35"/>
      <c r="AD3425" s="38"/>
      <c r="AE3425" s="38"/>
      <c r="AF3425" s="38"/>
      <c r="AG3425" s="38"/>
      <c r="AH3425" s="60"/>
    </row>
    <row r="3426" spans="1:34" ht="15.75" customHeight="1">
      <c r="A3426" s="38" t="s">
        <v>12047</v>
      </c>
      <c r="B3426" s="38" t="s">
        <v>12048</v>
      </c>
      <c r="C3426" s="37" t="s">
        <v>24</v>
      </c>
      <c r="D3426" s="20" t="s">
        <v>12049</v>
      </c>
      <c r="E3426" s="20" t="s">
        <v>12050</v>
      </c>
      <c r="F3426" s="19" t="s">
        <v>27</v>
      </c>
      <c r="G3426" s="19" t="s">
        <v>28</v>
      </c>
      <c r="H3426" s="37"/>
      <c r="I3426" s="19" t="s">
        <v>29</v>
      </c>
      <c r="J3426" s="155" t="str">
        <f t="shared" si="0"/>
        <v>TT</v>
      </c>
      <c r="K3426" s="22" t="s">
        <v>12051</v>
      </c>
      <c r="L3426" s="56">
        <v>45097</v>
      </c>
      <c r="M3426" s="40"/>
      <c r="P3426" s="40"/>
      <c r="Q3426" s="61"/>
      <c r="R3426" s="61"/>
      <c r="S3426" s="40"/>
      <c r="T3426" s="38"/>
      <c r="U3426" s="38"/>
      <c r="V3426" s="38"/>
      <c r="W3426" s="60"/>
      <c r="AB3426" s="42"/>
      <c r="AC3426" s="35"/>
      <c r="AD3426" s="38"/>
      <c r="AE3426" s="38"/>
      <c r="AF3426" s="38"/>
      <c r="AG3426" s="38"/>
      <c r="AH3426" s="60"/>
    </row>
    <row r="3427" spans="1:34" ht="15.75" customHeight="1">
      <c r="A3427" s="54" t="s">
        <v>2714</v>
      </c>
      <c r="B3427" s="38" t="s">
        <v>5098</v>
      </c>
      <c r="C3427" s="37" t="s">
        <v>46</v>
      </c>
      <c r="D3427" s="20" t="s">
        <v>12052</v>
      </c>
      <c r="E3427" s="20" t="s">
        <v>12053</v>
      </c>
      <c r="F3427" s="37" t="s">
        <v>49</v>
      </c>
      <c r="G3427" s="19" t="s">
        <v>50</v>
      </c>
      <c r="H3427" s="37"/>
      <c r="I3427" s="19" t="s">
        <v>29</v>
      </c>
      <c r="J3427" s="155" t="str">
        <f t="shared" si="0"/>
        <v>TT</v>
      </c>
      <c r="K3427" s="22" t="s">
        <v>12054</v>
      </c>
      <c r="L3427" s="56">
        <v>45097</v>
      </c>
      <c r="P3427" s="40"/>
      <c r="Q3427" s="61"/>
      <c r="R3427" s="61"/>
      <c r="S3427" s="40"/>
      <c r="T3427" s="38"/>
      <c r="U3427" s="38"/>
      <c r="V3427" s="38"/>
      <c r="W3427" s="60"/>
      <c r="AB3427" s="42"/>
      <c r="AC3427" s="35"/>
      <c r="AD3427" s="38"/>
      <c r="AE3427" s="38"/>
      <c r="AF3427" s="38"/>
      <c r="AG3427" s="38"/>
      <c r="AH3427" s="60"/>
    </row>
    <row r="3428" spans="1:34" ht="15.75" customHeight="1">
      <c r="A3428" s="114" t="s">
        <v>39</v>
      </c>
      <c r="B3428" s="38" t="s">
        <v>12055</v>
      </c>
      <c r="C3428" s="37" t="s">
        <v>24</v>
      </c>
      <c r="D3428" s="20" t="s">
        <v>12056</v>
      </c>
      <c r="E3428" s="20" t="s">
        <v>12057</v>
      </c>
      <c r="F3428" s="19" t="s">
        <v>27</v>
      </c>
      <c r="G3428" s="19" t="s">
        <v>28</v>
      </c>
      <c r="H3428" s="37"/>
      <c r="I3428" s="19" t="s">
        <v>29</v>
      </c>
      <c r="J3428" s="155" t="str">
        <f t="shared" si="0"/>
        <v>TT</v>
      </c>
      <c r="K3428" s="22" t="s">
        <v>12058</v>
      </c>
      <c r="L3428" s="56">
        <v>45097</v>
      </c>
      <c r="P3428" s="40"/>
      <c r="Q3428" s="61"/>
      <c r="R3428" s="61"/>
      <c r="S3428" s="40"/>
      <c r="T3428" s="38"/>
      <c r="U3428" s="38"/>
      <c r="V3428" s="38"/>
      <c r="W3428" s="60"/>
      <c r="AB3428" s="42"/>
      <c r="AC3428" s="35"/>
      <c r="AD3428" s="38"/>
      <c r="AE3428" s="38"/>
      <c r="AF3428" s="38"/>
      <c r="AG3428" s="38"/>
      <c r="AH3428" s="60"/>
    </row>
    <row r="3429" spans="1:34" ht="15.75" customHeight="1">
      <c r="A3429" s="38" t="s">
        <v>11546</v>
      </c>
      <c r="B3429" s="38" t="s">
        <v>12059</v>
      </c>
      <c r="C3429" s="37" t="s">
        <v>24</v>
      </c>
      <c r="D3429" s="20" t="s">
        <v>12060</v>
      </c>
      <c r="E3429" s="20" t="s">
        <v>12061</v>
      </c>
      <c r="F3429" s="19" t="s">
        <v>27</v>
      </c>
      <c r="G3429" s="19" t="s">
        <v>28</v>
      </c>
      <c r="H3429" s="37"/>
      <c r="I3429" s="19" t="s">
        <v>29</v>
      </c>
      <c r="J3429" s="155" t="str">
        <f t="shared" si="0"/>
        <v>TT</v>
      </c>
      <c r="K3429" s="22" t="s">
        <v>12062</v>
      </c>
      <c r="L3429" s="56">
        <v>45097</v>
      </c>
      <c r="P3429" s="40"/>
      <c r="Q3429" s="61"/>
      <c r="R3429" s="61"/>
      <c r="S3429" s="40"/>
      <c r="T3429" s="38"/>
      <c r="U3429" s="38"/>
      <c r="V3429" s="38"/>
      <c r="W3429" s="60"/>
      <c r="AB3429" s="42"/>
      <c r="AC3429" s="35"/>
      <c r="AD3429" s="38"/>
      <c r="AE3429" s="38"/>
      <c r="AF3429" s="38"/>
      <c r="AG3429" s="38"/>
      <c r="AH3429" s="60"/>
    </row>
    <row r="3430" spans="1:34" ht="15.75" customHeight="1">
      <c r="A3430" s="38" t="s">
        <v>8415</v>
      </c>
      <c r="B3430" s="38" t="s">
        <v>12063</v>
      </c>
      <c r="C3430" s="37" t="s">
        <v>46</v>
      </c>
      <c r="D3430" s="20" t="s">
        <v>12064</v>
      </c>
      <c r="E3430" s="20" t="s">
        <v>12065</v>
      </c>
      <c r="F3430" s="37" t="s">
        <v>49</v>
      </c>
      <c r="G3430" s="19" t="s">
        <v>50</v>
      </c>
      <c r="H3430" s="37"/>
      <c r="I3430" s="19" t="s">
        <v>29</v>
      </c>
      <c r="J3430" s="155" t="str">
        <f t="shared" si="0"/>
        <v>TT</v>
      </c>
      <c r="K3430" s="22" t="s">
        <v>12066</v>
      </c>
      <c r="L3430" s="56">
        <v>45097</v>
      </c>
      <c r="P3430" s="40"/>
      <c r="Q3430" s="61"/>
      <c r="R3430" s="61"/>
      <c r="S3430" s="40"/>
      <c r="T3430" s="38"/>
      <c r="U3430" s="38"/>
      <c r="V3430" s="38"/>
      <c r="W3430" s="60"/>
      <c r="AB3430" s="42"/>
      <c r="AC3430" s="35"/>
      <c r="AD3430" s="38"/>
      <c r="AE3430" s="38"/>
      <c r="AF3430" s="38"/>
      <c r="AG3430" s="38"/>
      <c r="AH3430" s="60"/>
    </row>
    <row r="3431" spans="1:34" ht="15.75" customHeight="1">
      <c r="A3431" s="111" t="s">
        <v>56</v>
      </c>
      <c r="B3431" s="38" t="s">
        <v>12067</v>
      </c>
      <c r="C3431" s="37" t="s">
        <v>87</v>
      </c>
      <c r="D3431" s="20" t="s">
        <v>12068</v>
      </c>
      <c r="E3431" s="20" t="s">
        <v>12069</v>
      </c>
      <c r="F3431" s="19" t="s">
        <v>90</v>
      </c>
      <c r="G3431" s="19" t="s">
        <v>91</v>
      </c>
      <c r="H3431" s="37"/>
      <c r="I3431" s="19" t="s">
        <v>29</v>
      </c>
      <c r="J3431" s="155" t="str">
        <f t="shared" si="0"/>
        <v>TT</v>
      </c>
      <c r="K3431" s="22" t="s">
        <v>12070</v>
      </c>
      <c r="L3431" s="56">
        <v>45097</v>
      </c>
      <c r="P3431" s="40"/>
      <c r="Q3431" s="61"/>
      <c r="R3431" s="61"/>
      <c r="S3431" s="40"/>
      <c r="T3431" s="38"/>
      <c r="U3431" s="38"/>
      <c r="V3431" s="38"/>
      <c r="W3431" s="60"/>
      <c r="AB3431" s="42"/>
      <c r="AC3431" s="35"/>
      <c r="AD3431" s="38"/>
      <c r="AE3431" s="38"/>
      <c r="AF3431" s="38"/>
      <c r="AG3431" s="38"/>
      <c r="AH3431" s="60"/>
    </row>
    <row r="3432" spans="1:34" ht="15.75" customHeight="1">
      <c r="A3432" s="75">
        <v>59</v>
      </c>
      <c r="B3432" s="38" t="s">
        <v>12071</v>
      </c>
      <c r="C3432" s="37" t="s">
        <v>46</v>
      </c>
      <c r="D3432" s="20" t="s">
        <v>12072</v>
      </c>
      <c r="E3432" s="20" t="s">
        <v>12073</v>
      </c>
      <c r="F3432" s="37" t="s">
        <v>49</v>
      </c>
      <c r="G3432" s="19" t="s">
        <v>50</v>
      </c>
      <c r="H3432" s="37"/>
      <c r="I3432" s="19" t="s">
        <v>29</v>
      </c>
      <c r="J3432" s="155" t="str">
        <f t="shared" si="0"/>
        <v>TT</v>
      </c>
      <c r="K3432" s="22" t="s">
        <v>12074</v>
      </c>
      <c r="L3432" s="56">
        <v>45097</v>
      </c>
      <c r="P3432" s="40"/>
      <c r="Q3432" s="61"/>
      <c r="R3432" s="61"/>
      <c r="S3432" s="40"/>
      <c r="T3432" s="38"/>
      <c r="U3432" s="38"/>
      <c r="V3432" s="38"/>
      <c r="W3432" s="60"/>
      <c r="AB3432" s="42"/>
      <c r="AC3432" s="35"/>
      <c r="AD3432" s="38"/>
      <c r="AE3432" s="38"/>
      <c r="AF3432" s="38"/>
      <c r="AG3432" s="38"/>
      <c r="AH3432" s="60"/>
    </row>
    <row r="3433" spans="1:34" ht="15.75" customHeight="1">
      <c r="A3433" s="111" t="s">
        <v>64</v>
      </c>
      <c r="B3433" s="38" t="s">
        <v>12075</v>
      </c>
      <c r="C3433" s="37" t="s">
        <v>87</v>
      </c>
      <c r="D3433" s="20" t="s">
        <v>12076</v>
      </c>
      <c r="E3433" s="20" t="s">
        <v>12077</v>
      </c>
      <c r="F3433" s="19" t="s">
        <v>90</v>
      </c>
      <c r="G3433" s="19" t="s">
        <v>91</v>
      </c>
      <c r="H3433" s="37"/>
      <c r="I3433" s="19" t="s">
        <v>29</v>
      </c>
      <c r="J3433" s="155" t="str">
        <f t="shared" si="0"/>
        <v>TT</v>
      </c>
      <c r="K3433" s="22" t="s">
        <v>12078</v>
      </c>
      <c r="L3433" s="56">
        <v>45097</v>
      </c>
      <c r="P3433" s="40"/>
      <c r="Q3433" s="61"/>
      <c r="R3433" s="61"/>
      <c r="S3433" s="40"/>
      <c r="T3433" s="38"/>
      <c r="U3433" s="38"/>
      <c r="V3433" s="38"/>
      <c r="W3433" s="60"/>
      <c r="AB3433" s="42"/>
      <c r="AC3433" s="35"/>
      <c r="AD3433" s="38"/>
      <c r="AE3433" s="38"/>
      <c r="AF3433" s="38"/>
      <c r="AG3433" s="38"/>
      <c r="AH3433" s="60"/>
    </row>
    <row r="3434" spans="1:34" ht="15.75" customHeight="1">
      <c r="A3434" s="75">
        <v>2.9</v>
      </c>
      <c r="B3434" s="38" t="s">
        <v>12079</v>
      </c>
      <c r="C3434" s="37" t="s">
        <v>87</v>
      </c>
      <c r="D3434" s="20" t="s">
        <v>12080</v>
      </c>
      <c r="E3434" s="20" t="s">
        <v>12081</v>
      </c>
      <c r="F3434" s="19" t="s">
        <v>90</v>
      </c>
      <c r="G3434" s="19" t="s">
        <v>91</v>
      </c>
      <c r="H3434" s="37"/>
      <c r="I3434" s="19" t="s">
        <v>29</v>
      </c>
      <c r="J3434" s="155" t="str">
        <f t="shared" si="0"/>
        <v>TT</v>
      </c>
      <c r="K3434" s="22" t="s">
        <v>12082</v>
      </c>
      <c r="L3434" s="56">
        <v>45097</v>
      </c>
      <c r="P3434" s="40"/>
      <c r="Q3434" s="61"/>
      <c r="R3434" s="61"/>
      <c r="S3434" s="40"/>
      <c r="T3434" s="38"/>
      <c r="U3434" s="38"/>
      <c r="V3434" s="38"/>
      <c r="W3434" s="60"/>
      <c r="AB3434" s="42"/>
      <c r="AC3434" s="35"/>
      <c r="AD3434" s="38"/>
      <c r="AE3434" s="38"/>
      <c r="AF3434" s="38"/>
      <c r="AG3434" s="38"/>
      <c r="AH3434" s="60"/>
    </row>
    <row r="3435" spans="1:34" ht="15.75" customHeight="1">
      <c r="A3435" s="111" t="s">
        <v>73</v>
      </c>
      <c r="B3435" s="38" t="s">
        <v>12083</v>
      </c>
      <c r="C3435" s="37" t="s">
        <v>87</v>
      </c>
      <c r="D3435" s="20" t="s">
        <v>12084</v>
      </c>
      <c r="E3435" s="20" t="s">
        <v>12085</v>
      </c>
      <c r="F3435" s="19" t="s">
        <v>90</v>
      </c>
      <c r="G3435" s="19" t="s">
        <v>91</v>
      </c>
      <c r="H3435" s="37"/>
      <c r="I3435" s="19" t="s">
        <v>29</v>
      </c>
      <c r="J3435" s="155" t="str">
        <f t="shared" si="0"/>
        <v>TT</v>
      </c>
      <c r="K3435" s="22" t="s">
        <v>12086</v>
      </c>
      <c r="L3435" s="56">
        <v>45097</v>
      </c>
      <c r="P3435" s="40"/>
      <c r="Q3435" s="61"/>
      <c r="R3435" s="61"/>
      <c r="S3435" s="40"/>
      <c r="T3435" s="38"/>
      <c r="U3435" s="38"/>
      <c r="V3435" s="38"/>
      <c r="W3435" s="60"/>
      <c r="AB3435" s="42"/>
      <c r="AC3435" s="35"/>
      <c r="AD3435" s="38"/>
      <c r="AE3435" s="38"/>
      <c r="AF3435" s="38"/>
      <c r="AG3435" s="38"/>
      <c r="AH3435" s="60"/>
    </row>
    <row r="3436" spans="1:34" ht="15.75" customHeight="1">
      <c r="A3436" s="75">
        <v>3.1</v>
      </c>
      <c r="B3436" s="38" t="s">
        <v>12087</v>
      </c>
      <c r="C3436" s="37" t="s">
        <v>87</v>
      </c>
      <c r="D3436" s="20" t="s">
        <v>12088</v>
      </c>
      <c r="E3436" s="20" t="s">
        <v>12089</v>
      </c>
      <c r="F3436" s="19" t="s">
        <v>90</v>
      </c>
      <c r="G3436" s="19" t="s">
        <v>91</v>
      </c>
      <c r="H3436" s="37"/>
      <c r="I3436" s="19" t="s">
        <v>29</v>
      </c>
      <c r="J3436" s="155" t="str">
        <f t="shared" si="0"/>
        <v>TT</v>
      </c>
      <c r="K3436" s="22" t="s">
        <v>12090</v>
      </c>
      <c r="L3436" s="56">
        <v>45097</v>
      </c>
      <c r="P3436" s="40"/>
      <c r="Q3436" s="61"/>
      <c r="R3436" s="61"/>
      <c r="S3436" s="40"/>
      <c r="T3436" s="38"/>
      <c r="U3436" s="38"/>
      <c r="V3436" s="38"/>
      <c r="W3436" s="60"/>
      <c r="AB3436" s="42"/>
      <c r="AC3436" s="35"/>
      <c r="AD3436" s="38"/>
      <c r="AE3436" s="38"/>
      <c r="AF3436" s="38"/>
      <c r="AG3436" s="38"/>
      <c r="AH3436" s="60"/>
    </row>
    <row r="3437" spans="1:34" ht="15.75" customHeight="1">
      <c r="A3437" s="111" t="s">
        <v>82</v>
      </c>
      <c r="B3437" s="38" t="s">
        <v>12091</v>
      </c>
      <c r="C3437" s="37" t="s">
        <v>412</v>
      </c>
      <c r="D3437" s="20" t="s">
        <v>12092</v>
      </c>
      <c r="E3437" s="20" t="s">
        <v>12093</v>
      </c>
      <c r="F3437" s="19" t="s">
        <v>414</v>
      </c>
      <c r="G3437" s="37" t="s">
        <v>415</v>
      </c>
      <c r="H3437" s="37"/>
      <c r="I3437" s="19" t="s">
        <v>233</v>
      </c>
      <c r="J3437" s="155" t="str">
        <f t="shared" si="0"/>
        <v>NTT</v>
      </c>
      <c r="K3437" s="22" t="s">
        <v>12094</v>
      </c>
      <c r="L3437" s="56">
        <v>45097</v>
      </c>
      <c r="P3437" s="40"/>
      <c r="Q3437" s="61"/>
      <c r="R3437" s="61"/>
      <c r="S3437" s="40"/>
      <c r="T3437" s="38"/>
      <c r="U3437" s="38"/>
      <c r="V3437" s="38"/>
      <c r="W3437" s="60"/>
      <c r="AB3437" s="42"/>
      <c r="AC3437" s="35"/>
      <c r="AD3437" s="38"/>
      <c r="AE3437" s="38"/>
      <c r="AF3437" s="38"/>
      <c r="AG3437" s="38"/>
      <c r="AH3437" s="60"/>
    </row>
    <row r="3438" spans="1:34" ht="15.75" customHeight="1">
      <c r="A3438" s="75" t="s">
        <v>12095</v>
      </c>
      <c r="B3438" s="38" t="s">
        <v>12096</v>
      </c>
      <c r="C3438" s="37" t="s">
        <v>412</v>
      </c>
      <c r="D3438" s="20" t="s">
        <v>12097</v>
      </c>
      <c r="E3438" s="20" t="s">
        <v>12098</v>
      </c>
      <c r="F3438" s="19" t="s">
        <v>414</v>
      </c>
      <c r="G3438" s="19" t="s">
        <v>415</v>
      </c>
      <c r="H3438" s="37"/>
      <c r="I3438" s="19" t="s">
        <v>233</v>
      </c>
      <c r="J3438" s="155" t="str">
        <f t="shared" si="0"/>
        <v>NTT</v>
      </c>
      <c r="K3438" s="22" t="s">
        <v>12099</v>
      </c>
      <c r="L3438" s="56">
        <v>45097</v>
      </c>
      <c r="P3438" s="40"/>
      <c r="Q3438" s="61"/>
      <c r="R3438" s="61"/>
      <c r="S3438" s="40"/>
      <c r="T3438" s="38"/>
      <c r="U3438" s="38"/>
      <c r="V3438" s="38"/>
      <c r="W3438" s="60"/>
      <c r="AB3438" s="42"/>
      <c r="AC3438" s="35"/>
      <c r="AD3438" s="38"/>
      <c r="AE3438" s="38"/>
      <c r="AF3438" s="38"/>
      <c r="AG3438" s="38"/>
      <c r="AH3438" s="60"/>
    </row>
    <row r="3439" spans="1:34" ht="15.75" customHeight="1">
      <c r="A3439" s="111" t="s">
        <v>92</v>
      </c>
      <c r="B3439" s="38" t="s">
        <v>12100</v>
      </c>
      <c r="C3439" s="37" t="s">
        <v>46</v>
      </c>
      <c r="D3439" s="20" t="s">
        <v>12101</v>
      </c>
      <c r="E3439" s="20" t="s">
        <v>12102</v>
      </c>
      <c r="F3439" s="37" t="s">
        <v>49</v>
      </c>
      <c r="G3439" s="19" t="s">
        <v>50</v>
      </c>
      <c r="H3439" s="37"/>
      <c r="I3439" s="19" t="s">
        <v>29</v>
      </c>
      <c r="J3439" s="155" t="str">
        <f t="shared" si="0"/>
        <v>TT</v>
      </c>
      <c r="K3439" s="22" t="s">
        <v>12103</v>
      </c>
      <c r="L3439" s="56">
        <v>45097</v>
      </c>
      <c r="P3439" s="40"/>
      <c r="Q3439" s="61"/>
      <c r="R3439" s="61"/>
      <c r="S3439" s="40"/>
      <c r="T3439" s="38"/>
      <c r="U3439" s="38"/>
      <c r="V3439" s="38"/>
      <c r="W3439" s="60"/>
      <c r="AB3439" s="42"/>
      <c r="AC3439" s="35"/>
      <c r="AD3439" s="38"/>
      <c r="AE3439" s="38"/>
      <c r="AF3439" s="38"/>
      <c r="AG3439" s="38"/>
      <c r="AH3439" s="60"/>
    </row>
    <row r="3440" spans="1:34" ht="15.75" customHeight="1">
      <c r="A3440" s="112">
        <v>1413</v>
      </c>
      <c r="B3440" s="38" t="s">
        <v>12104</v>
      </c>
      <c r="C3440" s="37" t="s">
        <v>46</v>
      </c>
      <c r="D3440" s="20" t="s">
        <v>12105</v>
      </c>
      <c r="E3440" s="20" t="s">
        <v>12106</v>
      </c>
      <c r="F3440" s="37" t="s">
        <v>49</v>
      </c>
      <c r="G3440" s="19" t="s">
        <v>50</v>
      </c>
      <c r="H3440" s="37"/>
      <c r="I3440" s="19" t="s">
        <v>29</v>
      </c>
      <c r="J3440" s="155" t="str">
        <f t="shared" si="0"/>
        <v>TT</v>
      </c>
      <c r="K3440" s="22" t="s">
        <v>12107</v>
      </c>
      <c r="L3440" s="56">
        <v>45097</v>
      </c>
      <c r="P3440" s="40"/>
      <c r="Q3440" s="61"/>
      <c r="R3440" s="61"/>
      <c r="S3440" s="40"/>
      <c r="T3440" s="38"/>
      <c r="U3440" s="38"/>
      <c r="V3440" s="38"/>
      <c r="W3440" s="60"/>
      <c r="AB3440" s="42"/>
      <c r="AC3440" s="35"/>
      <c r="AD3440" s="38"/>
      <c r="AE3440" s="38"/>
      <c r="AF3440" s="38"/>
      <c r="AG3440" s="38"/>
      <c r="AH3440" s="60"/>
    </row>
    <row r="3441" spans="1:34" ht="15.75" customHeight="1">
      <c r="A3441" s="111" t="s">
        <v>100</v>
      </c>
      <c r="B3441" s="38" t="s">
        <v>12108</v>
      </c>
      <c r="C3441" s="37" t="s">
        <v>87</v>
      </c>
      <c r="D3441" s="20" t="s">
        <v>12109</v>
      </c>
      <c r="E3441" s="20" t="s">
        <v>12110</v>
      </c>
      <c r="F3441" s="19" t="s">
        <v>90</v>
      </c>
      <c r="G3441" s="19" t="s">
        <v>91</v>
      </c>
      <c r="H3441" s="37"/>
      <c r="I3441" s="19" t="s">
        <v>29</v>
      </c>
      <c r="J3441" s="155" t="str">
        <f t="shared" si="0"/>
        <v>TT</v>
      </c>
      <c r="K3441" s="22" t="s">
        <v>12111</v>
      </c>
      <c r="L3441" s="56">
        <v>45097</v>
      </c>
      <c r="P3441" s="40"/>
      <c r="Q3441" s="61"/>
      <c r="R3441" s="61"/>
      <c r="S3441" s="40"/>
      <c r="T3441" s="38"/>
      <c r="U3441" s="38"/>
      <c r="V3441" s="38"/>
      <c r="W3441" s="60"/>
      <c r="AB3441" s="42"/>
      <c r="AC3441" s="35"/>
      <c r="AD3441" s="38"/>
      <c r="AE3441" s="38"/>
      <c r="AF3441" s="38"/>
      <c r="AG3441" s="38"/>
      <c r="AH3441" s="60"/>
    </row>
    <row r="3442" spans="1:34" ht="15.75" customHeight="1">
      <c r="A3442" s="75">
        <v>160</v>
      </c>
      <c r="B3442" s="38" t="s">
        <v>12112</v>
      </c>
      <c r="C3442" s="37" t="s">
        <v>24</v>
      </c>
      <c r="D3442" s="20" t="s">
        <v>12113</v>
      </c>
      <c r="E3442" s="20" t="s">
        <v>12114</v>
      </c>
      <c r="F3442" s="19" t="s">
        <v>27</v>
      </c>
      <c r="G3442" s="19" t="s">
        <v>28</v>
      </c>
      <c r="H3442" s="19" t="s">
        <v>36</v>
      </c>
      <c r="I3442" s="19" t="s">
        <v>29</v>
      </c>
      <c r="J3442" s="155" t="str">
        <f t="shared" si="0"/>
        <v>TT</v>
      </c>
      <c r="K3442" s="22" t="s">
        <v>12115</v>
      </c>
      <c r="L3442" s="56">
        <v>45097</v>
      </c>
      <c r="P3442" s="40"/>
      <c r="Q3442" s="61"/>
      <c r="R3442" s="61"/>
      <c r="S3442" s="40"/>
      <c r="T3442" s="38"/>
      <c r="U3442" s="38"/>
      <c r="V3442" s="38"/>
      <c r="W3442" s="60"/>
      <c r="AB3442" s="42"/>
      <c r="AC3442" s="35"/>
      <c r="AD3442" s="38"/>
      <c r="AE3442" s="38"/>
      <c r="AF3442" s="38"/>
      <c r="AG3442" s="38"/>
      <c r="AH3442" s="60"/>
    </row>
    <row r="3443" spans="1:34" ht="15.75" customHeight="1">
      <c r="A3443" s="35"/>
      <c r="B3443" s="38" t="s">
        <v>12116</v>
      </c>
      <c r="C3443" s="37" t="s">
        <v>1366</v>
      </c>
      <c r="D3443" s="20" t="s">
        <v>12117</v>
      </c>
      <c r="E3443" s="20" t="s">
        <v>12118</v>
      </c>
      <c r="F3443" s="55" t="s">
        <v>1369</v>
      </c>
      <c r="G3443" s="55" t="s">
        <v>1370</v>
      </c>
      <c r="H3443" s="37"/>
      <c r="I3443" s="21" t="s">
        <v>1371</v>
      </c>
      <c r="J3443" s="155" t="str">
        <f t="shared" si="0"/>
        <v>Other</v>
      </c>
      <c r="K3443" s="22" t="s">
        <v>12119</v>
      </c>
      <c r="L3443" s="56">
        <v>45097</v>
      </c>
      <c r="P3443" s="40"/>
      <c r="Q3443" s="61"/>
      <c r="R3443" s="61"/>
      <c r="S3443" s="40"/>
      <c r="T3443" s="38"/>
      <c r="U3443" s="38"/>
      <c r="V3443" s="38"/>
      <c r="W3443" s="60"/>
      <c r="AB3443" s="42"/>
      <c r="AC3443" s="35"/>
      <c r="AD3443" s="38"/>
      <c r="AE3443" s="38"/>
      <c r="AF3443" s="38"/>
      <c r="AG3443" s="38"/>
      <c r="AH3443" s="60"/>
    </row>
    <row r="3444" spans="1:34" ht="15.75" customHeight="1">
      <c r="A3444" s="35"/>
      <c r="B3444" s="38" t="s">
        <v>12120</v>
      </c>
      <c r="C3444" s="37" t="s">
        <v>1486</v>
      </c>
      <c r="D3444" s="20" t="s">
        <v>12121</v>
      </c>
      <c r="E3444" s="20" t="s">
        <v>12122</v>
      </c>
      <c r="F3444" s="37" t="s">
        <v>1489</v>
      </c>
      <c r="G3444" s="37" t="s">
        <v>1490</v>
      </c>
      <c r="H3444" s="37"/>
      <c r="I3444" s="21" t="s">
        <v>1371</v>
      </c>
      <c r="J3444" s="155" t="str">
        <f t="shared" si="0"/>
        <v>Other</v>
      </c>
      <c r="K3444" s="22" t="s">
        <v>12123</v>
      </c>
      <c r="L3444" s="56">
        <v>45097</v>
      </c>
      <c r="P3444" s="40"/>
      <c r="Q3444" s="61"/>
      <c r="R3444" s="61"/>
      <c r="S3444" s="40"/>
      <c r="T3444" s="38"/>
      <c r="U3444" s="38"/>
      <c r="V3444" s="38"/>
      <c r="W3444" s="60"/>
      <c r="AB3444" s="42"/>
      <c r="AC3444" s="35"/>
      <c r="AD3444" s="38"/>
      <c r="AE3444" s="38"/>
      <c r="AF3444" s="38"/>
      <c r="AG3444" s="38"/>
      <c r="AH3444" s="60"/>
    </row>
    <row r="3445" spans="1:34" ht="15.75" customHeight="1">
      <c r="A3445" s="35"/>
      <c r="B3445" s="38" t="s">
        <v>12124</v>
      </c>
      <c r="C3445" s="37" t="s">
        <v>1486</v>
      </c>
      <c r="D3445" s="20" t="s">
        <v>12125</v>
      </c>
      <c r="E3445" s="20" t="s">
        <v>12126</v>
      </c>
      <c r="F3445" s="37" t="s">
        <v>1489</v>
      </c>
      <c r="G3445" s="37" t="s">
        <v>1490</v>
      </c>
      <c r="H3445" s="37"/>
      <c r="I3445" s="21" t="s">
        <v>1371</v>
      </c>
      <c r="J3445" s="155" t="str">
        <f t="shared" si="0"/>
        <v>Other</v>
      </c>
      <c r="K3445" s="22" t="s">
        <v>12127</v>
      </c>
      <c r="L3445" s="56">
        <v>45097</v>
      </c>
      <c r="P3445" s="40"/>
      <c r="Q3445" s="61"/>
      <c r="R3445" s="61"/>
      <c r="S3445" s="40"/>
      <c r="T3445" s="38"/>
      <c r="U3445" s="38"/>
      <c r="V3445" s="38"/>
      <c r="W3445" s="60"/>
      <c r="AB3445" s="42"/>
      <c r="AC3445" s="35"/>
      <c r="AD3445" s="38"/>
      <c r="AE3445" s="38"/>
      <c r="AF3445" s="38"/>
      <c r="AG3445" s="38"/>
      <c r="AH3445" s="60"/>
    </row>
    <row r="3446" spans="1:34" ht="15.75" customHeight="1">
      <c r="A3446" s="35"/>
      <c r="B3446" s="38" t="s">
        <v>12128</v>
      </c>
      <c r="C3446" s="37" t="s">
        <v>46</v>
      </c>
      <c r="D3446" s="20" t="s">
        <v>12129</v>
      </c>
      <c r="E3446" s="20" t="s">
        <v>12130</v>
      </c>
      <c r="F3446" s="37" t="s">
        <v>49</v>
      </c>
      <c r="G3446" s="19" t="s">
        <v>50</v>
      </c>
      <c r="H3446" s="37"/>
      <c r="I3446" s="19" t="s">
        <v>29</v>
      </c>
      <c r="J3446" s="155" t="str">
        <f t="shared" si="0"/>
        <v>TT</v>
      </c>
      <c r="K3446" s="22" t="s">
        <v>12131</v>
      </c>
      <c r="L3446" s="56">
        <v>45097</v>
      </c>
      <c r="P3446" s="40"/>
      <c r="Q3446" s="61"/>
      <c r="R3446" s="61"/>
      <c r="S3446" s="40"/>
      <c r="T3446" s="38"/>
      <c r="U3446" s="38"/>
      <c r="V3446" s="38"/>
      <c r="W3446" s="60"/>
      <c r="AB3446" s="42"/>
      <c r="AC3446" s="35"/>
      <c r="AD3446" s="38"/>
      <c r="AE3446" s="38"/>
      <c r="AF3446" s="38"/>
      <c r="AG3446" s="38"/>
      <c r="AH3446" s="60"/>
    </row>
    <row r="3447" spans="1:34" ht="15.75" customHeight="1">
      <c r="A3447" s="35"/>
      <c r="B3447" s="38" t="s">
        <v>12132</v>
      </c>
      <c r="C3447" s="37" t="s">
        <v>412</v>
      </c>
      <c r="D3447" s="20" t="s">
        <v>12133</v>
      </c>
      <c r="E3447" s="20" t="s">
        <v>12134</v>
      </c>
      <c r="F3447" s="19" t="s">
        <v>414</v>
      </c>
      <c r="G3447" s="37" t="s">
        <v>415</v>
      </c>
      <c r="H3447" s="37"/>
      <c r="I3447" s="19" t="s">
        <v>29</v>
      </c>
      <c r="J3447" s="155" t="str">
        <f t="shared" si="0"/>
        <v>TT</v>
      </c>
      <c r="K3447" s="22" t="s">
        <v>12135</v>
      </c>
      <c r="L3447" s="56">
        <v>45097</v>
      </c>
      <c r="P3447" s="40"/>
      <c r="Q3447" s="61"/>
      <c r="R3447" s="61"/>
      <c r="S3447" s="40"/>
      <c r="T3447" s="38"/>
      <c r="U3447" s="38"/>
      <c r="V3447" s="38"/>
      <c r="W3447" s="60"/>
      <c r="AB3447" s="42"/>
      <c r="AC3447" s="35"/>
      <c r="AD3447" s="38"/>
      <c r="AE3447" s="38"/>
      <c r="AF3447" s="38"/>
      <c r="AG3447" s="38"/>
      <c r="AH3447" s="60"/>
    </row>
    <row r="3448" spans="1:34" ht="15.75" customHeight="1">
      <c r="A3448" s="35"/>
      <c r="B3448" s="38" t="s">
        <v>12136</v>
      </c>
      <c r="C3448" s="37" t="s">
        <v>87</v>
      </c>
      <c r="D3448" s="20" t="s">
        <v>12137</v>
      </c>
      <c r="E3448" s="20" t="s">
        <v>12138</v>
      </c>
      <c r="F3448" s="19" t="s">
        <v>90</v>
      </c>
      <c r="G3448" s="19" t="s">
        <v>91</v>
      </c>
      <c r="H3448" s="37"/>
      <c r="I3448" s="19" t="s">
        <v>29</v>
      </c>
      <c r="J3448" s="155" t="str">
        <f t="shared" si="0"/>
        <v>TT</v>
      </c>
      <c r="K3448" s="22" t="s">
        <v>12139</v>
      </c>
      <c r="L3448" s="56">
        <v>45097</v>
      </c>
      <c r="P3448" s="40"/>
      <c r="Q3448" s="61"/>
      <c r="R3448" s="61"/>
      <c r="S3448" s="40"/>
      <c r="T3448" s="38"/>
      <c r="U3448" s="38"/>
      <c r="V3448" s="38"/>
      <c r="W3448" s="60"/>
      <c r="AB3448" s="42"/>
      <c r="AC3448" s="35"/>
      <c r="AD3448" s="38"/>
      <c r="AE3448" s="38"/>
      <c r="AF3448" s="38"/>
      <c r="AG3448" s="38"/>
      <c r="AH3448" s="60"/>
    </row>
    <row r="3449" spans="1:34" ht="15.75" customHeight="1">
      <c r="A3449" s="35"/>
      <c r="B3449" s="38" t="s">
        <v>12140</v>
      </c>
      <c r="C3449" s="37" t="s">
        <v>87</v>
      </c>
      <c r="D3449" s="20" t="s">
        <v>12141</v>
      </c>
      <c r="E3449" s="20" t="s">
        <v>12142</v>
      </c>
      <c r="F3449" s="19" t="s">
        <v>90</v>
      </c>
      <c r="G3449" s="19" t="s">
        <v>91</v>
      </c>
      <c r="H3449" s="37"/>
      <c r="I3449" s="19" t="s">
        <v>29</v>
      </c>
      <c r="J3449" s="155" t="str">
        <f t="shared" si="0"/>
        <v>TT</v>
      </c>
      <c r="K3449" s="22" t="s">
        <v>12143</v>
      </c>
      <c r="L3449" s="56">
        <v>45097</v>
      </c>
      <c r="P3449" s="40"/>
      <c r="Q3449" s="61"/>
      <c r="R3449" s="61"/>
      <c r="S3449" s="40"/>
      <c r="T3449" s="38"/>
      <c r="U3449" s="38"/>
      <c r="V3449" s="38"/>
      <c r="W3449" s="60"/>
      <c r="AB3449" s="42"/>
      <c r="AC3449" s="35"/>
      <c r="AD3449" s="38"/>
      <c r="AE3449" s="38"/>
      <c r="AF3449" s="38"/>
      <c r="AG3449" s="38"/>
      <c r="AH3449" s="60"/>
    </row>
    <row r="3450" spans="1:34" ht="15.75" customHeight="1">
      <c r="A3450" s="35"/>
      <c r="B3450" s="38" t="s">
        <v>12144</v>
      </c>
      <c r="C3450" s="37" t="s">
        <v>46</v>
      </c>
      <c r="D3450" s="20" t="s">
        <v>12145</v>
      </c>
      <c r="E3450" s="20" t="s">
        <v>12146</v>
      </c>
      <c r="F3450" s="37" t="s">
        <v>49</v>
      </c>
      <c r="G3450" s="19" t="s">
        <v>50</v>
      </c>
      <c r="H3450" s="37"/>
      <c r="I3450" s="19" t="s">
        <v>29</v>
      </c>
      <c r="J3450" s="155" t="str">
        <f t="shared" si="0"/>
        <v>TT</v>
      </c>
      <c r="K3450" s="22" t="s">
        <v>12147</v>
      </c>
      <c r="L3450" s="56">
        <v>45097</v>
      </c>
      <c r="P3450" s="40"/>
      <c r="Q3450" s="61"/>
      <c r="R3450" s="61"/>
      <c r="S3450" s="40"/>
      <c r="T3450" s="38"/>
      <c r="U3450" s="38"/>
      <c r="V3450" s="38"/>
      <c r="W3450" s="60"/>
      <c r="AB3450" s="42"/>
      <c r="AC3450" s="35"/>
      <c r="AD3450" s="38"/>
      <c r="AE3450" s="38"/>
      <c r="AF3450" s="38"/>
      <c r="AG3450" s="38"/>
      <c r="AH3450" s="60"/>
    </row>
    <row r="3451" spans="1:34" ht="15.75" customHeight="1">
      <c r="A3451" s="35"/>
      <c r="B3451" s="38" t="s">
        <v>12148</v>
      </c>
      <c r="C3451" s="37" t="s">
        <v>24</v>
      </c>
      <c r="D3451" s="20" t="s">
        <v>12149</v>
      </c>
      <c r="E3451" s="20" t="s">
        <v>12150</v>
      </c>
      <c r="F3451" s="19" t="s">
        <v>27</v>
      </c>
      <c r="G3451" s="19" t="s">
        <v>28</v>
      </c>
      <c r="H3451" s="37"/>
      <c r="I3451" s="19" t="s">
        <v>29</v>
      </c>
      <c r="J3451" s="155" t="str">
        <f t="shared" si="0"/>
        <v>TT</v>
      </c>
      <c r="K3451" s="22" t="s">
        <v>12151</v>
      </c>
      <c r="L3451" s="56">
        <v>45097</v>
      </c>
      <c r="P3451" s="40"/>
      <c r="Q3451" s="61"/>
      <c r="R3451" s="61"/>
      <c r="S3451" s="40"/>
      <c r="T3451" s="38"/>
      <c r="U3451" s="38"/>
      <c r="V3451" s="38"/>
      <c r="W3451" s="60"/>
      <c r="AB3451" s="42"/>
      <c r="AC3451" s="35"/>
      <c r="AD3451" s="38"/>
      <c r="AE3451" s="38"/>
      <c r="AF3451" s="38"/>
      <c r="AG3451" s="38"/>
      <c r="AH3451" s="60"/>
    </row>
    <row r="3452" spans="1:34" ht="15.75" customHeight="1">
      <c r="A3452" s="35"/>
      <c r="B3452" s="38" t="s">
        <v>12152</v>
      </c>
      <c r="C3452" s="37" t="s">
        <v>87</v>
      </c>
      <c r="D3452" s="20" t="s">
        <v>12153</v>
      </c>
      <c r="E3452" s="20" t="s">
        <v>12154</v>
      </c>
      <c r="F3452" s="19" t="s">
        <v>90</v>
      </c>
      <c r="G3452" s="19" t="s">
        <v>91</v>
      </c>
      <c r="H3452" s="37"/>
      <c r="I3452" s="19" t="s">
        <v>29</v>
      </c>
      <c r="J3452" s="155" t="str">
        <f t="shared" si="0"/>
        <v>TT</v>
      </c>
      <c r="K3452" s="22" t="s">
        <v>12155</v>
      </c>
      <c r="L3452" s="56">
        <v>45097</v>
      </c>
      <c r="P3452" s="40"/>
      <c r="Q3452" s="61"/>
      <c r="R3452" s="61"/>
      <c r="S3452" s="40"/>
      <c r="T3452" s="38"/>
      <c r="U3452" s="38"/>
      <c r="V3452" s="38"/>
      <c r="W3452" s="60"/>
      <c r="AB3452" s="42"/>
      <c r="AC3452" s="35"/>
      <c r="AD3452" s="38"/>
      <c r="AE3452" s="38"/>
      <c r="AF3452" s="38"/>
      <c r="AG3452" s="38"/>
      <c r="AH3452" s="60"/>
    </row>
    <row r="3453" spans="1:34" ht="15.75" customHeight="1">
      <c r="A3453" s="35"/>
      <c r="B3453" s="38" t="s">
        <v>12156</v>
      </c>
      <c r="C3453" s="37" t="s">
        <v>412</v>
      </c>
      <c r="D3453" s="20" t="s">
        <v>12157</v>
      </c>
      <c r="E3453" s="20" t="s">
        <v>12158</v>
      </c>
      <c r="F3453" s="19" t="s">
        <v>414</v>
      </c>
      <c r="G3453" s="19" t="s">
        <v>415</v>
      </c>
      <c r="H3453" s="37"/>
      <c r="I3453" s="19" t="s">
        <v>233</v>
      </c>
      <c r="J3453" s="155" t="str">
        <f t="shared" si="0"/>
        <v>NTT</v>
      </c>
      <c r="K3453" s="22"/>
      <c r="L3453" s="56">
        <v>45097</v>
      </c>
      <c r="P3453" s="40"/>
      <c r="Q3453" s="61"/>
      <c r="R3453" s="61"/>
      <c r="S3453" s="40"/>
      <c r="T3453" s="38"/>
      <c r="U3453" s="38"/>
      <c r="V3453" s="38"/>
      <c r="W3453" s="60"/>
      <c r="AB3453" s="42"/>
      <c r="AC3453" s="35"/>
      <c r="AD3453" s="38"/>
      <c r="AE3453" s="38"/>
      <c r="AF3453" s="38"/>
      <c r="AG3453" s="38"/>
      <c r="AH3453" s="60"/>
    </row>
    <row r="3454" spans="1:34" ht="15.75" customHeight="1">
      <c r="A3454" s="35"/>
      <c r="B3454" s="38" t="s">
        <v>12159</v>
      </c>
      <c r="C3454" s="37" t="s">
        <v>412</v>
      </c>
      <c r="D3454" s="20" t="s">
        <v>12160</v>
      </c>
      <c r="E3454" s="20" t="s">
        <v>12161</v>
      </c>
      <c r="F3454" s="19" t="s">
        <v>414</v>
      </c>
      <c r="G3454" s="37" t="s">
        <v>415</v>
      </c>
      <c r="H3454" s="37"/>
      <c r="I3454" s="19" t="s">
        <v>233</v>
      </c>
      <c r="J3454" s="155" t="str">
        <f t="shared" si="0"/>
        <v>NTT</v>
      </c>
      <c r="K3454" s="22" t="s">
        <v>12162</v>
      </c>
      <c r="L3454" s="56">
        <v>45097</v>
      </c>
      <c r="P3454" s="40"/>
      <c r="Q3454" s="61"/>
      <c r="R3454" s="61"/>
      <c r="S3454" s="40"/>
      <c r="T3454" s="38"/>
      <c r="U3454" s="38"/>
      <c r="V3454" s="38"/>
      <c r="W3454" s="60"/>
      <c r="AB3454" s="42"/>
      <c r="AC3454" s="35"/>
      <c r="AD3454" s="38"/>
      <c r="AE3454" s="38"/>
      <c r="AF3454" s="38"/>
      <c r="AG3454" s="38"/>
      <c r="AH3454" s="60"/>
    </row>
    <row r="3455" spans="1:34" ht="15.75" customHeight="1">
      <c r="A3455" s="35"/>
      <c r="B3455" s="38" t="s">
        <v>12163</v>
      </c>
      <c r="C3455" s="37" t="s">
        <v>87</v>
      </c>
      <c r="D3455" s="20" t="s">
        <v>12164</v>
      </c>
      <c r="E3455" s="20" t="s">
        <v>12165</v>
      </c>
      <c r="F3455" s="19" t="s">
        <v>90</v>
      </c>
      <c r="G3455" s="19" t="s">
        <v>91</v>
      </c>
      <c r="H3455" s="37"/>
      <c r="I3455" s="19" t="s">
        <v>29</v>
      </c>
      <c r="J3455" s="155" t="str">
        <f t="shared" si="0"/>
        <v>TT</v>
      </c>
      <c r="K3455" s="22" t="s">
        <v>12166</v>
      </c>
      <c r="L3455" s="56">
        <v>45097</v>
      </c>
      <c r="P3455" s="40"/>
      <c r="Q3455" s="61"/>
      <c r="R3455" s="61"/>
      <c r="S3455" s="40"/>
      <c r="T3455" s="38"/>
      <c r="U3455" s="38"/>
      <c r="V3455" s="38"/>
      <c r="W3455" s="60"/>
      <c r="AB3455" s="42"/>
      <c r="AC3455" s="35"/>
      <c r="AD3455" s="38"/>
      <c r="AE3455" s="38"/>
      <c r="AF3455" s="38"/>
      <c r="AG3455" s="38"/>
      <c r="AH3455" s="60"/>
    </row>
    <row r="3456" spans="1:34" ht="15.75" customHeight="1">
      <c r="A3456" s="35"/>
      <c r="B3456" s="38" t="s">
        <v>12167</v>
      </c>
      <c r="C3456" s="37" t="s">
        <v>412</v>
      </c>
      <c r="D3456" s="20" t="s">
        <v>12168</v>
      </c>
      <c r="E3456" s="20" t="s">
        <v>12169</v>
      </c>
      <c r="F3456" s="19" t="s">
        <v>414</v>
      </c>
      <c r="G3456" s="19" t="s">
        <v>415</v>
      </c>
      <c r="H3456" s="37"/>
      <c r="I3456" s="19" t="s">
        <v>233</v>
      </c>
      <c r="J3456" s="155" t="str">
        <f t="shared" si="0"/>
        <v>NTT</v>
      </c>
      <c r="K3456" s="22" t="s">
        <v>12170</v>
      </c>
      <c r="L3456" s="56">
        <v>45097</v>
      </c>
      <c r="O3456" s="42"/>
      <c r="P3456" s="40"/>
      <c r="Q3456" s="61"/>
      <c r="R3456" s="61"/>
      <c r="S3456" s="40"/>
      <c r="T3456" s="38"/>
      <c r="U3456" s="38"/>
      <c r="V3456" s="38"/>
      <c r="W3456" s="60"/>
      <c r="AB3456" s="42"/>
      <c r="AC3456" s="35"/>
      <c r="AD3456" s="38"/>
      <c r="AE3456" s="38"/>
      <c r="AF3456" s="38"/>
      <c r="AG3456" s="38"/>
      <c r="AH3456" s="60"/>
    </row>
    <row r="3457" spans="1:34" ht="15.75" customHeight="1">
      <c r="A3457" s="35"/>
      <c r="B3457" s="38" t="s">
        <v>12171</v>
      </c>
      <c r="C3457" s="37" t="s">
        <v>87</v>
      </c>
      <c r="D3457" s="20" t="s">
        <v>12172</v>
      </c>
      <c r="E3457" s="20" t="s">
        <v>12173</v>
      </c>
      <c r="F3457" s="19" t="s">
        <v>90</v>
      </c>
      <c r="G3457" s="19" t="s">
        <v>91</v>
      </c>
      <c r="H3457" s="37"/>
      <c r="I3457" s="19" t="s">
        <v>29</v>
      </c>
      <c r="J3457" s="155" t="str">
        <f t="shared" si="0"/>
        <v>TT</v>
      </c>
      <c r="K3457" s="22" t="s">
        <v>12174</v>
      </c>
      <c r="L3457" s="56">
        <v>45097</v>
      </c>
      <c r="O3457" s="42"/>
      <c r="P3457" s="40"/>
      <c r="Q3457" s="61"/>
      <c r="R3457" s="61"/>
      <c r="S3457" s="40"/>
      <c r="T3457" s="38"/>
      <c r="U3457" s="38"/>
      <c r="V3457" s="38"/>
      <c r="W3457" s="60"/>
      <c r="AB3457" s="42"/>
      <c r="AC3457" s="35"/>
      <c r="AD3457" s="38"/>
      <c r="AE3457" s="38"/>
      <c r="AF3457" s="38"/>
      <c r="AG3457" s="38"/>
      <c r="AH3457" s="60"/>
    </row>
    <row r="3458" spans="1:34" ht="15.75" customHeight="1">
      <c r="A3458" s="35"/>
      <c r="B3458" s="38" t="s">
        <v>12175</v>
      </c>
      <c r="C3458" s="37" t="s">
        <v>87</v>
      </c>
      <c r="D3458" s="20" t="s">
        <v>12176</v>
      </c>
      <c r="E3458" s="20" t="s">
        <v>12177</v>
      </c>
      <c r="F3458" s="19" t="s">
        <v>90</v>
      </c>
      <c r="G3458" s="19" t="s">
        <v>91</v>
      </c>
      <c r="H3458" s="37"/>
      <c r="I3458" s="19" t="s">
        <v>29</v>
      </c>
      <c r="J3458" s="155" t="str">
        <f t="shared" si="0"/>
        <v>TT</v>
      </c>
      <c r="K3458" s="22" t="s">
        <v>12178</v>
      </c>
      <c r="L3458" s="56">
        <v>45097</v>
      </c>
      <c r="O3458" s="42"/>
      <c r="P3458" s="40"/>
      <c r="Q3458" s="61"/>
      <c r="R3458" s="61"/>
      <c r="S3458" s="40"/>
      <c r="T3458" s="38"/>
      <c r="U3458" s="38"/>
      <c r="V3458" s="38"/>
      <c r="W3458" s="60"/>
      <c r="AB3458" s="42"/>
      <c r="AC3458" s="35"/>
      <c r="AD3458" s="38"/>
      <c r="AE3458" s="38"/>
      <c r="AF3458" s="38"/>
      <c r="AG3458" s="38"/>
      <c r="AH3458" s="60"/>
    </row>
    <row r="3459" spans="1:34" ht="15.75" customHeight="1">
      <c r="A3459" s="35"/>
      <c r="B3459" s="38" t="s">
        <v>12179</v>
      </c>
      <c r="C3459" s="37" t="s">
        <v>87</v>
      </c>
      <c r="D3459" s="20" t="s">
        <v>12180</v>
      </c>
      <c r="E3459" s="20" t="s">
        <v>12181</v>
      </c>
      <c r="F3459" s="19" t="s">
        <v>90</v>
      </c>
      <c r="G3459" s="19" t="s">
        <v>91</v>
      </c>
      <c r="H3459" s="37"/>
      <c r="I3459" s="19" t="s">
        <v>29</v>
      </c>
      <c r="J3459" s="155" t="str">
        <f t="shared" si="0"/>
        <v>TT</v>
      </c>
      <c r="K3459" s="22" t="s">
        <v>12182</v>
      </c>
      <c r="L3459" s="56">
        <v>45097</v>
      </c>
      <c r="O3459" s="42"/>
      <c r="P3459" s="40"/>
      <c r="Q3459" s="61"/>
      <c r="R3459" s="61"/>
      <c r="S3459" s="40"/>
      <c r="T3459" s="38"/>
      <c r="U3459" s="38"/>
      <c r="V3459" s="38"/>
      <c r="W3459" s="60"/>
      <c r="AB3459" s="42"/>
      <c r="AC3459" s="35"/>
      <c r="AD3459" s="38"/>
      <c r="AE3459" s="38"/>
      <c r="AF3459" s="38"/>
      <c r="AG3459" s="38"/>
      <c r="AH3459" s="60"/>
    </row>
    <row r="3460" spans="1:34" ht="15.75" customHeight="1">
      <c r="A3460" s="35"/>
      <c r="B3460" s="38" t="s">
        <v>12183</v>
      </c>
      <c r="C3460" s="37" t="s">
        <v>46</v>
      </c>
      <c r="D3460" s="20" t="s">
        <v>12184</v>
      </c>
      <c r="E3460" s="20" t="s">
        <v>12185</v>
      </c>
      <c r="F3460" s="37" t="s">
        <v>49</v>
      </c>
      <c r="G3460" s="19" t="s">
        <v>50</v>
      </c>
      <c r="H3460" s="37"/>
      <c r="I3460" s="19" t="s">
        <v>29</v>
      </c>
      <c r="J3460" s="155" t="str">
        <f t="shared" si="0"/>
        <v>TT</v>
      </c>
      <c r="K3460" s="22" t="s">
        <v>12186</v>
      </c>
      <c r="L3460" s="56">
        <v>45097</v>
      </c>
      <c r="O3460" s="42"/>
      <c r="P3460" s="40"/>
      <c r="Q3460" s="61"/>
      <c r="R3460" s="61"/>
      <c r="S3460" s="40"/>
      <c r="T3460" s="38"/>
      <c r="U3460" s="38"/>
      <c r="V3460" s="38"/>
      <c r="W3460" s="60"/>
      <c r="AB3460" s="42"/>
      <c r="AC3460" s="35"/>
      <c r="AD3460" s="38"/>
      <c r="AE3460" s="38"/>
      <c r="AF3460" s="38"/>
      <c r="AG3460" s="38"/>
      <c r="AH3460" s="60"/>
    </row>
    <row r="3461" spans="1:34" ht="15.75" customHeight="1">
      <c r="A3461" s="35"/>
      <c r="B3461" s="38" t="s">
        <v>12187</v>
      </c>
      <c r="C3461" s="37" t="s">
        <v>46</v>
      </c>
      <c r="D3461" s="20" t="s">
        <v>12188</v>
      </c>
      <c r="E3461" s="20" t="s">
        <v>12189</v>
      </c>
      <c r="F3461" s="37" t="s">
        <v>49</v>
      </c>
      <c r="G3461" s="19" t="s">
        <v>50</v>
      </c>
      <c r="H3461" s="37"/>
      <c r="I3461" s="19" t="s">
        <v>29</v>
      </c>
      <c r="J3461" s="155" t="str">
        <f t="shared" si="0"/>
        <v>TT</v>
      </c>
      <c r="K3461" s="22" t="s">
        <v>12190</v>
      </c>
      <c r="L3461" s="56">
        <v>45097</v>
      </c>
      <c r="O3461" s="42"/>
      <c r="P3461" s="40"/>
      <c r="Q3461" s="61"/>
      <c r="R3461" s="61"/>
      <c r="S3461" s="40"/>
      <c r="T3461" s="38"/>
      <c r="U3461" s="38"/>
      <c r="V3461" s="38"/>
      <c r="W3461" s="60"/>
      <c r="AB3461" s="42"/>
      <c r="AC3461" s="35"/>
      <c r="AD3461" s="38"/>
      <c r="AE3461" s="38"/>
      <c r="AF3461" s="38"/>
      <c r="AG3461" s="38"/>
      <c r="AH3461" s="60"/>
    </row>
    <row r="3462" spans="1:34" ht="15.75" customHeight="1">
      <c r="A3462" s="35"/>
      <c r="B3462" s="38" t="s">
        <v>12191</v>
      </c>
      <c r="C3462" s="37" t="s">
        <v>46</v>
      </c>
      <c r="D3462" s="20" t="s">
        <v>12192</v>
      </c>
      <c r="E3462" s="20" t="s">
        <v>12193</v>
      </c>
      <c r="F3462" s="37" t="s">
        <v>49</v>
      </c>
      <c r="G3462" s="19" t="s">
        <v>50</v>
      </c>
      <c r="H3462" s="37"/>
      <c r="I3462" s="19" t="s">
        <v>29</v>
      </c>
      <c r="J3462" s="155" t="str">
        <f t="shared" si="0"/>
        <v>TT</v>
      </c>
      <c r="K3462" s="22" t="s">
        <v>12194</v>
      </c>
      <c r="L3462" s="56">
        <v>45097</v>
      </c>
      <c r="O3462" s="42"/>
      <c r="P3462" s="40"/>
      <c r="Q3462" s="61"/>
      <c r="R3462" s="61"/>
      <c r="S3462" s="40"/>
      <c r="T3462" s="38"/>
      <c r="U3462" s="38"/>
      <c r="V3462" s="38"/>
      <c r="W3462" s="60"/>
      <c r="AB3462" s="42"/>
      <c r="AC3462" s="35"/>
      <c r="AD3462" s="38"/>
      <c r="AE3462" s="38"/>
      <c r="AF3462" s="38"/>
      <c r="AG3462" s="38"/>
      <c r="AH3462" s="60"/>
    </row>
    <row r="3463" spans="1:34" ht="15.75" customHeight="1">
      <c r="A3463" s="35"/>
      <c r="B3463" s="38" t="s">
        <v>12195</v>
      </c>
      <c r="C3463" s="37" t="s">
        <v>24</v>
      </c>
      <c r="D3463" s="20" t="s">
        <v>12196</v>
      </c>
      <c r="E3463" s="20" t="s">
        <v>12197</v>
      </c>
      <c r="F3463" s="19" t="s">
        <v>27</v>
      </c>
      <c r="G3463" s="19" t="s">
        <v>28</v>
      </c>
      <c r="H3463" s="37"/>
      <c r="I3463" s="19" t="s">
        <v>29</v>
      </c>
      <c r="J3463" s="155" t="str">
        <f t="shared" si="0"/>
        <v>TT</v>
      </c>
      <c r="K3463" s="22" t="s">
        <v>12198</v>
      </c>
      <c r="L3463" s="56">
        <v>45097</v>
      </c>
      <c r="O3463" s="42"/>
      <c r="P3463" s="40"/>
      <c r="Q3463" s="61"/>
      <c r="R3463" s="61"/>
      <c r="S3463" s="40"/>
      <c r="T3463" s="38"/>
      <c r="U3463" s="38"/>
      <c r="V3463" s="38"/>
      <c r="W3463" s="60"/>
      <c r="AB3463" s="42"/>
      <c r="AC3463" s="35"/>
      <c r="AD3463" s="38"/>
      <c r="AE3463" s="38"/>
      <c r="AF3463" s="38"/>
      <c r="AG3463" s="38"/>
      <c r="AH3463" s="60"/>
    </row>
    <row r="3464" spans="1:34" ht="15.75" customHeight="1">
      <c r="A3464" s="35"/>
      <c r="B3464" s="38" t="s">
        <v>12199</v>
      </c>
      <c r="C3464" s="37" t="s">
        <v>87</v>
      </c>
      <c r="D3464" s="20" t="s">
        <v>12200</v>
      </c>
      <c r="E3464" s="20" t="s">
        <v>12201</v>
      </c>
      <c r="F3464" s="19" t="s">
        <v>90</v>
      </c>
      <c r="G3464" s="19" t="s">
        <v>91</v>
      </c>
      <c r="H3464" s="37"/>
      <c r="I3464" s="19" t="s">
        <v>29</v>
      </c>
      <c r="J3464" s="155" t="str">
        <f t="shared" si="0"/>
        <v>TT</v>
      </c>
      <c r="K3464" s="22" t="s">
        <v>12202</v>
      </c>
      <c r="L3464" s="56">
        <v>45097</v>
      </c>
      <c r="O3464" s="42"/>
      <c r="P3464" s="40"/>
      <c r="Q3464" s="61"/>
      <c r="R3464" s="61"/>
      <c r="S3464" s="40"/>
      <c r="T3464" s="38"/>
      <c r="U3464" s="38"/>
      <c r="V3464" s="38"/>
      <c r="W3464" s="60"/>
      <c r="AB3464" s="42"/>
      <c r="AC3464" s="35"/>
      <c r="AD3464" s="38"/>
      <c r="AE3464" s="38"/>
      <c r="AF3464" s="38"/>
      <c r="AG3464" s="38"/>
      <c r="AH3464" s="60"/>
    </row>
    <row r="3465" spans="1:34" ht="15.75" customHeight="1">
      <c r="A3465" s="35"/>
      <c r="B3465" s="38" t="s">
        <v>12203</v>
      </c>
      <c r="C3465" s="37" t="s">
        <v>24</v>
      </c>
      <c r="D3465" s="20" t="s">
        <v>12204</v>
      </c>
      <c r="E3465" s="20" t="s">
        <v>12205</v>
      </c>
      <c r="F3465" s="19" t="s">
        <v>27</v>
      </c>
      <c r="G3465" s="19" t="s">
        <v>28</v>
      </c>
      <c r="H3465" s="37"/>
      <c r="I3465" s="19" t="s">
        <v>29</v>
      </c>
      <c r="J3465" s="155" t="str">
        <f t="shared" si="0"/>
        <v>TT</v>
      </c>
      <c r="K3465" s="22" t="s">
        <v>12206</v>
      </c>
      <c r="L3465" s="56">
        <v>45097</v>
      </c>
      <c r="O3465" s="42"/>
      <c r="P3465" s="40"/>
      <c r="Q3465" s="61"/>
      <c r="R3465" s="61"/>
      <c r="S3465" s="40"/>
      <c r="T3465" s="38"/>
      <c r="U3465" s="38"/>
      <c r="V3465" s="38"/>
      <c r="W3465" s="60"/>
      <c r="AB3465" s="42"/>
      <c r="AC3465" s="35"/>
      <c r="AD3465" s="38"/>
      <c r="AE3465" s="38"/>
      <c r="AF3465" s="38"/>
      <c r="AG3465" s="38"/>
      <c r="AH3465" s="60"/>
    </row>
    <row r="3466" spans="1:34" ht="15.75" customHeight="1">
      <c r="A3466" s="35"/>
      <c r="B3466" s="38" t="s">
        <v>12207</v>
      </c>
      <c r="C3466" s="37" t="s">
        <v>46</v>
      </c>
      <c r="D3466" s="20" t="s">
        <v>12208</v>
      </c>
      <c r="E3466" s="20" t="s">
        <v>12209</v>
      </c>
      <c r="F3466" s="37" t="s">
        <v>49</v>
      </c>
      <c r="G3466" s="19" t="s">
        <v>50</v>
      </c>
      <c r="H3466" s="37"/>
      <c r="I3466" s="19" t="s">
        <v>29</v>
      </c>
      <c r="J3466" s="155" t="str">
        <f t="shared" si="0"/>
        <v>TT</v>
      </c>
      <c r="K3466" s="22" t="s">
        <v>12210</v>
      </c>
      <c r="L3466" s="56">
        <v>45097</v>
      </c>
      <c r="O3466" s="42"/>
      <c r="P3466" s="40"/>
      <c r="Q3466" s="61"/>
      <c r="R3466" s="61"/>
      <c r="S3466" s="40"/>
      <c r="T3466" s="38"/>
      <c r="U3466" s="38"/>
      <c r="V3466" s="38"/>
      <c r="W3466" s="60"/>
      <c r="AB3466" s="42"/>
      <c r="AC3466" s="35"/>
      <c r="AD3466" s="38"/>
      <c r="AE3466" s="38"/>
      <c r="AF3466" s="38"/>
      <c r="AG3466" s="38"/>
      <c r="AH3466" s="60"/>
    </row>
    <row r="3467" spans="1:34" ht="15.75" customHeight="1">
      <c r="A3467" s="35"/>
      <c r="B3467" s="38" t="s">
        <v>12211</v>
      </c>
      <c r="C3467" s="37" t="s">
        <v>87</v>
      </c>
      <c r="D3467" s="20" t="s">
        <v>12212</v>
      </c>
      <c r="E3467" s="20" t="s">
        <v>12213</v>
      </c>
      <c r="F3467" s="19" t="s">
        <v>90</v>
      </c>
      <c r="G3467" s="19" t="s">
        <v>91</v>
      </c>
      <c r="H3467" s="37"/>
      <c r="I3467" s="19" t="s">
        <v>29</v>
      </c>
      <c r="J3467" s="155" t="str">
        <f t="shared" si="0"/>
        <v>TT</v>
      </c>
      <c r="K3467" s="22" t="s">
        <v>12214</v>
      </c>
      <c r="L3467" s="56">
        <v>45097</v>
      </c>
      <c r="O3467" s="42"/>
      <c r="P3467" s="40"/>
      <c r="Q3467" s="61"/>
      <c r="R3467" s="61"/>
      <c r="S3467" s="40"/>
      <c r="T3467" s="38"/>
      <c r="U3467" s="38"/>
      <c r="V3467" s="38"/>
      <c r="W3467" s="60"/>
      <c r="AB3467" s="42"/>
      <c r="AC3467" s="35"/>
      <c r="AD3467" s="38"/>
      <c r="AE3467" s="38"/>
      <c r="AF3467" s="38"/>
      <c r="AG3467" s="38"/>
      <c r="AH3467" s="60"/>
    </row>
    <row r="3468" spans="1:34" ht="15.75" customHeight="1">
      <c r="A3468" s="35"/>
      <c r="B3468" s="38" t="s">
        <v>12215</v>
      </c>
      <c r="C3468" s="37" t="s">
        <v>1486</v>
      </c>
      <c r="D3468" s="20" t="s">
        <v>12216</v>
      </c>
      <c r="E3468" s="20" t="s">
        <v>12217</v>
      </c>
      <c r="F3468" s="37" t="s">
        <v>1489</v>
      </c>
      <c r="G3468" s="37" t="s">
        <v>1490</v>
      </c>
      <c r="H3468" s="37"/>
      <c r="I3468" s="21" t="s">
        <v>1371</v>
      </c>
      <c r="J3468" s="155" t="str">
        <f t="shared" si="0"/>
        <v>Other</v>
      </c>
      <c r="K3468" s="22" t="s">
        <v>12218</v>
      </c>
      <c r="L3468" s="56">
        <v>45097</v>
      </c>
      <c r="O3468" s="42"/>
      <c r="P3468" s="40"/>
      <c r="Q3468" s="61"/>
      <c r="R3468" s="61"/>
      <c r="S3468" s="40"/>
      <c r="T3468" s="38"/>
      <c r="U3468" s="38"/>
      <c r="V3468" s="38"/>
      <c r="W3468" s="60"/>
      <c r="AB3468" s="42"/>
      <c r="AC3468" s="35"/>
      <c r="AD3468" s="38"/>
      <c r="AE3468" s="38"/>
      <c r="AF3468" s="38"/>
      <c r="AG3468" s="38"/>
      <c r="AH3468" s="60"/>
    </row>
    <row r="3469" spans="1:34" ht="15.75" customHeight="1">
      <c r="A3469" s="35"/>
      <c r="B3469" s="38" t="s">
        <v>12219</v>
      </c>
      <c r="C3469" s="37" t="s">
        <v>46</v>
      </c>
      <c r="D3469" s="20" t="s">
        <v>12220</v>
      </c>
      <c r="E3469" s="20" t="s">
        <v>12221</v>
      </c>
      <c r="F3469" s="37" t="s">
        <v>49</v>
      </c>
      <c r="G3469" s="19" t="s">
        <v>50</v>
      </c>
      <c r="H3469" s="37"/>
      <c r="I3469" s="19" t="s">
        <v>29</v>
      </c>
      <c r="J3469" s="155" t="str">
        <f t="shared" si="0"/>
        <v>TT</v>
      </c>
      <c r="K3469" s="22" t="s">
        <v>12222</v>
      </c>
      <c r="L3469" s="56">
        <v>45097</v>
      </c>
      <c r="O3469" s="42"/>
      <c r="P3469" s="40"/>
      <c r="Q3469" s="61"/>
      <c r="R3469" s="61"/>
      <c r="S3469" s="40"/>
      <c r="T3469" s="38"/>
      <c r="U3469" s="38"/>
      <c r="V3469" s="38"/>
      <c r="W3469" s="60"/>
      <c r="AB3469" s="42"/>
      <c r="AC3469" s="35"/>
      <c r="AD3469" s="38"/>
      <c r="AE3469" s="38"/>
      <c r="AF3469" s="38"/>
      <c r="AG3469" s="38"/>
      <c r="AH3469" s="60"/>
    </row>
    <row r="3470" spans="1:34" ht="15.75" customHeight="1">
      <c r="A3470" s="35"/>
      <c r="B3470" s="38" t="s">
        <v>12223</v>
      </c>
      <c r="C3470" s="37" t="s">
        <v>87</v>
      </c>
      <c r="D3470" s="20" t="s">
        <v>12224</v>
      </c>
      <c r="E3470" s="20" t="s">
        <v>12225</v>
      </c>
      <c r="F3470" s="19" t="s">
        <v>90</v>
      </c>
      <c r="G3470" s="19" t="s">
        <v>91</v>
      </c>
      <c r="H3470" s="37"/>
      <c r="I3470" s="19" t="s">
        <v>29</v>
      </c>
      <c r="J3470" s="155" t="str">
        <f t="shared" si="0"/>
        <v>TT</v>
      </c>
      <c r="K3470" s="22" t="s">
        <v>12226</v>
      </c>
      <c r="L3470" s="56">
        <v>45097</v>
      </c>
      <c r="O3470" s="42"/>
      <c r="P3470" s="40"/>
      <c r="Q3470" s="61"/>
      <c r="R3470" s="61"/>
      <c r="S3470" s="40"/>
      <c r="T3470" s="38"/>
      <c r="U3470" s="38"/>
      <c r="V3470" s="38"/>
      <c r="W3470" s="60"/>
      <c r="AB3470" s="42"/>
      <c r="AC3470" s="35"/>
      <c r="AD3470" s="38"/>
      <c r="AE3470" s="38"/>
      <c r="AF3470" s="38"/>
      <c r="AG3470" s="38"/>
      <c r="AH3470" s="60"/>
    </row>
    <row r="3471" spans="1:34" ht="15.75" customHeight="1">
      <c r="A3471" s="35"/>
      <c r="B3471" s="38" t="s">
        <v>12227</v>
      </c>
      <c r="C3471" s="37" t="s">
        <v>87</v>
      </c>
      <c r="D3471" s="20" t="s">
        <v>12228</v>
      </c>
      <c r="E3471" s="20" t="s">
        <v>12229</v>
      </c>
      <c r="F3471" s="19" t="s">
        <v>90</v>
      </c>
      <c r="G3471" s="19" t="s">
        <v>91</v>
      </c>
      <c r="H3471" s="37"/>
      <c r="I3471" s="19" t="s">
        <v>29</v>
      </c>
      <c r="J3471" s="155" t="str">
        <f t="shared" si="0"/>
        <v>TT</v>
      </c>
      <c r="K3471" s="22" t="s">
        <v>12230</v>
      </c>
      <c r="L3471" s="56">
        <v>45097</v>
      </c>
      <c r="O3471" s="42"/>
      <c r="P3471" s="40"/>
      <c r="Q3471" s="61"/>
      <c r="R3471" s="61"/>
      <c r="S3471" s="40"/>
      <c r="T3471" s="38"/>
      <c r="U3471" s="38"/>
      <c r="V3471" s="38"/>
      <c r="W3471" s="60"/>
      <c r="AB3471" s="42"/>
      <c r="AC3471" s="35"/>
      <c r="AD3471" s="38"/>
      <c r="AE3471" s="38"/>
      <c r="AF3471" s="38"/>
      <c r="AG3471" s="38"/>
      <c r="AH3471" s="60"/>
    </row>
    <row r="3472" spans="1:34" ht="15.75" customHeight="1">
      <c r="A3472" s="35"/>
      <c r="B3472" s="38" t="s">
        <v>12231</v>
      </c>
      <c r="C3472" s="37" t="s">
        <v>24</v>
      </c>
      <c r="D3472" s="20" t="s">
        <v>12232</v>
      </c>
      <c r="E3472" s="20" t="s">
        <v>12233</v>
      </c>
      <c r="F3472" s="19" t="s">
        <v>27</v>
      </c>
      <c r="G3472" s="19" t="s">
        <v>28</v>
      </c>
      <c r="H3472" s="37"/>
      <c r="I3472" s="19" t="s">
        <v>29</v>
      </c>
      <c r="J3472" s="155" t="str">
        <f t="shared" si="0"/>
        <v>TT</v>
      </c>
      <c r="K3472" s="22" t="s">
        <v>12234</v>
      </c>
      <c r="L3472" s="56">
        <v>45097</v>
      </c>
      <c r="O3472" s="42"/>
      <c r="P3472" s="40"/>
      <c r="Q3472" s="61"/>
      <c r="R3472" s="61"/>
      <c r="S3472" s="40"/>
      <c r="T3472" s="38"/>
      <c r="U3472" s="38"/>
      <c r="V3472" s="38"/>
      <c r="W3472" s="60"/>
      <c r="AB3472" s="42"/>
      <c r="AC3472" s="35"/>
      <c r="AD3472" s="38"/>
      <c r="AE3472" s="38"/>
      <c r="AF3472" s="38"/>
      <c r="AG3472" s="38"/>
      <c r="AH3472" s="60"/>
    </row>
    <row r="3473" spans="1:34" ht="15.75" customHeight="1">
      <c r="A3473" s="35"/>
      <c r="B3473" s="38" t="s">
        <v>12235</v>
      </c>
      <c r="C3473" s="37" t="s">
        <v>46</v>
      </c>
      <c r="D3473" s="20" t="s">
        <v>12236</v>
      </c>
      <c r="E3473" s="20" t="s">
        <v>12237</v>
      </c>
      <c r="F3473" s="37" t="s">
        <v>49</v>
      </c>
      <c r="G3473" s="19" t="s">
        <v>50</v>
      </c>
      <c r="H3473" s="37"/>
      <c r="I3473" s="19" t="s">
        <v>29</v>
      </c>
      <c r="J3473" s="155" t="str">
        <f t="shared" si="0"/>
        <v>TT</v>
      </c>
      <c r="K3473" s="22" t="s">
        <v>12238</v>
      </c>
      <c r="L3473" s="56">
        <v>45097</v>
      </c>
      <c r="O3473" s="42"/>
      <c r="P3473" s="40"/>
      <c r="Q3473" s="61"/>
      <c r="R3473" s="61"/>
      <c r="S3473" s="40"/>
      <c r="T3473" s="38"/>
      <c r="U3473" s="38"/>
      <c r="V3473" s="38"/>
      <c r="W3473" s="60"/>
      <c r="AB3473" s="42"/>
      <c r="AC3473" s="35"/>
      <c r="AD3473" s="38"/>
      <c r="AE3473" s="38"/>
      <c r="AF3473" s="38"/>
      <c r="AG3473" s="38"/>
      <c r="AH3473" s="60"/>
    </row>
    <row r="3474" spans="1:34" ht="15.75" customHeight="1">
      <c r="A3474" s="35"/>
      <c r="B3474" s="38" t="s">
        <v>12239</v>
      </c>
      <c r="C3474" s="37" t="s">
        <v>87</v>
      </c>
      <c r="D3474" s="20" t="s">
        <v>12240</v>
      </c>
      <c r="E3474" s="20" t="s">
        <v>12241</v>
      </c>
      <c r="F3474" s="19" t="s">
        <v>90</v>
      </c>
      <c r="G3474" s="19" t="s">
        <v>91</v>
      </c>
      <c r="H3474" s="37"/>
      <c r="I3474" s="19" t="s">
        <v>29</v>
      </c>
      <c r="J3474" s="155" t="str">
        <f t="shared" si="0"/>
        <v>TT</v>
      </c>
      <c r="K3474" s="22" t="s">
        <v>12242</v>
      </c>
      <c r="L3474" s="56">
        <v>45097</v>
      </c>
      <c r="O3474" s="42"/>
      <c r="P3474" s="40"/>
      <c r="Q3474" s="61"/>
      <c r="R3474" s="61"/>
      <c r="S3474" s="40"/>
      <c r="T3474" s="38"/>
      <c r="U3474" s="38"/>
      <c r="V3474" s="38"/>
      <c r="W3474" s="60"/>
      <c r="AB3474" s="42"/>
      <c r="AC3474" s="35"/>
      <c r="AD3474" s="38"/>
      <c r="AE3474" s="38"/>
      <c r="AF3474" s="38"/>
      <c r="AG3474" s="38"/>
      <c r="AH3474" s="60"/>
    </row>
    <row r="3475" spans="1:34" ht="15.75" customHeight="1">
      <c r="A3475" s="35"/>
      <c r="B3475" s="38" t="s">
        <v>12243</v>
      </c>
      <c r="C3475" s="37" t="s">
        <v>46</v>
      </c>
      <c r="D3475" s="20" t="s">
        <v>12244</v>
      </c>
      <c r="E3475" s="20" t="s">
        <v>12245</v>
      </c>
      <c r="F3475" s="37" t="s">
        <v>49</v>
      </c>
      <c r="G3475" s="19" t="s">
        <v>50</v>
      </c>
      <c r="H3475" s="37"/>
      <c r="I3475" s="19" t="s">
        <v>29</v>
      </c>
      <c r="J3475" s="155" t="str">
        <f t="shared" si="0"/>
        <v>TT</v>
      </c>
      <c r="K3475" s="22" t="s">
        <v>12246</v>
      </c>
      <c r="L3475" s="56">
        <v>45097</v>
      </c>
      <c r="O3475" s="42"/>
      <c r="P3475" s="40"/>
      <c r="Q3475" s="61"/>
      <c r="R3475" s="61"/>
      <c r="S3475" s="40"/>
      <c r="T3475" s="38"/>
      <c r="U3475" s="38"/>
      <c r="V3475" s="38"/>
      <c r="W3475" s="60"/>
      <c r="AB3475" s="42"/>
      <c r="AC3475" s="35"/>
      <c r="AD3475" s="38"/>
      <c r="AE3475" s="38"/>
      <c r="AF3475" s="38"/>
      <c r="AG3475" s="38"/>
      <c r="AH3475" s="60"/>
    </row>
    <row r="3476" spans="1:34" ht="15.75" customHeight="1">
      <c r="A3476" s="35"/>
      <c r="B3476" s="38"/>
      <c r="C3476" s="37"/>
      <c r="D3476" s="20"/>
      <c r="E3476" s="20"/>
      <c r="F3476" s="37"/>
      <c r="G3476" s="37"/>
      <c r="H3476" s="37"/>
      <c r="I3476" s="19"/>
      <c r="J3476" s="155">
        <f t="shared" si="0"/>
        <v>0</v>
      </c>
      <c r="K3476" s="22"/>
      <c r="L3476" s="39"/>
      <c r="O3476" s="42"/>
      <c r="P3476" s="40"/>
      <c r="Q3476" s="61"/>
      <c r="R3476" s="61"/>
      <c r="S3476" s="40"/>
      <c r="T3476" s="38"/>
      <c r="U3476" s="38"/>
      <c r="V3476" s="38"/>
      <c r="W3476" s="60"/>
      <c r="AB3476" s="42"/>
      <c r="AC3476" s="35"/>
      <c r="AD3476" s="38"/>
      <c r="AE3476" s="38"/>
      <c r="AF3476" s="38"/>
      <c r="AG3476" s="38"/>
      <c r="AH3476" s="60"/>
    </row>
    <row r="3477" spans="1:34" ht="15.75" customHeight="1">
      <c r="A3477" s="38" t="s">
        <v>12247</v>
      </c>
      <c r="B3477" s="18" t="s">
        <v>12248</v>
      </c>
      <c r="C3477" s="37" t="s">
        <v>87</v>
      </c>
      <c r="D3477" s="20" t="s">
        <v>12249</v>
      </c>
      <c r="E3477" s="20" t="s">
        <v>12250</v>
      </c>
      <c r="F3477" s="19" t="s">
        <v>90</v>
      </c>
      <c r="G3477" s="19" t="s">
        <v>91</v>
      </c>
      <c r="H3477" s="37"/>
      <c r="I3477" s="19" t="s">
        <v>29</v>
      </c>
      <c r="J3477" s="155" t="str">
        <f t="shared" si="0"/>
        <v>TT</v>
      </c>
      <c r="K3477" s="22" t="s">
        <v>12251</v>
      </c>
      <c r="L3477" s="56">
        <v>45098</v>
      </c>
      <c r="M3477" s="40"/>
      <c r="O3477" s="42"/>
      <c r="P3477" s="40"/>
      <c r="Q3477" s="61"/>
      <c r="R3477" s="61"/>
      <c r="S3477" s="40"/>
      <c r="T3477" s="38"/>
      <c r="U3477" s="38"/>
      <c r="V3477" s="38"/>
      <c r="W3477" s="60"/>
      <c r="AB3477" s="42"/>
      <c r="AC3477" s="35"/>
      <c r="AD3477" s="38"/>
      <c r="AE3477" s="38"/>
      <c r="AF3477" s="38"/>
      <c r="AG3477" s="38"/>
      <c r="AH3477" s="60"/>
    </row>
    <row r="3478" spans="1:34" ht="15.75" customHeight="1">
      <c r="A3478" s="54" t="s">
        <v>12252</v>
      </c>
      <c r="B3478" s="18" t="s">
        <v>12253</v>
      </c>
      <c r="C3478" s="37" t="s">
        <v>24</v>
      </c>
      <c r="D3478" s="20" t="s">
        <v>12254</v>
      </c>
      <c r="E3478" s="20" t="s">
        <v>12255</v>
      </c>
      <c r="F3478" s="19" t="s">
        <v>27</v>
      </c>
      <c r="G3478" s="19" t="s">
        <v>28</v>
      </c>
      <c r="H3478" s="37"/>
      <c r="I3478" s="19" t="s">
        <v>29</v>
      </c>
      <c r="J3478" s="155" t="str">
        <f t="shared" si="0"/>
        <v>TT</v>
      </c>
      <c r="K3478" s="22" t="s">
        <v>12256</v>
      </c>
      <c r="L3478" s="56">
        <v>45098</v>
      </c>
      <c r="O3478" s="42"/>
      <c r="P3478" s="40"/>
      <c r="Q3478" s="61"/>
      <c r="R3478" s="61"/>
      <c r="S3478" s="40"/>
      <c r="T3478" s="38"/>
      <c r="U3478" s="38"/>
      <c r="V3478" s="38"/>
      <c r="W3478" s="60"/>
      <c r="AB3478" s="42"/>
      <c r="AC3478" s="35"/>
      <c r="AD3478" s="38"/>
      <c r="AE3478" s="38"/>
      <c r="AF3478" s="38"/>
      <c r="AG3478" s="38"/>
      <c r="AH3478" s="60"/>
    </row>
    <row r="3479" spans="1:34" ht="15.75" customHeight="1">
      <c r="A3479" s="114" t="s">
        <v>39</v>
      </c>
      <c r="B3479" s="18" t="s">
        <v>12257</v>
      </c>
      <c r="C3479" s="37" t="s">
        <v>87</v>
      </c>
      <c r="D3479" s="20" t="s">
        <v>12258</v>
      </c>
      <c r="E3479" s="20" t="s">
        <v>12259</v>
      </c>
      <c r="F3479" s="19" t="s">
        <v>90</v>
      </c>
      <c r="G3479" s="19" t="s">
        <v>91</v>
      </c>
      <c r="H3479" s="37"/>
      <c r="I3479" s="19" t="s">
        <v>29</v>
      </c>
      <c r="J3479" s="155" t="str">
        <f t="shared" si="0"/>
        <v>TT</v>
      </c>
      <c r="K3479" s="22" t="s">
        <v>12260</v>
      </c>
      <c r="L3479" s="56">
        <v>45098</v>
      </c>
      <c r="O3479" s="42"/>
      <c r="P3479" s="40"/>
      <c r="Q3479" s="61"/>
      <c r="R3479" s="61"/>
      <c r="S3479" s="40"/>
      <c r="T3479" s="38"/>
      <c r="U3479" s="38"/>
      <c r="V3479" s="38"/>
      <c r="W3479" s="60"/>
      <c r="AB3479" s="42"/>
      <c r="AC3479" s="35"/>
      <c r="AD3479" s="38"/>
      <c r="AE3479" s="38"/>
      <c r="AF3479" s="38"/>
      <c r="AG3479" s="38"/>
      <c r="AH3479" s="60"/>
    </row>
    <row r="3480" spans="1:34" ht="15.75" customHeight="1">
      <c r="A3480" s="38" t="s">
        <v>11546</v>
      </c>
      <c r="B3480" s="18" t="s">
        <v>12261</v>
      </c>
      <c r="C3480" s="37" t="s">
        <v>87</v>
      </c>
      <c r="D3480" s="20" t="s">
        <v>12262</v>
      </c>
      <c r="E3480" s="20" t="s">
        <v>12263</v>
      </c>
      <c r="F3480" s="19" t="s">
        <v>90</v>
      </c>
      <c r="G3480" s="19" t="s">
        <v>91</v>
      </c>
      <c r="H3480" s="37"/>
      <c r="I3480" s="19" t="s">
        <v>29</v>
      </c>
      <c r="J3480" s="155" t="str">
        <f t="shared" si="0"/>
        <v>TT</v>
      </c>
      <c r="K3480" s="22" t="s">
        <v>12264</v>
      </c>
      <c r="L3480" s="56">
        <v>45098</v>
      </c>
      <c r="O3480" s="42"/>
      <c r="P3480" s="40"/>
      <c r="Q3480" s="61"/>
      <c r="R3480" s="61"/>
      <c r="S3480" s="40"/>
      <c r="T3480" s="38"/>
      <c r="U3480" s="38"/>
      <c r="V3480" s="38"/>
      <c r="W3480" s="60"/>
      <c r="AB3480" s="42"/>
      <c r="AC3480" s="35"/>
      <c r="AD3480" s="38"/>
      <c r="AE3480" s="38"/>
      <c r="AF3480" s="38"/>
      <c r="AG3480" s="38"/>
      <c r="AH3480" s="60"/>
    </row>
    <row r="3481" spans="1:34" ht="15.75" customHeight="1">
      <c r="A3481" s="38" t="s">
        <v>10768</v>
      </c>
      <c r="B3481" s="18" t="s">
        <v>12265</v>
      </c>
      <c r="C3481" s="37" t="s">
        <v>24</v>
      </c>
      <c r="D3481" s="20" t="s">
        <v>12266</v>
      </c>
      <c r="E3481" s="20" t="s">
        <v>12267</v>
      </c>
      <c r="F3481" s="19" t="s">
        <v>27</v>
      </c>
      <c r="G3481" s="19" t="s">
        <v>28</v>
      </c>
      <c r="H3481" s="37"/>
      <c r="I3481" s="19" t="s">
        <v>29</v>
      </c>
      <c r="J3481" s="155" t="str">
        <f t="shared" si="0"/>
        <v>TT</v>
      </c>
      <c r="K3481" s="22" t="s">
        <v>12268</v>
      </c>
      <c r="L3481" s="56">
        <v>45098</v>
      </c>
      <c r="O3481" s="42"/>
      <c r="P3481" s="40"/>
      <c r="Q3481" s="61"/>
      <c r="R3481" s="61"/>
      <c r="S3481" s="40"/>
      <c r="T3481" s="38"/>
      <c r="U3481" s="38"/>
      <c r="V3481" s="38"/>
      <c r="W3481" s="60"/>
      <c r="AB3481" s="42"/>
      <c r="AC3481" s="35"/>
      <c r="AD3481" s="38"/>
      <c r="AE3481" s="38"/>
      <c r="AF3481" s="38"/>
      <c r="AG3481" s="38"/>
      <c r="AH3481" s="60"/>
    </row>
    <row r="3482" spans="1:34" ht="15.75" customHeight="1">
      <c r="A3482" s="111" t="s">
        <v>56</v>
      </c>
      <c r="B3482" s="18" t="s">
        <v>12269</v>
      </c>
      <c r="C3482" s="37" t="s">
        <v>87</v>
      </c>
      <c r="D3482" s="20" t="s">
        <v>12270</v>
      </c>
      <c r="E3482" s="20" t="s">
        <v>12271</v>
      </c>
      <c r="F3482" s="19" t="s">
        <v>90</v>
      </c>
      <c r="G3482" s="19" t="s">
        <v>91</v>
      </c>
      <c r="H3482" s="37"/>
      <c r="I3482" s="19" t="s">
        <v>29</v>
      </c>
      <c r="J3482" s="155" t="str">
        <f t="shared" si="0"/>
        <v>TT</v>
      </c>
      <c r="K3482" s="22" t="s">
        <v>12272</v>
      </c>
      <c r="L3482" s="56">
        <v>45098</v>
      </c>
      <c r="O3482" s="42"/>
      <c r="P3482" s="40"/>
      <c r="Q3482" s="61"/>
      <c r="R3482" s="61"/>
      <c r="S3482" s="40"/>
      <c r="T3482" s="38"/>
      <c r="U3482" s="38"/>
      <c r="V3482" s="38"/>
      <c r="W3482" s="60"/>
      <c r="AB3482" s="42"/>
      <c r="AC3482" s="35"/>
      <c r="AD3482" s="38"/>
      <c r="AE3482" s="38"/>
      <c r="AF3482" s="38"/>
      <c r="AG3482" s="38"/>
      <c r="AH3482" s="60"/>
    </row>
    <row r="3483" spans="1:34" ht="15.75" customHeight="1">
      <c r="A3483" s="75">
        <v>51</v>
      </c>
      <c r="B3483" s="18" t="s">
        <v>12273</v>
      </c>
      <c r="C3483" s="37" t="s">
        <v>46</v>
      </c>
      <c r="D3483" s="20" t="s">
        <v>12274</v>
      </c>
      <c r="E3483" s="20" t="s">
        <v>12275</v>
      </c>
      <c r="F3483" s="37" t="s">
        <v>49</v>
      </c>
      <c r="G3483" s="19" t="s">
        <v>50</v>
      </c>
      <c r="H3483" s="19" t="s">
        <v>36</v>
      </c>
      <c r="I3483" s="19" t="s">
        <v>29</v>
      </c>
      <c r="J3483" s="155" t="str">
        <f t="shared" si="0"/>
        <v>TT</v>
      </c>
      <c r="K3483" s="22" t="s">
        <v>12276</v>
      </c>
      <c r="L3483" s="56">
        <v>45098</v>
      </c>
      <c r="O3483" s="42"/>
      <c r="P3483" s="40"/>
      <c r="Q3483" s="61"/>
      <c r="R3483" s="61"/>
      <c r="S3483" s="40"/>
      <c r="T3483" s="38"/>
      <c r="U3483" s="38"/>
      <c r="V3483" s="38"/>
      <c r="W3483" s="60"/>
      <c r="AB3483" s="42"/>
      <c r="AC3483" s="35"/>
      <c r="AD3483" s="38"/>
      <c r="AE3483" s="38"/>
      <c r="AF3483" s="38"/>
      <c r="AG3483" s="38"/>
      <c r="AH3483" s="60"/>
    </row>
    <row r="3484" spans="1:34" ht="15.75" customHeight="1">
      <c r="A3484" s="111" t="s">
        <v>64</v>
      </c>
      <c r="B3484" s="18" t="s">
        <v>12277</v>
      </c>
      <c r="C3484" s="37" t="s">
        <v>24</v>
      </c>
      <c r="D3484" s="20" t="s">
        <v>12278</v>
      </c>
      <c r="E3484" s="20" t="s">
        <v>12279</v>
      </c>
      <c r="F3484" s="19" t="s">
        <v>27</v>
      </c>
      <c r="G3484" s="19" t="s">
        <v>28</v>
      </c>
      <c r="H3484" s="37"/>
      <c r="I3484" s="19" t="s">
        <v>29</v>
      </c>
      <c r="J3484" s="155" t="str">
        <f t="shared" si="0"/>
        <v>TT</v>
      </c>
      <c r="K3484" s="22" t="s">
        <v>12280</v>
      </c>
      <c r="L3484" s="56">
        <v>45098</v>
      </c>
      <c r="O3484" s="42"/>
      <c r="P3484" s="40"/>
      <c r="Q3484" s="61"/>
      <c r="R3484" s="61"/>
      <c r="S3484" s="40"/>
      <c r="T3484" s="38"/>
      <c r="U3484" s="38"/>
      <c r="V3484" s="38"/>
      <c r="W3484" s="60"/>
      <c r="AB3484" s="42"/>
      <c r="AC3484" s="35"/>
      <c r="AD3484" s="38"/>
      <c r="AE3484" s="38"/>
      <c r="AF3484" s="38"/>
      <c r="AG3484" s="38"/>
      <c r="AH3484" s="60"/>
    </row>
    <row r="3485" spans="1:34" ht="15.75" customHeight="1">
      <c r="A3485" s="75">
        <v>2.7</v>
      </c>
      <c r="B3485" s="18" t="s">
        <v>12281</v>
      </c>
      <c r="C3485" s="37" t="s">
        <v>87</v>
      </c>
      <c r="D3485" s="20" t="s">
        <v>12282</v>
      </c>
      <c r="E3485" s="20" t="s">
        <v>12283</v>
      </c>
      <c r="F3485" s="19" t="s">
        <v>90</v>
      </c>
      <c r="G3485" s="19" t="s">
        <v>91</v>
      </c>
      <c r="H3485" s="37"/>
      <c r="I3485" s="19" t="s">
        <v>29</v>
      </c>
      <c r="J3485" s="155" t="str">
        <f t="shared" si="0"/>
        <v>TT</v>
      </c>
      <c r="K3485" s="22" t="s">
        <v>12284</v>
      </c>
      <c r="L3485" s="56">
        <v>45098</v>
      </c>
      <c r="O3485" s="42"/>
      <c r="P3485" s="40"/>
      <c r="Q3485" s="61"/>
      <c r="R3485" s="61"/>
      <c r="S3485" s="40"/>
      <c r="T3485" s="38"/>
      <c r="U3485" s="38"/>
      <c r="V3485" s="38"/>
      <c r="W3485" s="60"/>
      <c r="AB3485" s="42"/>
      <c r="AC3485" s="35"/>
      <c r="AD3485" s="38"/>
      <c r="AE3485" s="38"/>
      <c r="AF3485" s="38"/>
      <c r="AG3485" s="38"/>
      <c r="AH3485" s="60"/>
    </row>
    <row r="3486" spans="1:34" ht="15.75" customHeight="1">
      <c r="A3486" s="111" t="s">
        <v>73</v>
      </c>
      <c r="B3486" s="18" t="s">
        <v>12285</v>
      </c>
      <c r="C3486" s="37" t="s">
        <v>24</v>
      </c>
      <c r="D3486" s="20" t="s">
        <v>12286</v>
      </c>
      <c r="E3486" s="20" t="s">
        <v>12287</v>
      </c>
      <c r="F3486" s="19" t="s">
        <v>27</v>
      </c>
      <c r="G3486" s="19" t="s">
        <v>28</v>
      </c>
      <c r="H3486" s="37"/>
      <c r="I3486" s="19" t="s">
        <v>29</v>
      </c>
      <c r="J3486" s="155" t="str">
        <f t="shared" si="0"/>
        <v>TT</v>
      </c>
      <c r="K3486" s="22" t="s">
        <v>12288</v>
      </c>
      <c r="L3486" s="56">
        <v>45098</v>
      </c>
      <c r="O3486" s="42"/>
      <c r="P3486" s="40"/>
      <c r="Q3486" s="61"/>
      <c r="R3486" s="61"/>
      <c r="S3486" s="40"/>
      <c r="T3486" s="38"/>
      <c r="U3486" s="38"/>
      <c r="V3486" s="38"/>
      <c r="W3486" s="60"/>
      <c r="AB3486" s="42"/>
      <c r="AC3486" s="35"/>
      <c r="AD3486" s="38"/>
      <c r="AE3486" s="38"/>
      <c r="AF3486" s="38"/>
      <c r="AG3486" s="38"/>
      <c r="AH3486" s="60"/>
    </row>
    <row r="3487" spans="1:34" ht="15.75" customHeight="1">
      <c r="A3487" s="75">
        <v>3.1</v>
      </c>
      <c r="B3487" s="18" t="s">
        <v>12289</v>
      </c>
      <c r="C3487" s="37" t="s">
        <v>412</v>
      </c>
      <c r="D3487" s="20" t="s">
        <v>12290</v>
      </c>
      <c r="E3487" s="20"/>
      <c r="F3487" s="19" t="s">
        <v>414</v>
      </c>
      <c r="G3487" s="37" t="s">
        <v>415</v>
      </c>
      <c r="H3487" s="37"/>
      <c r="I3487" s="19" t="s">
        <v>233</v>
      </c>
      <c r="J3487" s="155" t="str">
        <f t="shared" si="0"/>
        <v>NTT</v>
      </c>
      <c r="K3487" s="22"/>
      <c r="L3487" s="56">
        <v>45098</v>
      </c>
      <c r="O3487" s="42"/>
      <c r="P3487" s="40"/>
      <c r="Q3487" s="61"/>
      <c r="R3487" s="61"/>
      <c r="S3487" s="40"/>
      <c r="T3487" s="38"/>
      <c r="U3487" s="38"/>
      <c r="V3487" s="38"/>
      <c r="W3487" s="60"/>
      <c r="AB3487" s="42"/>
      <c r="AC3487" s="35"/>
      <c r="AD3487" s="38"/>
      <c r="AE3487" s="38"/>
      <c r="AF3487" s="38"/>
      <c r="AG3487" s="38"/>
      <c r="AH3487" s="60"/>
    </row>
    <row r="3488" spans="1:34" ht="15.75" customHeight="1">
      <c r="A3488" s="111" t="s">
        <v>82</v>
      </c>
      <c r="B3488" s="18" t="s">
        <v>12291</v>
      </c>
      <c r="C3488" s="37" t="s">
        <v>1366</v>
      </c>
      <c r="D3488" s="20" t="s">
        <v>12292</v>
      </c>
      <c r="E3488" s="20" t="s">
        <v>12293</v>
      </c>
      <c r="F3488" s="55" t="s">
        <v>1369</v>
      </c>
      <c r="G3488" s="55" t="s">
        <v>1370</v>
      </c>
      <c r="H3488" s="37"/>
      <c r="I3488" s="21" t="s">
        <v>1371</v>
      </c>
      <c r="J3488" s="155" t="str">
        <f t="shared" si="0"/>
        <v>Other</v>
      </c>
      <c r="K3488" s="22" t="s">
        <v>12294</v>
      </c>
      <c r="L3488" s="56">
        <v>45098</v>
      </c>
      <c r="O3488" s="42"/>
      <c r="P3488" s="40"/>
      <c r="Q3488" s="61"/>
      <c r="R3488" s="61"/>
      <c r="S3488" s="40"/>
      <c r="T3488" s="38"/>
      <c r="U3488" s="38"/>
      <c r="V3488" s="38"/>
      <c r="W3488" s="60"/>
      <c r="AB3488" s="42"/>
      <c r="AC3488" s="35"/>
      <c r="AD3488" s="38"/>
      <c r="AE3488" s="38"/>
      <c r="AF3488" s="38"/>
      <c r="AG3488" s="38"/>
      <c r="AH3488" s="60"/>
    </row>
    <row r="3489" spans="1:34" ht="15.75" customHeight="1">
      <c r="A3489" s="75" t="s">
        <v>12295</v>
      </c>
      <c r="B3489" s="18" t="s">
        <v>12296</v>
      </c>
      <c r="C3489" s="37" t="s">
        <v>24</v>
      </c>
      <c r="D3489" s="20" t="s">
        <v>12297</v>
      </c>
      <c r="E3489" s="20" t="s">
        <v>12298</v>
      </c>
      <c r="F3489" s="19" t="s">
        <v>27</v>
      </c>
      <c r="G3489" s="19" t="s">
        <v>28</v>
      </c>
      <c r="H3489" s="37"/>
      <c r="I3489" s="19" t="s">
        <v>29</v>
      </c>
      <c r="J3489" s="155" t="str">
        <f t="shared" si="0"/>
        <v>TT</v>
      </c>
      <c r="K3489" s="22" t="s">
        <v>12299</v>
      </c>
      <c r="L3489" s="56">
        <v>45098</v>
      </c>
      <c r="O3489" s="42"/>
      <c r="P3489" s="40"/>
      <c r="Q3489" s="61"/>
      <c r="R3489" s="61"/>
      <c r="S3489" s="40"/>
      <c r="T3489" s="38"/>
      <c r="U3489" s="38"/>
      <c r="V3489" s="38"/>
      <c r="W3489" s="60"/>
      <c r="AB3489" s="42"/>
      <c r="AC3489" s="35"/>
      <c r="AD3489" s="38"/>
      <c r="AE3489" s="38"/>
      <c r="AF3489" s="38"/>
      <c r="AG3489" s="38"/>
      <c r="AH3489" s="60"/>
    </row>
    <row r="3490" spans="1:34" ht="15.75" customHeight="1">
      <c r="A3490" s="111" t="s">
        <v>92</v>
      </c>
      <c r="B3490" s="18" t="s">
        <v>12300</v>
      </c>
      <c r="C3490" s="37" t="s">
        <v>87</v>
      </c>
      <c r="D3490" s="20" t="s">
        <v>12301</v>
      </c>
      <c r="E3490" s="20" t="s">
        <v>12302</v>
      </c>
      <c r="F3490" s="19" t="s">
        <v>90</v>
      </c>
      <c r="G3490" s="19" t="s">
        <v>91</v>
      </c>
      <c r="H3490" s="19" t="s">
        <v>36</v>
      </c>
      <c r="I3490" s="19" t="s">
        <v>29</v>
      </c>
      <c r="J3490" s="155" t="str">
        <f t="shared" si="0"/>
        <v>TT</v>
      </c>
      <c r="K3490" s="22" t="s">
        <v>12303</v>
      </c>
      <c r="L3490" s="56">
        <v>45098</v>
      </c>
      <c r="O3490" s="42"/>
      <c r="P3490" s="40"/>
      <c r="Q3490" s="61"/>
      <c r="R3490" s="61"/>
      <c r="S3490" s="40"/>
      <c r="T3490" s="38"/>
      <c r="U3490" s="38"/>
      <c r="V3490" s="38"/>
      <c r="W3490" s="60"/>
      <c r="AB3490" s="42"/>
      <c r="AC3490" s="35"/>
      <c r="AD3490" s="38"/>
      <c r="AE3490" s="38"/>
      <c r="AF3490" s="38"/>
      <c r="AG3490" s="38"/>
      <c r="AH3490" s="60"/>
    </row>
    <row r="3491" spans="1:34" ht="15.75" customHeight="1">
      <c r="A3491" s="112">
        <v>419</v>
      </c>
      <c r="B3491" s="18" t="s">
        <v>12304</v>
      </c>
      <c r="C3491" s="37" t="s">
        <v>46</v>
      </c>
      <c r="D3491" s="20" t="s">
        <v>12305</v>
      </c>
      <c r="E3491" s="20" t="s">
        <v>12306</v>
      </c>
      <c r="F3491" s="37" t="s">
        <v>49</v>
      </c>
      <c r="G3491" s="19" t="s">
        <v>50</v>
      </c>
      <c r="H3491" s="37"/>
      <c r="I3491" s="19" t="s">
        <v>29</v>
      </c>
      <c r="J3491" s="155" t="str">
        <f t="shared" si="0"/>
        <v>TT</v>
      </c>
      <c r="K3491" s="22" t="s">
        <v>12307</v>
      </c>
      <c r="L3491" s="56">
        <v>45098</v>
      </c>
      <c r="O3491" s="42"/>
      <c r="P3491" s="40"/>
      <c r="Q3491" s="61"/>
      <c r="R3491" s="61"/>
      <c r="S3491" s="40"/>
      <c r="T3491" s="38"/>
      <c r="U3491" s="38"/>
      <c r="V3491" s="38"/>
      <c r="W3491" s="60"/>
      <c r="AB3491" s="42"/>
      <c r="AC3491" s="35"/>
      <c r="AD3491" s="38"/>
      <c r="AE3491" s="38"/>
      <c r="AF3491" s="38"/>
      <c r="AG3491" s="38"/>
      <c r="AH3491" s="60"/>
    </row>
    <row r="3492" spans="1:34" ht="15.75" customHeight="1">
      <c r="A3492" s="111" t="s">
        <v>100</v>
      </c>
      <c r="B3492" s="18" t="s">
        <v>12308</v>
      </c>
      <c r="C3492" s="37" t="s">
        <v>46</v>
      </c>
      <c r="D3492" s="20" t="s">
        <v>12309</v>
      </c>
      <c r="E3492" s="20" t="s">
        <v>12310</v>
      </c>
      <c r="F3492" s="37" t="s">
        <v>49</v>
      </c>
      <c r="G3492" s="19" t="s">
        <v>50</v>
      </c>
      <c r="H3492" s="37"/>
      <c r="I3492" s="19" t="s">
        <v>29</v>
      </c>
      <c r="J3492" s="155" t="str">
        <f t="shared" si="0"/>
        <v>TT</v>
      </c>
      <c r="K3492" s="22" t="s">
        <v>12311</v>
      </c>
      <c r="L3492" s="56">
        <v>45098</v>
      </c>
      <c r="O3492" s="42"/>
      <c r="P3492" s="40"/>
      <c r="Q3492" s="61"/>
      <c r="R3492" s="61"/>
      <c r="S3492" s="40"/>
      <c r="T3492" s="38"/>
      <c r="U3492" s="38"/>
      <c r="V3492" s="38"/>
      <c r="W3492" s="60"/>
      <c r="AB3492" s="42"/>
      <c r="AC3492" s="35"/>
      <c r="AD3492" s="38"/>
      <c r="AE3492" s="38"/>
      <c r="AF3492" s="38"/>
      <c r="AG3492" s="38"/>
      <c r="AH3492" s="60"/>
    </row>
    <row r="3493" spans="1:34" ht="15.75" customHeight="1">
      <c r="A3493" s="75">
        <v>159</v>
      </c>
      <c r="B3493" s="18" t="s">
        <v>12312</v>
      </c>
      <c r="C3493" s="37" t="s">
        <v>46</v>
      </c>
      <c r="D3493" s="20" t="s">
        <v>12313</v>
      </c>
      <c r="E3493" s="20" t="s">
        <v>12314</v>
      </c>
      <c r="F3493" s="37" t="s">
        <v>49</v>
      </c>
      <c r="G3493" s="19" t="s">
        <v>50</v>
      </c>
      <c r="H3493" s="19" t="s">
        <v>36</v>
      </c>
      <c r="I3493" s="19" t="s">
        <v>29</v>
      </c>
      <c r="J3493" s="155" t="str">
        <f t="shared" si="0"/>
        <v>TT</v>
      </c>
      <c r="K3493" s="22" t="s">
        <v>12315</v>
      </c>
      <c r="L3493" s="56">
        <v>45098</v>
      </c>
      <c r="O3493" s="42"/>
      <c r="P3493" s="40"/>
      <c r="Q3493" s="61"/>
      <c r="R3493" s="61"/>
      <c r="S3493" s="40"/>
      <c r="T3493" s="38"/>
      <c r="U3493" s="38"/>
      <c r="V3493" s="38"/>
      <c r="W3493" s="60"/>
      <c r="AB3493" s="42"/>
      <c r="AC3493" s="35"/>
      <c r="AD3493" s="38"/>
      <c r="AE3493" s="38"/>
      <c r="AF3493" s="38"/>
      <c r="AG3493" s="38"/>
      <c r="AH3493" s="60"/>
    </row>
    <row r="3494" spans="1:34" ht="15.75" customHeight="1">
      <c r="A3494" s="35"/>
      <c r="B3494" s="18" t="s">
        <v>12316</v>
      </c>
      <c r="C3494" s="37" t="s">
        <v>87</v>
      </c>
      <c r="D3494" s="20" t="s">
        <v>12317</v>
      </c>
      <c r="E3494" s="20" t="s">
        <v>12318</v>
      </c>
      <c r="F3494" s="19" t="s">
        <v>90</v>
      </c>
      <c r="G3494" s="19" t="s">
        <v>91</v>
      </c>
      <c r="H3494" s="37"/>
      <c r="I3494" s="19" t="s">
        <v>29</v>
      </c>
      <c r="J3494" s="155" t="str">
        <f t="shared" si="0"/>
        <v>TT</v>
      </c>
      <c r="K3494" s="22" t="s">
        <v>12319</v>
      </c>
      <c r="L3494" s="56">
        <v>45098</v>
      </c>
      <c r="O3494" s="42"/>
      <c r="P3494" s="40"/>
      <c r="Q3494" s="61"/>
      <c r="R3494" s="61"/>
      <c r="S3494" s="40"/>
      <c r="T3494" s="38"/>
      <c r="U3494" s="38"/>
      <c r="V3494" s="38"/>
      <c r="W3494" s="60"/>
      <c r="AB3494" s="42"/>
      <c r="AC3494" s="35"/>
      <c r="AD3494" s="38"/>
      <c r="AE3494" s="38"/>
      <c r="AF3494" s="38"/>
      <c r="AG3494" s="38"/>
      <c r="AH3494" s="60"/>
    </row>
    <row r="3495" spans="1:34" ht="15.75" customHeight="1">
      <c r="A3495" s="156"/>
      <c r="B3495" s="18" t="s">
        <v>12320</v>
      </c>
      <c r="C3495" s="37" t="s">
        <v>24</v>
      </c>
      <c r="D3495" s="20" t="s">
        <v>12321</v>
      </c>
      <c r="E3495" s="20" t="s">
        <v>12322</v>
      </c>
      <c r="F3495" s="19" t="s">
        <v>27</v>
      </c>
      <c r="G3495" s="19" t="s">
        <v>28</v>
      </c>
      <c r="H3495" s="37"/>
      <c r="I3495" s="19" t="s">
        <v>29</v>
      </c>
      <c r="J3495" s="155" t="str">
        <f t="shared" si="0"/>
        <v>TT</v>
      </c>
      <c r="K3495" s="22" t="s">
        <v>12323</v>
      </c>
      <c r="L3495" s="56">
        <v>45098</v>
      </c>
      <c r="O3495" s="42"/>
      <c r="P3495" s="40"/>
      <c r="Q3495" s="61"/>
      <c r="R3495" s="61"/>
      <c r="S3495" s="40"/>
      <c r="T3495" s="38"/>
      <c r="U3495" s="38"/>
      <c r="V3495" s="38"/>
      <c r="W3495" s="60"/>
      <c r="AB3495" s="42"/>
      <c r="AC3495" s="35"/>
      <c r="AD3495" s="38"/>
      <c r="AE3495" s="38"/>
      <c r="AF3495" s="38"/>
      <c r="AG3495" s="38"/>
      <c r="AH3495" s="60"/>
    </row>
    <row r="3496" spans="1:34" ht="15.75" customHeight="1">
      <c r="A3496" s="157"/>
      <c r="B3496" s="18" t="s">
        <v>12324</v>
      </c>
      <c r="C3496" s="37" t="s">
        <v>24</v>
      </c>
      <c r="D3496" s="20" t="s">
        <v>12325</v>
      </c>
      <c r="E3496" s="20" t="s">
        <v>12326</v>
      </c>
      <c r="F3496" s="19" t="s">
        <v>27</v>
      </c>
      <c r="G3496" s="19" t="s">
        <v>28</v>
      </c>
      <c r="H3496" s="37"/>
      <c r="I3496" s="19" t="s">
        <v>29</v>
      </c>
      <c r="J3496" s="155" t="str">
        <f t="shared" si="0"/>
        <v>TT</v>
      </c>
      <c r="K3496" s="22" t="s">
        <v>12327</v>
      </c>
      <c r="L3496" s="56">
        <v>45098</v>
      </c>
      <c r="O3496" s="42"/>
      <c r="P3496" s="40"/>
      <c r="Q3496" s="61"/>
      <c r="R3496" s="61"/>
      <c r="S3496" s="40"/>
      <c r="T3496" s="38"/>
      <c r="U3496" s="38"/>
      <c r="V3496" s="38"/>
      <c r="W3496" s="60"/>
      <c r="AB3496" s="42"/>
      <c r="AC3496" s="35"/>
      <c r="AD3496" s="38"/>
      <c r="AE3496" s="38"/>
      <c r="AF3496" s="38"/>
      <c r="AG3496" s="38"/>
      <c r="AH3496" s="60"/>
    </row>
    <row r="3497" spans="1:34" ht="15.75" customHeight="1">
      <c r="A3497" s="35"/>
      <c r="B3497" s="18" t="s">
        <v>12328</v>
      </c>
      <c r="C3497" s="37" t="s">
        <v>87</v>
      </c>
      <c r="D3497" s="20" t="s">
        <v>12329</v>
      </c>
      <c r="E3497" s="20" t="s">
        <v>12330</v>
      </c>
      <c r="F3497" s="19" t="s">
        <v>90</v>
      </c>
      <c r="G3497" s="19" t="s">
        <v>91</v>
      </c>
      <c r="H3497" s="37"/>
      <c r="I3497" s="19" t="s">
        <v>29</v>
      </c>
      <c r="J3497" s="155" t="str">
        <f t="shared" si="0"/>
        <v>TT</v>
      </c>
      <c r="K3497" s="22" t="s">
        <v>12331</v>
      </c>
      <c r="L3497" s="56">
        <v>45098</v>
      </c>
      <c r="O3497" s="42"/>
      <c r="P3497" s="40"/>
      <c r="Q3497" s="61"/>
      <c r="R3497" s="61"/>
      <c r="S3497" s="40"/>
      <c r="T3497" s="38"/>
      <c r="U3497" s="38"/>
      <c r="V3497" s="38"/>
      <c r="W3497" s="60"/>
      <c r="AB3497" s="42"/>
      <c r="AC3497" s="35"/>
      <c r="AD3497" s="38"/>
      <c r="AE3497" s="38"/>
      <c r="AF3497" s="38"/>
      <c r="AG3497" s="38"/>
      <c r="AH3497" s="60"/>
    </row>
    <row r="3498" spans="1:34" ht="15.75" customHeight="1">
      <c r="A3498" s="35"/>
      <c r="B3498" s="18" t="s">
        <v>12332</v>
      </c>
      <c r="C3498" s="37" t="s">
        <v>46</v>
      </c>
      <c r="D3498" s="20" t="s">
        <v>12333</v>
      </c>
      <c r="E3498" s="20" t="s">
        <v>12334</v>
      </c>
      <c r="F3498" s="37" t="s">
        <v>49</v>
      </c>
      <c r="G3498" s="19" t="s">
        <v>50</v>
      </c>
      <c r="H3498" s="19" t="s">
        <v>36</v>
      </c>
      <c r="I3498" s="19" t="s">
        <v>29</v>
      </c>
      <c r="J3498" s="155" t="str">
        <f t="shared" si="0"/>
        <v>TT</v>
      </c>
      <c r="K3498" s="22" t="s">
        <v>12335</v>
      </c>
      <c r="L3498" s="56">
        <v>45098</v>
      </c>
      <c r="O3498" s="42"/>
      <c r="P3498" s="40"/>
      <c r="Q3498" s="61"/>
      <c r="R3498" s="61"/>
      <c r="S3498" s="40"/>
      <c r="T3498" s="38"/>
      <c r="U3498" s="38"/>
      <c r="V3498" s="38"/>
      <c r="W3498" s="60"/>
      <c r="AB3498" s="42"/>
      <c r="AC3498" s="35"/>
      <c r="AD3498" s="38"/>
      <c r="AE3498" s="38"/>
      <c r="AF3498" s="38"/>
      <c r="AG3498" s="38"/>
      <c r="AH3498" s="60"/>
    </row>
    <row r="3499" spans="1:34" ht="15.75" customHeight="1">
      <c r="A3499" s="35"/>
      <c r="B3499" s="18" t="s">
        <v>12336</v>
      </c>
      <c r="C3499" s="37" t="s">
        <v>24</v>
      </c>
      <c r="D3499" s="20" t="s">
        <v>12337</v>
      </c>
      <c r="E3499" s="20" t="s">
        <v>12338</v>
      </c>
      <c r="F3499" s="19" t="s">
        <v>27</v>
      </c>
      <c r="G3499" s="19" t="s">
        <v>28</v>
      </c>
      <c r="H3499" s="37"/>
      <c r="I3499" s="19" t="s">
        <v>29</v>
      </c>
      <c r="J3499" s="155" t="str">
        <f t="shared" si="0"/>
        <v>TT</v>
      </c>
      <c r="K3499" s="22" t="s">
        <v>12339</v>
      </c>
      <c r="L3499" s="56">
        <v>45098</v>
      </c>
      <c r="O3499" s="42"/>
      <c r="P3499" s="40"/>
      <c r="Q3499" s="61"/>
      <c r="R3499" s="61"/>
      <c r="S3499" s="40"/>
      <c r="T3499" s="38"/>
      <c r="U3499" s="38"/>
      <c r="V3499" s="38"/>
      <c r="W3499" s="60"/>
      <c r="AB3499" s="42"/>
      <c r="AC3499" s="35"/>
      <c r="AD3499" s="38"/>
      <c r="AE3499" s="38"/>
      <c r="AF3499" s="38"/>
      <c r="AG3499" s="38"/>
      <c r="AH3499" s="60"/>
    </row>
    <row r="3500" spans="1:34" ht="15.75" customHeight="1">
      <c r="A3500" s="35"/>
      <c r="B3500" s="18" t="s">
        <v>12340</v>
      </c>
      <c r="C3500" s="37" t="s">
        <v>24</v>
      </c>
      <c r="D3500" s="20" t="s">
        <v>12341</v>
      </c>
      <c r="E3500" s="20" t="s">
        <v>12342</v>
      </c>
      <c r="F3500" s="19" t="s">
        <v>27</v>
      </c>
      <c r="G3500" s="19" t="s">
        <v>28</v>
      </c>
      <c r="H3500" s="37"/>
      <c r="I3500" s="19" t="s">
        <v>29</v>
      </c>
      <c r="J3500" s="155" t="str">
        <f t="shared" si="0"/>
        <v>TT</v>
      </c>
      <c r="K3500" s="22" t="s">
        <v>12343</v>
      </c>
      <c r="L3500" s="56">
        <v>45098</v>
      </c>
      <c r="O3500" s="42"/>
      <c r="P3500" s="40"/>
      <c r="Q3500" s="61"/>
      <c r="R3500" s="61"/>
      <c r="S3500" s="40"/>
      <c r="T3500" s="38"/>
      <c r="U3500" s="38"/>
      <c r="V3500" s="38"/>
      <c r="W3500" s="60"/>
      <c r="AB3500" s="42"/>
      <c r="AC3500" s="35"/>
      <c r="AD3500" s="38"/>
      <c r="AE3500" s="38"/>
      <c r="AF3500" s="38"/>
      <c r="AG3500" s="38"/>
      <c r="AH3500" s="60"/>
    </row>
    <row r="3501" spans="1:34" ht="15.75" customHeight="1">
      <c r="A3501" s="35"/>
      <c r="B3501" s="18" t="s">
        <v>12344</v>
      </c>
      <c r="C3501" s="37" t="s">
        <v>87</v>
      </c>
      <c r="D3501" s="20" t="s">
        <v>12345</v>
      </c>
      <c r="E3501" s="20" t="s">
        <v>12346</v>
      </c>
      <c r="F3501" s="19" t="s">
        <v>90</v>
      </c>
      <c r="G3501" s="19" t="s">
        <v>91</v>
      </c>
      <c r="H3501" s="37"/>
      <c r="I3501" s="19" t="s">
        <v>29</v>
      </c>
      <c r="J3501" s="155" t="str">
        <f t="shared" si="0"/>
        <v>TT</v>
      </c>
      <c r="K3501" s="22" t="s">
        <v>12347</v>
      </c>
      <c r="L3501" s="56">
        <v>45098</v>
      </c>
      <c r="O3501" s="42"/>
      <c r="P3501" s="40"/>
      <c r="Q3501" s="61"/>
      <c r="R3501" s="61"/>
      <c r="S3501" s="40"/>
      <c r="T3501" s="38"/>
      <c r="U3501" s="38"/>
      <c r="V3501" s="38"/>
      <c r="W3501" s="60"/>
      <c r="AB3501" s="42"/>
      <c r="AC3501" s="35"/>
      <c r="AD3501" s="38"/>
      <c r="AE3501" s="38"/>
      <c r="AF3501" s="38"/>
      <c r="AG3501" s="38"/>
      <c r="AH3501" s="60"/>
    </row>
    <row r="3502" spans="1:34" ht="15.75" customHeight="1">
      <c r="A3502" s="35"/>
      <c r="B3502" s="18" t="s">
        <v>12348</v>
      </c>
      <c r="C3502" s="37" t="s">
        <v>24</v>
      </c>
      <c r="D3502" s="20" t="s">
        <v>12349</v>
      </c>
      <c r="E3502" s="20" t="s">
        <v>12350</v>
      </c>
      <c r="F3502" s="19" t="s">
        <v>27</v>
      </c>
      <c r="G3502" s="19" t="s">
        <v>28</v>
      </c>
      <c r="H3502" s="37"/>
      <c r="I3502" s="19" t="s">
        <v>29</v>
      </c>
      <c r="J3502" s="155" t="str">
        <f t="shared" si="0"/>
        <v>TT</v>
      </c>
      <c r="K3502" s="22" t="s">
        <v>12351</v>
      </c>
      <c r="L3502" s="56">
        <v>45098</v>
      </c>
      <c r="O3502" s="42"/>
      <c r="P3502" s="40"/>
      <c r="Q3502" s="61"/>
      <c r="R3502" s="61"/>
      <c r="S3502" s="40"/>
      <c r="T3502" s="38"/>
      <c r="U3502" s="38"/>
      <c r="V3502" s="38"/>
      <c r="W3502" s="60"/>
      <c r="AB3502" s="42"/>
      <c r="AC3502" s="35"/>
      <c r="AD3502" s="38"/>
      <c r="AE3502" s="38"/>
      <c r="AF3502" s="38"/>
      <c r="AG3502" s="38"/>
      <c r="AH3502" s="60"/>
    </row>
    <row r="3503" spans="1:34" ht="15.75" customHeight="1">
      <c r="A3503" s="35"/>
      <c r="B3503" s="18" t="s">
        <v>12352</v>
      </c>
      <c r="C3503" s="37" t="s">
        <v>87</v>
      </c>
      <c r="D3503" s="20" t="s">
        <v>12353</v>
      </c>
      <c r="E3503" s="20" t="s">
        <v>12354</v>
      </c>
      <c r="F3503" s="19" t="s">
        <v>90</v>
      </c>
      <c r="G3503" s="19" t="s">
        <v>91</v>
      </c>
      <c r="H3503" s="37"/>
      <c r="I3503" s="19" t="s">
        <v>29</v>
      </c>
      <c r="J3503" s="155" t="str">
        <f t="shared" si="0"/>
        <v>TT</v>
      </c>
      <c r="K3503" s="22" t="s">
        <v>12355</v>
      </c>
      <c r="L3503" s="56">
        <v>45098</v>
      </c>
      <c r="O3503" s="42"/>
      <c r="P3503" s="40"/>
      <c r="Q3503" s="61"/>
      <c r="R3503" s="61"/>
      <c r="S3503" s="40"/>
      <c r="T3503" s="38"/>
      <c r="U3503" s="38"/>
      <c r="V3503" s="38"/>
      <c r="W3503" s="60"/>
      <c r="AB3503" s="42"/>
      <c r="AC3503" s="35"/>
      <c r="AD3503" s="38"/>
      <c r="AE3503" s="38"/>
      <c r="AF3503" s="38"/>
      <c r="AG3503" s="38"/>
      <c r="AH3503" s="60"/>
    </row>
    <row r="3504" spans="1:34" ht="15.75" customHeight="1">
      <c r="A3504" s="35"/>
      <c r="B3504" s="18" t="s">
        <v>12356</v>
      </c>
      <c r="C3504" s="37" t="s">
        <v>24</v>
      </c>
      <c r="D3504" s="20" t="s">
        <v>12357</v>
      </c>
      <c r="E3504" s="20" t="s">
        <v>12358</v>
      </c>
      <c r="F3504" s="19" t="s">
        <v>27</v>
      </c>
      <c r="G3504" s="19" t="s">
        <v>28</v>
      </c>
      <c r="H3504" s="37"/>
      <c r="I3504" s="19" t="s">
        <v>29</v>
      </c>
      <c r="J3504" s="155" t="str">
        <f t="shared" si="0"/>
        <v>TT</v>
      </c>
      <c r="K3504" s="22" t="s">
        <v>12359</v>
      </c>
      <c r="L3504" s="56">
        <v>45098</v>
      </c>
      <c r="O3504" s="42"/>
      <c r="P3504" s="40"/>
      <c r="Q3504" s="61"/>
      <c r="R3504" s="61"/>
      <c r="S3504" s="40"/>
      <c r="T3504" s="38"/>
      <c r="U3504" s="38"/>
      <c r="V3504" s="38"/>
      <c r="W3504" s="60"/>
      <c r="AB3504" s="42"/>
      <c r="AC3504" s="35"/>
      <c r="AD3504" s="38"/>
      <c r="AE3504" s="38"/>
      <c r="AF3504" s="38"/>
      <c r="AG3504" s="38"/>
      <c r="AH3504" s="60"/>
    </row>
    <row r="3505" spans="1:34" ht="15.75" customHeight="1">
      <c r="A3505" s="35"/>
      <c r="B3505" s="18" t="s">
        <v>12360</v>
      </c>
      <c r="C3505" s="37" t="s">
        <v>87</v>
      </c>
      <c r="D3505" s="20" t="s">
        <v>12361</v>
      </c>
      <c r="E3505" s="20" t="s">
        <v>12362</v>
      </c>
      <c r="F3505" s="19" t="s">
        <v>90</v>
      </c>
      <c r="G3505" s="19" t="s">
        <v>91</v>
      </c>
      <c r="H3505" s="19" t="s">
        <v>36</v>
      </c>
      <c r="I3505" s="19" t="s">
        <v>29</v>
      </c>
      <c r="J3505" s="155" t="str">
        <f t="shared" si="0"/>
        <v>TT</v>
      </c>
      <c r="K3505" s="22" t="s">
        <v>12363</v>
      </c>
      <c r="L3505" s="56">
        <v>45098</v>
      </c>
      <c r="O3505" s="42"/>
      <c r="P3505" s="40"/>
      <c r="Q3505" s="61"/>
      <c r="R3505" s="61"/>
      <c r="S3505" s="40"/>
      <c r="T3505" s="38"/>
      <c r="U3505" s="38"/>
      <c r="V3505" s="38"/>
      <c r="W3505" s="60"/>
      <c r="AB3505" s="42"/>
      <c r="AC3505" s="35"/>
      <c r="AD3505" s="38"/>
      <c r="AE3505" s="38"/>
      <c r="AF3505" s="38"/>
      <c r="AG3505" s="38"/>
      <c r="AH3505" s="60"/>
    </row>
    <row r="3506" spans="1:34" ht="15.75" customHeight="1">
      <c r="A3506" s="35"/>
      <c r="B3506" s="18" t="s">
        <v>12364</v>
      </c>
      <c r="C3506" s="37" t="s">
        <v>24</v>
      </c>
      <c r="D3506" s="20" t="s">
        <v>12365</v>
      </c>
      <c r="E3506" s="20" t="s">
        <v>12366</v>
      </c>
      <c r="F3506" s="19" t="s">
        <v>27</v>
      </c>
      <c r="G3506" s="19" t="s">
        <v>28</v>
      </c>
      <c r="H3506" s="37"/>
      <c r="I3506" s="19" t="s">
        <v>29</v>
      </c>
      <c r="J3506" s="155" t="str">
        <f t="shared" si="0"/>
        <v>TT</v>
      </c>
      <c r="K3506" s="22" t="s">
        <v>12367</v>
      </c>
      <c r="L3506" s="56">
        <v>45098</v>
      </c>
      <c r="O3506" s="42"/>
      <c r="P3506" s="40"/>
      <c r="Q3506" s="61"/>
      <c r="R3506" s="61"/>
      <c r="S3506" s="40"/>
      <c r="T3506" s="38"/>
      <c r="U3506" s="38"/>
      <c r="V3506" s="38"/>
      <c r="W3506" s="60"/>
      <c r="AB3506" s="42"/>
      <c r="AC3506" s="35"/>
      <c r="AD3506" s="38"/>
      <c r="AE3506" s="38"/>
      <c r="AF3506" s="38"/>
      <c r="AG3506" s="38"/>
      <c r="AH3506" s="60"/>
    </row>
    <row r="3507" spans="1:34" ht="15.75" customHeight="1">
      <c r="A3507" s="35"/>
      <c r="B3507" s="18" t="s">
        <v>12368</v>
      </c>
      <c r="C3507" s="37" t="s">
        <v>46</v>
      </c>
      <c r="D3507" s="20" t="s">
        <v>12369</v>
      </c>
      <c r="E3507" s="20" t="s">
        <v>12370</v>
      </c>
      <c r="F3507" s="37" t="s">
        <v>49</v>
      </c>
      <c r="G3507" s="19" t="s">
        <v>50</v>
      </c>
      <c r="H3507" s="37"/>
      <c r="I3507" s="19" t="s">
        <v>29</v>
      </c>
      <c r="J3507" s="155" t="str">
        <f t="shared" si="0"/>
        <v>TT</v>
      </c>
      <c r="K3507" s="22" t="s">
        <v>12371</v>
      </c>
      <c r="L3507" s="56">
        <v>45098</v>
      </c>
      <c r="O3507" s="42"/>
      <c r="P3507" s="40"/>
      <c r="Q3507" s="61"/>
      <c r="R3507" s="61"/>
      <c r="S3507" s="40"/>
      <c r="T3507" s="38"/>
      <c r="U3507" s="38"/>
      <c r="V3507" s="38"/>
      <c r="W3507" s="60"/>
      <c r="AB3507" s="42"/>
      <c r="AC3507" s="35"/>
      <c r="AD3507" s="38"/>
      <c r="AE3507" s="38"/>
      <c r="AF3507" s="38"/>
      <c r="AG3507" s="38"/>
      <c r="AH3507" s="60"/>
    </row>
    <row r="3508" spans="1:34" ht="15.75" customHeight="1">
      <c r="A3508" s="35"/>
      <c r="B3508" s="18" t="s">
        <v>12372</v>
      </c>
      <c r="C3508" s="37" t="s">
        <v>87</v>
      </c>
      <c r="D3508" s="20" t="s">
        <v>12373</v>
      </c>
      <c r="E3508" s="20" t="s">
        <v>12374</v>
      </c>
      <c r="F3508" s="19" t="s">
        <v>90</v>
      </c>
      <c r="G3508" s="19" t="s">
        <v>91</v>
      </c>
      <c r="H3508" s="37"/>
      <c r="I3508" s="19" t="s">
        <v>29</v>
      </c>
      <c r="J3508" s="155" t="str">
        <f t="shared" si="0"/>
        <v>TT</v>
      </c>
      <c r="K3508" s="22" t="s">
        <v>12375</v>
      </c>
      <c r="L3508" s="56">
        <v>45098</v>
      </c>
      <c r="O3508" s="42"/>
      <c r="P3508" s="40"/>
      <c r="Q3508" s="61"/>
      <c r="R3508" s="61"/>
      <c r="S3508" s="40"/>
      <c r="T3508" s="38"/>
      <c r="U3508" s="38"/>
      <c r="V3508" s="38"/>
      <c r="W3508" s="60"/>
      <c r="AB3508" s="42"/>
      <c r="AC3508" s="35"/>
      <c r="AD3508" s="38"/>
      <c r="AE3508" s="38"/>
      <c r="AF3508" s="38"/>
      <c r="AG3508" s="38"/>
      <c r="AH3508" s="60"/>
    </row>
    <row r="3509" spans="1:34" ht="15.75" customHeight="1">
      <c r="A3509" s="35"/>
      <c r="B3509" s="18" t="s">
        <v>12376</v>
      </c>
      <c r="C3509" s="37" t="s">
        <v>24</v>
      </c>
      <c r="D3509" s="20" t="s">
        <v>12377</v>
      </c>
      <c r="E3509" s="20" t="s">
        <v>12378</v>
      </c>
      <c r="F3509" s="19" t="s">
        <v>27</v>
      </c>
      <c r="G3509" s="19" t="s">
        <v>28</v>
      </c>
      <c r="H3509" s="37"/>
      <c r="I3509" s="19" t="s">
        <v>29</v>
      </c>
      <c r="J3509" s="155" t="str">
        <f t="shared" si="0"/>
        <v>TT</v>
      </c>
      <c r="K3509" s="22" t="s">
        <v>12379</v>
      </c>
      <c r="L3509" s="56">
        <v>45098</v>
      </c>
      <c r="O3509" s="42"/>
      <c r="P3509" s="40"/>
      <c r="Q3509" s="61"/>
      <c r="R3509" s="61"/>
      <c r="S3509" s="40"/>
      <c r="T3509" s="38"/>
      <c r="U3509" s="38"/>
      <c r="V3509" s="38"/>
      <c r="W3509" s="60"/>
      <c r="AB3509" s="42"/>
      <c r="AC3509" s="35"/>
      <c r="AD3509" s="38"/>
      <c r="AE3509" s="38"/>
      <c r="AF3509" s="38"/>
      <c r="AG3509" s="38"/>
      <c r="AH3509" s="60"/>
    </row>
    <row r="3510" spans="1:34" ht="15.75" customHeight="1">
      <c r="A3510" s="35"/>
      <c r="B3510" s="18" t="s">
        <v>12380</v>
      </c>
      <c r="C3510" s="37" t="s">
        <v>87</v>
      </c>
      <c r="D3510" s="20" t="s">
        <v>12381</v>
      </c>
      <c r="E3510" s="20" t="s">
        <v>12382</v>
      </c>
      <c r="F3510" s="19" t="s">
        <v>90</v>
      </c>
      <c r="G3510" s="19" t="s">
        <v>91</v>
      </c>
      <c r="H3510" s="37"/>
      <c r="I3510" s="19" t="s">
        <v>29</v>
      </c>
      <c r="J3510" s="155" t="str">
        <f t="shared" si="0"/>
        <v>TT</v>
      </c>
      <c r="K3510" s="22" t="s">
        <v>12383</v>
      </c>
      <c r="L3510" s="56">
        <v>45098</v>
      </c>
      <c r="O3510" s="42"/>
      <c r="P3510" s="40"/>
      <c r="Q3510" s="61"/>
      <c r="R3510" s="61"/>
      <c r="S3510" s="40"/>
      <c r="T3510" s="38"/>
      <c r="U3510" s="38"/>
      <c r="V3510" s="38"/>
      <c r="W3510" s="60"/>
      <c r="AB3510" s="42"/>
      <c r="AC3510" s="35"/>
      <c r="AD3510" s="38"/>
      <c r="AE3510" s="38"/>
      <c r="AF3510" s="38"/>
      <c r="AG3510" s="38"/>
      <c r="AH3510" s="60"/>
    </row>
    <row r="3511" spans="1:34" ht="15.75" customHeight="1">
      <c r="A3511" s="35"/>
      <c r="B3511" s="18" t="s">
        <v>12384</v>
      </c>
      <c r="C3511" s="37" t="s">
        <v>46</v>
      </c>
      <c r="D3511" s="20" t="s">
        <v>12385</v>
      </c>
      <c r="E3511" s="20" t="s">
        <v>12386</v>
      </c>
      <c r="F3511" s="37" t="s">
        <v>49</v>
      </c>
      <c r="G3511" s="19" t="s">
        <v>50</v>
      </c>
      <c r="H3511" s="19" t="s">
        <v>36</v>
      </c>
      <c r="I3511" s="19" t="s">
        <v>29</v>
      </c>
      <c r="J3511" s="155" t="str">
        <f t="shared" si="0"/>
        <v>TT</v>
      </c>
      <c r="K3511" s="22" t="s">
        <v>12387</v>
      </c>
      <c r="L3511" s="56">
        <v>45098</v>
      </c>
      <c r="O3511" s="42"/>
      <c r="P3511" s="40"/>
      <c r="Q3511" s="61"/>
      <c r="R3511" s="61"/>
      <c r="S3511" s="40"/>
      <c r="T3511" s="38"/>
      <c r="U3511" s="38"/>
      <c r="V3511" s="38"/>
      <c r="W3511" s="60"/>
      <c r="AB3511" s="42"/>
      <c r="AC3511" s="35"/>
      <c r="AD3511" s="38"/>
      <c r="AE3511" s="38"/>
      <c r="AF3511" s="38"/>
      <c r="AG3511" s="38"/>
      <c r="AH3511" s="60"/>
    </row>
    <row r="3512" spans="1:34" ht="15.75" customHeight="1">
      <c r="A3512" s="35"/>
      <c r="B3512" s="18" t="s">
        <v>12388</v>
      </c>
      <c r="C3512" s="37" t="s">
        <v>412</v>
      </c>
      <c r="D3512" s="20" t="s">
        <v>12389</v>
      </c>
      <c r="E3512" s="20"/>
      <c r="F3512" s="19" t="s">
        <v>414</v>
      </c>
      <c r="G3512" s="19" t="s">
        <v>415</v>
      </c>
      <c r="H3512" s="37"/>
      <c r="I3512" s="21" t="s">
        <v>233</v>
      </c>
      <c r="J3512" s="155" t="str">
        <f t="shared" si="0"/>
        <v>NTT</v>
      </c>
      <c r="K3512" s="22"/>
      <c r="L3512" s="56">
        <v>45098</v>
      </c>
      <c r="O3512" s="42"/>
      <c r="P3512" s="40"/>
      <c r="Q3512" s="61"/>
      <c r="R3512" s="61"/>
      <c r="S3512" s="40"/>
      <c r="T3512" s="38"/>
      <c r="U3512" s="38"/>
      <c r="V3512" s="38"/>
      <c r="W3512" s="60"/>
      <c r="AB3512" s="42"/>
      <c r="AC3512" s="35"/>
      <c r="AD3512" s="38"/>
      <c r="AE3512" s="38"/>
      <c r="AF3512" s="38"/>
      <c r="AG3512" s="38"/>
      <c r="AH3512" s="60"/>
    </row>
    <row r="3513" spans="1:34" ht="15.75" customHeight="1">
      <c r="A3513" s="35"/>
      <c r="B3513" s="18" t="s">
        <v>12390</v>
      </c>
      <c r="C3513" s="37" t="s">
        <v>87</v>
      </c>
      <c r="D3513" s="20" t="s">
        <v>12391</v>
      </c>
      <c r="E3513" s="20" t="s">
        <v>12392</v>
      </c>
      <c r="F3513" s="19" t="s">
        <v>90</v>
      </c>
      <c r="G3513" s="19" t="s">
        <v>91</v>
      </c>
      <c r="H3513" s="37"/>
      <c r="I3513" s="21" t="s">
        <v>29</v>
      </c>
      <c r="J3513" s="155" t="str">
        <f t="shared" si="0"/>
        <v>TT</v>
      </c>
      <c r="K3513" s="22" t="s">
        <v>12393</v>
      </c>
      <c r="L3513" s="56">
        <v>45098</v>
      </c>
      <c r="O3513" s="42"/>
      <c r="P3513" s="40"/>
      <c r="Q3513" s="61"/>
      <c r="R3513" s="61"/>
      <c r="S3513" s="40"/>
      <c r="T3513" s="38"/>
      <c r="U3513" s="38"/>
      <c r="V3513" s="38"/>
      <c r="W3513" s="60"/>
      <c r="AB3513" s="42"/>
      <c r="AC3513" s="35"/>
      <c r="AD3513" s="38"/>
      <c r="AE3513" s="38"/>
      <c r="AF3513" s="38"/>
      <c r="AG3513" s="38"/>
      <c r="AH3513" s="60"/>
    </row>
    <row r="3514" spans="1:34" ht="15.75" customHeight="1">
      <c r="A3514" s="35"/>
      <c r="B3514" s="18" t="s">
        <v>12394</v>
      </c>
      <c r="C3514" s="37" t="s">
        <v>87</v>
      </c>
      <c r="D3514" s="20" t="s">
        <v>12395</v>
      </c>
      <c r="E3514" s="20" t="s">
        <v>12396</v>
      </c>
      <c r="F3514" s="19" t="s">
        <v>90</v>
      </c>
      <c r="G3514" s="19" t="s">
        <v>91</v>
      </c>
      <c r="H3514" s="37"/>
      <c r="I3514" s="21" t="s">
        <v>29</v>
      </c>
      <c r="J3514" s="155" t="str">
        <f t="shared" si="0"/>
        <v>TT</v>
      </c>
      <c r="K3514" s="22" t="s">
        <v>12397</v>
      </c>
      <c r="L3514" s="56">
        <v>45098</v>
      </c>
      <c r="O3514" s="42"/>
      <c r="P3514" s="40"/>
      <c r="Q3514" s="61"/>
      <c r="R3514" s="61"/>
      <c r="S3514" s="40"/>
      <c r="T3514" s="38"/>
      <c r="U3514" s="38"/>
      <c r="V3514" s="38"/>
      <c r="W3514" s="60"/>
      <c r="AB3514" s="42"/>
      <c r="AC3514" s="35"/>
      <c r="AD3514" s="38"/>
      <c r="AE3514" s="38"/>
      <c r="AF3514" s="38"/>
      <c r="AG3514" s="38"/>
      <c r="AH3514" s="60"/>
    </row>
    <row r="3515" spans="1:34" ht="15.75" customHeight="1">
      <c r="A3515" s="35"/>
      <c r="B3515" s="18" t="s">
        <v>12398</v>
      </c>
      <c r="C3515" s="37" t="s">
        <v>24</v>
      </c>
      <c r="D3515" s="20" t="s">
        <v>12399</v>
      </c>
      <c r="E3515" s="20" t="s">
        <v>12400</v>
      </c>
      <c r="F3515" s="19" t="s">
        <v>27</v>
      </c>
      <c r="G3515" s="19" t="s">
        <v>28</v>
      </c>
      <c r="H3515" s="37"/>
      <c r="I3515" s="21" t="s">
        <v>29</v>
      </c>
      <c r="J3515" s="155" t="str">
        <f t="shared" si="0"/>
        <v>TT</v>
      </c>
      <c r="K3515" s="22" t="s">
        <v>12401</v>
      </c>
      <c r="L3515" s="56">
        <v>45098</v>
      </c>
      <c r="O3515" s="42"/>
      <c r="P3515" s="40"/>
      <c r="Q3515" s="61"/>
      <c r="R3515" s="61"/>
      <c r="S3515" s="40"/>
      <c r="T3515" s="38"/>
      <c r="U3515" s="38"/>
      <c r="V3515" s="38"/>
      <c r="W3515" s="60"/>
      <c r="AB3515" s="42"/>
      <c r="AC3515" s="35"/>
      <c r="AD3515" s="38"/>
      <c r="AE3515" s="38"/>
      <c r="AF3515" s="38"/>
      <c r="AG3515" s="38"/>
      <c r="AH3515" s="60"/>
    </row>
    <row r="3516" spans="1:34" ht="15.75" customHeight="1">
      <c r="A3516" s="35"/>
      <c r="B3516" s="18" t="s">
        <v>12402</v>
      </c>
      <c r="C3516" s="37" t="s">
        <v>24</v>
      </c>
      <c r="D3516" s="20" t="s">
        <v>12403</v>
      </c>
      <c r="E3516" s="20" t="s">
        <v>12404</v>
      </c>
      <c r="F3516" s="19" t="s">
        <v>27</v>
      </c>
      <c r="G3516" s="19" t="s">
        <v>28</v>
      </c>
      <c r="H3516" s="37"/>
      <c r="I3516" s="21" t="s">
        <v>29</v>
      </c>
      <c r="J3516" s="155" t="str">
        <f t="shared" si="0"/>
        <v>TT</v>
      </c>
      <c r="K3516" s="22" t="s">
        <v>12405</v>
      </c>
      <c r="L3516" s="56">
        <v>45098</v>
      </c>
      <c r="O3516" s="42"/>
      <c r="P3516" s="40"/>
      <c r="Q3516" s="61"/>
      <c r="R3516" s="61"/>
      <c r="S3516" s="40"/>
      <c r="T3516" s="38"/>
      <c r="U3516" s="38"/>
      <c r="V3516" s="38"/>
      <c r="W3516" s="60"/>
      <c r="AB3516" s="42"/>
      <c r="AC3516" s="35"/>
      <c r="AD3516" s="38"/>
      <c r="AE3516" s="38"/>
      <c r="AF3516" s="38"/>
      <c r="AG3516" s="38"/>
      <c r="AH3516" s="60"/>
    </row>
    <row r="3517" spans="1:34" ht="15.75" customHeight="1">
      <c r="A3517" s="35"/>
      <c r="B3517" s="38" t="s">
        <v>12406</v>
      </c>
      <c r="C3517" s="37" t="s">
        <v>24</v>
      </c>
      <c r="D3517" s="20" t="s">
        <v>12407</v>
      </c>
      <c r="E3517" s="20"/>
      <c r="F3517" s="19" t="s">
        <v>27</v>
      </c>
      <c r="G3517" s="19" t="s">
        <v>28</v>
      </c>
      <c r="H3517" s="37"/>
      <c r="I3517" s="19" t="s">
        <v>29</v>
      </c>
      <c r="J3517" s="155" t="str">
        <f t="shared" si="0"/>
        <v>TT</v>
      </c>
      <c r="K3517" s="22"/>
      <c r="L3517" s="39"/>
      <c r="O3517" s="42"/>
      <c r="P3517" s="40"/>
      <c r="Q3517" s="61"/>
      <c r="R3517" s="61"/>
      <c r="S3517" s="40"/>
      <c r="T3517" s="38"/>
      <c r="U3517" s="38"/>
      <c r="V3517" s="38"/>
      <c r="W3517" s="60"/>
      <c r="AB3517" s="42"/>
      <c r="AC3517" s="35"/>
      <c r="AD3517" s="38"/>
      <c r="AE3517" s="38"/>
      <c r="AF3517" s="38"/>
      <c r="AG3517" s="38"/>
      <c r="AH3517" s="60"/>
    </row>
    <row r="3518" spans="1:34" ht="15.75" customHeight="1">
      <c r="A3518" s="38"/>
      <c r="B3518" s="158"/>
      <c r="C3518" s="37"/>
      <c r="D3518" s="20"/>
      <c r="E3518" s="20"/>
      <c r="F3518" s="37"/>
      <c r="G3518" s="37"/>
      <c r="H3518" s="37"/>
      <c r="I3518" s="19"/>
      <c r="J3518" s="155">
        <f t="shared" si="0"/>
        <v>0</v>
      </c>
      <c r="K3518" s="22"/>
      <c r="L3518" s="39"/>
      <c r="O3518" s="42"/>
      <c r="P3518" s="40"/>
      <c r="Q3518" s="61"/>
      <c r="R3518" s="61"/>
      <c r="S3518" s="40"/>
      <c r="T3518" s="38"/>
      <c r="U3518" s="38"/>
      <c r="V3518" s="38"/>
      <c r="W3518" s="60"/>
      <c r="AB3518" s="42"/>
      <c r="AC3518" s="35"/>
      <c r="AD3518" s="38"/>
      <c r="AE3518" s="38"/>
      <c r="AF3518" s="38"/>
      <c r="AG3518" s="38"/>
      <c r="AH3518" s="60"/>
    </row>
    <row r="3519" spans="1:34" ht="15.75" customHeight="1">
      <c r="A3519" s="18" t="s">
        <v>12408</v>
      </c>
      <c r="B3519" s="159" t="s">
        <v>12409</v>
      </c>
      <c r="C3519" s="37" t="s">
        <v>24</v>
      </c>
      <c r="D3519" s="20" t="s">
        <v>12410</v>
      </c>
      <c r="E3519" s="20"/>
      <c r="F3519" s="19" t="s">
        <v>27</v>
      </c>
      <c r="G3519" s="19" t="s">
        <v>28</v>
      </c>
      <c r="H3519" s="19" t="s">
        <v>36</v>
      </c>
      <c r="I3519" s="19" t="s">
        <v>29</v>
      </c>
      <c r="J3519" s="155" t="str">
        <f t="shared" si="0"/>
        <v>TT</v>
      </c>
      <c r="K3519" s="22"/>
      <c r="L3519" s="56">
        <v>45098</v>
      </c>
      <c r="M3519" s="40"/>
      <c r="O3519" s="42"/>
      <c r="P3519" s="40"/>
      <c r="Q3519" s="61"/>
      <c r="R3519" s="61"/>
      <c r="S3519" s="40"/>
      <c r="T3519" s="38"/>
      <c r="U3519" s="38"/>
      <c r="V3519" s="38"/>
      <c r="W3519" s="60"/>
      <c r="AB3519" s="42"/>
      <c r="AC3519" s="35"/>
      <c r="AD3519" s="38"/>
      <c r="AE3519" s="38"/>
      <c r="AF3519" s="38"/>
      <c r="AG3519" s="38"/>
      <c r="AH3519" s="60"/>
    </row>
    <row r="3520" spans="1:34" ht="15.75" customHeight="1">
      <c r="A3520" s="54" t="s">
        <v>12252</v>
      </c>
      <c r="B3520" s="158" t="s">
        <v>12411</v>
      </c>
      <c r="C3520" s="37" t="s">
        <v>1470</v>
      </c>
      <c r="D3520" s="20" t="s">
        <v>12412</v>
      </c>
      <c r="E3520" s="20" t="s">
        <v>12413</v>
      </c>
      <c r="F3520" s="19" t="s">
        <v>3286</v>
      </c>
      <c r="G3520" s="19" t="s">
        <v>1461</v>
      </c>
      <c r="H3520" s="37"/>
      <c r="I3520" s="19" t="s">
        <v>233</v>
      </c>
      <c r="J3520" s="155" t="str">
        <f t="shared" si="0"/>
        <v>NTT</v>
      </c>
      <c r="K3520" s="22" t="s">
        <v>12413</v>
      </c>
      <c r="L3520" s="56">
        <v>45098</v>
      </c>
      <c r="O3520" s="42"/>
      <c r="P3520" s="40"/>
      <c r="Q3520" s="61"/>
      <c r="R3520" s="61"/>
      <c r="S3520" s="40"/>
      <c r="T3520" s="38"/>
      <c r="U3520" s="38"/>
      <c r="V3520" s="38"/>
      <c r="W3520" s="60"/>
      <c r="AB3520" s="42"/>
      <c r="AC3520" s="35"/>
      <c r="AD3520" s="38"/>
      <c r="AE3520" s="38"/>
      <c r="AF3520" s="38"/>
      <c r="AG3520" s="38"/>
      <c r="AH3520" s="60"/>
    </row>
    <row r="3521" spans="1:34" ht="15.75" customHeight="1">
      <c r="A3521" s="114" t="s">
        <v>39</v>
      </c>
      <c r="B3521" s="158" t="s">
        <v>12414</v>
      </c>
      <c r="C3521" s="37" t="s">
        <v>1430</v>
      </c>
      <c r="D3521" s="20" t="s">
        <v>12415</v>
      </c>
      <c r="E3521" s="20" t="s">
        <v>12416</v>
      </c>
      <c r="F3521" s="37" t="s">
        <v>49</v>
      </c>
      <c r="G3521" s="19" t="s">
        <v>50</v>
      </c>
      <c r="H3521" s="37"/>
      <c r="I3521" s="19" t="s">
        <v>233</v>
      </c>
      <c r="J3521" s="155" t="str">
        <f t="shared" si="0"/>
        <v>NTT</v>
      </c>
      <c r="K3521" s="22" t="s">
        <v>12417</v>
      </c>
      <c r="L3521" s="56">
        <v>45098</v>
      </c>
      <c r="O3521" s="42"/>
      <c r="P3521" s="40"/>
      <c r="Q3521" s="61"/>
      <c r="R3521" s="61"/>
      <c r="S3521" s="40"/>
      <c r="T3521" s="38"/>
      <c r="U3521" s="38"/>
      <c r="V3521" s="38"/>
      <c r="W3521" s="60"/>
      <c r="AB3521" s="42"/>
      <c r="AC3521" s="35"/>
      <c r="AD3521" s="38"/>
      <c r="AE3521" s="38"/>
      <c r="AF3521" s="38"/>
      <c r="AG3521" s="38"/>
      <c r="AH3521" s="60"/>
    </row>
    <row r="3522" spans="1:34" ht="15.75" customHeight="1">
      <c r="A3522" s="38" t="s">
        <v>11546</v>
      </c>
      <c r="B3522" s="158" t="s">
        <v>12418</v>
      </c>
      <c r="C3522" s="37" t="s">
        <v>24</v>
      </c>
      <c r="D3522" s="20" t="s">
        <v>12419</v>
      </c>
      <c r="E3522" s="20" t="s">
        <v>12420</v>
      </c>
      <c r="F3522" s="19" t="s">
        <v>27</v>
      </c>
      <c r="G3522" s="19" t="s">
        <v>28</v>
      </c>
      <c r="H3522" s="37"/>
      <c r="I3522" s="19" t="s">
        <v>29</v>
      </c>
      <c r="J3522" s="155" t="str">
        <f t="shared" si="0"/>
        <v>TT</v>
      </c>
      <c r="K3522" s="22" t="s">
        <v>12421</v>
      </c>
      <c r="L3522" s="56">
        <v>45098</v>
      </c>
      <c r="O3522" s="42"/>
      <c r="P3522" s="40"/>
      <c r="Q3522" s="61"/>
      <c r="R3522" s="61"/>
      <c r="S3522" s="40"/>
      <c r="T3522" s="38"/>
      <c r="U3522" s="38"/>
      <c r="V3522" s="38"/>
      <c r="W3522" s="60"/>
      <c r="AB3522" s="42"/>
      <c r="AC3522" s="35"/>
      <c r="AD3522" s="38"/>
      <c r="AE3522" s="38"/>
      <c r="AF3522" s="38"/>
      <c r="AG3522" s="38"/>
      <c r="AH3522" s="60"/>
    </row>
    <row r="3523" spans="1:34" ht="15.75" customHeight="1">
      <c r="A3523" s="38" t="s">
        <v>10670</v>
      </c>
      <c r="B3523" s="38"/>
      <c r="C3523" s="37"/>
      <c r="D3523" s="20"/>
      <c r="E3523" s="20"/>
      <c r="F3523" s="37"/>
      <c r="G3523" s="37"/>
      <c r="H3523" s="37"/>
      <c r="I3523" s="19"/>
      <c r="J3523" s="155"/>
      <c r="K3523" s="22"/>
      <c r="L3523" s="56"/>
      <c r="O3523" s="42"/>
      <c r="P3523" s="40"/>
      <c r="Q3523" s="61"/>
      <c r="R3523" s="61"/>
      <c r="S3523" s="40"/>
      <c r="T3523" s="38"/>
      <c r="U3523" s="38"/>
      <c r="V3523" s="38"/>
      <c r="W3523" s="60"/>
      <c r="AB3523" s="42"/>
      <c r="AC3523" s="35"/>
      <c r="AD3523" s="38"/>
      <c r="AE3523" s="38"/>
      <c r="AF3523" s="38"/>
      <c r="AG3523" s="38"/>
      <c r="AH3523" s="60"/>
    </row>
    <row r="3524" spans="1:34" ht="15.75" customHeight="1">
      <c r="A3524" s="111" t="s">
        <v>56</v>
      </c>
      <c r="B3524" s="160" t="s">
        <v>12422</v>
      </c>
      <c r="C3524" s="37" t="s">
        <v>87</v>
      </c>
      <c r="D3524" s="20" t="s">
        <v>12423</v>
      </c>
      <c r="E3524" s="20" t="s">
        <v>12424</v>
      </c>
      <c r="F3524" s="37" t="s">
        <v>49</v>
      </c>
      <c r="G3524" s="19" t="s">
        <v>50</v>
      </c>
      <c r="H3524" s="37"/>
      <c r="I3524" s="19" t="s">
        <v>29</v>
      </c>
      <c r="J3524" s="155" t="str">
        <f t="shared" ref="J3524:J3778" si="1">IF(G3524="R","NA",I3524)</f>
        <v>TT</v>
      </c>
      <c r="K3524" s="22" t="s">
        <v>12425</v>
      </c>
      <c r="L3524" s="56">
        <v>45098</v>
      </c>
      <c r="O3524" s="42"/>
      <c r="P3524" s="40"/>
      <c r="Q3524" s="61"/>
      <c r="R3524" s="61"/>
      <c r="S3524" s="40"/>
      <c r="T3524" s="38"/>
      <c r="U3524" s="38"/>
      <c r="V3524" s="38"/>
      <c r="W3524" s="60"/>
      <c r="AB3524" s="42"/>
      <c r="AC3524" s="35"/>
      <c r="AD3524" s="38"/>
      <c r="AE3524" s="38"/>
      <c r="AF3524" s="38"/>
      <c r="AG3524" s="38"/>
      <c r="AH3524" s="60"/>
    </row>
    <row r="3525" spans="1:34" ht="15.75" customHeight="1">
      <c r="A3525" s="75">
        <v>49</v>
      </c>
      <c r="B3525" s="158" t="s">
        <v>12426</v>
      </c>
      <c r="C3525" s="37" t="s">
        <v>24</v>
      </c>
      <c r="D3525" s="20" t="s">
        <v>12427</v>
      </c>
      <c r="E3525" s="20" t="s">
        <v>12428</v>
      </c>
      <c r="F3525" s="19" t="s">
        <v>27</v>
      </c>
      <c r="G3525" s="19" t="s">
        <v>28</v>
      </c>
      <c r="H3525" s="37"/>
      <c r="I3525" s="19" t="s">
        <v>29</v>
      </c>
      <c r="J3525" s="155" t="str">
        <f t="shared" si="1"/>
        <v>TT</v>
      </c>
      <c r="K3525" s="22" t="s">
        <v>12429</v>
      </c>
      <c r="L3525" s="56">
        <v>45098</v>
      </c>
      <c r="O3525" s="42"/>
      <c r="P3525" s="40"/>
      <c r="Q3525" s="61"/>
      <c r="R3525" s="61"/>
      <c r="S3525" s="40"/>
      <c r="T3525" s="38"/>
      <c r="U3525" s="38"/>
      <c r="V3525" s="38"/>
      <c r="W3525" s="60"/>
      <c r="AB3525" s="42"/>
      <c r="AC3525" s="35"/>
      <c r="AD3525" s="38"/>
      <c r="AE3525" s="38"/>
      <c r="AF3525" s="38"/>
      <c r="AG3525" s="38"/>
      <c r="AH3525" s="60"/>
    </row>
    <row r="3526" spans="1:34" ht="15.75" customHeight="1">
      <c r="A3526" s="111" t="s">
        <v>64</v>
      </c>
      <c r="B3526" s="158" t="s">
        <v>12430</v>
      </c>
      <c r="C3526" s="37" t="s">
        <v>1430</v>
      </c>
      <c r="D3526" s="20" t="s">
        <v>12431</v>
      </c>
      <c r="E3526" s="20" t="s">
        <v>12432</v>
      </c>
      <c r="F3526" s="37" t="s">
        <v>49</v>
      </c>
      <c r="G3526" s="19" t="s">
        <v>50</v>
      </c>
      <c r="H3526" s="37"/>
      <c r="I3526" s="19" t="s">
        <v>233</v>
      </c>
      <c r="J3526" s="155" t="str">
        <f t="shared" si="1"/>
        <v>NTT</v>
      </c>
      <c r="K3526" s="22" t="s">
        <v>12433</v>
      </c>
      <c r="L3526" s="56">
        <v>45098</v>
      </c>
      <c r="O3526" s="42"/>
      <c r="P3526" s="40"/>
      <c r="Q3526" s="61"/>
      <c r="R3526" s="61"/>
      <c r="S3526" s="40"/>
      <c r="T3526" s="38"/>
      <c r="U3526" s="38"/>
      <c r="V3526" s="38"/>
      <c r="W3526" s="60"/>
      <c r="AB3526" s="42"/>
      <c r="AC3526" s="35"/>
      <c r="AD3526" s="38"/>
      <c r="AE3526" s="38"/>
      <c r="AF3526" s="38"/>
      <c r="AG3526" s="38"/>
      <c r="AH3526" s="60"/>
    </row>
    <row r="3527" spans="1:34" ht="15.75" customHeight="1">
      <c r="A3527" s="75">
        <v>2.7</v>
      </c>
      <c r="B3527" s="158" t="s">
        <v>12434</v>
      </c>
      <c r="C3527" s="37" t="s">
        <v>87</v>
      </c>
      <c r="D3527" s="20" t="s">
        <v>12435</v>
      </c>
      <c r="E3527" s="20" t="s">
        <v>12436</v>
      </c>
      <c r="F3527" s="19" t="s">
        <v>90</v>
      </c>
      <c r="G3527" s="19" t="s">
        <v>91</v>
      </c>
      <c r="H3527" s="37"/>
      <c r="I3527" s="19" t="s">
        <v>29</v>
      </c>
      <c r="J3527" s="155" t="str">
        <f t="shared" si="1"/>
        <v>TT</v>
      </c>
      <c r="K3527" s="22" t="s">
        <v>12437</v>
      </c>
      <c r="L3527" s="56">
        <v>45098</v>
      </c>
      <c r="O3527" s="42"/>
      <c r="P3527" s="40"/>
      <c r="Q3527" s="61"/>
      <c r="R3527" s="61"/>
      <c r="S3527" s="40"/>
      <c r="T3527" s="38"/>
      <c r="U3527" s="38"/>
      <c r="V3527" s="38"/>
      <c r="W3527" s="60"/>
      <c r="AB3527" s="42"/>
      <c r="AC3527" s="35"/>
      <c r="AD3527" s="38"/>
      <c r="AE3527" s="38"/>
      <c r="AF3527" s="38"/>
      <c r="AG3527" s="38"/>
      <c r="AH3527" s="60"/>
    </row>
    <row r="3528" spans="1:34" ht="15.75" customHeight="1">
      <c r="A3528" s="111" t="s">
        <v>73</v>
      </c>
      <c r="B3528" s="158" t="s">
        <v>12438</v>
      </c>
      <c r="C3528" s="37" t="s">
        <v>24</v>
      </c>
      <c r="D3528" s="20" t="s">
        <v>12439</v>
      </c>
      <c r="E3528" s="20" t="s">
        <v>12440</v>
      </c>
      <c r="F3528" s="19" t="s">
        <v>27</v>
      </c>
      <c r="G3528" s="19" t="s">
        <v>28</v>
      </c>
      <c r="H3528" s="37"/>
      <c r="I3528" s="19" t="s">
        <v>29</v>
      </c>
      <c r="J3528" s="155" t="str">
        <f t="shared" si="1"/>
        <v>TT</v>
      </c>
      <c r="K3528" s="22" t="s">
        <v>12441</v>
      </c>
      <c r="L3528" s="56">
        <v>45098</v>
      </c>
      <c r="O3528" s="42"/>
      <c r="P3528" s="40"/>
      <c r="Q3528" s="61"/>
      <c r="R3528" s="61"/>
      <c r="S3528" s="40"/>
      <c r="T3528" s="38"/>
      <c r="U3528" s="38"/>
      <c r="V3528" s="38"/>
      <c r="W3528" s="60"/>
      <c r="AB3528" s="42"/>
      <c r="AC3528" s="35"/>
      <c r="AD3528" s="38"/>
      <c r="AE3528" s="38"/>
      <c r="AF3528" s="38"/>
      <c r="AG3528" s="38"/>
      <c r="AH3528" s="60"/>
    </row>
    <row r="3529" spans="1:34" ht="15.75" customHeight="1">
      <c r="A3529" s="75">
        <v>3.5</v>
      </c>
      <c r="B3529" s="158" t="s">
        <v>12442</v>
      </c>
      <c r="C3529" s="37" t="s">
        <v>46</v>
      </c>
      <c r="D3529" s="20" t="s">
        <v>12443</v>
      </c>
      <c r="E3529" s="20" t="s">
        <v>12444</v>
      </c>
      <c r="F3529" s="37" t="s">
        <v>49</v>
      </c>
      <c r="G3529" s="19" t="s">
        <v>50</v>
      </c>
      <c r="H3529" s="37"/>
      <c r="I3529" s="19" t="s">
        <v>29</v>
      </c>
      <c r="J3529" s="155" t="str">
        <f t="shared" si="1"/>
        <v>TT</v>
      </c>
      <c r="K3529" s="22" t="s">
        <v>12445</v>
      </c>
      <c r="L3529" s="56">
        <v>45098</v>
      </c>
      <c r="O3529" s="42"/>
      <c r="P3529" s="40"/>
      <c r="Q3529" s="61"/>
      <c r="R3529" s="61"/>
      <c r="S3529" s="40"/>
      <c r="T3529" s="38"/>
      <c r="U3529" s="38"/>
      <c r="V3529" s="38"/>
      <c r="W3529" s="60"/>
      <c r="AB3529" s="42"/>
      <c r="AC3529" s="35"/>
      <c r="AD3529" s="38"/>
      <c r="AE3529" s="38"/>
      <c r="AF3529" s="38"/>
      <c r="AG3529" s="38"/>
      <c r="AH3529" s="60"/>
    </row>
    <row r="3530" spans="1:34" ht="15.75" customHeight="1">
      <c r="A3530" s="111" t="s">
        <v>82</v>
      </c>
      <c r="B3530" s="158" t="s">
        <v>12446</v>
      </c>
      <c r="C3530" s="37" t="s">
        <v>24</v>
      </c>
      <c r="D3530" s="20" t="s">
        <v>12447</v>
      </c>
      <c r="E3530" s="20"/>
      <c r="F3530" s="19" t="s">
        <v>27</v>
      </c>
      <c r="G3530" s="19" t="s">
        <v>28</v>
      </c>
      <c r="H3530" s="37"/>
      <c r="I3530" s="19" t="s">
        <v>29</v>
      </c>
      <c r="J3530" s="155" t="str">
        <f t="shared" si="1"/>
        <v>TT</v>
      </c>
      <c r="K3530" s="22"/>
      <c r="L3530" s="56">
        <v>45098</v>
      </c>
      <c r="O3530" s="42"/>
      <c r="P3530" s="40"/>
      <c r="Q3530" s="61"/>
      <c r="R3530" s="61"/>
      <c r="S3530" s="40"/>
      <c r="T3530" s="38"/>
      <c r="U3530" s="38"/>
      <c r="V3530" s="38"/>
      <c r="W3530" s="60"/>
      <c r="AB3530" s="42"/>
      <c r="AC3530" s="35"/>
      <c r="AD3530" s="38"/>
      <c r="AE3530" s="38"/>
      <c r="AF3530" s="38"/>
      <c r="AG3530" s="38"/>
      <c r="AH3530" s="60"/>
    </row>
    <row r="3531" spans="1:34" ht="15.75" customHeight="1">
      <c r="A3531" s="75" t="s">
        <v>12448</v>
      </c>
      <c r="B3531" s="158" t="s">
        <v>12449</v>
      </c>
      <c r="C3531" s="37" t="s">
        <v>24</v>
      </c>
      <c r="D3531" s="20" t="s">
        <v>12450</v>
      </c>
      <c r="E3531" s="20" t="s">
        <v>12451</v>
      </c>
      <c r="F3531" s="19" t="s">
        <v>27</v>
      </c>
      <c r="G3531" s="19" t="s">
        <v>28</v>
      </c>
      <c r="H3531" s="37"/>
      <c r="I3531" s="19" t="s">
        <v>29</v>
      </c>
      <c r="J3531" s="155" t="str">
        <f t="shared" si="1"/>
        <v>TT</v>
      </c>
      <c r="K3531" s="22" t="s">
        <v>12452</v>
      </c>
      <c r="L3531" s="56">
        <v>45098</v>
      </c>
      <c r="O3531" s="42"/>
      <c r="P3531" s="40"/>
      <c r="Q3531" s="61"/>
      <c r="R3531" s="61"/>
      <c r="S3531" s="40"/>
      <c r="T3531" s="38"/>
      <c r="U3531" s="38"/>
      <c r="V3531" s="38"/>
      <c r="W3531" s="60"/>
      <c r="AB3531" s="42"/>
      <c r="AC3531" s="35"/>
      <c r="AD3531" s="38"/>
      <c r="AE3531" s="38"/>
      <c r="AF3531" s="38"/>
      <c r="AG3531" s="38"/>
      <c r="AH3531" s="60"/>
    </row>
    <row r="3532" spans="1:34" ht="15.75" customHeight="1">
      <c r="A3532" s="111" t="s">
        <v>92</v>
      </c>
      <c r="B3532" s="158" t="s">
        <v>12453</v>
      </c>
      <c r="C3532" s="37" t="s">
        <v>24</v>
      </c>
      <c r="D3532" s="20" t="s">
        <v>12454</v>
      </c>
      <c r="E3532" s="20" t="s">
        <v>12455</v>
      </c>
      <c r="F3532" s="19" t="s">
        <v>27</v>
      </c>
      <c r="G3532" s="19" t="s">
        <v>28</v>
      </c>
      <c r="H3532" s="37"/>
      <c r="I3532" s="19" t="s">
        <v>29</v>
      </c>
      <c r="J3532" s="155" t="str">
        <f t="shared" si="1"/>
        <v>TT</v>
      </c>
      <c r="K3532" s="22" t="s">
        <v>12456</v>
      </c>
      <c r="L3532" s="56">
        <v>45098</v>
      </c>
      <c r="O3532" s="42"/>
      <c r="P3532" s="40"/>
      <c r="Q3532" s="61"/>
      <c r="R3532" s="61"/>
      <c r="S3532" s="40"/>
      <c r="T3532" s="38"/>
      <c r="U3532" s="38"/>
      <c r="V3532" s="38"/>
      <c r="W3532" s="60"/>
      <c r="AB3532" s="42"/>
      <c r="AC3532" s="35"/>
      <c r="AD3532" s="38"/>
      <c r="AE3532" s="38"/>
      <c r="AF3532" s="38"/>
      <c r="AG3532" s="38"/>
      <c r="AH3532" s="60"/>
    </row>
    <row r="3533" spans="1:34" ht="15.75" customHeight="1">
      <c r="A3533" s="112">
        <v>576</v>
      </c>
      <c r="B3533" s="158" t="s">
        <v>12457</v>
      </c>
      <c r="C3533" s="37" t="s">
        <v>1470</v>
      </c>
      <c r="D3533" s="20" t="s">
        <v>12458</v>
      </c>
      <c r="E3533" s="20" t="s">
        <v>12459</v>
      </c>
      <c r="F3533" s="19" t="s">
        <v>3286</v>
      </c>
      <c r="G3533" s="37" t="s">
        <v>1461</v>
      </c>
      <c r="H3533" s="37"/>
      <c r="I3533" s="19" t="s">
        <v>233</v>
      </c>
      <c r="J3533" s="155" t="str">
        <f t="shared" si="1"/>
        <v>NTT</v>
      </c>
      <c r="K3533" s="22" t="s">
        <v>12460</v>
      </c>
      <c r="L3533" s="56">
        <v>45098</v>
      </c>
      <c r="O3533" s="42"/>
      <c r="P3533" s="40"/>
      <c r="Q3533" s="61"/>
      <c r="R3533" s="61"/>
      <c r="S3533" s="40"/>
      <c r="T3533" s="38"/>
      <c r="U3533" s="38"/>
      <c r="V3533" s="38"/>
      <c r="W3533" s="60"/>
      <c r="AB3533" s="42"/>
      <c r="AC3533" s="35"/>
      <c r="AD3533" s="38"/>
      <c r="AE3533" s="38"/>
      <c r="AF3533" s="38"/>
      <c r="AG3533" s="38"/>
      <c r="AH3533" s="60"/>
    </row>
    <row r="3534" spans="1:34" ht="15.75" customHeight="1">
      <c r="A3534" s="111" t="s">
        <v>100</v>
      </c>
      <c r="B3534" s="158" t="s">
        <v>12461</v>
      </c>
      <c r="C3534" s="37" t="s">
        <v>24</v>
      </c>
      <c r="D3534" s="20" t="s">
        <v>12462</v>
      </c>
      <c r="E3534" s="20" t="s">
        <v>12463</v>
      </c>
      <c r="F3534" s="19" t="s">
        <v>27</v>
      </c>
      <c r="G3534" s="19" t="s">
        <v>28</v>
      </c>
      <c r="H3534" s="37"/>
      <c r="I3534" s="19" t="s">
        <v>29</v>
      </c>
      <c r="J3534" s="155" t="str">
        <f t="shared" si="1"/>
        <v>TT</v>
      </c>
      <c r="K3534" s="22" t="s">
        <v>12464</v>
      </c>
      <c r="L3534" s="56">
        <v>45098</v>
      </c>
      <c r="O3534" s="42"/>
      <c r="P3534" s="40"/>
      <c r="Q3534" s="61"/>
      <c r="R3534" s="61"/>
      <c r="S3534" s="40"/>
      <c r="T3534" s="38"/>
      <c r="U3534" s="38"/>
      <c r="V3534" s="38"/>
      <c r="W3534" s="60"/>
      <c r="AB3534" s="42"/>
      <c r="AC3534" s="35"/>
      <c r="AD3534" s="38"/>
      <c r="AE3534" s="38"/>
      <c r="AF3534" s="38"/>
      <c r="AG3534" s="38"/>
      <c r="AH3534" s="60"/>
    </row>
    <row r="3535" spans="1:34" ht="15.75" customHeight="1">
      <c r="A3535" s="75">
        <v>164</v>
      </c>
      <c r="B3535" s="158" t="s">
        <v>12465</v>
      </c>
      <c r="C3535" s="37" t="s">
        <v>87</v>
      </c>
      <c r="D3535" s="20" t="s">
        <v>12466</v>
      </c>
      <c r="E3535" s="20" t="s">
        <v>12467</v>
      </c>
      <c r="F3535" s="19" t="s">
        <v>90</v>
      </c>
      <c r="G3535" s="19" t="s">
        <v>91</v>
      </c>
      <c r="H3535" s="37"/>
      <c r="I3535" s="19" t="s">
        <v>29</v>
      </c>
      <c r="J3535" s="155" t="str">
        <f t="shared" si="1"/>
        <v>TT</v>
      </c>
      <c r="K3535" s="22" t="s">
        <v>12468</v>
      </c>
      <c r="L3535" s="56">
        <v>45098</v>
      </c>
      <c r="O3535" s="42"/>
      <c r="P3535" s="40"/>
      <c r="Q3535" s="61"/>
      <c r="R3535" s="61"/>
      <c r="S3535" s="40"/>
      <c r="T3535" s="38"/>
      <c r="U3535" s="38"/>
      <c r="V3535" s="38"/>
      <c r="W3535" s="60"/>
      <c r="AB3535" s="42"/>
      <c r="AC3535" s="35"/>
      <c r="AD3535" s="38"/>
      <c r="AE3535" s="38"/>
      <c r="AF3535" s="38"/>
      <c r="AG3535" s="38"/>
      <c r="AH3535" s="60"/>
    </row>
    <row r="3536" spans="1:34" ht="15.75" customHeight="1">
      <c r="A3536" s="35"/>
      <c r="B3536" s="158" t="s">
        <v>12469</v>
      </c>
      <c r="C3536" s="37" t="s">
        <v>24</v>
      </c>
      <c r="D3536" s="20" t="s">
        <v>12470</v>
      </c>
      <c r="E3536" s="20" t="s">
        <v>12471</v>
      </c>
      <c r="F3536" s="19" t="s">
        <v>27</v>
      </c>
      <c r="G3536" s="19" t="s">
        <v>28</v>
      </c>
      <c r="H3536" s="37"/>
      <c r="I3536" s="19" t="s">
        <v>29</v>
      </c>
      <c r="J3536" s="155" t="str">
        <f t="shared" si="1"/>
        <v>TT</v>
      </c>
      <c r="K3536" s="22" t="s">
        <v>12472</v>
      </c>
      <c r="L3536" s="56">
        <v>45098</v>
      </c>
      <c r="O3536" s="42"/>
      <c r="P3536" s="40"/>
      <c r="Q3536" s="61"/>
      <c r="R3536" s="61"/>
      <c r="S3536" s="40"/>
      <c r="T3536" s="38"/>
      <c r="U3536" s="38"/>
      <c r="V3536" s="38"/>
      <c r="W3536" s="60"/>
      <c r="AB3536" s="42"/>
      <c r="AC3536" s="35"/>
      <c r="AD3536" s="38"/>
      <c r="AE3536" s="38"/>
      <c r="AF3536" s="38"/>
      <c r="AG3536" s="38"/>
      <c r="AH3536" s="60"/>
    </row>
    <row r="3537" spans="1:34" ht="15.75" customHeight="1">
      <c r="A3537" s="161"/>
      <c r="B3537" s="158" t="s">
        <v>12473</v>
      </c>
      <c r="C3537" s="37" t="s">
        <v>87</v>
      </c>
      <c r="D3537" s="20" t="s">
        <v>12474</v>
      </c>
      <c r="E3537" s="20" t="s">
        <v>12475</v>
      </c>
      <c r="F3537" s="19" t="s">
        <v>90</v>
      </c>
      <c r="G3537" s="19" t="s">
        <v>91</v>
      </c>
      <c r="H3537" s="37"/>
      <c r="I3537" s="19" t="s">
        <v>29</v>
      </c>
      <c r="J3537" s="155" t="str">
        <f t="shared" si="1"/>
        <v>TT</v>
      </c>
      <c r="K3537" s="22" t="s">
        <v>12476</v>
      </c>
      <c r="L3537" s="56">
        <v>45098</v>
      </c>
      <c r="O3537" s="42"/>
      <c r="P3537" s="40"/>
      <c r="Q3537" s="61"/>
      <c r="R3537" s="61"/>
      <c r="S3537" s="40"/>
      <c r="T3537" s="38"/>
      <c r="U3537" s="38"/>
      <c r="V3537" s="38"/>
      <c r="W3537" s="60"/>
      <c r="AB3537" s="42"/>
      <c r="AC3537" s="35"/>
      <c r="AD3537" s="38"/>
      <c r="AE3537" s="38"/>
      <c r="AF3537" s="38"/>
      <c r="AG3537" s="38"/>
      <c r="AH3537" s="60"/>
    </row>
    <row r="3538" spans="1:34" ht="15.75" customHeight="1">
      <c r="A3538" s="162"/>
      <c r="B3538" s="158" t="s">
        <v>12477</v>
      </c>
      <c r="C3538" s="19" t="s">
        <v>24</v>
      </c>
      <c r="D3538" s="20" t="s">
        <v>12478</v>
      </c>
      <c r="E3538" s="20" t="s">
        <v>12479</v>
      </c>
      <c r="F3538" s="19" t="s">
        <v>27</v>
      </c>
      <c r="G3538" s="19" t="s">
        <v>28</v>
      </c>
      <c r="H3538" s="19" t="s">
        <v>36</v>
      </c>
      <c r="I3538" s="19" t="s">
        <v>29</v>
      </c>
      <c r="J3538" s="155" t="str">
        <f t="shared" si="1"/>
        <v>TT</v>
      </c>
      <c r="K3538" s="22" t="s">
        <v>12480</v>
      </c>
      <c r="L3538" s="56">
        <v>45098</v>
      </c>
      <c r="O3538" s="42"/>
      <c r="P3538" s="40"/>
      <c r="Q3538" s="61"/>
      <c r="R3538" s="61"/>
      <c r="S3538" s="40"/>
      <c r="T3538" s="38"/>
      <c r="U3538" s="38"/>
      <c r="V3538" s="38"/>
      <c r="W3538" s="60"/>
      <c r="AB3538" s="42"/>
      <c r="AC3538" s="35"/>
      <c r="AD3538" s="38"/>
      <c r="AE3538" s="38"/>
      <c r="AF3538" s="38"/>
      <c r="AG3538" s="38"/>
      <c r="AH3538" s="60"/>
    </row>
    <row r="3539" spans="1:34" ht="15.75" customHeight="1">
      <c r="A3539" s="162"/>
      <c r="B3539" s="158" t="s">
        <v>12481</v>
      </c>
      <c r="C3539" s="37" t="s">
        <v>1470</v>
      </c>
      <c r="D3539" s="20" t="s">
        <v>12482</v>
      </c>
      <c r="E3539" s="20" t="s">
        <v>12483</v>
      </c>
      <c r="F3539" s="19" t="s">
        <v>3286</v>
      </c>
      <c r="G3539" s="19" t="s">
        <v>1461</v>
      </c>
      <c r="H3539" s="37"/>
      <c r="I3539" s="19" t="s">
        <v>233</v>
      </c>
      <c r="J3539" s="155" t="str">
        <f t="shared" si="1"/>
        <v>NTT</v>
      </c>
      <c r="K3539" s="22" t="s">
        <v>12484</v>
      </c>
      <c r="L3539" s="56">
        <v>45098</v>
      </c>
      <c r="O3539" s="42"/>
      <c r="P3539" s="40"/>
      <c r="Q3539" s="61"/>
      <c r="R3539" s="61"/>
      <c r="S3539" s="40"/>
      <c r="T3539" s="38"/>
      <c r="U3539" s="38"/>
      <c r="V3539" s="38"/>
      <c r="W3539" s="60"/>
      <c r="AB3539" s="42"/>
      <c r="AC3539" s="35"/>
      <c r="AD3539" s="38"/>
      <c r="AE3539" s="38"/>
      <c r="AF3539" s="38"/>
      <c r="AG3539" s="38"/>
      <c r="AH3539" s="60"/>
    </row>
    <row r="3540" spans="1:34" ht="15.75" customHeight="1">
      <c r="A3540" s="162"/>
      <c r="B3540" s="158" t="s">
        <v>12485</v>
      </c>
      <c r="C3540" s="37" t="s">
        <v>87</v>
      </c>
      <c r="D3540" s="20" t="s">
        <v>12486</v>
      </c>
      <c r="E3540" s="20" t="s">
        <v>12487</v>
      </c>
      <c r="F3540" s="19" t="s">
        <v>90</v>
      </c>
      <c r="G3540" s="19" t="s">
        <v>91</v>
      </c>
      <c r="H3540" s="37"/>
      <c r="I3540" s="19" t="s">
        <v>29</v>
      </c>
      <c r="J3540" s="155" t="str">
        <f t="shared" si="1"/>
        <v>TT</v>
      </c>
      <c r="K3540" s="22" t="s">
        <v>12488</v>
      </c>
      <c r="L3540" s="56">
        <v>45098</v>
      </c>
      <c r="O3540" s="42"/>
      <c r="P3540" s="40"/>
      <c r="Q3540" s="61"/>
      <c r="R3540" s="61"/>
      <c r="S3540" s="40"/>
      <c r="T3540" s="38"/>
      <c r="U3540" s="38"/>
      <c r="V3540" s="38"/>
      <c r="W3540" s="60"/>
      <c r="AB3540" s="42"/>
      <c r="AC3540" s="35"/>
      <c r="AD3540" s="38"/>
      <c r="AE3540" s="38"/>
      <c r="AF3540" s="38"/>
      <c r="AG3540" s="38"/>
      <c r="AH3540" s="60"/>
    </row>
    <row r="3541" spans="1:34" ht="15.75" customHeight="1">
      <c r="A3541" s="162"/>
      <c r="B3541" s="158" t="s">
        <v>12489</v>
      </c>
      <c r="C3541" s="37" t="s">
        <v>1470</v>
      </c>
      <c r="D3541" s="20" t="s">
        <v>12490</v>
      </c>
      <c r="E3541" s="20" t="s">
        <v>12491</v>
      </c>
      <c r="F3541" s="19" t="s">
        <v>3286</v>
      </c>
      <c r="G3541" s="37" t="s">
        <v>1461</v>
      </c>
      <c r="H3541" s="37"/>
      <c r="I3541" s="19" t="s">
        <v>233</v>
      </c>
      <c r="J3541" s="155" t="str">
        <f t="shared" si="1"/>
        <v>NTT</v>
      </c>
      <c r="K3541" s="22" t="s">
        <v>12492</v>
      </c>
      <c r="L3541" s="56">
        <v>45098</v>
      </c>
      <c r="O3541" s="42"/>
      <c r="P3541" s="40"/>
      <c r="Q3541" s="61"/>
      <c r="R3541" s="61"/>
      <c r="S3541" s="40"/>
      <c r="T3541" s="38"/>
      <c r="U3541" s="38"/>
      <c r="V3541" s="38"/>
      <c r="W3541" s="60"/>
      <c r="AB3541" s="42"/>
      <c r="AC3541" s="35"/>
      <c r="AD3541" s="38"/>
      <c r="AE3541" s="38"/>
      <c r="AF3541" s="38"/>
      <c r="AG3541" s="38"/>
      <c r="AH3541" s="60"/>
    </row>
    <row r="3542" spans="1:34" ht="15.75" customHeight="1">
      <c r="A3542" s="162"/>
      <c r="B3542" s="158" t="s">
        <v>12493</v>
      </c>
      <c r="C3542" s="37" t="s">
        <v>87</v>
      </c>
      <c r="D3542" s="20" t="s">
        <v>12494</v>
      </c>
      <c r="E3542" s="20" t="s">
        <v>12495</v>
      </c>
      <c r="F3542" s="19" t="s">
        <v>90</v>
      </c>
      <c r="G3542" s="19" t="s">
        <v>91</v>
      </c>
      <c r="H3542" s="37"/>
      <c r="I3542" s="19" t="s">
        <v>29</v>
      </c>
      <c r="J3542" s="155" t="str">
        <f t="shared" si="1"/>
        <v>TT</v>
      </c>
      <c r="K3542" s="22" t="s">
        <v>12496</v>
      </c>
      <c r="L3542" s="56">
        <v>45098</v>
      </c>
      <c r="O3542" s="42"/>
      <c r="P3542" s="40"/>
      <c r="Q3542" s="61"/>
      <c r="R3542" s="61"/>
      <c r="S3542" s="40"/>
      <c r="T3542" s="38"/>
      <c r="U3542" s="38"/>
      <c r="V3542" s="38"/>
      <c r="W3542" s="60"/>
      <c r="AB3542" s="42"/>
      <c r="AC3542" s="35"/>
      <c r="AD3542" s="38"/>
      <c r="AE3542" s="38"/>
      <c r="AF3542" s="38"/>
      <c r="AG3542" s="38"/>
      <c r="AH3542" s="60"/>
    </row>
    <row r="3543" spans="1:34" ht="15.75" customHeight="1">
      <c r="A3543" s="161"/>
      <c r="B3543" s="158" t="s">
        <v>12497</v>
      </c>
      <c r="C3543" s="37" t="s">
        <v>1430</v>
      </c>
      <c r="D3543" s="20" t="s">
        <v>12498</v>
      </c>
      <c r="E3543" s="20" t="s">
        <v>12499</v>
      </c>
      <c r="F3543" s="55" t="s">
        <v>1445</v>
      </c>
      <c r="G3543" s="55" t="s">
        <v>1432</v>
      </c>
      <c r="H3543" s="37"/>
      <c r="I3543" s="19" t="s">
        <v>233</v>
      </c>
      <c r="J3543" s="155" t="str">
        <f t="shared" si="1"/>
        <v>NTT</v>
      </c>
      <c r="K3543" s="22" t="s">
        <v>12500</v>
      </c>
      <c r="L3543" s="56">
        <v>45098</v>
      </c>
      <c r="O3543" s="42"/>
      <c r="P3543" s="40"/>
      <c r="Q3543" s="61"/>
      <c r="R3543" s="61"/>
      <c r="S3543" s="40"/>
      <c r="T3543" s="38"/>
      <c r="U3543" s="38"/>
      <c r="V3543" s="38"/>
      <c r="W3543" s="60"/>
      <c r="AB3543" s="42"/>
      <c r="AC3543" s="35"/>
      <c r="AD3543" s="38"/>
      <c r="AE3543" s="38"/>
      <c r="AF3543" s="38"/>
      <c r="AG3543" s="38"/>
      <c r="AH3543" s="60"/>
    </row>
    <row r="3544" spans="1:34" ht="15.75" customHeight="1">
      <c r="A3544" s="162"/>
      <c r="B3544" s="158" t="s">
        <v>12501</v>
      </c>
      <c r="C3544" s="19" t="s">
        <v>24</v>
      </c>
      <c r="D3544" s="20" t="s">
        <v>12502</v>
      </c>
      <c r="E3544" s="20" t="s">
        <v>12503</v>
      </c>
      <c r="F3544" s="19" t="s">
        <v>27</v>
      </c>
      <c r="G3544" s="19" t="s">
        <v>28</v>
      </c>
      <c r="H3544" s="19"/>
      <c r="I3544" s="19" t="s">
        <v>29</v>
      </c>
      <c r="J3544" s="155" t="str">
        <f t="shared" si="1"/>
        <v>TT</v>
      </c>
      <c r="K3544" s="22" t="s">
        <v>12504</v>
      </c>
      <c r="L3544" s="56">
        <v>45098</v>
      </c>
      <c r="O3544" s="42"/>
      <c r="P3544" s="40"/>
      <c r="Q3544" s="61"/>
      <c r="R3544" s="61"/>
      <c r="S3544" s="40"/>
      <c r="T3544" s="38"/>
      <c r="U3544" s="38"/>
      <c r="V3544" s="38"/>
      <c r="W3544" s="60"/>
      <c r="AB3544" s="42"/>
      <c r="AC3544" s="35"/>
      <c r="AD3544" s="38"/>
      <c r="AE3544" s="38"/>
      <c r="AF3544" s="38"/>
      <c r="AG3544" s="38"/>
      <c r="AH3544" s="60"/>
    </row>
    <row r="3545" spans="1:34" ht="15.75" customHeight="1">
      <c r="A3545" s="162"/>
      <c r="B3545" s="163" t="s">
        <v>12505</v>
      </c>
      <c r="C3545" s="19" t="s">
        <v>121</v>
      </c>
      <c r="D3545" s="20" t="s">
        <v>12506</v>
      </c>
      <c r="E3545" s="20" t="s">
        <v>12507</v>
      </c>
      <c r="F3545" s="19" t="s">
        <v>27</v>
      </c>
      <c r="G3545" s="37" t="s">
        <v>359</v>
      </c>
      <c r="H3545" s="37"/>
      <c r="I3545" s="19" t="s">
        <v>29</v>
      </c>
      <c r="J3545" s="155" t="str">
        <f t="shared" si="1"/>
        <v>TT</v>
      </c>
      <c r="K3545" s="22" t="s">
        <v>12508</v>
      </c>
      <c r="L3545" s="56">
        <v>45098</v>
      </c>
      <c r="O3545" s="42"/>
      <c r="P3545" s="40"/>
      <c r="Q3545" s="61"/>
      <c r="R3545" s="61"/>
      <c r="S3545" s="40"/>
      <c r="T3545" s="38"/>
      <c r="U3545" s="38"/>
      <c r="V3545" s="38"/>
      <c r="W3545" s="60"/>
      <c r="AB3545" s="42"/>
      <c r="AC3545" s="35"/>
      <c r="AD3545" s="38"/>
      <c r="AE3545" s="38"/>
      <c r="AF3545" s="38"/>
      <c r="AG3545" s="38"/>
      <c r="AH3545" s="60"/>
    </row>
    <row r="3546" spans="1:34" ht="15.75" customHeight="1">
      <c r="A3546" s="162"/>
      <c r="B3546" s="158" t="s">
        <v>12509</v>
      </c>
      <c r="C3546" s="37" t="s">
        <v>24</v>
      </c>
      <c r="D3546" s="20" t="s">
        <v>12510</v>
      </c>
      <c r="E3546" s="20" t="s">
        <v>12511</v>
      </c>
      <c r="F3546" s="19" t="s">
        <v>27</v>
      </c>
      <c r="G3546" s="19" t="s">
        <v>28</v>
      </c>
      <c r="H3546" s="37"/>
      <c r="I3546" s="19" t="s">
        <v>29</v>
      </c>
      <c r="J3546" s="155" t="str">
        <f t="shared" si="1"/>
        <v>TT</v>
      </c>
      <c r="K3546" s="22" t="s">
        <v>12512</v>
      </c>
      <c r="L3546" s="56">
        <v>45098</v>
      </c>
      <c r="O3546" s="42"/>
      <c r="P3546" s="40"/>
      <c r="Q3546" s="61"/>
      <c r="R3546" s="61"/>
      <c r="S3546" s="40"/>
      <c r="T3546" s="38"/>
      <c r="U3546" s="38"/>
      <c r="V3546" s="38"/>
      <c r="W3546" s="60"/>
      <c r="AB3546" s="42"/>
      <c r="AC3546" s="35"/>
      <c r="AD3546" s="38"/>
      <c r="AE3546" s="38"/>
      <c r="AF3546" s="38"/>
      <c r="AG3546" s="38"/>
      <c r="AH3546" s="60"/>
    </row>
    <row r="3547" spans="1:34" ht="15.75" customHeight="1">
      <c r="A3547" s="162"/>
      <c r="B3547" s="158" t="s">
        <v>12513</v>
      </c>
      <c r="C3547" s="37" t="s">
        <v>412</v>
      </c>
      <c r="D3547" s="20" t="s">
        <v>12514</v>
      </c>
      <c r="E3547" s="20" t="s">
        <v>12515</v>
      </c>
      <c r="F3547" s="19" t="s">
        <v>414</v>
      </c>
      <c r="G3547" s="37" t="s">
        <v>415</v>
      </c>
      <c r="H3547" s="37"/>
      <c r="I3547" s="19" t="s">
        <v>233</v>
      </c>
      <c r="J3547" s="155" t="str">
        <f t="shared" si="1"/>
        <v>NTT</v>
      </c>
      <c r="K3547" s="22" t="s">
        <v>12516</v>
      </c>
      <c r="L3547" s="56">
        <v>45098</v>
      </c>
      <c r="O3547" s="42"/>
      <c r="P3547" s="40"/>
      <c r="Q3547" s="61"/>
      <c r="R3547" s="61"/>
      <c r="S3547" s="40"/>
      <c r="T3547" s="38"/>
      <c r="U3547" s="38"/>
      <c r="V3547" s="38"/>
      <c r="W3547" s="60"/>
      <c r="AB3547" s="42"/>
      <c r="AC3547" s="35"/>
      <c r="AD3547" s="38"/>
      <c r="AE3547" s="38"/>
      <c r="AF3547" s="38"/>
      <c r="AG3547" s="38"/>
      <c r="AH3547" s="60"/>
    </row>
    <row r="3548" spans="1:34" ht="15.75" customHeight="1">
      <c r="A3548" s="162"/>
      <c r="B3548" s="158" t="s">
        <v>12517</v>
      </c>
      <c r="C3548" s="37" t="s">
        <v>24</v>
      </c>
      <c r="D3548" s="20" t="s">
        <v>12518</v>
      </c>
      <c r="E3548" s="20" t="s">
        <v>12519</v>
      </c>
      <c r="F3548" s="19" t="s">
        <v>27</v>
      </c>
      <c r="G3548" s="19" t="s">
        <v>28</v>
      </c>
      <c r="H3548" s="37"/>
      <c r="I3548" s="19" t="s">
        <v>29</v>
      </c>
      <c r="J3548" s="155" t="str">
        <f t="shared" si="1"/>
        <v>TT</v>
      </c>
      <c r="K3548" s="22" t="s">
        <v>12520</v>
      </c>
      <c r="L3548" s="56">
        <v>45098</v>
      </c>
      <c r="O3548" s="42"/>
      <c r="P3548" s="40"/>
      <c r="Q3548" s="61"/>
      <c r="R3548" s="61"/>
      <c r="S3548" s="40"/>
      <c r="T3548" s="38"/>
      <c r="U3548" s="38"/>
      <c r="V3548" s="38"/>
      <c r="W3548" s="60"/>
      <c r="AB3548" s="42"/>
      <c r="AC3548" s="35"/>
      <c r="AD3548" s="38"/>
      <c r="AE3548" s="38"/>
      <c r="AF3548" s="38"/>
      <c r="AG3548" s="38"/>
      <c r="AH3548" s="60"/>
    </row>
    <row r="3549" spans="1:34" ht="15.75" customHeight="1">
      <c r="A3549" s="162"/>
      <c r="B3549" s="158" t="s">
        <v>12521</v>
      </c>
      <c r="C3549" s="37" t="s">
        <v>24</v>
      </c>
      <c r="D3549" s="20" t="s">
        <v>12522</v>
      </c>
      <c r="E3549" s="20" t="s">
        <v>12523</v>
      </c>
      <c r="F3549" s="19" t="s">
        <v>27</v>
      </c>
      <c r="G3549" s="19" t="s">
        <v>28</v>
      </c>
      <c r="H3549" s="37"/>
      <c r="I3549" s="19" t="s">
        <v>29</v>
      </c>
      <c r="J3549" s="155" t="str">
        <f t="shared" si="1"/>
        <v>TT</v>
      </c>
      <c r="K3549" s="22" t="s">
        <v>12524</v>
      </c>
      <c r="L3549" s="56">
        <v>45098</v>
      </c>
      <c r="O3549" s="42"/>
      <c r="P3549" s="40"/>
      <c r="Q3549" s="61"/>
      <c r="R3549" s="61"/>
      <c r="S3549" s="40"/>
      <c r="T3549" s="38"/>
      <c r="U3549" s="38"/>
      <c r="V3549" s="38"/>
      <c r="W3549" s="60"/>
      <c r="AB3549" s="42"/>
      <c r="AC3549" s="35"/>
      <c r="AD3549" s="38"/>
      <c r="AE3549" s="38"/>
      <c r="AF3549" s="38"/>
      <c r="AG3549" s="38"/>
      <c r="AH3549" s="60"/>
    </row>
    <row r="3550" spans="1:34" ht="15.75" customHeight="1">
      <c r="A3550" s="162"/>
      <c r="B3550" s="158" t="s">
        <v>1267</v>
      </c>
      <c r="C3550" s="37" t="s">
        <v>24</v>
      </c>
      <c r="D3550" s="20" t="s">
        <v>12525</v>
      </c>
      <c r="E3550" s="20" t="s">
        <v>12526</v>
      </c>
      <c r="F3550" s="19" t="s">
        <v>27</v>
      </c>
      <c r="G3550" s="19" t="s">
        <v>28</v>
      </c>
      <c r="H3550" s="37"/>
      <c r="I3550" s="19" t="s">
        <v>29</v>
      </c>
      <c r="J3550" s="155" t="str">
        <f t="shared" si="1"/>
        <v>TT</v>
      </c>
      <c r="K3550" s="22" t="s">
        <v>12527</v>
      </c>
      <c r="L3550" s="56">
        <v>45098</v>
      </c>
      <c r="O3550" s="42"/>
      <c r="P3550" s="40"/>
      <c r="Q3550" s="61"/>
      <c r="R3550" s="61"/>
      <c r="S3550" s="40"/>
      <c r="T3550" s="38"/>
      <c r="U3550" s="38"/>
      <c r="V3550" s="38"/>
      <c r="W3550" s="60"/>
      <c r="AB3550" s="42"/>
      <c r="AC3550" s="35"/>
      <c r="AD3550" s="38"/>
      <c r="AE3550" s="38"/>
      <c r="AF3550" s="38"/>
      <c r="AG3550" s="38"/>
      <c r="AH3550" s="60"/>
    </row>
    <row r="3551" spans="1:34" ht="15.75" customHeight="1">
      <c r="A3551" s="162"/>
      <c r="B3551" s="158" t="s">
        <v>12528</v>
      </c>
      <c r="C3551" s="19" t="s">
        <v>24</v>
      </c>
      <c r="D3551" s="20" t="s">
        <v>12529</v>
      </c>
      <c r="E3551" s="20" t="s">
        <v>12530</v>
      </c>
      <c r="F3551" s="19" t="s">
        <v>27</v>
      </c>
      <c r="G3551" s="19" t="s">
        <v>28</v>
      </c>
      <c r="H3551" s="19" t="s">
        <v>36</v>
      </c>
      <c r="I3551" s="19" t="s">
        <v>29</v>
      </c>
      <c r="J3551" s="155" t="str">
        <f t="shared" si="1"/>
        <v>TT</v>
      </c>
      <c r="K3551" s="22" t="s">
        <v>12531</v>
      </c>
      <c r="L3551" s="56">
        <v>45098</v>
      </c>
      <c r="O3551" s="42"/>
      <c r="P3551" s="40"/>
      <c r="Q3551" s="61"/>
      <c r="R3551" s="61"/>
      <c r="S3551" s="40"/>
      <c r="T3551" s="38"/>
      <c r="U3551" s="38"/>
      <c r="V3551" s="38"/>
      <c r="W3551" s="60"/>
      <c r="AB3551" s="42"/>
      <c r="AC3551" s="35"/>
      <c r="AD3551" s="38"/>
      <c r="AE3551" s="38"/>
      <c r="AF3551" s="38"/>
      <c r="AG3551" s="38"/>
      <c r="AH3551" s="60"/>
    </row>
    <row r="3552" spans="1:34" ht="15.75" customHeight="1">
      <c r="A3552" s="162"/>
      <c r="B3552" s="158" t="s">
        <v>12532</v>
      </c>
      <c r="C3552" s="37" t="s">
        <v>46</v>
      </c>
      <c r="D3552" s="20" t="s">
        <v>12533</v>
      </c>
      <c r="E3552" s="20" t="s">
        <v>12534</v>
      </c>
      <c r="F3552" s="37" t="s">
        <v>49</v>
      </c>
      <c r="G3552" s="19" t="s">
        <v>50</v>
      </c>
      <c r="H3552" s="37"/>
      <c r="I3552" s="19" t="s">
        <v>29</v>
      </c>
      <c r="J3552" s="155" t="str">
        <f t="shared" si="1"/>
        <v>TT</v>
      </c>
      <c r="K3552" s="22" t="s">
        <v>12535</v>
      </c>
      <c r="L3552" s="56">
        <v>45098</v>
      </c>
      <c r="O3552" s="42"/>
      <c r="P3552" s="40"/>
      <c r="Q3552" s="61"/>
      <c r="R3552" s="61"/>
      <c r="S3552" s="40"/>
      <c r="T3552" s="38"/>
      <c r="U3552" s="38"/>
      <c r="V3552" s="38"/>
      <c r="W3552" s="60"/>
      <c r="AB3552" s="42"/>
      <c r="AC3552" s="35"/>
      <c r="AD3552" s="38"/>
      <c r="AE3552" s="38"/>
      <c r="AF3552" s="38"/>
      <c r="AG3552" s="38"/>
      <c r="AH3552" s="60"/>
    </row>
    <row r="3553" spans="1:34" ht="15.75" customHeight="1">
      <c r="A3553" s="162"/>
      <c r="B3553" s="160" t="s">
        <v>12536</v>
      </c>
      <c r="C3553" s="37" t="s">
        <v>24</v>
      </c>
      <c r="D3553" s="20" t="s">
        <v>12537</v>
      </c>
      <c r="E3553" s="20" t="s">
        <v>12538</v>
      </c>
      <c r="F3553" s="19" t="s">
        <v>90</v>
      </c>
      <c r="G3553" s="19" t="s">
        <v>91</v>
      </c>
      <c r="H3553" s="37"/>
      <c r="I3553" s="19" t="s">
        <v>29</v>
      </c>
      <c r="J3553" s="155" t="str">
        <f t="shared" si="1"/>
        <v>TT</v>
      </c>
      <c r="K3553" s="22" t="s">
        <v>12539</v>
      </c>
      <c r="L3553" s="56">
        <v>45098</v>
      </c>
      <c r="O3553" s="42"/>
      <c r="P3553" s="40"/>
      <c r="Q3553" s="61"/>
      <c r="R3553" s="61"/>
      <c r="S3553" s="40"/>
      <c r="T3553" s="38"/>
      <c r="U3553" s="38"/>
      <c r="V3553" s="38"/>
      <c r="W3553" s="60"/>
      <c r="AB3553" s="42"/>
      <c r="AC3553" s="35"/>
      <c r="AD3553" s="38"/>
      <c r="AE3553" s="38"/>
      <c r="AF3553" s="38"/>
      <c r="AG3553" s="38"/>
      <c r="AH3553" s="60"/>
    </row>
    <row r="3554" spans="1:34" ht="15.75" customHeight="1">
      <c r="A3554" s="162"/>
      <c r="B3554" s="38"/>
      <c r="C3554" s="37"/>
      <c r="D3554" s="20"/>
      <c r="E3554" s="164"/>
      <c r="F3554" s="37"/>
      <c r="G3554" s="37"/>
      <c r="H3554" s="37"/>
      <c r="I3554" s="19"/>
      <c r="J3554" s="155">
        <f t="shared" si="1"/>
        <v>0</v>
      </c>
      <c r="K3554" s="165"/>
      <c r="L3554" s="39"/>
      <c r="O3554" s="42"/>
      <c r="P3554" s="40"/>
      <c r="Q3554" s="61"/>
      <c r="R3554" s="61"/>
      <c r="S3554" s="40"/>
      <c r="T3554" s="38"/>
      <c r="U3554" s="38"/>
      <c r="V3554" s="38"/>
      <c r="W3554" s="60"/>
      <c r="AB3554" s="42"/>
      <c r="AC3554" s="35"/>
      <c r="AD3554" s="38"/>
      <c r="AE3554" s="38"/>
      <c r="AF3554" s="38"/>
      <c r="AG3554" s="38"/>
      <c r="AH3554" s="60"/>
    </row>
    <row r="3555" spans="1:34" ht="15.75" customHeight="1">
      <c r="A3555" s="18" t="s">
        <v>12540</v>
      </c>
      <c r="B3555" s="158" t="s">
        <v>12541</v>
      </c>
      <c r="C3555" s="37" t="s">
        <v>87</v>
      </c>
      <c r="D3555" s="20" t="s">
        <v>12542</v>
      </c>
      <c r="E3555" s="20" t="s">
        <v>12543</v>
      </c>
      <c r="F3555" s="19" t="s">
        <v>90</v>
      </c>
      <c r="G3555" s="19" t="s">
        <v>91</v>
      </c>
      <c r="H3555" s="37"/>
      <c r="I3555" s="19" t="s">
        <v>29</v>
      </c>
      <c r="J3555" s="155" t="str">
        <f t="shared" si="1"/>
        <v>TT</v>
      </c>
      <c r="K3555" s="22" t="s">
        <v>12544</v>
      </c>
      <c r="L3555" s="56">
        <v>45098</v>
      </c>
      <c r="M3555" s="40"/>
      <c r="O3555" s="42"/>
      <c r="P3555" s="40"/>
      <c r="Q3555" s="61"/>
      <c r="R3555" s="61"/>
      <c r="S3555" s="40"/>
      <c r="T3555" s="38"/>
      <c r="U3555" s="38"/>
      <c r="V3555" s="38"/>
      <c r="W3555" s="60"/>
      <c r="AB3555" s="42"/>
      <c r="AC3555" s="35"/>
      <c r="AD3555" s="38"/>
      <c r="AE3555" s="38"/>
      <c r="AF3555" s="38"/>
      <c r="AG3555" s="38"/>
      <c r="AH3555" s="60"/>
    </row>
    <row r="3556" spans="1:34" ht="15.75" customHeight="1">
      <c r="A3556" s="54" t="s">
        <v>2714</v>
      </c>
      <c r="B3556" s="159" t="s">
        <v>12545</v>
      </c>
      <c r="C3556" s="37" t="s">
        <v>24</v>
      </c>
      <c r="D3556" s="20" t="s">
        <v>12546</v>
      </c>
      <c r="E3556" s="20" t="s">
        <v>12547</v>
      </c>
      <c r="F3556" s="19" t="s">
        <v>27</v>
      </c>
      <c r="G3556" s="19" t="s">
        <v>28</v>
      </c>
      <c r="H3556" s="37"/>
      <c r="I3556" s="19" t="s">
        <v>29</v>
      </c>
      <c r="J3556" s="155" t="str">
        <f t="shared" si="1"/>
        <v>TT</v>
      </c>
      <c r="K3556" s="22" t="s">
        <v>12548</v>
      </c>
      <c r="L3556" s="56">
        <v>45098</v>
      </c>
      <c r="O3556" s="42"/>
      <c r="P3556" s="40"/>
      <c r="Q3556" s="61"/>
      <c r="R3556" s="61"/>
      <c r="S3556" s="40"/>
      <c r="T3556" s="38"/>
      <c r="U3556" s="38"/>
      <c r="V3556" s="38"/>
      <c r="W3556" s="60"/>
      <c r="AB3556" s="42"/>
      <c r="AC3556" s="35"/>
      <c r="AD3556" s="38"/>
      <c r="AE3556" s="38"/>
      <c r="AF3556" s="38"/>
      <c r="AG3556" s="38"/>
      <c r="AH3556" s="60"/>
    </row>
    <row r="3557" spans="1:34" ht="15.75" customHeight="1">
      <c r="A3557" s="114" t="s">
        <v>39</v>
      </c>
      <c r="B3557" s="158" t="s">
        <v>12549</v>
      </c>
      <c r="C3557" s="37" t="s">
        <v>24</v>
      </c>
      <c r="D3557" s="20" t="s">
        <v>12550</v>
      </c>
      <c r="E3557" s="20" t="s">
        <v>12551</v>
      </c>
      <c r="F3557" s="19" t="s">
        <v>27</v>
      </c>
      <c r="G3557" s="19" t="s">
        <v>28</v>
      </c>
      <c r="H3557" s="37"/>
      <c r="I3557" s="19" t="s">
        <v>29</v>
      </c>
      <c r="J3557" s="155" t="str">
        <f t="shared" si="1"/>
        <v>TT</v>
      </c>
      <c r="K3557" s="22" t="s">
        <v>12552</v>
      </c>
      <c r="L3557" s="56">
        <v>45098</v>
      </c>
      <c r="O3557" s="42"/>
      <c r="P3557" s="40"/>
      <c r="Q3557" s="61"/>
      <c r="R3557" s="61"/>
      <c r="S3557" s="40"/>
      <c r="T3557" s="38"/>
      <c r="U3557" s="38"/>
      <c r="V3557" s="38"/>
      <c r="W3557" s="60"/>
      <c r="AB3557" s="42"/>
      <c r="AC3557" s="35"/>
      <c r="AD3557" s="38"/>
      <c r="AE3557" s="38"/>
      <c r="AF3557" s="38"/>
      <c r="AG3557" s="38"/>
      <c r="AH3557" s="60"/>
    </row>
    <row r="3558" spans="1:34" ht="15.75" customHeight="1">
      <c r="A3558" s="38" t="s">
        <v>12553</v>
      </c>
      <c r="B3558" s="158" t="s">
        <v>12554</v>
      </c>
      <c r="C3558" s="37" t="s">
        <v>24</v>
      </c>
      <c r="D3558" s="20" t="s">
        <v>12555</v>
      </c>
      <c r="E3558" s="20" t="s">
        <v>12556</v>
      </c>
      <c r="F3558" s="19" t="s">
        <v>27</v>
      </c>
      <c r="G3558" s="19" t="s">
        <v>28</v>
      </c>
      <c r="H3558" s="37"/>
      <c r="I3558" s="19" t="s">
        <v>29</v>
      </c>
      <c r="J3558" s="155" t="str">
        <f t="shared" si="1"/>
        <v>TT</v>
      </c>
      <c r="K3558" s="22" t="s">
        <v>12557</v>
      </c>
      <c r="L3558" s="56">
        <v>45098</v>
      </c>
      <c r="O3558" s="42"/>
      <c r="P3558" s="40"/>
      <c r="Q3558" s="61"/>
      <c r="R3558" s="61"/>
      <c r="S3558" s="40"/>
      <c r="T3558" s="38"/>
      <c r="U3558" s="38"/>
      <c r="V3558" s="38"/>
      <c r="W3558" s="60"/>
      <c r="AB3558" s="42"/>
      <c r="AC3558" s="35"/>
      <c r="AD3558" s="38"/>
      <c r="AE3558" s="38"/>
      <c r="AF3558" s="38"/>
      <c r="AG3558" s="38"/>
      <c r="AH3558" s="60"/>
    </row>
    <row r="3559" spans="1:34" ht="15.75" customHeight="1">
      <c r="A3559" s="38" t="s">
        <v>12558</v>
      </c>
      <c r="B3559" s="158" t="s">
        <v>12559</v>
      </c>
      <c r="C3559" s="37" t="s">
        <v>87</v>
      </c>
      <c r="D3559" s="20" t="s">
        <v>12560</v>
      </c>
      <c r="E3559" s="20" t="s">
        <v>12561</v>
      </c>
      <c r="F3559" s="19" t="s">
        <v>90</v>
      </c>
      <c r="G3559" s="19" t="s">
        <v>91</v>
      </c>
      <c r="H3559" s="37"/>
      <c r="I3559" s="19" t="s">
        <v>29</v>
      </c>
      <c r="J3559" s="155" t="str">
        <f t="shared" si="1"/>
        <v>TT</v>
      </c>
      <c r="K3559" s="22" t="s">
        <v>12562</v>
      </c>
      <c r="L3559" s="56">
        <v>45098</v>
      </c>
      <c r="O3559" s="42"/>
      <c r="P3559" s="40"/>
      <c r="Q3559" s="61"/>
      <c r="R3559" s="61"/>
      <c r="S3559" s="40"/>
      <c r="T3559" s="38"/>
      <c r="U3559" s="38"/>
      <c r="V3559" s="38"/>
      <c r="W3559" s="60"/>
      <c r="AB3559" s="42"/>
      <c r="AC3559" s="35"/>
      <c r="AD3559" s="38"/>
      <c r="AE3559" s="38"/>
      <c r="AF3559" s="38"/>
      <c r="AG3559" s="38"/>
      <c r="AH3559" s="60"/>
    </row>
    <row r="3560" spans="1:34" ht="15.75" customHeight="1">
      <c r="A3560" s="111" t="s">
        <v>56</v>
      </c>
      <c r="B3560" s="158" t="s">
        <v>12563</v>
      </c>
      <c r="C3560" s="37" t="s">
        <v>228</v>
      </c>
      <c r="D3560" s="20" t="s">
        <v>12564</v>
      </c>
      <c r="E3560" s="20" t="s">
        <v>12565</v>
      </c>
      <c r="F3560" s="19" t="s">
        <v>231</v>
      </c>
      <c r="G3560" s="19" t="s">
        <v>232</v>
      </c>
      <c r="H3560" s="37"/>
      <c r="I3560" s="19" t="s">
        <v>233</v>
      </c>
      <c r="J3560" s="155" t="str">
        <f t="shared" si="1"/>
        <v>NTT</v>
      </c>
      <c r="K3560" s="22" t="s">
        <v>12566</v>
      </c>
      <c r="L3560" s="56">
        <v>45098</v>
      </c>
      <c r="O3560" s="42"/>
      <c r="P3560" s="40"/>
      <c r="Q3560" s="61"/>
      <c r="R3560" s="61"/>
      <c r="S3560" s="40"/>
      <c r="T3560" s="38"/>
      <c r="U3560" s="38"/>
      <c r="V3560" s="38"/>
      <c r="W3560" s="60"/>
      <c r="AB3560" s="42"/>
      <c r="AC3560" s="35"/>
      <c r="AD3560" s="38"/>
      <c r="AE3560" s="38"/>
      <c r="AF3560" s="38"/>
      <c r="AG3560" s="38"/>
      <c r="AH3560" s="60"/>
    </row>
    <row r="3561" spans="1:34" ht="15.75" customHeight="1">
      <c r="A3561" s="75">
        <v>41</v>
      </c>
      <c r="B3561" s="158" t="s">
        <v>12567</v>
      </c>
      <c r="C3561" s="37" t="s">
        <v>46</v>
      </c>
      <c r="D3561" s="20" t="s">
        <v>12568</v>
      </c>
      <c r="E3561" s="20" t="s">
        <v>12569</v>
      </c>
      <c r="F3561" s="37" t="s">
        <v>49</v>
      </c>
      <c r="G3561" s="19" t="s">
        <v>50</v>
      </c>
      <c r="H3561" s="37"/>
      <c r="I3561" s="19" t="s">
        <v>29</v>
      </c>
      <c r="J3561" s="155" t="str">
        <f t="shared" si="1"/>
        <v>TT</v>
      </c>
      <c r="K3561" s="22" t="s">
        <v>12570</v>
      </c>
      <c r="L3561" s="56">
        <v>45098</v>
      </c>
      <c r="O3561" s="42"/>
      <c r="P3561" s="40"/>
      <c r="Q3561" s="61"/>
      <c r="R3561" s="61"/>
      <c r="S3561" s="40"/>
      <c r="T3561" s="38"/>
      <c r="U3561" s="38"/>
      <c r="V3561" s="38"/>
      <c r="W3561" s="60"/>
      <c r="AB3561" s="42"/>
      <c r="AC3561" s="35"/>
      <c r="AD3561" s="38"/>
      <c r="AE3561" s="38"/>
      <c r="AF3561" s="38"/>
      <c r="AG3561" s="38"/>
      <c r="AH3561" s="60"/>
    </row>
    <row r="3562" spans="1:34" ht="15.75" customHeight="1">
      <c r="A3562" s="111" t="s">
        <v>64</v>
      </c>
      <c r="B3562" s="158" t="s">
        <v>12571</v>
      </c>
      <c r="C3562" s="37" t="s">
        <v>24</v>
      </c>
      <c r="D3562" s="20" t="s">
        <v>12572</v>
      </c>
      <c r="E3562" s="20" t="s">
        <v>12573</v>
      </c>
      <c r="F3562" s="19" t="s">
        <v>27</v>
      </c>
      <c r="G3562" s="19" t="s">
        <v>28</v>
      </c>
      <c r="H3562" s="37"/>
      <c r="I3562" s="19" t="s">
        <v>29</v>
      </c>
      <c r="J3562" s="155" t="str">
        <f t="shared" si="1"/>
        <v>TT</v>
      </c>
      <c r="K3562" s="22" t="s">
        <v>12574</v>
      </c>
      <c r="L3562" s="56">
        <v>45098</v>
      </c>
      <c r="O3562" s="42"/>
      <c r="P3562" s="40"/>
      <c r="Q3562" s="61"/>
      <c r="R3562" s="61"/>
      <c r="S3562" s="40"/>
      <c r="T3562" s="38"/>
      <c r="U3562" s="38"/>
      <c r="V3562" s="38"/>
      <c r="W3562" s="60"/>
      <c r="AB3562" s="42"/>
      <c r="AC3562" s="35"/>
      <c r="AD3562" s="38"/>
      <c r="AE3562" s="38"/>
      <c r="AF3562" s="38"/>
      <c r="AG3562" s="38"/>
      <c r="AH3562" s="60"/>
    </row>
    <row r="3563" spans="1:34" ht="15.75" customHeight="1">
      <c r="A3563" s="75">
        <v>2.5</v>
      </c>
      <c r="B3563" s="158" t="s">
        <v>12575</v>
      </c>
      <c r="C3563" s="37" t="s">
        <v>87</v>
      </c>
      <c r="D3563" s="20" t="s">
        <v>12576</v>
      </c>
      <c r="E3563" s="20" t="s">
        <v>12577</v>
      </c>
      <c r="F3563" s="19" t="s">
        <v>90</v>
      </c>
      <c r="G3563" s="19" t="s">
        <v>91</v>
      </c>
      <c r="H3563" s="37"/>
      <c r="I3563" s="19" t="s">
        <v>29</v>
      </c>
      <c r="J3563" s="155" t="str">
        <f t="shared" si="1"/>
        <v>TT</v>
      </c>
      <c r="K3563" s="22" t="s">
        <v>12578</v>
      </c>
      <c r="L3563" s="56">
        <v>45098</v>
      </c>
      <c r="O3563" s="42"/>
      <c r="P3563" s="40"/>
      <c r="Q3563" s="61"/>
      <c r="R3563" s="61"/>
      <c r="S3563" s="40"/>
      <c r="T3563" s="38"/>
      <c r="U3563" s="38"/>
      <c r="V3563" s="38"/>
      <c r="W3563" s="60"/>
      <c r="AB3563" s="42"/>
      <c r="AC3563" s="35"/>
      <c r="AD3563" s="38"/>
      <c r="AE3563" s="38"/>
      <c r="AF3563" s="38"/>
      <c r="AG3563" s="38"/>
      <c r="AH3563" s="60"/>
    </row>
    <row r="3564" spans="1:34" ht="15.75" customHeight="1">
      <c r="A3564" s="111" t="s">
        <v>73</v>
      </c>
      <c r="B3564" s="158" t="s">
        <v>12579</v>
      </c>
      <c r="C3564" s="37" t="s">
        <v>1470</v>
      </c>
      <c r="D3564" s="20" t="s">
        <v>12580</v>
      </c>
      <c r="E3564" s="20"/>
      <c r="F3564" s="19" t="s">
        <v>3286</v>
      </c>
      <c r="G3564" s="19" t="s">
        <v>1461</v>
      </c>
      <c r="H3564" s="37"/>
      <c r="I3564" s="19" t="s">
        <v>233</v>
      </c>
      <c r="J3564" s="155" t="str">
        <f t="shared" si="1"/>
        <v>NTT</v>
      </c>
      <c r="K3564" s="22"/>
      <c r="L3564" s="56">
        <v>45098</v>
      </c>
      <c r="O3564" s="42"/>
      <c r="P3564" s="40"/>
      <c r="Q3564" s="61"/>
      <c r="R3564" s="61"/>
      <c r="S3564" s="40"/>
      <c r="T3564" s="38"/>
      <c r="U3564" s="38"/>
      <c r="V3564" s="38"/>
      <c r="W3564" s="60"/>
      <c r="AB3564" s="42"/>
      <c r="AC3564" s="35"/>
      <c r="AD3564" s="38"/>
      <c r="AE3564" s="38"/>
      <c r="AF3564" s="38"/>
      <c r="AG3564" s="38"/>
      <c r="AH3564" s="60"/>
    </row>
    <row r="3565" spans="1:34" ht="15.75" customHeight="1">
      <c r="A3565" s="75">
        <v>3.1</v>
      </c>
      <c r="B3565" s="158" t="s">
        <v>12581</v>
      </c>
      <c r="C3565" s="37" t="s">
        <v>46</v>
      </c>
      <c r="D3565" s="20" t="s">
        <v>12582</v>
      </c>
      <c r="E3565" s="20" t="s">
        <v>12583</v>
      </c>
      <c r="F3565" s="37" t="s">
        <v>49</v>
      </c>
      <c r="G3565" s="19" t="s">
        <v>50</v>
      </c>
      <c r="H3565" s="37"/>
      <c r="I3565" s="19" t="s">
        <v>29</v>
      </c>
      <c r="J3565" s="155" t="str">
        <f t="shared" si="1"/>
        <v>TT</v>
      </c>
      <c r="K3565" s="22" t="s">
        <v>12584</v>
      </c>
      <c r="L3565" s="56">
        <v>45098</v>
      </c>
      <c r="O3565" s="42"/>
      <c r="P3565" s="40"/>
      <c r="Q3565" s="61"/>
      <c r="R3565" s="61"/>
      <c r="S3565" s="40"/>
      <c r="T3565" s="38"/>
      <c r="U3565" s="38"/>
      <c r="V3565" s="38"/>
      <c r="W3565" s="60"/>
      <c r="AB3565" s="42"/>
      <c r="AC3565" s="35"/>
      <c r="AD3565" s="38"/>
      <c r="AE3565" s="38"/>
      <c r="AF3565" s="38"/>
      <c r="AG3565" s="38"/>
      <c r="AH3565" s="60"/>
    </row>
    <row r="3566" spans="1:34" ht="15.75" customHeight="1">
      <c r="A3566" s="111" t="s">
        <v>82</v>
      </c>
      <c r="B3566" s="158" t="s">
        <v>12585</v>
      </c>
      <c r="C3566" s="37" t="s">
        <v>24</v>
      </c>
      <c r="D3566" s="20" t="s">
        <v>12586</v>
      </c>
      <c r="E3566" s="20" t="s">
        <v>12587</v>
      </c>
      <c r="F3566" s="19" t="s">
        <v>27</v>
      </c>
      <c r="G3566" s="19" t="s">
        <v>28</v>
      </c>
      <c r="H3566" s="37"/>
      <c r="I3566" s="19" t="s">
        <v>29</v>
      </c>
      <c r="J3566" s="155" t="str">
        <f t="shared" si="1"/>
        <v>TT</v>
      </c>
      <c r="K3566" s="22" t="s">
        <v>12588</v>
      </c>
      <c r="L3566" s="56">
        <v>45098</v>
      </c>
      <c r="O3566" s="42"/>
      <c r="P3566" s="40"/>
      <c r="Q3566" s="61"/>
      <c r="R3566" s="61"/>
      <c r="S3566" s="40"/>
      <c r="T3566" s="38"/>
      <c r="U3566" s="38"/>
      <c r="V3566" s="38"/>
      <c r="W3566" s="60"/>
      <c r="AB3566" s="42"/>
      <c r="AC3566" s="35"/>
      <c r="AD3566" s="38"/>
      <c r="AE3566" s="38"/>
      <c r="AF3566" s="38"/>
      <c r="AG3566" s="38"/>
      <c r="AH3566" s="60"/>
    </row>
    <row r="3567" spans="1:34" ht="15.75" customHeight="1">
      <c r="A3567" s="75" t="s">
        <v>12589</v>
      </c>
      <c r="B3567" s="158" t="s">
        <v>12590</v>
      </c>
      <c r="C3567" s="37" t="s">
        <v>24</v>
      </c>
      <c r="D3567" s="20" t="s">
        <v>12591</v>
      </c>
      <c r="E3567" s="20" t="s">
        <v>12592</v>
      </c>
      <c r="F3567" s="19" t="s">
        <v>27</v>
      </c>
      <c r="G3567" s="19" t="s">
        <v>28</v>
      </c>
      <c r="H3567" s="37"/>
      <c r="I3567" s="19" t="s">
        <v>29</v>
      </c>
      <c r="J3567" s="155" t="str">
        <f t="shared" si="1"/>
        <v>TT</v>
      </c>
      <c r="K3567" s="22" t="s">
        <v>12593</v>
      </c>
      <c r="L3567" s="56">
        <v>45098</v>
      </c>
      <c r="O3567" s="42"/>
      <c r="P3567" s="40"/>
      <c r="Q3567" s="61"/>
      <c r="R3567" s="61"/>
      <c r="S3567" s="40"/>
      <c r="T3567" s="38"/>
      <c r="U3567" s="38"/>
      <c r="V3567" s="38"/>
      <c r="W3567" s="60"/>
      <c r="AB3567" s="42"/>
      <c r="AC3567" s="35"/>
      <c r="AD3567" s="38"/>
      <c r="AE3567" s="38"/>
      <c r="AF3567" s="38"/>
      <c r="AG3567" s="38"/>
      <c r="AH3567" s="60"/>
    </row>
    <row r="3568" spans="1:34" ht="15.75" customHeight="1">
      <c r="A3568" s="111" t="s">
        <v>92</v>
      </c>
      <c r="B3568" s="158" t="s">
        <v>12594</v>
      </c>
      <c r="C3568" s="37" t="s">
        <v>87</v>
      </c>
      <c r="D3568" s="20" t="s">
        <v>12595</v>
      </c>
      <c r="E3568" s="20" t="s">
        <v>12596</v>
      </c>
      <c r="F3568" s="19" t="s">
        <v>90</v>
      </c>
      <c r="G3568" s="19" t="s">
        <v>91</v>
      </c>
      <c r="H3568" s="37"/>
      <c r="I3568" s="19" t="s">
        <v>29</v>
      </c>
      <c r="J3568" s="155" t="str">
        <f t="shared" si="1"/>
        <v>TT</v>
      </c>
      <c r="K3568" s="22" t="s">
        <v>12597</v>
      </c>
      <c r="L3568" s="56">
        <v>45098</v>
      </c>
      <c r="O3568" s="42"/>
      <c r="P3568" s="40"/>
      <c r="Q3568" s="61"/>
      <c r="R3568" s="61"/>
      <c r="S3568" s="40"/>
      <c r="T3568" s="38"/>
      <c r="U3568" s="38"/>
      <c r="V3568" s="38"/>
      <c r="W3568" s="60"/>
      <c r="AB3568" s="42"/>
      <c r="AC3568" s="35"/>
      <c r="AD3568" s="38"/>
      <c r="AE3568" s="38"/>
      <c r="AF3568" s="38"/>
      <c r="AG3568" s="38"/>
      <c r="AH3568" s="60"/>
    </row>
    <row r="3569" spans="1:34" ht="15.75" customHeight="1">
      <c r="A3569" s="112">
        <v>424</v>
      </c>
      <c r="B3569" s="158" t="s">
        <v>12598</v>
      </c>
      <c r="C3569" s="37" t="s">
        <v>24</v>
      </c>
      <c r="D3569" s="20" t="s">
        <v>12599</v>
      </c>
      <c r="E3569" s="20" t="s">
        <v>12600</v>
      </c>
      <c r="F3569" s="19" t="s">
        <v>27</v>
      </c>
      <c r="G3569" s="19" t="s">
        <v>28</v>
      </c>
      <c r="H3569" s="37"/>
      <c r="I3569" s="19" t="s">
        <v>29</v>
      </c>
      <c r="J3569" s="155" t="str">
        <f t="shared" si="1"/>
        <v>TT</v>
      </c>
      <c r="K3569" s="22" t="s">
        <v>12600</v>
      </c>
      <c r="L3569" s="56">
        <v>45098</v>
      </c>
      <c r="O3569" s="42"/>
      <c r="P3569" s="40"/>
      <c r="Q3569" s="61"/>
      <c r="R3569" s="61"/>
      <c r="S3569" s="40"/>
      <c r="T3569" s="38"/>
      <c r="U3569" s="38"/>
      <c r="V3569" s="38"/>
      <c r="W3569" s="60"/>
      <c r="AB3569" s="42"/>
      <c r="AC3569" s="35"/>
      <c r="AD3569" s="38"/>
      <c r="AE3569" s="38"/>
      <c r="AF3569" s="38"/>
      <c r="AG3569" s="38"/>
      <c r="AH3569" s="60"/>
    </row>
    <row r="3570" spans="1:34" ht="15.75" customHeight="1">
      <c r="A3570" s="111" t="s">
        <v>100</v>
      </c>
      <c r="B3570" s="158" t="s">
        <v>12601</v>
      </c>
      <c r="C3570" s="37" t="s">
        <v>24</v>
      </c>
      <c r="D3570" s="20" t="s">
        <v>12602</v>
      </c>
      <c r="E3570" s="20" t="s">
        <v>12603</v>
      </c>
      <c r="F3570" s="19" t="s">
        <v>27</v>
      </c>
      <c r="G3570" s="19" t="s">
        <v>28</v>
      </c>
      <c r="H3570" s="37"/>
      <c r="I3570" s="19" t="s">
        <v>29</v>
      </c>
      <c r="J3570" s="155" t="str">
        <f t="shared" si="1"/>
        <v>TT</v>
      </c>
      <c r="K3570" s="22" t="s">
        <v>12604</v>
      </c>
      <c r="L3570" s="56">
        <v>45098</v>
      </c>
      <c r="O3570" s="42"/>
      <c r="P3570" s="40"/>
      <c r="Q3570" s="61"/>
      <c r="R3570" s="61"/>
      <c r="S3570" s="40"/>
      <c r="T3570" s="38"/>
      <c r="U3570" s="38"/>
      <c r="V3570" s="38"/>
      <c r="W3570" s="60"/>
      <c r="AB3570" s="42"/>
      <c r="AC3570" s="35"/>
      <c r="AD3570" s="38"/>
      <c r="AE3570" s="38"/>
      <c r="AF3570" s="38"/>
      <c r="AG3570" s="38"/>
      <c r="AH3570" s="60"/>
    </row>
    <row r="3571" spans="1:34" ht="15.75" customHeight="1">
      <c r="A3571" s="75">
        <v>158</v>
      </c>
      <c r="B3571" s="158" t="s">
        <v>12605</v>
      </c>
      <c r="C3571" s="37" t="s">
        <v>24</v>
      </c>
      <c r="D3571" s="20" t="s">
        <v>12606</v>
      </c>
      <c r="E3571" s="20" t="s">
        <v>12607</v>
      </c>
      <c r="F3571" s="19" t="s">
        <v>90</v>
      </c>
      <c r="G3571" s="19" t="s">
        <v>91</v>
      </c>
      <c r="H3571" s="37"/>
      <c r="I3571" s="19" t="s">
        <v>29</v>
      </c>
      <c r="J3571" s="155" t="str">
        <f t="shared" si="1"/>
        <v>TT</v>
      </c>
      <c r="K3571" s="22" t="s">
        <v>12608</v>
      </c>
      <c r="L3571" s="56">
        <v>45098</v>
      </c>
      <c r="O3571" s="42"/>
      <c r="P3571" s="40"/>
      <c r="Q3571" s="61"/>
      <c r="R3571" s="61"/>
      <c r="S3571" s="40"/>
      <c r="T3571" s="38"/>
      <c r="U3571" s="38"/>
      <c r="V3571" s="38"/>
      <c r="W3571" s="60"/>
      <c r="AB3571" s="42"/>
      <c r="AC3571" s="35"/>
      <c r="AD3571" s="38"/>
      <c r="AE3571" s="38"/>
      <c r="AF3571" s="38"/>
      <c r="AG3571" s="38"/>
      <c r="AH3571" s="60"/>
    </row>
    <row r="3572" spans="1:34" ht="15.75" customHeight="1">
      <c r="A3572" s="35"/>
      <c r="B3572" s="158" t="s">
        <v>12609</v>
      </c>
      <c r="C3572" s="37" t="s">
        <v>24</v>
      </c>
      <c r="D3572" s="20" t="s">
        <v>12610</v>
      </c>
      <c r="E3572" s="20" t="s">
        <v>12611</v>
      </c>
      <c r="F3572" s="19" t="s">
        <v>27</v>
      </c>
      <c r="G3572" s="19" t="s">
        <v>28</v>
      </c>
      <c r="H3572" s="37"/>
      <c r="I3572" s="19" t="s">
        <v>29</v>
      </c>
      <c r="J3572" s="155" t="str">
        <f t="shared" si="1"/>
        <v>TT</v>
      </c>
      <c r="K3572" s="22" t="s">
        <v>12612</v>
      </c>
      <c r="L3572" s="56">
        <v>45098</v>
      </c>
      <c r="O3572" s="42"/>
      <c r="P3572" s="40"/>
      <c r="Q3572" s="61"/>
      <c r="R3572" s="61"/>
      <c r="S3572" s="40"/>
      <c r="T3572" s="38"/>
      <c r="U3572" s="38"/>
      <c r="V3572" s="38"/>
      <c r="W3572" s="60"/>
      <c r="AB3572" s="42"/>
      <c r="AC3572" s="35"/>
      <c r="AD3572" s="38"/>
      <c r="AE3572" s="38"/>
      <c r="AF3572" s="38"/>
      <c r="AG3572" s="38"/>
      <c r="AH3572" s="60"/>
    </row>
    <row r="3573" spans="1:34" ht="15.75" customHeight="1">
      <c r="A3573" s="35"/>
      <c r="B3573" s="158" t="s">
        <v>12613</v>
      </c>
      <c r="C3573" s="37" t="s">
        <v>87</v>
      </c>
      <c r="D3573" s="20" t="s">
        <v>12614</v>
      </c>
      <c r="E3573" s="20" t="s">
        <v>12615</v>
      </c>
      <c r="F3573" s="19" t="s">
        <v>90</v>
      </c>
      <c r="G3573" s="19" t="s">
        <v>91</v>
      </c>
      <c r="H3573" s="37"/>
      <c r="I3573" s="19" t="s">
        <v>29</v>
      </c>
      <c r="J3573" s="155" t="str">
        <f t="shared" si="1"/>
        <v>TT</v>
      </c>
      <c r="K3573" s="22" t="s">
        <v>12615</v>
      </c>
      <c r="L3573" s="56">
        <v>45098</v>
      </c>
      <c r="O3573" s="42"/>
      <c r="P3573" s="40"/>
      <c r="Q3573" s="61"/>
      <c r="R3573" s="61"/>
      <c r="S3573" s="40"/>
      <c r="T3573" s="38"/>
      <c r="U3573" s="38"/>
      <c r="V3573" s="38"/>
      <c r="W3573" s="60"/>
      <c r="AB3573" s="42"/>
      <c r="AC3573" s="35"/>
      <c r="AD3573" s="38"/>
      <c r="AE3573" s="38"/>
      <c r="AF3573" s="38"/>
      <c r="AG3573" s="38"/>
      <c r="AH3573" s="60"/>
    </row>
    <row r="3574" spans="1:34" ht="15.75" customHeight="1">
      <c r="A3574" s="166"/>
      <c r="B3574" s="159" t="s">
        <v>12616</v>
      </c>
      <c r="C3574" s="37" t="s">
        <v>87</v>
      </c>
      <c r="D3574" s="20" t="s">
        <v>12617</v>
      </c>
      <c r="E3574" s="20" t="s">
        <v>12618</v>
      </c>
      <c r="F3574" s="19" t="s">
        <v>90</v>
      </c>
      <c r="G3574" s="19" t="s">
        <v>91</v>
      </c>
      <c r="H3574" s="37"/>
      <c r="I3574" s="19" t="s">
        <v>29</v>
      </c>
      <c r="J3574" s="155" t="str">
        <f t="shared" si="1"/>
        <v>TT</v>
      </c>
      <c r="K3574" s="22" t="s">
        <v>12618</v>
      </c>
      <c r="L3574" s="56">
        <v>45098</v>
      </c>
      <c r="O3574" s="42"/>
      <c r="P3574" s="40"/>
      <c r="Q3574" s="61"/>
      <c r="R3574" s="61"/>
      <c r="S3574" s="40"/>
      <c r="T3574" s="38"/>
      <c r="U3574" s="38"/>
      <c r="V3574" s="38"/>
      <c r="W3574" s="60"/>
      <c r="AB3574" s="42"/>
      <c r="AC3574" s="35"/>
      <c r="AD3574" s="38"/>
      <c r="AE3574" s="38"/>
      <c r="AF3574" s="38"/>
      <c r="AG3574" s="38"/>
      <c r="AH3574" s="60"/>
    </row>
    <row r="3575" spans="1:34" ht="15.75" customHeight="1">
      <c r="A3575" s="35"/>
      <c r="B3575" s="158" t="s">
        <v>12619</v>
      </c>
      <c r="C3575" s="37" t="s">
        <v>12158</v>
      </c>
      <c r="D3575" s="20" t="s">
        <v>12620</v>
      </c>
      <c r="E3575" s="20" t="s">
        <v>12621</v>
      </c>
      <c r="F3575" s="37" t="s">
        <v>12158</v>
      </c>
      <c r="G3575" s="37" t="s">
        <v>12158</v>
      </c>
      <c r="H3575" s="37"/>
      <c r="I3575" s="19" t="s">
        <v>29</v>
      </c>
      <c r="J3575" s="155" t="str">
        <f t="shared" si="1"/>
        <v>TT</v>
      </c>
      <c r="K3575" s="22" t="s">
        <v>12622</v>
      </c>
      <c r="L3575" s="56">
        <v>45098</v>
      </c>
      <c r="O3575" s="42"/>
      <c r="P3575" s="40"/>
      <c r="Q3575" s="61"/>
      <c r="R3575" s="61"/>
      <c r="S3575" s="40"/>
      <c r="T3575" s="38"/>
      <c r="U3575" s="38"/>
      <c r="V3575" s="38"/>
      <c r="W3575" s="60"/>
      <c r="AB3575" s="42"/>
      <c r="AC3575" s="35"/>
      <c r="AD3575" s="38"/>
      <c r="AE3575" s="38"/>
      <c r="AF3575" s="38"/>
      <c r="AG3575" s="38"/>
      <c r="AH3575" s="60"/>
    </row>
    <row r="3576" spans="1:34" ht="15.75" customHeight="1">
      <c r="A3576" s="35"/>
      <c r="B3576" s="158" t="s">
        <v>12623</v>
      </c>
      <c r="C3576" s="37" t="s">
        <v>24</v>
      </c>
      <c r="D3576" s="20" t="s">
        <v>12624</v>
      </c>
      <c r="E3576" s="167" t="s">
        <v>12625</v>
      </c>
      <c r="F3576" s="19" t="s">
        <v>27</v>
      </c>
      <c r="G3576" s="19" t="s">
        <v>28</v>
      </c>
      <c r="H3576" s="37"/>
      <c r="I3576" s="19" t="s">
        <v>29</v>
      </c>
      <c r="J3576" s="155" t="str">
        <f t="shared" si="1"/>
        <v>TT</v>
      </c>
      <c r="K3576" s="61" t="s">
        <v>12626</v>
      </c>
      <c r="L3576" s="56">
        <v>45098</v>
      </c>
      <c r="O3576" s="42"/>
      <c r="P3576" s="40"/>
      <c r="Q3576" s="61"/>
      <c r="R3576" s="61"/>
      <c r="S3576" s="40"/>
      <c r="T3576" s="38"/>
      <c r="U3576" s="38"/>
      <c r="V3576" s="38"/>
      <c r="W3576" s="60"/>
      <c r="AB3576" s="42"/>
      <c r="AC3576" s="35"/>
      <c r="AD3576" s="38"/>
      <c r="AE3576" s="38"/>
      <c r="AF3576" s="38"/>
      <c r="AG3576" s="38"/>
      <c r="AH3576" s="60"/>
    </row>
    <row r="3577" spans="1:34" ht="15.75" customHeight="1">
      <c r="A3577" s="35"/>
      <c r="B3577" s="158" t="s">
        <v>12627</v>
      </c>
      <c r="C3577" s="37" t="s">
        <v>24</v>
      </c>
      <c r="D3577" s="20" t="s">
        <v>12628</v>
      </c>
      <c r="E3577" s="20" t="s">
        <v>12629</v>
      </c>
      <c r="F3577" s="19" t="s">
        <v>27</v>
      </c>
      <c r="G3577" s="19" t="s">
        <v>28</v>
      </c>
      <c r="H3577" s="37"/>
      <c r="I3577" s="19" t="s">
        <v>29</v>
      </c>
      <c r="J3577" s="155" t="str">
        <f t="shared" si="1"/>
        <v>TT</v>
      </c>
      <c r="K3577" s="22" t="s">
        <v>12630</v>
      </c>
      <c r="L3577" s="56">
        <v>45098</v>
      </c>
      <c r="O3577" s="42"/>
      <c r="P3577" s="40"/>
      <c r="Q3577" s="61"/>
      <c r="R3577" s="61"/>
      <c r="S3577" s="40"/>
      <c r="T3577" s="38"/>
      <c r="U3577" s="38"/>
      <c r="V3577" s="38"/>
      <c r="W3577" s="60"/>
      <c r="AB3577" s="42"/>
      <c r="AC3577" s="35"/>
      <c r="AD3577" s="38"/>
      <c r="AE3577" s="38"/>
      <c r="AF3577" s="38"/>
      <c r="AG3577" s="38"/>
      <c r="AH3577" s="60"/>
    </row>
    <row r="3578" spans="1:34" ht="15.75" customHeight="1">
      <c r="A3578" s="35"/>
      <c r="B3578" s="158" t="s">
        <v>12631</v>
      </c>
      <c r="C3578" s="37" t="s">
        <v>24</v>
      </c>
      <c r="D3578" s="20" t="s">
        <v>12632</v>
      </c>
      <c r="E3578" s="20" t="s">
        <v>12633</v>
      </c>
      <c r="F3578" s="19" t="s">
        <v>27</v>
      </c>
      <c r="G3578" s="19" t="s">
        <v>28</v>
      </c>
      <c r="H3578" s="37"/>
      <c r="I3578" s="19" t="s">
        <v>29</v>
      </c>
      <c r="J3578" s="155" t="str">
        <f t="shared" si="1"/>
        <v>TT</v>
      </c>
      <c r="K3578" s="22" t="s">
        <v>12634</v>
      </c>
      <c r="L3578" s="56">
        <v>45098</v>
      </c>
      <c r="O3578" s="42"/>
      <c r="P3578" s="40"/>
      <c r="Q3578" s="61"/>
      <c r="R3578" s="61"/>
      <c r="S3578" s="40"/>
      <c r="T3578" s="38"/>
      <c r="U3578" s="38"/>
      <c r="V3578" s="38"/>
      <c r="W3578" s="60"/>
      <c r="AB3578" s="42"/>
      <c r="AC3578" s="35"/>
      <c r="AD3578" s="38"/>
      <c r="AE3578" s="38"/>
      <c r="AF3578" s="38"/>
      <c r="AG3578" s="38"/>
      <c r="AH3578" s="60"/>
    </row>
    <row r="3579" spans="1:34" ht="15.75" customHeight="1">
      <c r="A3579" s="35"/>
      <c r="B3579" s="158" t="s">
        <v>12635</v>
      </c>
      <c r="C3579" s="37" t="s">
        <v>24</v>
      </c>
      <c r="D3579" s="20" t="s">
        <v>12636</v>
      </c>
      <c r="E3579" s="20" t="s">
        <v>12637</v>
      </c>
      <c r="F3579" s="19" t="s">
        <v>27</v>
      </c>
      <c r="G3579" s="19" t="s">
        <v>28</v>
      </c>
      <c r="H3579" s="37"/>
      <c r="I3579" s="19" t="s">
        <v>29</v>
      </c>
      <c r="J3579" s="155" t="str">
        <f t="shared" si="1"/>
        <v>TT</v>
      </c>
      <c r="K3579" s="22" t="s">
        <v>12638</v>
      </c>
      <c r="L3579" s="56">
        <v>45098</v>
      </c>
      <c r="O3579" s="42"/>
      <c r="P3579" s="40"/>
      <c r="Q3579" s="61"/>
      <c r="R3579" s="61"/>
      <c r="S3579" s="40"/>
      <c r="T3579" s="38"/>
      <c r="U3579" s="38"/>
      <c r="V3579" s="38"/>
      <c r="W3579" s="60"/>
      <c r="AB3579" s="42"/>
      <c r="AC3579" s="35"/>
      <c r="AD3579" s="38"/>
      <c r="AE3579" s="38"/>
      <c r="AF3579" s="38"/>
      <c r="AG3579" s="38"/>
      <c r="AH3579" s="60"/>
    </row>
    <row r="3580" spans="1:34" ht="15.75" customHeight="1">
      <c r="A3580" s="35"/>
      <c r="B3580" s="158" t="s">
        <v>12639</v>
      </c>
      <c r="C3580" s="37" t="s">
        <v>87</v>
      </c>
      <c r="D3580" s="20" t="s">
        <v>12640</v>
      </c>
      <c r="E3580" s="20" t="s">
        <v>12641</v>
      </c>
      <c r="F3580" s="19" t="s">
        <v>90</v>
      </c>
      <c r="G3580" s="19" t="s">
        <v>91</v>
      </c>
      <c r="H3580" s="37"/>
      <c r="I3580" s="19" t="s">
        <v>29</v>
      </c>
      <c r="J3580" s="155" t="str">
        <f t="shared" si="1"/>
        <v>TT</v>
      </c>
      <c r="K3580" s="22" t="s">
        <v>12641</v>
      </c>
      <c r="L3580" s="56">
        <v>45098</v>
      </c>
      <c r="O3580" s="42"/>
      <c r="P3580" s="40"/>
      <c r="Q3580" s="61"/>
      <c r="R3580" s="61"/>
      <c r="S3580" s="40"/>
      <c r="T3580" s="38"/>
      <c r="U3580" s="38"/>
      <c r="V3580" s="38"/>
      <c r="W3580" s="60"/>
      <c r="AB3580" s="42"/>
      <c r="AC3580" s="35"/>
      <c r="AD3580" s="38"/>
      <c r="AE3580" s="38"/>
      <c r="AF3580" s="38"/>
      <c r="AG3580" s="38"/>
      <c r="AH3580" s="60"/>
    </row>
    <row r="3581" spans="1:34" ht="15.75" customHeight="1">
      <c r="A3581" s="35"/>
      <c r="B3581" s="158" t="s">
        <v>12642</v>
      </c>
      <c r="C3581" s="37" t="s">
        <v>87</v>
      </c>
      <c r="D3581" s="20" t="s">
        <v>12643</v>
      </c>
      <c r="E3581" s="20" t="s">
        <v>12644</v>
      </c>
      <c r="F3581" s="19" t="s">
        <v>90</v>
      </c>
      <c r="G3581" s="19" t="s">
        <v>91</v>
      </c>
      <c r="H3581" s="37"/>
      <c r="I3581" s="19" t="s">
        <v>29</v>
      </c>
      <c r="J3581" s="155" t="str">
        <f t="shared" si="1"/>
        <v>TT</v>
      </c>
      <c r="K3581" s="22" t="s">
        <v>12644</v>
      </c>
      <c r="L3581" s="56">
        <v>45098</v>
      </c>
      <c r="O3581" s="42"/>
      <c r="P3581" s="40"/>
      <c r="Q3581" s="61"/>
      <c r="R3581" s="61"/>
      <c r="S3581" s="40"/>
      <c r="T3581" s="38"/>
      <c r="U3581" s="38"/>
      <c r="V3581" s="38"/>
      <c r="W3581" s="60"/>
      <c r="AB3581" s="42"/>
      <c r="AC3581" s="35"/>
      <c r="AD3581" s="38"/>
      <c r="AE3581" s="38"/>
      <c r="AF3581" s="38"/>
      <c r="AG3581" s="38"/>
      <c r="AH3581" s="60"/>
    </row>
    <row r="3582" spans="1:34" ht="15.75" customHeight="1">
      <c r="A3582" s="35"/>
      <c r="B3582" s="158" t="s">
        <v>12645</v>
      </c>
      <c r="C3582" s="37" t="s">
        <v>87</v>
      </c>
      <c r="D3582" s="20" t="s">
        <v>12646</v>
      </c>
      <c r="E3582" s="20" t="s">
        <v>12647</v>
      </c>
      <c r="F3582" s="19" t="s">
        <v>90</v>
      </c>
      <c r="G3582" s="19" t="s">
        <v>91</v>
      </c>
      <c r="H3582" s="37"/>
      <c r="I3582" s="19" t="s">
        <v>29</v>
      </c>
      <c r="J3582" s="155" t="str">
        <f t="shared" si="1"/>
        <v>TT</v>
      </c>
      <c r="K3582" s="22" t="s">
        <v>12648</v>
      </c>
      <c r="L3582" s="56">
        <v>45098</v>
      </c>
      <c r="O3582" s="42"/>
      <c r="P3582" s="40"/>
      <c r="Q3582" s="61"/>
      <c r="R3582" s="61"/>
      <c r="S3582" s="40"/>
      <c r="T3582" s="38"/>
      <c r="U3582" s="38"/>
      <c r="V3582" s="38"/>
      <c r="W3582" s="60"/>
      <c r="AB3582" s="42"/>
      <c r="AC3582" s="35"/>
      <c r="AD3582" s="38"/>
      <c r="AE3582" s="38"/>
      <c r="AF3582" s="38"/>
      <c r="AG3582" s="38"/>
      <c r="AH3582" s="60"/>
    </row>
    <row r="3583" spans="1:34" ht="15.75" customHeight="1">
      <c r="A3583" s="35"/>
      <c r="B3583" s="158" t="s">
        <v>12649</v>
      </c>
      <c r="C3583" s="37" t="s">
        <v>24</v>
      </c>
      <c r="D3583" s="20" t="s">
        <v>12650</v>
      </c>
      <c r="E3583" s="20" t="s">
        <v>12651</v>
      </c>
      <c r="F3583" s="19" t="s">
        <v>27</v>
      </c>
      <c r="G3583" s="19" t="s">
        <v>28</v>
      </c>
      <c r="H3583" s="37"/>
      <c r="I3583" s="19" t="s">
        <v>29</v>
      </c>
      <c r="J3583" s="155" t="str">
        <f t="shared" si="1"/>
        <v>TT</v>
      </c>
      <c r="K3583" s="22" t="s">
        <v>12651</v>
      </c>
      <c r="L3583" s="56">
        <v>45098</v>
      </c>
      <c r="O3583" s="42"/>
      <c r="P3583" s="40"/>
      <c r="Q3583" s="61"/>
      <c r="R3583" s="61"/>
      <c r="S3583" s="40"/>
      <c r="T3583" s="38"/>
      <c r="U3583" s="38"/>
      <c r="V3583" s="38"/>
      <c r="W3583" s="60"/>
      <c r="AB3583" s="42"/>
      <c r="AC3583" s="35"/>
      <c r="AD3583" s="38"/>
      <c r="AE3583" s="38"/>
      <c r="AF3583" s="38"/>
      <c r="AG3583" s="38"/>
      <c r="AH3583" s="60"/>
    </row>
    <row r="3584" spans="1:34" ht="15.75" customHeight="1">
      <c r="A3584" s="35"/>
      <c r="B3584" s="158" t="s">
        <v>12652</v>
      </c>
      <c r="C3584" s="37" t="s">
        <v>87</v>
      </c>
      <c r="D3584" s="20" t="s">
        <v>12653</v>
      </c>
      <c r="E3584" s="20" t="s">
        <v>12654</v>
      </c>
      <c r="F3584" s="19" t="s">
        <v>90</v>
      </c>
      <c r="G3584" s="19" t="s">
        <v>91</v>
      </c>
      <c r="H3584" s="37"/>
      <c r="I3584" s="19" t="s">
        <v>29</v>
      </c>
      <c r="J3584" s="155" t="str">
        <f t="shared" si="1"/>
        <v>TT</v>
      </c>
      <c r="K3584" s="22" t="s">
        <v>12655</v>
      </c>
      <c r="L3584" s="56">
        <v>45098</v>
      </c>
      <c r="O3584" s="42"/>
      <c r="P3584" s="40"/>
      <c r="Q3584" s="61"/>
      <c r="R3584" s="61"/>
      <c r="S3584" s="40"/>
      <c r="T3584" s="38"/>
      <c r="U3584" s="38"/>
      <c r="V3584" s="38"/>
      <c r="W3584" s="60"/>
      <c r="AB3584" s="42"/>
      <c r="AC3584" s="35"/>
      <c r="AD3584" s="38"/>
      <c r="AE3584" s="38"/>
      <c r="AF3584" s="38"/>
      <c r="AG3584" s="38"/>
      <c r="AH3584" s="60"/>
    </row>
    <row r="3585" spans="1:34" ht="15.75" customHeight="1">
      <c r="A3585" s="35"/>
      <c r="B3585" s="159" t="s">
        <v>12656</v>
      </c>
      <c r="C3585" s="37" t="s">
        <v>24</v>
      </c>
      <c r="D3585" s="20" t="s">
        <v>12657</v>
      </c>
      <c r="E3585" s="20" t="s">
        <v>12658</v>
      </c>
      <c r="F3585" s="19" t="s">
        <v>27</v>
      </c>
      <c r="G3585" s="19" t="s">
        <v>28</v>
      </c>
      <c r="H3585" s="37"/>
      <c r="I3585" s="19" t="s">
        <v>29</v>
      </c>
      <c r="J3585" s="155" t="str">
        <f t="shared" si="1"/>
        <v>TT</v>
      </c>
      <c r="K3585" s="22" t="s">
        <v>12658</v>
      </c>
      <c r="L3585" s="56">
        <v>45098</v>
      </c>
      <c r="O3585" s="42"/>
      <c r="P3585" s="40"/>
      <c r="Q3585" s="61"/>
      <c r="R3585" s="61"/>
      <c r="S3585" s="40"/>
      <c r="T3585" s="38"/>
      <c r="U3585" s="38"/>
      <c r="V3585" s="38"/>
      <c r="W3585" s="60"/>
      <c r="AB3585" s="42"/>
      <c r="AC3585" s="35"/>
      <c r="AD3585" s="38"/>
      <c r="AE3585" s="38"/>
      <c r="AF3585" s="38"/>
      <c r="AG3585" s="38"/>
      <c r="AH3585" s="60"/>
    </row>
    <row r="3586" spans="1:34" ht="15.75" customHeight="1">
      <c r="A3586" s="35"/>
      <c r="B3586" s="158" t="s">
        <v>12659</v>
      </c>
      <c r="C3586" s="37" t="s">
        <v>24</v>
      </c>
      <c r="D3586" s="20" t="s">
        <v>12660</v>
      </c>
      <c r="E3586" s="20" t="s">
        <v>12661</v>
      </c>
      <c r="F3586" s="19" t="s">
        <v>27</v>
      </c>
      <c r="G3586" s="19" t="s">
        <v>28</v>
      </c>
      <c r="H3586" s="37"/>
      <c r="I3586" s="19" t="s">
        <v>29</v>
      </c>
      <c r="J3586" s="155" t="str">
        <f t="shared" si="1"/>
        <v>TT</v>
      </c>
      <c r="K3586" s="22" t="s">
        <v>12661</v>
      </c>
      <c r="L3586" s="56">
        <v>45098</v>
      </c>
      <c r="O3586" s="42"/>
      <c r="P3586" s="40"/>
      <c r="Q3586" s="61"/>
      <c r="R3586" s="61"/>
      <c r="S3586" s="40"/>
      <c r="T3586" s="38"/>
      <c r="U3586" s="38"/>
      <c r="V3586" s="38"/>
      <c r="W3586" s="60"/>
      <c r="AB3586" s="42"/>
      <c r="AC3586" s="35"/>
      <c r="AD3586" s="38"/>
      <c r="AE3586" s="38"/>
      <c r="AF3586" s="38"/>
      <c r="AG3586" s="38"/>
      <c r="AH3586" s="60"/>
    </row>
    <row r="3587" spans="1:34" ht="15.75" customHeight="1">
      <c r="A3587" s="35"/>
      <c r="B3587" s="38"/>
      <c r="C3587" s="37"/>
      <c r="D3587" s="20"/>
      <c r="E3587" s="20"/>
      <c r="F3587" s="37"/>
      <c r="G3587" s="37"/>
      <c r="H3587" s="37"/>
      <c r="I3587" s="21"/>
      <c r="J3587" s="155">
        <f t="shared" si="1"/>
        <v>0</v>
      </c>
      <c r="K3587" s="22"/>
      <c r="L3587" s="39"/>
      <c r="O3587" s="42"/>
      <c r="P3587" s="40"/>
      <c r="Q3587" s="61"/>
      <c r="R3587" s="61"/>
      <c r="S3587" s="40"/>
      <c r="T3587" s="38"/>
      <c r="U3587" s="38"/>
      <c r="V3587" s="38"/>
      <c r="W3587" s="60"/>
      <c r="AB3587" s="42"/>
      <c r="AC3587" s="35"/>
      <c r="AD3587" s="38"/>
      <c r="AE3587" s="38"/>
      <c r="AF3587" s="38"/>
      <c r="AG3587" s="38"/>
      <c r="AH3587" s="60"/>
    </row>
    <row r="3588" spans="1:34" ht="15.75" customHeight="1">
      <c r="A3588" s="18" t="s">
        <v>12662</v>
      </c>
      <c r="B3588" s="158" t="s">
        <v>12663</v>
      </c>
      <c r="C3588" s="143" t="s">
        <v>24</v>
      </c>
      <c r="D3588" s="20" t="s">
        <v>12664</v>
      </c>
      <c r="E3588" s="20" t="s">
        <v>12665</v>
      </c>
      <c r="F3588" s="19" t="s">
        <v>27</v>
      </c>
      <c r="G3588" s="19" t="s">
        <v>28</v>
      </c>
      <c r="H3588" s="143"/>
      <c r="I3588" s="37" t="s">
        <v>29</v>
      </c>
      <c r="J3588" s="155" t="str">
        <f t="shared" si="1"/>
        <v>TT</v>
      </c>
      <c r="K3588" s="22" t="s">
        <v>12666</v>
      </c>
      <c r="L3588" s="56">
        <v>45098</v>
      </c>
      <c r="M3588" s="40"/>
      <c r="O3588" s="42"/>
      <c r="P3588" s="40"/>
      <c r="Q3588" s="61"/>
      <c r="R3588" s="61"/>
      <c r="S3588" s="40"/>
      <c r="T3588" s="38"/>
      <c r="U3588" s="38"/>
      <c r="V3588" s="38"/>
      <c r="W3588" s="60"/>
      <c r="AB3588" s="42"/>
      <c r="AC3588" s="35"/>
      <c r="AD3588" s="38"/>
      <c r="AE3588" s="38"/>
      <c r="AF3588" s="38"/>
      <c r="AG3588" s="38"/>
      <c r="AH3588" s="60"/>
    </row>
    <row r="3589" spans="1:34" ht="15.75" customHeight="1">
      <c r="A3589" s="54" t="s">
        <v>12667</v>
      </c>
      <c r="B3589" s="158" t="s">
        <v>12668</v>
      </c>
      <c r="C3589" s="143" t="s">
        <v>24</v>
      </c>
      <c r="D3589" s="20" t="s">
        <v>12669</v>
      </c>
      <c r="E3589" s="20" t="s">
        <v>12670</v>
      </c>
      <c r="F3589" s="19" t="s">
        <v>27</v>
      </c>
      <c r="G3589" s="19" t="s">
        <v>28</v>
      </c>
      <c r="H3589" s="19" t="s">
        <v>36</v>
      </c>
      <c r="I3589" s="37" t="s">
        <v>29</v>
      </c>
      <c r="J3589" s="155" t="str">
        <f t="shared" si="1"/>
        <v>TT</v>
      </c>
      <c r="K3589" s="22" t="s">
        <v>12671</v>
      </c>
      <c r="L3589" s="56">
        <v>45098</v>
      </c>
      <c r="O3589" s="42"/>
      <c r="P3589" s="40"/>
      <c r="Q3589" s="61"/>
      <c r="R3589" s="61"/>
      <c r="S3589" s="40"/>
      <c r="T3589" s="38"/>
      <c r="U3589" s="38"/>
      <c r="V3589" s="38"/>
      <c r="W3589" s="60"/>
      <c r="AB3589" s="42"/>
      <c r="AC3589" s="35"/>
      <c r="AD3589" s="38"/>
      <c r="AE3589" s="38"/>
      <c r="AF3589" s="38"/>
      <c r="AG3589" s="38"/>
      <c r="AH3589" s="60"/>
    </row>
    <row r="3590" spans="1:34" ht="15.75" customHeight="1">
      <c r="A3590" s="114" t="s">
        <v>39</v>
      </c>
      <c r="B3590" s="158" t="s">
        <v>12672</v>
      </c>
      <c r="C3590" s="37" t="s">
        <v>412</v>
      </c>
      <c r="D3590" s="20" t="s">
        <v>12673</v>
      </c>
      <c r="E3590" s="20" t="s">
        <v>12674</v>
      </c>
      <c r="F3590" s="19" t="s">
        <v>414</v>
      </c>
      <c r="G3590" s="19" t="s">
        <v>415</v>
      </c>
      <c r="H3590" s="37"/>
      <c r="I3590" s="37" t="s">
        <v>233</v>
      </c>
      <c r="J3590" s="155" t="str">
        <f t="shared" si="1"/>
        <v>NTT</v>
      </c>
      <c r="K3590" s="22" t="s">
        <v>12675</v>
      </c>
      <c r="L3590" s="56">
        <v>45098</v>
      </c>
      <c r="O3590" s="42"/>
      <c r="P3590" s="40"/>
      <c r="Q3590" s="61"/>
      <c r="R3590" s="61"/>
      <c r="S3590" s="40"/>
      <c r="T3590" s="38"/>
      <c r="U3590" s="38"/>
      <c r="V3590" s="38"/>
      <c r="W3590" s="60"/>
      <c r="AB3590" s="42"/>
      <c r="AC3590" s="35"/>
      <c r="AD3590" s="38"/>
      <c r="AE3590" s="38"/>
      <c r="AF3590" s="38"/>
      <c r="AG3590" s="38"/>
      <c r="AH3590" s="60"/>
    </row>
    <row r="3591" spans="1:34" ht="15.75" customHeight="1">
      <c r="A3591" s="38" t="s">
        <v>12553</v>
      </c>
      <c r="B3591" s="158" t="s">
        <v>12676</v>
      </c>
      <c r="C3591" s="143" t="s">
        <v>24</v>
      </c>
      <c r="D3591" s="20" t="s">
        <v>12677</v>
      </c>
      <c r="E3591" s="20" t="s">
        <v>12678</v>
      </c>
      <c r="F3591" s="19" t="s">
        <v>27</v>
      </c>
      <c r="G3591" s="19" t="s">
        <v>28</v>
      </c>
      <c r="H3591" s="143"/>
      <c r="I3591" s="37" t="s">
        <v>29</v>
      </c>
      <c r="J3591" s="155" t="str">
        <f t="shared" si="1"/>
        <v>TT</v>
      </c>
      <c r="K3591" s="22" t="s">
        <v>12679</v>
      </c>
      <c r="L3591" s="56">
        <v>45098</v>
      </c>
      <c r="O3591" s="42"/>
      <c r="P3591" s="40"/>
      <c r="Q3591" s="61"/>
      <c r="R3591" s="61"/>
      <c r="S3591" s="40"/>
      <c r="T3591" s="38"/>
      <c r="U3591" s="38"/>
      <c r="V3591" s="38"/>
      <c r="W3591" s="60"/>
      <c r="AB3591" s="42"/>
      <c r="AC3591" s="35"/>
      <c r="AD3591" s="38"/>
      <c r="AE3591" s="38"/>
      <c r="AF3591" s="38"/>
      <c r="AG3591" s="38"/>
      <c r="AH3591" s="60"/>
    </row>
    <row r="3592" spans="1:34" ht="15.75" customHeight="1">
      <c r="A3592" s="38" t="s">
        <v>12680</v>
      </c>
      <c r="B3592" s="158" t="s">
        <v>12681</v>
      </c>
      <c r="C3592" s="143" t="s">
        <v>24</v>
      </c>
      <c r="D3592" s="20" t="s">
        <v>12682</v>
      </c>
      <c r="E3592" s="20" t="s">
        <v>12683</v>
      </c>
      <c r="F3592" s="19" t="s">
        <v>27</v>
      </c>
      <c r="G3592" s="19" t="s">
        <v>28</v>
      </c>
      <c r="H3592" s="37"/>
      <c r="I3592" s="37" t="s">
        <v>29</v>
      </c>
      <c r="J3592" s="155" t="str">
        <f t="shared" si="1"/>
        <v>TT</v>
      </c>
      <c r="K3592" s="22" t="s">
        <v>12684</v>
      </c>
      <c r="L3592" s="56">
        <v>45098</v>
      </c>
      <c r="O3592" s="42"/>
      <c r="P3592" s="40"/>
      <c r="Q3592" s="61"/>
      <c r="R3592" s="61"/>
      <c r="S3592" s="40"/>
      <c r="T3592" s="38"/>
      <c r="U3592" s="38"/>
      <c r="V3592" s="38"/>
      <c r="W3592" s="60"/>
      <c r="AB3592" s="42"/>
      <c r="AC3592" s="35"/>
      <c r="AD3592" s="38"/>
      <c r="AE3592" s="38"/>
      <c r="AF3592" s="38"/>
      <c r="AG3592" s="38"/>
      <c r="AH3592" s="60"/>
    </row>
    <row r="3593" spans="1:34" ht="15.75" customHeight="1">
      <c r="A3593" s="111" t="s">
        <v>56</v>
      </c>
      <c r="B3593" s="158" t="s">
        <v>12685</v>
      </c>
      <c r="C3593" s="37" t="s">
        <v>412</v>
      </c>
      <c r="D3593" s="20" t="s">
        <v>12686</v>
      </c>
      <c r="E3593" s="20" t="s">
        <v>12687</v>
      </c>
      <c r="F3593" s="19" t="s">
        <v>414</v>
      </c>
      <c r="G3593" s="37" t="s">
        <v>415</v>
      </c>
      <c r="H3593" s="37"/>
      <c r="I3593" s="37" t="s">
        <v>233</v>
      </c>
      <c r="J3593" s="155" t="str">
        <f t="shared" si="1"/>
        <v>NTT</v>
      </c>
      <c r="K3593" s="22" t="s">
        <v>12688</v>
      </c>
      <c r="L3593" s="56">
        <v>45098</v>
      </c>
      <c r="O3593" s="42"/>
      <c r="P3593" s="40"/>
      <c r="Q3593" s="61"/>
      <c r="R3593" s="61"/>
      <c r="S3593" s="40"/>
      <c r="T3593" s="38"/>
      <c r="U3593" s="38"/>
      <c r="V3593" s="38"/>
      <c r="W3593" s="60"/>
      <c r="AB3593" s="42"/>
      <c r="AC3593" s="35"/>
      <c r="AD3593" s="38"/>
      <c r="AE3593" s="38"/>
      <c r="AF3593" s="38"/>
      <c r="AG3593" s="38"/>
      <c r="AH3593" s="60"/>
    </row>
    <row r="3594" spans="1:34" ht="15.75" customHeight="1">
      <c r="A3594" s="75">
        <v>42</v>
      </c>
      <c r="B3594" s="160" t="s">
        <v>12689</v>
      </c>
      <c r="C3594" s="143" t="s">
        <v>121</v>
      </c>
      <c r="D3594" s="20" t="s">
        <v>12690</v>
      </c>
      <c r="E3594" s="20" t="s">
        <v>12691</v>
      </c>
      <c r="F3594" s="19" t="s">
        <v>90</v>
      </c>
      <c r="G3594" s="19" t="s">
        <v>91</v>
      </c>
      <c r="H3594" s="143"/>
      <c r="I3594" s="37" t="s">
        <v>29</v>
      </c>
      <c r="J3594" s="155" t="str">
        <f t="shared" si="1"/>
        <v>TT</v>
      </c>
      <c r="K3594" s="22" t="s">
        <v>12692</v>
      </c>
      <c r="L3594" s="56">
        <v>45098</v>
      </c>
      <c r="O3594" s="42"/>
      <c r="P3594" s="40"/>
      <c r="Q3594" s="61"/>
      <c r="R3594" s="61"/>
      <c r="S3594" s="40"/>
      <c r="T3594" s="38"/>
      <c r="U3594" s="38"/>
      <c r="V3594" s="38"/>
      <c r="W3594" s="60"/>
      <c r="AB3594" s="42"/>
      <c r="AC3594" s="35"/>
      <c r="AD3594" s="38"/>
      <c r="AE3594" s="38"/>
      <c r="AF3594" s="38"/>
      <c r="AG3594" s="38"/>
      <c r="AH3594" s="60"/>
    </row>
    <row r="3595" spans="1:34" ht="15.75" customHeight="1">
      <c r="A3595" s="111" t="s">
        <v>64</v>
      </c>
      <c r="B3595" s="158" t="s">
        <v>12693</v>
      </c>
      <c r="C3595" s="143" t="s">
        <v>24</v>
      </c>
      <c r="D3595" s="20" t="s">
        <v>12694</v>
      </c>
      <c r="E3595" s="20" t="s">
        <v>12695</v>
      </c>
      <c r="F3595" s="19" t="s">
        <v>27</v>
      </c>
      <c r="G3595" s="19" t="s">
        <v>28</v>
      </c>
      <c r="H3595" s="143"/>
      <c r="I3595" s="37" t="s">
        <v>29</v>
      </c>
      <c r="J3595" s="155" t="str">
        <f t="shared" si="1"/>
        <v>TT</v>
      </c>
      <c r="K3595" s="22" t="s">
        <v>12696</v>
      </c>
      <c r="L3595" s="56">
        <v>45098</v>
      </c>
      <c r="O3595" s="42"/>
      <c r="P3595" s="40"/>
      <c r="Q3595" s="61"/>
      <c r="R3595" s="61"/>
      <c r="S3595" s="40"/>
      <c r="T3595" s="38"/>
      <c r="U3595" s="38"/>
      <c r="V3595" s="38"/>
      <c r="W3595" s="60"/>
      <c r="AB3595" s="42"/>
      <c r="AC3595" s="35"/>
      <c r="AD3595" s="38"/>
      <c r="AE3595" s="38"/>
      <c r="AF3595" s="38"/>
      <c r="AG3595" s="38"/>
      <c r="AH3595" s="60"/>
    </row>
    <row r="3596" spans="1:34" ht="15.75" customHeight="1">
      <c r="A3596" s="75">
        <v>2.6</v>
      </c>
      <c r="B3596" s="158" t="s">
        <v>12697</v>
      </c>
      <c r="C3596" s="143" t="s">
        <v>24</v>
      </c>
      <c r="D3596" s="20" t="s">
        <v>12698</v>
      </c>
      <c r="E3596" s="20" t="s">
        <v>12699</v>
      </c>
      <c r="F3596" s="19" t="s">
        <v>27</v>
      </c>
      <c r="G3596" s="19" t="s">
        <v>28</v>
      </c>
      <c r="H3596" s="143"/>
      <c r="I3596" s="37" t="s">
        <v>29</v>
      </c>
      <c r="J3596" s="155" t="str">
        <f t="shared" si="1"/>
        <v>TT</v>
      </c>
      <c r="K3596" s="22" t="s">
        <v>12700</v>
      </c>
      <c r="L3596" s="56">
        <v>45098</v>
      </c>
      <c r="O3596" s="42"/>
      <c r="P3596" s="40"/>
      <c r="Q3596" s="61"/>
      <c r="R3596" s="61"/>
      <c r="S3596" s="40"/>
      <c r="T3596" s="38"/>
      <c r="U3596" s="38"/>
      <c r="V3596" s="38"/>
      <c r="W3596" s="60"/>
      <c r="AB3596" s="42"/>
      <c r="AC3596" s="35"/>
      <c r="AD3596" s="38"/>
      <c r="AE3596" s="38"/>
      <c r="AF3596" s="38"/>
      <c r="AG3596" s="38"/>
      <c r="AH3596" s="60"/>
    </row>
    <row r="3597" spans="1:34" ht="15.75" customHeight="1">
      <c r="A3597" s="111" t="s">
        <v>73</v>
      </c>
      <c r="B3597" s="159" t="s">
        <v>12701</v>
      </c>
      <c r="C3597" s="37" t="s">
        <v>46</v>
      </c>
      <c r="D3597" s="20" t="s">
        <v>12702</v>
      </c>
      <c r="E3597" s="20" t="s">
        <v>12703</v>
      </c>
      <c r="F3597" s="37" t="s">
        <v>49</v>
      </c>
      <c r="G3597" s="19" t="s">
        <v>50</v>
      </c>
      <c r="H3597" s="37"/>
      <c r="I3597" s="37" t="s">
        <v>29</v>
      </c>
      <c r="J3597" s="155" t="str">
        <f t="shared" si="1"/>
        <v>TT</v>
      </c>
      <c r="K3597" s="22" t="s">
        <v>12704</v>
      </c>
      <c r="L3597" s="56">
        <v>45098</v>
      </c>
      <c r="O3597" s="42"/>
      <c r="P3597" s="40"/>
      <c r="Q3597" s="61"/>
      <c r="R3597" s="61"/>
      <c r="S3597" s="40"/>
      <c r="T3597" s="38"/>
      <c r="U3597" s="38"/>
      <c r="V3597" s="38"/>
      <c r="W3597" s="60"/>
      <c r="AB3597" s="42"/>
      <c r="AC3597" s="35"/>
      <c r="AD3597" s="38"/>
      <c r="AE3597" s="38"/>
      <c r="AF3597" s="38"/>
      <c r="AG3597" s="38"/>
      <c r="AH3597" s="60"/>
    </row>
    <row r="3598" spans="1:34" ht="15.75" customHeight="1">
      <c r="A3598" s="75">
        <v>3.2</v>
      </c>
      <c r="B3598" s="158" t="s">
        <v>12705</v>
      </c>
      <c r="C3598" s="37" t="s">
        <v>87</v>
      </c>
      <c r="D3598" s="20" t="s">
        <v>12706</v>
      </c>
      <c r="E3598" s="20" t="s">
        <v>12707</v>
      </c>
      <c r="F3598" s="19" t="s">
        <v>90</v>
      </c>
      <c r="G3598" s="19" t="s">
        <v>91</v>
      </c>
      <c r="H3598" s="37"/>
      <c r="I3598" s="37" t="s">
        <v>29</v>
      </c>
      <c r="J3598" s="155" t="str">
        <f t="shared" si="1"/>
        <v>TT</v>
      </c>
      <c r="K3598" s="22" t="s">
        <v>12708</v>
      </c>
      <c r="L3598" s="56">
        <v>45098</v>
      </c>
      <c r="O3598" s="42"/>
      <c r="P3598" s="40"/>
      <c r="Q3598" s="61"/>
      <c r="R3598" s="61"/>
      <c r="S3598" s="40"/>
      <c r="T3598" s="38"/>
      <c r="U3598" s="38"/>
      <c r="V3598" s="38"/>
      <c r="W3598" s="60"/>
      <c r="AB3598" s="42"/>
      <c r="AC3598" s="35"/>
      <c r="AD3598" s="38"/>
      <c r="AE3598" s="38"/>
      <c r="AF3598" s="38"/>
      <c r="AG3598" s="38"/>
      <c r="AH3598" s="60"/>
    </row>
    <row r="3599" spans="1:34" ht="15.75" customHeight="1">
      <c r="A3599" s="111" t="s">
        <v>82</v>
      </c>
      <c r="B3599" s="160" t="s">
        <v>12709</v>
      </c>
      <c r="C3599" s="37" t="s">
        <v>24</v>
      </c>
      <c r="D3599" s="20" t="s">
        <v>12710</v>
      </c>
      <c r="E3599" s="20" t="s">
        <v>12711</v>
      </c>
      <c r="F3599" s="19" t="s">
        <v>90</v>
      </c>
      <c r="G3599" s="19" t="s">
        <v>91</v>
      </c>
      <c r="H3599" s="37"/>
      <c r="I3599" s="37" t="s">
        <v>29</v>
      </c>
      <c r="J3599" s="155" t="str">
        <f t="shared" si="1"/>
        <v>TT</v>
      </c>
      <c r="K3599" s="22" t="s">
        <v>12712</v>
      </c>
      <c r="L3599" s="56">
        <v>45098</v>
      </c>
      <c r="O3599" s="42"/>
      <c r="P3599" s="40"/>
      <c r="Q3599" s="61"/>
      <c r="R3599" s="61"/>
      <c r="S3599" s="40"/>
      <c r="T3599" s="38"/>
      <c r="U3599" s="38"/>
      <c r="V3599" s="38"/>
      <c r="W3599" s="60"/>
      <c r="AB3599" s="42"/>
      <c r="AC3599" s="35"/>
      <c r="AD3599" s="38"/>
      <c r="AE3599" s="38"/>
      <c r="AF3599" s="38"/>
      <c r="AG3599" s="38"/>
      <c r="AH3599" s="60"/>
    </row>
    <row r="3600" spans="1:34" ht="15.75" customHeight="1">
      <c r="A3600" s="75" t="s">
        <v>12713</v>
      </c>
      <c r="B3600" s="163" t="s">
        <v>12714</v>
      </c>
      <c r="C3600" s="37" t="s">
        <v>121</v>
      </c>
      <c r="D3600" s="20" t="s">
        <v>12715</v>
      </c>
      <c r="E3600" s="20" t="s">
        <v>12716</v>
      </c>
      <c r="F3600" s="37" t="s">
        <v>49</v>
      </c>
      <c r="G3600" s="19" t="s">
        <v>50</v>
      </c>
      <c r="H3600" s="37"/>
      <c r="I3600" s="37" t="s">
        <v>29</v>
      </c>
      <c r="J3600" s="155" t="str">
        <f t="shared" si="1"/>
        <v>TT</v>
      </c>
      <c r="K3600" s="22" t="s">
        <v>12717</v>
      </c>
      <c r="L3600" s="56">
        <v>45098</v>
      </c>
      <c r="O3600" s="42"/>
      <c r="P3600" s="40"/>
      <c r="Q3600" s="61"/>
      <c r="R3600" s="61"/>
      <c r="S3600" s="40"/>
      <c r="T3600" s="38"/>
      <c r="U3600" s="38"/>
      <c r="V3600" s="38"/>
      <c r="W3600" s="60"/>
      <c r="AB3600" s="42"/>
      <c r="AC3600" s="35"/>
      <c r="AD3600" s="38"/>
      <c r="AE3600" s="38"/>
      <c r="AF3600" s="38"/>
      <c r="AG3600" s="38"/>
      <c r="AH3600" s="60"/>
    </row>
    <row r="3601" spans="1:34" ht="15.75" customHeight="1">
      <c r="A3601" s="111" t="s">
        <v>92</v>
      </c>
      <c r="B3601" s="163" t="s">
        <v>12718</v>
      </c>
      <c r="C3601" s="37" t="s">
        <v>121</v>
      </c>
      <c r="D3601" s="20" t="s">
        <v>12719</v>
      </c>
      <c r="E3601" s="20" t="s">
        <v>12720</v>
      </c>
      <c r="F3601" s="37" t="s">
        <v>49</v>
      </c>
      <c r="G3601" s="19" t="s">
        <v>50</v>
      </c>
      <c r="H3601" s="37"/>
      <c r="I3601" s="37" t="s">
        <v>29</v>
      </c>
      <c r="J3601" s="155" t="str">
        <f t="shared" si="1"/>
        <v>TT</v>
      </c>
      <c r="K3601" s="22" t="s">
        <v>12721</v>
      </c>
      <c r="L3601" s="56">
        <v>45098</v>
      </c>
      <c r="O3601" s="42"/>
      <c r="P3601" s="40"/>
      <c r="Q3601" s="61"/>
      <c r="R3601" s="61"/>
      <c r="S3601" s="40"/>
      <c r="T3601" s="38"/>
      <c r="U3601" s="38"/>
      <c r="V3601" s="38"/>
      <c r="W3601" s="60"/>
      <c r="AB3601" s="42"/>
      <c r="AC3601" s="35"/>
      <c r="AD3601" s="38"/>
      <c r="AE3601" s="38"/>
      <c r="AF3601" s="38"/>
      <c r="AG3601" s="38"/>
      <c r="AH3601" s="60"/>
    </row>
    <row r="3602" spans="1:34" ht="15.75" customHeight="1">
      <c r="A3602" s="112">
        <v>1096</v>
      </c>
      <c r="B3602" s="158" t="s">
        <v>12722</v>
      </c>
      <c r="C3602" s="37" t="s">
        <v>46</v>
      </c>
      <c r="D3602" s="20" t="s">
        <v>12723</v>
      </c>
      <c r="E3602" s="20" t="s">
        <v>12724</v>
      </c>
      <c r="F3602" s="37" t="s">
        <v>49</v>
      </c>
      <c r="G3602" s="19" t="s">
        <v>50</v>
      </c>
      <c r="H3602" s="37"/>
      <c r="I3602" s="37" t="s">
        <v>29</v>
      </c>
      <c r="J3602" s="155" t="str">
        <f t="shared" si="1"/>
        <v>TT</v>
      </c>
      <c r="K3602" s="22" t="s">
        <v>12725</v>
      </c>
      <c r="L3602" s="56">
        <v>45098</v>
      </c>
      <c r="O3602" s="42"/>
      <c r="P3602" s="40"/>
      <c r="Q3602" s="61"/>
      <c r="R3602" s="61"/>
      <c r="S3602" s="40"/>
      <c r="T3602" s="38"/>
      <c r="U3602" s="38"/>
      <c r="V3602" s="38"/>
      <c r="W3602" s="60"/>
      <c r="AB3602" s="42"/>
      <c r="AC3602" s="35"/>
      <c r="AD3602" s="38"/>
      <c r="AE3602" s="38"/>
      <c r="AF3602" s="38"/>
      <c r="AG3602" s="38"/>
      <c r="AH3602" s="60"/>
    </row>
    <row r="3603" spans="1:34" ht="15.75" customHeight="1">
      <c r="A3603" s="111" t="s">
        <v>100</v>
      </c>
      <c r="B3603" s="158" t="s">
        <v>12726</v>
      </c>
      <c r="C3603" s="37" t="s">
        <v>24</v>
      </c>
      <c r="D3603" s="20" t="s">
        <v>12727</v>
      </c>
      <c r="E3603" s="20" t="s">
        <v>12728</v>
      </c>
      <c r="F3603" s="19" t="s">
        <v>27</v>
      </c>
      <c r="G3603" s="19" t="s">
        <v>28</v>
      </c>
      <c r="H3603" s="37"/>
      <c r="I3603" s="37" t="s">
        <v>29</v>
      </c>
      <c r="J3603" s="155" t="str">
        <f t="shared" si="1"/>
        <v>TT</v>
      </c>
      <c r="K3603" s="22" t="s">
        <v>12729</v>
      </c>
      <c r="L3603" s="56">
        <v>45098</v>
      </c>
      <c r="O3603" s="42"/>
      <c r="P3603" s="40"/>
      <c r="Q3603" s="61"/>
      <c r="R3603" s="61"/>
      <c r="S3603" s="40"/>
      <c r="T3603" s="38"/>
      <c r="U3603" s="38"/>
      <c r="V3603" s="38"/>
      <c r="W3603" s="60"/>
      <c r="AB3603" s="42"/>
      <c r="AC3603" s="35"/>
      <c r="AD3603" s="38"/>
      <c r="AE3603" s="38"/>
      <c r="AF3603" s="38"/>
      <c r="AG3603" s="38"/>
      <c r="AH3603" s="60"/>
    </row>
    <row r="3604" spans="1:34" ht="15.75" customHeight="1">
      <c r="A3604" s="75">
        <v>159</v>
      </c>
      <c r="B3604" s="158" t="s">
        <v>12730</v>
      </c>
      <c r="C3604" s="37" t="s">
        <v>24</v>
      </c>
      <c r="D3604" s="20" t="s">
        <v>12731</v>
      </c>
      <c r="E3604" s="20" t="s">
        <v>12732</v>
      </c>
      <c r="F3604" s="19" t="s">
        <v>27</v>
      </c>
      <c r="G3604" s="19" t="s">
        <v>28</v>
      </c>
      <c r="H3604" s="37"/>
      <c r="I3604" s="37" t="s">
        <v>29</v>
      </c>
      <c r="J3604" s="155" t="str">
        <f t="shared" si="1"/>
        <v>TT</v>
      </c>
      <c r="K3604" s="22" t="s">
        <v>12733</v>
      </c>
      <c r="L3604" s="56">
        <v>45098</v>
      </c>
      <c r="O3604" s="42"/>
      <c r="P3604" s="40"/>
      <c r="Q3604" s="61"/>
      <c r="R3604" s="61"/>
      <c r="S3604" s="40"/>
      <c r="T3604" s="38"/>
      <c r="U3604" s="38"/>
      <c r="V3604" s="38"/>
      <c r="W3604" s="60"/>
      <c r="AB3604" s="42"/>
      <c r="AC3604" s="35"/>
      <c r="AD3604" s="38"/>
      <c r="AE3604" s="38"/>
      <c r="AF3604" s="38"/>
      <c r="AG3604" s="38"/>
      <c r="AH3604" s="60"/>
    </row>
    <row r="3605" spans="1:34" ht="15.75" customHeight="1">
      <c r="A3605" s="38"/>
      <c r="B3605" s="158" t="s">
        <v>12734</v>
      </c>
      <c r="C3605" s="37" t="s">
        <v>24</v>
      </c>
      <c r="D3605" s="20" t="s">
        <v>12735</v>
      </c>
      <c r="E3605" s="20" t="s">
        <v>12736</v>
      </c>
      <c r="F3605" s="19" t="s">
        <v>27</v>
      </c>
      <c r="G3605" s="19" t="s">
        <v>28</v>
      </c>
      <c r="H3605" s="37"/>
      <c r="I3605" s="37" t="s">
        <v>29</v>
      </c>
      <c r="J3605" s="155" t="str">
        <f t="shared" si="1"/>
        <v>TT</v>
      </c>
      <c r="K3605" s="22" t="s">
        <v>12737</v>
      </c>
      <c r="L3605" s="56">
        <v>45098</v>
      </c>
      <c r="O3605" s="42"/>
      <c r="P3605" s="40"/>
      <c r="Q3605" s="61"/>
      <c r="R3605" s="61"/>
      <c r="S3605" s="40"/>
      <c r="T3605" s="38"/>
      <c r="U3605" s="38"/>
      <c r="V3605" s="38"/>
      <c r="W3605" s="60"/>
      <c r="AB3605" s="42"/>
      <c r="AC3605" s="35"/>
      <c r="AD3605" s="38"/>
      <c r="AE3605" s="38"/>
      <c r="AF3605" s="38"/>
      <c r="AG3605" s="38"/>
      <c r="AH3605" s="60"/>
    </row>
    <row r="3606" spans="1:34" ht="15.75" customHeight="1">
      <c r="A3606" s="168"/>
      <c r="B3606" s="158" t="s">
        <v>12738</v>
      </c>
      <c r="C3606" s="37" t="s">
        <v>46</v>
      </c>
      <c r="D3606" s="20"/>
      <c r="E3606" s="20" t="s">
        <v>12739</v>
      </c>
      <c r="F3606" s="37" t="s">
        <v>49</v>
      </c>
      <c r="G3606" s="19" t="s">
        <v>50</v>
      </c>
      <c r="H3606" s="37"/>
      <c r="I3606" s="37" t="s">
        <v>29</v>
      </c>
      <c r="J3606" s="155" t="str">
        <f t="shared" si="1"/>
        <v>TT</v>
      </c>
      <c r="K3606" s="22" t="s">
        <v>12740</v>
      </c>
      <c r="L3606" s="56">
        <v>45098</v>
      </c>
      <c r="O3606" s="42"/>
      <c r="P3606" s="40"/>
      <c r="Q3606" s="61"/>
      <c r="R3606" s="61"/>
      <c r="S3606" s="40"/>
      <c r="T3606" s="38"/>
      <c r="U3606" s="38"/>
      <c r="V3606" s="38"/>
      <c r="W3606" s="60"/>
      <c r="AB3606" s="42"/>
      <c r="AC3606" s="35"/>
      <c r="AD3606" s="38"/>
      <c r="AE3606" s="38"/>
      <c r="AF3606" s="38"/>
      <c r="AG3606" s="38"/>
      <c r="AH3606" s="60"/>
    </row>
    <row r="3607" spans="1:34" ht="15.75" customHeight="1">
      <c r="A3607" s="169"/>
      <c r="B3607" s="158" t="s">
        <v>12741</v>
      </c>
      <c r="C3607" s="37" t="s">
        <v>87</v>
      </c>
      <c r="D3607" s="20" t="s">
        <v>12742</v>
      </c>
      <c r="E3607" s="20" t="s">
        <v>12743</v>
      </c>
      <c r="F3607" s="19" t="s">
        <v>90</v>
      </c>
      <c r="G3607" s="19" t="s">
        <v>91</v>
      </c>
      <c r="H3607" s="37"/>
      <c r="I3607" s="37" t="s">
        <v>29</v>
      </c>
      <c r="J3607" s="155" t="str">
        <f t="shared" si="1"/>
        <v>TT</v>
      </c>
      <c r="K3607" s="22" t="s">
        <v>12744</v>
      </c>
      <c r="L3607" s="56">
        <v>45098</v>
      </c>
      <c r="O3607" s="42"/>
      <c r="P3607" s="40"/>
      <c r="Q3607" s="61"/>
      <c r="R3607" s="61"/>
      <c r="S3607" s="40"/>
      <c r="T3607" s="38"/>
      <c r="U3607" s="38"/>
      <c r="V3607" s="38"/>
      <c r="W3607" s="60"/>
      <c r="AB3607" s="42"/>
      <c r="AC3607" s="35"/>
      <c r="AD3607" s="38"/>
      <c r="AE3607" s="38"/>
      <c r="AF3607" s="38"/>
      <c r="AG3607" s="38"/>
      <c r="AH3607" s="60"/>
    </row>
    <row r="3608" spans="1:34" ht="15.75" customHeight="1">
      <c r="A3608" s="38"/>
      <c r="B3608" s="158" t="s">
        <v>12745</v>
      </c>
      <c r="C3608" s="37" t="s">
        <v>412</v>
      </c>
      <c r="D3608" s="20" t="s">
        <v>12746</v>
      </c>
      <c r="E3608" s="20"/>
      <c r="F3608" s="19" t="s">
        <v>414</v>
      </c>
      <c r="G3608" s="19" t="s">
        <v>415</v>
      </c>
      <c r="H3608" s="37"/>
      <c r="I3608" s="37" t="s">
        <v>233</v>
      </c>
      <c r="J3608" s="155" t="str">
        <f t="shared" si="1"/>
        <v>NTT</v>
      </c>
      <c r="K3608" s="22"/>
      <c r="L3608" s="56">
        <v>45098</v>
      </c>
      <c r="O3608" s="42"/>
      <c r="P3608" s="40"/>
      <c r="Q3608" s="61"/>
      <c r="R3608" s="61"/>
      <c r="S3608" s="40"/>
      <c r="T3608" s="38"/>
      <c r="U3608" s="38"/>
      <c r="V3608" s="38"/>
      <c r="W3608" s="60"/>
      <c r="AB3608" s="42"/>
      <c r="AC3608" s="35"/>
      <c r="AD3608" s="38"/>
      <c r="AE3608" s="38"/>
      <c r="AF3608" s="38"/>
      <c r="AG3608" s="38"/>
      <c r="AH3608" s="60"/>
    </row>
    <row r="3609" spans="1:34" ht="15.75" customHeight="1">
      <c r="A3609" s="168"/>
      <c r="B3609" s="158" t="s">
        <v>12747</v>
      </c>
      <c r="C3609" s="37" t="s">
        <v>24</v>
      </c>
      <c r="D3609" s="20" t="s">
        <v>12748</v>
      </c>
      <c r="E3609" s="20" t="s">
        <v>12749</v>
      </c>
      <c r="F3609" s="19" t="s">
        <v>27</v>
      </c>
      <c r="G3609" s="19" t="s">
        <v>28</v>
      </c>
      <c r="H3609" s="37"/>
      <c r="I3609" s="37" t="s">
        <v>29</v>
      </c>
      <c r="J3609" s="155" t="str">
        <f t="shared" si="1"/>
        <v>TT</v>
      </c>
      <c r="K3609" s="22" t="s">
        <v>12750</v>
      </c>
      <c r="L3609" s="56">
        <v>45098</v>
      </c>
      <c r="O3609" s="42"/>
      <c r="P3609" s="40"/>
      <c r="Q3609" s="61"/>
      <c r="R3609" s="61"/>
      <c r="S3609" s="40"/>
      <c r="T3609" s="38"/>
      <c r="U3609" s="38"/>
      <c r="V3609" s="38"/>
      <c r="W3609" s="60"/>
      <c r="AB3609" s="42"/>
      <c r="AC3609" s="35"/>
      <c r="AD3609" s="38"/>
      <c r="AE3609" s="38"/>
      <c r="AF3609" s="38"/>
      <c r="AG3609" s="38"/>
      <c r="AH3609" s="60"/>
    </row>
    <row r="3610" spans="1:34" ht="15.75" customHeight="1">
      <c r="A3610" s="169"/>
      <c r="B3610" s="158" t="s">
        <v>12751</v>
      </c>
      <c r="C3610" s="37" t="s">
        <v>24</v>
      </c>
      <c r="D3610" s="20" t="s">
        <v>12752</v>
      </c>
      <c r="E3610" s="20" t="s">
        <v>12753</v>
      </c>
      <c r="F3610" s="19" t="s">
        <v>27</v>
      </c>
      <c r="G3610" s="19" t="s">
        <v>28</v>
      </c>
      <c r="H3610" s="37"/>
      <c r="I3610" s="37" t="s">
        <v>29</v>
      </c>
      <c r="J3610" s="155" t="str">
        <f t="shared" si="1"/>
        <v>TT</v>
      </c>
      <c r="K3610" s="22" t="s">
        <v>12754</v>
      </c>
      <c r="L3610" s="56">
        <v>45098</v>
      </c>
      <c r="O3610" s="42"/>
      <c r="P3610" s="40"/>
      <c r="Q3610" s="61"/>
      <c r="R3610" s="61"/>
      <c r="S3610" s="40"/>
      <c r="T3610" s="38"/>
      <c r="U3610" s="38"/>
      <c r="V3610" s="38"/>
      <c r="W3610" s="60"/>
      <c r="AB3610" s="42"/>
      <c r="AC3610" s="35"/>
      <c r="AD3610" s="38"/>
      <c r="AE3610" s="38"/>
      <c r="AF3610" s="38"/>
      <c r="AG3610" s="38"/>
      <c r="AH3610" s="60"/>
    </row>
    <row r="3611" spans="1:34" ht="15.75" customHeight="1">
      <c r="A3611" s="38"/>
      <c r="B3611" s="158" t="s">
        <v>12755</v>
      </c>
      <c r="C3611" s="37" t="s">
        <v>24</v>
      </c>
      <c r="D3611" s="20" t="s">
        <v>12756</v>
      </c>
      <c r="E3611" s="20" t="s">
        <v>12757</v>
      </c>
      <c r="F3611" s="19" t="s">
        <v>27</v>
      </c>
      <c r="G3611" s="19" t="s">
        <v>28</v>
      </c>
      <c r="H3611" s="37"/>
      <c r="I3611" s="37" t="s">
        <v>29</v>
      </c>
      <c r="J3611" s="155" t="str">
        <f t="shared" si="1"/>
        <v>TT</v>
      </c>
      <c r="K3611" s="22" t="s">
        <v>12758</v>
      </c>
      <c r="L3611" s="56">
        <v>45098</v>
      </c>
      <c r="O3611" s="42"/>
      <c r="P3611" s="40"/>
      <c r="Q3611" s="61"/>
      <c r="R3611" s="61"/>
      <c r="S3611" s="40"/>
      <c r="T3611" s="38"/>
      <c r="U3611" s="38"/>
      <c r="V3611" s="38"/>
      <c r="W3611" s="60"/>
      <c r="AB3611" s="42"/>
      <c r="AC3611" s="35"/>
      <c r="AD3611" s="38"/>
      <c r="AE3611" s="38"/>
      <c r="AF3611" s="38"/>
      <c r="AG3611" s="38"/>
      <c r="AH3611" s="60"/>
    </row>
    <row r="3612" spans="1:34" ht="15.75" customHeight="1">
      <c r="A3612" s="168"/>
      <c r="B3612" s="158" t="s">
        <v>12759</v>
      </c>
      <c r="C3612" s="37" t="s">
        <v>87</v>
      </c>
      <c r="D3612" s="20" t="s">
        <v>12760</v>
      </c>
      <c r="E3612" s="20" t="s">
        <v>12761</v>
      </c>
      <c r="F3612" s="19" t="s">
        <v>90</v>
      </c>
      <c r="G3612" s="19" t="s">
        <v>91</v>
      </c>
      <c r="H3612" s="37"/>
      <c r="I3612" s="37" t="s">
        <v>29</v>
      </c>
      <c r="J3612" s="155" t="str">
        <f t="shared" si="1"/>
        <v>TT</v>
      </c>
      <c r="K3612" s="22" t="s">
        <v>12762</v>
      </c>
      <c r="L3612" s="56">
        <v>45098</v>
      </c>
      <c r="O3612" s="42"/>
      <c r="P3612" s="40"/>
      <c r="Q3612" s="61"/>
      <c r="R3612" s="61"/>
      <c r="S3612" s="40"/>
      <c r="T3612" s="38"/>
      <c r="U3612" s="38"/>
      <c r="V3612" s="38"/>
      <c r="W3612" s="60"/>
      <c r="AB3612" s="42"/>
      <c r="AC3612" s="35"/>
      <c r="AD3612" s="38"/>
      <c r="AE3612" s="38"/>
      <c r="AF3612" s="38"/>
      <c r="AG3612" s="38"/>
      <c r="AH3612" s="60"/>
    </row>
    <row r="3613" spans="1:34" ht="15.75" customHeight="1">
      <c r="A3613" s="169"/>
      <c r="B3613" s="158" t="s">
        <v>12763</v>
      </c>
      <c r="C3613" s="37" t="s">
        <v>24</v>
      </c>
      <c r="D3613" s="20" t="s">
        <v>12764</v>
      </c>
      <c r="E3613" s="20" t="s">
        <v>12765</v>
      </c>
      <c r="F3613" s="19" t="s">
        <v>27</v>
      </c>
      <c r="G3613" s="19" t="s">
        <v>28</v>
      </c>
      <c r="H3613" s="37"/>
      <c r="I3613" s="37" t="s">
        <v>29</v>
      </c>
      <c r="J3613" s="155" t="str">
        <f t="shared" si="1"/>
        <v>TT</v>
      </c>
      <c r="K3613" s="22" t="s">
        <v>12766</v>
      </c>
      <c r="L3613" s="56">
        <v>45098</v>
      </c>
      <c r="O3613" s="42"/>
      <c r="P3613" s="40"/>
      <c r="Q3613" s="61"/>
      <c r="R3613" s="61"/>
      <c r="S3613" s="40"/>
      <c r="T3613" s="38"/>
      <c r="U3613" s="38"/>
      <c r="V3613" s="38"/>
      <c r="W3613" s="60"/>
      <c r="AB3613" s="42"/>
      <c r="AC3613" s="35"/>
      <c r="AD3613" s="38"/>
      <c r="AE3613" s="38"/>
      <c r="AF3613" s="38"/>
      <c r="AG3613" s="38"/>
      <c r="AH3613" s="60"/>
    </row>
    <row r="3614" spans="1:34" ht="15.75" customHeight="1">
      <c r="A3614" s="38"/>
      <c r="B3614" s="158" t="s">
        <v>12767</v>
      </c>
      <c r="C3614" s="37" t="s">
        <v>87</v>
      </c>
      <c r="D3614" s="20" t="s">
        <v>12768</v>
      </c>
      <c r="E3614" s="20" t="s">
        <v>12769</v>
      </c>
      <c r="F3614" s="19" t="s">
        <v>90</v>
      </c>
      <c r="G3614" s="19" t="s">
        <v>91</v>
      </c>
      <c r="H3614" s="37"/>
      <c r="I3614" s="37" t="s">
        <v>29</v>
      </c>
      <c r="J3614" s="155" t="str">
        <f t="shared" si="1"/>
        <v>TT</v>
      </c>
      <c r="K3614" s="22" t="s">
        <v>12770</v>
      </c>
      <c r="L3614" s="56">
        <v>45098</v>
      </c>
      <c r="O3614" s="42"/>
      <c r="P3614" s="40"/>
      <c r="Q3614" s="61"/>
      <c r="R3614" s="61"/>
      <c r="S3614" s="40"/>
      <c r="T3614" s="38"/>
      <c r="U3614" s="38"/>
      <c r="V3614" s="38"/>
      <c r="W3614" s="60"/>
      <c r="AB3614" s="42"/>
      <c r="AC3614" s="35"/>
      <c r="AD3614" s="38"/>
      <c r="AE3614" s="38"/>
      <c r="AF3614" s="38"/>
      <c r="AG3614" s="38"/>
      <c r="AH3614" s="60"/>
    </row>
    <row r="3615" spans="1:34" ht="15.75" customHeight="1">
      <c r="A3615" s="168"/>
      <c r="B3615" s="160" t="s">
        <v>12771</v>
      </c>
      <c r="C3615" s="37" t="s">
        <v>87</v>
      </c>
      <c r="D3615" s="20" t="s">
        <v>12772</v>
      </c>
      <c r="E3615" s="20" t="s">
        <v>12773</v>
      </c>
      <c r="F3615" s="37" t="s">
        <v>49</v>
      </c>
      <c r="G3615" s="19" t="s">
        <v>50</v>
      </c>
      <c r="H3615" s="37"/>
      <c r="I3615" s="37" t="s">
        <v>29</v>
      </c>
      <c r="J3615" s="155" t="str">
        <f t="shared" si="1"/>
        <v>TT</v>
      </c>
      <c r="K3615" s="22" t="s">
        <v>12774</v>
      </c>
      <c r="L3615" s="56">
        <v>45098</v>
      </c>
      <c r="O3615" s="42"/>
      <c r="P3615" s="40"/>
      <c r="Q3615" s="61"/>
      <c r="R3615" s="61"/>
      <c r="S3615" s="40"/>
      <c r="T3615" s="38"/>
      <c r="U3615" s="38"/>
      <c r="V3615" s="38"/>
      <c r="W3615" s="60"/>
      <c r="AB3615" s="42"/>
      <c r="AC3615" s="35"/>
      <c r="AD3615" s="38"/>
      <c r="AE3615" s="38"/>
      <c r="AF3615" s="38"/>
      <c r="AG3615" s="38"/>
      <c r="AH3615" s="60"/>
    </row>
    <row r="3616" spans="1:34" ht="15.75" customHeight="1">
      <c r="A3616" s="169"/>
      <c r="B3616" s="158" t="s">
        <v>12775</v>
      </c>
      <c r="C3616" s="37" t="s">
        <v>24</v>
      </c>
      <c r="D3616" s="20" t="s">
        <v>12776</v>
      </c>
      <c r="E3616" s="20" t="s">
        <v>12777</v>
      </c>
      <c r="F3616" s="19" t="s">
        <v>27</v>
      </c>
      <c r="G3616" s="19" t="s">
        <v>28</v>
      </c>
      <c r="H3616" s="37"/>
      <c r="I3616" s="37" t="s">
        <v>29</v>
      </c>
      <c r="J3616" s="155" t="str">
        <f t="shared" si="1"/>
        <v>TT</v>
      </c>
      <c r="K3616" s="22" t="s">
        <v>12778</v>
      </c>
      <c r="L3616" s="56">
        <v>45098</v>
      </c>
      <c r="O3616" s="42"/>
      <c r="P3616" s="40"/>
      <c r="Q3616" s="61"/>
      <c r="R3616" s="61"/>
      <c r="S3616" s="40"/>
      <c r="T3616" s="38"/>
      <c r="U3616" s="38"/>
      <c r="V3616" s="38"/>
      <c r="W3616" s="60"/>
      <c r="AB3616" s="42"/>
      <c r="AC3616" s="35"/>
      <c r="AD3616" s="38"/>
      <c r="AE3616" s="38"/>
      <c r="AF3616" s="38"/>
      <c r="AG3616" s="38"/>
      <c r="AH3616" s="60"/>
    </row>
    <row r="3617" spans="1:34" ht="15.75" customHeight="1">
      <c r="A3617" s="38"/>
      <c r="B3617" s="38"/>
      <c r="C3617" s="37"/>
      <c r="D3617" s="20"/>
      <c r="E3617" s="20"/>
      <c r="F3617" s="37"/>
      <c r="G3617" s="37"/>
      <c r="H3617" s="37"/>
      <c r="I3617" s="19"/>
      <c r="J3617" s="155">
        <f t="shared" si="1"/>
        <v>0</v>
      </c>
      <c r="K3617" s="22"/>
      <c r="L3617" s="39"/>
      <c r="O3617" s="42"/>
      <c r="P3617" s="40"/>
      <c r="Q3617" s="61"/>
      <c r="R3617" s="61"/>
      <c r="S3617" s="40"/>
      <c r="T3617" s="38"/>
      <c r="U3617" s="38"/>
      <c r="V3617" s="38"/>
      <c r="W3617" s="60"/>
      <c r="AB3617" s="42"/>
      <c r="AC3617" s="35"/>
      <c r="AD3617" s="38"/>
      <c r="AE3617" s="38"/>
      <c r="AF3617" s="38"/>
      <c r="AG3617" s="38"/>
      <c r="AH3617" s="60"/>
    </row>
    <row r="3618" spans="1:34" ht="15.75" customHeight="1">
      <c r="A3618" s="170" t="s">
        <v>12779</v>
      </c>
      <c r="B3618" s="158" t="s">
        <v>12780</v>
      </c>
      <c r="C3618" s="143" t="s">
        <v>24</v>
      </c>
      <c r="D3618" s="20" t="s">
        <v>12781</v>
      </c>
      <c r="E3618" s="20" t="s">
        <v>12782</v>
      </c>
      <c r="F3618" s="19" t="s">
        <v>27</v>
      </c>
      <c r="G3618" s="19" t="s">
        <v>28</v>
      </c>
      <c r="H3618" s="37" t="s">
        <v>813</v>
      </c>
      <c r="I3618" s="37" t="s">
        <v>29</v>
      </c>
      <c r="J3618" s="155" t="str">
        <f t="shared" si="1"/>
        <v>TT</v>
      </c>
      <c r="K3618" s="22" t="s">
        <v>12783</v>
      </c>
      <c r="L3618" s="56">
        <v>45098</v>
      </c>
      <c r="M3618" s="40"/>
      <c r="O3618" s="42"/>
      <c r="P3618" s="40"/>
      <c r="Q3618" s="61"/>
      <c r="R3618" s="61"/>
      <c r="S3618" s="40"/>
      <c r="T3618" s="38"/>
      <c r="U3618" s="38"/>
      <c r="V3618" s="38"/>
      <c r="W3618" s="60"/>
      <c r="AB3618" s="42"/>
      <c r="AC3618" s="35"/>
      <c r="AD3618" s="38"/>
      <c r="AE3618" s="38"/>
      <c r="AF3618" s="38"/>
      <c r="AG3618" s="38"/>
      <c r="AH3618" s="60"/>
    </row>
    <row r="3619" spans="1:34" ht="15.75" customHeight="1">
      <c r="A3619" s="35" t="s">
        <v>12784</v>
      </c>
      <c r="B3619" s="158" t="s">
        <v>12785</v>
      </c>
      <c r="C3619" s="37" t="s">
        <v>46</v>
      </c>
      <c r="D3619" s="20" t="s">
        <v>12786</v>
      </c>
      <c r="E3619" s="20" t="s">
        <v>12787</v>
      </c>
      <c r="F3619" s="37" t="s">
        <v>49</v>
      </c>
      <c r="G3619" s="19" t="s">
        <v>50</v>
      </c>
      <c r="H3619" s="37"/>
      <c r="I3619" s="37" t="s">
        <v>29</v>
      </c>
      <c r="J3619" s="155" t="str">
        <f t="shared" si="1"/>
        <v>TT</v>
      </c>
      <c r="K3619" s="22" t="s">
        <v>12788</v>
      </c>
      <c r="L3619" s="56">
        <v>45098</v>
      </c>
      <c r="O3619" s="42"/>
      <c r="P3619" s="40"/>
      <c r="Q3619" s="61"/>
      <c r="R3619" s="61"/>
      <c r="S3619" s="40"/>
      <c r="T3619" s="38"/>
      <c r="U3619" s="38"/>
      <c r="V3619" s="38"/>
      <c r="W3619" s="60"/>
      <c r="AB3619" s="42"/>
      <c r="AC3619" s="35"/>
      <c r="AD3619" s="38"/>
      <c r="AE3619" s="38"/>
      <c r="AF3619" s="38"/>
      <c r="AG3619" s="38"/>
      <c r="AH3619" s="60"/>
    </row>
    <row r="3620" spans="1:34" ht="15.75" customHeight="1">
      <c r="A3620" s="114" t="s">
        <v>39</v>
      </c>
      <c r="B3620" s="158" t="s">
        <v>12789</v>
      </c>
      <c r="C3620" s="143" t="s">
        <v>24</v>
      </c>
      <c r="D3620" s="20" t="s">
        <v>12790</v>
      </c>
      <c r="E3620" s="20" t="s">
        <v>12791</v>
      </c>
      <c r="F3620" s="19" t="s">
        <v>27</v>
      </c>
      <c r="G3620" s="19" t="s">
        <v>28</v>
      </c>
      <c r="H3620" s="19" t="s">
        <v>36</v>
      </c>
      <c r="I3620" s="37" t="s">
        <v>29</v>
      </c>
      <c r="J3620" s="155" t="str">
        <f t="shared" si="1"/>
        <v>TT</v>
      </c>
      <c r="K3620" s="22" t="s">
        <v>12792</v>
      </c>
      <c r="L3620" s="56">
        <v>45098</v>
      </c>
      <c r="O3620" s="42"/>
      <c r="P3620" s="40"/>
      <c r="Q3620" s="61"/>
      <c r="R3620" s="61"/>
      <c r="S3620" s="40"/>
      <c r="T3620" s="38"/>
      <c r="U3620" s="38"/>
      <c r="V3620" s="38"/>
      <c r="W3620" s="60"/>
      <c r="AB3620" s="42"/>
      <c r="AC3620" s="35"/>
      <c r="AD3620" s="38"/>
      <c r="AE3620" s="38"/>
      <c r="AF3620" s="38"/>
      <c r="AG3620" s="38"/>
      <c r="AH3620" s="60"/>
    </row>
    <row r="3621" spans="1:34" ht="15.75" customHeight="1">
      <c r="A3621" s="38" t="s">
        <v>12553</v>
      </c>
      <c r="B3621" s="158" t="s">
        <v>12793</v>
      </c>
      <c r="C3621" s="37" t="s">
        <v>46</v>
      </c>
      <c r="D3621" s="20" t="s">
        <v>12794</v>
      </c>
      <c r="E3621" s="20" t="s">
        <v>12795</v>
      </c>
      <c r="F3621" s="37" t="s">
        <v>49</v>
      </c>
      <c r="G3621" s="19" t="s">
        <v>50</v>
      </c>
      <c r="H3621" s="37"/>
      <c r="I3621" s="37" t="s">
        <v>29</v>
      </c>
      <c r="J3621" s="155" t="str">
        <f t="shared" si="1"/>
        <v>TT</v>
      </c>
      <c r="K3621" s="22" t="s">
        <v>12796</v>
      </c>
      <c r="L3621" s="56">
        <v>45098</v>
      </c>
      <c r="O3621" s="42"/>
      <c r="P3621" s="40"/>
      <c r="Q3621" s="61"/>
      <c r="R3621" s="61"/>
      <c r="S3621" s="40"/>
      <c r="T3621" s="38"/>
      <c r="U3621" s="38"/>
      <c r="V3621" s="38"/>
      <c r="W3621" s="60"/>
      <c r="AB3621" s="42"/>
      <c r="AC3621" s="35"/>
      <c r="AD3621" s="38"/>
      <c r="AE3621" s="38"/>
      <c r="AF3621" s="38"/>
      <c r="AG3621" s="38"/>
      <c r="AH3621" s="60"/>
    </row>
    <row r="3622" spans="1:34" ht="15.75" customHeight="1">
      <c r="A3622" s="38" t="s">
        <v>10882</v>
      </c>
      <c r="B3622" s="158" t="s">
        <v>12797</v>
      </c>
      <c r="C3622" s="37" t="s">
        <v>24</v>
      </c>
      <c r="D3622" s="20" t="s">
        <v>12798</v>
      </c>
      <c r="E3622" s="20" t="s">
        <v>12799</v>
      </c>
      <c r="F3622" s="19" t="s">
        <v>27</v>
      </c>
      <c r="G3622" s="19" t="s">
        <v>28</v>
      </c>
      <c r="H3622" s="37"/>
      <c r="I3622" s="37" t="s">
        <v>29</v>
      </c>
      <c r="J3622" s="155" t="str">
        <f t="shared" si="1"/>
        <v>TT</v>
      </c>
      <c r="K3622" s="22" t="s">
        <v>12800</v>
      </c>
      <c r="L3622" s="56">
        <v>45098</v>
      </c>
      <c r="O3622" s="42"/>
      <c r="P3622" s="40"/>
      <c r="Q3622" s="61"/>
      <c r="R3622" s="61"/>
      <c r="S3622" s="40"/>
      <c r="T3622" s="38"/>
      <c r="U3622" s="38"/>
      <c r="V3622" s="38"/>
      <c r="W3622" s="60"/>
      <c r="AB3622" s="42"/>
      <c r="AC3622" s="35"/>
      <c r="AD3622" s="38"/>
      <c r="AE3622" s="38"/>
      <c r="AF3622" s="38"/>
      <c r="AG3622" s="38"/>
      <c r="AH3622" s="60"/>
    </row>
    <row r="3623" spans="1:34" ht="15.75" customHeight="1">
      <c r="A3623" s="111" t="s">
        <v>56</v>
      </c>
      <c r="B3623" s="158" t="s">
        <v>12801</v>
      </c>
      <c r="C3623" s="37" t="s">
        <v>46</v>
      </c>
      <c r="D3623" s="20" t="s">
        <v>12802</v>
      </c>
      <c r="E3623" s="20" t="s">
        <v>12803</v>
      </c>
      <c r="F3623" s="37" t="s">
        <v>49</v>
      </c>
      <c r="G3623" s="19" t="s">
        <v>50</v>
      </c>
      <c r="H3623" s="37"/>
      <c r="I3623" s="37" t="s">
        <v>29</v>
      </c>
      <c r="J3623" s="155" t="str">
        <f t="shared" si="1"/>
        <v>TT</v>
      </c>
      <c r="K3623" s="22" t="s">
        <v>12804</v>
      </c>
      <c r="L3623" s="56">
        <v>45098</v>
      </c>
      <c r="O3623" s="42"/>
      <c r="P3623" s="40"/>
      <c r="Q3623" s="61"/>
      <c r="R3623" s="61"/>
      <c r="S3623" s="40"/>
      <c r="T3623" s="38"/>
      <c r="U3623" s="38"/>
      <c r="V3623" s="38"/>
      <c r="W3623" s="60"/>
      <c r="AB3623" s="42"/>
      <c r="AC3623" s="35"/>
      <c r="AD3623" s="38"/>
      <c r="AE3623" s="38"/>
      <c r="AF3623" s="38"/>
      <c r="AG3623" s="38"/>
      <c r="AH3623" s="60"/>
    </row>
    <row r="3624" spans="1:34" ht="15.75" customHeight="1">
      <c r="A3624" s="75">
        <v>52</v>
      </c>
      <c r="B3624" s="158" t="s">
        <v>12805</v>
      </c>
      <c r="C3624" s="37" t="s">
        <v>87</v>
      </c>
      <c r="D3624" s="20" t="s">
        <v>12806</v>
      </c>
      <c r="E3624" s="20" t="s">
        <v>12807</v>
      </c>
      <c r="F3624" s="19" t="s">
        <v>90</v>
      </c>
      <c r="G3624" s="19" t="s">
        <v>91</v>
      </c>
      <c r="H3624" s="37"/>
      <c r="I3624" s="37" t="s">
        <v>29</v>
      </c>
      <c r="J3624" s="155" t="str">
        <f t="shared" si="1"/>
        <v>TT</v>
      </c>
      <c r="K3624" s="22" t="s">
        <v>12808</v>
      </c>
      <c r="L3624" s="56">
        <v>45098</v>
      </c>
      <c r="O3624" s="42"/>
      <c r="P3624" s="40"/>
      <c r="Q3624" s="61"/>
      <c r="R3624" s="61"/>
      <c r="S3624" s="40"/>
      <c r="T3624" s="38"/>
      <c r="U3624" s="38"/>
      <c r="V3624" s="38"/>
      <c r="W3624" s="60"/>
      <c r="AB3624" s="42"/>
      <c r="AC3624" s="35"/>
      <c r="AD3624" s="38"/>
      <c r="AE3624" s="38"/>
      <c r="AF3624" s="38"/>
      <c r="AG3624" s="38"/>
      <c r="AH3624" s="60"/>
    </row>
    <row r="3625" spans="1:34" ht="15.75" customHeight="1">
      <c r="A3625" s="111" t="s">
        <v>64</v>
      </c>
      <c r="B3625" s="158" t="s">
        <v>12809</v>
      </c>
      <c r="C3625" s="37" t="s">
        <v>24</v>
      </c>
      <c r="D3625" s="20" t="s">
        <v>12810</v>
      </c>
      <c r="E3625" s="20" t="s">
        <v>12811</v>
      </c>
      <c r="F3625" s="19" t="s">
        <v>27</v>
      </c>
      <c r="G3625" s="19" t="s">
        <v>28</v>
      </c>
      <c r="H3625" s="37"/>
      <c r="I3625" s="37" t="s">
        <v>29</v>
      </c>
      <c r="J3625" s="155" t="str">
        <f t="shared" si="1"/>
        <v>TT</v>
      </c>
      <c r="K3625" s="22" t="s">
        <v>12812</v>
      </c>
      <c r="L3625" s="56">
        <v>45098</v>
      </c>
      <c r="O3625" s="42"/>
      <c r="P3625" s="40"/>
      <c r="Q3625" s="61"/>
      <c r="R3625" s="61"/>
      <c r="S3625" s="40"/>
      <c r="T3625" s="38"/>
      <c r="U3625" s="38"/>
      <c r="V3625" s="38"/>
      <c r="W3625" s="60"/>
      <c r="AB3625" s="42"/>
      <c r="AC3625" s="35"/>
      <c r="AD3625" s="38"/>
      <c r="AE3625" s="38"/>
      <c r="AF3625" s="38"/>
      <c r="AG3625" s="38"/>
      <c r="AH3625" s="60"/>
    </row>
    <row r="3626" spans="1:34" ht="15.75" customHeight="1">
      <c r="A3626" s="75">
        <v>2.7</v>
      </c>
      <c r="B3626" s="158" t="s">
        <v>12813</v>
      </c>
      <c r="C3626" s="37" t="s">
        <v>87</v>
      </c>
      <c r="D3626" s="20" t="s">
        <v>12814</v>
      </c>
      <c r="E3626" s="20" t="s">
        <v>12815</v>
      </c>
      <c r="F3626" s="19" t="s">
        <v>90</v>
      </c>
      <c r="G3626" s="19" t="s">
        <v>91</v>
      </c>
      <c r="H3626" s="37"/>
      <c r="I3626" s="37" t="s">
        <v>29</v>
      </c>
      <c r="J3626" s="155" t="str">
        <f t="shared" si="1"/>
        <v>TT</v>
      </c>
      <c r="K3626" s="22" t="s">
        <v>12816</v>
      </c>
      <c r="L3626" s="56">
        <v>45098</v>
      </c>
      <c r="O3626" s="42"/>
      <c r="P3626" s="40"/>
      <c r="Q3626" s="61"/>
      <c r="R3626" s="61"/>
      <c r="S3626" s="40"/>
      <c r="T3626" s="38"/>
      <c r="U3626" s="38"/>
      <c r="V3626" s="38"/>
      <c r="W3626" s="60"/>
      <c r="AB3626" s="42"/>
      <c r="AC3626" s="35"/>
      <c r="AD3626" s="38"/>
      <c r="AE3626" s="38"/>
      <c r="AF3626" s="38"/>
      <c r="AG3626" s="38"/>
      <c r="AH3626" s="60"/>
    </row>
    <row r="3627" spans="1:34" ht="15.75" customHeight="1">
      <c r="A3627" s="111" t="s">
        <v>73</v>
      </c>
      <c r="B3627" s="158" t="s">
        <v>12817</v>
      </c>
      <c r="C3627" s="37" t="s">
        <v>1470</v>
      </c>
      <c r="D3627" s="20" t="s">
        <v>12818</v>
      </c>
      <c r="E3627" s="20" t="s">
        <v>12819</v>
      </c>
      <c r="F3627" s="19" t="s">
        <v>3286</v>
      </c>
      <c r="G3627" s="37" t="s">
        <v>1461</v>
      </c>
      <c r="H3627" s="37"/>
      <c r="I3627" s="37" t="s">
        <v>233</v>
      </c>
      <c r="J3627" s="155" t="str">
        <f t="shared" si="1"/>
        <v>NTT</v>
      </c>
      <c r="K3627" s="22" t="s">
        <v>12820</v>
      </c>
      <c r="L3627" s="56">
        <v>45098</v>
      </c>
      <c r="O3627" s="42"/>
      <c r="P3627" s="40"/>
      <c r="Q3627" s="61"/>
      <c r="R3627" s="61"/>
      <c r="S3627" s="40"/>
      <c r="T3627" s="38"/>
      <c r="U3627" s="38"/>
      <c r="V3627" s="38"/>
      <c r="W3627" s="60"/>
      <c r="AB3627" s="42"/>
      <c r="AC3627" s="35"/>
      <c r="AD3627" s="38"/>
      <c r="AE3627" s="38"/>
      <c r="AF3627" s="38"/>
      <c r="AG3627" s="38"/>
      <c r="AH3627" s="60"/>
    </row>
    <row r="3628" spans="1:34" ht="15.75" customHeight="1">
      <c r="A3628" s="75">
        <v>3.4</v>
      </c>
      <c r="B3628" s="158" t="s">
        <v>12821</v>
      </c>
      <c r="C3628" s="37" t="s">
        <v>46</v>
      </c>
      <c r="D3628" s="20" t="s">
        <v>12822</v>
      </c>
      <c r="E3628" s="20" t="s">
        <v>12823</v>
      </c>
      <c r="F3628" s="37" t="s">
        <v>49</v>
      </c>
      <c r="G3628" s="19" t="s">
        <v>50</v>
      </c>
      <c r="H3628" s="37"/>
      <c r="I3628" s="37" t="s">
        <v>29</v>
      </c>
      <c r="J3628" s="155" t="str">
        <f t="shared" si="1"/>
        <v>TT</v>
      </c>
      <c r="K3628" s="22" t="s">
        <v>12824</v>
      </c>
      <c r="L3628" s="56">
        <v>45098</v>
      </c>
      <c r="O3628" s="42"/>
      <c r="P3628" s="40"/>
      <c r="Q3628" s="61"/>
      <c r="R3628" s="61"/>
      <c r="S3628" s="40"/>
      <c r="T3628" s="38"/>
      <c r="U3628" s="38"/>
      <c r="V3628" s="38"/>
      <c r="W3628" s="60"/>
      <c r="AB3628" s="42"/>
      <c r="AC3628" s="35"/>
      <c r="AD3628" s="38"/>
      <c r="AE3628" s="38"/>
      <c r="AF3628" s="38"/>
      <c r="AG3628" s="38"/>
      <c r="AH3628" s="60"/>
    </row>
    <row r="3629" spans="1:34" ht="15.75" customHeight="1">
      <c r="A3629" s="111" t="s">
        <v>82</v>
      </c>
      <c r="B3629" s="158" t="s">
        <v>12825</v>
      </c>
      <c r="C3629" s="37" t="s">
        <v>24</v>
      </c>
      <c r="D3629" s="20" t="s">
        <v>12826</v>
      </c>
      <c r="E3629" s="20" t="s">
        <v>12827</v>
      </c>
      <c r="F3629" s="19" t="s">
        <v>27</v>
      </c>
      <c r="G3629" s="19" t="s">
        <v>28</v>
      </c>
      <c r="H3629" s="19" t="s">
        <v>36</v>
      </c>
      <c r="I3629" s="37" t="s">
        <v>29</v>
      </c>
      <c r="J3629" s="155" t="str">
        <f t="shared" si="1"/>
        <v>TT</v>
      </c>
      <c r="K3629" s="22" t="s">
        <v>12828</v>
      </c>
      <c r="L3629" s="56">
        <v>45098</v>
      </c>
      <c r="O3629" s="42"/>
      <c r="P3629" s="40"/>
      <c r="Q3629" s="61"/>
      <c r="R3629" s="61"/>
      <c r="S3629" s="40"/>
      <c r="T3629" s="38"/>
      <c r="U3629" s="38"/>
      <c r="V3629" s="38"/>
      <c r="W3629" s="60"/>
      <c r="AB3629" s="42"/>
      <c r="AC3629" s="35"/>
      <c r="AD3629" s="38"/>
      <c r="AE3629" s="38"/>
      <c r="AF3629" s="38"/>
      <c r="AG3629" s="38"/>
      <c r="AH3629" s="60"/>
    </row>
    <row r="3630" spans="1:34" ht="15.75" customHeight="1">
      <c r="A3630" s="75" t="s">
        <v>12829</v>
      </c>
      <c r="B3630" s="158" t="s">
        <v>12830</v>
      </c>
      <c r="C3630" s="37" t="s">
        <v>46</v>
      </c>
      <c r="D3630" s="20" t="s">
        <v>12831</v>
      </c>
      <c r="E3630" s="20" t="s">
        <v>12832</v>
      </c>
      <c r="F3630" s="37" t="s">
        <v>49</v>
      </c>
      <c r="G3630" s="19" t="s">
        <v>50</v>
      </c>
      <c r="H3630" s="37"/>
      <c r="I3630" s="37" t="s">
        <v>29</v>
      </c>
      <c r="J3630" s="155" t="str">
        <f t="shared" si="1"/>
        <v>TT</v>
      </c>
      <c r="K3630" s="22" t="s">
        <v>12833</v>
      </c>
      <c r="L3630" s="56">
        <v>45098</v>
      </c>
      <c r="O3630" s="42"/>
      <c r="P3630" s="40"/>
      <c r="Q3630" s="61"/>
      <c r="R3630" s="61"/>
      <c r="S3630" s="40"/>
      <c r="T3630" s="38"/>
      <c r="U3630" s="38"/>
      <c r="V3630" s="38"/>
      <c r="W3630" s="60"/>
      <c r="AB3630" s="42"/>
      <c r="AC3630" s="35"/>
      <c r="AD3630" s="38"/>
      <c r="AE3630" s="38"/>
      <c r="AF3630" s="38"/>
      <c r="AG3630" s="38"/>
      <c r="AH3630" s="60"/>
    </row>
    <row r="3631" spans="1:34" ht="15.75" customHeight="1">
      <c r="A3631" s="111" t="s">
        <v>92</v>
      </c>
      <c r="B3631" s="158" t="s">
        <v>12834</v>
      </c>
      <c r="C3631" s="37" t="s">
        <v>1430</v>
      </c>
      <c r="D3631" s="20" t="s">
        <v>12835</v>
      </c>
      <c r="E3631" s="20" t="s">
        <v>12836</v>
      </c>
      <c r="F3631" s="55" t="s">
        <v>1445</v>
      </c>
      <c r="G3631" s="55" t="s">
        <v>1432</v>
      </c>
      <c r="H3631" s="37"/>
      <c r="I3631" s="37" t="s">
        <v>233</v>
      </c>
      <c r="J3631" s="155" t="str">
        <f t="shared" si="1"/>
        <v>NTT</v>
      </c>
      <c r="K3631" s="22" t="s">
        <v>12837</v>
      </c>
      <c r="L3631" s="56">
        <v>45098</v>
      </c>
      <c r="O3631" s="42"/>
      <c r="P3631" s="40"/>
      <c r="Q3631" s="61"/>
      <c r="R3631" s="61"/>
      <c r="S3631" s="40"/>
      <c r="T3631" s="38"/>
      <c r="U3631" s="38"/>
      <c r="V3631" s="38"/>
      <c r="W3631" s="60"/>
      <c r="AB3631" s="42"/>
      <c r="AC3631" s="35"/>
      <c r="AD3631" s="38"/>
      <c r="AE3631" s="38"/>
      <c r="AF3631" s="38"/>
      <c r="AG3631" s="38"/>
      <c r="AH3631" s="60"/>
    </row>
    <row r="3632" spans="1:34" ht="15.75" customHeight="1">
      <c r="A3632" s="112">
        <v>641</v>
      </c>
      <c r="B3632" s="158" t="s">
        <v>12838</v>
      </c>
      <c r="C3632" s="37" t="s">
        <v>1430</v>
      </c>
      <c r="D3632" s="20" t="s">
        <v>12839</v>
      </c>
      <c r="E3632" s="20" t="s">
        <v>12840</v>
      </c>
      <c r="F3632" s="55" t="s">
        <v>1445</v>
      </c>
      <c r="G3632" s="55" t="s">
        <v>1432</v>
      </c>
      <c r="H3632" s="37"/>
      <c r="I3632" s="37" t="s">
        <v>233</v>
      </c>
      <c r="J3632" s="155" t="str">
        <f t="shared" si="1"/>
        <v>NTT</v>
      </c>
      <c r="K3632" s="22" t="s">
        <v>12841</v>
      </c>
      <c r="L3632" s="56">
        <v>45098</v>
      </c>
      <c r="O3632" s="42"/>
      <c r="P3632" s="40"/>
      <c r="Q3632" s="61"/>
      <c r="R3632" s="61"/>
      <c r="S3632" s="40"/>
      <c r="T3632" s="38"/>
      <c r="U3632" s="38"/>
      <c r="V3632" s="38"/>
      <c r="W3632" s="60"/>
      <c r="AB3632" s="42"/>
      <c r="AC3632" s="35"/>
      <c r="AD3632" s="38"/>
      <c r="AE3632" s="38"/>
      <c r="AF3632" s="38"/>
      <c r="AG3632" s="38"/>
      <c r="AH3632" s="60"/>
    </row>
    <row r="3633" spans="1:34" ht="15.75" customHeight="1">
      <c r="A3633" s="111" t="s">
        <v>100</v>
      </c>
      <c r="B3633" s="158" t="s">
        <v>12842</v>
      </c>
      <c r="C3633" s="37" t="s">
        <v>46</v>
      </c>
      <c r="D3633" s="20" t="s">
        <v>12843</v>
      </c>
      <c r="E3633" s="20" t="s">
        <v>12844</v>
      </c>
      <c r="F3633" s="37" t="s">
        <v>49</v>
      </c>
      <c r="G3633" s="19" t="s">
        <v>50</v>
      </c>
      <c r="H3633" s="37"/>
      <c r="I3633" s="37" t="s">
        <v>29</v>
      </c>
      <c r="J3633" s="155" t="str">
        <f t="shared" si="1"/>
        <v>TT</v>
      </c>
      <c r="K3633" s="22" t="s">
        <v>12845</v>
      </c>
      <c r="L3633" s="56">
        <v>45098</v>
      </c>
      <c r="O3633" s="42"/>
      <c r="P3633" s="40"/>
      <c r="Q3633" s="61"/>
      <c r="R3633" s="61"/>
      <c r="S3633" s="40"/>
      <c r="T3633" s="38"/>
      <c r="U3633" s="38"/>
      <c r="V3633" s="38"/>
      <c r="W3633" s="60"/>
      <c r="AB3633" s="42"/>
      <c r="AC3633" s="35"/>
      <c r="AD3633" s="38"/>
      <c r="AE3633" s="38"/>
      <c r="AF3633" s="38"/>
      <c r="AG3633" s="38"/>
      <c r="AH3633" s="60"/>
    </row>
    <row r="3634" spans="1:34" ht="15.75" customHeight="1">
      <c r="A3634" s="75">
        <v>158</v>
      </c>
      <c r="B3634" s="158" t="s">
        <v>12846</v>
      </c>
      <c r="C3634" s="37" t="s">
        <v>1470</v>
      </c>
      <c r="D3634" s="20" t="s">
        <v>12847</v>
      </c>
      <c r="E3634" s="20" t="s">
        <v>12848</v>
      </c>
      <c r="F3634" s="19" t="s">
        <v>3286</v>
      </c>
      <c r="G3634" s="19" t="s">
        <v>1461</v>
      </c>
      <c r="H3634" s="37"/>
      <c r="I3634" s="37" t="s">
        <v>233</v>
      </c>
      <c r="J3634" s="155" t="str">
        <f t="shared" si="1"/>
        <v>NTT</v>
      </c>
      <c r="K3634" s="22" t="s">
        <v>12849</v>
      </c>
      <c r="L3634" s="56">
        <v>45098</v>
      </c>
      <c r="O3634" s="42"/>
      <c r="P3634" s="40"/>
      <c r="Q3634" s="61"/>
      <c r="R3634" s="61"/>
      <c r="S3634" s="40"/>
      <c r="T3634" s="38"/>
      <c r="U3634" s="38"/>
      <c r="V3634" s="38"/>
      <c r="W3634" s="60"/>
      <c r="AB3634" s="42"/>
      <c r="AC3634" s="35"/>
      <c r="AD3634" s="38"/>
      <c r="AE3634" s="38"/>
      <c r="AF3634" s="38"/>
      <c r="AG3634" s="38"/>
      <c r="AH3634" s="60"/>
    </row>
    <row r="3635" spans="1:34" ht="15.75" customHeight="1">
      <c r="A3635" s="171"/>
      <c r="B3635" s="158" t="s">
        <v>12850</v>
      </c>
      <c r="C3635" s="37" t="s">
        <v>24</v>
      </c>
      <c r="D3635" s="20" t="s">
        <v>12851</v>
      </c>
      <c r="E3635" s="20" t="s">
        <v>12852</v>
      </c>
      <c r="F3635" s="19" t="s">
        <v>27</v>
      </c>
      <c r="G3635" s="19" t="s">
        <v>28</v>
      </c>
      <c r="H3635" s="19" t="s">
        <v>36</v>
      </c>
      <c r="I3635" s="37" t="s">
        <v>29</v>
      </c>
      <c r="J3635" s="155" t="str">
        <f t="shared" si="1"/>
        <v>TT</v>
      </c>
      <c r="K3635" s="22" t="s">
        <v>12853</v>
      </c>
      <c r="L3635" s="56">
        <v>45098</v>
      </c>
      <c r="O3635" s="42"/>
      <c r="P3635" s="40"/>
      <c r="Q3635" s="61"/>
      <c r="R3635" s="61"/>
      <c r="S3635" s="40"/>
      <c r="T3635" s="38"/>
      <c r="U3635" s="38"/>
      <c r="V3635" s="38"/>
      <c r="W3635" s="60"/>
      <c r="AB3635" s="42"/>
      <c r="AC3635" s="35"/>
      <c r="AD3635" s="38"/>
      <c r="AE3635" s="38"/>
      <c r="AF3635" s="38"/>
      <c r="AG3635" s="38"/>
      <c r="AH3635" s="60"/>
    </row>
    <row r="3636" spans="1:34" ht="15.75" customHeight="1">
      <c r="A3636" s="171"/>
      <c r="B3636" s="158" t="s">
        <v>12854</v>
      </c>
      <c r="C3636" s="37" t="s">
        <v>24</v>
      </c>
      <c r="D3636" s="20" t="s">
        <v>12855</v>
      </c>
      <c r="E3636" s="20" t="s">
        <v>12856</v>
      </c>
      <c r="F3636" s="19" t="s">
        <v>27</v>
      </c>
      <c r="G3636" s="19" t="s">
        <v>28</v>
      </c>
      <c r="H3636" s="37"/>
      <c r="I3636" s="37" t="s">
        <v>29</v>
      </c>
      <c r="J3636" s="155" t="str">
        <f t="shared" si="1"/>
        <v>TT</v>
      </c>
      <c r="K3636" s="22" t="s">
        <v>12857</v>
      </c>
      <c r="L3636" s="56">
        <v>45098</v>
      </c>
      <c r="O3636" s="42"/>
      <c r="P3636" s="40"/>
      <c r="Q3636" s="61"/>
      <c r="R3636" s="61"/>
      <c r="S3636" s="40"/>
      <c r="T3636" s="38"/>
      <c r="U3636" s="38"/>
      <c r="V3636" s="38"/>
      <c r="W3636" s="60"/>
      <c r="AB3636" s="42"/>
      <c r="AC3636" s="35"/>
      <c r="AD3636" s="38"/>
      <c r="AE3636" s="38"/>
      <c r="AF3636" s="38"/>
      <c r="AG3636" s="38"/>
      <c r="AH3636" s="60"/>
    </row>
    <row r="3637" spans="1:34" ht="15.75" customHeight="1">
      <c r="A3637" s="171"/>
      <c r="B3637" s="158" t="s">
        <v>12858</v>
      </c>
      <c r="C3637" s="37" t="s">
        <v>1430</v>
      </c>
      <c r="D3637" s="20" t="s">
        <v>12859</v>
      </c>
      <c r="E3637" s="20" t="s">
        <v>12860</v>
      </c>
      <c r="F3637" s="55" t="s">
        <v>1445</v>
      </c>
      <c r="G3637" s="55" t="s">
        <v>1432</v>
      </c>
      <c r="H3637" s="37"/>
      <c r="I3637" s="37" t="s">
        <v>233</v>
      </c>
      <c r="J3637" s="155" t="str">
        <f t="shared" si="1"/>
        <v>NTT</v>
      </c>
      <c r="K3637" s="22" t="s">
        <v>12861</v>
      </c>
      <c r="L3637" s="56">
        <v>45098</v>
      </c>
      <c r="O3637" s="42"/>
      <c r="P3637" s="40"/>
      <c r="Q3637" s="61"/>
      <c r="R3637" s="61"/>
      <c r="S3637" s="40"/>
      <c r="T3637" s="38"/>
      <c r="U3637" s="38"/>
      <c r="V3637" s="38"/>
      <c r="W3637" s="60"/>
      <c r="AB3637" s="42"/>
      <c r="AC3637" s="35"/>
      <c r="AD3637" s="38"/>
      <c r="AE3637" s="38"/>
      <c r="AF3637" s="38"/>
      <c r="AG3637" s="38"/>
      <c r="AH3637" s="60"/>
    </row>
    <row r="3638" spans="1:34" ht="15.75" customHeight="1">
      <c r="A3638" s="171"/>
      <c r="B3638" s="158" t="s">
        <v>12862</v>
      </c>
      <c r="C3638" s="37" t="s">
        <v>46</v>
      </c>
      <c r="D3638" s="20" t="s">
        <v>12863</v>
      </c>
      <c r="E3638" s="20" t="s">
        <v>12864</v>
      </c>
      <c r="F3638" s="37" t="s">
        <v>49</v>
      </c>
      <c r="G3638" s="19" t="s">
        <v>50</v>
      </c>
      <c r="H3638" s="37"/>
      <c r="I3638" s="37" t="s">
        <v>29</v>
      </c>
      <c r="J3638" s="155" t="str">
        <f t="shared" si="1"/>
        <v>TT</v>
      </c>
      <c r="K3638" s="22" t="s">
        <v>12865</v>
      </c>
      <c r="L3638" s="56">
        <v>45098</v>
      </c>
      <c r="O3638" s="42"/>
      <c r="P3638" s="40"/>
      <c r="Q3638" s="61"/>
      <c r="R3638" s="61"/>
      <c r="S3638" s="40"/>
      <c r="T3638" s="38"/>
      <c r="U3638" s="38"/>
      <c r="V3638" s="38"/>
      <c r="W3638" s="60"/>
      <c r="AB3638" s="42"/>
      <c r="AC3638" s="35"/>
      <c r="AD3638" s="38"/>
      <c r="AE3638" s="38"/>
      <c r="AF3638" s="38"/>
      <c r="AG3638" s="38"/>
      <c r="AH3638" s="60"/>
    </row>
    <row r="3639" spans="1:34" ht="15.75" customHeight="1">
      <c r="A3639" s="172"/>
      <c r="B3639" s="160" t="s">
        <v>12866</v>
      </c>
      <c r="C3639" s="37" t="s">
        <v>24</v>
      </c>
      <c r="D3639" s="20" t="s">
        <v>12867</v>
      </c>
      <c r="E3639" s="20" t="s">
        <v>12868</v>
      </c>
      <c r="F3639" s="19" t="s">
        <v>90</v>
      </c>
      <c r="G3639" s="19" t="s">
        <v>91</v>
      </c>
      <c r="H3639" s="37"/>
      <c r="I3639" s="37" t="s">
        <v>29</v>
      </c>
      <c r="J3639" s="155" t="str">
        <f t="shared" si="1"/>
        <v>TT</v>
      </c>
      <c r="K3639" s="22" t="s">
        <v>12869</v>
      </c>
      <c r="L3639" s="56">
        <v>45098</v>
      </c>
      <c r="O3639" s="42"/>
      <c r="P3639" s="40"/>
      <c r="Q3639" s="61"/>
      <c r="R3639" s="61"/>
      <c r="S3639" s="40"/>
      <c r="T3639" s="38"/>
      <c r="U3639" s="38"/>
      <c r="V3639" s="38"/>
      <c r="W3639" s="60"/>
      <c r="AB3639" s="42"/>
      <c r="AC3639" s="35"/>
      <c r="AD3639" s="38"/>
      <c r="AE3639" s="38"/>
      <c r="AF3639" s="38"/>
      <c r="AG3639" s="38"/>
      <c r="AH3639" s="60"/>
    </row>
    <row r="3640" spans="1:34" ht="15.75" customHeight="1">
      <c r="A3640" s="172"/>
      <c r="B3640" s="159" t="s">
        <v>12870</v>
      </c>
      <c r="C3640" s="37" t="s">
        <v>87</v>
      </c>
      <c r="D3640" s="20" t="s">
        <v>12871</v>
      </c>
      <c r="E3640" s="20" t="s">
        <v>12872</v>
      </c>
      <c r="F3640" s="19" t="s">
        <v>90</v>
      </c>
      <c r="G3640" s="19" t="s">
        <v>91</v>
      </c>
      <c r="H3640" s="37"/>
      <c r="I3640" s="37" t="s">
        <v>29</v>
      </c>
      <c r="J3640" s="155" t="str">
        <f t="shared" si="1"/>
        <v>TT</v>
      </c>
      <c r="K3640" s="22" t="s">
        <v>12873</v>
      </c>
      <c r="L3640" s="56">
        <v>45098</v>
      </c>
      <c r="O3640" s="42"/>
      <c r="P3640" s="40"/>
      <c r="Q3640" s="61"/>
      <c r="R3640" s="61"/>
      <c r="S3640" s="40"/>
      <c r="T3640" s="38"/>
      <c r="U3640" s="38"/>
      <c r="V3640" s="38"/>
      <c r="W3640" s="60"/>
      <c r="AB3640" s="42"/>
      <c r="AC3640" s="35"/>
      <c r="AD3640" s="38"/>
      <c r="AE3640" s="38"/>
      <c r="AF3640" s="38"/>
      <c r="AG3640" s="38"/>
      <c r="AH3640" s="60"/>
    </row>
    <row r="3641" spans="1:34" ht="15.75" customHeight="1">
      <c r="A3641" s="172"/>
      <c r="B3641" s="163" t="s">
        <v>12874</v>
      </c>
      <c r="C3641" s="37" t="s">
        <v>121</v>
      </c>
      <c r="D3641" s="20" t="s">
        <v>12875</v>
      </c>
      <c r="E3641" s="20" t="s">
        <v>12876</v>
      </c>
      <c r="F3641" s="19" t="s">
        <v>90</v>
      </c>
      <c r="G3641" s="19" t="s">
        <v>91</v>
      </c>
      <c r="H3641" s="37"/>
      <c r="I3641" s="37" t="s">
        <v>29</v>
      </c>
      <c r="J3641" s="155" t="str">
        <f t="shared" si="1"/>
        <v>TT</v>
      </c>
      <c r="K3641" s="22" t="s">
        <v>12877</v>
      </c>
      <c r="L3641" s="56">
        <v>45098</v>
      </c>
      <c r="O3641" s="42"/>
      <c r="P3641" s="40"/>
      <c r="Q3641" s="61"/>
      <c r="R3641" s="61"/>
      <c r="S3641" s="40"/>
      <c r="T3641" s="38"/>
      <c r="U3641" s="38"/>
      <c r="V3641" s="38"/>
      <c r="W3641" s="60"/>
      <c r="AB3641" s="42"/>
      <c r="AC3641" s="35"/>
      <c r="AD3641" s="38"/>
      <c r="AE3641" s="38"/>
      <c r="AF3641" s="38"/>
      <c r="AG3641" s="38"/>
      <c r="AH3641" s="60"/>
    </row>
    <row r="3642" spans="1:34" ht="15.75" customHeight="1">
      <c r="A3642" s="173"/>
      <c r="B3642" s="158" t="s">
        <v>12878</v>
      </c>
      <c r="C3642" s="37" t="s">
        <v>1470</v>
      </c>
      <c r="D3642" s="20" t="s">
        <v>12879</v>
      </c>
      <c r="E3642" s="20" t="s">
        <v>12880</v>
      </c>
      <c r="F3642" s="19" t="s">
        <v>3286</v>
      </c>
      <c r="G3642" s="37" t="s">
        <v>1461</v>
      </c>
      <c r="H3642" s="37"/>
      <c r="I3642" s="37" t="s">
        <v>233</v>
      </c>
      <c r="J3642" s="155" t="str">
        <f t="shared" si="1"/>
        <v>NTT</v>
      </c>
      <c r="K3642" s="22" t="s">
        <v>12881</v>
      </c>
      <c r="L3642" s="56">
        <v>45098</v>
      </c>
      <c r="O3642" s="42"/>
      <c r="P3642" s="40"/>
      <c r="Q3642" s="61"/>
      <c r="R3642" s="61"/>
      <c r="S3642" s="40"/>
      <c r="T3642" s="38"/>
      <c r="U3642" s="38"/>
      <c r="V3642" s="38"/>
      <c r="W3642" s="60"/>
      <c r="AB3642" s="42"/>
      <c r="AC3642" s="35"/>
      <c r="AD3642" s="38"/>
      <c r="AE3642" s="38"/>
      <c r="AF3642" s="38"/>
      <c r="AG3642" s="38"/>
      <c r="AH3642" s="60"/>
    </row>
    <row r="3643" spans="1:34" ht="15.75" customHeight="1">
      <c r="A3643" s="172"/>
      <c r="B3643" s="158" t="s">
        <v>12882</v>
      </c>
      <c r="C3643" s="37" t="s">
        <v>24</v>
      </c>
      <c r="D3643" s="20" t="s">
        <v>12883</v>
      </c>
      <c r="E3643" s="20" t="s">
        <v>12884</v>
      </c>
      <c r="F3643" s="19" t="s">
        <v>27</v>
      </c>
      <c r="G3643" s="19" t="s">
        <v>28</v>
      </c>
      <c r="H3643" s="19" t="s">
        <v>36</v>
      </c>
      <c r="I3643" s="37" t="s">
        <v>29</v>
      </c>
      <c r="J3643" s="155" t="str">
        <f t="shared" si="1"/>
        <v>TT</v>
      </c>
      <c r="K3643" s="22" t="s">
        <v>12885</v>
      </c>
      <c r="L3643" s="56">
        <v>45098</v>
      </c>
      <c r="O3643" s="42"/>
      <c r="P3643" s="40"/>
      <c r="Q3643" s="61"/>
      <c r="R3643" s="61"/>
      <c r="S3643" s="40"/>
      <c r="T3643" s="38"/>
      <c r="U3643" s="38"/>
      <c r="V3643" s="38"/>
      <c r="W3643" s="60"/>
      <c r="AB3643" s="42"/>
      <c r="AC3643" s="35"/>
      <c r="AD3643" s="38"/>
      <c r="AE3643" s="38"/>
      <c r="AF3643" s="38"/>
      <c r="AG3643" s="38"/>
      <c r="AH3643" s="60"/>
    </row>
    <row r="3644" spans="1:34" ht="15.75" customHeight="1">
      <c r="A3644" s="172"/>
      <c r="B3644" s="158" t="s">
        <v>12886</v>
      </c>
      <c r="C3644" s="37" t="s">
        <v>24</v>
      </c>
      <c r="D3644" s="20" t="s">
        <v>12887</v>
      </c>
      <c r="E3644" s="20" t="s">
        <v>12158</v>
      </c>
      <c r="F3644" s="19" t="s">
        <v>27</v>
      </c>
      <c r="G3644" s="19" t="s">
        <v>28</v>
      </c>
      <c r="H3644" s="37"/>
      <c r="I3644" s="37" t="s">
        <v>29</v>
      </c>
      <c r="J3644" s="155" t="str">
        <f t="shared" si="1"/>
        <v>TT</v>
      </c>
      <c r="K3644" s="22"/>
      <c r="L3644" s="56">
        <v>45098</v>
      </c>
      <c r="O3644" s="42"/>
      <c r="P3644" s="40"/>
      <c r="Q3644" s="61"/>
      <c r="R3644" s="61"/>
      <c r="S3644" s="40"/>
      <c r="T3644" s="38"/>
      <c r="U3644" s="38"/>
      <c r="V3644" s="38"/>
      <c r="W3644" s="60"/>
      <c r="AB3644" s="42"/>
      <c r="AC3644" s="35"/>
      <c r="AD3644" s="38"/>
      <c r="AE3644" s="38"/>
      <c r="AF3644" s="38"/>
      <c r="AG3644" s="38"/>
      <c r="AH3644" s="60"/>
    </row>
    <row r="3645" spans="1:34" ht="15.75" customHeight="1">
      <c r="A3645" s="172"/>
      <c r="B3645" s="158" t="s">
        <v>12888</v>
      </c>
      <c r="C3645" s="37" t="s">
        <v>46</v>
      </c>
      <c r="D3645" s="20" t="s">
        <v>12889</v>
      </c>
      <c r="E3645" s="20" t="s">
        <v>12890</v>
      </c>
      <c r="F3645" s="37" t="s">
        <v>49</v>
      </c>
      <c r="G3645" s="19" t="s">
        <v>50</v>
      </c>
      <c r="H3645" s="37"/>
      <c r="I3645" s="37" t="s">
        <v>29</v>
      </c>
      <c r="J3645" s="155" t="str">
        <f t="shared" si="1"/>
        <v>TT</v>
      </c>
      <c r="K3645" s="22" t="s">
        <v>12891</v>
      </c>
      <c r="L3645" s="56">
        <v>45098</v>
      </c>
      <c r="O3645" s="42"/>
      <c r="P3645" s="40"/>
      <c r="Q3645" s="61"/>
      <c r="R3645" s="61"/>
      <c r="S3645" s="40"/>
      <c r="T3645" s="38"/>
      <c r="U3645" s="38"/>
      <c r="V3645" s="38"/>
      <c r="W3645" s="60"/>
      <c r="AB3645" s="42"/>
      <c r="AC3645" s="35"/>
      <c r="AD3645" s="38"/>
      <c r="AE3645" s="38"/>
      <c r="AF3645" s="38"/>
      <c r="AG3645" s="38"/>
      <c r="AH3645" s="60"/>
    </row>
    <row r="3646" spans="1:34" ht="15.75" customHeight="1">
      <c r="A3646" s="172"/>
      <c r="B3646" s="158" t="s">
        <v>12892</v>
      </c>
      <c r="C3646" s="37" t="s">
        <v>24</v>
      </c>
      <c r="D3646" s="20" t="s">
        <v>12893</v>
      </c>
      <c r="E3646" s="20" t="s">
        <v>12894</v>
      </c>
      <c r="F3646" s="19" t="s">
        <v>27</v>
      </c>
      <c r="G3646" s="19" t="s">
        <v>28</v>
      </c>
      <c r="H3646" s="37"/>
      <c r="I3646" s="37" t="s">
        <v>29</v>
      </c>
      <c r="J3646" s="155" t="str">
        <f t="shared" si="1"/>
        <v>TT</v>
      </c>
      <c r="K3646" s="22" t="s">
        <v>12895</v>
      </c>
      <c r="L3646" s="56">
        <v>45098</v>
      </c>
      <c r="O3646" s="42"/>
      <c r="P3646" s="40"/>
      <c r="Q3646" s="61"/>
      <c r="R3646" s="61"/>
      <c r="S3646" s="40"/>
      <c r="T3646" s="38"/>
      <c r="U3646" s="38"/>
      <c r="V3646" s="38"/>
      <c r="W3646" s="60"/>
      <c r="AB3646" s="42"/>
      <c r="AC3646" s="35"/>
      <c r="AD3646" s="38"/>
      <c r="AE3646" s="38"/>
      <c r="AF3646" s="38"/>
      <c r="AG3646" s="38"/>
      <c r="AH3646" s="60"/>
    </row>
    <row r="3647" spans="1:34" ht="15.75" customHeight="1">
      <c r="A3647" s="172"/>
      <c r="B3647" s="158" t="s">
        <v>12896</v>
      </c>
      <c r="C3647" s="37" t="s">
        <v>24</v>
      </c>
      <c r="D3647" s="20" t="s">
        <v>12897</v>
      </c>
      <c r="E3647" s="20" t="s">
        <v>12898</v>
      </c>
      <c r="F3647" s="19" t="s">
        <v>27</v>
      </c>
      <c r="G3647" s="19" t="s">
        <v>28</v>
      </c>
      <c r="H3647" s="19" t="s">
        <v>36</v>
      </c>
      <c r="I3647" s="37" t="s">
        <v>29</v>
      </c>
      <c r="J3647" s="155" t="str">
        <f t="shared" si="1"/>
        <v>TT</v>
      </c>
      <c r="K3647" s="22" t="s">
        <v>12899</v>
      </c>
      <c r="L3647" s="56">
        <v>45098</v>
      </c>
      <c r="O3647" s="42"/>
      <c r="P3647" s="40"/>
      <c r="Q3647" s="61"/>
      <c r="R3647" s="61"/>
      <c r="S3647" s="40"/>
      <c r="T3647" s="38"/>
      <c r="U3647" s="38"/>
      <c r="V3647" s="38"/>
      <c r="W3647" s="60"/>
      <c r="AB3647" s="42"/>
      <c r="AC3647" s="35"/>
      <c r="AD3647" s="38"/>
      <c r="AE3647" s="38"/>
      <c r="AF3647" s="38"/>
      <c r="AG3647" s="38"/>
      <c r="AH3647" s="60"/>
    </row>
    <row r="3648" spans="1:34" ht="15.75" customHeight="1">
      <c r="A3648" s="172"/>
      <c r="B3648" s="158" t="s">
        <v>12900</v>
      </c>
      <c r="C3648" s="37" t="s">
        <v>1430</v>
      </c>
      <c r="D3648" s="20" t="s">
        <v>12901</v>
      </c>
      <c r="E3648" s="20" t="s">
        <v>12902</v>
      </c>
      <c r="F3648" s="55" t="s">
        <v>1445</v>
      </c>
      <c r="G3648" s="55" t="s">
        <v>1432</v>
      </c>
      <c r="H3648" s="37"/>
      <c r="I3648" s="37" t="s">
        <v>233</v>
      </c>
      <c r="J3648" s="155" t="str">
        <f t="shared" si="1"/>
        <v>NTT</v>
      </c>
      <c r="K3648" s="22" t="s">
        <v>12903</v>
      </c>
      <c r="L3648" s="56">
        <v>45098</v>
      </c>
      <c r="O3648" s="42"/>
      <c r="P3648" s="40"/>
      <c r="Q3648" s="61"/>
      <c r="R3648" s="61"/>
      <c r="S3648" s="40"/>
      <c r="T3648" s="38"/>
      <c r="U3648" s="38"/>
      <c r="V3648" s="38"/>
      <c r="W3648" s="60"/>
      <c r="AB3648" s="42"/>
      <c r="AC3648" s="35"/>
      <c r="AD3648" s="38"/>
      <c r="AE3648" s="38"/>
      <c r="AF3648" s="38"/>
      <c r="AG3648" s="38"/>
      <c r="AH3648" s="60"/>
    </row>
    <row r="3649" spans="1:34" ht="15.75" customHeight="1">
      <c r="A3649" s="172"/>
      <c r="B3649" s="158" t="s">
        <v>12904</v>
      </c>
      <c r="C3649" s="37" t="s">
        <v>87</v>
      </c>
      <c r="D3649" s="20" t="s">
        <v>12905</v>
      </c>
      <c r="E3649" s="20" t="s">
        <v>12906</v>
      </c>
      <c r="F3649" s="19" t="s">
        <v>90</v>
      </c>
      <c r="G3649" s="19" t="s">
        <v>91</v>
      </c>
      <c r="H3649" s="37"/>
      <c r="I3649" s="37" t="s">
        <v>29</v>
      </c>
      <c r="J3649" s="155" t="str">
        <f t="shared" si="1"/>
        <v>TT</v>
      </c>
      <c r="K3649" s="22" t="s">
        <v>12907</v>
      </c>
      <c r="L3649" s="56">
        <v>45098</v>
      </c>
      <c r="O3649" s="42"/>
      <c r="P3649" s="40"/>
      <c r="Q3649" s="61"/>
      <c r="R3649" s="61"/>
      <c r="S3649" s="40"/>
      <c r="T3649" s="38"/>
      <c r="U3649" s="38"/>
      <c r="V3649" s="38"/>
      <c r="W3649" s="60"/>
      <c r="AB3649" s="42"/>
      <c r="AC3649" s="35"/>
      <c r="AD3649" s="38"/>
      <c r="AE3649" s="38"/>
      <c r="AF3649" s="38"/>
      <c r="AG3649" s="38"/>
      <c r="AH3649" s="60"/>
    </row>
    <row r="3650" spans="1:34" ht="15.75" customHeight="1">
      <c r="A3650" s="172"/>
      <c r="B3650" s="158" t="s">
        <v>12908</v>
      </c>
      <c r="C3650" s="37" t="s">
        <v>87</v>
      </c>
      <c r="D3650" s="20" t="s">
        <v>12909</v>
      </c>
      <c r="E3650" s="20" t="s">
        <v>12910</v>
      </c>
      <c r="F3650" s="19" t="s">
        <v>90</v>
      </c>
      <c r="G3650" s="19" t="s">
        <v>91</v>
      </c>
      <c r="H3650" s="37"/>
      <c r="I3650" s="37" t="s">
        <v>29</v>
      </c>
      <c r="J3650" s="155" t="str">
        <f t="shared" si="1"/>
        <v>TT</v>
      </c>
      <c r="K3650" s="22" t="s">
        <v>12911</v>
      </c>
      <c r="L3650" s="56">
        <v>45098</v>
      </c>
      <c r="O3650" s="42"/>
      <c r="P3650" s="40"/>
      <c r="Q3650" s="61"/>
      <c r="R3650" s="61"/>
      <c r="S3650" s="40"/>
      <c r="T3650" s="38"/>
      <c r="U3650" s="38"/>
      <c r="V3650" s="38"/>
      <c r="W3650" s="60"/>
      <c r="AB3650" s="42"/>
      <c r="AC3650" s="35"/>
      <c r="AD3650" s="38"/>
      <c r="AE3650" s="38"/>
      <c r="AF3650" s="38"/>
      <c r="AG3650" s="38"/>
      <c r="AH3650" s="60"/>
    </row>
    <row r="3651" spans="1:34" ht="15.75" customHeight="1">
      <c r="A3651" s="172"/>
      <c r="B3651" s="160" t="s">
        <v>12912</v>
      </c>
      <c r="C3651" s="37" t="s">
        <v>87</v>
      </c>
      <c r="D3651" s="20" t="s">
        <v>12913</v>
      </c>
      <c r="E3651" s="20" t="s">
        <v>12914</v>
      </c>
      <c r="F3651" s="37" t="s">
        <v>49</v>
      </c>
      <c r="G3651" s="19" t="s">
        <v>50</v>
      </c>
      <c r="H3651" s="37"/>
      <c r="I3651" s="37" t="s">
        <v>29</v>
      </c>
      <c r="J3651" s="155" t="str">
        <f t="shared" si="1"/>
        <v>TT</v>
      </c>
      <c r="K3651" s="22" t="s">
        <v>12915</v>
      </c>
      <c r="L3651" s="56">
        <v>45098</v>
      </c>
      <c r="O3651" s="42"/>
      <c r="P3651" s="40"/>
      <c r="Q3651" s="61"/>
      <c r="R3651" s="61"/>
      <c r="S3651" s="40"/>
      <c r="T3651" s="38"/>
      <c r="U3651" s="38"/>
      <c r="V3651" s="38"/>
      <c r="W3651" s="60"/>
      <c r="AB3651" s="42"/>
      <c r="AC3651" s="35"/>
      <c r="AD3651" s="38"/>
      <c r="AE3651" s="38"/>
      <c r="AF3651" s="38"/>
      <c r="AG3651" s="38"/>
      <c r="AH3651" s="60"/>
    </row>
    <row r="3652" spans="1:34" ht="15.75" customHeight="1">
      <c r="A3652" s="172"/>
      <c r="B3652" s="158" t="s">
        <v>12916</v>
      </c>
      <c r="C3652" s="37" t="s">
        <v>87</v>
      </c>
      <c r="D3652" s="20" t="s">
        <v>12917</v>
      </c>
      <c r="E3652" s="20" t="s">
        <v>12918</v>
      </c>
      <c r="F3652" s="19" t="s">
        <v>90</v>
      </c>
      <c r="G3652" s="19" t="s">
        <v>91</v>
      </c>
      <c r="H3652" s="37"/>
      <c r="I3652" s="37" t="s">
        <v>29</v>
      </c>
      <c r="J3652" s="155" t="str">
        <f t="shared" si="1"/>
        <v>TT</v>
      </c>
      <c r="K3652" s="22" t="s">
        <v>12919</v>
      </c>
      <c r="L3652" s="56">
        <v>45098</v>
      </c>
      <c r="O3652" s="42"/>
      <c r="P3652" s="40"/>
      <c r="Q3652" s="61"/>
      <c r="R3652" s="61"/>
      <c r="S3652" s="40"/>
      <c r="T3652" s="38"/>
      <c r="U3652" s="38"/>
      <c r="V3652" s="38"/>
      <c r="W3652" s="60"/>
      <c r="AB3652" s="42"/>
      <c r="AC3652" s="35"/>
      <c r="AD3652" s="38"/>
      <c r="AE3652" s="38"/>
      <c r="AF3652" s="38"/>
      <c r="AG3652" s="38"/>
      <c r="AH3652" s="60"/>
    </row>
    <row r="3653" spans="1:34" ht="15.75" customHeight="1">
      <c r="A3653" s="172"/>
      <c r="B3653" s="158" t="s">
        <v>12920</v>
      </c>
      <c r="C3653" s="37" t="s">
        <v>1470</v>
      </c>
      <c r="D3653" s="20" t="s">
        <v>12921</v>
      </c>
      <c r="E3653" s="20" t="s">
        <v>12922</v>
      </c>
      <c r="F3653" s="19" t="s">
        <v>3286</v>
      </c>
      <c r="G3653" s="19" t="s">
        <v>1461</v>
      </c>
      <c r="H3653" s="37"/>
      <c r="I3653" s="37" t="s">
        <v>233</v>
      </c>
      <c r="J3653" s="155" t="str">
        <f t="shared" si="1"/>
        <v>NTT</v>
      </c>
      <c r="K3653" s="22" t="s">
        <v>12923</v>
      </c>
      <c r="L3653" s="56">
        <v>45098</v>
      </c>
      <c r="O3653" s="42"/>
      <c r="P3653" s="40"/>
      <c r="Q3653" s="61"/>
      <c r="R3653" s="61"/>
      <c r="S3653" s="40"/>
      <c r="T3653" s="38"/>
      <c r="U3653" s="38"/>
      <c r="V3653" s="38"/>
      <c r="W3653" s="60"/>
      <c r="AB3653" s="42"/>
      <c r="AC3653" s="35"/>
      <c r="AD3653" s="38"/>
      <c r="AE3653" s="38"/>
      <c r="AF3653" s="38"/>
      <c r="AG3653" s="38"/>
      <c r="AH3653" s="60"/>
    </row>
    <row r="3654" spans="1:34" ht="15.75" customHeight="1">
      <c r="A3654" s="172"/>
      <c r="B3654" s="158" t="s">
        <v>12924</v>
      </c>
      <c r="C3654" s="37" t="s">
        <v>46</v>
      </c>
      <c r="D3654" s="20" t="s">
        <v>12925</v>
      </c>
      <c r="E3654" s="20" t="s">
        <v>12926</v>
      </c>
      <c r="F3654" s="37" t="s">
        <v>49</v>
      </c>
      <c r="G3654" s="19" t="s">
        <v>50</v>
      </c>
      <c r="H3654" s="19" t="s">
        <v>36</v>
      </c>
      <c r="I3654" s="37" t="s">
        <v>29</v>
      </c>
      <c r="J3654" s="155" t="str">
        <f t="shared" si="1"/>
        <v>TT</v>
      </c>
      <c r="K3654" s="22" t="s">
        <v>12927</v>
      </c>
      <c r="L3654" s="56">
        <v>45098</v>
      </c>
      <c r="O3654" s="42"/>
      <c r="P3654" s="40"/>
      <c r="Q3654" s="61"/>
      <c r="R3654" s="61"/>
      <c r="S3654" s="40"/>
      <c r="T3654" s="38"/>
      <c r="U3654" s="38"/>
      <c r="V3654" s="38"/>
      <c r="W3654" s="60"/>
      <c r="AB3654" s="42"/>
      <c r="AC3654" s="35"/>
      <c r="AD3654" s="38"/>
      <c r="AE3654" s="38"/>
      <c r="AF3654" s="38"/>
      <c r="AG3654" s="38"/>
      <c r="AH3654" s="60"/>
    </row>
    <row r="3655" spans="1:34" ht="15.75" customHeight="1">
      <c r="A3655" s="172"/>
      <c r="B3655" s="158" t="s">
        <v>12928</v>
      </c>
      <c r="C3655" s="37" t="s">
        <v>5799</v>
      </c>
      <c r="D3655" s="20" t="s">
        <v>12929</v>
      </c>
      <c r="E3655" s="20" t="s">
        <v>12930</v>
      </c>
      <c r="F3655" s="37" t="s">
        <v>12931</v>
      </c>
      <c r="G3655" s="37" t="s">
        <v>6656</v>
      </c>
      <c r="H3655" s="37"/>
      <c r="I3655" s="37" t="s">
        <v>233</v>
      </c>
      <c r="J3655" s="155" t="str">
        <f t="shared" si="1"/>
        <v>NTT</v>
      </c>
      <c r="K3655" s="22" t="s">
        <v>12932</v>
      </c>
      <c r="L3655" s="56">
        <v>45098</v>
      </c>
      <c r="O3655" s="42"/>
      <c r="P3655" s="40"/>
      <c r="Q3655" s="61"/>
      <c r="R3655" s="61"/>
      <c r="S3655" s="40"/>
      <c r="T3655" s="38"/>
      <c r="U3655" s="38"/>
      <c r="V3655" s="38"/>
      <c r="W3655" s="60"/>
      <c r="AB3655" s="42"/>
      <c r="AC3655" s="35"/>
      <c r="AD3655" s="38"/>
      <c r="AE3655" s="38"/>
      <c r="AF3655" s="38"/>
      <c r="AG3655" s="38"/>
      <c r="AH3655" s="60"/>
    </row>
    <row r="3656" spans="1:34" ht="15.75" customHeight="1">
      <c r="A3656" s="172"/>
      <c r="B3656" s="158" t="s">
        <v>12933</v>
      </c>
      <c r="C3656" s="37" t="s">
        <v>24</v>
      </c>
      <c r="D3656" s="20" t="s">
        <v>12934</v>
      </c>
      <c r="E3656" s="20" t="s">
        <v>12935</v>
      </c>
      <c r="F3656" s="19" t="s">
        <v>27</v>
      </c>
      <c r="G3656" s="19" t="s">
        <v>28</v>
      </c>
      <c r="H3656" s="37"/>
      <c r="I3656" s="37" t="s">
        <v>29</v>
      </c>
      <c r="J3656" s="155" t="str">
        <f t="shared" si="1"/>
        <v>TT</v>
      </c>
      <c r="K3656" s="22" t="s">
        <v>12936</v>
      </c>
      <c r="L3656" s="56">
        <v>45098</v>
      </c>
      <c r="O3656" s="42"/>
      <c r="P3656" s="40"/>
      <c r="Q3656" s="61"/>
      <c r="R3656" s="61"/>
      <c r="S3656" s="40"/>
      <c r="T3656" s="38"/>
      <c r="U3656" s="38"/>
      <c r="V3656" s="38"/>
      <c r="W3656" s="60"/>
      <c r="AB3656" s="42"/>
      <c r="AC3656" s="35"/>
      <c r="AD3656" s="38"/>
      <c r="AE3656" s="38"/>
      <c r="AF3656" s="38"/>
      <c r="AG3656" s="38"/>
      <c r="AH3656" s="60"/>
    </row>
    <row r="3657" spans="1:34" ht="15.75" customHeight="1">
      <c r="A3657" s="174"/>
      <c r="B3657" s="158" t="s">
        <v>12937</v>
      </c>
      <c r="C3657" s="37" t="s">
        <v>46</v>
      </c>
      <c r="D3657" s="20" t="s">
        <v>12938</v>
      </c>
      <c r="E3657" s="20" t="s">
        <v>12939</v>
      </c>
      <c r="F3657" s="37" t="s">
        <v>49</v>
      </c>
      <c r="G3657" s="19" t="s">
        <v>50</v>
      </c>
      <c r="H3657" s="37"/>
      <c r="I3657" s="37" t="s">
        <v>29</v>
      </c>
      <c r="J3657" s="155" t="str">
        <f t="shared" si="1"/>
        <v>TT</v>
      </c>
      <c r="K3657" s="22" t="s">
        <v>12940</v>
      </c>
      <c r="L3657" s="56">
        <v>45098</v>
      </c>
      <c r="O3657" s="42"/>
      <c r="P3657" s="40"/>
      <c r="Q3657" s="61"/>
      <c r="R3657" s="61"/>
      <c r="S3657" s="40"/>
      <c r="T3657" s="38"/>
      <c r="U3657" s="38"/>
      <c r="V3657" s="38"/>
      <c r="W3657" s="60"/>
      <c r="AB3657" s="42"/>
      <c r="AC3657" s="35"/>
      <c r="AD3657" s="38"/>
      <c r="AE3657" s="38"/>
      <c r="AF3657" s="38"/>
      <c r="AG3657" s="38"/>
      <c r="AH3657" s="60"/>
    </row>
    <row r="3658" spans="1:34" ht="15.75" customHeight="1">
      <c r="A3658" s="172"/>
      <c r="B3658" s="158" t="s">
        <v>12941</v>
      </c>
      <c r="C3658" s="37" t="s">
        <v>24</v>
      </c>
      <c r="D3658" s="20" t="s">
        <v>12942</v>
      </c>
      <c r="E3658" s="20" t="s">
        <v>12943</v>
      </c>
      <c r="F3658" s="19" t="s">
        <v>27</v>
      </c>
      <c r="G3658" s="19" t="s">
        <v>28</v>
      </c>
      <c r="H3658" s="37"/>
      <c r="I3658" s="37" t="s">
        <v>29</v>
      </c>
      <c r="J3658" s="155" t="str">
        <f t="shared" si="1"/>
        <v>TT</v>
      </c>
      <c r="K3658" s="22" t="s">
        <v>12944</v>
      </c>
      <c r="L3658" s="56">
        <v>45098</v>
      </c>
      <c r="O3658" s="42"/>
      <c r="P3658" s="40"/>
      <c r="Q3658" s="61"/>
      <c r="R3658" s="61"/>
      <c r="S3658" s="40"/>
      <c r="T3658" s="38"/>
      <c r="U3658" s="38"/>
      <c r="V3658" s="38"/>
      <c r="W3658" s="60"/>
      <c r="AB3658" s="42"/>
      <c r="AC3658" s="35"/>
      <c r="AD3658" s="38"/>
      <c r="AE3658" s="38"/>
      <c r="AF3658" s="38"/>
      <c r="AG3658" s="38"/>
      <c r="AH3658" s="60"/>
    </row>
    <row r="3659" spans="1:34" ht="15.75" customHeight="1">
      <c r="A3659" s="172"/>
      <c r="B3659" s="158" t="s">
        <v>12945</v>
      </c>
      <c r="C3659" s="37" t="s">
        <v>46</v>
      </c>
      <c r="D3659" s="20" t="s">
        <v>12946</v>
      </c>
      <c r="E3659" s="20" t="s">
        <v>12947</v>
      </c>
      <c r="F3659" s="37" t="s">
        <v>49</v>
      </c>
      <c r="G3659" s="19" t="s">
        <v>50</v>
      </c>
      <c r="H3659" s="37"/>
      <c r="I3659" s="37" t="s">
        <v>29</v>
      </c>
      <c r="J3659" s="155" t="str">
        <f t="shared" si="1"/>
        <v>TT</v>
      </c>
      <c r="K3659" s="22" t="s">
        <v>12948</v>
      </c>
      <c r="L3659" s="56">
        <v>45098</v>
      </c>
      <c r="O3659" s="42"/>
      <c r="P3659" s="40"/>
      <c r="Q3659" s="61"/>
      <c r="R3659" s="61"/>
      <c r="S3659" s="40"/>
      <c r="T3659" s="38"/>
      <c r="U3659" s="38"/>
      <c r="V3659" s="38"/>
      <c r="W3659" s="60"/>
      <c r="AB3659" s="42"/>
      <c r="AC3659" s="35"/>
      <c r="AD3659" s="38"/>
      <c r="AE3659" s="38"/>
      <c r="AF3659" s="38"/>
      <c r="AG3659" s="38"/>
      <c r="AH3659" s="60"/>
    </row>
    <row r="3660" spans="1:34" ht="15.75" customHeight="1">
      <c r="A3660" s="172"/>
      <c r="B3660" s="38"/>
      <c r="C3660" s="37"/>
      <c r="D3660" s="20"/>
      <c r="E3660" s="20"/>
      <c r="F3660" s="37"/>
      <c r="G3660" s="37"/>
      <c r="H3660" s="37"/>
      <c r="I3660" s="37"/>
      <c r="J3660" s="155">
        <f t="shared" si="1"/>
        <v>0</v>
      </c>
      <c r="K3660" s="22"/>
      <c r="L3660" s="39"/>
      <c r="O3660" s="42"/>
      <c r="P3660" s="40"/>
      <c r="Q3660" s="61"/>
      <c r="R3660" s="61"/>
      <c r="S3660" s="40"/>
      <c r="T3660" s="38"/>
      <c r="U3660" s="38"/>
      <c r="V3660" s="38"/>
      <c r="W3660" s="60"/>
      <c r="AB3660" s="42"/>
      <c r="AC3660" s="35"/>
      <c r="AD3660" s="38"/>
      <c r="AE3660" s="38"/>
      <c r="AF3660" s="38"/>
      <c r="AG3660" s="38"/>
      <c r="AH3660" s="60"/>
    </row>
    <row r="3661" spans="1:34" ht="15.75" customHeight="1">
      <c r="A3661" s="38" t="s">
        <v>12949</v>
      </c>
      <c r="B3661" s="158" t="s">
        <v>12950</v>
      </c>
      <c r="C3661" s="37" t="s">
        <v>46</v>
      </c>
      <c r="D3661" s="20" t="s">
        <v>12951</v>
      </c>
      <c r="E3661" s="20" t="s">
        <v>12952</v>
      </c>
      <c r="F3661" s="37" t="s">
        <v>49</v>
      </c>
      <c r="G3661" s="19" t="s">
        <v>50</v>
      </c>
      <c r="H3661" s="37"/>
      <c r="I3661" s="37" t="s">
        <v>29</v>
      </c>
      <c r="J3661" s="155" t="str">
        <f t="shared" si="1"/>
        <v>TT</v>
      </c>
      <c r="K3661" s="22" t="s">
        <v>12953</v>
      </c>
      <c r="L3661" s="56">
        <v>45099</v>
      </c>
      <c r="M3661" s="40"/>
      <c r="O3661" s="42"/>
      <c r="P3661" s="40"/>
      <c r="Q3661" s="61"/>
      <c r="R3661" s="61"/>
      <c r="S3661" s="40"/>
      <c r="T3661" s="38"/>
      <c r="U3661" s="38"/>
      <c r="V3661" s="38"/>
      <c r="W3661" s="60"/>
      <c r="AB3661" s="42"/>
      <c r="AC3661" s="35"/>
      <c r="AD3661" s="38"/>
      <c r="AE3661" s="38"/>
      <c r="AF3661" s="38"/>
      <c r="AG3661" s="38"/>
      <c r="AH3661" s="60"/>
    </row>
    <row r="3662" spans="1:34" ht="15.75" customHeight="1">
      <c r="A3662" s="54" t="s">
        <v>12954</v>
      </c>
      <c r="B3662" s="158" t="s">
        <v>12955</v>
      </c>
      <c r="C3662" s="37" t="s">
        <v>1470</v>
      </c>
      <c r="D3662" s="20" t="s">
        <v>12956</v>
      </c>
      <c r="E3662" s="20" t="s">
        <v>12957</v>
      </c>
      <c r="F3662" s="19" t="s">
        <v>3286</v>
      </c>
      <c r="G3662" s="37" t="s">
        <v>1461</v>
      </c>
      <c r="H3662" s="37"/>
      <c r="I3662" s="37" t="s">
        <v>233</v>
      </c>
      <c r="J3662" s="155" t="str">
        <f t="shared" si="1"/>
        <v>NTT</v>
      </c>
      <c r="K3662" s="22" t="s">
        <v>12958</v>
      </c>
      <c r="L3662" s="56">
        <v>45099</v>
      </c>
      <c r="O3662" s="42"/>
      <c r="P3662" s="40"/>
      <c r="Q3662" s="61"/>
      <c r="R3662" s="61"/>
      <c r="S3662" s="40"/>
      <c r="T3662" s="38"/>
      <c r="U3662" s="38"/>
      <c r="V3662" s="38"/>
      <c r="W3662" s="60"/>
      <c r="AB3662" s="42"/>
      <c r="AC3662" s="35"/>
      <c r="AD3662" s="38"/>
      <c r="AE3662" s="38"/>
      <c r="AF3662" s="38"/>
      <c r="AG3662" s="38"/>
      <c r="AH3662" s="60"/>
    </row>
    <row r="3663" spans="1:34" ht="15.75" customHeight="1">
      <c r="A3663" s="114" t="s">
        <v>39</v>
      </c>
      <c r="B3663" s="158" t="s">
        <v>12959</v>
      </c>
      <c r="C3663" s="143" t="s">
        <v>87</v>
      </c>
      <c r="D3663" s="20" t="s">
        <v>12960</v>
      </c>
      <c r="E3663" s="20" t="s">
        <v>12961</v>
      </c>
      <c r="F3663" s="19" t="s">
        <v>90</v>
      </c>
      <c r="G3663" s="19" t="s">
        <v>91</v>
      </c>
      <c r="H3663" s="143"/>
      <c r="I3663" s="37" t="s">
        <v>29</v>
      </c>
      <c r="J3663" s="155" t="str">
        <f t="shared" si="1"/>
        <v>TT</v>
      </c>
      <c r="K3663" s="22" t="s">
        <v>12962</v>
      </c>
      <c r="L3663" s="56">
        <v>45099</v>
      </c>
      <c r="O3663" s="42"/>
      <c r="P3663" s="40"/>
      <c r="Q3663" s="61"/>
      <c r="R3663" s="61"/>
      <c r="S3663" s="40"/>
      <c r="T3663" s="38"/>
      <c r="U3663" s="38"/>
      <c r="V3663" s="38"/>
      <c r="W3663" s="60"/>
      <c r="AB3663" s="42"/>
      <c r="AC3663" s="35"/>
      <c r="AD3663" s="38"/>
      <c r="AE3663" s="38"/>
      <c r="AF3663" s="38"/>
      <c r="AG3663" s="38"/>
      <c r="AH3663" s="60"/>
    </row>
    <row r="3664" spans="1:34" ht="15.75" customHeight="1">
      <c r="A3664" s="38" t="s">
        <v>12553</v>
      </c>
      <c r="B3664" s="158" t="s">
        <v>12963</v>
      </c>
      <c r="C3664" s="37" t="s">
        <v>24</v>
      </c>
      <c r="D3664" s="20" t="s">
        <v>12964</v>
      </c>
      <c r="E3664" s="20" t="s">
        <v>12965</v>
      </c>
      <c r="F3664" s="19" t="s">
        <v>27</v>
      </c>
      <c r="G3664" s="19" t="s">
        <v>28</v>
      </c>
      <c r="H3664" s="37"/>
      <c r="I3664" s="37" t="s">
        <v>29</v>
      </c>
      <c r="J3664" s="155" t="str">
        <f t="shared" si="1"/>
        <v>TT</v>
      </c>
      <c r="K3664" s="22" t="s">
        <v>12966</v>
      </c>
      <c r="L3664" s="56">
        <v>45099</v>
      </c>
      <c r="O3664" s="42"/>
      <c r="P3664" s="40"/>
      <c r="Q3664" s="61"/>
      <c r="R3664" s="61"/>
      <c r="S3664" s="40"/>
      <c r="T3664" s="38"/>
      <c r="U3664" s="38"/>
      <c r="V3664" s="38"/>
      <c r="W3664" s="60"/>
      <c r="AB3664" s="42"/>
      <c r="AC3664" s="35"/>
      <c r="AD3664" s="38"/>
      <c r="AE3664" s="38"/>
      <c r="AF3664" s="38"/>
      <c r="AG3664" s="38"/>
      <c r="AH3664" s="60"/>
    </row>
    <row r="3665" spans="1:34" ht="15.75" customHeight="1">
      <c r="A3665" s="38" t="s">
        <v>10768</v>
      </c>
      <c r="B3665" s="158" t="s">
        <v>12967</v>
      </c>
      <c r="C3665" s="37" t="s">
        <v>1470</v>
      </c>
      <c r="D3665" s="20" t="s">
        <v>12968</v>
      </c>
      <c r="E3665" s="20" t="s">
        <v>12969</v>
      </c>
      <c r="F3665" s="19" t="s">
        <v>3286</v>
      </c>
      <c r="G3665" s="19" t="s">
        <v>1461</v>
      </c>
      <c r="H3665" s="37"/>
      <c r="I3665" s="37" t="s">
        <v>233</v>
      </c>
      <c r="J3665" s="155" t="str">
        <f t="shared" si="1"/>
        <v>NTT</v>
      </c>
      <c r="K3665" s="22" t="s">
        <v>12970</v>
      </c>
      <c r="L3665" s="56">
        <v>45099</v>
      </c>
      <c r="O3665" s="42"/>
      <c r="P3665" s="40"/>
      <c r="Q3665" s="61"/>
      <c r="R3665" s="61"/>
      <c r="S3665" s="40"/>
      <c r="T3665" s="38"/>
      <c r="U3665" s="38"/>
      <c r="V3665" s="38"/>
      <c r="W3665" s="60"/>
      <c r="AB3665" s="42"/>
      <c r="AC3665" s="35"/>
      <c r="AD3665" s="38"/>
      <c r="AE3665" s="38"/>
      <c r="AF3665" s="38"/>
      <c r="AG3665" s="38"/>
      <c r="AH3665" s="60"/>
    </row>
    <row r="3666" spans="1:34" ht="15.75" customHeight="1">
      <c r="A3666" s="111" t="s">
        <v>56</v>
      </c>
      <c r="B3666" s="160" t="s">
        <v>12971</v>
      </c>
      <c r="C3666" s="143" t="s">
        <v>24</v>
      </c>
      <c r="D3666" s="20" t="s">
        <v>12972</v>
      </c>
      <c r="E3666" s="20" t="s">
        <v>12973</v>
      </c>
      <c r="F3666" s="19" t="s">
        <v>90</v>
      </c>
      <c r="G3666" s="19" t="s">
        <v>91</v>
      </c>
      <c r="H3666" s="143"/>
      <c r="I3666" s="37" t="s">
        <v>29</v>
      </c>
      <c r="J3666" s="155" t="str">
        <f t="shared" si="1"/>
        <v>TT</v>
      </c>
      <c r="K3666" s="22" t="s">
        <v>12974</v>
      </c>
      <c r="L3666" s="56">
        <v>45099</v>
      </c>
      <c r="O3666" s="42"/>
      <c r="P3666" s="40"/>
      <c r="Q3666" s="61"/>
      <c r="R3666" s="61"/>
      <c r="S3666" s="40"/>
      <c r="T3666" s="38"/>
      <c r="U3666" s="38"/>
      <c r="V3666" s="38"/>
      <c r="W3666" s="60"/>
      <c r="AB3666" s="42"/>
      <c r="AC3666" s="35"/>
      <c r="AD3666" s="38"/>
      <c r="AE3666" s="38"/>
      <c r="AF3666" s="38"/>
      <c r="AG3666" s="38"/>
      <c r="AH3666" s="60"/>
    </row>
    <row r="3667" spans="1:34" ht="15.75" customHeight="1">
      <c r="A3667" s="75">
        <v>51</v>
      </c>
      <c r="B3667" s="158" t="s">
        <v>12975</v>
      </c>
      <c r="C3667" s="37" t="s">
        <v>87</v>
      </c>
      <c r="D3667" s="20" t="s">
        <v>12976</v>
      </c>
      <c r="E3667" s="20" t="s">
        <v>12977</v>
      </c>
      <c r="F3667" s="19" t="s">
        <v>90</v>
      </c>
      <c r="G3667" s="19" t="s">
        <v>91</v>
      </c>
      <c r="H3667" s="37"/>
      <c r="I3667" s="37" t="s">
        <v>29</v>
      </c>
      <c r="J3667" s="155" t="str">
        <f t="shared" si="1"/>
        <v>TT</v>
      </c>
      <c r="K3667" s="22" t="s">
        <v>12978</v>
      </c>
      <c r="L3667" s="56">
        <v>45099</v>
      </c>
      <c r="O3667" s="42"/>
      <c r="P3667" s="40"/>
      <c r="Q3667" s="61"/>
      <c r="R3667" s="61"/>
      <c r="S3667" s="40"/>
      <c r="T3667" s="38"/>
      <c r="U3667" s="38"/>
      <c r="V3667" s="38"/>
      <c r="W3667" s="60"/>
      <c r="AB3667" s="42"/>
      <c r="AC3667" s="35"/>
      <c r="AD3667" s="38"/>
      <c r="AE3667" s="38"/>
      <c r="AF3667" s="38"/>
      <c r="AG3667" s="38"/>
      <c r="AH3667" s="60"/>
    </row>
    <row r="3668" spans="1:34" ht="15.75" customHeight="1">
      <c r="A3668" s="111" t="s">
        <v>64</v>
      </c>
      <c r="B3668" s="158" t="s">
        <v>12979</v>
      </c>
      <c r="C3668" s="143" t="s">
        <v>24</v>
      </c>
      <c r="D3668" s="20" t="s">
        <v>12980</v>
      </c>
      <c r="E3668" s="20" t="s">
        <v>12981</v>
      </c>
      <c r="F3668" s="19" t="s">
        <v>27</v>
      </c>
      <c r="G3668" s="19" t="s">
        <v>28</v>
      </c>
      <c r="H3668" s="143"/>
      <c r="I3668" s="37" t="s">
        <v>29</v>
      </c>
      <c r="J3668" s="155" t="str">
        <f t="shared" si="1"/>
        <v>TT</v>
      </c>
      <c r="K3668" s="22" t="s">
        <v>12982</v>
      </c>
      <c r="L3668" s="56">
        <v>45099</v>
      </c>
      <c r="O3668" s="42"/>
      <c r="P3668" s="40"/>
      <c r="Q3668" s="61"/>
      <c r="R3668" s="61"/>
      <c r="S3668" s="40"/>
      <c r="T3668" s="38"/>
      <c r="U3668" s="38"/>
      <c r="V3668" s="38"/>
      <c r="W3668" s="60"/>
      <c r="AB3668" s="42"/>
      <c r="AC3668" s="35"/>
      <c r="AD3668" s="38"/>
      <c r="AE3668" s="38"/>
      <c r="AF3668" s="38"/>
      <c r="AG3668" s="38"/>
      <c r="AH3668" s="60"/>
    </row>
    <row r="3669" spans="1:34" ht="15.75" customHeight="1">
      <c r="A3669" s="75">
        <v>2.6</v>
      </c>
      <c r="B3669" s="158" t="s">
        <v>12983</v>
      </c>
      <c r="C3669" s="37" t="s">
        <v>1470</v>
      </c>
      <c r="D3669" s="20" t="s">
        <v>12984</v>
      </c>
      <c r="E3669" s="20" t="s">
        <v>12985</v>
      </c>
      <c r="F3669" s="19" t="s">
        <v>3286</v>
      </c>
      <c r="G3669" s="37" t="s">
        <v>1461</v>
      </c>
      <c r="H3669" s="37"/>
      <c r="I3669" s="37" t="s">
        <v>233</v>
      </c>
      <c r="J3669" s="155" t="str">
        <f t="shared" si="1"/>
        <v>NTT</v>
      </c>
      <c r="K3669" s="22" t="s">
        <v>12986</v>
      </c>
      <c r="L3669" s="56">
        <v>45099</v>
      </c>
      <c r="O3669" s="42"/>
      <c r="P3669" s="40"/>
      <c r="Q3669" s="61"/>
      <c r="R3669" s="61"/>
      <c r="S3669" s="40"/>
      <c r="T3669" s="38"/>
      <c r="U3669" s="38"/>
      <c r="V3669" s="38"/>
      <c r="W3669" s="60"/>
      <c r="AB3669" s="42"/>
      <c r="AC3669" s="35"/>
      <c r="AD3669" s="38"/>
      <c r="AE3669" s="38"/>
      <c r="AF3669" s="38"/>
      <c r="AG3669" s="38"/>
      <c r="AH3669" s="60"/>
    </row>
    <row r="3670" spans="1:34" ht="15.75" customHeight="1">
      <c r="A3670" s="111" t="s">
        <v>73</v>
      </c>
      <c r="B3670" s="158" t="s">
        <v>12987</v>
      </c>
      <c r="C3670" s="143" t="s">
        <v>24</v>
      </c>
      <c r="D3670" s="20" t="s">
        <v>12988</v>
      </c>
      <c r="E3670" s="20" t="s">
        <v>12989</v>
      </c>
      <c r="F3670" s="19" t="s">
        <v>27</v>
      </c>
      <c r="G3670" s="19" t="s">
        <v>28</v>
      </c>
      <c r="H3670" s="143"/>
      <c r="I3670" s="37" t="s">
        <v>29</v>
      </c>
      <c r="J3670" s="155" t="str">
        <f t="shared" si="1"/>
        <v>TT</v>
      </c>
      <c r="K3670" s="22" t="s">
        <v>12990</v>
      </c>
      <c r="L3670" s="56">
        <v>45099</v>
      </c>
      <c r="O3670" s="42"/>
      <c r="P3670" s="40"/>
      <c r="Q3670" s="61"/>
      <c r="R3670" s="61"/>
      <c r="S3670" s="40"/>
      <c r="T3670" s="38"/>
      <c r="U3670" s="38"/>
      <c r="V3670" s="38"/>
      <c r="W3670" s="60"/>
      <c r="AB3670" s="42"/>
      <c r="AC3670" s="35"/>
      <c r="AD3670" s="38"/>
      <c r="AE3670" s="38"/>
      <c r="AF3670" s="38"/>
      <c r="AG3670" s="38"/>
      <c r="AH3670" s="60"/>
    </row>
    <row r="3671" spans="1:34" ht="15.75" customHeight="1">
      <c r="A3671" s="75">
        <v>3.4</v>
      </c>
      <c r="B3671" s="160" t="s">
        <v>12991</v>
      </c>
      <c r="C3671" s="37" t="s">
        <v>87</v>
      </c>
      <c r="D3671" s="20" t="s">
        <v>12992</v>
      </c>
      <c r="E3671" s="20" t="s">
        <v>12993</v>
      </c>
      <c r="F3671" s="37" t="s">
        <v>49</v>
      </c>
      <c r="G3671" s="19" t="s">
        <v>50</v>
      </c>
      <c r="H3671" s="37"/>
      <c r="I3671" s="37" t="s">
        <v>29</v>
      </c>
      <c r="J3671" s="155" t="str">
        <f t="shared" si="1"/>
        <v>TT</v>
      </c>
      <c r="K3671" s="22" t="s">
        <v>12994</v>
      </c>
      <c r="L3671" s="56">
        <v>45099</v>
      </c>
      <c r="O3671" s="42"/>
      <c r="P3671" s="40"/>
      <c r="Q3671" s="61"/>
      <c r="R3671" s="61"/>
      <c r="S3671" s="40"/>
      <c r="T3671" s="38"/>
      <c r="U3671" s="38"/>
      <c r="V3671" s="38"/>
      <c r="W3671" s="60"/>
      <c r="AB3671" s="42"/>
      <c r="AC3671" s="35"/>
      <c r="AD3671" s="38"/>
      <c r="AE3671" s="38"/>
      <c r="AF3671" s="38"/>
      <c r="AG3671" s="38"/>
      <c r="AH3671" s="60"/>
    </row>
    <row r="3672" spans="1:34" ht="15.75" customHeight="1">
      <c r="A3672" s="111" t="s">
        <v>82</v>
      </c>
      <c r="B3672" s="158" t="s">
        <v>12995</v>
      </c>
      <c r="C3672" s="37" t="s">
        <v>46</v>
      </c>
      <c r="D3672" s="20" t="s">
        <v>12996</v>
      </c>
      <c r="E3672" s="20" t="s">
        <v>12997</v>
      </c>
      <c r="F3672" s="37" t="s">
        <v>49</v>
      </c>
      <c r="G3672" s="19" t="s">
        <v>50</v>
      </c>
      <c r="H3672" s="37"/>
      <c r="I3672" s="37" t="s">
        <v>29</v>
      </c>
      <c r="J3672" s="155" t="str">
        <f t="shared" si="1"/>
        <v>TT</v>
      </c>
      <c r="K3672" s="22" t="s">
        <v>12998</v>
      </c>
      <c r="L3672" s="56">
        <v>45099</v>
      </c>
      <c r="O3672" s="42"/>
      <c r="P3672" s="40"/>
      <c r="Q3672" s="61"/>
      <c r="R3672" s="61"/>
      <c r="S3672" s="40"/>
      <c r="T3672" s="38"/>
      <c r="U3672" s="38"/>
      <c r="V3672" s="38"/>
      <c r="W3672" s="60"/>
      <c r="AB3672" s="42"/>
      <c r="AC3672" s="35"/>
      <c r="AD3672" s="38"/>
      <c r="AE3672" s="38"/>
      <c r="AF3672" s="38"/>
      <c r="AG3672" s="38"/>
      <c r="AH3672" s="60"/>
    </row>
    <row r="3673" spans="1:34" ht="15.75" customHeight="1">
      <c r="A3673" s="75" t="s">
        <v>12999</v>
      </c>
      <c r="B3673" s="158" t="s">
        <v>13000</v>
      </c>
      <c r="C3673" s="37" t="s">
        <v>412</v>
      </c>
      <c r="D3673" s="20" t="s">
        <v>13001</v>
      </c>
      <c r="E3673" s="20"/>
      <c r="F3673" s="19" t="s">
        <v>414</v>
      </c>
      <c r="G3673" s="37" t="s">
        <v>415</v>
      </c>
      <c r="H3673" s="37"/>
      <c r="I3673" s="37" t="s">
        <v>233</v>
      </c>
      <c r="J3673" s="155" t="str">
        <f t="shared" si="1"/>
        <v>NTT</v>
      </c>
      <c r="K3673" s="22"/>
      <c r="L3673" s="56">
        <v>45099</v>
      </c>
      <c r="O3673" s="42"/>
      <c r="P3673" s="40"/>
      <c r="Q3673" s="61"/>
      <c r="R3673" s="61"/>
      <c r="S3673" s="40"/>
      <c r="T3673" s="38"/>
      <c r="U3673" s="38"/>
      <c r="V3673" s="38"/>
      <c r="W3673" s="60"/>
      <c r="AB3673" s="42"/>
      <c r="AC3673" s="35"/>
      <c r="AD3673" s="38"/>
      <c r="AE3673" s="38"/>
      <c r="AF3673" s="38"/>
      <c r="AG3673" s="38"/>
      <c r="AH3673" s="60"/>
    </row>
    <row r="3674" spans="1:34" ht="15.75" customHeight="1">
      <c r="A3674" s="111" t="s">
        <v>92</v>
      </c>
      <c r="B3674" s="158" t="s">
        <v>13002</v>
      </c>
      <c r="C3674" s="143" t="s">
        <v>24</v>
      </c>
      <c r="D3674" s="20" t="s">
        <v>13003</v>
      </c>
      <c r="E3674" s="20" t="s">
        <v>13004</v>
      </c>
      <c r="F3674" s="19" t="s">
        <v>27</v>
      </c>
      <c r="G3674" s="19" t="s">
        <v>28</v>
      </c>
      <c r="H3674" s="37"/>
      <c r="I3674" s="37" t="s">
        <v>29</v>
      </c>
      <c r="J3674" s="155" t="str">
        <f t="shared" si="1"/>
        <v>TT</v>
      </c>
      <c r="K3674" s="22" t="s">
        <v>13005</v>
      </c>
      <c r="L3674" s="56">
        <v>45099</v>
      </c>
      <c r="O3674" s="42"/>
      <c r="P3674" s="40"/>
      <c r="Q3674" s="61"/>
      <c r="R3674" s="61"/>
      <c r="S3674" s="40"/>
      <c r="T3674" s="38"/>
      <c r="U3674" s="38"/>
      <c r="V3674" s="38"/>
      <c r="W3674" s="60"/>
      <c r="AB3674" s="42"/>
      <c r="AC3674" s="35"/>
      <c r="AD3674" s="38"/>
      <c r="AE3674" s="38"/>
      <c r="AF3674" s="38"/>
      <c r="AG3674" s="38"/>
      <c r="AH3674" s="60"/>
    </row>
    <row r="3675" spans="1:34" ht="15.75" customHeight="1">
      <c r="A3675" s="112">
        <v>2370</v>
      </c>
      <c r="B3675" s="160" t="s">
        <v>13006</v>
      </c>
      <c r="C3675" s="37" t="s">
        <v>24</v>
      </c>
      <c r="D3675" s="20" t="s">
        <v>13007</v>
      </c>
      <c r="E3675" s="20"/>
      <c r="F3675" s="19" t="s">
        <v>90</v>
      </c>
      <c r="G3675" s="19" t="s">
        <v>91</v>
      </c>
      <c r="H3675" s="37"/>
      <c r="I3675" s="37" t="s">
        <v>29</v>
      </c>
      <c r="J3675" s="155" t="str">
        <f t="shared" si="1"/>
        <v>TT</v>
      </c>
      <c r="K3675" s="22"/>
      <c r="L3675" s="56">
        <v>45099</v>
      </c>
      <c r="O3675" s="42"/>
      <c r="P3675" s="40"/>
      <c r="Q3675" s="61"/>
      <c r="R3675" s="61"/>
      <c r="S3675" s="40"/>
      <c r="T3675" s="38"/>
      <c r="U3675" s="38"/>
      <c r="V3675" s="38"/>
      <c r="W3675" s="60"/>
      <c r="AB3675" s="42"/>
      <c r="AC3675" s="35"/>
      <c r="AD3675" s="38"/>
      <c r="AE3675" s="38"/>
      <c r="AF3675" s="38"/>
      <c r="AG3675" s="38"/>
      <c r="AH3675" s="60"/>
    </row>
    <row r="3676" spans="1:34" ht="15.75" customHeight="1">
      <c r="A3676" s="111" t="s">
        <v>100</v>
      </c>
      <c r="B3676" s="158" t="s">
        <v>13008</v>
      </c>
      <c r="C3676" s="37" t="s">
        <v>24</v>
      </c>
      <c r="D3676" s="20" t="s">
        <v>13009</v>
      </c>
      <c r="E3676" s="20" t="s">
        <v>13010</v>
      </c>
      <c r="F3676" s="19" t="s">
        <v>27</v>
      </c>
      <c r="G3676" s="19" t="s">
        <v>28</v>
      </c>
      <c r="H3676" s="37"/>
      <c r="I3676" s="37" t="s">
        <v>29</v>
      </c>
      <c r="J3676" s="155" t="str">
        <f t="shared" si="1"/>
        <v>TT</v>
      </c>
      <c r="K3676" s="22" t="s">
        <v>13011</v>
      </c>
      <c r="L3676" s="56">
        <v>45099</v>
      </c>
      <c r="O3676" s="42"/>
      <c r="P3676" s="40"/>
      <c r="Q3676" s="61"/>
      <c r="R3676" s="61"/>
      <c r="S3676" s="40"/>
      <c r="T3676" s="38"/>
      <c r="U3676" s="38"/>
      <c r="V3676" s="38"/>
      <c r="W3676" s="60"/>
      <c r="AB3676" s="42"/>
      <c r="AC3676" s="35"/>
      <c r="AD3676" s="38"/>
      <c r="AE3676" s="38"/>
      <c r="AF3676" s="38"/>
      <c r="AG3676" s="38"/>
      <c r="AH3676" s="60"/>
    </row>
    <row r="3677" spans="1:34" ht="15.75" customHeight="1">
      <c r="A3677" s="75">
        <v>161</v>
      </c>
      <c r="B3677" s="158" t="s">
        <v>13012</v>
      </c>
      <c r="C3677" s="37" t="s">
        <v>24</v>
      </c>
      <c r="D3677" s="20" t="s">
        <v>13013</v>
      </c>
      <c r="E3677" s="20" t="s">
        <v>13014</v>
      </c>
      <c r="F3677" s="19" t="s">
        <v>27</v>
      </c>
      <c r="G3677" s="19" t="s">
        <v>28</v>
      </c>
      <c r="H3677" s="37"/>
      <c r="I3677" s="37" t="s">
        <v>29</v>
      </c>
      <c r="J3677" s="155" t="str">
        <f t="shared" si="1"/>
        <v>TT</v>
      </c>
      <c r="K3677" s="22" t="s">
        <v>13015</v>
      </c>
      <c r="L3677" s="56">
        <v>45099</v>
      </c>
      <c r="O3677" s="42"/>
      <c r="P3677" s="40"/>
      <c r="Q3677" s="61"/>
      <c r="R3677" s="61"/>
      <c r="S3677" s="40"/>
      <c r="T3677" s="38"/>
      <c r="U3677" s="38"/>
      <c r="V3677" s="38"/>
      <c r="W3677" s="60"/>
      <c r="AB3677" s="42"/>
      <c r="AC3677" s="35"/>
      <c r="AD3677" s="38"/>
      <c r="AE3677" s="38"/>
      <c r="AF3677" s="38"/>
      <c r="AG3677" s="38"/>
      <c r="AH3677" s="60"/>
    </row>
    <row r="3678" spans="1:34" ht="15.75" customHeight="1">
      <c r="A3678" s="35"/>
      <c r="B3678" s="158" t="s">
        <v>13016</v>
      </c>
      <c r="C3678" s="37" t="s">
        <v>1430</v>
      </c>
      <c r="D3678" s="20" t="s">
        <v>13017</v>
      </c>
      <c r="E3678" s="20" t="s">
        <v>13018</v>
      </c>
      <c r="F3678" s="55" t="s">
        <v>1445</v>
      </c>
      <c r="G3678" s="55" t="s">
        <v>1432</v>
      </c>
      <c r="H3678" s="37"/>
      <c r="I3678" s="37" t="s">
        <v>233</v>
      </c>
      <c r="J3678" s="155" t="str">
        <f t="shared" si="1"/>
        <v>NTT</v>
      </c>
      <c r="K3678" s="22" t="s">
        <v>13018</v>
      </c>
      <c r="L3678" s="56">
        <v>45099</v>
      </c>
      <c r="O3678" s="42"/>
      <c r="P3678" s="40"/>
      <c r="Q3678" s="61"/>
      <c r="R3678" s="61"/>
      <c r="S3678" s="40"/>
      <c r="T3678" s="38"/>
      <c r="U3678" s="38"/>
      <c r="V3678" s="38"/>
      <c r="W3678" s="60"/>
      <c r="AB3678" s="42"/>
      <c r="AC3678" s="35"/>
      <c r="AD3678" s="38"/>
      <c r="AE3678" s="38"/>
      <c r="AF3678" s="38"/>
      <c r="AG3678" s="38"/>
      <c r="AH3678" s="60"/>
    </row>
    <row r="3679" spans="1:34" ht="15.75" customHeight="1">
      <c r="A3679" s="175"/>
      <c r="B3679" s="158" t="s">
        <v>13019</v>
      </c>
      <c r="C3679" s="37" t="s">
        <v>46</v>
      </c>
      <c r="D3679" s="20" t="s">
        <v>13020</v>
      </c>
      <c r="E3679" s="20" t="s">
        <v>13021</v>
      </c>
      <c r="F3679" s="37" t="s">
        <v>49</v>
      </c>
      <c r="G3679" s="19" t="s">
        <v>50</v>
      </c>
      <c r="H3679" s="37"/>
      <c r="I3679" s="37" t="s">
        <v>29</v>
      </c>
      <c r="J3679" s="155" t="str">
        <f t="shared" si="1"/>
        <v>TT</v>
      </c>
      <c r="K3679" s="22" t="s">
        <v>13022</v>
      </c>
      <c r="L3679" s="56">
        <v>45099</v>
      </c>
      <c r="O3679" s="42"/>
      <c r="P3679" s="40"/>
      <c r="Q3679" s="61"/>
      <c r="R3679" s="61"/>
      <c r="S3679" s="40"/>
      <c r="T3679" s="38"/>
      <c r="U3679" s="38"/>
      <c r="V3679" s="38"/>
      <c r="W3679" s="60"/>
      <c r="AB3679" s="42"/>
      <c r="AC3679" s="35"/>
      <c r="AD3679" s="38"/>
      <c r="AE3679" s="38"/>
      <c r="AF3679" s="38"/>
      <c r="AG3679" s="38"/>
      <c r="AH3679" s="60"/>
    </row>
    <row r="3680" spans="1:34" ht="15.75" customHeight="1">
      <c r="A3680" s="176"/>
      <c r="B3680" s="158" t="s">
        <v>13023</v>
      </c>
      <c r="C3680" s="37" t="s">
        <v>1470</v>
      </c>
      <c r="D3680" s="20" t="s">
        <v>13024</v>
      </c>
      <c r="E3680" s="20"/>
      <c r="F3680" s="19" t="s">
        <v>3286</v>
      </c>
      <c r="G3680" s="19" t="s">
        <v>1461</v>
      </c>
      <c r="H3680" s="37"/>
      <c r="I3680" s="37" t="s">
        <v>233</v>
      </c>
      <c r="J3680" s="155" t="str">
        <f t="shared" si="1"/>
        <v>NTT</v>
      </c>
      <c r="K3680" s="22"/>
      <c r="L3680" s="56">
        <v>45099</v>
      </c>
      <c r="O3680" s="42"/>
      <c r="P3680" s="40"/>
      <c r="Q3680" s="61"/>
      <c r="R3680" s="61"/>
      <c r="S3680" s="40"/>
      <c r="T3680" s="38"/>
      <c r="U3680" s="38"/>
      <c r="V3680" s="38"/>
      <c r="W3680" s="60"/>
      <c r="AB3680" s="42"/>
      <c r="AC3680" s="35"/>
      <c r="AD3680" s="38"/>
      <c r="AE3680" s="38"/>
      <c r="AF3680" s="38"/>
      <c r="AG3680" s="38"/>
      <c r="AH3680" s="60"/>
    </row>
    <row r="3681" spans="1:34" ht="15.75" customHeight="1">
      <c r="A3681" s="177"/>
      <c r="B3681" s="158" t="s">
        <v>13025</v>
      </c>
      <c r="C3681" s="37" t="s">
        <v>1470</v>
      </c>
      <c r="D3681" s="20" t="s">
        <v>13026</v>
      </c>
      <c r="E3681" s="20" t="s">
        <v>13027</v>
      </c>
      <c r="F3681" s="19" t="s">
        <v>3286</v>
      </c>
      <c r="G3681" s="37" t="s">
        <v>1461</v>
      </c>
      <c r="H3681" s="37"/>
      <c r="I3681" s="37" t="s">
        <v>233</v>
      </c>
      <c r="J3681" s="155" t="str">
        <f t="shared" si="1"/>
        <v>NTT</v>
      </c>
      <c r="K3681" s="22" t="s">
        <v>13028</v>
      </c>
      <c r="L3681" s="56">
        <v>45099</v>
      </c>
      <c r="O3681" s="42"/>
      <c r="P3681" s="40"/>
      <c r="Q3681" s="61"/>
      <c r="R3681" s="61"/>
      <c r="S3681" s="40"/>
      <c r="T3681" s="38"/>
      <c r="U3681" s="38"/>
      <c r="V3681" s="38"/>
      <c r="W3681" s="60"/>
      <c r="AB3681" s="42"/>
      <c r="AC3681" s="35"/>
      <c r="AD3681" s="38"/>
      <c r="AE3681" s="38"/>
      <c r="AF3681" s="38"/>
      <c r="AG3681" s="38"/>
      <c r="AH3681" s="60"/>
    </row>
    <row r="3682" spans="1:34" ht="15.75" customHeight="1">
      <c r="A3682" s="175"/>
      <c r="B3682" s="158" t="s">
        <v>13029</v>
      </c>
      <c r="C3682" s="37" t="s">
        <v>87</v>
      </c>
      <c r="D3682" s="20" t="s">
        <v>13030</v>
      </c>
      <c r="E3682" s="20" t="s">
        <v>13031</v>
      </c>
      <c r="F3682" s="19" t="s">
        <v>90</v>
      </c>
      <c r="G3682" s="19" t="s">
        <v>91</v>
      </c>
      <c r="H3682" s="37"/>
      <c r="I3682" s="37" t="s">
        <v>29</v>
      </c>
      <c r="J3682" s="155" t="str">
        <f t="shared" si="1"/>
        <v>TT</v>
      </c>
      <c r="K3682" s="22" t="s">
        <v>13032</v>
      </c>
      <c r="L3682" s="56">
        <v>45099</v>
      </c>
      <c r="O3682" s="42"/>
      <c r="P3682" s="40"/>
      <c r="Q3682" s="61"/>
      <c r="R3682" s="61"/>
      <c r="S3682" s="40"/>
      <c r="T3682" s="38"/>
      <c r="U3682" s="38"/>
      <c r="V3682" s="38"/>
      <c r="W3682" s="60"/>
      <c r="AB3682" s="42"/>
      <c r="AC3682" s="35"/>
      <c r="AD3682" s="38"/>
      <c r="AE3682" s="38"/>
      <c r="AF3682" s="38"/>
      <c r="AG3682" s="38"/>
      <c r="AH3682" s="60"/>
    </row>
    <row r="3683" spans="1:34" ht="15.75" customHeight="1">
      <c r="A3683" s="176"/>
      <c r="B3683" s="158" t="s">
        <v>13033</v>
      </c>
      <c r="C3683" s="37" t="s">
        <v>228</v>
      </c>
      <c r="D3683" s="20" t="s">
        <v>13034</v>
      </c>
      <c r="E3683" s="20"/>
      <c r="F3683" s="19" t="s">
        <v>231</v>
      </c>
      <c r="G3683" s="19" t="s">
        <v>232</v>
      </c>
      <c r="H3683" s="37"/>
      <c r="I3683" s="37" t="s">
        <v>233</v>
      </c>
      <c r="J3683" s="155" t="str">
        <f t="shared" si="1"/>
        <v>NTT</v>
      </c>
      <c r="K3683" s="22"/>
      <c r="L3683" s="56">
        <v>45099</v>
      </c>
      <c r="O3683" s="42"/>
      <c r="P3683" s="40"/>
      <c r="Q3683" s="61"/>
      <c r="R3683" s="61"/>
      <c r="S3683" s="40"/>
      <c r="T3683" s="38"/>
      <c r="U3683" s="38"/>
      <c r="V3683" s="38"/>
      <c r="W3683" s="60"/>
      <c r="AB3683" s="42"/>
      <c r="AC3683" s="35"/>
      <c r="AD3683" s="38"/>
      <c r="AE3683" s="38"/>
      <c r="AF3683" s="38"/>
      <c r="AG3683" s="38"/>
      <c r="AH3683" s="60"/>
    </row>
    <row r="3684" spans="1:34" ht="15.75" customHeight="1">
      <c r="A3684" s="177"/>
      <c r="B3684" s="158" t="s">
        <v>13035</v>
      </c>
      <c r="C3684" s="37" t="s">
        <v>46</v>
      </c>
      <c r="D3684" s="20" t="s">
        <v>13036</v>
      </c>
      <c r="E3684" s="20" t="s">
        <v>13037</v>
      </c>
      <c r="F3684" s="37" t="s">
        <v>49</v>
      </c>
      <c r="G3684" s="19" t="s">
        <v>50</v>
      </c>
      <c r="H3684" s="37"/>
      <c r="I3684" s="37" t="s">
        <v>29</v>
      </c>
      <c r="J3684" s="155" t="str">
        <f t="shared" si="1"/>
        <v>TT</v>
      </c>
      <c r="K3684" s="22" t="s">
        <v>13038</v>
      </c>
      <c r="L3684" s="56">
        <v>45099</v>
      </c>
      <c r="O3684" s="42"/>
      <c r="P3684" s="40"/>
      <c r="Q3684" s="61"/>
      <c r="R3684" s="61"/>
      <c r="S3684" s="40"/>
      <c r="T3684" s="38"/>
      <c r="U3684" s="38"/>
      <c r="V3684" s="38"/>
      <c r="W3684" s="60"/>
      <c r="AB3684" s="42"/>
      <c r="AC3684" s="35"/>
      <c r="AD3684" s="38"/>
      <c r="AE3684" s="38"/>
      <c r="AF3684" s="38"/>
      <c r="AG3684" s="38"/>
      <c r="AH3684" s="60"/>
    </row>
    <row r="3685" spans="1:34" ht="15.75" customHeight="1">
      <c r="A3685" s="175"/>
      <c r="B3685" s="158" t="s">
        <v>13039</v>
      </c>
      <c r="C3685" s="37" t="s">
        <v>412</v>
      </c>
      <c r="D3685" s="20" t="s">
        <v>13040</v>
      </c>
      <c r="E3685" s="20" t="s">
        <v>13041</v>
      </c>
      <c r="F3685" s="19" t="s">
        <v>414</v>
      </c>
      <c r="G3685" s="19" t="s">
        <v>415</v>
      </c>
      <c r="H3685" s="37"/>
      <c r="I3685" s="37" t="s">
        <v>233</v>
      </c>
      <c r="J3685" s="155" t="str">
        <f t="shared" si="1"/>
        <v>NTT</v>
      </c>
      <c r="K3685" s="22" t="s">
        <v>13042</v>
      </c>
      <c r="L3685" s="56">
        <v>45099</v>
      </c>
      <c r="O3685" s="42"/>
      <c r="P3685" s="40"/>
      <c r="Q3685" s="61"/>
      <c r="R3685" s="61"/>
      <c r="S3685" s="40"/>
      <c r="T3685" s="38"/>
      <c r="U3685" s="38"/>
      <c r="V3685" s="38"/>
      <c r="W3685" s="60"/>
      <c r="AB3685" s="42"/>
      <c r="AC3685" s="35"/>
      <c r="AD3685" s="38"/>
      <c r="AE3685" s="38"/>
      <c r="AF3685" s="38"/>
      <c r="AG3685" s="38"/>
      <c r="AH3685" s="60"/>
    </row>
    <row r="3686" spans="1:34" ht="15.75" customHeight="1">
      <c r="A3686" s="176"/>
      <c r="B3686" s="158" t="s">
        <v>13043</v>
      </c>
      <c r="C3686" s="37" t="s">
        <v>46</v>
      </c>
      <c r="D3686" s="20" t="s">
        <v>13044</v>
      </c>
      <c r="E3686" s="20" t="s">
        <v>13045</v>
      </c>
      <c r="F3686" s="37" t="s">
        <v>49</v>
      </c>
      <c r="G3686" s="19" t="s">
        <v>50</v>
      </c>
      <c r="H3686" s="37"/>
      <c r="I3686" s="37" t="s">
        <v>29</v>
      </c>
      <c r="J3686" s="155" t="str">
        <f t="shared" si="1"/>
        <v>TT</v>
      </c>
      <c r="K3686" s="22" t="s">
        <v>13046</v>
      </c>
      <c r="L3686" s="56">
        <v>45099</v>
      </c>
      <c r="O3686" s="42"/>
      <c r="P3686" s="40"/>
      <c r="Q3686" s="61"/>
      <c r="R3686" s="61"/>
      <c r="S3686" s="40"/>
      <c r="T3686" s="38"/>
      <c r="U3686" s="38"/>
      <c r="V3686" s="38"/>
      <c r="W3686" s="60"/>
      <c r="AB3686" s="42"/>
      <c r="AC3686" s="35"/>
      <c r="AD3686" s="38"/>
      <c r="AE3686" s="38"/>
      <c r="AF3686" s="38"/>
      <c r="AG3686" s="38"/>
      <c r="AH3686" s="60"/>
    </row>
    <row r="3687" spans="1:34" ht="15.75" customHeight="1">
      <c r="A3687" s="175"/>
      <c r="B3687" s="158" t="s">
        <v>13047</v>
      </c>
      <c r="C3687" s="37" t="s">
        <v>24</v>
      </c>
      <c r="D3687" s="20" t="s">
        <v>13048</v>
      </c>
      <c r="E3687" s="20" t="s">
        <v>13049</v>
      </c>
      <c r="F3687" s="19" t="s">
        <v>27</v>
      </c>
      <c r="G3687" s="19" t="s">
        <v>28</v>
      </c>
      <c r="H3687" s="37"/>
      <c r="I3687" s="37" t="s">
        <v>29</v>
      </c>
      <c r="J3687" s="155" t="str">
        <f t="shared" si="1"/>
        <v>TT</v>
      </c>
      <c r="K3687" s="22" t="s">
        <v>13050</v>
      </c>
      <c r="L3687" s="56">
        <v>45099</v>
      </c>
      <c r="O3687" s="42"/>
      <c r="P3687" s="40"/>
      <c r="Q3687" s="61"/>
      <c r="R3687" s="61"/>
      <c r="S3687" s="40"/>
      <c r="T3687" s="38"/>
      <c r="U3687" s="38"/>
      <c r="V3687" s="38"/>
      <c r="W3687" s="60"/>
      <c r="AB3687" s="42"/>
      <c r="AC3687" s="35"/>
      <c r="AD3687" s="38"/>
      <c r="AE3687" s="38"/>
      <c r="AF3687" s="38"/>
      <c r="AG3687" s="38"/>
      <c r="AH3687" s="60"/>
    </row>
    <row r="3688" spans="1:34" ht="15.75" customHeight="1">
      <c r="A3688" s="176"/>
      <c r="B3688" s="158" t="s">
        <v>13051</v>
      </c>
      <c r="C3688" s="37" t="s">
        <v>46</v>
      </c>
      <c r="D3688" s="20" t="s">
        <v>13052</v>
      </c>
      <c r="E3688" s="20" t="s">
        <v>13053</v>
      </c>
      <c r="F3688" s="37" t="s">
        <v>49</v>
      </c>
      <c r="G3688" s="19" t="s">
        <v>50</v>
      </c>
      <c r="H3688" s="37"/>
      <c r="I3688" s="37" t="s">
        <v>29</v>
      </c>
      <c r="J3688" s="155" t="str">
        <f t="shared" si="1"/>
        <v>TT</v>
      </c>
      <c r="K3688" s="22" t="s">
        <v>13054</v>
      </c>
      <c r="L3688" s="56">
        <v>45099</v>
      </c>
      <c r="O3688" s="42"/>
      <c r="P3688" s="40"/>
      <c r="Q3688" s="61"/>
      <c r="R3688" s="61"/>
      <c r="S3688" s="40"/>
      <c r="T3688" s="38"/>
      <c r="U3688" s="38"/>
      <c r="V3688" s="38"/>
      <c r="W3688" s="60"/>
      <c r="AB3688" s="42"/>
      <c r="AC3688" s="35"/>
      <c r="AD3688" s="38"/>
      <c r="AE3688" s="38"/>
      <c r="AF3688" s="38"/>
      <c r="AG3688" s="38"/>
      <c r="AH3688" s="60"/>
    </row>
    <row r="3689" spans="1:34" ht="15.75" customHeight="1">
      <c r="A3689" s="38"/>
      <c r="B3689" s="158" t="s">
        <v>13055</v>
      </c>
      <c r="C3689" s="37" t="s">
        <v>412</v>
      </c>
      <c r="D3689" s="20" t="s">
        <v>13056</v>
      </c>
      <c r="E3689" s="20"/>
      <c r="F3689" s="19" t="s">
        <v>414</v>
      </c>
      <c r="G3689" s="37" t="s">
        <v>415</v>
      </c>
      <c r="H3689" s="37"/>
      <c r="I3689" s="37" t="s">
        <v>233</v>
      </c>
      <c r="J3689" s="155" t="str">
        <f t="shared" si="1"/>
        <v>NTT</v>
      </c>
      <c r="K3689" s="22"/>
      <c r="L3689" s="56">
        <v>45099</v>
      </c>
      <c r="O3689" s="42"/>
      <c r="P3689" s="40"/>
      <c r="Q3689" s="61"/>
      <c r="R3689" s="61"/>
      <c r="S3689" s="40"/>
      <c r="T3689" s="38"/>
      <c r="U3689" s="38"/>
      <c r="V3689" s="38"/>
      <c r="W3689" s="60"/>
      <c r="AB3689" s="42"/>
      <c r="AC3689" s="35"/>
      <c r="AD3689" s="38"/>
      <c r="AE3689" s="38"/>
      <c r="AF3689" s="38"/>
      <c r="AG3689" s="38"/>
      <c r="AH3689" s="60"/>
    </row>
    <row r="3690" spans="1:34" ht="15.75" customHeight="1">
      <c r="A3690" s="177"/>
      <c r="B3690" s="158" t="s">
        <v>13057</v>
      </c>
      <c r="C3690" s="37" t="s">
        <v>87</v>
      </c>
      <c r="D3690" s="20" t="s">
        <v>13058</v>
      </c>
      <c r="E3690" s="20"/>
      <c r="F3690" s="19" t="s">
        <v>90</v>
      </c>
      <c r="G3690" s="19" t="s">
        <v>91</v>
      </c>
      <c r="H3690" s="37"/>
      <c r="I3690" s="37" t="s">
        <v>29</v>
      </c>
      <c r="J3690" s="155" t="str">
        <f t="shared" si="1"/>
        <v>TT</v>
      </c>
      <c r="K3690" s="22"/>
      <c r="L3690" s="56">
        <v>45099</v>
      </c>
      <c r="O3690" s="42"/>
      <c r="P3690" s="40"/>
      <c r="Q3690" s="61"/>
      <c r="R3690" s="61"/>
      <c r="S3690" s="40"/>
      <c r="T3690" s="38"/>
      <c r="U3690" s="38"/>
      <c r="V3690" s="38"/>
      <c r="W3690" s="60"/>
      <c r="AB3690" s="42"/>
      <c r="AC3690" s="35"/>
      <c r="AD3690" s="38"/>
      <c r="AE3690" s="38"/>
      <c r="AF3690" s="38"/>
      <c r="AG3690" s="38"/>
      <c r="AH3690" s="60"/>
    </row>
    <row r="3691" spans="1:34" ht="15.75" customHeight="1">
      <c r="A3691" s="175"/>
      <c r="B3691" s="158" t="s">
        <v>13059</v>
      </c>
      <c r="C3691" s="37" t="s">
        <v>46</v>
      </c>
      <c r="D3691" s="20" t="s">
        <v>13060</v>
      </c>
      <c r="E3691" s="20" t="s">
        <v>13061</v>
      </c>
      <c r="F3691" s="37" t="s">
        <v>49</v>
      </c>
      <c r="G3691" s="19" t="s">
        <v>50</v>
      </c>
      <c r="H3691" s="37"/>
      <c r="I3691" s="37" t="s">
        <v>29</v>
      </c>
      <c r="J3691" s="155" t="str">
        <f t="shared" si="1"/>
        <v>TT</v>
      </c>
      <c r="K3691" s="22" t="s">
        <v>13062</v>
      </c>
      <c r="L3691" s="56">
        <v>45099</v>
      </c>
      <c r="O3691" s="42"/>
      <c r="P3691" s="40"/>
      <c r="Q3691" s="61"/>
      <c r="R3691" s="61"/>
      <c r="S3691" s="40"/>
      <c r="T3691" s="38"/>
      <c r="U3691" s="38"/>
      <c r="V3691" s="38"/>
      <c r="W3691" s="60"/>
      <c r="AB3691" s="42"/>
      <c r="AC3691" s="35"/>
      <c r="AD3691" s="38"/>
      <c r="AE3691" s="38"/>
      <c r="AF3691" s="38"/>
      <c r="AG3691" s="38"/>
      <c r="AH3691" s="60"/>
    </row>
    <row r="3692" spans="1:34" ht="15.75" customHeight="1">
      <c r="A3692" s="176"/>
      <c r="B3692" s="38"/>
      <c r="C3692" s="37"/>
      <c r="D3692" s="20"/>
      <c r="E3692" s="20"/>
      <c r="F3692" s="37"/>
      <c r="G3692" s="37"/>
      <c r="H3692" s="37"/>
      <c r="I3692" s="37"/>
      <c r="J3692" s="155">
        <f t="shared" si="1"/>
        <v>0</v>
      </c>
      <c r="K3692" s="22"/>
      <c r="L3692" s="39"/>
      <c r="O3692" s="42"/>
      <c r="P3692" s="40"/>
      <c r="Q3692" s="61"/>
      <c r="R3692" s="61"/>
      <c r="S3692" s="40"/>
      <c r="T3692" s="38"/>
      <c r="U3692" s="38"/>
      <c r="V3692" s="38"/>
      <c r="W3692" s="60"/>
      <c r="AB3692" s="42"/>
      <c r="AC3692" s="35"/>
      <c r="AD3692" s="38"/>
      <c r="AE3692" s="38"/>
      <c r="AF3692" s="38"/>
      <c r="AG3692" s="38"/>
      <c r="AH3692" s="60"/>
    </row>
    <row r="3693" spans="1:34" ht="15.75" customHeight="1">
      <c r="A3693" s="38" t="s">
        <v>13063</v>
      </c>
      <c r="B3693" s="158" t="s">
        <v>13064</v>
      </c>
      <c r="C3693" s="37" t="s">
        <v>24</v>
      </c>
      <c r="D3693" s="20" t="s">
        <v>13065</v>
      </c>
      <c r="E3693" s="20" t="s">
        <v>13066</v>
      </c>
      <c r="F3693" s="19" t="s">
        <v>27</v>
      </c>
      <c r="G3693" s="19" t="s">
        <v>28</v>
      </c>
      <c r="H3693" s="37"/>
      <c r="I3693" s="37" t="s">
        <v>29</v>
      </c>
      <c r="J3693" s="155" t="str">
        <f t="shared" si="1"/>
        <v>TT</v>
      </c>
      <c r="K3693" s="22" t="s">
        <v>13067</v>
      </c>
      <c r="L3693" s="56">
        <v>45099</v>
      </c>
      <c r="M3693" s="40"/>
      <c r="O3693" s="42"/>
      <c r="P3693" s="40"/>
      <c r="Q3693" s="61"/>
      <c r="R3693" s="61"/>
      <c r="S3693" s="40"/>
      <c r="T3693" s="38"/>
      <c r="U3693" s="38"/>
      <c r="V3693" s="38"/>
      <c r="W3693" s="60"/>
      <c r="AB3693" s="42"/>
      <c r="AC3693" s="35"/>
      <c r="AD3693" s="38"/>
      <c r="AE3693" s="38"/>
      <c r="AF3693" s="38"/>
      <c r="AG3693" s="38"/>
      <c r="AH3693" s="60"/>
    </row>
    <row r="3694" spans="1:34" ht="15.75" customHeight="1">
      <c r="A3694" s="54" t="s">
        <v>2628</v>
      </c>
      <c r="B3694" s="158" t="s">
        <v>13068</v>
      </c>
      <c r="C3694" s="37" t="s">
        <v>87</v>
      </c>
      <c r="D3694" s="20" t="s">
        <v>13069</v>
      </c>
      <c r="E3694" s="20" t="s">
        <v>13070</v>
      </c>
      <c r="F3694" s="19" t="s">
        <v>90</v>
      </c>
      <c r="G3694" s="19" t="s">
        <v>91</v>
      </c>
      <c r="H3694" s="37"/>
      <c r="I3694" s="37" t="s">
        <v>29</v>
      </c>
      <c r="J3694" s="155" t="str">
        <f t="shared" si="1"/>
        <v>TT</v>
      </c>
      <c r="K3694" s="22" t="s">
        <v>13071</v>
      </c>
      <c r="L3694" s="56">
        <v>45099</v>
      </c>
      <c r="O3694" s="42"/>
      <c r="P3694" s="40"/>
      <c r="Q3694" s="61"/>
      <c r="R3694" s="61"/>
      <c r="S3694" s="40"/>
      <c r="T3694" s="38"/>
      <c r="U3694" s="38"/>
      <c r="V3694" s="38"/>
      <c r="W3694" s="60"/>
      <c r="AB3694" s="42"/>
      <c r="AC3694" s="35"/>
      <c r="AD3694" s="38"/>
      <c r="AE3694" s="38"/>
      <c r="AF3694" s="38"/>
      <c r="AG3694" s="38"/>
      <c r="AH3694" s="60"/>
    </row>
    <row r="3695" spans="1:34" ht="15.75" customHeight="1">
      <c r="A3695" s="114" t="s">
        <v>39</v>
      </c>
      <c r="B3695" s="158" t="s">
        <v>13072</v>
      </c>
      <c r="C3695" s="37" t="s">
        <v>1470</v>
      </c>
      <c r="D3695" s="20" t="s">
        <v>13073</v>
      </c>
      <c r="E3695" s="20"/>
      <c r="F3695" s="19" t="s">
        <v>3286</v>
      </c>
      <c r="G3695" s="19" t="s">
        <v>1461</v>
      </c>
      <c r="H3695" s="37"/>
      <c r="I3695" s="37" t="s">
        <v>233</v>
      </c>
      <c r="J3695" s="155" t="str">
        <f t="shared" si="1"/>
        <v>NTT</v>
      </c>
      <c r="K3695" s="22"/>
      <c r="L3695" s="56">
        <v>45099</v>
      </c>
      <c r="O3695" s="42"/>
      <c r="P3695" s="40"/>
      <c r="Q3695" s="61"/>
      <c r="R3695" s="61"/>
      <c r="S3695" s="40"/>
      <c r="T3695" s="38"/>
      <c r="U3695" s="38"/>
      <c r="V3695" s="38"/>
      <c r="W3695" s="60"/>
      <c r="AB3695" s="42"/>
      <c r="AC3695" s="35"/>
      <c r="AD3695" s="38"/>
      <c r="AE3695" s="38"/>
      <c r="AF3695" s="38"/>
      <c r="AG3695" s="38"/>
      <c r="AH3695" s="60"/>
    </row>
    <row r="3696" spans="1:34" ht="15.75" customHeight="1">
      <c r="A3696" s="38" t="s">
        <v>12553</v>
      </c>
      <c r="B3696" s="158" t="s">
        <v>13074</v>
      </c>
      <c r="C3696" s="37" t="s">
        <v>1470</v>
      </c>
      <c r="D3696" s="20" t="s">
        <v>13075</v>
      </c>
      <c r="E3696" s="20"/>
      <c r="F3696" s="19" t="s">
        <v>3286</v>
      </c>
      <c r="G3696" s="37" t="s">
        <v>1461</v>
      </c>
      <c r="H3696" s="37"/>
      <c r="I3696" s="19" t="s">
        <v>233</v>
      </c>
      <c r="J3696" s="155" t="str">
        <f t="shared" si="1"/>
        <v>NTT</v>
      </c>
      <c r="K3696" s="22"/>
      <c r="L3696" s="56">
        <v>45099</v>
      </c>
      <c r="O3696" s="42"/>
      <c r="P3696" s="40"/>
      <c r="Q3696" s="61"/>
      <c r="R3696" s="61"/>
      <c r="S3696" s="40"/>
      <c r="T3696" s="38"/>
      <c r="U3696" s="38"/>
      <c r="V3696" s="38"/>
      <c r="W3696" s="60"/>
      <c r="AB3696" s="42"/>
      <c r="AC3696" s="35"/>
      <c r="AD3696" s="38"/>
      <c r="AE3696" s="38"/>
      <c r="AF3696" s="38"/>
      <c r="AG3696" s="38"/>
      <c r="AH3696" s="60"/>
    </row>
    <row r="3697" spans="1:34" ht="15.75" customHeight="1">
      <c r="A3697" s="38" t="s">
        <v>13076</v>
      </c>
      <c r="B3697" s="158" t="s">
        <v>13077</v>
      </c>
      <c r="C3697" s="37" t="s">
        <v>87</v>
      </c>
      <c r="D3697" s="20" t="s">
        <v>13078</v>
      </c>
      <c r="E3697" s="20" t="s">
        <v>13079</v>
      </c>
      <c r="F3697" s="19" t="s">
        <v>90</v>
      </c>
      <c r="G3697" s="19" t="s">
        <v>91</v>
      </c>
      <c r="H3697" s="37"/>
      <c r="I3697" s="19" t="s">
        <v>29</v>
      </c>
      <c r="J3697" s="155" t="str">
        <f t="shared" si="1"/>
        <v>TT</v>
      </c>
      <c r="K3697" s="22" t="s">
        <v>13080</v>
      </c>
      <c r="L3697" s="56">
        <v>45099</v>
      </c>
      <c r="O3697" s="42"/>
      <c r="P3697" s="40"/>
      <c r="Q3697" s="61"/>
      <c r="R3697" s="61"/>
      <c r="S3697" s="40"/>
      <c r="T3697" s="38"/>
      <c r="U3697" s="38"/>
      <c r="V3697" s="38"/>
      <c r="W3697" s="60"/>
      <c r="AB3697" s="42"/>
      <c r="AC3697" s="35"/>
      <c r="AD3697" s="38"/>
      <c r="AE3697" s="38"/>
      <c r="AF3697" s="38"/>
      <c r="AG3697" s="38"/>
      <c r="AH3697" s="60"/>
    </row>
    <row r="3698" spans="1:34" ht="15.75" customHeight="1">
      <c r="A3698" s="111" t="s">
        <v>56</v>
      </c>
      <c r="B3698" s="158" t="s">
        <v>13081</v>
      </c>
      <c r="C3698" s="37" t="s">
        <v>87</v>
      </c>
      <c r="D3698" s="20" t="s">
        <v>13082</v>
      </c>
      <c r="E3698" s="20" t="s">
        <v>13083</v>
      </c>
      <c r="F3698" s="19" t="s">
        <v>90</v>
      </c>
      <c r="G3698" s="19" t="s">
        <v>91</v>
      </c>
      <c r="H3698" s="37"/>
      <c r="I3698" s="19" t="s">
        <v>29</v>
      </c>
      <c r="J3698" s="155" t="str">
        <f t="shared" si="1"/>
        <v>TT</v>
      </c>
      <c r="K3698" s="22" t="s">
        <v>13084</v>
      </c>
      <c r="L3698" s="56">
        <v>45099</v>
      </c>
      <c r="O3698" s="42"/>
      <c r="P3698" s="40"/>
      <c r="Q3698" s="61"/>
      <c r="R3698" s="61"/>
      <c r="S3698" s="40"/>
      <c r="T3698" s="38"/>
      <c r="U3698" s="38"/>
      <c r="V3698" s="38"/>
      <c r="W3698" s="60"/>
      <c r="AB3698" s="42"/>
      <c r="AC3698" s="35"/>
      <c r="AD3698" s="38"/>
      <c r="AE3698" s="38"/>
      <c r="AF3698" s="38"/>
      <c r="AG3698" s="38"/>
      <c r="AH3698" s="60"/>
    </row>
    <row r="3699" spans="1:34" ht="15.75" customHeight="1">
      <c r="A3699" s="75">
        <v>43</v>
      </c>
      <c r="B3699" s="160" t="s">
        <v>13085</v>
      </c>
      <c r="C3699" s="37" t="s">
        <v>24</v>
      </c>
      <c r="D3699" s="20" t="s">
        <v>13086</v>
      </c>
      <c r="E3699" s="20" t="s">
        <v>13087</v>
      </c>
      <c r="F3699" s="19" t="s">
        <v>90</v>
      </c>
      <c r="G3699" s="19" t="s">
        <v>91</v>
      </c>
      <c r="H3699" s="37"/>
      <c r="I3699" s="19" t="s">
        <v>29</v>
      </c>
      <c r="J3699" s="155" t="str">
        <f t="shared" si="1"/>
        <v>TT</v>
      </c>
      <c r="K3699" s="22" t="s">
        <v>13088</v>
      </c>
      <c r="L3699" s="56">
        <v>45099</v>
      </c>
      <c r="O3699" s="42"/>
      <c r="P3699" s="40"/>
      <c r="Q3699" s="61"/>
      <c r="R3699" s="61"/>
      <c r="S3699" s="40"/>
      <c r="T3699" s="38"/>
      <c r="U3699" s="38"/>
      <c r="V3699" s="38"/>
      <c r="W3699" s="60"/>
      <c r="AB3699" s="42"/>
      <c r="AC3699" s="35"/>
      <c r="AD3699" s="38"/>
      <c r="AE3699" s="38"/>
      <c r="AF3699" s="38"/>
      <c r="AG3699" s="38"/>
      <c r="AH3699" s="60"/>
    </row>
    <row r="3700" spans="1:34" ht="15.75" customHeight="1">
      <c r="A3700" s="111" t="s">
        <v>64</v>
      </c>
      <c r="B3700" s="158" t="s">
        <v>13089</v>
      </c>
      <c r="C3700" s="37" t="s">
        <v>46</v>
      </c>
      <c r="D3700" s="20" t="s">
        <v>13090</v>
      </c>
      <c r="E3700" s="20" t="s">
        <v>13091</v>
      </c>
      <c r="F3700" s="37" t="s">
        <v>49</v>
      </c>
      <c r="G3700" s="19" t="s">
        <v>50</v>
      </c>
      <c r="H3700" s="37"/>
      <c r="I3700" s="19" t="s">
        <v>29</v>
      </c>
      <c r="J3700" s="155" t="str">
        <f t="shared" si="1"/>
        <v>TT</v>
      </c>
      <c r="K3700" s="22" t="s">
        <v>13092</v>
      </c>
      <c r="L3700" s="56">
        <v>45099</v>
      </c>
      <c r="O3700" s="42"/>
      <c r="P3700" s="40"/>
      <c r="Q3700" s="61"/>
      <c r="R3700" s="61"/>
      <c r="S3700" s="40"/>
      <c r="T3700" s="38"/>
      <c r="U3700" s="38"/>
      <c r="V3700" s="38"/>
      <c r="W3700" s="60"/>
      <c r="AB3700" s="42"/>
      <c r="AC3700" s="35"/>
      <c r="AD3700" s="38"/>
      <c r="AE3700" s="38"/>
      <c r="AF3700" s="38"/>
      <c r="AG3700" s="38"/>
      <c r="AH3700" s="60"/>
    </row>
    <row r="3701" spans="1:34" ht="15.75" customHeight="1">
      <c r="A3701" s="75">
        <v>2.7</v>
      </c>
      <c r="B3701" s="158" t="s">
        <v>13093</v>
      </c>
      <c r="C3701" s="37" t="s">
        <v>1430</v>
      </c>
      <c r="D3701" s="20"/>
      <c r="E3701" s="20"/>
      <c r="F3701" s="55" t="s">
        <v>1445</v>
      </c>
      <c r="G3701" s="55" t="s">
        <v>1432</v>
      </c>
      <c r="H3701" s="37"/>
      <c r="I3701" s="19" t="s">
        <v>233</v>
      </c>
      <c r="J3701" s="155" t="str">
        <f t="shared" si="1"/>
        <v>NTT</v>
      </c>
      <c r="K3701" s="22"/>
      <c r="L3701" s="56">
        <v>45099</v>
      </c>
      <c r="O3701" s="42"/>
      <c r="P3701" s="40"/>
      <c r="Q3701" s="61"/>
      <c r="R3701" s="61"/>
      <c r="S3701" s="40"/>
      <c r="T3701" s="38"/>
      <c r="U3701" s="38"/>
      <c r="V3701" s="38"/>
      <c r="W3701" s="60"/>
      <c r="AB3701" s="42"/>
      <c r="AC3701" s="35"/>
      <c r="AD3701" s="38"/>
      <c r="AE3701" s="38"/>
      <c r="AF3701" s="38"/>
      <c r="AG3701" s="38"/>
      <c r="AH3701" s="60"/>
    </row>
    <row r="3702" spans="1:34" ht="15.75" customHeight="1">
      <c r="A3702" s="111" t="s">
        <v>73</v>
      </c>
      <c r="B3702" s="158" t="s">
        <v>13094</v>
      </c>
      <c r="C3702" s="37" t="s">
        <v>46</v>
      </c>
      <c r="D3702" s="20" t="s">
        <v>13095</v>
      </c>
      <c r="E3702" s="20" t="s">
        <v>13096</v>
      </c>
      <c r="F3702" s="37" t="s">
        <v>49</v>
      </c>
      <c r="G3702" s="19" t="s">
        <v>50</v>
      </c>
      <c r="H3702" s="37"/>
      <c r="I3702" s="19" t="s">
        <v>29</v>
      </c>
      <c r="J3702" s="155" t="str">
        <f t="shared" si="1"/>
        <v>TT</v>
      </c>
      <c r="K3702" s="22" t="s">
        <v>13097</v>
      </c>
      <c r="L3702" s="56">
        <v>45099</v>
      </c>
      <c r="O3702" s="42"/>
      <c r="P3702" s="40"/>
      <c r="Q3702" s="61"/>
      <c r="R3702" s="61"/>
      <c r="S3702" s="40"/>
      <c r="T3702" s="38"/>
      <c r="U3702" s="38"/>
      <c r="V3702" s="38"/>
      <c r="W3702" s="60"/>
      <c r="AB3702" s="42"/>
      <c r="AC3702" s="35"/>
      <c r="AD3702" s="38"/>
      <c r="AE3702" s="38"/>
      <c r="AF3702" s="38"/>
      <c r="AG3702" s="38"/>
      <c r="AH3702" s="60"/>
    </row>
    <row r="3703" spans="1:34" ht="15.75" customHeight="1">
      <c r="A3703" s="75">
        <v>3.4</v>
      </c>
      <c r="B3703" s="158" t="s">
        <v>13098</v>
      </c>
      <c r="C3703" s="37" t="s">
        <v>46</v>
      </c>
      <c r="D3703" s="20" t="s">
        <v>13099</v>
      </c>
      <c r="E3703" s="20" t="s">
        <v>13100</v>
      </c>
      <c r="F3703" s="37" t="s">
        <v>49</v>
      </c>
      <c r="G3703" s="19" t="s">
        <v>50</v>
      </c>
      <c r="H3703" s="37"/>
      <c r="I3703" s="19" t="s">
        <v>29</v>
      </c>
      <c r="J3703" s="155" t="str">
        <f t="shared" si="1"/>
        <v>TT</v>
      </c>
      <c r="K3703" s="22" t="s">
        <v>13101</v>
      </c>
      <c r="L3703" s="56">
        <v>45099</v>
      </c>
      <c r="O3703" s="42"/>
      <c r="P3703" s="40"/>
      <c r="Q3703" s="61"/>
      <c r="R3703" s="61"/>
      <c r="S3703" s="40"/>
      <c r="T3703" s="38"/>
      <c r="U3703" s="38"/>
      <c r="V3703" s="38"/>
      <c r="W3703" s="60"/>
      <c r="AB3703" s="42"/>
      <c r="AC3703" s="35"/>
      <c r="AD3703" s="38"/>
      <c r="AE3703" s="38"/>
      <c r="AF3703" s="38"/>
      <c r="AG3703" s="38"/>
      <c r="AH3703" s="60"/>
    </row>
    <row r="3704" spans="1:34" ht="15.75" customHeight="1">
      <c r="A3704" s="111" t="s">
        <v>82</v>
      </c>
      <c r="B3704" s="158" t="s">
        <v>13102</v>
      </c>
      <c r="C3704" s="37" t="s">
        <v>1470</v>
      </c>
      <c r="D3704" s="20" t="s">
        <v>13103</v>
      </c>
      <c r="E3704" s="20" t="s">
        <v>13104</v>
      </c>
      <c r="F3704" s="19" t="s">
        <v>3286</v>
      </c>
      <c r="G3704" s="19" t="s">
        <v>1461</v>
      </c>
      <c r="H3704" s="37"/>
      <c r="I3704" s="19" t="s">
        <v>233</v>
      </c>
      <c r="J3704" s="155" t="str">
        <f t="shared" si="1"/>
        <v>NTT</v>
      </c>
      <c r="K3704" s="22" t="s">
        <v>13105</v>
      </c>
      <c r="L3704" s="56">
        <v>45099</v>
      </c>
      <c r="O3704" s="42"/>
      <c r="P3704" s="40"/>
      <c r="Q3704" s="61"/>
      <c r="R3704" s="61"/>
      <c r="S3704" s="40"/>
      <c r="T3704" s="38"/>
      <c r="U3704" s="38"/>
      <c r="V3704" s="38"/>
      <c r="W3704" s="60"/>
      <c r="AB3704" s="42"/>
      <c r="AC3704" s="35"/>
      <c r="AD3704" s="38"/>
      <c r="AE3704" s="38"/>
      <c r="AF3704" s="38"/>
      <c r="AG3704" s="38"/>
      <c r="AH3704" s="60"/>
    </row>
    <row r="3705" spans="1:34" ht="15.75" customHeight="1">
      <c r="A3705" s="75" t="s">
        <v>13106</v>
      </c>
      <c r="B3705" s="158" t="s">
        <v>13107</v>
      </c>
      <c r="C3705" s="37" t="s">
        <v>46</v>
      </c>
      <c r="D3705" s="20"/>
      <c r="E3705" s="20"/>
      <c r="F3705" s="37" t="s">
        <v>49</v>
      </c>
      <c r="G3705" s="19" t="s">
        <v>50</v>
      </c>
      <c r="H3705" s="37"/>
      <c r="I3705" s="19" t="s">
        <v>29</v>
      </c>
      <c r="J3705" s="155" t="str">
        <f t="shared" si="1"/>
        <v>TT</v>
      </c>
      <c r="K3705" s="22"/>
      <c r="L3705" s="56">
        <v>45099</v>
      </c>
      <c r="O3705" s="42"/>
      <c r="P3705" s="40"/>
      <c r="Q3705" s="61"/>
      <c r="R3705" s="61"/>
      <c r="S3705" s="40"/>
      <c r="T3705" s="38"/>
      <c r="U3705" s="38"/>
      <c r="V3705" s="38"/>
      <c r="W3705" s="60"/>
      <c r="AB3705" s="42"/>
      <c r="AC3705" s="35"/>
      <c r="AD3705" s="38"/>
      <c r="AE3705" s="38"/>
      <c r="AF3705" s="38"/>
      <c r="AG3705" s="38"/>
      <c r="AH3705" s="60"/>
    </row>
    <row r="3706" spans="1:34" ht="15.75" customHeight="1">
      <c r="A3706" s="111" t="s">
        <v>92</v>
      </c>
      <c r="B3706" s="158" t="s">
        <v>13108</v>
      </c>
      <c r="C3706" s="37" t="s">
        <v>24</v>
      </c>
      <c r="D3706" s="20" t="s">
        <v>13109</v>
      </c>
      <c r="E3706" s="20" t="s">
        <v>13110</v>
      </c>
      <c r="F3706" s="19" t="s">
        <v>27</v>
      </c>
      <c r="G3706" s="19" t="s">
        <v>28</v>
      </c>
      <c r="H3706" s="37"/>
      <c r="I3706" s="19" t="s">
        <v>29</v>
      </c>
      <c r="J3706" s="155" t="str">
        <f t="shared" si="1"/>
        <v>TT</v>
      </c>
      <c r="K3706" s="22" t="s">
        <v>13111</v>
      </c>
      <c r="L3706" s="56">
        <v>45099</v>
      </c>
      <c r="O3706" s="42"/>
      <c r="P3706" s="40"/>
      <c r="Q3706" s="61"/>
      <c r="R3706" s="61"/>
      <c r="S3706" s="40"/>
      <c r="T3706" s="38"/>
      <c r="U3706" s="38"/>
      <c r="V3706" s="38"/>
      <c r="W3706" s="60"/>
      <c r="AB3706" s="42"/>
      <c r="AC3706" s="35"/>
      <c r="AD3706" s="38"/>
      <c r="AE3706" s="38"/>
      <c r="AF3706" s="38"/>
      <c r="AG3706" s="38"/>
      <c r="AH3706" s="60"/>
    </row>
    <row r="3707" spans="1:34" ht="15.75" customHeight="1">
      <c r="A3707" s="112">
        <v>952</v>
      </c>
      <c r="B3707" s="158" t="s">
        <v>13112</v>
      </c>
      <c r="C3707" s="37" t="s">
        <v>24</v>
      </c>
      <c r="D3707" s="20" t="s">
        <v>13113</v>
      </c>
      <c r="E3707" s="20" t="s">
        <v>13114</v>
      </c>
      <c r="F3707" s="19" t="s">
        <v>27</v>
      </c>
      <c r="G3707" s="19" t="s">
        <v>28</v>
      </c>
      <c r="H3707" s="19" t="s">
        <v>36</v>
      </c>
      <c r="I3707" s="19" t="s">
        <v>29</v>
      </c>
      <c r="J3707" s="155" t="str">
        <f t="shared" si="1"/>
        <v>TT</v>
      </c>
      <c r="K3707" s="22" t="s">
        <v>13115</v>
      </c>
      <c r="L3707" s="56">
        <v>45099</v>
      </c>
      <c r="O3707" s="42"/>
      <c r="P3707" s="40"/>
      <c r="Q3707" s="61"/>
      <c r="R3707" s="61"/>
      <c r="S3707" s="40"/>
      <c r="T3707" s="38"/>
      <c r="U3707" s="38"/>
      <c r="V3707" s="38"/>
      <c r="W3707" s="60"/>
      <c r="AB3707" s="42"/>
      <c r="AC3707" s="35"/>
      <c r="AD3707" s="38"/>
      <c r="AE3707" s="38"/>
      <c r="AF3707" s="38"/>
      <c r="AG3707" s="38"/>
      <c r="AH3707" s="60"/>
    </row>
    <row r="3708" spans="1:34" ht="15.75" customHeight="1">
      <c r="A3708" s="111" t="s">
        <v>100</v>
      </c>
      <c r="B3708" s="158" t="s">
        <v>13116</v>
      </c>
      <c r="C3708" s="37" t="s">
        <v>46</v>
      </c>
      <c r="D3708" s="20" t="s">
        <v>13117</v>
      </c>
      <c r="E3708" s="20" t="s">
        <v>13118</v>
      </c>
      <c r="F3708" s="37" t="s">
        <v>49</v>
      </c>
      <c r="G3708" s="19" t="s">
        <v>50</v>
      </c>
      <c r="H3708" s="37"/>
      <c r="I3708" s="19" t="s">
        <v>29</v>
      </c>
      <c r="J3708" s="155" t="str">
        <f t="shared" si="1"/>
        <v>TT</v>
      </c>
      <c r="K3708" s="22" t="s">
        <v>13119</v>
      </c>
      <c r="L3708" s="56">
        <v>45099</v>
      </c>
      <c r="O3708" s="42"/>
      <c r="P3708" s="40"/>
      <c r="Q3708" s="61"/>
      <c r="R3708" s="61"/>
      <c r="S3708" s="40"/>
      <c r="T3708" s="38"/>
      <c r="U3708" s="38"/>
      <c r="V3708" s="38"/>
      <c r="W3708" s="60"/>
      <c r="AB3708" s="42"/>
      <c r="AC3708" s="35"/>
      <c r="AD3708" s="38"/>
      <c r="AE3708" s="38"/>
      <c r="AF3708" s="38"/>
      <c r="AG3708" s="38"/>
      <c r="AH3708" s="60"/>
    </row>
    <row r="3709" spans="1:34" ht="15.75" customHeight="1">
      <c r="A3709" s="75">
        <v>161</v>
      </c>
      <c r="B3709" s="158" t="s">
        <v>13120</v>
      </c>
      <c r="C3709" s="37" t="s">
        <v>24</v>
      </c>
      <c r="D3709" s="20" t="s">
        <v>13121</v>
      </c>
      <c r="E3709" s="20" t="s">
        <v>13122</v>
      </c>
      <c r="F3709" s="19" t="s">
        <v>27</v>
      </c>
      <c r="G3709" s="19" t="s">
        <v>28</v>
      </c>
      <c r="H3709" s="37"/>
      <c r="I3709" s="19" t="s">
        <v>29</v>
      </c>
      <c r="J3709" s="155" t="str">
        <f t="shared" si="1"/>
        <v>TT</v>
      </c>
      <c r="K3709" s="22" t="s">
        <v>13123</v>
      </c>
      <c r="L3709" s="56">
        <v>45099</v>
      </c>
      <c r="O3709" s="42"/>
      <c r="P3709" s="40"/>
      <c r="Q3709" s="61"/>
      <c r="R3709" s="61"/>
      <c r="S3709" s="40"/>
      <c r="T3709" s="38"/>
      <c r="U3709" s="38"/>
      <c r="V3709" s="38"/>
      <c r="W3709" s="60"/>
      <c r="AB3709" s="42"/>
      <c r="AC3709" s="35"/>
      <c r="AD3709" s="38"/>
      <c r="AE3709" s="38"/>
      <c r="AF3709" s="38"/>
      <c r="AG3709" s="38"/>
      <c r="AH3709" s="60"/>
    </row>
    <row r="3710" spans="1:34" ht="15.75" customHeight="1">
      <c r="A3710" s="35"/>
      <c r="B3710" s="158" t="s">
        <v>13124</v>
      </c>
      <c r="C3710" s="37" t="s">
        <v>24</v>
      </c>
      <c r="D3710" s="20" t="s">
        <v>13125</v>
      </c>
      <c r="E3710" s="20" t="s">
        <v>13126</v>
      </c>
      <c r="F3710" s="19" t="s">
        <v>27</v>
      </c>
      <c r="G3710" s="19" t="s">
        <v>28</v>
      </c>
      <c r="H3710" s="37"/>
      <c r="I3710" s="19" t="s">
        <v>29</v>
      </c>
      <c r="J3710" s="155" t="str">
        <f t="shared" si="1"/>
        <v>TT</v>
      </c>
      <c r="K3710" s="22" t="s">
        <v>13127</v>
      </c>
      <c r="L3710" s="56">
        <v>45099</v>
      </c>
      <c r="O3710" s="42"/>
      <c r="P3710" s="40"/>
      <c r="Q3710" s="61"/>
      <c r="R3710" s="61"/>
      <c r="S3710" s="40"/>
      <c r="T3710" s="38"/>
      <c r="U3710" s="38"/>
      <c r="V3710" s="38"/>
      <c r="W3710" s="60"/>
      <c r="AB3710" s="42"/>
      <c r="AC3710" s="35"/>
      <c r="AD3710" s="38"/>
      <c r="AE3710" s="38"/>
      <c r="AF3710" s="38"/>
      <c r="AG3710" s="38"/>
      <c r="AH3710" s="60"/>
    </row>
    <row r="3711" spans="1:34" ht="15.75" customHeight="1">
      <c r="A3711" s="178"/>
      <c r="B3711" s="158" t="s">
        <v>13128</v>
      </c>
      <c r="C3711" s="37" t="s">
        <v>87</v>
      </c>
      <c r="D3711" s="20" t="s">
        <v>13129</v>
      </c>
      <c r="E3711" s="20" t="s">
        <v>13130</v>
      </c>
      <c r="F3711" s="19" t="s">
        <v>90</v>
      </c>
      <c r="G3711" s="19" t="s">
        <v>91</v>
      </c>
      <c r="H3711" s="37"/>
      <c r="I3711" s="37" t="s">
        <v>29</v>
      </c>
      <c r="J3711" s="155" t="str">
        <f t="shared" si="1"/>
        <v>TT</v>
      </c>
      <c r="K3711" s="22" t="s">
        <v>13131</v>
      </c>
      <c r="L3711" s="56">
        <v>45099</v>
      </c>
      <c r="O3711" s="42"/>
      <c r="P3711" s="40"/>
      <c r="Q3711" s="61"/>
      <c r="R3711" s="61"/>
      <c r="S3711" s="40"/>
      <c r="T3711" s="38"/>
      <c r="U3711" s="38"/>
      <c r="V3711" s="38"/>
      <c r="W3711" s="60"/>
      <c r="AB3711" s="42"/>
      <c r="AC3711" s="35"/>
      <c r="AD3711" s="38"/>
      <c r="AE3711" s="38"/>
      <c r="AF3711" s="38"/>
      <c r="AG3711" s="38"/>
      <c r="AH3711" s="60"/>
    </row>
    <row r="3712" spans="1:34" ht="15.75" customHeight="1">
      <c r="A3712" s="178"/>
      <c r="B3712" s="158" t="s">
        <v>13132</v>
      </c>
      <c r="C3712" s="37" t="s">
        <v>1470</v>
      </c>
      <c r="D3712" s="20" t="s">
        <v>13133</v>
      </c>
      <c r="E3712" s="20" t="s">
        <v>13134</v>
      </c>
      <c r="F3712" s="19" t="s">
        <v>3286</v>
      </c>
      <c r="G3712" s="37" t="s">
        <v>1461</v>
      </c>
      <c r="H3712" s="37"/>
      <c r="I3712" s="19" t="s">
        <v>233</v>
      </c>
      <c r="J3712" s="155" t="str">
        <f t="shared" si="1"/>
        <v>NTT</v>
      </c>
      <c r="K3712" s="22" t="s">
        <v>13135</v>
      </c>
      <c r="L3712" s="56">
        <v>45099</v>
      </c>
      <c r="O3712" s="42"/>
      <c r="P3712" s="40"/>
      <c r="Q3712" s="61"/>
      <c r="R3712" s="61"/>
      <c r="S3712" s="40"/>
      <c r="T3712" s="38"/>
      <c r="U3712" s="38"/>
      <c r="V3712" s="38"/>
      <c r="W3712" s="60"/>
      <c r="AB3712" s="42"/>
      <c r="AC3712" s="35"/>
      <c r="AD3712" s="38"/>
      <c r="AE3712" s="38"/>
      <c r="AF3712" s="38"/>
      <c r="AG3712" s="38"/>
      <c r="AH3712" s="60"/>
    </row>
    <row r="3713" spans="1:34" ht="15.75" customHeight="1">
      <c r="A3713" s="178"/>
      <c r="B3713" s="158" t="s">
        <v>13136</v>
      </c>
      <c r="C3713" s="37" t="s">
        <v>24</v>
      </c>
      <c r="D3713" s="20" t="s">
        <v>13137</v>
      </c>
      <c r="E3713" s="20"/>
      <c r="F3713" s="19" t="s">
        <v>27</v>
      </c>
      <c r="G3713" s="19" t="s">
        <v>28</v>
      </c>
      <c r="H3713" s="37" t="s">
        <v>813</v>
      </c>
      <c r="I3713" s="19" t="s">
        <v>29</v>
      </c>
      <c r="J3713" s="155" t="str">
        <f t="shared" si="1"/>
        <v>TT</v>
      </c>
      <c r="K3713" s="22"/>
      <c r="L3713" s="56">
        <v>45099</v>
      </c>
      <c r="O3713" s="42"/>
      <c r="P3713" s="40"/>
      <c r="Q3713" s="61"/>
      <c r="R3713" s="61"/>
      <c r="S3713" s="40"/>
      <c r="T3713" s="38"/>
      <c r="U3713" s="38"/>
      <c r="V3713" s="38"/>
      <c r="W3713" s="60"/>
      <c r="AB3713" s="42"/>
      <c r="AC3713" s="35"/>
      <c r="AD3713" s="38"/>
      <c r="AE3713" s="38"/>
      <c r="AF3713" s="38"/>
      <c r="AG3713" s="38"/>
      <c r="AH3713" s="60"/>
    </row>
    <row r="3714" spans="1:34" ht="15.75" customHeight="1">
      <c r="A3714" s="178"/>
      <c r="B3714" s="160" t="s">
        <v>13138</v>
      </c>
      <c r="C3714" s="37" t="s">
        <v>87</v>
      </c>
      <c r="D3714" s="20" t="s">
        <v>13139</v>
      </c>
      <c r="E3714" s="20" t="s">
        <v>13140</v>
      </c>
      <c r="F3714" s="37" t="s">
        <v>49</v>
      </c>
      <c r="G3714" s="19" t="s">
        <v>50</v>
      </c>
      <c r="H3714" s="37"/>
      <c r="I3714" s="37" t="s">
        <v>29</v>
      </c>
      <c r="J3714" s="155" t="str">
        <f t="shared" si="1"/>
        <v>TT</v>
      </c>
      <c r="K3714" s="22" t="s">
        <v>13141</v>
      </c>
      <c r="L3714" s="56">
        <v>45099</v>
      </c>
      <c r="O3714" s="42"/>
      <c r="P3714" s="40"/>
      <c r="Q3714" s="61"/>
      <c r="R3714" s="61"/>
      <c r="S3714" s="40"/>
      <c r="T3714" s="38"/>
      <c r="U3714" s="38"/>
      <c r="V3714" s="38"/>
      <c r="W3714" s="60"/>
      <c r="AB3714" s="42"/>
      <c r="AC3714" s="35"/>
      <c r="AD3714" s="38"/>
      <c r="AE3714" s="38"/>
      <c r="AF3714" s="38"/>
      <c r="AG3714" s="38"/>
      <c r="AH3714" s="60"/>
    </row>
    <row r="3715" spans="1:34" ht="15.75" customHeight="1">
      <c r="A3715" s="178"/>
      <c r="B3715" s="158" t="s">
        <v>13142</v>
      </c>
      <c r="C3715" s="37" t="s">
        <v>46</v>
      </c>
      <c r="D3715" s="20" t="s">
        <v>13143</v>
      </c>
      <c r="E3715" s="20" t="s">
        <v>13144</v>
      </c>
      <c r="F3715" s="37" t="s">
        <v>49</v>
      </c>
      <c r="G3715" s="19" t="s">
        <v>50</v>
      </c>
      <c r="H3715" s="37"/>
      <c r="I3715" s="19" t="s">
        <v>29</v>
      </c>
      <c r="J3715" s="155" t="str">
        <f t="shared" si="1"/>
        <v>TT</v>
      </c>
      <c r="K3715" s="22" t="s">
        <v>13145</v>
      </c>
      <c r="L3715" s="56">
        <v>45099</v>
      </c>
      <c r="O3715" s="42"/>
      <c r="P3715" s="40"/>
      <c r="Q3715" s="61"/>
      <c r="R3715" s="61"/>
      <c r="S3715" s="40"/>
      <c r="T3715" s="38"/>
      <c r="U3715" s="38"/>
      <c r="V3715" s="38"/>
      <c r="W3715" s="60"/>
      <c r="AB3715" s="42"/>
      <c r="AC3715" s="35"/>
      <c r="AD3715" s="38"/>
      <c r="AE3715" s="38"/>
      <c r="AF3715" s="38"/>
      <c r="AG3715" s="38"/>
      <c r="AH3715" s="60"/>
    </row>
    <row r="3716" spans="1:34" ht="15.75" customHeight="1">
      <c r="A3716" s="178"/>
      <c r="B3716" s="158" t="s">
        <v>13146</v>
      </c>
      <c r="C3716" s="37" t="s">
        <v>46</v>
      </c>
      <c r="D3716" s="20" t="s">
        <v>13147</v>
      </c>
      <c r="E3716" s="20" t="s">
        <v>13148</v>
      </c>
      <c r="F3716" s="37" t="s">
        <v>49</v>
      </c>
      <c r="G3716" s="19" t="s">
        <v>50</v>
      </c>
      <c r="H3716" s="37"/>
      <c r="I3716" s="19" t="s">
        <v>29</v>
      </c>
      <c r="J3716" s="155" t="str">
        <f t="shared" si="1"/>
        <v>TT</v>
      </c>
      <c r="K3716" s="22" t="s">
        <v>13149</v>
      </c>
      <c r="L3716" s="56">
        <v>45099</v>
      </c>
      <c r="O3716" s="42"/>
      <c r="P3716" s="40"/>
      <c r="Q3716" s="61"/>
      <c r="R3716" s="61"/>
      <c r="S3716" s="40"/>
      <c r="T3716" s="38"/>
      <c r="U3716" s="38"/>
      <c r="V3716" s="38"/>
      <c r="W3716" s="60"/>
      <c r="AB3716" s="42"/>
      <c r="AC3716" s="35"/>
      <c r="AD3716" s="38"/>
      <c r="AE3716" s="38"/>
      <c r="AF3716" s="38"/>
      <c r="AG3716" s="38"/>
      <c r="AH3716" s="60"/>
    </row>
    <row r="3717" spans="1:34" ht="15.75" customHeight="1">
      <c r="A3717" s="178"/>
      <c r="B3717" s="158" t="s">
        <v>13150</v>
      </c>
      <c r="C3717" s="37" t="s">
        <v>24</v>
      </c>
      <c r="D3717" s="20" t="s">
        <v>13151</v>
      </c>
      <c r="E3717" s="20" t="s">
        <v>13152</v>
      </c>
      <c r="F3717" s="19" t="s">
        <v>27</v>
      </c>
      <c r="G3717" s="19" t="s">
        <v>28</v>
      </c>
      <c r="H3717" s="37"/>
      <c r="I3717" s="19" t="s">
        <v>29</v>
      </c>
      <c r="J3717" s="155" t="str">
        <f t="shared" si="1"/>
        <v>TT</v>
      </c>
      <c r="K3717" s="22" t="s">
        <v>13153</v>
      </c>
      <c r="L3717" s="56">
        <v>45099</v>
      </c>
      <c r="O3717" s="42"/>
      <c r="P3717" s="40"/>
      <c r="Q3717" s="61"/>
      <c r="R3717" s="61"/>
      <c r="S3717" s="40"/>
      <c r="T3717" s="38"/>
      <c r="U3717" s="38"/>
      <c r="V3717" s="38"/>
      <c r="W3717" s="60"/>
      <c r="AB3717" s="42"/>
      <c r="AC3717" s="35"/>
      <c r="AD3717" s="38"/>
      <c r="AE3717" s="38"/>
      <c r="AF3717" s="38"/>
      <c r="AG3717" s="38"/>
      <c r="AH3717" s="60"/>
    </row>
    <row r="3718" spans="1:34" ht="15.75" customHeight="1">
      <c r="A3718" s="178"/>
      <c r="B3718" s="158" t="s">
        <v>13154</v>
      </c>
      <c r="C3718" s="37" t="s">
        <v>87</v>
      </c>
      <c r="D3718" s="20" t="s">
        <v>13155</v>
      </c>
      <c r="E3718" s="20" t="s">
        <v>13156</v>
      </c>
      <c r="F3718" s="19" t="s">
        <v>90</v>
      </c>
      <c r="G3718" s="19" t="s">
        <v>91</v>
      </c>
      <c r="H3718" s="37"/>
      <c r="I3718" s="19" t="s">
        <v>29</v>
      </c>
      <c r="J3718" s="155" t="str">
        <f t="shared" si="1"/>
        <v>TT</v>
      </c>
      <c r="K3718" s="22" t="s">
        <v>13157</v>
      </c>
      <c r="L3718" s="56">
        <v>45099</v>
      </c>
      <c r="O3718" s="42"/>
      <c r="P3718" s="40"/>
      <c r="Q3718" s="61"/>
      <c r="R3718" s="61"/>
      <c r="S3718" s="40"/>
      <c r="T3718" s="38"/>
      <c r="U3718" s="38"/>
      <c r="V3718" s="38"/>
      <c r="W3718" s="60"/>
      <c r="AB3718" s="42"/>
      <c r="AC3718" s="35"/>
      <c r="AD3718" s="38"/>
      <c r="AE3718" s="38"/>
      <c r="AF3718" s="38"/>
      <c r="AG3718" s="38"/>
      <c r="AH3718" s="60"/>
    </row>
    <row r="3719" spans="1:34" ht="15.75" customHeight="1">
      <c r="A3719" s="178"/>
      <c r="B3719" s="158" t="s">
        <v>13158</v>
      </c>
      <c r="C3719" s="37" t="s">
        <v>46</v>
      </c>
      <c r="D3719" s="20" t="s">
        <v>13159</v>
      </c>
      <c r="E3719" s="20" t="s">
        <v>13160</v>
      </c>
      <c r="F3719" s="37" t="s">
        <v>49</v>
      </c>
      <c r="G3719" s="19" t="s">
        <v>50</v>
      </c>
      <c r="H3719" s="37"/>
      <c r="I3719" s="19" t="s">
        <v>29</v>
      </c>
      <c r="J3719" s="155" t="str">
        <f t="shared" si="1"/>
        <v>TT</v>
      </c>
      <c r="K3719" s="22" t="s">
        <v>13161</v>
      </c>
      <c r="L3719" s="56">
        <v>45099</v>
      </c>
      <c r="O3719" s="42"/>
      <c r="P3719" s="40"/>
      <c r="Q3719" s="61"/>
      <c r="R3719" s="61"/>
      <c r="S3719" s="40"/>
      <c r="T3719" s="38"/>
      <c r="U3719" s="38"/>
      <c r="V3719" s="38"/>
      <c r="W3719" s="60"/>
      <c r="AB3719" s="42"/>
      <c r="AC3719" s="35"/>
      <c r="AD3719" s="38"/>
      <c r="AE3719" s="38"/>
      <c r="AF3719" s="38"/>
      <c r="AG3719" s="38"/>
      <c r="AH3719" s="60"/>
    </row>
    <row r="3720" spans="1:34" ht="15.75" customHeight="1">
      <c r="A3720" s="178"/>
      <c r="B3720" s="38"/>
      <c r="C3720" s="37"/>
      <c r="D3720" s="20"/>
      <c r="E3720" s="20"/>
      <c r="F3720" s="37"/>
      <c r="G3720" s="37"/>
      <c r="H3720" s="37"/>
      <c r="I3720" s="19"/>
      <c r="J3720" s="155">
        <f t="shared" si="1"/>
        <v>0</v>
      </c>
      <c r="K3720" s="22"/>
      <c r="L3720" s="39"/>
      <c r="O3720" s="42"/>
      <c r="P3720" s="40"/>
      <c r="Q3720" s="61"/>
      <c r="R3720" s="61"/>
      <c r="S3720" s="40"/>
      <c r="T3720" s="38"/>
      <c r="U3720" s="38"/>
      <c r="V3720" s="38"/>
      <c r="W3720" s="60"/>
      <c r="AB3720" s="42"/>
      <c r="AC3720" s="35"/>
      <c r="AD3720" s="38"/>
      <c r="AE3720" s="38"/>
      <c r="AF3720" s="38"/>
      <c r="AG3720" s="38"/>
      <c r="AH3720" s="60"/>
    </row>
    <row r="3721" spans="1:34" ht="15.75" customHeight="1">
      <c r="A3721" s="38" t="s">
        <v>13162</v>
      </c>
      <c r="B3721" s="158" t="s">
        <v>13163</v>
      </c>
      <c r="C3721" s="37" t="s">
        <v>24</v>
      </c>
      <c r="D3721" s="20" t="s">
        <v>13164</v>
      </c>
      <c r="E3721" s="20" t="s">
        <v>13165</v>
      </c>
      <c r="F3721" s="19" t="s">
        <v>27</v>
      </c>
      <c r="G3721" s="19" t="s">
        <v>28</v>
      </c>
      <c r="H3721" s="37"/>
      <c r="I3721" s="37" t="s">
        <v>29</v>
      </c>
      <c r="J3721" s="155" t="str">
        <f t="shared" si="1"/>
        <v>TT</v>
      </c>
      <c r="K3721" s="22" t="s">
        <v>13165</v>
      </c>
      <c r="L3721" s="56">
        <v>45099</v>
      </c>
      <c r="M3721" s="40"/>
      <c r="O3721" s="42"/>
      <c r="P3721" s="40"/>
      <c r="Q3721" s="61"/>
      <c r="R3721" s="61"/>
      <c r="S3721" s="40"/>
      <c r="T3721" s="38"/>
      <c r="U3721" s="38"/>
      <c r="V3721" s="38"/>
      <c r="W3721" s="60"/>
      <c r="AB3721" s="42"/>
      <c r="AC3721" s="35"/>
      <c r="AD3721" s="38"/>
      <c r="AE3721" s="38"/>
      <c r="AF3721" s="38"/>
      <c r="AG3721" s="38"/>
      <c r="AH3721" s="60"/>
    </row>
    <row r="3722" spans="1:34" ht="15.75" customHeight="1">
      <c r="A3722" s="54" t="s">
        <v>3888</v>
      </c>
      <c r="B3722" s="160" t="s">
        <v>13166</v>
      </c>
      <c r="C3722" s="37" t="s">
        <v>87</v>
      </c>
      <c r="D3722" s="20" t="s">
        <v>13167</v>
      </c>
      <c r="E3722" s="20" t="s">
        <v>13168</v>
      </c>
      <c r="F3722" s="37" t="s">
        <v>49</v>
      </c>
      <c r="G3722" s="19" t="s">
        <v>50</v>
      </c>
      <c r="H3722" s="37"/>
      <c r="I3722" s="37" t="s">
        <v>29</v>
      </c>
      <c r="J3722" s="155" t="str">
        <f t="shared" si="1"/>
        <v>TT</v>
      </c>
      <c r="K3722" s="22" t="s">
        <v>13169</v>
      </c>
      <c r="L3722" s="56">
        <v>45099</v>
      </c>
      <c r="O3722" s="42"/>
      <c r="P3722" s="40"/>
      <c r="Q3722" s="61"/>
      <c r="R3722" s="61"/>
      <c r="S3722" s="40"/>
      <c r="T3722" s="38"/>
      <c r="U3722" s="38"/>
      <c r="V3722" s="38"/>
      <c r="W3722" s="60"/>
      <c r="AB3722" s="42"/>
      <c r="AC3722" s="35"/>
      <c r="AD3722" s="38"/>
      <c r="AE3722" s="38"/>
      <c r="AF3722" s="38"/>
      <c r="AG3722" s="38"/>
      <c r="AH3722" s="60"/>
    </row>
    <row r="3723" spans="1:34" ht="15.75" customHeight="1">
      <c r="A3723" s="114" t="s">
        <v>39</v>
      </c>
      <c r="B3723" s="158" t="s">
        <v>13170</v>
      </c>
      <c r="C3723" s="37" t="s">
        <v>46</v>
      </c>
      <c r="D3723" s="20" t="s">
        <v>13171</v>
      </c>
      <c r="E3723" s="20" t="s">
        <v>13172</v>
      </c>
      <c r="F3723" s="37" t="s">
        <v>49</v>
      </c>
      <c r="G3723" s="19" t="s">
        <v>50</v>
      </c>
      <c r="H3723" s="37"/>
      <c r="I3723" s="37" t="s">
        <v>29</v>
      </c>
      <c r="J3723" s="155" t="str">
        <f t="shared" si="1"/>
        <v>TT</v>
      </c>
      <c r="K3723" s="22" t="s">
        <v>13173</v>
      </c>
      <c r="L3723" s="56">
        <v>45099</v>
      </c>
      <c r="O3723" s="42"/>
      <c r="P3723" s="40"/>
      <c r="Q3723" s="61"/>
      <c r="R3723" s="61"/>
      <c r="S3723" s="40"/>
      <c r="T3723" s="38"/>
      <c r="U3723" s="38"/>
      <c r="V3723" s="38"/>
      <c r="W3723" s="60"/>
      <c r="AB3723" s="42"/>
      <c r="AC3723" s="35"/>
      <c r="AD3723" s="38"/>
      <c r="AE3723" s="38"/>
      <c r="AF3723" s="38"/>
      <c r="AG3723" s="38"/>
      <c r="AH3723" s="60"/>
    </row>
    <row r="3724" spans="1:34" ht="15.75" customHeight="1">
      <c r="A3724" s="38" t="s">
        <v>12553</v>
      </c>
      <c r="B3724" s="158" t="s">
        <v>13174</v>
      </c>
      <c r="C3724" s="37" t="s">
        <v>87</v>
      </c>
      <c r="D3724" s="20" t="s">
        <v>13175</v>
      </c>
      <c r="E3724" s="20" t="s">
        <v>13176</v>
      </c>
      <c r="F3724" s="19" t="s">
        <v>90</v>
      </c>
      <c r="G3724" s="19" t="s">
        <v>91</v>
      </c>
      <c r="H3724" s="37"/>
      <c r="I3724" s="37" t="s">
        <v>29</v>
      </c>
      <c r="J3724" s="155" t="str">
        <f t="shared" si="1"/>
        <v>TT</v>
      </c>
      <c r="K3724" s="22" t="s">
        <v>13177</v>
      </c>
      <c r="L3724" s="56">
        <v>45099</v>
      </c>
      <c r="O3724" s="42"/>
      <c r="P3724" s="40"/>
      <c r="Q3724" s="61"/>
      <c r="R3724" s="61"/>
      <c r="S3724" s="40"/>
      <c r="T3724" s="38"/>
      <c r="U3724" s="38"/>
      <c r="V3724" s="38"/>
      <c r="W3724" s="60"/>
      <c r="AB3724" s="42"/>
      <c r="AC3724" s="35"/>
      <c r="AD3724" s="38"/>
      <c r="AE3724" s="38"/>
      <c r="AF3724" s="38"/>
      <c r="AG3724" s="38"/>
      <c r="AH3724" s="60"/>
    </row>
    <row r="3725" spans="1:34" ht="15.75" customHeight="1">
      <c r="A3725" s="38" t="s">
        <v>11200</v>
      </c>
      <c r="B3725" s="158" t="s">
        <v>13178</v>
      </c>
      <c r="C3725" s="37" t="s">
        <v>24</v>
      </c>
      <c r="D3725" s="20" t="s">
        <v>13179</v>
      </c>
      <c r="E3725" s="20" t="s">
        <v>13180</v>
      </c>
      <c r="F3725" s="19" t="s">
        <v>27</v>
      </c>
      <c r="G3725" s="19" t="s">
        <v>28</v>
      </c>
      <c r="H3725" s="37"/>
      <c r="I3725" s="37" t="s">
        <v>29</v>
      </c>
      <c r="J3725" s="155" t="str">
        <f t="shared" si="1"/>
        <v>TT</v>
      </c>
      <c r="K3725" s="22" t="s">
        <v>13180</v>
      </c>
      <c r="L3725" s="56">
        <v>45099</v>
      </c>
      <c r="O3725" s="42"/>
      <c r="P3725" s="40"/>
      <c r="Q3725" s="61"/>
      <c r="R3725" s="61"/>
      <c r="S3725" s="40"/>
      <c r="T3725" s="38"/>
      <c r="U3725" s="38"/>
      <c r="V3725" s="38"/>
      <c r="W3725" s="60"/>
      <c r="AB3725" s="42"/>
      <c r="AC3725" s="35"/>
      <c r="AD3725" s="38"/>
      <c r="AE3725" s="38"/>
      <c r="AF3725" s="38"/>
      <c r="AG3725" s="38"/>
      <c r="AH3725" s="60"/>
    </row>
    <row r="3726" spans="1:34" ht="15.75" customHeight="1">
      <c r="A3726" s="111" t="s">
        <v>56</v>
      </c>
      <c r="B3726" s="158" t="s">
        <v>13181</v>
      </c>
      <c r="C3726" s="37" t="s">
        <v>24</v>
      </c>
      <c r="D3726" s="20" t="s">
        <v>13182</v>
      </c>
      <c r="E3726" s="20" t="s">
        <v>13183</v>
      </c>
      <c r="F3726" s="19" t="s">
        <v>27</v>
      </c>
      <c r="G3726" s="19" t="s">
        <v>28</v>
      </c>
      <c r="H3726" s="37"/>
      <c r="I3726" s="37" t="s">
        <v>29</v>
      </c>
      <c r="J3726" s="155" t="str">
        <f t="shared" si="1"/>
        <v>TT</v>
      </c>
      <c r="K3726" s="22" t="s">
        <v>13184</v>
      </c>
      <c r="L3726" s="56">
        <v>45099</v>
      </c>
      <c r="O3726" s="42"/>
      <c r="P3726" s="40"/>
      <c r="Q3726" s="61"/>
      <c r="R3726" s="61"/>
      <c r="S3726" s="40"/>
      <c r="T3726" s="38"/>
      <c r="U3726" s="38"/>
      <c r="V3726" s="38"/>
      <c r="W3726" s="60"/>
      <c r="AB3726" s="42"/>
      <c r="AC3726" s="35"/>
      <c r="AD3726" s="38"/>
      <c r="AE3726" s="38"/>
      <c r="AF3726" s="38"/>
      <c r="AG3726" s="38"/>
      <c r="AH3726" s="60"/>
    </row>
    <row r="3727" spans="1:34" ht="15.75" customHeight="1">
      <c r="A3727" s="75">
        <v>54</v>
      </c>
      <c r="B3727" s="158" t="s">
        <v>13185</v>
      </c>
      <c r="C3727" s="37" t="s">
        <v>87</v>
      </c>
      <c r="D3727" s="20" t="s">
        <v>13186</v>
      </c>
      <c r="E3727" s="20" t="s">
        <v>13187</v>
      </c>
      <c r="F3727" s="19" t="s">
        <v>90</v>
      </c>
      <c r="G3727" s="19" t="s">
        <v>91</v>
      </c>
      <c r="H3727" s="37"/>
      <c r="I3727" s="37" t="s">
        <v>29</v>
      </c>
      <c r="J3727" s="155" t="str">
        <f t="shared" si="1"/>
        <v>TT</v>
      </c>
      <c r="K3727" s="22" t="s">
        <v>13187</v>
      </c>
      <c r="L3727" s="56">
        <v>45099</v>
      </c>
      <c r="O3727" s="42"/>
      <c r="P3727" s="40"/>
      <c r="Q3727" s="61"/>
      <c r="R3727" s="61"/>
      <c r="S3727" s="40"/>
      <c r="T3727" s="38"/>
      <c r="U3727" s="38"/>
      <c r="V3727" s="38"/>
      <c r="W3727" s="60"/>
      <c r="AB3727" s="42"/>
      <c r="AC3727" s="35"/>
      <c r="AD3727" s="38"/>
      <c r="AE3727" s="38"/>
      <c r="AF3727" s="38"/>
      <c r="AG3727" s="38"/>
      <c r="AH3727" s="60"/>
    </row>
    <row r="3728" spans="1:34" ht="15.75" customHeight="1">
      <c r="A3728" s="111" t="s">
        <v>64</v>
      </c>
      <c r="B3728" s="158" t="s">
        <v>13188</v>
      </c>
      <c r="C3728" s="37" t="s">
        <v>46</v>
      </c>
      <c r="D3728" s="20" t="s">
        <v>13189</v>
      </c>
      <c r="E3728" s="20" t="s">
        <v>13190</v>
      </c>
      <c r="F3728" s="37" t="s">
        <v>49</v>
      </c>
      <c r="G3728" s="19" t="s">
        <v>50</v>
      </c>
      <c r="H3728" s="37"/>
      <c r="I3728" s="37" t="s">
        <v>29</v>
      </c>
      <c r="J3728" s="155" t="str">
        <f t="shared" si="1"/>
        <v>TT</v>
      </c>
      <c r="K3728" s="22" t="s">
        <v>13190</v>
      </c>
      <c r="L3728" s="56">
        <v>45099</v>
      </c>
      <c r="O3728" s="42"/>
      <c r="P3728" s="40"/>
      <c r="Q3728" s="61"/>
      <c r="R3728" s="61"/>
      <c r="S3728" s="40"/>
      <c r="T3728" s="38"/>
      <c r="U3728" s="38"/>
      <c r="V3728" s="38"/>
      <c r="W3728" s="60"/>
      <c r="AB3728" s="42"/>
      <c r="AC3728" s="35"/>
      <c r="AD3728" s="38"/>
      <c r="AE3728" s="38"/>
      <c r="AF3728" s="38"/>
      <c r="AG3728" s="38"/>
      <c r="AH3728" s="60"/>
    </row>
    <row r="3729" spans="1:34" ht="15.75" customHeight="1">
      <c r="A3729" s="75">
        <v>2.6</v>
      </c>
      <c r="B3729" s="158" t="s">
        <v>13191</v>
      </c>
      <c r="C3729" s="37" t="s">
        <v>46</v>
      </c>
      <c r="D3729" s="20" t="s">
        <v>13192</v>
      </c>
      <c r="E3729" s="20" t="s">
        <v>13193</v>
      </c>
      <c r="F3729" s="37" t="s">
        <v>49</v>
      </c>
      <c r="G3729" s="19" t="s">
        <v>50</v>
      </c>
      <c r="H3729" s="37"/>
      <c r="I3729" s="37" t="s">
        <v>29</v>
      </c>
      <c r="J3729" s="155" t="str">
        <f t="shared" si="1"/>
        <v>TT</v>
      </c>
      <c r="K3729" s="22" t="s">
        <v>13194</v>
      </c>
      <c r="L3729" s="56">
        <v>45099</v>
      </c>
      <c r="O3729" s="42"/>
      <c r="P3729" s="40"/>
      <c r="Q3729" s="61"/>
      <c r="R3729" s="61"/>
      <c r="S3729" s="40"/>
      <c r="T3729" s="38"/>
      <c r="U3729" s="38"/>
      <c r="V3729" s="38"/>
      <c r="W3729" s="60"/>
      <c r="AB3729" s="42"/>
      <c r="AC3729" s="35"/>
      <c r="AD3729" s="38"/>
      <c r="AE3729" s="38"/>
      <c r="AF3729" s="38"/>
      <c r="AG3729" s="38"/>
      <c r="AH3729" s="60"/>
    </row>
    <row r="3730" spans="1:34" ht="15.75" customHeight="1">
      <c r="A3730" s="111" t="s">
        <v>73</v>
      </c>
      <c r="B3730" s="158" t="s">
        <v>13195</v>
      </c>
      <c r="C3730" s="37" t="s">
        <v>87</v>
      </c>
      <c r="D3730" s="20" t="s">
        <v>13196</v>
      </c>
      <c r="E3730" s="20" t="s">
        <v>13197</v>
      </c>
      <c r="F3730" s="19" t="s">
        <v>90</v>
      </c>
      <c r="G3730" s="19" t="s">
        <v>91</v>
      </c>
      <c r="H3730" s="37"/>
      <c r="I3730" s="37" t="s">
        <v>29</v>
      </c>
      <c r="J3730" s="155" t="str">
        <f t="shared" si="1"/>
        <v>TT</v>
      </c>
      <c r="K3730" s="22" t="s">
        <v>13198</v>
      </c>
      <c r="L3730" s="56">
        <v>45099</v>
      </c>
      <c r="O3730" s="42"/>
      <c r="P3730" s="40"/>
      <c r="Q3730" s="61"/>
      <c r="R3730" s="61"/>
      <c r="S3730" s="40"/>
      <c r="T3730" s="38"/>
      <c r="U3730" s="38"/>
      <c r="V3730" s="38"/>
      <c r="W3730" s="60"/>
      <c r="AB3730" s="42"/>
      <c r="AC3730" s="35"/>
      <c r="AD3730" s="38"/>
      <c r="AE3730" s="38"/>
      <c r="AF3730" s="38"/>
      <c r="AG3730" s="38"/>
      <c r="AH3730" s="60"/>
    </row>
    <row r="3731" spans="1:34" ht="15.75" customHeight="1">
      <c r="A3731" s="75">
        <v>3.1</v>
      </c>
      <c r="B3731" s="158" t="s">
        <v>13199</v>
      </c>
      <c r="C3731" s="37" t="s">
        <v>46</v>
      </c>
      <c r="D3731" s="20" t="s">
        <v>13200</v>
      </c>
      <c r="E3731" s="20" t="s">
        <v>13201</v>
      </c>
      <c r="F3731" s="37" t="s">
        <v>49</v>
      </c>
      <c r="G3731" s="19" t="s">
        <v>50</v>
      </c>
      <c r="H3731" s="37"/>
      <c r="I3731" s="37" t="s">
        <v>29</v>
      </c>
      <c r="J3731" s="155" t="str">
        <f t="shared" si="1"/>
        <v>TT</v>
      </c>
      <c r="K3731" s="22" t="s">
        <v>13202</v>
      </c>
      <c r="L3731" s="56">
        <v>45099</v>
      </c>
      <c r="O3731" s="42"/>
      <c r="P3731" s="40"/>
      <c r="Q3731" s="61"/>
      <c r="R3731" s="61"/>
      <c r="S3731" s="40"/>
      <c r="T3731" s="38"/>
      <c r="U3731" s="38"/>
      <c r="V3731" s="38"/>
      <c r="W3731" s="60"/>
      <c r="AB3731" s="42"/>
      <c r="AC3731" s="35"/>
      <c r="AD3731" s="38"/>
      <c r="AE3731" s="38"/>
      <c r="AF3731" s="38"/>
      <c r="AG3731" s="38"/>
      <c r="AH3731" s="60"/>
    </row>
    <row r="3732" spans="1:34" ht="15.75" customHeight="1">
      <c r="A3732" s="111" t="s">
        <v>82</v>
      </c>
      <c r="B3732" s="158" t="s">
        <v>13203</v>
      </c>
      <c r="C3732" s="37" t="s">
        <v>24</v>
      </c>
      <c r="D3732" s="20" t="s">
        <v>13204</v>
      </c>
      <c r="E3732" s="20" t="s">
        <v>13205</v>
      </c>
      <c r="F3732" s="19" t="s">
        <v>27</v>
      </c>
      <c r="G3732" s="19" t="s">
        <v>28</v>
      </c>
      <c r="H3732" s="37"/>
      <c r="I3732" s="37" t="s">
        <v>29</v>
      </c>
      <c r="J3732" s="155" t="str">
        <f t="shared" si="1"/>
        <v>TT</v>
      </c>
      <c r="K3732" s="22" t="s">
        <v>13205</v>
      </c>
      <c r="L3732" s="56">
        <v>45099</v>
      </c>
      <c r="O3732" s="42"/>
      <c r="P3732" s="40"/>
      <c r="Q3732" s="61"/>
      <c r="R3732" s="61"/>
      <c r="S3732" s="40"/>
      <c r="T3732" s="38"/>
      <c r="U3732" s="38"/>
      <c r="V3732" s="38"/>
      <c r="W3732" s="60"/>
      <c r="AB3732" s="42"/>
      <c r="AC3732" s="35"/>
      <c r="AD3732" s="38"/>
      <c r="AE3732" s="38"/>
      <c r="AF3732" s="38"/>
      <c r="AG3732" s="38"/>
      <c r="AH3732" s="60"/>
    </row>
    <row r="3733" spans="1:34" ht="15.75" customHeight="1">
      <c r="A3733" s="75" t="s">
        <v>13206</v>
      </c>
      <c r="B3733" s="158" t="s">
        <v>13207</v>
      </c>
      <c r="C3733" s="37" t="s">
        <v>46</v>
      </c>
      <c r="D3733" s="20" t="s">
        <v>13208</v>
      </c>
      <c r="E3733" s="20" t="s">
        <v>13209</v>
      </c>
      <c r="F3733" s="37" t="s">
        <v>49</v>
      </c>
      <c r="G3733" s="19" t="s">
        <v>50</v>
      </c>
      <c r="H3733" s="37"/>
      <c r="I3733" s="37" t="s">
        <v>29</v>
      </c>
      <c r="J3733" s="155" t="str">
        <f t="shared" si="1"/>
        <v>TT</v>
      </c>
      <c r="K3733" s="22" t="s">
        <v>13210</v>
      </c>
      <c r="L3733" s="56">
        <v>45099</v>
      </c>
      <c r="O3733" s="42"/>
      <c r="P3733" s="40"/>
      <c r="Q3733" s="61"/>
      <c r="R3733" s="61"/>
      <c r="S3733" s="40"/>
      <c r="T3733" s="38"/>
      <c r="U3733" s="38"/>
      <c r="V3733" s="38"/>
      <c r="W3733" s="60"/>
      <c r="AB3733" s="42"/>
      <c r="AC3733" s="35"/>
      <c r="AD3733" s="38"/>
      <c r="AE3733" s="38"/>
      <c r="AF3733" s="38"/>
      <c r="AG3733" s="38"/>
      <c r="AH3733" s="60"/>
    </row>
    <row r="3734" spans="1:34" ht="15.75" customHeight="1">
      <c r="A3734" s="111" t="s">
        <v>92</v>
      </c>
      <c r="B3734" s="158" t="s">
        <v>13211</v>
      </c>
      <c r="C3734" s="37" t="s">
        <v>24</v>
      </c>
      <c r="D3734" s="20" t="s">
        <v>13212</v>
      </c>
      <c r="E3734" s="20" t="s">
        <v>13213</v>
      </c>
      <c r="F3734" s="19" t="s">
        <v>27</v>
      </c>
      <c r="G3734" s="19" t="s">
        <v>28</v>
      </c>
      <c r="H3734" s="37"/>
      <c r="I3734" s="37" t="s">
        <v>29</v>
      </c>
      <c r="J3734" s="155" t="str">
        <f t="shared" si="1"/>
        <v>TT</v>
      </c>
      <c r="K3734" s="22" t="s">
        <v>13214</v>
      </c>
      <c r="L3734" s="56">
        <v>45099</v>
      </c>
      <c r="O3734" s="42"/>
      <c r="P3734" s="40"/>
      <c r="Q3734" s="61"/>
      <c r="R3734" s="61"/>
      <c r="S3734" s="40"/>
      <c r="T3734" s="38"/>
      <c r="U3734" s="38"/>
      <c r="V3734" s="38"/>
      <c r="W3734" s="60"/>
      <c r="AB3734" s="42"/>
      <c r="AC3734" s="35"/>
      <c r="AD3734" s="38"/>
      <c r="AE3734" s="38"/>
      <c r="AF3734" s="38"/>
      <c r="AG3734" s="38"/>
      <c r="AH3734" s="60"/>
    </row>
    <row r="3735" spans="1:34" ht="15.75" customHeight="1">
      <c r="A3735" s="112">
        <v>1877</v>
      </c>
      <c r="B3735" s="158" t="s">
        <v>13215</v>
      </c>
      <c r="C3735" s="37" t="s">
        <v>24</v>
      </c>
      <c r="D3735" s="20" t="s">
        <v>13216</v>
      </c>
      <c r="E3735" s="20" t="s">
        <v>13217</v>
      </c>
      <c r="F3735" s="19" t="s">
        <v>27</v>
      </c>
      <c r="G3735" s="19" t="s">
        <v>28</v>
      </c>
      <c r="H3735" s="37"/>
      <c r="I3735" s="37" t="s">
        <v>29</v>
      </c>
      <c r="J3735" s="155" t="str">
        <f t="shared" si="1"/>
        <v>TT</v>
      </c>
      <c r="K3735" s="22" t="s">
        <v>13218</v>
      </c>
      <c r="L3735" s="56">
        <v>45099</v>
      </c>
      <c r="O3735" s="42"/>
      <c r="P3735" s="40"/>
      <c r="Q3735" s="61"/>
      <c r="R3735" s="61"/>
      <c r="S3735" s="40"/>
      <c r="T3735" s="38"/>
      <c r="U3735" s="38"/>
      <c r="V3735" s="38"/>
      <c r="W3735" s="60"/>
      <c r="AB3735" s="42"/>
      <c r="AC3735" s="35"/>
      <c r="AD3735" s="38"/>
      <c r="AE3735" s="38"/>
      <c r="AF3735" s="38"/>
      <c r="AG3735" s="38"/>
      <c r="AH3735" s="60"/>
    </row>
    <row r="3736" spans="1:34" ht="15.75" customHeight="1">
      <c r="A3736" s="111" t="s">
        <v>100</v>
      </c>
      <c r="B3736" s="158" t="s">
        <v>13219</v>
      </c>
      <c r="C3736" s="37" t="s">
        <v>24</v>
      </c>
      <c r="D3736" s="20" t="s">
        <v>13220</v>
      </c>
      <c r="E3736" s="20" t="s">
        <v>13221</v>
      </c>
      <c r="F3736" s="19" t="s">
        <v>27</v>
      </c>
      <c r="G3736" s="19" t="s">
        <v>28</v>
      </c>
      <c r="H3736" s="37"/>
      <c r="I3736" s="37" t="s">
        <v>29</v>
      </c>
      <c r="J3736" s="155" t="str">
        <f t="shared" si="1"/>
        <v>TT</v>
      </c>
      <c r="K3736" s="22" t="s">
        <v>13221</v>
      </c>
      <c r="L3736" s="56">
        <v>45099</v>
      </c>
      <c r="O3736" s="42"/>
      <c r="P3736" s="40"/>
      <c r="Q3736" s="61"/>
      <c r="R3736" s="61"/>
      <c r="S3736" s="40"/>
      <c r="T3736" s="38"/>
      <c r="U3736" s="38"/>
      <c r="V3736" s="38"/>
      <c r="W3736" s="60"/>
      <c r="AB3736" s="42"/>
      <c r="AC3736" s="35"/>
      <c r="AD3736" s="38"/>
      <c r="AE3736" s="38"/>
      <c r="AF3736" s="38"/>
      <c r="AG3736" s="38"/>
      <c r="AH3736" s="60"/>
    </row>
    <row r="3737" spans="1:34" ht="15.75" customHeight="1">
      <c r="A3737" s="75">
        <v>163</v>
      </c>
      <c r="B3737" s="158" t="s">
        <v>13222</v>
      </c>
      <c r="C3737" s="37" t="s">
        <v>87</v>
      </c>
      <c r="D3737" s="20" t="s">
        <v>13223</v>
      </c>
      <c r="E3737" s="20" t="s">
        <v>13224</v>
      </c>
      <c r="F3737" s="19" t="s">
        <v>90</v>
      </c>
      <c r="G3737" s="19" t="s">
        <v>91</v>
      </c>
      <c r="H3737" s="37"/>
      <c r="I3737" s="37" t="s">
        <v>29</v>
      </c>
      <c r="J3737" s="155" t="str">
        <f t="shared" si="1"/>
        <v>TT</v>
      </c>
      <c r="K3737" s="22" t="s">
        <v>13225</v>
      </c>
      <c r="L3737" s="56">
        <v>45099</v>
      </c>
      <c r="O3737" s="42"/>
      <c r="P3737" s="40"/>
      <c r="Q3737" s="61"/>
      <c r="R3737" s="61"/>
      <c r="S3737" s="40"/>
      <c r="T3737" s="38"/>
      <c r="U3737" s="38"/>
      <c r="V3737" s="38"/>
      <c r="W3737" s="60"/>
      <c r="AB3737" s="42"/>
      <c r="AC3737" s="35"/>
      <c r="AD3737" s="38"/>
      <c r="AE3737" s="38"/>
      <c r="AF3737" s="38"/>
      <c r="AG3737" s="38"/>
      <c r="AH3737" s="60"/>
    </row>
    <row r="3738" spans="1:34" ht="15.75" customHeight="1">
      <c r="A3738" s="179"/>
      <c r="B3738" s="160" t="s">
        <v>13226</v>
      </c>
      <c r="C3738" s="37" t="s">
        <v>24</v>
      </c>
      <c r="D3738" s="20" t="s">
        <v>13227</v>
      </c>
      <c r="E3738" s="20" t="s">
        <v>13228</v>
      </c>
      <c r="F3738" s="19" t="s">
        <v>90</v>
      </c>
      <c r="G3738" s="19" t="s">
        <v>91</v>
      </c>
      <c r="H3738" s="37"/>
      <c r="I3738" s="37" t="s">
        <v>29</v>
      </c>
      <c r="J3738" s="155" t="str">
        <f t="shared" si="1"/>
        <v>TT</v>
      </c>
      <c r="K3738" s="22" t="s">
        <v>13228</v>
      </c>
      <c r="L3738" s="56">
        <v>45099</v>
      </c>
      <c r="O3738" s="42"/>
      <c r="P3738" s="40"/>
      <c r="Q3738" s="61"/>
      <c r="R3738" s="61"/>
      <c r="S3738" s="40"/>
      <c r="T3738" s="38"/>
      <c r="U3738" s="38"/>
      <c r="V3738" s="38"/>
      <c r="W3738" s="60"/>
      <c r="AB3738" s="42"/>
      <c r="AC3738" s="35"/>
      <c r="AD3738" s="38"/>
      <c r="AE3738" s="38"/>
      <c r="AF3738" s="38"/>
      <c r="AG3738" s="38"/>
      <c r="AH3738" s="60"/>
    </row>
    <row r="3739" spans="1:34" ht="15.75" customHeight="1">
      <c r="A3739" s="179"/>
      <c r="B3739" s="158" t="s">
        <v>13229</v>
      </c>
      <c r="C3739" s="37" t="s">
        <v>46</v>
      </c>
      <c r="D3739" s="20" t="s">
        <v>13230</v>
      </c>
      <c r="E3739" s="20" t="s">
        <v>13231</v>
      </c>
      <c r="F3739" s="37" t="s">
        <v>49</v>
      </c>
      <c r="G3739" s="19" t="s">
        <v>50</v>
      </c>
      <c r="H3739" s="37"/>
      <c r="I3739" s="37" t="s">
        <v>29</v>
      </c>
      <c r="J3739" s="155" t="str">
        <f t="shared" si="1"/>
        <v>TT</v>
      </c>
      <c r="K3739" s="22" t="s">
        <v>13231</v>
      </c>
      <c r="L3739" s="56">
        <v>45099</v>
      </c>
      <c r="O3739" s="42"/>
      <c r="P3739" s="40"/>
      <c r="Q3739" s="61"/>
      <c r="R3739" s="61"/>
      <c r="S3739" s="40"/>
      <c r="T3739" s="38"/>
      <c r="U3739" s="38"/>
      <c r="V3739" s="38"/>
      <c r="W3739" s="60"/>
      <c r="AB3739" s="42"/>
      <c r="AC3739" s="35"/>
      <c r="AD3739" s="38"/>
      <c r="AE3739" s="38"/>
      <c r="AF3739" s="38"/>
      <c r="AG3739" s="38"/>
      <c r="AH3739" s="60"/>
    </row>
    <row r="3740" spans="1:34" ht="15.75" customHeight="1">
      <c r="A3740" s="179"/>
      <c r="B3740" s="158" t="s">
        <v>13232</v>
      </c>
      <c r="C3740" s="37" t="s">
        <v>1470</v>
      </c>
      <c r="D3740" s="20" t="s">
        <v>13233</v>
      </c>
      <c r="E3740" s="20" t="s">
        <v>13234</v>
      </c>
      <c r="F3740" s="19" t="s">
        <v>3286</v>
      </c>
      <c r="G3740" s="19" t="s">
        <v>1461</v>
      </c>
      <c r="H3740" s="37"/>
      <c r="I3740" s="37" t="s">
        <v>233</v>
      </c>
      <c r="J3740" s="155" t="str">
        <f t="shared" si="1"/>
        <v>NTT</v>
      </c>
      <c r="K3740" s="22" t="s">
        <v>13235</v>
      </c>
      <c r="L3740" s="56">
        <v>45099</v>
      </c>
      <c r="O3740" s="42"/>
      <c r="P3740" s="40"/>
      <c r="Q3740" s="61"/>
      <c r="R3740" s="61"/>
      <c r="S3740" s="40"/>
      <c r="T3740" s="38"/>
      <c r="U3740" s="38"/>
      <c r="V3740" s="38"/>
      <c r="W3740" s="60"/>
      <c r="AB3740" s="42"/>
      <c r="AC3740" s="35"/>
      <c r="AD3740" s="38"/>
      <c r="AE3740" s="38"/>
      <c r="AF3740" s="38"/>
      <c r="AG3740" s="38"/>
      <c r="AH3740" s="60"/>
    </row>
    <row r="3741" spans="1:34" ht="15.75" customHeight="1">
      <c r="A3741" s="179"/>
      <c r="B3741" s="158" t="s">
        <v>13236</v>
      </c>
      <c r="C3741" s="37" t="s">
        <v>24</v>
      </c>
      <c r="D3741" s="20" t="s">
        <v>13237</v>
      </c>
      <c r="E3741" s="20" t="s">
        <v>13238</v>
      </c>
      <c r="F3741" s="19" t="s">
        <v>27</v>
      </c>
      <c r="G3741" s="19" t="s">
        <v>28</v>
      </c>
      <c r="H3741" s="37"/>
      <c r="I3741" s="37" t="s">
        <v>29</v>
      </c>
      <c r="J3741" s="155" t="str">
        <f t="shared" si="1"/>
        <v>TT</v>
      </c>
      <c r="K3741" s="22" t="s">
        <v>13239</v>
      </c>
      <c r="L3741" s="56">
        <v>45099</v>
      </c>
      <c r="O3741" s="42"/>
      <c r="P3741" s="40"/>
      <c r="Q3741" s="61"/>
      <c r="R3741" s="61"/>
      <c r="S3741" s="40"/>
      <c r="T3741" s="38"/>
      <c r="U3741" s="38"/>
      <c r="V3741" s="38"/>
      <c r="W3741" s="60"/>
      <c r="AB3741" s="42"/>
      <c r="AC3741" s="35"/>
      <c r="AD3741" s="38"/>
      <c r="AE3741" s="38"/>
      <c r="AF3741" s="38"/>
      <c r="AG3741" s="38"/>
      <c r="AH3741" s="60"/>
    </row>
    <row r="3742" spans="1:34" ht="15.75" customHeight="1">
      <c r="A3742" s="179"/>
      <c r="B3742" s="158" t="s">
        <v>13240</v>
      </c>
      <c r="C3742" s="37" t="s">
        <v>87</v>
      </c>
      <c r="D3742" s="20" t="s">
        <v>13241</v>
      </c>
      <c r="E3742" s="20" t="s">
        <v>13242</v>
      </c>
      <c r="F3742" s="19" t="s">
        <v>90</v>
      </c>
      <c r="G3742" s="19" t="s">
        <v>91</v>
      </c>
      <c r="H3742" s="37"/>
      <c r="I3742" s="37" t="s">
        <v>29</v>
      </c>
      <c r="J3742" s="155" t="str">
        <f t="shared" si="1"/>
        <v>TT</v>
      </c>
      <c r="K3742" s="22" t="s">
        <v>13242</v>
      </c>
      <c r="L3742" s="56">
        <v>45099</v>
      </c>
      <c r="O3742" s="42"/>
      <c r="P3742" s="40"/>
      <c r="Q3742" s="61"/>
      <c r="R3742" s="61"/>
      <c r="S3742" s="40"/>
      <c r="T3742" s="38"/>
      <c r="U3742" s="38"/>
      <c r="V3742" s="38"/>
      <c r="W3742" s="60"/>
      <c r="AB3742" s="42"/>
      <c r="AC3742" s="35"/>
      <c r="AD3742" s="38"/>
      <c r="AE3742" s="38"/>
      <c r="AF3742" s="38"/>
      <c r="AG3742" s="38"/>
      <c r="AH3742" s="60"/>
    </row>
    <row r="3743" spans="1:34" ht="15.75" customHeight="1">
      <c r="A3743" s="179"/>
      <c r="B3743" s="158" t="s">
        <v>13243</v>
      </c>
      <c r="C3743" s="37" t="s">
        <v>1470</v>
      </c>
      <c r="D3743" s="20" t="s">
        <v>13244</v>
      </c>
      <c r="E3743" s="20" t="s">
        <v>13245</v>
      </c>
      <c r="F3743" s="19" t="s">
        <v>3286</v>
      </c>
      <c r="G3743" s="37" t="s">
        <v>1461</v>
      </c>
      <c r="H3743" s="37"/>
      <c r="I3743" s="37" t="s">
        <v>233</v>
      </c>
      <c r="J3743" s="155" t="str">
        <f t="shared" si="1"/>
        <v>NTT</v>
      </c>
      <c r="K3743" s="22" t="s">
        <v>13245</v>
      </c>
      <c r="L3743" s="56">
        <v>45099</v>
      </c>
      <c r="O3743" s="42"/>
      <c r="P3743" s="40"/>
      <c r="Q3743" s="61"/>
      <c r="R3743" s="61"/>
      <c r="S3743" s="40"/>
      <c r="T3743" s="38"/>
      <c r="U3743" s="38"/>
      <c r="V3743" s="38"/>
      <c r="W3743" s="60"/>
      <c r="AB3743" s="42"/>
      <c r="AC3743" s="35"/>
      <c r="AD3743" s="38"/>
      <c r="AE3743" s="38"/>
      <c r="AF3743" s="38"/>
      <c r="AG3743" s="38"/>
      <c r="AH3743" s="60"/>
    </row>
    <row r="3744" spans="1:34" ht="15.75" customHeight="1">
      <c r="A3744" s="179"/>
      <c r="B3744" s="159" t="s">
        <v>13246</v>
      </c>
      <c r="C3744" s="37" t="s">
        <v>24</v>
      </c>
      <c r="D3744" s="20" t="s">
        <v>13247</v>
      </c>
      <c r="E3744" s="20" t="s">
        <v>13248</v>
      </c>
      <c r="F3744" s="19" t="s">
        <v>27</v>
      </c>
      <c r="G3744" s="19" t="s">
        <v>28</v>
      </c>
      <c r="H3744" s="37"/>
      <c r="I3744" s="37" t="s">
        <v>29</v>
      </c>
      <c r="J3744" s="155" t="str">
        <f t="shared" si="1"/>
        <v>TT</v>
      </c>
      <c r="K3744" s="22" t="s">
        <v>13248</v>
      </c>
      <c r="L3744" s="56">
        <v>45099</v>
      </c>
      <c r="O3744" s="42"/>
      <c r="P3744" s="40"/>
      <c r="Q3744" s="61"/>
      <c r="R3744" s="61"/>
      <c r="S3744" s="40"/>
      <c r="T3744" s="38"/>
      <c r="U3744" s="38"/>
      <c r="V3744" s="38"/>
      <c r="W3744" s="60"/>
      <c r="AB3744" s="42"/>
      <c r="AC3744" s="35"/>
      <c r="AD3744" s="38"/>
      <c r="AE3744" s="38"/>
      <c r="AF3744" s="38"/>
      <c r="AG3744" s="38"/>
      <c r="AH3744" s="60"/>
    </row>
    <row r="3745" spans="1:34" ht="15.75" customHeight="1">
      <c r="A3745" s="179"/>
      <c r="B3745" s="158" t="s">
        <v>13249</v>
      </c>
      <c r="C3745" s="37" t="s">
        <v>87</v>
      </c>
      <c r="D3745" s="20" t="s">
        <v>13250</v>
      </c>
      <c r="E3745" s="20" t="s">
        <v>13248</v>
      </c>
      <c r="F3745" s="19" t="s">
        <v>90</v>
      </c>
      <c r="G3745" s="19" t="s">
        <v>91</v>
      </c>
      <c r="H3745" s="37"/>
      <c r="I3745" s="37" t="s">
        <v>29</v>
      </c>
      <c r="J3745" s="155" t="str">
        <f t="shared" si="1"/>
        <v>TT</v>
      </c>
      <c r="K3745" s="22" t="s">
        <v>13248</v>
      </c>
      <c r="L3745" s="56">
        <v>45099</v>
      </c>
      <c r="O3745" s="42"/>
      <c r="P3745" s="40"/>
      <c r="Q3745" s="61"/>
      <c r="R3745" s="61"/>
      <c r="S3745" s="40"/>
      <c r="T3745" s="38"/>
      <c r="U3745" s="38"/>
      <c r="V3745" s="38"/>
      <c r="W3745" s="60"/>
      <c r="AB3745" s="42"/>
      <c r="AC3745" s="35"/>
      <c r="AD3745" s="38"/>
      <c r="AE3745" s="38"/>
      <c r="AF3745" s="38"/>
      <c r="AG3745" s="38"/>
      <c r="AH3745" s="60"/>
    </row>
    <row r="3746" spans="1:34" ht="15.75" customHeight="1">
      <c r="A3746" s="179"/>
      <c r="B3746" s="163" t="s">
        <v>13251</v>
      </c>
      <c r="C3746" s="37" t="s">
        <v>121</v>
      </c>
      <c r="D3746" s="20" t="s">
        <v>13252</v>
      </c>
      <c r="E3746" s="20" t="s">
        <v>13253</v>
      </c>
      <c r="F3746" s="37" t="s">
        <v>49</v>
      </c>
      <c r="G3746" s="19" t="s">
        <v>50</v>
      </c>
      <c r="H3746" s="37"/>
      <c r="I3746" s="37" t="s">
        <v>29</v>
      </c>
      <c r="J3746" s="155" t="str">
        <f t="shared" si="1"/>
        <v>TT</v>
      </c>
      <c r="K3746" s="22" t="s">
        <v>13253</v>
      </c>
      <c r="L3746" s="56">
        <v>45099</v>
      </c>
      <c r="O3746" s="42"/>
      <c r="P3746" s="40"/>
      <c r="Q3746" s="61"/>
      <c r="R3746" s="61"/>
      <c r="S3746" s="40"/>
      <c r="T3746" s="38"/>
      <c r="U3746" s="38"/>
      <c r="V3746" s="38"/>
      <c r="W3746" s="60"/>
      <c r="AB3746" s="42"/>
      <c r="AC3746" s="35"/>
      <c r="AD3746" s="38"/>
      <c r="AE3746" s="38"/>
      <c r="AF3746" s="38"/>
      <c r="AG3746" s="38"/>
      <c r="AH3746" s="60"/>
    </row>
    <row r="3747" spans="1:34" ht="15.75" customHeight="1">
      <c r="A3747" s="179"/>
      <c r="B3747" s="158" t="s">
        <v>13254</v>
      </c>
      <c r="C3747" s="37" t="s">
        <v>24</v>
      </c>
      <c r="D3747" s="20" t="s">
        <v>13255</v>
      </c>
      <c r="E3747" s="20" t="s">
        <v>13256</v>
      </c>
      <c r="F3747" s="19" t="s">
        <v>27</v>
      </c>
      <c r="G3747" s="19" t="s">
        <v>28</v>
      </c>
      <c r="H3747" s="37"/>
      <c r="I3747" s="37" t="s">
        <v>29</v>
      </c>
      <c r="J3747" s="155" t="str">
        <f t="shared" si="1"/>
        <v>TT</v>
      </c>
      <c r="K3747" s="22" t="s">
        <v>13257</v>
      </c>
      <c r="L3747" s="56">
        <v>45099</v>
      </c>
      <c r="O3747" s="42"/>
      <c r="P3747" s="40"/>
      <c r="Q3747" s="61"/>
      <c r="R3747" s="61"/>
      <c r="S3747" s="40"/>
      <c r="T3747" s="38"/>
      <c r="U3747" s="38"/>
      <c r="V3747" s="38"/>
      <c r="W3747" s="60"/>
      <c r="AB3747" s="42"/>
      <c r="AC3747" s="35"/>
      <c r="AD3747" s="38"/>
      <c r="AE3747" s="38"/>
      <c r="AF3747" s="38"/>
      <c r="AG3747" s="38"/>
      <c r="AH3747" s="60"/>
    </row>
    <row r="3748" spans="1:34" ht="15.75" customHeight="1">
      <c r="A3748" s="179"/>
      <c r="B3748" s="158" t="s">
        <v>13258</v>
      </c>
      <c r="C3748" s="37" t="s">
        <v>87</v>
      </c>
      <c r="D3748" s="20" t="s">
        <v>13259</v>
      </c>
      <c r="E3748" s="20" t="s">
        <v>13260</v>
      </c>
      <c r="F3748" s="19" t="s">
        <v>90</v>
      </c>
      <c r="G3748" s="19" t="s">
        <v>91</v>
      </c>
      <c r="H3748" s="37"/>
      <c r="I3748" s="37" t="s">
        <v>29</v>
      </c>
      <c r="J3748" s="155" t="str">
        <f t="shared" si="1"/>
        <v>TT</v>
      </c>
      <c r="K3748" s="22" t="s">
        <v>13261</v>
      </c>
      <c r="L3748" s="56">
        <v>45099</v>
      </c>
      <c r="O3748" s="42"/>
      <c r="P3748" s="40"/>
      <c r="Q3748" s="61"/>
      <c r="R3748" s="61"/>
      <c r="S3748" s="40"/>
      <c r="T3748" s="38"/>
      <c r="U3748" s="38"/>
      <c r="V3748" s="38"/>
      <c r="W3748" s="60"/>
      <c r="AB3748" s="42"/>
      <c r="AC3748" s="35"/>
      <c r="AD3748" s="38"/>
      <c r="AE3748" s="38"/>
      <c r="AF3748" s="38"/>
      <c r="AG3748" s="38"/>
      <c r="AH3748" s="60"/>
    </row>
    <row r="3749" spans="1:34" ht="15.75" customHeight="1">
      <c r="A3749" s="179"/>
      <c r="B3749" s="160" t="s">
        <v>13262</v>
      </c>
      <c r="C3749" s="37" t="s">
        <v>24</v>
      </c>
      <c r="D3749" s="20" t="s">
        <v>13263</v>
      </c>
      <c r="E3749" s="20" t="s">
        <v>13264</v>
      </c>
      <c r="F3749" s="19" t="s">
        <v>90</v>
      </c>
      <c r="G3749" s="19" t="s">
        <v>91</v>
      </c>
      <c r="H3749" s="37"/>
      <c r="I3749" s="37" t="s">
        <v>29</v>
      </c>
      <c r="J3749" s="155" t="str">
        <f t="shared" si="1"/>
        <v>TT</v>
      </c>
      <c r="K3749" s="22" t="s">
        <v>13264</v>
      </c>
      <c r="L3749" s="56">
        <v>45099</v>
      </c>
      <c r="O3749" s="42"/>
      <c r="P3749" s="40"/>
      <c r="Q3749" s="61"/>
      <c r="R3749" s="61"/>
      <c r="S3749" s="40"/>
      <c r="T3749" s="38"/>
      <c r="U3749" s="38"/>
      <c r="V3749" s="38"/>
      <c r="W3749" s="60"/>
      <c r="AB3749" s="42"/>
      <c r="AC3749" s="35"/>
      <c r="AD3749" s="38"/>
      <c r="AE3749" s="38"/>
      <c r="AF3749" s="38"/>
      <c r="AG3749" s="38"/>
      <c r="AH3749" s="60"/>
    </row>
    <row r="3750" spans="1:34" ht="15.75" customHeight="1">
      <c r="A3750" s="179"/>
      <c r="B3750" s="158" t="s">
        <v>13265</v>
      </c>
      <c r="C3750" s="37" t="s">
        <v>1470</v>
      </c>
      <c r="D3750" s="20" t="s">
        <v>13266</v>
      </c>
      <c r="E3750" s="20" t="s">
        <v>13267</v>
      </c>
      <c r="F3750" s="19" t="s">
        <v>3286</v>
      </c>
      <c r="G3750" s="19" t="s">
        <v>1461</v>
      </c>
      <c r="H3750" s="37"/>
      <c r="I3750" s="37" t="s">
        <v>233</v>
      </c>
      <c r="J3750" s="155" t="str">
        <f t="shared" si="1"/>
        <v>NTT</v>
      </c>
      <c r="K3750" s="22" t="s">
        <v>13268</v>
      </c>
      <c r="L3750" s="56">
        <v>45099</v>
      </c>
      <c r="O3750" s="42"/>
      <c r="P3750" s="40"/>
      <c r="Q3750" s="61"/>
      <c r="R3750" s="61"/>
      <c r="S3750" s="40"/>
      <c r="T3750" s="38"/>
      <c r="U3750" s="38"/>
      <c r="V3750" s="38"/>
      <c r="W3750" s="60"/>
      <c r="AB3750" s="42"/>
      <c r="AC3750" s="35"/>
      <c r="AD3750" s="38"/>
      <c r="AE3750" s="38"/>
      <c r="AF3750" s="38"/>
      <c r="AG3750" s="38"/>
      <c r="AH3750" s="60"/>
    </row>
    <row r="3751" spans="1:34" ht="15.75" customHeight="1">
      <c r="A3751" s="179"/>
      <c r="B3751" s="158" t="s">
        <v>13269</v>
      </c>
      <c r="C3751" s="37" t="s">
        <v>87</v>
      </c>
      <c r="D3751" s="20" t="s">
        <v>13270</v>
      </c>
      <c r="E3751" s="20" t="s">
        <v>13271</v>
      </c>
      <c r="F3751" s="19" t="s">
        <v>90</v>
      </c>
      <c r="G3751" s="19" t="s">
        <v>91</v>
      </c>
      <c r="H3751" s="37"/>
      <c r="I3751" s="37" t="s">
        <v>29</v>
      </c>
      <c r="J3751" s="155" t="str">
        <f t="shared" si="1"/>
        <v>TT</v>
      </c>
      <c r="K3751" s="22" t="s">
        <v>13271</v>
      </c>
      <c r="L3751" s="56">
        <v>45099</v>
      </c>
      <c r="O3751" s="42"/>
      <c r="P3751" s="40"/>
      <c r="Q3751" s="61"/>
      <c r="R3751" s="61"/>
      <c r="S3751" s="40"/>
      <c r="T3751" s="38"/>
      <c r="U3751" s="38"/>
      <c r="V3751" s="38"/>
      <c r="W3751" s="60"/>
      <c r="AB3751" s="42"/>
      <c r="AC3751" s="35"/>
      <c r="AD3751" s="38"/>
      <c r="AE3751" s="38"/>
      <c r="AF3751" s="38"/>
      <c r="AG3751" s="38"/>
      <c r="AH3751" s="60"/>
    </row>
    <row r="3752" spans="1:34" ht="15.75" customHeight="1">
      <c r="A3752" s="179"/>
      <c r="B3752" s="158" t="s">
        <v>13272</v>
      </c>
      <c r="C3752" s="37" t="s">
        <v>46</v>
      </c>
      <c r="D3752" s="20" t="s">
        <v>13273</v>
      </c>
      <c r="E3752" s="20" t="s">
        <v>13274</v>
      </c>
      <c r="F3752" s="37" t="s">
        <v>49</v>
      </c>
      <c r="G3752" s="19" t="s">
        <v>50</v>
      </c>
      <c r="H3752" s="37"/>
      <c r="I3752" s="37" t="s">
        <v>29</v>
      </c>
      <c r="J3752" s="155" t="str">
        <f t="shared" si="1"/>
        <v>TT</v>
      </c>
      <c r="K3752" s="22" t="s">
        <v>13275</v>
      </c>
      <c r="L3752" s="56">
        <v>45099</v>
      </c>
      <c r="O3752" s="42"/>
      <c r="P3752" s="40"/>
      <c r="Q3752" s="61"/>
      <c r="R3752" s="61"/>
      <c r="S3752" s="40"/>
      <c r="T3752" s="38"/>
      <c r="U3752" s="38"/>
      <c r="V3752" s="38"/>
      <c r="W3752" s="60"/>
      <c r="AB3752" s="42"/>
      <c r="AC3752" s="35"/>
      <c r="AD3752" s="38"/>
      <c r="AE3752" s="38"/>
      <c r="AF3752" s="38"/>
      <c r="AG3752" s="38"/>
      <c r="AH3752" s="60"/>
    </row>
    <row r="3753" spans="1:34" ht="15.75" customHeight="1">
      <c r="A3753" s="179"/>
      <c r="B3753" s="158" t="s">
        <v>13276</v>
      </c>
      <c r="C3753" s="37" t="s">
        <v>24</v>
      </c>
      <c r="D3753" s="20" t="s">
        <v>13277</v>
      </c>
      <c r="E3753" s="20" t="s">
        <v>13278</v>
      </c>
      <c r="F3753" s="19" t="s">
        <v>27</v>
      </c>
      <c r="G3753" s="19" t="s">
        <v>28</v>
      </c>
      <c r="H3753" s="37"/>
      <c r="I3753" s="37" t="s">
        <v>29</v>
      </c>
      <c r="J3753" s="155" t="str">
        <f t="shared" si="1"/>
        <v>TT</v>
      </c>
      <c r="K3753" s="22" t="s">
        <v>13279</v>
      </c>
      <c r="L3753" s="56">
        <v>45099</v>
      </c>
      <c r="O3753" s="42"/>
      <c r="P3753" s="40"/>
      <c r="Q3753" s="61"/>
      <c r="R3753" s="61"/>
      <c r="S3753" s="40"/>
      <c r="T3753" s="38"/>
      <c r="U3753" s="38"/>
      <c r="V3753" s="38"/>
      <c r="W3753" s="60"/>
      <c r="AB3753" s="42"/>
      <c r="AC3753" s="35"/>
      <c r="AD3753" s="38"/>
      <c r="AE3753" s="38"/>
      <c r="AF3753" s="38"/>
      <c r="AG3753" s="38"/>
      <c r="AH3753" s="60"/>
    </row>
    <row r="3754" spans="1:34" ht="15.75" customHeight="1">
      <c r="A3754" s="179"/>
      <c r="B3754" s="158" t="s">
        <v>13280</v>
      </c>
      <c r="C3754" s="37" t="s">
        <v>46</v>
      </c>
      <c r="D3754" s="20" t="s">
        <v>13281</v>
      </c>
      <c r="E3754" s="20" t="s">
        <v>13282</v>
      </c>
      <c r="F3754" s="37" t="s">
        <v>49</v>
      </c>
      <c r="G3754" s="19" t="s">
        <v>50</v>
      </c>
      <c r="H3754" s="37"/>
      <c r="I3754" s="37" t="s">
        <v>29</v>
      </c>
      <c r="J3754" s="155" t="str">
        <f t="shared" si="1"/>
        <v>TT</v>
      </c>
      <c r="K3754" s="22" t="s">
        <v>13283</v>
      </c>
      <c r="L3754" s="56">
        <v>45099</v>
      </c>
      <c r="O3754" s="42"/>
      <c r="P3754" s="40"/>
      <c r="Q3754" s="61"/>
      <c r="R3754" s="61"/>
      <c r="S3754" s="40"/>
      <c r="T3754" s="38"/>
      <c r="U3754" s="38"/>
      <c r="V3754" s="38"/>
      <c r="W3754" s="60"/>
      <c r="AB3754" s="42"/>
      <c r="AC3754" s="35"/>
      <c r="AD3754" s="38"/>
      <c r="AE3754" s="38"/>
      <c r="AF3754" s="38"/>
      <c r="AG3754" s="38"/>
      <c r="AH3754" s="60"/>
    </row>
    <row r="3755" spans="1:34" ht="15.75" customHeight="1">
      <c r="A3755" s="179"/>
      <c r="B3755" s="158" t="s">
        <v>13284</v>
      </c>
      <c r="C3755" s="37" t="s">
        <v>46</v>
      </c>
      <c r="D3755" s="20" t="s">
        <v>13285</v>
      </c>
      <c r="E3755" s="20" t="s">
        <v>13286</v>
      </c>
      <c r="F3755" s="37" t="s">
        <v>49</v>
      </c>
      <c r="G3755" s="19" t="s">
        <v>50</v>
      </c>
      <c r="H3755" s="37"/>
      <c r="I3755" s="37" t="s">
        <v>29</v>
      </c>
      <c r="J3755" s="155" t="str">
        <f t="shared" si="1"/>
        <v>TT</v>
      </c>
      <c r="K3755" s="22" t="s">
        <v>13287</v>
      </c>
      <c r="L3755" s="56">
        <v>45099</v>
      </c>
      <c r="O3755" s="42"/>
      <c r="P3755" s="40"/>
      <c r="Q3755" s="61"/>
      <c r="R3755" s="61"/>
      <c r="S3755" s="40"/>
      <c r="T3755" s="38"/>
      <c r="U3755" s="38"/>
      <c r="V3755" s="38"/>
      <c r="W3755" s="60"/>
      <c r="AB3755" s="42"/>
      <c r="AC3755" s="35"/>
      <c r="AD3755" s="38"/>
      <c r="AE3755" s="38"/>
      <c r="AF3755" s="38"/>
      <c r="AG3755" s="38"/>
      <c r="AH3755" s="60"/>
    </row>
    <row r="3756" spans="1:34" ht="15.75" customHeight="1">
      <c r="A3756" s="179"/>
      <c r="B3756" s="158" t="s">
        <v>13288</v>
      </c>
      <c r="C3756" s="37" t="s">
        <v>87</v>
      </c>
      <c r="D3756" s="20" t="s">
        <v>13289</v>
      </c>
      <c r="E3756" s="20" t="s">
        <v>13290</v>
      </c>
      <c r="F3756" s="19" t="s">
        <v>90</v>
      </c>
      <c r="G3756" s="19" t="s">
        <v>91</v>
      </c>
      <c r="H3756" s="37"/>
      <c r="I3756" s="37" t="s">
        <v>29</v>
      </c>
      <c r="J3756" s="155" t="str">
        <f t="shared" si="1"/>
        <v>TT</v>
      </c>
      <c r="K3756" s="22" t="s">
        <v>13291</v>
      </c>
      <c r="L3756" s="56">
        <v>45099</v>
      </c>
      <c r="O3756" s="42"/>
      <c r="P3756" s="40"/>
      <c r="Q3756" s="61"/>
      <c r="R3756" s="61"/>
      <c r="S3756" s="40"/>
      <c r="T3756" s="38"/>
      <c r="U3756" s="38"/>
      <c r="V3756" s="38"/>
      <c r="W3756" s="60"/>
      <c r="AB3756" s="42"/>
      <c r="AC3756" s="35"/>
      <c r="AD3756" s="38"/>
      <c r="AE3756" s="38"/>
      <c r="AF3756" s="38"/>
      <c r="AG3756" s="38"/>
      <c r="AH3756" s="60"/>
    </row>
    <row r="3757" spans="1:34" ht="15.75" customHeight="1">
      <c r="A3757" s="179"/>
      <c r="B3757" s="158" t="s">
        <v>13292</v>
      </c>
      <c r="C3757" s="37" t="s">
        <v>46</v>
      </c>
      <c r="D3757" s="20" t="s">
        <v>13293</v>
      </c>
      <c r="E3757" s="20" t="s">
        <v>13294</v>
      </c>
      <c r="F3757" s="37" t="s">
        <v>49</v>
      </c>
      <c r="G3757" s="19" t="s">
        <v>50</v>
      </c>
      <c r="H3757" s="37"/>
      <c r="I3757" s="37" t="s">
        <v>29</v>
      </c>
      <c r="J3757" s="155" t="str">
        <f t="shared" si="1"/>
        <v>TT</v>
      </c>
      <c r="K3757" s="22" t="s">
        <v>13295</v>
      </c>
      <c r="L3757" s="56">
        <v>45099</v>
      </c>
      <c r="O3757" s="42"/>
      <c r="P3757" s="40"/>
      <c r="Q3757" s="61"/>
      <c r="R3757" s="61"/>
      <c r="S3757" s="40"/>
      <c r="T3757" s="38"/>
      <c r="U3757" s="38"/>
      <c r="V3757" s="38"/>
      <c r="W3757" s="60"/>
      <c r="AB3757" s="42"/>
      <c r="AC3757" s="35"/>
      <c r="AD3757" s="38"/>
      <c r="AE3757" s="38"/>
      <c r="AF3757" s="38"/>
      <c r="AG3757" s="38"/>
      <c r="AH3757" s="60"/>
    </row>
    <row r="3758" spans="1:34" ht="15.75" customHeight="1">
      <c r="A3758" s="179"/>
      <c r="B3758" s="38"/>
      <c r="C3758" s="37"/>
      <c r="D3758" s="20"/>
      <c r="E3758" s="20"/>
      <c r="F3758" s="37"/>
      <c r="G3758" s="37"/>
      <c r="H3758" s="37"/>
      <c r="I3758" s="37"/>
      <c r="J3758" s="155">
        <f t="shared" si="1"/>
        <v>0</v>
      </c>
      <c r="K3758" s="22"/>
      <c r="L3758" s="39"/>
      <c r="O3758" s="42"/>
      <c r="P3758" s="40"/>
      <c r="Q3758" s="61"/>
      <c r="R3758" s="61"/>
      <c r="S3758" s="40"/>
      <c r="T3758" s="38"/>
      <c r="U3758" s="38"/>
      <c r="V3758" s="38"/>
      <c r="W3758" s="60"/>
      <c r="AB3758" s="42"/>
      <c r="AC3758" s="35"/>
      <c r="AD3758" s="38"/>
      <c r="AE3758" s="38"/>
      <c r="AF3758" s="38"/>
      <c r="AG3758" s="38"/>
      <c r="AH3758" s="60"/>
    </row>
    <row r="3759" spans="1:34" ht="15.75" customHeight="1">
      <c r="A3759" s="38" t="s">
        <v>13296</v>
      </c>
      <c r="B3759" s="18" t="s">
        <v>13297</v>
      </c>
      <c r="C3759" s="37" t="s">
        <v>24</v>
      </c>
      <c r="D3759" s="20" t="s">
        <v>13298</v>
      </c>
      <c r="E3759" s="20" t="s">
        <v>13299</v>
      </c>
      <c r="F3759" s="19" t="s">
        <v>27</v>
      </c>
      <c r="G3759" s="19" t="s">
        <v>28</v>
      </c>
      <c r="H3759" s="37" t="s">
        <v>762</v>
      </c>
      <c r="I3759" s="37" t="s">
        <v>29</v>
      </c>
      <c r="J3759" s="155" t="str">
        <f t="shared" si="1"/>
        <v>TT</v>
      </c>
      <c r="K3759" s="22" t="s">
        <v>13300</v>
      </c>
      <c r="L3759" s="56">
        <v>45099</v>
      </c>
      <c r="M3759" s="40"/>
      <c r="O3759" s="42"/>
      <c r="P3759" s="40"/>
      <c r="Q3759" s="61"/>
      <c r="R3759" s="61"/>
      <c r="S3759" s="40"/>
      <c r="T3759" s="38"/>
      <c r="U3759" s="38"/>
      <c r="V3759" s="38"/>
      <c r="W3759" s="60"/>
      <c r="AB3759" s="42"/>
      <c r="AC3759" s="35"/>
      <c r="AD3759" s="38"/>
      <c r="AE3759" s="38"/>
      <c r="AF3759" s="38"/>
      <c r="AG3759" s="38"/>
      <c r="AH3759" s="60"/>
    </row>
    <row r="3760" spans="1:34" ht="15.75" customHeight="1">
      <c r="A3760" s="54" t="s">
        <v>3888</v>
      </c>
      <c r="B3760" s="18" t="s">
        <v>13301</v>
      </c>
      <c r="C3760" s="37" t="s">
        <v>87</v>
      </c>
      <c r="D3760" s="180" t="s">
        <v>13302</v>
      </c>
      <c r="E3760" s="20" t="s">
        <v>13303</v>
      </c>
      <c r="F3760" s="19" t="s">
        <v>90</v>
      </c>
      <c r="G3760" s="19" t="s">
        <v>91</v>
      </c>
      <c r="H3760" s="37"/>
      <c r="I3760" s="37" t="s">
        <v>29</v>
      </c>
      <c r="J3760" s="155" t="str">
        <f t="shared" si="1"/>
        <v>TT</v>
      </c>
      <c r="K3760" s="22" t="s">
        <v>13304</v>
      </c>
      <c r="L3760" s="56">
        <v>45099</v>
      </c>
      <c r="O3760" s="42"/>
      <c r="P3760" s="40"/>
      <c r="Q3760" s="61"/>
      <c r="R3760" s="61"/>
      <c r="S3760" s="40"/>
      <c r="T3760" s="38"/>
      <c r="U3760" s="38"/>
      <c r="V3760" s="38"/>
      <c r="W3760" s="60"/>
      <c r="AB3760" s="42"/>
      <c r="AC3760" s="35"/>
      <c r="AD3760" s="38"/>
      <c r="AE3760" s="38"/>
      <c r="AF3760" s="38"/>
      <c r="AG3760" s="38"/>
      <c r="AH3760" s="60"/>
    </row>
    <row r="3761" spans="1:34" ht="15.75" customHeight="1">
      <c r="A3761" s="114" t="s">
        <v>39</v>
      </c>
      <c r="B3761" s="18" t="s">
        <v>13305</v>
      </c>
      <c r="C3761" s="37" t="s">
        <v>46</v>
      </c>
      <c r="D3761" s="180" t="s">
        <v>13306</v>
      </c>
      <c r="E3761" s="20" t="s">
        <v>13307</v>
      </c>
      <c r="F3761" s="37" t="s">
        <v>49</v>
      </c>
      <c r="G3761" s="19" t="s">
        <v>50</v>
      </c>
      <c r="H3761" s="37"/>
      <c r="I3761" s="37" t="s">
        <v>29</v>
      </c>
      <c r="J3761" s="155" t="str">
        <f t="shared" si="1"/>
        <v>TT</v>
      </c>
      <c r="K3761" s="22" t="s">
        <v>13308</v>
      </c>
      <c r="L3761" s="56">
        <v>45099</v>
      </c>
      <c r="O3761" s="42"/>
      <c r="P3761" s="40"/>
      <c r="Q3761" s="61"/>
      <c r="R3761" s="61"/>
      <c r="S3761" s="40"/>
      <c r="T3761" s="38"/>
      <c r="U3761" s="38"/>
      <c r="V3761" s="38"/>
      <c r="W3761" s="60"/>
      <c r="AB3761" s="42"/>
      <c r="AC3761" s="35"/>
      <c r="AD3761" s="38"/>
      <c r="AE3761" s="38"/>
      <c r="AF3761" s="38"/>
      <c r="AG3761" s="38"/>
      <c r="AH3761" s="60"/>
    </row>
    <row r="3762" spans="1:34" ht="15.75" customHeight="1">
      <c r="A3762" s="38" t="s">
        <v>12553</v>
      </c>
      <c r="B3762" s="18" t="s">
        <v>13309</v>
      </c>
      <c r="C3762" s="37" t="s">
        <v>87</v>
      </c>
      <c r="D3762" s="180" t="s">
        <v>13310</v>
      </c>
      <c r="E3762" s="20" t="s">
        <v>13303</v>
      </c>
      <c r="F3762" s="19" t="s">
        <v>90</v>
      </c>
      <c r="G3762" s="19" t="s">
        <v>91</v>
      </c>
      <c r="H3762" s="37"/>
      <c r="I3762" s="37" t="s">
        <v>29</v>
      </c>
      <c r="J3762" s="155" t="str">
        <f t="shared" si="1"/>
        <v>TT</v>
      </c>
      <c r="K3762" s="22" t="s">
        <v>13311</v>
      </c>
      <c r="L3762" s="56">
        <v>45099</v>
      </c>
      <c r="O3762" s="42"/>
      <c r="P3762" s="40"/>
      <c r="Q3762" s="61"/>
      <c r="R3762" s="61"/>
      <c r="S3762" s="40"/>
      <c r="T3762" s="38"/>
      <c r="U3762" s="38"/>
      <c r="V3762" s="38"/>
      <c r="W3762" s="60"/>
      <c r="AB3762" s="42"/>
      <c r="AC3762" s="35"/>
      <c r="AD3762" s="38"/>
      <c r="AE3762" s="38"/>
      <c r="AF3762" s="38"/>
      <c r="AG3762" s="38"/>
      <c r="AH3762" s="60"/>
    </row>
    <row r="3763" spans="1:34" ht="15.75" customHeight="1">
      <c r="A3763" s="38" t="s">
        <v>13312</v>
      </c>
      <c r="B3763" s="18" t="s">
        <v>13313</v>
      </c>
      <c r="C3763" s="37" t="s">
        <v>24</v>
      </c>
      <c r="D3763" s="180" t="s">
        <v>13314</v>
      </c>
      <c r="E3763" s="20" t="s">
        <v>13315</v>
      </c>
      <c r="F3763" s="19" t="s">
        <v>27</v>
      </c>
      <c r="G3763" s="19" t="s">
        <v>28</v>
      </c>
      <c r="H3763" s="37"/>
      <c r="I3763" s="37" t="s">
        <v>29</v>
      </c>
      <c r="J3763" s="155" t="str">
        <f t="shared" si="1"/>
        <v>TT</v>
      </c>
      <c r="K3763" s="22" t="s">
        <v>13316</v>
      </c>
      <c r="L3763" s="56">
        <v>45099</v>
      </c>
      <c r="O3763" s="42"/>
      <c r="P3763" s="40"/>
      <c r="Q3763" s="61"/>
      <c r="R3763" s="61"/>
      <c r="S3763" s="40"/>
      <c r="T3763" s="38"/>
      <c r="U3763" s="38"/>
      <c r="V3763" s="38"/>
      <c r="W3763" s="60"/>
      <c r="AB3763" s="42"/>
      <c r="AC3763" s="35"/>
      <c r="AD3763" s="38"/>
      <c r="AE3763" s="38"/>
      <c r="AF3763" s="38"/>
      <c r="AG3763" s="38"/>
      <c r="AH3763" s="60"/>
    </row>
    <row r="3764" spans="1:34" ht="15.75" customHeight="1">
      <c r="A3764" s="111" t="s">
        <v>56</v>
      </c>
      <c r="B3764" s="18" t="s">
        <v>3291</v>
      </c>
      <c r="C3764" s="37" t="s">
        <v>87</v>
      </c>
      <c r="D3764" s="180" t="s">
        <v>13317</v>
      </c>
      <c r="E3764" s="20" t="s">
        <v>13318</v>
      </c>
      <c r="F3764" s="19" t="s">
        <v>90</v>
      </c>
      <c r="G3764" s="19" t="s">
        <v>91</v>
      </c>
      <c r="H3764" s="37"/>
      <c r="I3764" s="37" t="s">
        <v>29</v>
      </c>
      <c r="J3764" s="155" t="str">
        <f t="shared" si="1"/>
        <v>TT</v>
      </c>
      <c r="K3764" s="22" t="s">
        <v>13319</v>
      </c>
      <c r="L3764" s="56">
        <v>45099</v>
      </c>
      <c r="O3764" s="42"/>
      <c r="P3764" s="40"/>
      <c r="Q3764" s="61"/>
      <c r="R3764" s="61"/>
      <c r="S3764" s="40"/>
      <c r="T3764" s="38"/>
      <c r="U3764" s="38"/>
      <c r="V3764" s="38"/>
      <c r="W3764" s="60"/>
      <c r="AB3764" s="42"/>
      <c r="AC3764" s="35"/>
      <c r="AD3764" s="38"/>
      <c r="AE3764" s="38"/>
      <c r="AF3764" s="38"/>
      <c r="AG3764" s="38"/>
      <c r="AH3764" s="60"/>
    </row>
    <row r="3765" spans="1:34" ht="15.75" customHeight="1">
      <c r="A3765" s="75">
        <v>50</v>
      </c>
      <c r="B3765" s="18" t="s">
        <v>13320</v>
      </c>
      <c r="C3765" s="37" t="s">
        <v>24</v>
      </c>
      <c r="D3765" s="180" t="s">
        <v>13321</v>
      </c>
      <c r="E3765" s="20" t="s">
        <v>13322</v>
      </c>
      <c r="F3765" s="19" t="s">
        <v>27</v>
      </c>
      <c r="G3765" s="19" t="s">
        <v>28</v>
      </c>
      <c r="H3765" s="37"/>
      <c r="I3765" s="37" t="s">
        <v>29</v>
      </c>
      <c r="J3765" s="155" t="str">
        <f t="shared" si="1"/>
        <v>TT</v>
      </c>
      <c r="K3765" s="22" t="s">
        <v>13323</v>
      </c>
      <c r="L3765" s="56">
        <v>45099</v>
      </c>
      <c r="O3765" s="42"/>
      <c r="P3765" s="40"/>
      <c r="Q3765" s="61"/>
      <c r="R3765" s="61"/>
      <c r="S3765" s="40"/>
      <c r="T3765" s="38"/>
      <c r="U3765" s="38"/>
      <c r="V3765" s="38"/>
      <c r="W3765" s="60"/>
      <c r="AB3765" s="42"/>
      <c r="AC3765" s="35"/>
      <c r="AD3765" s="38"/>
      <c r="AE3765" s="38"/>
      <c r="AF3765" s="38"/>
      <c r="AG3765" s="38"/>
      <c r="AH3765" s="60"/>
    </row>
    <row r="3766" spans="1:34" ht="15.75" customHeight="1">
      <c r="A3766" s="111" t="s">
        <v>64</v>
      </c>
      <c r="B3766" s="18" t="s">
        <v>13324</v>
      </c>
      <c r="C3766" s="37" t="s">
        <v>24</v>
      </c>
      <c r="D3766" s="180" t="s">
        <v>13325</v>
      </c>
      <c r="E3766" s="20" t="s">
        <v>13326</v>
      </c>
      <c r="F3766" s="19" t="s">
        <v>27</v>
      </c>
      <c r="G3766" s="19" t="s">
        <v>28</v>
      </c>
      <c r="H3766" s="37"/>
      <c r="I3766" s="37" t="s">
        <v>29</v>
      </c>
      <c r="J3766" s="155" t="str">
        <f t="shared" si="1"/>
        <v>TT</v>
      </c>
      <c r="K3766" s="22" t="s">
        <v>13327</v>
      </c>
      <c r="L3766" s="56">
        <v>45099</v>
      </c>
      <c r="O3766" s="42"/>
      <c r="P3766" s="40"/>
      <c r="Q3766" s="61"/>
      <c r="R3766" s="61"/>
      <c r="S3766" s="40"/>
      <c r="T3766" s="38"/>
      <c r="U3766" s="38"/>
      <c r="V3766" s="38"/>
      <c r="W3766" s="60"/>
      <c r="AB3766" s="42"/>
      <c r="AC3766" s="35"/>
      <c r="AD3766" s="38"/>
      <c r="AE3766" s="38"/>
      <c r="AF3766" s="38"/>
      <c r="AG3766" s="38"/>
      <c r="AH3766" s="60"/>
    </row>
    <row r="3767" spans="1:34" ht="15.75" customHeight="1">
      <c r="A3767" s="75">
        <v>2.6</v>
      </c>
      <c r="B3767" s="18" t="s">
        <v>13328</v>
      </c>
      <c r="C3767" s="37" t="s">
        <v>46</v>
      </c>
      <c r="D3767" s="180" t="s">
        <v>13329</v>
      </c>
      <c r="E3767" s="20" t="s">
        <v>13330</v>
      </c>
      <c r="F3767" s="37" t="s">
        <v>49</v>
      </c>
      <c r="G3767" s="19" t="s">
        <v>50</v>
      </c>
      <c r="H3767" s="37"/>
      <c r="I3767" s="37" t="s">
        <v>29</v>
      </c>
      <c r="J3767" s="155" t="str">
        <f t="shared" si="1"/>
        <v>TT</v>
      </c>
      <c r="K3767" s="22" t="s">
        <v>13331</v>
      </c>
      <c r="L3767" s="56">
        <v>45099</v>
      </c>
      <c r="O3767" s="42"/>
      <c r="P3767" s="40"/>
      <c r="Q3767" s="61"/>
      <c r="R3767" s="61"/>
      <c r="S3767" s="40"/>
      <c r="T3767" s="38"/>
      <c r="U3767" s="38"/>
      <c r="V3767" s="38"/>
      <c r="W3767" s="60"/>
      <c r="AB3767" s="42"/>
      <c r="AC3767" s="35"/>
      <c r="AD3767" s="38"/>
      <c r="AE3767" s="38"/>
      <c r="AF3767" s="38"/>
      <c r="AG3767" s="38"/>
      <c r="AH3767" s="60"/>
    </row>
    <row r="3768" spans="1:34" ht="15.75" customHeight="1">
      <c r="A3768" s="111" t="s">
        <v>73</v>
      </c>
      <c r="B3768" s="18" t="s">
        <v>13332</v>
      </c>
      <c r="C3768" s="37" t="s">
        <v>46</v>
      </c>
      <c r="D3768" s="180" t="s">
        <v>13333</v>
      </c>
      <c r="E3768" s="20" t="s">
        <v>13334</v>
      </c>
      <c r="F3768" s="37" t="s">
        <v>49</v>
      </c>
      <c r="G3768" s="19" t="s">
        <v>50</v>
      </c>
      <c r="H3768" s="37"/>
      <c r="I3768" s="37" t="s">
        <v>29</v>
      </c>
      <c r="J3768" s="155" t="str">
        <f t="shared" si="1"/>
        <v>TT</v>
      </c>
      <c r="K3768" s="22" t="s">
        <v>13335</v>
      </c>
      <c r="L3768" s="56">
        <v>45099</v>
      </c>
      <c r="O3768" s="42"/>
      <c r="P3768" s="40"/>
      <c r="Q3768" s="61"/>
      <c r="R3768" s="61"/>
      <c r="S3768" s="40"/>
      <c r="T3768" s="38"/>
      <c r="U3768" s="38"/>
      <c r="V3768" s="38"/>
      <c r="W3768" s="60"/>
      <c r="AB3768" s="42"/>
      <c r="AC3768" s="35"/>
      <c r="AD3768" s="38"/>
      <c r="AE3768" s="38"/>
      <c r="AF3768" s="38"/>
      <c r="AG3768" s="38"/>
      <c r="AH3768" s="60"/>
    </row>
    <row r="3769" spans="1:34" ht="15.75" customHeight="1">
      <c r="A3769" s="75">
        <v>2.8</v>
      </c>
      <c r="B3769" s="18" t="s">
        <v>13336</v>
      </c>
      <c r="C3769" s="37" t="s">
        <v>24</v>
      </c>
      <c r="D3769" s="180" t="s">
        <v>13337</v>
      </c>
      <c r="E3769" s="20" t="s">
        <v>13338</v>
      </c>
      <c r="F3769" s="19" t="s">
        <v>27</v>
      </c>
      <c r="G3769" s="19" t="s">
        <v>28</v>
      </c>
      <c r="H3769" s="37"/>
      <c r="I3769" s="37" t="s">
        <v>29</v>
      </c>
      <c r="J3769" s="155" t="str">
        <f t="shared" si="1"/>
        <v>TT</v>
      </c>
      <c r="K3769" s="22" t="s">
        <v>13339</v>
      </c>
      <c r="L3769" s="56">
        <v>45099</v>
      </c>
      <c r="O3769" s="42"/>
      <c r="P3769" s="40"/>
      <c r="Q3769" s="61"/>
      <c r="R3769" s="61"/>
      <c r="S3769" s="40"/>
      <c r="T3769" s="38"/>
      <c r="U3769" s="38"/>
      <c r="V3769" s="38"/>
      <c r="W3769" s="60"/>
      <c r="AB3769" s="42"/>
      <c r="AC3769" s="35"/>
      <c r="AD3769" s="38"/>
      <c r="AE3769" s="38"/>
      <c r="AF3769" s="38"/>
      <c r="AG3769" s="38"/>
      <c r="AH3769" s="60"/>
    </row>
    <row r="3770" spans="1:34" ht="15.75" customHeight="1">
      <c r="A3770" s="111" t="s">
        <v>82</v>
      </c>
      <c r="B3770" s="18" t="s">
        <v>13340</v>
      </c>
      <c r="C3770" s="37" t="s">
        <v>24</v>
      </c>
      <c r="D3770" s="180" t="s">
        <v>13341</v>
      </c>
      <c r="E3770" s="20" t="s">
        <v>13342</v>
      </c>
      <c r="F3770" s="19" t="s">
        <v>27</v>
      </c>
      <c r="G3770" s="19" t="s">
        <v>28</v>
      </c>
      <c r="H3770" s="37"/>
      <c r="I3770" s="37" t="s">
        <v>29</v>
      </c>
      <c r="J3770" s="155" t="str">
        <f t="shared" si="1"/>
        <v>TT</v>
      </c>
      <c r="K3770" s="22" t="s">
        <v>13343</v>
      </c>
      <c r="L3770" s="56">
        <v>45099</v>
      </c>
      <c r="O3770" s="42"/>
      <c r="P3770" s="40"/>
      <c r="Q3770" s="61"/>
      <c r="R3770" s="61"/>
      <c r="S3770" s="40"/>
      <c r="T3770" s="38"/>
      <c r="U3770" s="38"/>
      <c r="V3770" s="38"/>
      <c r="W3770" s="60"/>
      <c r="AB3770" s="42"/>
      <c r="AC3770" s="35"/>
      <c r="AD3770" s="38"/>
      <c r="AE3770" s="38"/>
      <c r="AF3770" s="38"/>
      <c r="AG3770" s="38"/>
      <c r="AH3770" s="60"/>
    </row>
    <row r="3771" spans="1:34" ht="15.75" customHeight="1">
      <c r="A3771" s="75" t="s">
        <v>13344</v>
      </c>
      <c r="B3771" s="18" t="s">
        <v>13345</v>
      </c>
      <c r="C3771" s="37" t="s">
        <v>24</v>
      </c>
      <c r="D3771" s="180" t="s">
        <v>13346</v>
      </c>
      <c r="E3771" s="20" t="s">
        <v>13347</v>
      </c>
      <c r="F3771" s="19" t="s">
        <v>27</v>
      </c>
      <c r="G3771" s="19" t="s">
        <v>28</v>
      </c>
      <c r="H3771" s="37"/>
      <c r="I3771" s="37" t="s">
        <v>29</v>
      </c>
      <c r="J3771" s="155" t="str">
        <f t="shared" si="1"/>
        <v>TT</v>
      </c>
      <c r="K3771" s="22" t="s">
        <v>13348</v>
      </c>
      <c r="L3771" s="56">
        <v>45099</v>
      </c>
      <c r="O3771" s="42"/>
      <c r="P3771" s="40"/>
      <c r="Q3771" s="61"/>
      <c r="R3771" s="61"/>
      <c r="S3771" s="40"/>
      <c r="T3771" s="38"/>
      <c r="U3771" s="38"/>
      <c r="V3771" s="38"/>
      <c r="W3771" s="60"/>
      <c r="AB3771" s="42"/>
      <c r="AC3771" s="35"/>
      <c r="AD3771" s="38"/>
      <c r="AE3771" s="38"/>
      <c r="AF3771" s="38"/>
      <c r="AG3771" s="38"/>
      <c r="AH3771" s="60"/>
    </row>
    <row r="3772" spans="1:34" ht="15.75" customHeight="1">
      <c r="A3772" s="111" t="s">
        <v>92</v>
      </c>
      <c r="B3772" s="34" t="s">
        <v>13349</v>
      </c>
      <c r="C3772" s="37" t="s">
        <v>87</v>
      </c>
      <c r="D3772" s="180" t="s">
        <v>13350</v>
      </c>
      <c r="E3772" s="20" t="s">
        <v>13351</v>
      </c>
      <c r="F3772" s="37" t="s">
        <v>49</v>
      </c>
      <c r="G3772" s="19" t="s">
        <v>50</v>
      </c>
      <c r="H3772" s="37"/>
      <c r="I3772" s="37" t="s">
        <v>29</v>
      </c>
      <c r="J3772" s="155" t="str">
        <f t="shared" si="1"/>
        <v>TT</v>
      </c>
      <c r="K3772" s="22" t="s">
        <v>13352</v>
      </c>
      <c r="L3772" s="56">
        <v>45099</v>
      </c>
      <c r="O3772" s="42"/>
      <c r="P3772" s="40"/>
      <c r="Q3772" s="61"/>
      <c r="R3772" s="61"/>
      <c r="S3772" s="40"/>
      <c r="T3772" s="38"/>
      <c r="U3772" s="38"/>
      <c r="V3772" s="38"/>
      <c r="W3772" s="60"/>
      <c r="AB3772" s="42"/>
      <c r="AC3772" s="35"/>
      <c r="AD3772" s="38"/>
      <c r="AE3772" s="38"/>
      <c r="AF3772" s="38"/>
      <c r="AG3772" s="38"/>
      <c r="AH3772" s="60"/>
    </row>
    <row r="3773" spans="1:34" ht="15.75" customHeight="1">
      <c r="A3773" s="112">
        <v>973</v>
      </c>
      <c r="B3773" s="18" t="s">
        <v>13353</v>
      </c>
      <c r="C3773" s="37" t="s">
        <v>87</v>
      </c>
      <c r="D3773" s="180" t="s">
        <v>13354</v>
      </c>
      <c r="E3773" s="20" t="s">
        <v>13355</v>
      </c>
      <c r="F3773" s="19" t="s">
        <v>90</v>
      </c>
      <c r="G3773" s="19" t="s">
        <v>91</v>
      </c>
      <c r="H3773" s="37"/>
      <c r="I3773" s="37" t="s">
        <v>29</v>
      </c>
      <c r="J3773" s="155" t="str">
        <f t="shared" si="1"/>
        <v>TT</v>
      </c>
      <c r="K3773" s="22" t="s">
        <v>13356</v>
      </c>
      <c r="L3773" s="56">
        <v>45099</v>
      </c>
      <c r="O3773" s="42"/>
      <c r="P3773" s="40"/>
      <c r="Q3773" s="61"/>
      <c r="R3773" s="61"/>
      <c r="S3773" s="40"/>
      <c r="T3773" s="38"/>
      <c r="U3773" s="38"/>
      <c r="V3773" s="38"/>
      <c r="W3773" s="60"/>
      <c r="AB3773" s="42"/>
      <c r="AC3773" s="35"/>
      <c r="AD3773" s="38"/>
      <c r="AE3773" s="38"/>
      <c r="AF3773" s="38"/>
      <c r="AG3773" s="38"/>
      <c r="AH3773" s="60"/>
    </row>
    <row r="3774" spans="1:34" ht="15.75" customHeight="1">
      <c r="A3774" s="111" t="s">
        <v>100</v>
      </c>
      <c r="B3774" s="18" t="s">
        <v>13357</v>
      </c>
      <c r="C3774" s="37" t="s">
        <v>46</v>
      </c>
      <c r="D3774" s="180" t="s">
        <v>13358</v>
      </c>
      <c r="E3774" s="20" t="s">
        <v>13359</v>
      </c>
      <c r="F3774" s="37" t="s">
        <v>49</v>
      </c>
      <c r="G3774" s="19" t="s">
        <v>50</v>
      </c>
      <c r="H3774" s="37"/>
      <c r="I3774" s="37" t="s">
        <v>29</v>
      </c>
      <c r="J3774" s="155" t="str">
        <f t="shared" si="1"/>
        <v>TT</v>
      </c>
      <c r="K3774" s="22" t="s">
        <v>13359</v>
      </c>
      <c r="L3774" s="56">
        <v>45099</v>
      </c>
      <c r="O3774" s="42"/>
      <c r="P3774" s="40"/>
      <c r="Q3774" s="61"/>
      <c r="R3774" s="61"/>
      <c r="S3774" s="40"/>
      <c r="T3774" s="38"/>
      <c r="U3774" s="38"/>
      <c r="V3774" s="38"/>
      <c r="W3774" s="60"/>
      <c r="AB3774" s="42"/>
      <c r="AC3774" s="35"/>
      <c r="AD3774" s="38"/>
      <c r="AE3774" s="38"/>
      <c r="AF3774" s="38"/>
      <c r="AG3774" s="38"/>
      <c r="AH3774" s="60"/>
    </row>
    <row r="3775" spans="1:34" ht="15.75" customHeight="1">
      <c r="A3775" s="75">
        <v>163</v>
      </c>
      <c r="B3775" s="18" t="s">
        <v>13360</v>
      </c>
      <c r="C3775" s="37" t="s">
        <v>46</v>
      </c>
      <c r="D3775" s="180" t="s">
        <v>13361</v>
      </c>
      <c r="E3775" s="20" t="s">
        <v>13362</v>
      </c>
      <c r="F3775" s="37" t="s">
        <v>49</v>
      </c>
      <c r="G3775" s="19" t="s">
        <v>50</v>
      </c>
      <c r="H3775" s="37"/>
      <c r="I3775" s="37" t="s">
        <v>29</v>
      </c>
      <c r="J3775" s="155" t="str">
        <f t="shared" si="1"/>
        <v>TT</v>
      </c>
      <c r="K3775" s="22" t="s">
        <v>13363</v>
      </c>
      <c r="L3775" s="56">
        <v>45099</v>
      </c>
      <c r="O3775" s="42"/>
      <c r="P3775" s="40"/>
      <c r="Q3775" s="61"/>
      <c r="R3775" s="61"/>
      <c r="S3775" s="40"/>
      <c r="T3775" s="38"/>
      <c r="U3775" s="38"/>
      <c r="V3775" s="38"/>
      <c r="W3775" s="60"/>
      <c r="AB3775" s="42"/>
      <c r="AC3775" s="35"/>
      <c r="AD3775" s="38"/>
      <c r="AE3775" s="38"/>
      <c r="AF3775" s="38"/>
      <c r="AG3775" s="38"/>
      <c r="AH3775" s="60"/>
    </row>
    <row r="3776" spans="1:34" ht="15.75" customHeight="1">
      <c r="A3776" s="44"/>
      <c r="B3776" s="18" t="s">
        <v>13364</v>
      </c>
      <c r="C3776" s="37" t="s">
        <v>24</v>
      </c>
      <c r="D3776" s="180" t="s">
        <v>13365</v>
      </c>
      <c r="E3776" s="20" t="s">
        <v>13366</v>
      </c>
      <c r="F3776" s="19" t="s">
        <v>27</v>
      </c>
      <c r="G3776" s="19" t="s">
        <v>28</v>
      </c>
      <c r="H3776" s="37"/>
      <c r="I3776" s="37" t="s">
        <v>29</v>
      </c>
      <c r="J3776" s="155" t="str">
        <f t="shared" si="1"/>
        <v>TT</v>
      </c>
      <c r="K3776" s="22" t="s">
        <v>13367</v>
      </c>
      <c r="L3776" s="56">
        <v>45099</v>
      </c>
      <c r="O3776" s="42"/>
      <c r="P3776" s="40"/>
      <c r="Q3776" s="61"/>
      <c r="R3776" s="61"/>
      <c r="S3776" s="40"/>
      <c r="T3776" s="38"/>
      <c r="U3776" s="38"/>
      <c r="V3776" s="38"/>
      <c r="W3776" s="60"/>
      <c r="AB3776" s="42"/>
      <c r="AC3776" s="35"/>
      <c r="AD3776" s="38"/>
      <c r="AE3776" s="38"/>
      <c r="AF3776" s="38"/>
      <c r="AG3776" s="38"/>
      <c r="AH3776" s="60"/>
    </row>
    <row r="3777" spans="1:34" ht="15.75" customHeight="1">
      <c r="A3777" s="35"/>
      <c r="B3777" s="18" t="s">
        <v>13368</v>
      </c>
      <c r="C3777" s="19" t="s">
        <v>87</v>
      </c>
      <c r="D3777" s="180" t="s">
        <v>13369</v>
      </c>
      <c r="E3777" s="20" t="s">
        <v>13370</v>
      </c>
      <c r="F3777" s="19" t="s">
        <v>90</v>
      </c>
      <c r="G3777" s="19" t="s">
        <v>91</v>
      </c>
      <c r="H3777" s="19"/>
      <c r="I3777" s="37" t="s">
        <v>29</v>
      </c>
      <c r="J3777" s="155" t="str">
        <f t="shared" si="1"/>
        <v>TT</v>
      </c>
      <c r="K3777" s="22" t="s">
        <v>13371</v>
      </c>
      <c r="L3777" s="56">
        <v>45099</v>
      </c>
      <c r="O3777" s="42"/>
      <c r="P3777" s="40"/>
      <c r="Q3777" s="61"/>
      <c r="R3777" s="61"/>
      <c r="S3777" s="40"/>
      <c r="T3777" s="38"/>
      <c r="U3777" s="38"/>
      <c r="V3777" s="38"/>
      <c r="W3777" s="60"/>
      <c r="AB3777" s="42"/>
      <c r="AC3777" s="35"/>
      <c r="AD3777" s="38"/>
      <c r="AE3777" s="38"/>
      <c r="AF3777" s="38"/>
      <c r="AG3777" s="38"/>
      <c r="AH3777" s="60"/>
    </row>
    <row r="3778" spans="1:34" ht="15.75" customHeight="1">
      <c r="A3778" s="44"/>
      <c r="B3778" s="18" t="s">
        <v>13372</v>
      </c>
      <c r="C3778" s="19" t="s">
        <v>24</v>
      </c>
      <c r="D3778" s="180" t="s">
        <v>13373</v>
      </c>
      <c r="E3778" s="20" t="s">
        <v>13374</v>
      </c>
      <c r="F3778" s="19" t="s">
        <v>27</v>
      </c>
      <c r="G3778" s="19" t="s">
        <v>28</v>
      </c>
      <c r="H3778" s="37" t="s">
        <v>813</v>
      </c>
      <c r="I3778" s="37" t="s">
        <v>29</v>
      </c>
      <c r="J3778" s="155" t="str">
        <f t="shared" si="1"/>
        <v>TT</v>
      </c>
      <c r="K3778" s="22" t="s">
        <v>13375</v>
      </c>
      <c r="L3778" s="56">
        <v>45099</v>
      </c>
      <c r="O3778" s="42"/>
      <c r="P3778" s="40"/>
      <c r="Q3778" s="61"/>
      <c r="R3778" s="61"/>
      <c r="S3778" s="40"/>
      <c r="T3778" s="38"/>
      <c r="U3778" s="38"/>
      <c r="V3778" s="38"/>
      <c r="W3778" s="60"/>
      <c r="AB3778" s="42"/>
      <c r="AC3778" s="35"/>
      <c r="AD3778" s="38"/>
      <c r="AE3778" s="38"/>
      <c r="AF3778" s="38"/>
      <c r="AG3778" s="38"/>
      <c r="AH3778" s="60"/>
    </row>
    <row r="3779" spans="1:34" ht="15.75" customHeight="1">
      <c r="A3779" s="179"/>
      <c r="B3779" s="18" t="s">
        <v>13376</v>
      </c>
      <c r="C3779" s="19" t="s">
        <v>1470</v>
      </c>
      <c r="D3779" s="180" t="s">
        <v>13377</v>
      </c>
      <c r="E3779" s="20"/>
      <c r="F3779" s="19" t="s">
        <v>3286</v>
      </c>
      <c r="G3779" s="37" t="s">
        <v>1461</v>
      </c>
      <c r="H3779" s="19"/>
      <c r="I3779" s="37" t="s">
        <v>233</v>
      </c>
      <c r="J3779" s="155" t="str">
        <f t="shared" ref="J3779:J3854" si="2">IF(G3779="R","NA",I3779)</f>
        <v>NTT</v>
      </c>
      <c r="K3779" s="22"/>
      <c r="L3779" s="56">
        <v>45099</v>
      </c>
      <c r="O3779" s="42"/>
      <c r="P3779" s="40"/>
      <c r="Q3779" s="61"/>
      <c r="R3779" s="61"/>
      <c r="S3779" s="40"/>
      <c r="T3779" s="38"/>
      <c r="U3779" s="38"/>
      <c r="V3779" s="38"/>
      <c r="W3779" s="60"/>
      <c r="AB3779" s="42"/>
      <c r="AC3779" s="35"/>
      <c r="AD3779" s="38"/>
      <c r="AE3779" s="38"/>
      <c r="AF3779" s="38"/>
      <c r="AG3779" s="38"/>
      <c r="AH3779" s="60"/>
    </row>
    <row r="3780" spans="1:34" ht="15.75" customHeight="1">
      <c r="A3780" s="179"/>
      <c r="B3780" s="18" t="s">
        <v>13378</v>
      </c>
      <c r="C3780" s="19" t="s">
        <v>24</v>
      </c>
      <c r="D3780" s="180" t="s">
        <v>13379</v>
      </c>
      <c r="E3780" s="20" t="s">
        <v>13380</v>
      </c>
      <c r="F3780" s="19" t="s">
        <v>27</v>
      </c>
      <c r="G3780" s="19" t="s">
        <v>28</v>
      </c>
      <c r="H3780" s="19"/>
      <c r="I3780" s="37" t="s">
        <v>29</v>
      </c>
      <c r="J3780" s="155" t="str">
        <f t="shared" si="2"/>
        <v>TT</v>
      </c>
      <c r="K3780" s="22" t="s">
        <v>13381</v>
      </c>
      <c r="L3780" s="56">
        <v>45099</v>
      </c>
      <c r="O3780" s="42"/>
      <c r="P3780" s="40"/>
      <c r="Q3780" s="61"/>
      <c r="R3780" s="61"/>
      <c r="S3780" s="40"/>
      <c r="T3780" s="38"/>
      <c r="U3780" s="38"/>
      <c r="V3780" s="38"/>
      <c r="W3780" s="60"/>
      <c r="AB3780" s="42"/>
      <c r="AC3780" s="35"/>
      <c r="AD3780" s="38"/>
      <c r="AE3780" s="38"/>
      <c r="AF3780" s="38"/>
      <c r="AG3780" s="38"/>
      <c r="AH3780" s="60"/>
    </row>
    <row r="3781" spans="1:34" ht="15.75" customHeight="1">
      <c r="A3781" s="179"/>
      <c r="B3781" s="34" t="s">
        <v>13382</v>
      </c>
      <c r="C3781" s="37" t="s">
        <v>87</v>
      </c>
      <c r="D3781" s="180" t="s">
        <v>13383</v>
      </c>
      <c r="E3781" s="20" t="s">
        <v>13384</v>
      </c>
      <c r="F3781" s="37" t="s">
        <v>49</v>
      </c>
      <c r="G3781" s="19" t="s">
        <v>50</v>
      </c>
      <c r="H3781" s="19"/>
      <c r="I3781" s="37" t="s">
        <v>29</v>
      </c>
      <c r="J3781" s="155" t="str">
        <f t="shared" si="2"/>
        <v>TT</v>
      </c>
      <c r="K3781" s="22" t="s">
        <v>13385</v>
      </c>
      <c r="L3781" s="56">
        <v>45099</v>
      </c>
      <c r="O3781" s="42"/>
      <c r="P3781" s="40"/>
      <c r="Q3781" s="61"/>
      <c r="R3781" s="61"/>
      <c r="S3781" s="40"/>
      <c r="T3781" s="38"/>
      <c r="U3781" s="38"/>
      <c r="V3781" s="38"/>
      <c r="W3781" s="60"/>
      <c r="AB3781" s="42"/>
      <c r="AC3781" s="35"/>
      <c r="AD3781" s="38"/>
      <c r="AE3781" s="38"/>
      <c r="AF3781" s="38"/>
      <c r="AG3781" s="38"/>
      <c r="AH3781" s="60"/>
    </row>
    <row r="3782" spans="1:34" ht="15.75" customHeight="1">
      <c r="A3782" s="179"/>
      <c r="B3782" s="18" t="s">
        <v>13386</v>
      </c>
      <c r="C3782" s="19" t="s">
        <v>87</v>
      </c>
      <c r="D3782" s="180" t="s">
        <v>13387</v>
      </c>
      <c r="E3782" s="20" t="s">
        <v>13326</v>
      </c>
      <c r="F3782" s="19" t="s">
        <v>90</v>
      </c>
      <c r="G3782" s="19" t="s">
        <v>91</v>
      </c>
      <c r="H3782" s="19"/>
      <c r="I3782" s="37" t="s">
        <v>29</v>
      </c>
      <c r="J3782" s="155" t="str">
        <f t="shared" si="2"/>
        <v>TT</v>
      </c>
      <c r="K3782" s="22" t="s">
        <v>13327</v>
      </c>
      <c r="L3782" s="56">
        <v>45099</v>
      </c>
      <c r="O3782" s="42"/>
      <c r="P3782" s="40"/>
      <c r="Q3782" s="61"/>
      <c r="R3782" s="61"/>
      <c r="S3782" s="40"/>
      <c r="T3782" s="38"/>
      <c r="U3782" s="38"/>
      <c r="V3782" s="38"/>
      <c r="W3782" s="60"/>
      <c r="AB3782" s="42"/>
      <c r="AC3782" s="35"/>
      <c r="AD3782" s="38"/>
      <c r="AE3782" s="38"/>
      <c r="AF3782" s="38"/>
      <c r="AG3782" s="38"/>
      <c r="AH3782" s="60"/>
    </row>
    <row r="3783" spans="1:34" ht="15.75" customHeight="1">
      <c r="A3783" s="179"/>
      <c r="B3783" s="29" t="s">
        <v>13388</v>
      </c>
      <c r="C3783" s="19" t="s">
        <v>24</v>
      </c>
      <c r="D3783" s="180" t="s">
        <v>13389</v>
      </c>
      <c r="E3783" s="20" t="s">
        <v>13390</v>
      </c>
      <c r="F3783" s="19" t="s">
        <v>27</v>
      </c>
      <c r="G3783" s="19" t="s">
        <v>28</v>
      </c>
      <c r="H3783" s="19"/>
      <c r="I3783" s="37" t="s">
        <v>29</v>
      </c>
      <c r="J3783" s="155" t="str">
        <f t="shared" si="2"/>
        <v>TT</v>
      </c>
      <c r="K3783" s="22" t="s">
        <v>13391</v>
      </c>
      <c r="L3783" s="56">
        <v>45099</v>
      </c>
      <c r="O3783" s="42"/>
      <c r="P3783" s="40"/>
      <c r="Q3783" s="61"/>
      <c r="R3783" s="61"/>
      <c r="S3783" s="40"/>
      <c r="T3783" s="38"/>
      <c r="U3783" s="38"/>
      <c r="V3783" s="38"/>
      <c r="W3783" s="60"/>
      <c r="AB3783" s="42"/>
      <c r="AC3783" s="35"/>
      <c r="AD3783" s="38"/>
      <c r="AE3783" s="38"/>
      <c r="AF3783" s="38"/>
      <c r="AG3783" s="38"/>
      <c r="AH3783" s="60"/>
    </row>
    <row r="3784" spans="1:34" ht="15.75" customHeight="1">
      <c r="A3784" s="179"/>
      <c r="B3784" s="18" t="s">
        <v>13392</v>
      </c>
      <c r="C3784" s="19" t="s">
        <v>1430</v>
      </c>
      <c r="D3784" s="180" t="s">
        <v>13393</v>
      </c>
      <c r="E3784" s="20"/>
      <c r="F3784" s="55" t="s">
        <v>1445</v>
      </c>
      <c r="G3784" s="55" t="s">
        <v>1432</v>
      </c>
      <c r="H3784" s="19"/>
      <c r="I3784" s="37" t="s">
        <v>233</v>
      </c>
      <c r="J3784" s="155" t="str">
        <f t="shared" si="2"/>
        <v>NTT</v>
      </c>
      <c r="K3784" s="22"/>
      <c r="L3784" s="56">
        <v>45099</v>
      </c>
      <c r="O3784" s="42"/>
      <c r="P3784" s="40"/>
      <c r="Q3784" s="61"/>
      <c r="R3784" s="61"/>
      <c r="S3784" s="40"/>
      <c r="T3784" s="38"/>
      <c r="U3784" s="38"/>
      <c r="V3784" s="38"/>
      <c r="W3784" s="60"/>
      <c r="AB3784" s="42"/>
      <c r="AC3784" s="35"/>
      <c r="AD3784" s="38"/>
      <c r="AE3784" s="38"/>
      <c r="AF3784" s="38"/>
      <c r="AG3784" s="38"/>
      <c r="AH3784" s="60"/>
    </row>
    <row r="3785" spans="1:34" ht="15.75" customHeight="1">
      <c r="A3785" s="179"/>
      <c r="B3785" s="38"/>
      <c r="C3785" s="19"/>
      <c r="D3785" s="180"/>
      <c r="E3785" s="20"/>
      <c r="F3785" s="19"/>
      <c r="G3785" s="19"/>
      <c r="H3785" s="19"/>
      <c r="I3785" s="19"/>
      <c r="J3785" s="155">
        <f t="shared" si="2"/>
        <v>0</v>
      </c>
      <c r="K3785" s="22"/>
      <c r="L3785" s="39"/>
      <c r="O3785" s="42"/>
      <c r="P3785" s="40"/>
      <c r="Q3785" s="61"/>
      <c r="R3785" s="61"/>
      <c r="S3785" s="40"/>
      <c r="T3785" s="38"/>
      <c r="U3785" s="38"/>
      <c r="V3785" s="38"/>
      <c r="W3785" s="60"/>
      <c r="AB3785" s="42"/>
      <c r="AC3785" s="35"/>
      <c r="AD3785" s="38"/>
      <c r="AE3785" s="38"/>
      <c r="AF3785" s="38"/>
      <c r="AG3785" s="38"/>
      <c r="AH3785" s="60"/>
    </row>
    <row r="3786" spans="1:34" ht="15.75" customHeight="1">
      <c r="A3786" s="38" t="s">
        <v>13394</v>
      </c>
      <c r="B3786" s="158" t="s">
        <v>13395</v>
      </c>
      <c r="C3786" s="37" t="s">
        <v>24</v>
      </c>
      <c r="D3786" s="180" t="s">
        <v>13396</v>
      </c>
      <c r="E3786" s="20" t="s">
        <v>13397</v>
      </c>
      <c r="F3786" s="19" t="s">
        <v>27</v>
      </c>
      <c r="G3786" s="19" t="s">
        <v>28</v>
      </c>
      <c r="H3786" s="37"/>
      <c r="I3786" s="37" t="s">
        <v>29</v>
      </c>
      <c r="J3786" s="155" t="str">
        <f t="shared" si="2"/>
        <v>TT</v>
      </c>
      <c r="K3786" s="22" t="s">
        <v>13398</v>
      </c>
      <c r="L3786" s="56">
        <v>45100</v>
      </c>
      <c r="M3786" s="40"/>
      <c r="O3786" s="42"/>
      <c r="P3786" s="40"/>
      <c r="Q3786" s="61"/>
      <c r="R3786" s="61"/>
      <c r="S3786" s="40"/>
      <c r="T3786" s="38"/>
      <c r="U3786" s="38"/>
      <c r="V3786" s="38"/>
      <c r="W3786" s="60"/>
      <c r="AB3786" s="42"/>
      <c r="AC3786" s="35"/>
      <c r="AD3786" s="38"/>
      <c r="AE3786" s="38"/>
      <c r="AF3786" s="38"/>
      <c r="AG3786" s="38"/>
      <c r="AH3786" s="60"/>
    </row>
    <row r="3787" spans="1:34" ht="15.75" customHeight="1">
      <c r="A3787" s="54" t="s">
        <v>13399</v>
      </c>
      <c r="B3787" s="158" t="s">
        <v>13400</v>
      </c>
      <c r="C3787" s="37" t="s">
        <v>1638</v>
      </c>
      <c r="D3787" s="180" t="s">
        <v>13401</v>
      </c>
      <c r="E3787" s="20" t="s">
        <v>13402</v>
      </c>
      <c r="F3787" s="37" t="s">
        <v>1399</v>
      </c>
      <c r="G3787" s="19" t="s">
        <v>1641</v>
      </c>
      <c r="H3787" s="37"/>
      <c r="I3787" s="21" t="s">
        <v>1371</v>
      </c>
      <c r="J3787" s="155" t="str">
        <f t="shared" si="2"/>
        <v>Other</v>
      </c>
      <c r="K3787" s="22" t="s">
        <v>13403</v>
      </c>
      <c r="L3787" s="56">
        <v>45100</v>
      </c>
      <c r="O3787" s="42"/>
      <c r="P3787" s="40"/>
      <c r="Q3787" s="61"/>
      <c r="R3787" s="61"/>
      <c r="S3787" s="40"/>
      <c r="T3787" s="38"/>
      <c r="U3787" s="38"/>
      <c r="V3787" s="38"/>
      <c r="W3787" s="60"/>
      <c r="AB3787" s="42"/>
      <c r="AC3787" s="35"/>
      <c r="AD3787" s="38"/>
      <c r="AE3787" s="38"/>
      <c r="AF3787" s="38"/>
      <c r="AG3787" s="38"/>
      <c r="AH3787" s="60"/>
    </row>
    <row r="3788" spans="1:34" ht="15.75" customHeight="1">
      <c r="A3788" s="114" t="s">
        <v>39</v>
      </c>
      <c r="B3788" s="158" t="s">
        <v>13404</v>
      </c>
      <c r="C3788" s="37" t="s">
        <v>46</v>
      </c>
      <c r="D3788" s="180" t="s">
        <v>13405</v>
      </c>
      <c r="E3788" s="20" t="s">
        <v>13406</v>
      </c>
      <c r="F3788" s="37" t="s">
        <v>49</v>
      </c>
      <c r="G3788" s="19" t="s">
        <v>50</v>
      </c>
      <c r="H3788" s="37"/>
      <c r="I3788" s="37" t="s">
        <v>29</v>
      </c>
      <c r="J3788" s="155" t="str">
        <f t="shared" si="2"/>
        <v>TT</v>
      </c>
      <c r="K3788" s="22" t="s">
        <v>13407</v>
      </c>
      <c r="L3788" s="56">
        <v>45100</v>
      </c>
      <c r="O3788" s="42"/>
      <c r="P3788" s="40"/>
      <c r="Q3788" s="61"/>
      <c r="R3788" s="61"/>
      <c r="S3788" s="40"/>
      <c r="T3788" s="38"/>
      <c r="U3788" s="38"/>
      <c r="V3788" s="38"/>
      <c r="W3788" s="60"/>
      <c r="AB3788" s="42"/>
      <c r="AC3788" s="35"/>
      <c r="AD3788" s="38"/>
      <c r="AE3788" s="38"/>
      <c r="AF3788" s="38"/>
      <c r="AG3788" s="38"/>
      <c r="AH3788" s="60"/>
    </row>
    <row r="3789" spans="1:34" ht="15.75" customHeight="1">
      <c r="A3789" s="38" t="s">
        <v>13408</v>
      </c>
      <c r="B3789" s="158" t="s">
        <v>13409</v>
      </c>
      <c r="C3789" s="37" t="s">
        <v>87</v>
      </c>
      <c r="D3789" s="180" t="s">
        <v>13410</v>
      </c>
      <c r="E3789" s="20" t="s">
        <v>13411</v>
      </c>
      <c r="F3789" s="19" t="s">
        <v>90</v>
      </c>
      <c r="G3789" s="19" t="s">
        <v>91</v>
      </c>
      <c r="H3789" s="37"/>
      <c r="I3789" s="37" t="s">
        <v>29</v>
      </c>
      <c r="J3789" s="155" t="str">
        <f t="shared" si="2"/>
        <v>TT</v>
      </c>
      <c r="K3789" s="22" t="s">
        <v>13412</v>
      </c>
      <c r="L3789" s="56">
        <v>45100</v>
      </c>
      <c r="O3789" s="42"/>
      <c r="P3789" s="40"/>
      <c r="Q3789" s="61"/>
      <c r="R3789" s="61"/>
      <c r="S3789" s="40"/>
      <c r="T3789" s="38"/>
      <c r="U3789" s="38"/>
      <c r="V3789" s="38"/>
      <c r="W3789" s="60"/>
      <c r="AB3789" s="42"/>
      <c r="AC3789" s="35"/>
      <c r="AD3789" s="38"/>
      <c r="AE3789" s="38"/>
      <c r="AF3789" s="38"/>
      <c r="AG3789" s="38"/>
      <c r="AH3789" s="60"/>
    </row>
    <row r="3790" spans="1:34" ht="15.75" customHeight="1">
      <c r="A3790" s="38" t="s">
        <v>13413</v>
      </c>
      <c r="B3790" s="158" t="s">
        <v>13414</v>
      </c>
      <c r="C3790" s="37" t="s">
        <v>87</v>
      </c>
      <c r="D3790" s="180" t="s">
        <v>13415</v>
      </c>
      <c r="E3790" s="20" t="s">
        <v>13416</v>
      </c>
      <c r="F3790" s="19" t="s">
        <v>90</v>
      </c>
      <c r="G3790" s="19" t="s">
        <v>91</v>
      </c>
      <c r="H3790" s="37"/>
      <c r="I3790" s="37" t="s">
        <v>29</v>
      </c>
      <c r="J3790" s="155" t="str">
        <f t="shared" si="2"/>
        <v>TT</v>
      </c>
      <c r="K3790" s="22" t="s">
        <v>13417</v>
      </c>
      <c r="L3790" s="56">
        <v>45100</v>
      </c>
      <c r="O3790" s="42"/>
      <c r="P3790" s="40"/>
      <c r="Q3790" s="61"/>
      <c r="R3790" s="61"/>
      <c r="S3790" s="40"/>
      <c r="T3790" s="38"/>
      <c r="U3790" s="38"/>
      <c r="V3790" s="38"/>
      <c r="W3790" s="60"/>
      <c r="AB3790" s="42"/>
      <c r="AC3790" s="35"/>
      <c r="AD3790" s="38"/>
      <c r="AE3790" s="38"/>
      <c r="AF3790" s="38"/>
      <c r="AG3790" s="38"/>
      <c r="AH3790" s="60"/>
    </row>
    <row r="3791" spans="1:34" ht="15.75" customHeight="1">
      <c r="A3791" s="111" t="s">
        <v>56</v>
      </c>
      <c r="B3791" s="158" t="s">
        <v>13418</v>
      </c>
      <c r="C3791" s="37" t="s">
        <v>46</v>
      </c>
      <c r="D3791" s="180" t="s">
        <v>13419</v>
      </c>
      <c r="E3791" s="20" t="s">
        <v>13420</v>
      </c>
      <c r="F3791" s="37" t="s">
        <v>49</v>
      </c>
      <c r="G3791" s="19" t="s">
        <v>50</v>
      </c>
      <c r="H3791" s="37"/>
      <c r="I3791" s="37" t="s">
        <v>29</v>
      </c>
      <c r="J3791" s="155" t="str">
        <f t="shared" si="2"/>
        <v>TT</v>
      </c>
      <c r="K3791" s="22" t="s">
        <v>13421</v>
      </c>
      <c r="L3791" s="56">
        <v>45100</v>
      </c>
      <c r="O3791" s="42"/>
      <c r="P3791" s="40"/>
      <c r="Q3791" s="61"/>
      <c r="R3791" s="61"/>
      <c r="S3791" s="40"/>
      <c r="T3791" s="38"/>
      <c r="U3791" s="38"/>
      <c r="V3791" s="38"/>
      <c r="W3791" s="60"/>
      <c r="AB3791" s="42"/>
      <c r="AC3791" s="35"/>
      <c r="AD3791" s="38"/>
      <c r="AE3791" s="38"/>
      <c r="AF3791" s="38"/>
      <c r="AG3791" s="38"/>
      <c r="AH3791" s="60"/>
    </row>
    <row r="3792" spans="1:34" ht="15.75" customHeight="1">
      <c r="A3792" s="75">
        <v>44</v>
      </c>
      <c r="B3792" s="158" t="s">
        <v>13422</v>
      </c>
      <c r="C3792" s="37" t="s">
        <v>87</v>
      </c>
      <c r="D3792" s="180" t="s">
        <v>13423</v>
      </c>
      <c r="E3792" s="20" t="s">
        <v>13424</v>
      </c>
      <c r="F3792" s="19" t="s">
        <v>90</v>
      </c>
      <c r="G3792" s="19" t="s">
        <v>91</v>
      </c>
      <c r="H3792" s="37"/>
      <c r="I3792" s="37" t="s">
        <v>29</v>
      </c>
      <c r="J3792" s="155" t="str">
        <f t="shared" si="2"/>
        <v>TT</v>
      </c>
      <c r="K3792" s="22" t="s">
        <v>13425</v>
      </c>
      <c r="L3792" s="56">
        <v>45100</v>
      </c>
      <c r="O3792" s="42"/>
      <c r="P3792" s="40"/>
      <c r="Q3792" s="61"/>
      <c r="R3792" s="61"/>
      <c r="S3792" s="40"/>
      <c r="T3792" s="38"/>
      <c r="U3792" s="38"/>
      <c r="V3792" s="38"/>
      <c r="W3792" s="60"/>
      <c r="AB3792" s="42"/>
      <c r="AC3792" s="35"/>
      <c r="AD3792" s="38"/>
      <c r="AE3792" s="38"/>
      <c r="AF3792" s="38"/>
      <c r="AG3792" s="38"/>
      <c r="AH3792" s="60"/>
    </row>
    <row r="3793" spans="1:34" ht="15.75" customHeight="1">
      <c r="A3793" s="111" t="s">
        <v>64</v>
      </c>
      <c r="B3793" s="158" t="s">
        <v>13426</v>
      </c>
      <c r="C3793" s="37" t="s">
        <v>87</v>
      </c>
      <c r="D3793" s="180" t="s">
        <v>13427</v>
      </c>
      <c r="E3793" s="20" t="s">
        <v>13428</v>
      </c>
      <c r="F3793" s="19" t="s">
        <v>90</v>
      </c>
      <c r="G3793" s="19" t="s">
        <v>91</v>
      </c>
      <c r="H3793" s="37"/>
      <c r="I3793" s="37" t="s">
        <v>29</v>
      </c>
      <c r="J3793" s="155" t="str">
        <f t="shared" si="2"/>
        <v>TT</v>
      </c>
      <c r="K3793" s="22" t="s">
        <v>13429</v>
      </c>
      <c r="L3793" s="56">
        <v>45100</v>
      </c>
      <c r="O3793" s="42"/>
      <c r="P3793" s="40"/>
      <c r="Q3793" s="61"/>
      <c r="R3793" s="61"/>
      <c r="S3793" s="40"/>
      <c r="T3793" s="38"/>
      <c r="U3793" s="38"/>
      <c r="V3793" s="38"/>
      <c r="W3793" s="60"/>
      <c r="AB3793" s="42"/>
      <c r="AC3793" s="35"/>
      <c r="AD3793" s="38"/>
      <c r="AE3793" s="38"/>
      <c r="AF3793" s="38"/>
      <c r="AG3793" s="38"/>
      <c r="AH3793" s="60"/>
    </row>
    <row r="3794" spans="1:34" ht="15.75" customHeight="1">
      <c r="A3794" s="75">
        <v>2.5</v>
      </c>
      <c r="B3794" s="158" t="s">
        <v>13430</v>
      </c>
      <c r="C3794" s="37" t="s">
        <v>46</v>
      </c>
      <c r="D3794" s="180" t="s">
        <v>13431</v>
      </c>
      <c r="E3794" s="20" t="s">
        <v>13432</v>
      </c>
      <c r="F3794" s="37" t="s">
        <v>49</v>
      </c>
      <c r="G3794" s="19" t="s">
        <v>50</v>
      </c>
      <c r="H3794" s="37"/>
      <c r="I3794" s="37" t="s">
        <v>29</v>
      </c>
      <c r="J3794" s="155" t="str">
        <f t="shared" si="2"/>
        <v>TT</v>
      </c>
      <c r="K3794" s="22" t="s">
        <v>13433</v>
      </c>
      <c r="L3794" s="56">
        <v>45100</v>
      </c>
      <c r="O3794" s="42"/>
      <c r="P3794" s="40"/>
      <c r="Q3794" s="61"/>
      <c r="R3794" s="61"/>
      <c r="S3794" s="40"/>
      <c r="T3794" s="38"/>
      <c r="U3794" s="38"/>
      <c r="V3794" s="38"/>
      <c r="W3794" s="60"/>
      <c r="AB3794" s="42"/>
      <c r="AC3794" s="35"/>
      <c r="AD3794" s="38"/>
      <c r="AE3794" s="38"/>
      <c r="AF3794" s="38"/>
      <c r="AG3794" s="38"/>
      <c r="AH3794" s="60"/>
    </row>
    <row r="3795" spans="1:34" ht="15.75" customHeight="1">
      <c r="A3795" s="111" t="s">
        <v>73</v>
      </c>
      <c r="B3795" s="160" t="s">
        <v>13434</v>
      </c>
      <c r="C3795" s="37" t="s">
        <v>87</v>
      </c>
      <c r="D3795" s="180" t="s">
        <v>13435</v>
      </c>
      <c r="E3795" s="20" t="s">
        <v>13436</v>
      </c>
      <c r="F3795" s="37" t="s">
        <v>49</v>
      </c>
      <c r="G3795" s="19" t="s">
        <v>50</v>
      </c>
      <c r="H3795" s="37"/>
      <c r="I3795" s="37" t="s">
        <v>29</v>
      </c>
      <c r="J3795" s="155" t="str">
        <f t="shared" si="2"/>
        <v>TT</v>
      </c>
      <c r="K3795" s="22" t="s">
        <v>13437</v>
      </c>
      <c r="L3795" s="56">
        <v>45100</v>
      </c>
      <c r="O3795" s="42"/>
      <c r="P3795" s="40"/>
      <c r="Q3795" s="61"/>
      <c r="R3795" s="61"/>
      <c r="S3795" s="40"/>
      <c r="T3795" s="38"/>
      <c r="U3795" s="38"/>
      <c r="V3795" s="38"/>
      <c r="W3795" s="60"/>
      <c r="AB3795" s="42"/>
      <c r="AC3795" s="35"/>
      <c r="AD3795" s="38"/>
      <c r="AE3795" s="38"/>
      <c r="AF3795" s="38"/>
      <c r="AG3795" s="38"/>
      <c r="AH3795" s="60"/>
    </row>
    <row r="3796" spans="1:34" ht="15.75" customHeight="1">
      <c r="A3796" s="75">
        <v>3.1</v>
      </c>
      <c r="B3796" s="158" t="s">
        <v>13438</v>
      </c>
      <c r="C3796" s="37" t="s">
        <v>24</v>
      </c>
      <c r="D3796" s="180" t="s">
        <v>13439</v>
      </c>
      <c r="E3796" s="20"/>
      <c r="F3796" s="19" t="s">
        <v>27</v>
      </c>
      <c r="G3796" s="19" t="s">
        <v>28</v>
      </c>
      <c r="H3796" s="37"/>
      <c r="I3796" s="37" t="s">
        <v>29</v>
      </c>
      <c r="J3796" s="155" t="str">
        <f t="shared" si="2"/>
        <v>TT</v>
      </c>
      <c r="K3796" s="22"/>
      <c r="L3796" s="56">
        <v>45100</v>
      </c>
      <c r="O3796" s="42"/>
      <c r="P3796" s="40"/>
      <c r="Q3796" s="61"/>
      <c r="R3796" s="61"/>
      <c r="S3796" s="40"/>
      <c r="T3796" s="38"/>
      <c r="U3796" s="38"/>
      <c r="V3796" s="38"/>
      <c r="W3796" s="60"/>
      <c r="AB3796" s="42"/>
      <c r="AC3796" s="35"/>
      <c r="AD3796" s="38"/>
      <c r="AE3796" s="38"/>
      <c r="AF3796" s="38"/>
      <c r="AG3796" s="38"/>
      <c r="AH3796" s="60"/>
    </row>
    <row r="3797" spans="1:34" ht="15.75" customHeight="1">
      <c r="A3797" s="111" t="s">
        <v>82</v>
      </c>
      <c r="B3797" s="158" t="s">
        <v>13440</v>
      </c>
      <c r="C3797" s="37" t="s">
        <v>46</v>
      </c>
      <c r="D3797" s="180" t="s">
        <v>13441</v>
      </c>
      <c r="E3797" s="20" t="s">
        <v>13442</v>
      </c>
      <c r="F3797" s="37" t="s">
        <v>49</v>
      </c>
      <c r="G3797" s="19" t="s">
        <v>50</v>
      </c>
      <c r="H3797" s="37"/>
      <c r="I3797" s="37" t="s">
        <v>29</v>
      </c>
      <c r="J3797" s="155" t="str">
        <f t="shared" si="2"/>
        <v>TT</v>
      </c>
      <c r="K3797" s="22" t="s">
        <v>13443</v>
      </c>
      <c r="L3797" s="56">
        <v>45100</v>
      </c>
      <c r="O3797" s="42"/>
      <c r="P3797" s="40"/>
      <c r="Q3797" s="61"/>
      <c r="R3797" s="61"/>
      <c r="S3797" s="40"/>
      <c r="T3797" s="38"/>
      <c r="U3797" s="38"/>
      <c r="V3797" s="38"/>
      <c r="W3797" s="60"/>
      <c r="AB3797" s="42"/>
      <c r="AC3797" s="35"/>
      <c r="AD3797" s="38"/>
      <c r="AE3797" s="38"/>
      <c r="AF3797" s="38"/>
      <c r="AG3797" s="38"/>
      <c r="AH3797" s="60"/>
    </row>
    <row r="3798" spans="1:34" ht="15.75" customHeight="1">
      <c r="A3798" s="75" t="s">
        <v>13444</v>
      </c>
      <c r="B3798" s="158" t="s">
        <v>13445</v>
      </c>
      <c r="C3798" s="37" t="s">
        <v>87</v>
      </c>
      <c r="D3798" s="180" t="s">
        <v>13446</v>
      </c>
      <c r="E3798" s="20" t="s">
        <v>13447</v>
      </c>
      <c r="F3798" s="19" t="s">
        <v>90</v>
      </c>
      <c r="G3798" s="19" t="s">
        <v>91</v>
      </c>
      <c r="H3798" s="37"/>
      <c r="I3798" s="37" t="s">
        <v>29</v>
      </c>
      <c r="J3798" s="155" t="str">
        <f t="shared" si="2"/>
        <v>TT</v>
      </c>
      <c r="K3798" s="22" t="s">
        <v>13448</v>
      </c>
      <c r="L3798" s="56">
        <v>45100</v>
      </c>
      <c r="O3798" s="42"/>
      <c r="P3798" s="40"/>
      <c r="Q3798" s="61"/>
      <c r="R3798" s="61"/>
      <c r="S3798" s="40"/>
      <c r="T3798" s="38"/>
      <c r="U3798" s="38"/>
      <c r="V3798" s="38"/>
      <c r="W3798" s="60"/>
      <c r="AB3798" s="42"/>
      <c r="AC3798" s="35"/>
      <c r="AD3798" s="38"/>
      <c r="AE3798" s="38"/>
      <c r="AF3798" s="38"/>
      <c r="AG3798" s="38"/>
      <c r="AH3798" s="60"/>
    </row>
    <row r="3799" spans="1:34" ht="15.75" customHeight="1">
      <c r="A3799" s="111" t="s">
        <v>92</v>
      </c>
      <c r="B3799" s="159" t="s">
        <v>13449</v>
      </c>
      <c r="C3799" s="37" t="s">
        <v>24</v>
      </c>
      <c r="D3799" s="180" t="s">
        <v>13450</v>
      </c>
      <c r="E3799" s="20" t="s">
        <v>13451</v>
      </c>
      <c r="F3799" s="19" t="s">
        <v>27</v>
      </c>
      <c r="G3799" s="19" t="s">
        <v>28</v>
      </c>
      <c r="H3799" s="37"/>
      <c r="I3799" s="37" t="s">
        <v>29</v>
      </c>
      <c r="J3799" s="155" t="str">
        <f t="shared" si="2"/>
        <v>TT</v>
      </c>
      <c r="K3799" s="22" t="s">
        <v>13452</v>
      </c>
      <c r="L3799" s="56">
        <v>45100</v>
      </c>
      <c r="O3799" s="42"/>
      <c r="P3799" s="40"/>
      <c r="Q3799" s="61"/>
      <c r="R3799" s="61"/>
      <c r="S3799" s="40"/>
      <c r="T3799" s="38"/>
      <c r="U3799" s="38"/>
      <c r="V3799" s="38"/>
      <c r="W3799" s="60"/>
      <c r="AB3799" s="42"/>
      <c r="AC3799" s="35"/>
      <c r="AD3799" s="38"/>
      <c r="AE3799" s="38"/>
      <c r="AF3799" s="38"/>
      <c r="AG3799" s="38"/>
      <c r="AH3799" s="60"/>
    </row>
    <row r="3800" spans="1:34" ht="15.75" customHeight="1">
      <c r="A3800" s="112">
        <v>369</v>
      </c>
      <c r="B3800" s="158" t="s">
        <v>13453</v>
      </c>
      <c r="C3800" s="37" t="s">
        <v>46</v>
      </c>
      <c r="D3800" s="180" t="s">
        <v>13454</v>
      </c>
      <c r="E3800" s="20" t="s">
        <v>13455</v>
      </c>
      <c r="F3800" s="37" t="s">
        <v>49</v>
      </c>
      <c r="G3800" s="19" t="s">
        <v>50</v>
      </c>
      <c r="H3800" s="37"/>
      <c r="I3800" s="37" t="s">
        <v>29</v>
      </c>
      <c r="J3800" s="155" t="str">
        <f t="shared" si="2"/>
        <v>TT</v>
      </c>
      <c r="K3800" s="22" t="s">
        <v>13456</v>
      </c>
      <c r="L3800" s="56">
        <v>45100</v>
      </c>
      <c r="O3800" s="42"/>
      <c r="P3800" s="40"/>
      <c r="Q3800" s="61"/>
      <c r="R3800" s="61"/>
      <c r="S3800" s="40"/>
      <c r="T3800" s="38"/>
      <c r="U3800" s="38"/>
      <c r="V3800" s="38"/>
      <c r="W3800" s="60"/>
      <c r="AB3800" s="42"/>
      <c r="AC3800" s="35"/>
      <c r="AD3800" s="38"/>
      <c r="AE3800" s="38"/>
      <c r="AF3800" s="38"/>
      <c r="AG3800" s="38"/>
      <c r="AH3800" s="60"/>
    </row>
    <row r="3801" spans="1:34" ht="15.75" customHeight="1">
      <c r="A3801" s="111" t="s">
        <v>100</v>
      </c>
      <c r="B3801" s="158" t="s">
        <v>13457</v>
      </c>
      <c r="C3801" s="37" t="s">
        <v>24</v>
      </c>
      <c r="D3801" s="180" t="s">
        <v>13458</v>
      </c>
      <c r="E3801" s="20" t="s">
        <v>13459</v>
      </c>
      <c r="F3801" s="19" t="s">
        <v>27</v>
      </c>
      <c r="G3801" s="19" t="s">
        <v>28</v>
      </c>
      <c r="H3801" s="37"/>
      <c r="I3801" s="37" t="s">
        <v>29</v>
      </c>
      <c r="J3801" s="155" t="str">
        <f t="shared" si="2"/>
        <v>TT</v>
      </c>
      <c r="K3801" s="22" t="s">
        <v>13460</v>
      </c>
      <c r="L3801" s="56">
        <v>45100</v>
      </c>
      <c r="O3801" s="42"/>
      <c r="P3801" s="40"/>
      <c r="Q3801" s="61"/>
      <c r="R3801" s="61"/>
      <c r="S3801" s="40"/>
      <c r="T3801" s="38"/>
      <c r="U3801" s="38"/>
      <c r="V3801" s="38"/>
      <c r="W3801" s="60"/>
      <c r="AB3801" s="42"/>
      <c r="AC3801" s="35"/>
      <c r="AD3801" s="38"/>
      <c r="AE3801" s="38"/>
      <c r="AF3801" s="38"/>
      <c r="AG3801" s="38"/>
      <c r="AH3801" s="60"/>
    </row>
    <row r="3802" spans="1:34" ht="15.75" customHeight="1">
      <c r="A3802" s="75">
        <v>161</v>
      </c>
      <c r="B3802" s="158" t="s">
        <v>13461</v>
      </c>
      <c r="C3802" s="37" t="s">
        <v>87</v>
      </c>
      <c r="D3802" s="180" t="s">
        <v>13462</v>
      </c>
      <c r="E3802" s="20" t="s">
        <v>13463</v>
      </c>
      <c r="F3802" s="19" t="s">
        <v>90</v>
      </c>
      <c r="G3802" s="19" t="s">
        <v>91</v>
      </c>
      <c r="H3802" s="37"/>
      <c r="I3802" s="37" t="s">
        <v>29</v>
      </c>
      <c r="J3802" s="155" t="str">
        <f t="shared" si="2"/>
        <v>TT</v>
      </c>
      <c r="K3802" s="22" t="s">
        <v>13464</v>
      </c>
      <c r="L3802" s="56">
        <v>45100</v>
      </c>
      <c r="O3802" s="42"/>
      <c r="P3802" s="40"/>
      <c r="Q3802" s="61"/>
      <c r="R3802" s="61"/>
      <c r="S3802" s="40"/>
      <c r="T3802" s="38"/>
      <c r="U3802" s="38"/>
      <c r="V3802" s="38"/>
      <c r="W3802" s="60"/>
      <c r="AB3802" s="42"/>
      <c r="AC3802" s="35"/>
      <c r="AD3802" s="38"/>
      <c r="AE3802" s="38"/>
      <c r="AF3802" s="38"/>
      <c r="AG3802" s="38"/>
      <c r="AH3802" s="60"/>
    </row>
    <row r="3803" spans="1:34" ht="15.75" customHeight="1">
      <c r="A3803" s="179"/>
      <c r="B3803" s="158" t="s">
        <v>13465</v>
      </c>
      <c r="C3803" s="37" t="s">
        <v>87</v>
      </c>
      <c r="D3803" s="180" t="s">
        <v>13466</v>
      </c>
      <c r="E3803" s="20" t="s">
        <v>13467</v>
      </c>
      <c r="F3803" s="19" t="s">
        <v>90</v>
      </c>
      <c r="G3803" s="19" t="s">
        <v>91</v>
      </c>
      <c r="H3803" s="37"/>
      <c r="I3803" s="37" t="s">
        <v>29</v>
      </c>
      <c r="J3803" s="155" t="str">
        <f t="shared" si="2"/>
        <v>TT</v>
      </c>
      <c r="K3803" s="22" t="s">
        <v>13468</v>
      </c>
      <c r="L3803" s="56">
        <v>45100</v>
      </c>
      <c r="O3803" s="42"/>
      <c r="P3803" s="40"/>
      <c r="Q3803" s="61"/>
      <c r="R3803" s="61"/>
      <c r="S3803" s="40"/>
      <c r="T3803" s="38"/>
      <c r="U3803" s="38"/>
      <c r="V3803" s="38"/>
      <c r="W3803" s="60"/>
      <c r="AB3803" s="42"/>
      <c r="AC3803" s="35"/>
      <c r="AD3803" s="38"/>
      <c r="AE3803" s="38"/>
      <c r="AF3803" s="38"/>
      <c r="AG3803" s="38"/>
      <c r="AH3803" s="60"/>
    </row>
    <row r="3804" spans="1:34" ht="15.75" customHeight="1">
      <c r="A3804" s="181"/>
      <c r="B3804" s="158" t="s">
        <v>13469</v>
      </c>
      <c r="C3804" s="37" t="s">
        <v>46</v>
      </c>
      <c r="D3804" s="180" t="s">
        <v>13470</v>
      </c>
      <c r="E3804" s="20" t="s">
        <v>13471</v>
      </c>
      <c r="F3804" s="37" t="s">
        <v>49</v>
      </c>
      <c r="G3804" s="19" t="s">
        <v>50</v>
      </c>
      <c r="H3804" s="37"/>
      <c r="I3804" s="37" t="s">
        <v>29</v>
      </c>
      <c r="J3804" s="155" t="str">
        <f t="shared" si="2"/>
        <v>TT</v>
      </c>
      <c r="K3804" s="22" t="s">
        <v>13472</v>
      </c>
      <c r="L3804" s="56">
        <v>45100</v>
      </c>
      <c r="O3804" s="42"/>
      <c r="P3804" s="40"/>
      <c r="Q3804" s="61"/>
      <c r="R3804" s="61"/>
      <c r="S3804" s="40"/>
      <c r="T3804" s="38"/>
      <c r="U3804" s="38"/>
      <c r="V3804" s="38"/>
      <c r="W3804" s="60"/>
      <c r="AB3804" s="42"/>
      <c r="AC3804" s="35"/>
      <c r="AD3804" s="38"/>
      <c r="AE3804" s="38"/>
      <c r="AF3804" s="38"/>
      <c r="AG3804" s="38"/>
      <c r="AH3804" s="60"/>
    </row>
    <row r="3805" spans="1:34" ht="15.75" customHeight="1">
      <c r="A3805" s="181"/>
      <c r="B3805" s="158" t="s">
        <v>13473</v>
      </c>
      <c r="C3805" s="37" t="s">
        <v>24</v>
      </c>
      <c r="D3805" s="180" t="s">
        <v>13474</v>
      </c>
      <c r="E3805" s="20" t="s">
        <v>13475</v>
      </c>
      <c r="F3805" s="19" t="s">
        <v>27</v>
      </c>
      <c r="G3805" s="19" t="s">
        <v>28</v>
      </c>
      <c r="H3805" s="37"/>
      <c r="I3805" s="37" t="s">
        <v>29</v>
      </c>
      <c r="J3805" s="155" t="str">
        <f t="shared" si="2"/>
        <v>TT</v>
      </c>
      <c r="K3805" s="22" t="s">
        <v>13476</v>
      </c>
      <c r="L3805" s="56">
        <v>45100</v>
      </c>
      <c r="O3805" s="42"/>
      <c r="P3805" s="40"/>
      <c r="Q3805" s="61"/>
      <c r="R3805" s="61"/>
      <c r="S3805" s="40"/>
      <c r="T3805" s="38"/>
      <c r="U3805" s="38"/>
      <c r="V3805" s="38"/>
      <c r="W3805" s="60"/>
      <c r="AB3805" s="42"/>
      <c r="AC3805" s="35"/>
      <c r="AD3805" s="38"/>
      <c r="AE3805" s="38"/>
      <c r="AF3805" s="38"/>
      <c r="AG3805" s="38"/>
      <c r="AH3805" s="60"/>
    </row>
    <row r="3806" spans="1:34" ht="15.75" customHeight="1">
      <c r="A3806" s="182"/>
      <c r="B3806" s="158" t="s">
        <v>13477</v>
      </c>
      <c r="C3806" s="37" t="s">
        <v>87</v>
      </c>
      <c r="D3806" s="180" t="s">
        <v>13478</v>
      </c>
      <c r="E3806" s="20" t="s">
        <v>13479</v>
      </c>
      <c r="F3806" s="19" t="s">
        <v>90</v>
      </c>
      <c r="G3806" s="19" t="s">
        <v>91</v>
      </c>
      <c r="H3806" s="37"/>
      <c r="I3806" s="37" t="s">
        <v>29</v>
      </c>
      <c r="J3806" s="155" t="str">
        <f t="shared" si="2"/>
        <v>TT</v>
      </c>
      <c r="K3806" s="22" t="s">
        <v>13480</v>
      </c>
      <c r="L3806" s="56">
        <v>45100</v>
      </c>
      <c r="O3806" s="42"/>
      <c r="P3806" s="40"/>
      <c r="Q3806" s="61"/>
      <c r="R3806" s="61"/>
      <c r="S3806" s="40"/>
      <c r="T3806" s="38"/>
      <c r="U3806" s="38"/>
      <c r="V3806" s="38"/>
      <c r="W3806" s="60"/>
      <c r="AB3806" s="42"/>
      <c r="AC3806" s="35"/>
      <c r="AD3806" s="38"/>
      <c r="AE3806" s="38"/>
      <c r="AF3806" s="38"/>
      <c r="AG3806" s="38"/>
      <c r="AH3806" s="60"/>
    </row>
    <row r="3807" spans="1:34" ht="15.75" customHeight="1">
      <c r="A3807" s="181"/>
      <c r="B3807" s="158" t="s">
        <v>13481</v>
      </c>
      <c r="C3807" s="37" t="s">
        <v>46</v>
      </c>
      <c r="D3807" s="180" t="s">
        <v>13482</v>
      </c>
      <c r="E3807" s="20" t="s">
        <v>13483</v>
      </c>
      <c r="F3807" s="37" t="s">
        <v>49</v>
      </c>
      <c r="G3807" s="19" t="s">
        <v>50</v>
      </c>
      <c r="H3807" s="37"/>
      <c r="I3807" s="37" t="s">
        <v>29</v>
      </c>
      <c r="J3807" s="155" t="str">
        <f t="shared" si="2"/>
        <v>TT</v>
      </c>
      <c r="K3807" s="22" t="s">
        <v>13484</v>
      </c>
      <c r="L3807" s="56">
        <v>45100</v>
      </c>
      <c r="O3807" s="42"/>
      <c r="P3807" s="40"/>
      <c r="Q3807" s="61"/>
      <c r="R3807" s="61"/>
      <c r="S3807" s="40"/>
      <c r="T3807" s="38"/>
      <c r="U3807" s="38"/>
      <c r="V3807" s="38"/>
      <c r="W3807" s="60"/>
      <c r="AB3807" s="42"/>
      <c r="AC3807" s="35"/>
      <c r="AD3807" s="38"/>
      <c r="AE3807" s="38"/>
      <c r="AF3807" s="38"/>
      <c r="AG3807" s="38"/>
      <c r="AH3807" s="60"/>
    </row>
    <row r="3808" spans="1:34" ht="15.75" customHeight="1">
      <c r="A3808" s="181"/>
      <c r="B3808" s="158" t="s">
        <v>13485</v>
      </c>
      <c r="C3808" s="37" t="s">
        <v>46</v>
      </c>
      <c r="D3808" s="180" t="s">
        <v>13486</v>
      </c>
      <c r="E3808" s="20" t="s">
        <v>13487</v>
      </c>
      <c r="F3808" s="37" t="s">
        <v>49</v>
      </c>
      <c r="G3808" s="19" t="s">
        <v>50</v>
      </c>
      <c r="H3808" s="37"/>
      <c r="I3808" s="37" t="s">
        <v>29</v>
      </c>
      <c r="J3808" s="155" t="str">
        <f t="shared" si="2"/>
        <v>TT</v>
      </c>
      <c r="K3808" s="22" t="s">
        <v>13488</v>
      </c>
      <c r="L3808" s="56">
        <v>45100</v>
      </c>
      <c r="O3808" s="42"/>
      <c r="P3808" s="40"/>
      <c r="Q3808" s="61"/>
      <c r="R3808" s="61"/>
      <c r="S3808" s="40"/>
      <c r="T3808" s="38"/>
      <c r="U3808" s="38"/>
      <c r="V3808" s="38"/>
      <c r="W3808" s="60"/>
      <c r="AB3808" s="42"/>
      <c r="AC3808" s="35"/>
      <c r="AD3808" s="38"/>
      <c r="AE3808" s="38"/>
      <c r="AF3808" s="38"/>
      <c r="AG3808" s="38"/>
      <c r="AH3808" s="60"/>
    </row>
    <row r="3809" spans="1:34" ht="15.75" customHeight="1">
      <c r="A3809" s="182"/>
      <c r="B3809" s="158" t="s">
        <v>13489</v>
      </c>
      <c r="C3809" s="37" t="s">
        <v>46</v>
      </c>
      <c r="D3809" s="180" t="s">
        <v>13490</v>
      </c>
      <c r="E3809" s="20" t="s">
        <v>13491</v>
      </c>
      <c r="F3809" s="37" t="s">
        <v>49</v>
      </c>
      <c r="G3809" s="19" t="s">
        <v>50</v>
      </c>
      <c r="H3809" s="37"/>
      <c r="I3809" s="37" t="s">
        <v>29</v>
      </c>
      <c r="J3809" s="155" t="str">
        <f t="shared" si="2"/>
        <v>TT</v>
      </c>
      <c r="K3809" s="22" t="s">
        <v>13492</v>
      </c>
      <c r="L3809" s="56">
        <v>45100</v>
      </c>
      <c r="O3809" s="42"/>
      <c r="P3809" s="40"/>
      <c r="Q3809" s="61"/>
      <c r="R3809" s="61"/>
      <c r="S3809" s="40"/>
      <c r="T3809" s="38"/>
      <c r="U3809" s="38"/>
      <c r="V3809" s="38"/>
      <c r="W3809" s="60"/>
      <c r="AB3809" s="42"/>
      <c r="AC3809" s="35"/>
      <c r="AD3809" s="38"/>
      <c r="AE3809" s="38"/>
      <c r="AF3809" s="38"/>
      <c r="AG3809" s="38"/>
      <c r="AH3809" s="60"/>
    </row>
    <row r="3810" spans="1:34" ht="15.75" customHeight="1">
      <c r="A3810" s="181"/>
      <c r="B3810" s="158" t="s">
        <v>13493</v>
      </c>
      <c r="C3810" s="37" t="s">
        <v>46</v>
      </c>
      <c r="D3810" s="180" t="s">
        <v>13494</v>
      </c>
      <c r="E3810" s="20" t="s">
        <v>13495</v>
      </c>
      <c r="F3810" s="37" t="s">
        <v>49</v>
      </c>
      <c r="G3810" s="19" t="s">
        <v>50</v>
      </c>
      <c r="H3810" s="37"/>
      <c r="I3810" s="37" t="s">
        <v>29</v>
      </c>
      <c r="J3810" s="155" t="str">
        <f t="shared" si="2"/>
        <v>TT</v>
      </c>
      <c r="K3810" s="22" t="s">
        <v>13496</v>
      </c>
      <c r="L3810" s="56">
        <v>45100</v>
      </c>
      <c r="O3810" s="42"/>
      <c r="P3810" s="40"/>
      <c r="Q3810" s="61"/>
      <c r="R3810" s="61"/>
      <c r="S3810" s="40"/>
      <c r="T3810" s="38"/>
      <c r="U3810" s="38"/>
      <c r="V3810" s="38"/>
      <c r="W3810" s="60"/>
      <c r="AB3810" s="42"/>
      <c r="AC3810" s="35"/>
      <c r="AD3810" s="38"/>
      <c r="AE3810" s="38"/>
      <c r="AF3810" s="38"/>
      <c r="AG3810" s="38"/>
      <c r="AH3810" s="60"/>
    </row>
    <row r="3811" spans="1:34" ht="15.75" customHeight="1">
      <c r="A3811" s="181"/>
      <c r="B3811" s="158" t="s">
        <v>13497</v>
      </c>
      <c r="C3811" s="37" t="s">
        <v>46</v>
      </c>
      <c r="D3811" s="180" t="s">
        <v>13498</v>
      </c>
      <c r="E3811" s="20" t="s">
        <v>13499</v>
      </c>
      <c r="F3811" s="37" t="s">
        <v>49</v>
      </c>
      <c r="G3811" s="19" t="s">
        <v>50</v>
      </c>
      <c r="H3811" s="37"/>
      <c r="I3811" s="37" t="s">
        <v>29</v>
      </c>
      <c r="J3811" s="155" t="str">
        <f t="shared" si="2"/>
        <v>TT</v>
      </c>
      <c r="K3811" s="22" t="s">
        <v>13500</v>
      </c>
      <c r="L3811" s="56">
        <v>45100</v>
      </c>
      <c r="O3811" s="42"/>
      <c r="P3811" s="40"/>
      <c r="Q3811" s="61"/>
      <c r="R3811" s="61"/>
      <c r="S3811" s="40"/>
      <c r="T3811" s="38"/>
      <c r="U3811" s="38"/>
      <c r="V3811" s="38"/>
      <c r="W3811" s="60"/>
      <c r="AB3811" s="42"/>
      <c r="AC3811" s="35"/>
      <c r="AD3811" s="38"/>
      <c r="AE3811" s="38"/>
      <c r="AF3811" s="38"/>
      <c r="AG3811" s="38"/>
      <c r="AH3811" s="60"/>
    </row>
    <row r="3812" spans="1:34" ht="15.75" customHeight="1">
      <c r="A3812" s="182"/>
      <c r="B3812" s="158" t="s">
        <v>13501</v>
      </c>
      <c r="C3812" s="37" t="s">
        <v>87</v>
      </c>
      <c r="D3812" s="180" t="s">
        <v>13502</v>
      </c>
      <c r="E3812" s="20" t="s">
        <v>13503</v>
      </c>
      <c r="F3812" s="19" t="s">
        <v>90</v>
      </c>
      <c r="G3812" s="19" t="s">
        <v>91</v>
      </c>
      <c r="H3812" s="37"/>
      <c r="I3812" s="37" t="s">
        <v>29</v>
      </c>
      <c r="J3812" s="155" t="str">
        <f t="shared" si="2"/>
        <v>TT</v>
      </c>
      <c r="K3812" s="22" t="s">
        <v>13504</v>
      </c>
      <c r="L3812" s="56">
        <v>45100</v>
      </c>
      <c r="O3812" s="42"/>
      <c r="P3812" s="40"/>
      <c r="Q3812" s="61"/>
      <c r="R3812" s="61"/>
      <c r="S3812" s="40"/>
      <c r="T3812" s="38"/>
      <c r="U3812" s="38"/>
      <c r="V3812" s="38"/>
      <c r="W3812" s="60"/>
      <c r="AB3812" s="42"/>
      <c r="AC3812" s="35"/>
      <c r="AD3812" s="38"/>
      <c r="AE3812" s="38"/>
      <c r="AF3812" s="38"/>
      <c r="AG3812" s="38"/>
      <c r="AH3812" s="60"/>
    </row>
    <row r="3813" spans="1:34" ht="15.75" customHeight="1">
      <c r="A3813" s="181"/>
      <c r="B3813" s="158" t="s">
        <v>11467</v>
      </c>
      <c r="C3813" s="37" t="s">
        <v>87</v>
      </c>
      <c r="D3813" s="180" t="s">
        <v>13505</v>
      </c>
      <c r="E3813" s="20" t="s">
        <v>13506</v>
      </c>
      <c r="F3813" s="19" t="s">
        <v>90</v>
      </c>
      <c r="G3813" s="19" t="s">
        <v>91</v>
      </c>
      <c r="H3813" s="37"/>
      <c r="I3813" s="37" t="s">
        <v>29</v>
      </c>
      <c r="J3813" s="155" t="str">
        <f t="shared" si="2"/>
        <v>TT</v>
      </c>
      <c r="K3813" s="22" t="s">
        <v>13507</v>
      </c>
      <c r="L3813" s="56">
        <v>45100</v>
      </c>
      <c r="O3813" s="42"/>
      <c r="P3813" s="40"/>
      <c r="Q3813" s="61"/>
      <c r="R3813" s="61"/>
      <c r="S3813" s="40"/>
      <c r="T3813" s="38"/>
      <c r="U3813" s="38"/>
      <c r="V3813" s="38"/>
      <c r="W3813" s="60"/>
      <c r="AB3813" s="42"/>
      <c r="AC3813" s="35"/>
      <c r="AD3813" s="38"/>
      <c r="AE3813" s="38"/>
      <c r="AF3813" s="38"/>
      <c r="AG3813" s="38"/>
      <c r="AH3813" s="60"/>
    </row>
    <row r="3814" spans="1:34" ht="15.75" customHeight="1">
      <c r="A3814" s="181"/>
      <c r="B3814" s="158" t="s">
        <v>13508</v>
      </c>
      <c r="C3814" s="37" t="s">
        <v>87</v>
      </c>
      <c r="D3814" s="180" t="s">
        <v>13509</v>
      </c>
      <c r="E3814" s="20" t="s">
        <v>13510</v>
      </c>
      <c r="F3814" s="19" t="s">
        <v>90</v>
      </c>
      <c r="G3814" s="19" t="s">
        <v>91</v>
      </c>
      <c r="H3814" s="37"/>
      <c r="I3814" s="37" t="s">
        <v>29</v>
      </c>
      <c r="J3814" s="155" t="str">
        <f t="shared" si="2"/>
        <v>TT</v>
      </c>
      <c r="K3814" s="22" t="s">
        <v>13511</v>
      </c>
      <c r="L3814" s="56">
        <v>45100</v>
      </c>
      <c r="O3814" s="42"/>
      <c r="P3814" s="40"/>
      <c r="Q3814" s="61"/>
      <c r="R3814" s="61"/>
      <c r="S3814" s="40"/>
      <c r="T3814" s="38"/>
      <c r="U3814" s="38"/>
      <c r="V3814" s="38"/>
      <c r="W3814" s="60"/>
      <c r="AB3814" s="42"/>
      <c r="AC3814" s="35"/>
      <c r="AD3814" s="38"/>
      <c r="AE3814" s="38"/>
      <c r="AF3814" s="38"/>
      <c r="AG3814" s="38"/>
      <c r="AH3814" s="60"/>
    </row>
    <row r="3815" spans="1:34" ht="15.75" customHeight="1">
      <c r="A3815" s="182"/>
      <c r="B3815" s="158" t="s">
        <v>13512</v>
      </c>
      <c r="C3815" s="37" t="s">
        <v>24</v>
      </c>
      <c r="D3815" s="180" t="s">
        <v>13513</v>
      </c>
      <c r="E3815" s="20" t="s">
        <v>13514</v>
      </c>
      <c r="F3815" s="19" t="s">
        <v>27</v>
      </c>
      <c r="G3815" s="19" t="s">
        <v>28</v>
      </c>
      <c r="H3815" s="19" t="s">
        <v>36</v>
      </c>
      <c r="I3815" s="37" t="s">
        <v>29</v>
      </c>
      <c r="J3815" s="155" t="str">
        <f t="shared" si="2"/>
        <v>TT</v>
      </c>
      <c r="K3815" s="22" t="s">
        <v>13515</v>
      </c>
      <c r="L3815" s="56">
        <v>45100</v>
      </c>
      <c r="O3815" s="42"/>
      <c r="P3815" s="40"/>
      <c r="Q3815" s="61"/>
      <c r="R3815" s="61"/>
      <c r="S3815" s="40"/>
      <c r="T3815" s="38"/>
      <c r="U3815" s="38"/>
      <c r="V3815" s="38"/>
      <c r="W3815" s="60"/>
      <c r="AB3815" s="42"/>
      <c r="AC3815" s="35"/>
      <c r="AD3815" s="38"/>
      <c r="AE3815" s="38"/>
      <c r="AF3815" s="38"/>
      <c r="AG3815" s="38"/>
      <c r="AH3815" s="60"/>
    </row>
    <row r="3816" spans="1:34" ht="15.75" customHeight="1">
      <c r="A3816" s="181"/>
      <c r="B3816" s="158" t="s">
        <v>13516</v>
      </c>
      <c r="C3816" s="37" t="s">
        <v>1470</v>
      </c>
      <c r="D3816" s="180" t="s">
        <v>13517</v>
      </c>
      <c r="E3816" s="20"/>
      <c r="F3816" s="19" t="s">
        <v>3286</v>
      </c>
      <c r="G3816" s="19" t="s">
        <v>1461</v>
      </c>
      <c r="H3816" s="37"/>
      <c r="I3816" s="37" t="s">
        <v>233</v>
      </c>
      <c r="J3816" s="155" t="str">
        <f t="shared" si="2"/>
        <v>NTT</v>
      </c>
      <c r="K3816" s="22"/>
      <c r="L3816" s="56">
        <v>45100</v>
      </c>
      <c r="O3816" s="42"/>
      <c r="P3816" s="40"/>
      <c r="Q3816" s="61"/>
      <c r="R3816" s="61"/>
      <c r="S3816" s="40"/>
      <c r="T3816" s="38"/>
      <c r="U3816" s="38"/>
      <c r="V3816" s="38"/>
      <c r="W3816" s="60"/>
      <c r="AB3816" s="42"/>
      <c r="AC3816" s="35"/>
      <c r="AD3816" s="38"/>
      <c r="AE3816" s="38"/>
      <c r="AF3816" s="38"/>
      <c r="AG3816" s="38"/>
      <c r="AH3816" s="60"/>
    </row>
    <row r="3817" spans="1:34" ht="15.75" customHeight="1">
      <c r="A3817" s="181"/>
      <c r="B3817" s="158" t="s">
        <v>13518</v>
      </c>
      <c r="C3817" s="37" t="s">
        <v>24</v>
      </c>
      <c r="D3817" s="180" t="s">
        <v>13519</v>
      </c>
      <c r="E3817" s="20" t="s">
        <v>13520</v>
      </c>
      <c r="F3817" s="19" t="s">
        <v>27</v>
      </c>
      <c r="G3817" s="19" t="s">
        <v>28</v>
      </c>
      <c r="H3817" s="37"/>
      <c r="I3817" s="37" t="s">
        <v>29</v>
      </c>
      <c r="J3817" s="155" t="str">
        <f t="shared" si="2"/>
        <v>TT</v>
      </c>
      <c r="K3817" s="22" t="s">
        <v>13521</v>
      </c>
      <c r="L3817" s="56">
        <v>45100</v>
      </c>
      <c r="O3817" s="42"/>
      <c r="P3817" s="40"/>
      <c r="Q3817" s="61"/>
      <c r="R3817" s="61"/>
      <c r="S3817" s="40"/>
      <c r="T3817" s="38"/>
      <c r="U3817" s="38"/>
      <c r="V3817" s="38"/>
      <c r="W3817" s="60"/>
      <c r="AB3817" s="42"/>
      <c r="AC3817" s="35"/>
      <c r="AD3817" s="38"/>
      <c r="AE3817" s="38"/>
      <c r="AF3817" s="38"/>
      <c r="AG3817" s="38"/>
      <c r="AH3817" s="60"/>
    </row>
    <row r="3818" spans="1:34" ht="15.75" customHeight="1">
      <c r="A3818" s="182"/>
      <c r="B3818" s="158" t="s">
        <v>13522</v>
      </c>
      <c r="C3818" s="37" t="s">
        <v>87</v>
      </c>
      <c r="D3818" s="180" t="s">
        <v>13523</v>
      </c>
      <c r="E3818" s="20" t="s">
        <v>13524</v>
      </c>
      <c r="F3818" s="19" t="s">
        <v>90</v>
      </c>
      <c r="G3818" s="19" t="s">
        <v>91</v>
      </c>
      <c r="H3818" s="37"/>
      <c r="I3818" s="37" t="s">
        <v>29</v>
      </c>
      <c r="J3818" s="155" t="str">
        <f t="shared" si="2"/>
        <v>TT</v>
      </c>
      <c r="K3818" s="22" t="s">
        <v>13525</v>
      </c>
      <c r="L3818" s="56">
        <v>45100</v>
      </c>
      <c r="O3818" s="42"/>
      <c r="P3818" s="40"/>
      <c r="Q3818" s="61"/>
      <c r="R3818" s="61"/>
      <c r="S3818" s="40"/>
      <c r="T3818" s="38"/>
      <c r="U3818" s="38"/>
      <c r="V3818" s="38"/>
      <c r="W3818" s="60"/>
      <c r="AB3818" s="42"/>
      <c r="AC3818" s="35"/>
      <c r="AD3818" s="38"/>
      <c r="AE3818" s="38"/>
      <c r="AF3818" s="38"/>
      <c r="AG3818" s="38"/>
      <c r="AH3818" s="60"/>
    </row>
    <row r="3819" spans="1:34" ht="15.75" customHeight="1">
      <c r="A3819" s="181"/>
      <c r="B3819" s="158" t="s">
        <v>13526</v>
      </c>
      <c r="C3819" s="37" t="s">
        <v>87</v>
      </c>
      <c r="D3819" s="180" t="s">
        <v>13527</v>
      </c>
      <c r="E3819" s="20" t="s">
        <v>13528</v>
      </c>
      <c r="F3819" s="19" t="s">
        <v>90</v>
      </c>
      <c r="G3819" s="19" t="s">
        <v>91</v>
      </c>
      <c r="H3819" s="37"/>
      <c r="I3819" s="37" t="s">
        <v>29</v>
      </c>
      <c r="J3819" s="155" t="str">
        <f t="shared" si="2"/>
        <v>TT</v>
      </c>
      <c r="K3819" s="22" t="s">
        <v>13529</v>
      </c>
      <c r="L3819" s="56">
        <v>45100</v>
      </c>
      <c r="O3819" s="42"/>
      <c r="P3819" s="40"/>
      <c r="Q3819" s="61"/>
      <c r="R3819" s="61"/>
      <c r="S3819" s="40"/>
      <c r="T3819" s="38"/>
      <c r="U3819" s="38"/>
      <c r="V3819" s="38"/>
      <c r="W3819" s="60"/>
      <c r="AB3819" s="42"/>
      <c r="AC3819" s="35"/>
      <c r="AD3819" s="38"/>
      <c r="AE3819" s="38"/>
      <c r="AF3819" s="38"/>
      <c r="AG3819" s="38"/>
      <c r="AH3819" s="60"/>
    </row>
    <row r="3820" spans="1:34" ht="15.75" customHeight="1">
      <c r="A3820" s="181"/>
      <c r="B3820" s="158" t="s">
        <v>13530</v>
      </c>
      <c r="C3820" s="37" t="s">
        <v>46</v>
      </c>
      <c r="D3820" s="180" t="s">
        <v>13531</v>
      </c>
      <c r="E3820" s="20" t="s">
        <v>13532</v>
      </c>
      <c r="F3820" s="37" t="s">
        <v>49</v>
      </c>
      <c r="G3820" s="19" t="s">
        <v>50</v>
      </c>
      <c r="H3820" s="37"/>
      <c r="I3820" s="37" t="s">
        <v>29</v>
      </c>
      <c r="J3820" s="155" t="str">
        <f t="shared" si="2"/>
        <v>TT</v>
      </c>
      <c r="K3820" s="22" t="s">
        <v>13533</v>
      </c>
      <c r="L3820" s="56">
        <v>45100</v>
      </c>
      <c r="O3820" s="42"/>
      <c r="P3820" s="40"/>
      <c r="Q3820" s="61"/>
      <c r="R3820" s="61"/>
      <c r="S3820" s="40"/>
      <c r="T3820" s="38"/>
      <c r="U3820" s="38"/>
      <c r="V3820" s="38"/>
      <c r="W3820" s="60"/>
      <c r="AB3820" s="42"/>
      <c r="AC3820" s="35"/>
      <c r="AD3820" s="38"/>
      <c r="AE3820" s="38"/>
      <c r="AF3820" s="38"/>
      <c r="AG3820" s="38"/>
      <c r="AH3820" s="60"/>
    </row>
    <row r="3821" spans="1:34" ht="15.75" customHeight="1">
      <c r="A3821" s="182"/>
      <c r="B3821" s="38"/>
      <c r="C3821" s="37"/>
      <c r="D3821" s="20"/>
      <c r="E3821" s="20"/>
      <c r="F3821" s="37"/>
      <c r="G3821" s="37"/>
      <c r="H3821" s="37"/>
      <c r="I3821" s="37"/>
      <c r="J3821" s="155">
        <f t="shared" si="2"/>
        <v>0</v>
      </c>
      <c r="K3821" s="22"/>
      <c r="L3821" s="39"/>
      <c r="O3821" s="42"/>
      <c r="P3821" s="40"/>
      <c r="Q3821" s="61"/>
      <c r="R3821" s="61"/>
      <c r="S3821" s="40"/>
      <c r="T3821" s="38"/>
      <c r="U3821" s="38"/>
      <c r="V3821" s="38"/>
      <c r="W3821" s="60"/>
      <c r="AB3821" s="42"/>
      <c r="AC3821" s="35"/>
      <c r="AD3821" s="38"/>
      <c r="AE3821" s="38"/>
      <c r="AF3821" s="38"/>
      <c r="AG3821" s="38"/>
      <c r="AH3821" s="60"/>
    </row>
    <row r="3822" spans="1:34" ht="15.75" customHeight="1">
      <c r="A3822" s="38" t="s">
        <v>13534</v>
      </c>
      <c r="B3822" s="159" t="s">
        <v>13535</v>
      </c>
      <c r="C3822" s="37" t="s">
        <v>24</v>
      </c>
      <c r="D3822" s="180" t="s">
        <v>13536</v>
      </c>
      <c r="E3822" s="180" t="s">
        <v>13537</v>
      </c>
      <c r="F3822" s="19" t="s">
        <v>27</v>
      </c>
      <c r="G3822" s="19" t="s">
        <v>28</v>
      </c>
      <c r="H3822" s="37"/>
      <c r="I3822" s="37" t="s">
        <v>29</v>
      </c>
      <c r="J3822" s="155" t="str">
        <f t="shared" si="2"/>
        <v>TT</v>
      </c>
      <c r="K3822" s="61" t="s">
        <v>13537</v>
      </c>
      <c r="L3822" s="56">
        <v>45100</v>
      </c>
      <c r="M3822" s="40"/>
      <c r="N3822" s="40"/>
      <c r="O3822" s="40"/>
      <c r="P3822" s="40"/>
      <c r="Q3822" s="20"/>
      <c r="R3822" s="20"/>
      <c r="S3822" s="40"/>
      <c r="T3822" s="40"/>
      <c r="U3822" s="40"/>
      <c r="V3822" s="38"/>
      <c r="W3822" s="60"/>
      <c r="AB3822" s="42"/>
      <c r="AC3822" s="35"/>
      <c r="AD3822" s="38"/>
      <c r="AE3822" s="38"/>
      <c r="AF3822" s="38"/>
      <c r="AG3822" s="38"/>
      <c r="AH3822" s="60"/>
    </row>
    <row r="3823" spans="1:34" ht="15.75" customHeight="1">
      <c r="A3823" s="54" t="s">
        <v>2714</v>
      </c>
      <c r="B3823" s="158" t="s">
        <v>13538</v>
      </c>
      <c r="C3823" s="37" t="s">
        <v>87</v>
      </c>
      <c r="D3823" s="180" t="s">
        <v>13539</v>
      </c>
      <c r="E3823" s="180"/>
      <c r="F3823" s="19" t="s">
        <v>90</v>
      </c>
      <c r="G3823" s="19" t="s">
        <v>91</v>
      </c>
      <c r="H3823" s="37"/>
      <c r="I3823" s="37" t="s">
        <v>29</v>
      </c>
      <c r="J3823" s="155" t="str">
        <f t="shared" si="2"/>
        <v>TT</v>
      </c>
      <c r="K3823" s="61"/>
      <c r="L3823" s="56">
        <v>45100</v>
      </c>
      <c r="M3823" s="40"/>
      <c r="N3823" s="40"/>
      <c r="O3823" s="40"/>
      <c r="P3823" s="40"/>
      <c r="Q3823" s="20"/>
      <c r="R3823" s="20"/>
      <c r="S3823" s="40"/>
      <c r="T3823" s="40"/>
      <c r="U3823" s="40"/>
      <c r="V3823" s="38"/>
      <c r="W3823" s="60"/>
      <c r="AB3823" s="42"/>
      <c r="AC3823" s="35"/>
      <c r="AD3823" s="38"/>
      <c r="AE3823" s="38"/>
      <c r="AF3823" s="38"/>
      <c r="AG3823" s="38"/>
      <c r="AH3823" s="60"/>
    </row>
    <row r="3824" spans="1:34" ht="15.75" customHeight="1">
      <c r="A3824" s="114" t="s">
        <v>39</v>
      </c>
      <c r="B3824" s="158" t="s">
        <v>13540</v>
      </c>
      <c r="C3824" s="37" t="s">
        <v>24</v>
      </c>
      <c r="D3824" s="180" t="s">
        <v>13541</v>
      </c>
      <c r="E3824" s="180" t="s">
        <v>13542</v>
      </c>
      <c r="F3824" s="19" t="s">
        <v>27</v>
      </c>
      <c r="G3824" s="19" t="s">
        <v>28</v>
      </c>
      <c r="H3824" s="37"/>
      <c r="I3824" s="37" t="s">
        <v>29</v>
      </c>
      <c r="J3824" s="155" t="str">
        <f t="shared" si="2"/>
        <v>TT</v>
      </c>
      <c r="K3824" s="61" t="s">
        <v>13543</v>
      </c>
      <c r="L3824" s="56">
        <v>45100</v>
      </c>
      <c r="M3824" s="40"/>
      <c r="N3824" s="40"/>
      <c r="O3824" s="40"/>
      <c r="P3824" s="40"/>
      <c r="Q3824" s="20"/>
      <c r="R3824" s="20"/>
      <c r="S3824" s="40"/>
      <c r="T3824" s="40"/>
      <c r="U3824" s="40"/>
      <c r="V3824" s="38"/>
      <c r="W3824" s="60"/>
      <c r="AB3824" s="42"/>
      <c r="AC3824" s="35"/>
      <c r="AD3824" s="38"/>
      <c r="AE3824" s="38"/>
      <c r="AF3824" s="38"/>
      <c r="AG3824" s="38"/>
      <c r="AH3824" s="60"/>
    </row>
    <row r="3825" spans="1:34" ht="15.75" customHeight="1">
      <c r="A3825" s="38" t="s">
        <v>13408</v>
      </c>
      <c r="B3825" s="158" t="s">
        <v>13544</v>
      </c>
      <c r="C3825" s="37" t="s">
        <v>87</v>
      </c>
      <c r="D3825" s="180" t="s">
        <v>13545</v>
      </c>
      <c r="E3825" s="180"/>
      <c r="F3825" s="19" t="s">
        <v>90</v>
      </c>
      <c r="G3825" s="19" t="s">
        <v>91</v>
      </c>
      <c r="H3825" s="37"/>
      <c r="I3825" s="37" t="s">
        <v>29</v>
      </c>
      <c r="J3825" s="155" t="str">
        <f t="shared" si="2"/>
        <v>TT</v>
      </c>
      <c r="K3825" s="61"/>
      <c r="L3825" s="56">
        <v>45100</v>
      </c>
      <c r="M3825" s="40"/>
      <c r="N3825" s="40"/>
      <c r="O3825" s="40"/>
      <c r="P3825" s="40"/>
      <c r="Q3825" s="20"/>
      <c r="R3825" s="20"/>
      <c r="S3825" s="40"/>
      <c r="T3825" s="40"/>
      <c r="U3825" s="40"/>
      <c r="V3825" s="38"/>
      <c r="W3825" s="60"/>
      <c r="AB3825" s="42"/>
      <c r="AC3825" s="35"/>
      <c r="AD3825" s="38"/>
      <c r="AE3825" s="38"/>
      <c r="AF3825" s="38"/>
      <c r="AG3825" s="38"/>
      <c r="AH3825" s="60"/>
    </row>
    <row r="3826" spans="1:34" ht="15.75" customHeight="1">
      <c r="A3826" s="38" t="s">
        <v>13546</v>
      </c>
      <c r="B3826" s="158" t="s">
        <v>13547</v>
      </c>
      <c r="C3826" s="37" t="s">
        <v>46</v>
      </c>
      <c r="D3826" s="180" t="s">
        <v>13548</v>
      </c>
      <c r="E3826" s="180" t="s">
        <v>13549</v>
      </c>
      <c r="F3826" s="37" t="s">
        <v>49</v>
      </c>
      <c r="G3826" s="19" t="s">
        <v>50</v>
      </c>
      <c r="H3826" s="37"/>
      <c r="I3826" s="37" t="s">
        <v>29</v>
      </c>
      <c r="J3826" s="155" t="str">
        <f t="shared" si="2"/>
        <v>TT</v>
      </c>
      <c r="K3826" s="61" t="s">
        <v>13550</v>
      </c>
      <c r="L3826" s="56">
        <v>45100</v>
      </c>
      <c r="M3826" s="40"/>
      <c r="N3826" s="40"/>
      <c r="O3826" s="40"/>
      <c r="P3826" s="40"/>
      <c r="Q3826" s="20"/>
      <c r="R3826" s="20"/>
      <c r="S3826" s="40"/>
      <c r="T3826" s="40"/>
      <c r="U3826" s="40"/>
      <c r="V3826" s="38"/>
      <c r="W3826" s="60"/>
      <c r="AB3826" s="42"/>
      <c r="AC3826" s="35"/>
      <c r="AD3826" s="38"/>
      <c r="AE3826" s="38"/>
      <c r="AF3826" s="38"/>
      <c r="AG3826" s="38"/>
      <c r="AH3826" s="60"/>
    </row>
    <row r="3827" spans="1:34" ht="15.75" customHeight="1">
      <c r="A3827" s="111" t="s">
        <v>56</v>
      </c>
      <c r="B3827" s="158" t="s">
        <v>13551</v>
      </c>
      <c r="C3827" s="37" t="s">
        <v>24</v>
      </c>
      <c r="D3827" s="180" t="s">
        <v>13552</v>
      </c>
      <c r="E3827" s="180" t="s">
        <v>13553</v>
      </c>
      <c r="F3827" s="19" t="s">
        <v>27</v>
      </c>
      <c r="G3827" s="19" t="s">
        <v>28</v>
      </c>
      <c r="H3827" s="37"/>
      <c r="I3827" s="37" t="s">
        <v>29</v>
      </c>
      <c r="J3827" s="155" t="str">
        <f t="shared" si="2"/>
        <v>TT</v>
      </c>
      <c r="K3827" s="61" t="s">
        <v>13553</v>
      </c>
      <c r="L3827" s="56">
        <v>45100</v>
      </c>
      <c r="M3827" s="40"/>
      <c r="N3827" s="40"/>
      <c r="O3827" s="40"/>
      <c r="P3827" s="40"/>
      <c r="Q3827" s="20"/>
      <c r="R3827" s="20"/>
      <c r="S3827" s="40"/>
      <c r="T3827" s="40"/>
      <c r="U3827" s="40"/>
      <c r="V3827" s="38"/>
      <c r="W3827" s="60"/>
      <c r="AB3827" s="42"/>
      <c r="AC3827" s="35"/>
      <c r="AD3827" s="38"/>
      <c r="AE3827" s="38"/>
      <c r="AF3827" s="38"/>
      <c r="AG3827" s="38"/>
      <c r="AH3827" s="60"/>
    </row>
    <row r="3828" spans="1:34" ht="15.75" customHeight="1">
      <c r="A3828" s="75">
        <v>47</v>
      </c>
      <c r="B3828" s="160" t="s">
        <v>13554</v>
      </c>
      <c r="C3828" s="37" t="s">
        <v>87</v>
      </c>
      <c r="D3828" s="180" t="s">
        <v>13555</v>
      </c>
      <c r="E3828" s="180" t="s">
        <v>13556</v>
      </c>
      <c r="F3828" s="37" t="s">
        <v>49</v>
      </c>
      <c r="G3828" s="19" t="s">
        <v>50</v>
      </c>
      <c r="H3828" s="37"/>
      <c r="I3828" s="37" t="s">
        <v>29</v>
      </c>
      <c r="J3828" s="155" t="str">
        <f t="shared" si="2"/>
        <v>TT</v>
      </c>
      <c r="K3828" s="61" t="s">
        <v>13556</v>
      </c>
      <c r="L3828" s="56">
        <v>45100</v>
      </c>
      <c r="M3828" s="40"/>
      <c r="N3828" s="40"/>
      <c r="O3828" s="40"/>
      <c r="P3828" s="40"/>
      <c r="Q3828" s="20"/>
      <c r="R3828" s="20"/>
      <c r="S3828" s="40"/>
      <c r="T3828" s="40"/>
      <c r="U3828" s="40"/>
      <c r="V3828" s="38"/>
      <c r="W3828" s="60"/>
      <c r="AB3828" s="42"/>
      <c r="AC3828" s="35"/>
      <c r="AD3828" s="38"/>
      <c r="AE3828" s="38"/>
      <c r="AF3828" s="38"/>
      <c r="AG3828" s="38"/>
      <c r="AH3828" s="60"/>
    </row>
    <row r="3829" spans="1:34" ht="15.75" customHeight="1">
      <c r="A3829" s="111" t="s">
        <v>64</v>
      </c>
      <c r="B3829" s="158" t="s">
        <v>13557</v>
      </c>
      <c r="C3829" s="37" t="s">
        <v>87</v>
      </c>
      <c r="D3829" s="180" t="s">
        <v>13558</v>
      </c>
      <c r="E3829" s="180" t="s">
        <v>13559</v>
      </c>
      <c r="F3829" s="19" t="s">
        <v>90</v>
      </c>
      <c r="G3829" s="19" t="s">
        <v>91</v>
      </c>
      <c r="H3829" s="37"/>
      <c r="I3829" s="37" t="s">
        <v>29</v>
      </c>
      <c r="J3829" s="155" t="str">
        <f t="shared" si="2"/>
        <v>TT</v>
      </c>
      <c r="K3829" s="61" t="s">
        <v>13559</v>
      </c>
      <c r="L3829" s="56">
        <v>45100</v>
      </c>
      <c r="M3829" s="40"/>
      <c r="N3829" s="40"/>
      <c r="O3829" s="40"/>
      <c r="P3829" s="40"/>
      <c r="Q3829" s="20"/>
      <c r="R3829" s="20"/>
      <c r="S3829" s="40"/>
      <c r="T3829" s="40"/>
      <c r="U3829" s="40"/>
      <c r="V3829" s="38"/>
      <c r="W3829" s="60"/>
      <c r="AB3829" s="42"/>
      <c r="AC3829" s="35"/>
      <c r="AD3829" s="38"/>
      <c r="AE3829" s="38"/>
      <c r="AF3829" s="38"/>
      <c r="AG3829" s="38"/>
      <c r="AH3829" s="60"/>
    </row>
    <row r="3830" spans="1:34" ht="15.75" customHeight="1">
      <c r="A3830" s="75">
        <v>2.5</v>
      </c>
      <c r="B3830" s="158" t="s">
        <v>13560</v>
      </c>
      <c r="C3830" s="37" t="s">
        <v>87</v>
      </c>
      <c r="D3830" s="180" t="s">
        <v>13561</v>
      </c>
      <c r="E3830" s="180" t="s">
        <v>13562</v>
      </c>
      <c r="F3830" s="19" t="s">
        <v>90</v>
      </c>
      <c r="G3830" s="19" t="s">
        <v>91</v>
      </c>
      <c r="H3830" s="37"/>
      <c r="I3830" s="37" t="s">
        <v>29</v>
      </c>
      <c r="J3830" s="155" t="str">
        <f t="shared" si="2"/>
        <v>TT</v>
      </c>
      <c r="K3830" s="61" t="s">
        <v>13562</v>
      </c>
      <c r="L3830" s="56">
        <v>45100</v>
      </c>
      <c r="M3830" s="40"/>
      <c r="N3830" s="40"/>
      <c r="O3830" s="40"/>
      <c r="P3830" s="40"/>
      <c r="Q3830" s="20"/>
      <c r="R3830" s="20"/>
      <c r="S3830" s="40"/>
      <c r="T3830" s="40"/>
      <c r="U3830" s="40"/>
      <c r="V3830" s="38"/>
      <c r="W3830" s="60"/>
      <c r="AB3830" s="42"/>
      <c r="AC3830" s="35"/>
      <c r="AD3830" s="38"/>
      <c r="AE3830" s="38"/>
      <c r="AF3830" s="38"/>
      <c r="AG3830" s="38"/>
      <c r="AH3830" s="60"/>
    </row>
    <row r="3831" spans="1:34" ht="15.75" customHeight="1">
      <c r="A3831" s="111" t="s">
        <v>73</v>
      </c>
      <c r="B3831" s="158" t="s">
        <v>13563</v>
      </c>
      <c r="C3831" s="37" t="s">
        <v>46</v>
      </c>
      <c r="D3831" s="180" t="s">
        <v>13564</v>
      </c>
      <c r="E3831" s="180" t="s">
        <v>13565</v>
      </c>
      <c r="F3831" s="37" t="s">
        <v>49</v>
      </c>
      <c r="G3831" s="19" t="s">
        <v>50</v>
      </c>
      <c r="H3831" s="37"/>
      <c r="I3831" s="37" t="s">
        <v>29</v>
      </c>
      <c r="J3831" s="155" t="str">
        <f t="shared" si="2"/>
        <v>TT</v>
      </c>
      <c r="K3831" s="61" t="s">
        <v>13566</v>
      </c>
      <c r="L3831" s="56">
        <v>45100</v>
      </c>
      <c r="M3831" s="40"/>
      <c r="N3831" s="40"/>
      <c r="O3831" s="40"/>
      <c r="P3831" s="40"/>
      <c r="Q3831" s="20"/>
      <c r="R3831" s="20"/>
      <c r="S3831" s="40"/>
      <c r="T3831" s="40"/>
      <c r="U3831" s="40"/>
      <c r="V3831" s="38"/>
      <c r="W3831" s="60"/>
      <c r="AB3831" s="42"/>
      <c r="AC3831" s="35"/>
      <c r="AD3831" s="38"/>
      <c r="AE3831" s="38"/>
      <c r="AF3831" s="38"/>
      <c r="AG3831" s="38"/>
      <c r="AH3831" s="60"/>
    </row>
    <row r="3832" spans="1:34" ht="15.75" customHeight="1">
      <c r="A3832" s="75">
        <v>2.8</v>
      </c>
      <c r="B3832" s="158" t="s">
        <v>13567</v>
      </c>
      <c r="C3832" s="37" t="s">
        <v>87</v>
      </c>
      <c r="D3832" s="180" t="s">
        <v>13568</v>
      </c>
      <c r="E3832" s="180" t="s">
        <v>13569</v>
      </c>
      <c r="F3832" s="19" t="s">
        <v>90</v>
      </c>
      <c r="G3832" s="19" t="s">
        <v>91</v>
      </c>
      <c r="H3832" s="37"/>
      <c r="I3832" s="37" t="s">
        <v>29</v>
      </c>
      <c r="J3832" s="155" t="str">
        <f t="shared" si="2"/>
        <v>TT</v>
      </c>
      <c r="K3832" s="61" t="s">
        <v>13569</v>
      </c>
      <c r="L3832" s="56">
        <v>45100</v>
      </c>
      <c r="M3832" s="40"/>
      <c r="N3832" s="40"/>
      <c r="O3832" s="40"/>
      <c r="P3832" s="40"/>
      <c r="Q3832" s="20"/>
      <c r="R3832" s="20"/>
      <c r="S3832" s="40"/>
      <c r="T3832" s="40"/>
      <c r="U3832" s="40"/>
      <c r="V3832" s="38"/>
      <c r="W3832" s="60"/>
      <c r="AB3832" s="42"/>
      <c r="AC3832" s="35"/>
      <c r="AD3832" s="38"/>
      <c r="AE3832" s="38"/>
      <c r="AF3832" s="38"/>
      <c r="AG3832" s="38"/>
      <c r="AH3832" s="60"/>
    </row>
    <row r="3833" spans="1:34" ht="15.75" customHeight="1">
      <c r="A3833" s="111" t="s">
        <v>82</v>
      </c>
      <c r="B3833" s="158" t="s">
        <v>13570</v>
      </c>
      <c r="C3833" s="37" t="s">
        <v>46</v>
      </c>
      <c r="D3833" s="180" t="s">
        <v>13571</v>
      </c>
      <c r="E3833" s="180" t="s">
        <v>13572</v>
      </c>
      <c r="F3833" s="37" t="s">
        <v>49</v>
      </c>
      <c r="G3833" s="19" t="s">
        <v>50</v>
      </c>
      <c r="H3833" s="37"/>
      <c r="I3833" s="37" t="s">
        <v>29</v>
      </c>
      <c r="J3833" s="155" t="str">
        <f t="shared" si="2"/>
        <v>TT</v>
      </c>
      <c r="K3833" s="61" t="s">
        <v>13572</v>
      </c>
      <c r="L3833" s="56">
        <v>45100</v>
      </c>
      <c r="M3833" s="40"/>
      <c r="N3833" s="40"/>
      <c r="O3833" s="40"/>
      <c r="P3833" s="40"/>
      <c r="Q3833" s="20"/>
      <c r="R3833" s="20"/>
      <c r="S3833" s="40"/>
      <c r="T3833" s="40"/>
      <c r="U3833" s="40"/>
      <c r="V3833" s="38"/>
      <c r="W3833" s="60"/>
      <c r="AB3833" s="42"/>
      <c r="AC3833" s="35"/>
      <c r="AD3833" s="38"/>
      <c r="AE3833" s="38"/>
      <c r="AF3833" s="38"/>
      <c r="AG3833" s="38"/>
      <c r="AH3833" s="60"/>
    </row>
    <row r="3834" spans="1:34" ht="15.75" customHeight="1">
      <c r="A3834" s="75" t="s">
        <v>13573</v>
      </c>
      <c r="B3834" s="158" t="s">
        <v>13574</v>
      </c>
      <c r="C3834" s="37" t="s">
        <v>46</v>
      </c>
      <c r="D3834" s="180" t="s">
        <v>13575</v>
      </c>
      <c r="E3834" s="180" t="s">
        <v>13572</v>
      </c>
      <c r="F3834" s="37" t="s">
        <v>49</v>
      </c>
      <c r="G3834" s="19" t="s">
        <v>50</v>
      </c>
      <c r="H3834" s="37"/>
      <c r="I3834" s="37" t="s">
        <v>29</v>
      </c>
      <c r="J3834" s="155" t="str">
        <f t="shared" si="2"/>
        <v>TT</v>
      </c>
      <c r="K3834" s="61" t="s">
        <v>13572</v>
      </c>
      <c r="L3834" s="56">
        <v>45100</v>
      </c>
      <c r="M3834" s="40"/>
      <c r="N3834" s="40"/>
      <c r="O3834" s="40"/>
      <c r="P3834" s="40"/>
      <c r="Q3834" s="20"/>
      <c r="R3834" s="20"/>
      <c r="S3834" s="40"/>
      <c r="T3834" s="40"/>
      <c r="U3834" s="40"/>
      <c r="V3834" s="38"/>
      <c r="W3834" s="60"/>
      <c r="AB3834" s="42"/>
      <c r="AC3834" s="35"/>
      <c r="AD3834" s="38"/>
      <c r="AE3834" s="38"/>
      <c r="AF3834" s="38"/>
      <c r="AG3834" s="38"/>
      <c r="AH3834" s="60"/>
    </row>
    <row r="3835" spans="1:34" ht="15.75" customHeight="1">
      <c r="A3835" s="111" t="s">
        <v>92</v>
      </c>
      <c r="B3835" s="158" t="s">
        <v>13576</v>
      </c>
      <c r="C3835" s="37" t="s">
        <v>24</v>
      </c>
      <c r="D3835" s="180" t="s">
        <v>13577</v>
      </c>
      <c r="E3835" s="180" t="s">
        <v>13578</v>
      </c>
      <c r="F3835" s="19" t="s">
        <v>27</v>
      </c>
      <c r="G3835" s="19" t="s">
        <v>28</v>
      </c>
      <c r="H3835" s="37"/>
      <c r="I3835" s="37" t="s">
        <v>29</v>
      </c>
      <c r="J3835" s="155" t="str">
        <f t="shared" si="2"/>
        <v>TT</v>
      </c>
      <c r="K3835" s="61" t="s">
        <v>13578</v>
      </c>
      <c r="L3835" s="56">
        <v>45100</v>
      </c>
      <c r="M3835" s="40"/>
      <c r="N3835" s="40"/>
      <c r="O3835" s="40"/>
      <c r="P3835" s="40"/>
      <c r="Q3835" s="20"/>
      <c r="R3835" s="20"/>
      <c r="S3835" s="40"/>
      <c r="T3835" s="40"/>
      <c r="U3835" s="40"/>
      <c r="V3835" s="38"/>
      <c r="W3835" s="60"/>
      <c r="AB3835" s="42"/>
      <c r="AC3835" s="35"/>
      <c r="AD3835" s="38"/>
      <c r="AE3835" s="38"/>
      <c r="AF3835" s="38"/>
      <c r="AG3835" s="38"/>
      <c r="AH3835" s="60"/>
    </row>
    <row r="3836" spans="1:34" ht="15.75" customHeight="1">
      <c r="A3836" s="112">
        <v>443</v>
      </c>
      <c r="B3836" s="158" t="s">
        <v>13579</v>
      </c>
      <c r="C3836" s="37" t="s">
        <v>87</v>
      </c>
      <c r="D3836" s="180" t="s">
        <v>13580</v>
      </c>
      <c r="E3836" s="180" t="s">
        <v>13581</v>
      </c>
      <c r="F3836" s="19" t="s">
        <v>90</v>
      </c>
      <c r="G3836" s="19" t="s">
        <v>91</v>
      </c>
      <c r="H3836" s="37"/>
      <c r="I3836" s="37" t="s">
        <v>29</v>
      </c>
      <c r="J3836" s="155" t="str">
        <f t="shared" si="2"/>
        <v>TT</v>
      </c>
      <c r="K3836" s="61" t="s">
        <v>13582</v>
      </c>
      <c r="L3836" s="56">
        <v>45100</v>
      </c>
      <c r="M3836" s="40"/>
      <c r="N3836" s="40"/>
      <c r="O3836" s="40"/>
      <c r="P3836" s="40"/>
      <c r="Q3836" s="20"/>
      <c r="R3836" s="20"/>
      <c r="S3836" s="40"/>
      <c r="T3836" s="40"/>
      <c r="U3836" s="40"/>
      <c r="V3836" s="38"/>
      <c r="W3836" s="60"/>
      <c r="AB3836" s="42"/>
      <c r="AC3836" s="35"/>
      <c r="AD3836" s="38"/>
      <c r="AE3836" s="38"/>
      <c r="AF3836" s="38"/>
      <c r="AG3836" s="38"/>
      <c r="AH3836" s="60"/>
    </row>
    <row r="3837" spans="1:34" ht="15.75" customHeight="1">
      <c r="A3837" s="111" t="s">
        <v>100</v>
      </c>
      <c r="B3837" s="160" t="s">
        <v>13583</v>
      </c>
      <c r="C3837" s="37" t="s">
        <v>121</v>
      </c>
      <c r="D3837" s="180" t="s">
        <v>13584</v>
      </c>
      <c r="E3837" s="180" t="s">
        <v>13585</v>
      </c>
      <c r="F3837" s="37" t="s">
        <v>49</v>
      </c>
      <c r="G3837" s="19" t="s">
        <v>50</v>
      </c>
      <c r="H3837" s="37"/>
      <c r="I3837" s="37" t="s">
        <v>29</v>
      </c>
      <c r="J3837" s="155" t="str">
        <f t="shared" si="2"/>
        <v>TT</v>
      </c>
      <c r="K3837" s="61" t="s">
        <v>13586</v>
      </c>
      <c r="L3837" s="56">
        <v>45100</v>
      </c>
      <c r="M3837" s="40"/>
      <c r="N3837" s="40"/>
      <c r="O3837" s="40"/>
      <c r="P3837" s="40"/>
      <c r="Q3837" s="20"/>
      <c r="R3837" s="20"/>
      <c r="S3837" s="40"/>
      <c r="T3837" s="40"/>
      <c r="U3837" s="40"/>
      <c r="V3837" s="38"/>
      <c r="W3837" s="60"/>
      <c r="AB3837" s="42"/>
      <c r="AC3837" s="35"/>
      <c r="AD3837" s="38"/>
      <c r="AE3837" s="38"/>
      <c r="AF3837" s="38"/>
      <c r="AG3837" s="38"/>
      <c r="AH3837" s="60"/>
    </row>
    <row r="3838" spans="1:34" ht="15.75" customHeight="1">
      <c r="A3838" s="75">
        <v>164</v>
      </c>
      <c r="B3838" s="158" t="s">
        <v>13587</v>
      </c>
      <c r="C3838" s="37" t="s">
        <v>87</v>
      </c>
      <c r="D3838" s="180" t="s">
        <v>13588</v>
      </c>
      <c r="E3838" s="180" t="s">
        <v>2790</v>
      </c>
      <c r="F3838" s="19" t="s">
        <v>90</v>
      </c>
      <c r="G3838" s="19" t="s">
        <v>91</v>
      </c>
      <c r="H3838" s="37"/>
      <c r="I3838" s="37" t="s">
        <v>29</v>
      </c>
      <c r="J3838" s="155" t="str">
        <f t="shared" si="2"/>
        <v>TT</v>
      </c>
      <c r="K3838" s="61" t="s">
        <v>2790</v>
      </c>
      <c r="L3838" s="56">
        <v>45100</v>
      </c>
      <c r="M3838" s="40"/>
      <c r="N3838" s="40"/>
      <c r="O3838" s="40"/>
      <c r="P3838" s="40"/>
      <c r="Q3838" s="20"/>
      <c r="R3838" s="20"/>
      <c r="S3838" s="40"/>
      <c r="T3838" s="40"/>
      <c r="U3838" s="40"/>
      <c r="V3838" s="38"/>
      <c r="W3838" s="60"/>
      <c r="AB3838" s="42"/>
      <c r="AC3838" s="35"/>
      <c r="AD3838" s="38"/>
      <c r="AE3838" s="38"/>
      <c r="AF3838" s="38"/>
      <c r="AG3838" s="38"/>
      <c r="AH3838" s="60"/>
    </row>
    <row r="3839" spans="1:34" ht="15.75" customHeight="1">
      <c r="A3839" s="18"/>
      <c r="B3839" s="158" t="s">
        <v>13589</v>
      </c>
      <c r="C3839" s="37" t="s">
        <v>46</v>
      </c>
      <c r="D3839" s="180" t="s">
        <v>13590</v>
      </c>
      <c r="E3839" s="180" t="s">
        <v>13591</v>
      </c>
      <c r="F3839" s="37" t="s">
        <v>49</v>
      </c>
      <c r="G3839" s="19" t="s">
        <v>50</v>
      </c>
      <c r="H3839" s="37"/>
      <c r="I3839" s="37" t="s">
        <v>29</v>
      </c>
      <c r="J3839" s="155" t="str">
        <f t="shared" si="2"/>
        <v>TT</v>
      </c>
      <c r="K3839" s="61" t="s">
        <v>13591</v>
      </c>
      <c r="L3839" s="56">
        <v>45100</v>
      </c>
      <c r="M3839" s="40"/>
      <c r="N3839" s="40"/>
      <c r="O3839" s="40"/>
      <c r="P3839" s="40"/>
      <c r="Q3839" s="20"/>
      <c r="R3839" s="20"/>
      <c r="S3839" s="40"/>
      <c r="T3839" s="40"/>
      <c r="U3839" s="40"/>
      <c r="V3839" s="38"/>
      <c r="W3839" s="60"/>
      <c r="AB3839" s="42"/>
      <c r="AC3839" s="35"/>
      <c r="AD3839" s="38"/>
      <c r="AE3839" s="38"/>
      <c r="AF3839" s="38"/>
      <c r="AG3839" s="38"/>
      <c r="AH3839" s="60"/>
    </row>
    <row r="3840" spans="1:34" ht="15.75" customHeight="1">
      <c r="A3840" s="18"/>
      <c r="B3840" s="158" t="s">
        <v>13592</v>
      </c>
      <c r="C3840" s="37" t="s">
        <v>46</v>
      </c>
      <c r="D3840" s="180" t="s">
        <v>13593</v>
      </c>
      <c r="E3840" s="180" t="s">
        <v>13594</v>
      </c>
      <c r="F3840" s="37" t="s">
        <v>49</v>
      </c>
      <c r="G3840" s="19" t="s">
        <v>50</v>
      </c>
      <c r="H3840" s="37"/>
      <c r="I3840" s="37" t="s">
        <v>29</v>
      </c>
      <c r="J3840" s="155" t="str">
        <f t="shared" si="2"/>
        <v>TT</v>
      </c>
      <c r="K3840" s="61" t="s">
        <v>13594</v>
      </c>
      <c r="L3840" s="56">
        <v>45100</v>
      </c>
      <c r="M3840" s="40"/>
      <c r="N3840" s="40"/>
      <c r="O3840" s="40"/>
      <c r="P3840" s="40"/>
      <c r="Q3840" s="20"/>
      <c r="R3840" s="20"/>
      <c r="S3840" s="40"/>
      <c r="T3840" s="40"/>
      <c r="U3840" s="40"/>
      <c r="V3840" s="38"/>
      <c r="W3840" s="60"/>
      <c r="AB3840" s="42"/>
      <c r="AC3840" s="35"/>
      <c r="AD3840" s="38"/>
      <c r="AE3840" s="38"/>
      <c r="AF3840" s="38"/>
      <c r="AG3840" s="38"/>
      <c r="AH3840" s="60"/>
    </row>
    <row r="3841" spans="1:34" ht="15.75" customHeight="1">
      <c r="A3841" s="183"/>
      <c r="B3841" s="158" t="s">
        <v>13595</v>
      </c>
      <c r="C3841" s="37" t="s">
        <v>87</v>
      </c>
      <c r="D3841" s="180" t="s">
        <v>13596</v>
      </c>
      <c r="E3841" s="180" t="s">
        <v>13597</v>
      </c>
      <c r="F3841" s="19" t="s">
        <v>90</v>
      </c>
      <c r="G3841" s="19" t="s">
        <v>91</v>
      </c>
      <c r="H3841" s="37"/>
      <c r="I3841" s="37" t="s">
        <v>29</v>
      </c>
      <c r="J3841" s="155" t="str">
        <f t="shared" si="2"/>
        <v>TT</v>
      </c>
      <c r="K3841" s="61" t="s">
        <v>13597</v>
      </c>
      <c r="L3841" s="56">
        <v>45100</v>
      </c>
      <c r="M3841" s="40"/>
      <c r="N3841" s="40"/>
      <c r="O3841" s="40"/>
      <c r="P3841" s="40"/>
      <c r="Q3841" s="20"/>
      <c r="R3841" s="20"/>
      <c r="S3841" s="40"/>
      <c r="T3841" s="40"/>
      <c r="U3841" s="40"/>
      <c r="V3841" s="38"/>
      <c r="W3841" s="60"/>
      <c r="AB3841" s="42"/>
      <c r="AC3841" s="35"/>
      <c r="AD3841" s="38"/>
      <c r="AE3841" s="38"/>
      <c r="AF3841" s="38"/>
      <c r="AG3841" s="38"/>
      <c r="AH3841" s="60"/>
    </row>
    <row r="3842" spans="1:34" ht="15.75" customHeight="1">
      <c r="A3842" s="183"/>
      <c r="B3842" s="158" t="s">
        <v>13598</v>
      </c>
      <c r="C3842" s="37" t="s">
        <v>46</v>
      </c>
      <c r="D3842" s="180" t="s">
        <v>13599</v>
      </c>
      <c r="E3842" s="180"/>
      <c r="F3842" s="37" t="s">
        <v>49</v>
      </c>
      <c r="G3842" s="19" t="s">
        <v>50</v>
      </c>
      <c r="H3842" s="37"/>
      <c r="I3842" s="37" t="s">
        <v>29</v>
      </c>
      <c r="J3842" s="155" t="str">
        <f t="shared" si="2"/>
        <v>TT</v>
      </c>
      <c r="K3842" s="61"/>
      <c r="L3842" s="56">
        <v>45100</v>
      </c>
      <c r="M3842" s="184"/>
      <c r="N3842" s="184"/>
      <c r="O3842" s="184"/>
      <c r="P3842" s="184"/>
      <c r="Q3842" s="185"/>
      <c r="R3842" s="185"/>
      <c r="S3842" s="184"/>
      <c r="T3842" s="184"/>
      <c r="U3842" s="184"/>
      <c r="V3842" s="38"/>
      <c r="W3842" s="60"/>
      <c r="AB3842" s="42"/>
      <c r="AC3842" s="35"/>
      <c r="AD3842" s="38"/>
      <c r="AE3842" s="38"/>
      <c r="AF3842" s="38"/>
      <c r="AG3842" s="38"/>
      <c r="AH3842" s="60"/>
    </row>
    <row r="3843" spans="1:34" ht="15.75" customHeight="1">
      <c r="A3843" s="18"/>
      <c r="B3843" s="158" t="s">
        <v>13600</v>
      </c>
      <c r="C3843" s="37" t="s">
        <v>46</v>
      </c>
      <c r="D3843" s="180" t="s">
        <v>13601</v>
      </c>
      <c r="E3843" s="180"/>
      <c r="F3843" s="37" t="s">
        <v>49</v>
      </c>
      <c r="G3843" s="19" t="s">
        <v>50</v>
      </c>
      <c r="H3843" s="37"/>
      <c r="I3843" s="37" t="s">
        <v>29</v>
      </c>
      <c r="J3843" s="155" t="str">
        <f t="shared" si="2"/>
        <v>TT</v>
      </c>
      <c r="K3843" s="61"/>
      <c r="L3843" s="56">
        <v>45100</v>
      </c>
      <c r="M3843" s="184"/>
      <c r="N3843" s="184"/>
      <c r="O3843" s="184"/>
      <c r="P3843" s="184"/>
      <c r="Q3843" s="185"/>
      <c r="R3843" s="185"/>
      <c r="S3843" s="184"/>
      <c r="T3843" s="184"/>
      <c r="U3843" s="184"/>
      <c r="V3843" s="38"/>
      <c r="W3843" s="60"/>
      <c r="AB3843" s="42"/>
      <c r="AC3843" s="35"/>
      <c r="AD3843" s="38"/>
      <c r="AE3843" s="38"/>
      <c r="AF3843" s="38"/>
      <c r="AG3843" s="38"/>
      <c r="AH3843" s="60"/>
    </row>
    <row r="3844" spans="1:34" ht="15.75" customHeight="1">
      <c r="A3844" s="133"/>
      <c r="B3844" s="158" t="s">
        <v>13602</v>
      </c>
      <c r="C3844" s="37" t="s">
        <v>24</v>
      </c>
      <c r="D3844" s="180" t="s">
        <v>13603</v>
      </c>
      <c r="E3844" s="180" t="s">
        <v>13604</v>
      </c>
      <c r="F3844" s="19" t="s">
        <v>27</v>
      </c>
      <c r="G3844" s="19" t="s">
        <v>28</v>
      </c>
      <c r="H3844" s="37"/>
      <c r="I3844" s="37" t="s">
        <v>29</v>
      </c>
      <c r="J3844" s="155" t="str">
        <f t="shared" si="2"/>
        <v>TT</v>
      </c>
      <c r="K3844" s="61" t="s">
        <v>13605</v>
      </c>
      <c r="L3844" s="56">
        <v>45100</v>
      </c>
      <c r="M3844" s="40"/>
      <c r="N3844" s="40"/>
      <c r="O3844" s="40"/>
      <c r="P3844" s="40"/>
      <c r="Q3844" s="20"/>
      <c r="R3844" s="20"/>
      <c r="S3844" s="40"/>
      <c r="T3844" s="40"/>
      <c r="U3844" s="40"/>
      <c r="V3844" s="38"/>
      <c r="W3844" s="60"/>
      <c r="AB3844" s="42"/>
      <c r="AC3844" s="35"/>
      <c r="AD3844" s="38"/>
      <c r="AE3844" s="38"/>
      <c r="AF3844" s="38"/>
      <c r="AG3844" s="38"/>
      <c r="AH3844" s="60"/>
    </row>
    <row r="3845" spans="1:34" ht="15.75" customHeight="1">
      <c r="A3845" s="18"/>
      <c r="B3845" s="158" t="s">
        <v>13606</v>
      </c>
      <c r="C3845" s="37" t="s">
        <v>24</v>
      </c>
      <c r="D3845" s="180" t="s">
        <v>13607</v>
      </c>
      <c r="E3845" s="180" t="s">
        <v>13608</v>
      </c>
      <c r="F3845" s="19" t="s">
        <v>27</v>
      </c>
      <c r="G3845" s="19" t="s">
        <v>28</v>
      </c>
      <c r="H3845" s="37"/>
      <c r="I3845" s="37" t="s">
        <v>29</v>
      </c>
      <c r="J3845" s="155" t="str">
        <f t="shared" si="2"/>
        <v>TT</v>
      </c>
      <c r="K3845" s="61" t="s">
        <v>13609</v>
      </c>
      <c r="L3845" s="56">
        <v>45100</v>
      </c>
      <c r="M3845" s="40"/>
      <c r="N3845" s="40"/>
      <c r="O3845" s="40"/>
      <c r="P3845" s="40"/>
      <c r="Q3845" s="20"/>
      <c r="R3845" s="20"/>
      <c r="S3845" s="40"/>
      <c r="T3845" s="40"/>
      <c r="U3845" s="40"/>
      <c r="V3845" s="38"/>
      <c r="W3845" s="60"/>
      <c r="AB3845" s="42"/>
      <c r="AC3845" s="35"/>
      <c r="AD3845" s="38"/>
      <c r="AE3845" s="38"/>
      <c r="AF3845" s="38"/>
      <c r="AG3845" s="38"/>
      <c r="AH3845" s="60"/>
    </row>
    <row r="3846" spans="1:34" ht="15.75" customHeight="1">
      <c r="A3846" s="18"/>
      <c r="B3846" s="158" t="s">
        <v>13610</v>
      </c>
      <c r="C3846" s="37" t="s">
        <v>24</v>
      </c>
      <c r="D3846" s="180" t="s">
        <v>13611</v>
      </c>
      <c r="E3846" s="180" t="s">
        <v>13612</v>
      </c>
      <c r="F3846" s="19" t="s">
        <v>27</v>
      </c>
      <c r="G3846" s="19" t="s">
        <v>28</v>
      </c>
      <c r="H3846" s="37"/>
      <c r="I3846" s="37" t="s">
        <v>29</v>
      </c>
      <c r="J3846" s="155" t="str">
        <f t="shared" si="2"/>
        <v>TT</v>
      </c>
      <c r="K3846" s="61" t="s">
        <v>13612</v>
      </c>
      <c r="L3846" s="56">
        <v>45100</v>
      </c>
      <c r="M3846" s="40"/>
      <c r="N3846" s="40"/>
      <c r="O3846" s="40"/>
      <c r="P3846" s="40"/>
      <c r="Q3846" s="20"/>
      <c r="R3846" s="20"/>
      <c r="S3846" s="40"/>
      <c r="T3846" s="40"/>
      <c r="U3846" s="40"/>
      <c r="V3846" s="38"/>
      <c r="W3846" s="60"/>
      <c r="AB3846" s="42"/>
      <c r="AC3846" s="35"/>
      <c r="AD3846" s="38"/>
      <c r="AE3846" s="38"/>
      <c r="AF3846" s="38"/>
      <c r="AG3846" s="38"/>
      <c r="AH3846" s="60"/>
    </row>
    <row r="3847" spans="1:34" ht="15.75" customHeight="1">
      <c r="A3847" s="18"/>
      <c r="B3847" s="158" t="s">
        <v>13613</v>
      </c>
      <c r="C3847" s="37" t="s">
        <v>87</v>
      </c>
      <c r="D3847" s="180" t="s">
        <v>13614</v>
      </c>
      <c r="E3847" s="180" t="s">
        <v>13615</v>
      </c>
      <c r="F3847" s="19" t="s">
        <v>90</v>
      </c>
      <c r="G3847" s="19" t="s">
        <v>91</v>
      </c>
      <c r="H3847" s="37"/>
      <c r="I3847" s="37" t="s">
        <v>29</v>
      </c>
      <c r="J3847" s="155" t="str">
        <f t="shared" si="2"/>
        <v>TT</v>
      </c>
      <c r="K3847" s="61" t="s">
        <v>13615</v>
      </c>
      <c r="L3847" s="56">
        <v>45100</v>
      </c>
      <c r="M3847" s="40"/>
      <c r="N3847" s="40"/>
      <c r="O3847" s="40"/>
      <c r="P3847" s="40"/>
      <c r="Q3847" s="20"/>
      <c r="R3847" s="20"/>
      <c r="S3847" s="40"/>
      <c r="T3847" s="40"/>
      <c r="U3847" s="40"/>
      <c r="V3847" s="38"/>
      <c r="W3847" s="60"/>
      <c r="AB3847" s="42"/>
      <c r="AC3847" s="35"/>
      <c r="AD3847" s="38"/>
      <c r="AE3847" s="38"/>
      <c r="AF3847" s="38"/>
      <c r="AG3847" s="38"/>
      <c r="AH3847" s="60"/>
    </row>
    <row r="3848" spans="1:34" ht="15.75" customHeight="1">
      <c r="A3848" s="133"/>
      <c r="B3848" s="158" t="s">
        <v>13616</v>
      </c>
      <c r="C3848" s="37" t="s">
        <v>46</v>
      </c>
      <c r="D3848" s="180" t="s">
        <v>13617</v>
      </c>
      <c r="E3848" s="180" t="s">
        <v>13618</v>
      </c>
      <c r="F3848" s="37" t="s">
        <v>49</v>
      </c>
      <c r="G3848" s="19" t="s">
        <v>50</v>
      </c>
      <c r="H3848" s="37"/>
      <c r="I3848" s="37" t="s">
        <v>29</v>
      </c>
      <c r="J3848" s="155" t="str">
        <f t="shared" si="2"/>
        <v>TT</v>
      </c>
      <c r="K3848" s="61" t="s">
        <v>13618</v>
      </c>
      <c r="L3848" s="56">
        <v>45100</v>
      </c>
      <c r="M3848" s="40"/>
      <c r="N3848" s="40"/>
      <c r="O3848" s="40"/>
      <c r="P3848" s="40"/>
      <c r="Q3848" s="20"/>
      <c r="R3848" s="20"/>
      <c r="S3848" s="40"/>
      <c r="T3848" s="40"/>
      <c r="U3848" s="40"/>
      <c r="V3848" s="38"/>
      <c r="W3848" s="60"/>
      <c r="AB3848" s="42"/>
      <c r="AC3848" s="35"/>
      <c r="AD3848" s="38"/>
      <c r="AE3848" s="38"/>
      <c r="AF3848" s="38"/>
      <c r="AG3848" s="38"/>
      <c r="AH3848" s="60"/>
    </row>
    <row r="3849" spans="1:34" ht="15.75" customHeight="1">
      <c r="A3849" s="183"/>
      <c r="B3849" s="160" t="s">
        <v>13619</v>
      </c>
      <c r="C3849" s="37" t="s">
        <v>87</v>
      </c>
      <c r="D3849" s="180" t="s">
        <v>13620</v>
      </c>
      <c r="E3849" s="180" t="s">
        <v>13621</v>
      </c>
      <c r="F3849" s="37" t="s">
        <v>49</v>
      </c>
      <c r="G3849" s="19" t="s">
        <v>50</v>
      </c>
      <c r="H3849" s="37"/>
      <c r="I3849" s="37" t="s">
        <v>29</v>
      </c>
      <c r="J3849" s="155" t="str">
        <f t="shared" si="2"/>
        <v>TT</v>
      </c>
      <c r="K3849" s="61" t="s">
        <v>13621</v>
      </c>
      <c r="L3849" s="56">
        <v>45100</v>
      </c>
      <c r="M3849" s="40"/>
      <c r="N3849" s="40"/>
      <c r="O3849" s="40"/>
      <c r="P3849" s="40"/>
      <c r="Q3849" s="20"/>
      <c r="R3849" s="20"/>
      <c r="S3849" s="40"/>
      <c r="T3849" s="40"/>
      <c r="U3849" s="40"/>
      <c r="V3849" s="38"/>
      <c r="W3849" s="60"/>
      <c r="AB3849" s="42"/>
      <c r="AC3849" s="35"/>
      <c r="AD3849" s="38"/>
      <c r="AE3849" s="38"/>
      <c r="AF3849" s="38"/>
      <c r="AG3849" s="38"/>
      <c r="AH3849" s="60"/>
    </row>
    <row r="3850" spans="1:34" ht="15.75" customHeight="1">
      <c r="A3850" s="183"/>
      <c r="B3850" s="158" t="s">
        <v>13622</v>
      </c>
      <c r="C3850" s="37" t="s">
        <v>87</v>
      </c>
      <c r="D3850" s="180" t="s">
        <v>13623</v>
      </c>
      <c r="E3850" s="180" t="s">
        <v>13624</v>
      </c>
      <c r="F3850" s="19" t="s">
        <v>90</v>
      </c>
      <c r="G3850" s="19" t="s">
        <v>91</v>
      </c>
      <c r="H3850" s="37"/>
      <c r="I3850" s="37" t="s">
        <v>29</v>
      </c>
      <c r="J3850" s="155" t="str">
        <f t="shared" si="2"/>
        <v>TT</v>
      </c>
      <c r="K3850" s="61" t="s">
        <v>13624</v>
      </c>
      <c r="L3850" s="56">
        <v>45100</v>
      </c>
      <c r="M3850" s="40"/>
      <c r="N3850" s="40"/>
      <c r="O3850" s="40"/>
      <c r="P3850" s="40"/>
      <c r="Q3850" s="20"/>
      <c r="R3850" s="20"/>
      <c r="S3850" s="40"/>
      <c r="T3850" s="40"/>
      <c r="U3850" s="40"/>
      <c r="V3850" s="38"/>
      <c r="W3850" s="60"/>
      <c r="AB3850" s="42"/>
      <c r="AC3850" s="35"/>
      <c r="AD3850" s="38"/>
      <c r="AE3850" s="38"/>
      <c r="AF3850" s="38"/>
      <c r="AG3850" s="38"/>
      <c r="AH3850" s="60"/>
    </row>
    <row r="3851" spans="1:34" ht="15.75" customHeight="1">
      <c r="A3851" s="18"/>
      <c r="B3851" s="158" t="s">
        <v>13625</v>
      </c>
      <c r="C3851" s="37" t="s">
        <v>87</v>
      </c>
      <c r="D3851" s="180" t="s">
        <v>13626</v>
      </c>
      <c r="E3851" s="180" t="s">
        <v>13627</v>
      </c>
      <c r="F3851" s="19" t="s">
        <v>90</v>
      </c>
      <c r="G3851" s="19" t="s">
        <v>91</v>
      </c>
      <c r="H3851" s="37"/>
      <c r="I3851" s="37" t="s">
        <v>29</v>
      </c>
      <c r="J3851" s="155" t="str">
        <f t="shared" si="2"/>
        <v>TT</v>
      </c>
      <c r="K3851" s="61" t="s">
        <v>13627</v>
      </c>
      <c r="L3851" s="56">
        <v>45100</v>
      </c>
      <c r="M3851" s="40"/>
      <c r="N3851" s="40"/>
      <c r="O3851" s="40"/>
      <c r="P3851" s="40"/>
      <c r="Q3851" s="20"/>
      <c r="R3851" s="20"/>
      <c r="S3851" s="40"/>
      <c r="T3851" s="40"/>
      <c r="U3851" s="40"/>
      <c r="V3851" s="38"/>
      <c r="W3851" s="60"/>
      <c r="AB3851" s="42"/>
      <c r="AC3851" s="35"/>
      <c r="AD3851" s="38"/>
      <c r="AE3851" s="38"/>
      <c r="AF3851" s="38"/>
      <c r="AG3851" s="38"/>
      <c r="AH3851" s="60"/>
    </row>
    <row r="3852" spans="1:34" ht="15.75" customHeight="1">
      <c r="A3852" s="133"/>
      <c r="B3852" s="158" t="s">
        <v>13628</v>
      </c>
      <c r="C3852" s="37" t="s">
        <v>87</v>
      </c>
      <c r="D3852" s="180" t="s">
        <v>13629</v>
      </c>
      <c r="E3852" s="180" t="s">
        <v>13630</v>
      </c>
      <c r="F3852" s="19" t="s">
        <v>90</v>
      </c>
      <c r="G3852" s="19" t="s">
        <v>91</v>
      </c>
      <c r="H3852" s="37"/>
      <c r="I3852" s="37" t="s">
        <v>29</v>
      </c>
      <c r="J3852" s="155" t="str">
        <f t="shared" si="2"/>
        <v>TT</v>
      </c>
      <c r="K3852" s="61" t="s">
        <v>13631</v>
      </c>
      <c r="L3852" s="56">
        <v>45100</v>
      </c>
      <c r="M3852" s="40"/>
      <c r="N3852" s="40"/>
      <c r="O3852" s="40"/>
      <c r="P3852" s="40"/>
      <c r="Q3852" s="20"/>
      <c r="R3852" s="20"/>
      <c r="S3852" s="40"/>
      <c r="T3852" s="40"/>
      <c r="U3852" s="40"/>
      <c r="V3852" s="38"/>
      <c r="W3852" s="60"/>
      <c r="AB3852" s="42"/>
      <c r="AC3852" s="35"/>
      <c r="AD3852" s="38"/>
      <c r="AE3852" s="38"/>
      <c r="AF3852" s="38"/>
      <c r="AG3852" s="38"/>
      <c r="AH3852" s="60"/>
    </row>
    <row r="3853" spans="1:34" ht="15.75" customHeight="1">
      <c r="A3853" s="18"/>
      <c r="B3853" s="158" t="s">
        <v>13632</v>
      </c>
      <c r="C3853" s="37" t="s">
        <v>46</v>
      </c>
      <c r="D3853" s="180" t="s">
        <v>13633</v>
      </c>
      <c r="E3853" s="180" t="s">
        <v>13634</v>
      </c>
      <c r="F3853" s="37" t="s">
        <v>49</v>
      </c>
      <c r="G3853" s="19" t="s">
        <v>50</v>
      </c>
      <c r="H3853" s="37"/>
      <c r="I3853" s="37" t="s">
        <v>29</v>
      </c>
      <c r="J3853" s="155" t="str">
        <f t="shared" si="2"/>
        <v>TT</v>
      </c>
      <c r="K3853" s="61" t="s">
        <v>13635</v>
      </c>
      <c r="L3853" s="56">
        <v>45100</v>
      </c>
      <c r="M3853" s="186"/>
      <c r="N3853" s="186"/>
      <c r="O3853" s="186"/>
      <c r="P3853" s="186"/>
      <c r="Q3853" s="187"/>
      <c r="R3853" s="187"/>
      <c r="S3853" s="186"/>
      <c r="T3853" s="186"/>
      <c r="U3853" s="186"/>
      <c r="V3853" s="38"/>
      <c r="W3853" s="60"/>
      <c r="AB3853" s="42"/>
      <c r="AC3853" s="35"/>
      <c r="AD3853" s="38"/>
      <c r="AE3853" s="38"/>
      <c r="AF3853" s="38"/>
      <c r="AG3853" s="38"/>
      <c r="AH3853" s="60"/>
    </row>
    <row r="3854" spans="1:34" ht="15.75" customHeight="1">
      <c r="A3854" s="18"/>
      <c r="B3854" s="38"/>
      <c r="C3854" s="37"/>
      <c r="D3854" s="20"/>
      <c r="E3854" s="20"/>
      <c r="F3854" s="37"/>
      <c r="G3854" s="37"/>
      <c r="H3854" s="37"/>
      <c r="I3854" s="37"/>
      <c r="J3854" s="155">
        <f t="shared" si="2"/>
        <v>0</v>
      </c>
      <c r="K3854" s="22"/>
      <c r="L3854" s="39"/>
      <c r="O3854" s="42"/>
      <c r="P3854" s="40"/>
      <c r="Q3854" s="61"/>
      <c r="R3854" s="61"/>
      <c r="S3854" s="40"/>
      <c r="T3854" s="38"/>
      <c r="U3854" s="38"/>
      <c r="V3854" s="38"/>
      <c r="W3854" s="60"/>
      <c r="AB3854" s="42"/>
      <c r="AC3854" s="35"/>
      <c r="AD3854" s="38"/>
      <c r="AE3854" s="38"/>
      <c r="AF3854" s="38"/>
      <c r="AG3854" s="38"/>
      <c r="AH3854" s="60"/>
    </row>
    <row r="3855" spans="1:34" ht="15.75" customHeight="1">
      <c r="A3855" s="35" t="s">
        <v>13636</v>
      </c>
      <c r="B3855" s="41"/>
      <c r="C3855" s="188"/>
      <c r="D3855" s="107"/>
      <c r="E3855" s="107"/>
      <c r="F3855" s="188"/>
      <c r="G3855" s="188"/>
      <c r="H3855" s="188"/>
      <c r="I3855" s="106"/>
      <c r="J3855" s="106"/>
      <c r="K3855" s="109"/>
      <c r="L3855" s="110"/>
      <c r="M3855" s="40"/>
      <c r="O3855" s="42"/>
      <c r="P3855" s="40"/>
      <c r="Q3855" s="61"/>
      <c r="R3855" s="61"/>
      <c r="S3855" s="40"/>
      <c r="T3855" s="38"/>
      <c r="U3855" s="38"/>
      <c r="V3855" s="38"/>
      <c r="W3855" s="60"/>
      <c r="AB3855" s="42"/>
      <c r="AC3855" s="35"/>
      <c r="AD3855" s="38"/>
      <c r="AE3855" s="38"/>
      <c r="AF3855" s="38"/>
      <c r="AG3855" s="38"/>
      <c r="AH3855" s="60"/>
    </row>
    <row r="3856" spans="1:34" ht="15.75" customHeight="1">
      <c r="A3856" s="54" t="s">
        <v>8241</v>
      </c>
      <c r="B3856" s="41"/>
      <c r="C3856" s="188"/>
      <c r="D3856" s="107"/>
      <c r="E3856" s="107"/>
      <c r="F3856" s="188"/>
      <c r="G3856" s="188"/>
      <c r="H3856" s="188"/>
      <c r="I3856" s="106"/>
      <c r="J3856" s="106"/>
      <c r="K3856" s="109"/>
      <c r="L3856" s="110"/>
      <c r="O3856" s="42"/>
      <c r="P3856" s="40"/>
      <c r="Q3856" s="61"/>
      <c r="R3856" s="61"/>
      <c r="S3856" s="40"/>
      <c r="T3856" s="38"/>
      <c r="U3856" s="38"/>
      <c r="V3856" s="38"/>
      <c r="W3856" s="60"/>
      <c r="AB3856" s="42"/>
      <c r="AC3856" s="35"/>
      <c r="AD3856" s="38"/>
      <c r="AE3856" s="38"/>
      <c r="AF3856" s="38"/>
      <c r="AG3856" s="38"/>
      <c r="AH3856" s="60"/>
    </row>
    <row r="3857" spans="1:34" ht="15.75" customHeight="1">
      <c r="A3857" s="114" t="s">
        <v>39</v>
      </c>
      <c r="B3857" s="41"/>
      <c r="C3857" s="188"/>
      <c r="D3857" s="107"/>
      <c r="E3857" s="107"/>
      <c r="F3857" s="188"/>
      <c r="G3857" s="188"/>
      <c r="H3857" s="188"/>
      <c r="I3857" s="106"/>
      <c r="J3857" s="106"/>
      <c r="K3857" s="109"/>
      <c r="L3857" s="110"/>
      <c r="O3857" s="42"/>
      <c r="P3857" s="40"/>
      <c r="Q3857" s="61"/>
      <c r="R3857" s="61"/>
      <c r="S3857" s="40"/>
      <c r="T3857" s="38"/>
      <c r="U3857" s="38"/>
      <c r="V3857" s="38"/>
      <c r="W3857" s="60"/>
      <c r="AB3857" s="42"/>
      <c r="AC3857" s="35"/>
      <c r="AD3857" s="38"/>
      <c r="AE3857" s="38"/>
      <c r="AF3857" s="38"/>
      <c r="AG3857" s="38"/>
      <c r="AH3857" s="60"/>
    </row>
    <row r="3858" spans="1:34" ht="15.75" customHeight="1">
      <c r="A3858" s="38" t="s">
        <v>13637</v>
      </c>
      <c r="B3858" s="41"/>
      <c r="C3858" s="188"/>
      <c r="D3858" s="107"/>
      <c r="E3858" s="107"/>
      <c r="F3858" s="188"/>
      <c r="G3858" s="188"/>
      <c r="H3858" s="188"/>
      <c r="I3858" s="106"/>
      <c r="J3858" s="106"/>
      <c r="K3858" s="109"/>
      <c r="L3858" s="110"/>
      <c r="O3858" s="42"/>
      <c r="P3858" s="40"/>
      <c r="Q3858" s="61"/>
      <c r="R3858" s="61"/>
      <c r="S3858" s="40"/>
      <c r="T3858" s="38"/>
      <c r="U3858" s="38"/>
      <c r="V3858" s="38"/>
      <c r="W3858" s="60"/>
      <c r="AB3858" s="42"/>
      <c r="AC3858" s="35"/>
      <c r="AD3858" s="38"/>
      <c r="AE3858" s="38"/>
      <c r="AF3858" s="38"/>
      <c r="AG3858" s="38"/>
      <c r="AH3858" s="60"/>
    </row>
    <row r="3859" spans="1:34" ht="15.75" customHeight="1">
      <c r="A3859" s="75" t="s">
        <v>9516</v>
      </c>
      <c r="B3859" s="41"/>
      <c r="C3859" s="188"/>
      <c r="D3859" s="107"/>
      <c r="E3859" s="107"/>
      <c r="F3859" s="188"/>
      <c r="G3859" s="188"/>
      <c r="H3859" s="188"/>
      <c r="I3859" s="106"/>
      <c r="J3859" s="106"/>
      <c r="K3859" s="109"/>
      <c r="L3859" s="110"/>
      <c r="O3859" s="42"/>
      <c r="P3859" s="40"/>
      <c r="Q3859" s="61"/>
      <c r="R3859" s="61"/>
      <c r="S3859" s="40"/>
      <c r="T3859" s="38"/>
      <c r="U3859" s="38"/>
      <c r="V3859" s="38"/>
      <c r="W3859" s="60"/>
      <c r="AB3859" s="42"/>
      <c r="AC3859" s="35"/>
      <c r="AD3859" s="38"/>
      <c r="AE3859" s="38"/>
      <c r="AF3859" s="38"/>
      <c r="AG3859" s="38"/>
      <c r="AH3859" s="60"/>
    </row>
    <row r="3860" spans="1:34" ht="15.75" customHeight="1">
      <c r="A3860" s="50" t="s">
        <v>56</v>
      </c>
      <c r="B3860" s="41"/>
      <c r="C3860" s="188"/>
      <c r="D3860" s="107"/>
      <c r="E3860" s="107"/>
      <c r="F3860" s="188"/>
      <c r="G3860" s="188"/>
      <c r="H3860" s="188"/>
      <c r="I3860" s="106"/>
      <c r="J3860" s="106"/>
      <c r="K3860" s="109"/>
      <c r="L3860" s="110"/>
      <c r="O3860" s="42"/>
      <c r="P3860" s="40"/>
      <c r="Q3860" s="61"/>
      <c r="R3860" s="61"/>
      <c r="S3860" s="40"/>
      <c r="T3860" s="38"/>
      <c r="U3860" s="38"/>
      <c r="V3860" s="38"/>
      <c r="W3860" s="60"/>
      <c r="AB3860" s="42"/>
      <c r="AC3860" s="35"/>
      <c r="AD3860" s="38"/>
      <c r="AE3860" s="38"/>
      <c r="AF3860" s="38"/>
      <c r="AG3860" s="38"/>
      <c r="AH3860" s="60"/>
    </row>
    <row r="3861" spans="1:34" ht="15.75" customHeight="1">
      <c r="A3861" s="17">
        <v>53</v>
      </c>
      <c r="B3861" s="41"/>
      <c r="C3861" s="188"/>
      <c r="D3861" s="107"/>
      <c r="E3861" s="107"/>
      <c r="F3861" s="188"/>
      <c r="G3861" s="188"/>
      <c r="H3861" s="188"/>
      <c r="I3861" s="106"/>
      <c r="J3861" s="106"/>
      <c r="K3861" s="109"/>
      <c r="L3861" s="110"/>
      <c r="O3861" s="42"/>
      <c r="P3861" s="40"/>
      <c r="Q3861" s="61"/>
      <c r="R3861" s="61"/>
      <c r="S3861" s="40"/>
      <c r="T3861" s="38"/>
      <c r="U3861" s="38"/>
      <c r="V3861" s="38"/>
      <c r="W3861" s="60"/>
      <c r="AB3861" s="42"/>
      <c r="AC3861" s="35"/>
      <c r="AD3861" s="38"/>
      <c r="AE3861" s="38"/>
      <c r="AF3861" s="38"/>
      <c r="AG3861" s="38"/>
      <c r="AH3861" s="60"/>
    </row>
    <row r="3862" spans="1:34" ht="15.75" customHeight="1">
      <c r="A3862" s="111" t="s">
        <v>64</v>
      </c>
      <c r="B3862" s="41"/>
      <c r="C3862" s="188"/>
      <c r="D3862" s="107"/>
      <c r="E3862" s="107"/>
      <c r="F3862" s="188"/>
      <c r="G3862" s="188"/>
      <c r="H3862" s="188"/>
      <c r="I3862" s="106"/>
      <c r="J3862" s="106"/>
      <c r="K3862" s="109"/>
      <c r="L3862" s="110"/>
      <c r="O3862" s="42"/>
      <c r="P3862" s="40"/>
      <c r="Q3862" s="61"/>
      <c r="R3862" s="61"/>
      <c r="S3862" s="40"/>
      <c r="T3862" s="38"/>
      <c r="U3862" s="38"/>
      <c r="V3862" s="38"/>
      <c r="W3862" s="60"/>
      <c r="AB3862" s="42"/>
      <c r="AC3862" s="35"/>
      <c r="AD3862" s="38"/>
      <c r="AE3862" s="38"/>
      <c r="AF3862" s="38"/>
      <c r="AG3862" s="38"/>
      <c r="AH3862" s="60"/>
    </row>
    <row r="3863" spans="1:34" ht="15.75" customHeight="1">
      <c r="A3863" s="75">
        <v>2.5</v>
      </c>
      <c r="B3863" s="41"/>
      <c r="C3863" s="188"/>
      <c r="D3863" s="107"/>
      <c r="E3863" s="107"/>
      <c r="F3863" s="188"/>
      <c r="G3863" s="188"/>
      <c r="H3863" s="188"/>
      <c r="I3863" s="106"/>
      <c r="J3863" s="106"/>
      <c r="K3863" s="109"/>
      <c r="L3863" s="110"/>
      <c r="O3863" s="42"/>
      <c r="P3863" s="40"/>
      <c r="Q3863" s="61"/>
      <c r="R3863" s="61"/>
      <c r="S3863" s="40"/>
      <c r="T3863" s="38"/>
      <c r="U3863" s="38"/>
      <c r="V3863" s="38"/>
      <c r="W3863" s="60"/>
      <c r="AB3863" s="42"/>
      <c r="AC3863" s="35"/>
      <c r="AD3863" s="38"/>
      <c r="AE3863" s="38"/>
      <c r="AF3863" s="38"/>
      <c r="AG3863" s="38"/>
      <c r="AH3863" s="60"/>
    </row>
    <row r="3864" spans="1:34" ht="15.75" customHeight="1">
      <c r="A3864" s="111" t="s">
        <v>73</v>
      </c>
      <c r="B3864" s="41"/>
      <c r="C3864" s="188"/>
      <c r="D3864" s="107"/>
      <c r="E3864" s="107"/>
      <c r="F3864" s="188"/>
      <c r="G3864" s="188"/>
      <c r="H3864" s="188"/>
      <c r="I3864" s="106"/>
      <c r="J3864" s="106"/>
      <c r="K3864" s="109"/>
      <c r="L3864" s="110"/>
      <c r="O3864" s="42"/>
      <c r="P3864" s="40"/>
      <c r="Q3864" s="61"/>
      <c r="R3864" s="61"/>
      <c r="S3864" s="40"/>
      <c r="T3864" s="38"/>
      <c r="U3864" s="38"/>
      <c r="V3864" s="38"/>
      <c r="W3864" s="60"/>
      <c r="AB3864" s="42"/>
      <c r="AC3864" s="35"/>
      <c r="AD3864" s="38"/>
      <c r="AE3864" s="38"/>
      <c r="AF3864" s="38"/>
      <c r="AG3864" s="38"/>
      <c r="AH3864" s="60"/>
    </row>
    <row r="3865" spans="1:34" ht="15.75" customHeight="1">
      <c r="A3865" s="75">
        <v>3.1</v>
      </c>
      <c r="B3865" s="41"/>
      <c r="C3865" s="188"/>
      <c r="D3865" s="107"/>
      <c r="E3865" s="107"/>
      <c r="F3865" s="188"/>
      <c r="G3865" s="188"/>
      <c r="H3865" s="188"/>
      <c r="I3865" s="106"/>
      <c r="J3865" s="106"/>
      <c r="K3865" s="109"/>
      <c r="L3865" s="110"/>
      <c r="O3865" s="42"/>
      <c r="P3865" s="40"/>
      <c r="Q3865" s="61"/>
      <c r="R3865" s="61"/>
      <c r="S3865" s="40"/>
      <c r="T3865" s="38"/>
      <c r="U3865" s="38"/>
      <c r="V3865" s="38"/>
      <c r="W3865" s="60"/>
      <c r="AB3865" s="42"/>
      <c r="AC3865" s="35"/>
      <c r="AD3865" s="38"/>
      <c r="AE3865" s="38"/>
      <c r="AF3865" s="38"/>
      <c r="AG3865" s="38"/>
      <c r="AH3865" s="60"/>
    </row>
    <row r="3866" spans="1:34" ht="15.75" customHeight="1">
      <c r="A3866" s="111" t="s">
        <v>82</v>
      </c>
      <c r="B3866" s="41"/>
      <c r="C3866" s="188"/>
      <c r="D3866" s="107"/>
      <c r="E3866" s="107"/>
      <c r="F3866" s="188"/>
      <c r="G3866" s="188"/>
      <c r="H3866" s="188"/>
      <c r="I3866" s="106"/>
      <c r="J3866" s="106"/>
      <c r="K3866" s="109"/>
      <c r="L3866" s="110"/>
      <c r="O3866" s="42"/>
      <c r="P3866" s="40"/>
      <c r="Q3866" s="61"/>
      <c r="R3866" s="61"/>
      <c r="S3866" s="40"/>
      <c r="T3866" s="38"/>
      <c r="U3866" s="38"/>
      <c r="V3866" s="38"/>
      <c r="W3866" s="60"/>
      <c r="AB3866" s="42"/>
      <c r="AC3866" s="35"/>
      <c r="AD3866" s="38"/>
      <c r="AE3866" s="38"/>
      <c r="AF3866" s="38"/>
      <c r="AG3866" s="38"/>
      <c r="AH3866" s="60"/>
    </row>
    <row r="3867" spans="1:34" ht="15.75" customHeight="1">
      <c r="A3867" s="75" t="s">
        <v>13638</v>
      </c>
      <c r="B3867" s="41"/>
      <c r="C3867" s="188"/>
      <c r="D3867" s="107"/>
      <c r="E3867" s="107"/>
      <c r="F3867" s="188"/>
      <c r="G3867" s="188"/>
      <c r="H3867" s="188"/>
      <c r="I3867" s="106"/>
      <c r="J3867" s="106"/>
      <c r="K3867" s="109"/>
      <c r="L3867" s="110"/>
      <c r="O3867" s="42"/>
      <c r="P3867" s="40"/>
      <c r="Q3867" s="61"/>
      <c r="R3867" s="61"/>
      <c r="S3867" s="40"/>
      <c r="T3867" s="38"/>
      <c r="U3867" s="38"/>
      <c r="V3867" s="38"/>
      <c r="W3867" s="60"/>
      <c r="AB3867" s="42"/>
      <c r="AC3867" s="35"/>
      <c r="AD3867" s="38"/>
      <c r="AE3867" s="38"/>
      <c r="AF3867" s="38"/>
      <c r="AG3867" s="38"/>
      <c r="AH3867" s="60"/>
    </row>
    <row r="3868" spans="1:34" ht="15.75" customHeight="1">
      <c r="A3868" s="111" t="s">
        <v>92</v>
      </c>
      <c r="B3868" s="41"/>
      <c r="C3868" s="188"/>
      <c r="D3868" s="107"/>
      <c r="E3868" s="107"/>
      <c r="F3868" s="188"/>
      <c r="G3868" s="188"/>
      <c r="H3868" s="188"/>
      <c r="I3868" s="106"/>
      <c r="J3868" s="106"/>
      <c r="K3868" s="109"/>
      <c r="L3868" s="110"/>
      <c r="O3868" s="42"/>
      <c r="P3868" s="40"/>
      <c r="Q3868" s="61"/>
      <c r="R3868" s="61"/>
      <c r="S3868" s="40"/>
      <c r="T3868" s="38"/>
      <c r="U3868" s="38"/>
      <c r="V3868" s="38"/>
      <c r="W3868" s="60"/>
      <c r="AB3868" s="42"/>
      <c r="AC3868" s="35"/>
      <c r="AD3868" s="38"/>
      <c r="AE3868" s="38"/>
      <c r="AF3868" s="38"/>
      <c r="AG3868" s="38"/>
      <c r="AH3868" s="60"/>
    </row>
    <row r="3869" spans="1:34" ht="15.75" customHeight="1">
      <c r="A3869" s="112">
        <v>1717</v>
      </c>
      <c r="B3869" s="41"/>
      <c r="C3869" s="188"/>
      <c r="D3869" s="107"/>
      <c r="E3869" s="107"/>
      <c r="F3869" s="188"/>
      <c r="G3869" s="188"/>
      <c r="H3869" s="188"/>
      <c r="I3869" s="106"/>
      <c r="J3869" s="106"/>
      <c r="K3869" s="109"/>
      <c r="L3869" s="110"/>
      <c r="O3869" s="42"/>
      <c r="P3869" s="40"/>
      <c r="Q3869" s="61"/>
      <c r="R3869" s="61"/>
      <c r="S3869" s="40"/>
      <c r="T3869" s="38"/>
      <c r="U3869" s="38"/>
      <c r="V3869" s="38"/>
      <c r="W3869" s="60"/>
      <c r="AB3869" s="42"/>
      <c r="AC3869" s="35"/>
      <c r="AD3869" s="38"/>
      <c r="AE3869" s="38"/>
      <c r="AF3869" s="38"/>
      <c r="AG3869" s="38"/>
      <c r="AH3869" s="60"/>
    </row>
    <row r="3870" spans="1:34" ht="15.75" customHeight="1">
      <c r="A3870" s="111" t="s">
        <v>100</v>
      </c>
      <c r="B3870" s="41"/>
      <c r="C3870" s="188"/>
      <c r="D3870" s="189"/>
      <c r="E3870" s="107"/>
      <c r="F3870" s="188"/>
      <c r="G3870" s="188"/>
      <c r="H3870" s="188"/>
      <c r="I3870" s="106"/>
      <c r="J3870" s="106"/>
      <c r="K3870" s="109"/>
      <c r="L3870" s="110"/>
      <c r="O3870" s="42"/>
      <c r="P3870" s="40"/>
      <c r="Q3870" s="61"/>
      <c r="R3870" s="61"/>
      <c r="S3870" s="40"/>
      <c r="T3870" s="38"/>
      <c r="U3870" s="38"/>
      <c r="V3870" s="38"/>
      <c r="W3870" s="60"/>
      <c r="AB3870" s="42"/>
      <c r="AC3870" s="35"/>
      <c r="AD3870" s="38"/>
      <c r="AE3870" s="38"/>
      <c r="AF3870" s="38"/>
      <c r="AG3870" s="38"/>
      <c r="AH3870" s="60"/>
    </row>
    <row r="3871" spans="1:34" ht="15.75" customHeight="1">
      <c r="A3871" s="75">
        <v>163</v>
      </c>
      <c r="B3871" s="41"/>
      <c r="C3871" s="188"/>
      <c r="D3871" s="107"/>
      <c r="E3871" s="107"/>
      <c r="F3871" s="188"/>
      <c r="G3871" s="188"/>
      <c r="H3871" s="188"/>
      <c r="I3871" s="106"/>
      <c r="J3871" s="106"/>
      <c r="K3871" s="109"/>
      <c r="L3871" s="110"/>
      <c r="O3871" s="42"/>
      <c r="P3871" s="40"/>
      <c r="Q3871" s="61"/>
      <c r="R3871" s="61"/>
      <c r="S3871" s="40"/>
      <c r="T3871" s="38"/>
      <c r="U3871" s="38"/>
      <c r="V3871" s="38"/>
      <c r="W3871" s="60"/>
      <c r="AB3871" s="42"/>
      <c r="AC3871" s="35"/>
      <c r="AD3871" s="38"/>
      <c r="AE3871" s="38"/>
      <c r="AF3871" s="38"/>
      <c r="AG3871" s="38"/>
      <c r="AH3871" s="60"/>
    </row>
    <row r="3872" spans="1:34" ht="15.75" customHeight="1">
      <c r="A3872" s="133"/>
      <c r="B3872" s="38"/>
      <c r="C3872" s="37"/>
      <c r="D3872" s="20"/>
      <c r="E3872" s="20"/>
      <c r="F3872" s="37"/>
      <c r="G3872" s="37"/>
      <c r="H3872" s="37"/>
      <c r="I3872" s="37"/>
      <c r="J3872" s="155">
        <f t="shared" ref="J3872:J4126" si="3">IF(G3872="R","NA",I3872)</f>
        <v>0</v>
      </c>
      <c r="K3872" s="22"/>
      <c r="L3872" s="39"/>
      <c r="O3872" s="42"/>
      <c r="P3872" s="40"/>
      <c r="Q3872" s="61"/>
      <c r="R3872" s="61"/>
      <c r="S3872" s="40"/>
      <c r="T3872" s="38"/>
      <c r="U3872" s="38"/>
      <c r="V3872" s="38"/>
      <c r="W3872" s="60"/>
      <c r="AB3872" s="42"/>
      <c r="AC3872" s="35"/>
      <c r="AD3872" s="38"/>
      <c r="AE3872" s="38"/>
      <c r="AF3872" s="38"/>
      <c r="AG3872" s="38"/>
      <c r="AH3872" s="60"/>
    </row>
    <row r="3873" spans="1:34" ht="15.75" customHeight="1">
      <c r="A3873" s="54" t="s">
        <v>13639</v>
      </c>
      <c r="B3873" s="158" t="s">
        <v>13640</v>
      </c>
      <c r="C3873" s="37" t="s">
        <v>24</v>
      </c>
      <c r="D3873" s="20" t="s">
        <v>13641</v>
      </c>
      <c r="E3873" s="180" t="s">
        <v>13642</v>
      </c>
      <c r="F3873" s="19" t="s">
        <v>27</v>
      </c>
      <c r="G3873" s="19" t="s">
        <v>28</v>
      </c>
      <c r="H3873" s="37"/>
      <c r="I3873" s="37" t="s">
        <v>29</v>
      </c>
      <c r="J3873" s="155" t="str">
        <f t="shared" si="3"/>
        <v>TT</v>
      </c>
      <c r="K3873" s="61" t="s">
        <v>13643</v>
      </c>
      <c r="L3873" s="56">
        <v>45100</v>
      </c>
      <c r="M3873" s="40"/>
      <c r="O3873" s="42"/>
      <c r="P3873" s="40"/>
      <c r="Q3873" s="61"/>
      <c r="R3873" s="61"/>
      <c r="S3873" s="40"/>
      <c r="T3873" s="38"/>
      <c r="U3873" s="38"/>
      <c r="V3873" s="38"/>
      <c r="W3873" s="60"/>
      <c r="AB3873" s="42"/>
      <c r="AC3873" s="35"/>
      <c r="AD3873" s="38"/>
      <c r="AE3873" s="38"/>
      <c r="AF3873" s="38"/>
      <c r="AG3873" s="38"/>
      <c r="AH3873" s="60"/>
    </row>
    <row r="3874" spans="1:34" ht="15.75" customHeight="1">
      <c r="A3874" s="54" t="s">
        <v>13644</v>
      </c>
      <c r="B3874" s="158" t="s">
        <v>13645</v>
      </c>
      <c r="C3874" s="37" t="s">
        <v>24</v>
      </c>
      <c r="D3874" s="20" t="s">
        <v>13646</v>
      </c>
      <c r="E3874" s="180" t="s">
        <v>13647</v>
      </c>
      <c r="F3874" s="19" t="s">
        <v>27</v>
      </c>
      <c r="G3874" s="19" t="s">
        <v>28</v>
      </c>
      <c r="H3874" s="37"/>
      <c r="I3874" s="37" t="s">
        <v>29</v>
      </c>
      <c r="J3874" s="155" t="str">
        <f t="shared" si="3"/>
        <v>TT</v>
      </c>
      <c r="K3874" s="61" t="s">
        <v>13648</v>
      </c>
      <c r="L3874" s="56">
        <v>45100</v>
      </c>
      <c r="O3874" s="42"/>
      <c r="P3874" s="40"/>
      <c r="Q3874" s="61"/>
      <c r="R3874" s="61"/>
      <c r="S3874" s="40"/>
      <c r="T3874" s="38"/>
      <c r="U3874" s="38"/>
      <c r="V3874" s="38"/>
      <c r="W3874" s="60"/>
      <c r="AB3874" s="42"/>
      <c r="AC3874" s="35"/>
      <c r="AD3874" s="38"/>
      <c r="AE3874" s="38"/>
      <c r="AF3874" s="38"/>
      <c r="AG3874" s="38"/>
      <c r="AH3874" s="60"/>
    </row>
    <row r="3875" spans="1:34" ht="15.75" customHeight="1">
      <c r="A3875" s="114" t="s">
        <v>39</v>
      </c>
      <c r="B3875" s="158" t="s">
        <v>13649</v>
      </c>
      <c r="C3875" s="37" t="s">
        <v>412</v>
      </c>
      <c r="D3875" s="20" t="s">
        <v>13650</v>
      </c>
      <c r="E3875" s="180" t="s">
        <v>13651</v>
      </c>
      <c r="F3875" s="19" t="s">
        <v>414</v>
      </c>
      <c r="G3875" s="19" t="s">
        <v>415</v>
      </c>
      <c r="H3875" s="37"/>
      <c r="I3875" s="37" t="s">
        <v>233</v>
      </c>
      <c r="J3875" s="155" t="str">
        <f t="shared" si="3"/>
        <v>NTT</v>
      </c>
      <c r="K3875" s="61" t="s">
        <v>13652</v>
      </c>
      <c r="L3875" s="56">
        <v>45100</v>
      </c>
      <c r="O3875" s="42"/>
      <c r="P3875" s="40"/>
      <c r="Q3875" s="61"/>
      <c r="R3875" s="61"/>
      <c r="S3875" s="40"/>
      <c r="T3875" s="38"/>
      <c r="U3875" s="38"/>
      <c r="V3875" s="38"/>
      <c r="W3875" s="60"/>
      <c r="AB3875" s="42"/>
      <c r="AC3875" s="35"/>
      <c r="AD3875" s="38"/>
      <c r="AE3875" s="38"/>
      <c r="AF3875" s="38"/>
      <c r="AG3875" s="38"/>
      <c r="AH3875" s="60"/>
    </row>
    <row r="3876" spans="1:34" ht="15.75" customHeight="1">
      <c r="A3876" s="38" t="s">
        <v>13637</v>
      </c>
      <c r="B3876" s="158" t="s">
        <v>13653</v>
      </c>
      <c r="C3876" s="37" t="s">
        <v>46</v>
      </c>
      <c r="D3876" s="20" t="s">
        <v>13654</v>
      </c>
      <c r="E3876" s="180" t="s">
        <v>13655</v>
      </c>
      <c r="F3876" s="37" t="s">
        <v>49</v>
      </c>
      <c r="G3876" s="19" t="s">
        <v>50</v>
      </c>
      <c r="H3876" s="37"/>
      <c r="I3876" s="37" t="s">
        <v>29</v>
      </c>
      <c r="J3876" s="155" t="str">
        <f t="shared" si="3"/>
        <v>TT</v>
      </c>
      <c r="K3876" s="61" t="s">
        <v>13656</v>
      </c>
      <c r="L3876" s="56">
        <v>45100</v>
      </c>
      <c r="M3876" s="40"/>
      <c r="N3876" s="40"/>
      <c r="O3876" s="42"/>
      <c r="P3876" s="40"/>
      <c r="Q3876" s="61"/>
      <c r="R3876" s="61"/>
      <c r="S3876" s="40"/>
      <c r="T3876" s="38"/>
      <c r="U3876" s="38"/>
      <c r="V3876" s="38"/>
      <c r="W3876" s="60"/>
      <c r="AB3876" s="42"/>
      <c r="AC3876" s="35"/>
      <c r="AD3876" s="38"/>
      <c r="AE3876" s="38"/>
      <c r="AF3876" s="38"/>
      <c r="AG3876" s="38"/>
      <c r="AH3876" s="60"/>
    </row>
    <row r="3877" spans="1:34" ht="15.75" customHeight="1">
      <c r="A3877" s="75" t="s">
        <v>9775</v>
      </c>
      <c r="B3877" s="159" t="s">
        <v>13657</v>
      </c>
      <c r="C3877" s="37" t="s">
        <v>24</v>
      </c>
      <c r="D3877" s="20" t="s">
        <v>13658</v>
      </c>
      <c r="E3877" s="180" t="s">
        <v>13659</v>
      </c>
      <c r="F3877" s="19" t="s">
        <v>27</v>
      </c>
      <c r="G3877" s="19" t="s">
        <v>28</v>
      </c>
      <c r="H3877" s="37"/>
      <c r="I3877" s="37" t="s">
        <v>29</v>
      </c>
      <c r="J3877" s="155" t="str">
        <f t="shared" si="3"/>
        <v>TT</v>
      </c>
      <c r="K3877" s="61" t="s">
        <v>13660</v>
      </c>
      <c r="L3877" s="56">
        <v>45100</v>
      </c>
      <c r="O3877" s="42"/>
      <c r="P3877" s="40"/>
      <c r="Q3877" s="61"/>
      <c r="R3877" s="61"/>
      <c r="S3877" s="40"/>
      <c r="T3877" s="38"/>
      <c r="U3877" s="38"/>
      <c r="V3877" s="38"/>
      <c r="W3877" s="60"/>
      <c r="AB3877" s="42"/>
      <c r="AC3877" s="35"/>
      <c r="AD3877" s="38"/>
      <c r="AE3877" s="38"/>
      <c r="AF3877" s="38"/>
      <c r="AG3877" s="38"/>
      <c r="AH3877" s="60"/>
    </row>
    <row r="3878" spans="1:34" ht="15.75" customHeight="1">
      <c r="A3878" s="50" t="s">
        <v>56</v>
      </c>
      <c r="B3878" s="158" t="s">
        <v>13661</v>
      </c>
      <c r="C3878" s="37" t="s">
        <v>24</v>
      </c>
      <c r="D3878" s="20" t="s">
        <v>13662</v>
      </c>
      <c r="E3878" s="180" t="s">
        <v>13663</v>
      </c>
      <c r="F3878" s="19" t="s">
        <v>27</v>
      </c>
      <c r="G3878" s="19" t="s">
        <v>28</v>
      </c>
      <c r="H3878" s="37"/>
      <c r="I3878" s="37" t="s">
        <v>29</v>
      </c>
      <c r="J3878" s="155" t="str">
        <f t="shared" si="3"/>
        <v>TT</v>
      </c>
      <c r="K3878" s="61" t="s">
        <v>13664</v>
      </c>
      <c r="L3878" s="56">
        <v>45100</v>
      </c>
      <c r="O3878" s="42"/>
      <c r="P3878" s="40"/>
      <c r="Q3878" s="61"/>
      <c r="R3878" s="61"/>
      <c r="S3878" s="40"/>
      <c r="T3878" s="38"/>
      <c r="U3878" s="38"/>
      <c r="V3878" s="38"/>
      <c r="W3878" s="60"/>
      <c r="AB3878" s="42"/>
      <c r="AC3878" s="35"/>
      <c r="AD3878" s="38"/>
      <c r="AE3878" s="38"/>
      <c r="AF3878" s="38"/>
      <c r="AG3878" s="38"/>
      <c r="AH3878" s="60"/>
    </row>
    <row r="3879" spans="1:34" ht="15.75" customHeight="1">
      <c r="A3879" s="17">
        <v>55</v>
      </c>
      <c r="B3879" s="158" t="s">
        <v>13665</v>
      </c>
      <c r="C3879" s="37" t="s">
        <v>228</v>
      </c>
      <c r="D3879" s="20" t="s">
        <v>13666</v>
      </c>
      <c r="E3879" s="180" t="s">
        <v>13667</v>
      </c>
      <c r="F3879" s="19" t="s">
        <v>231</v>
      </c>
      <c r="G3879" s="19" t="s">
        <v>232</v>
      </c>
      <c r="H3879" s="37"/>
      <c r="I3879" s="37" t="s">
        <v>233</v>
      </c>
      <c r="J3879" s="155" t="str">
        <f t="shared" si="3"/>
        <v>NTT</v>
      </c>
      <c r="K3879" s="61" t="s">
        <v>13668</v>
      </c>
      <c r="L3879" s="56">
        <v>45100</v>
      </c>
      <c r="O3879" s="42"/>
      <c r="P3879" s="40"/>
      <c r="Q3879" s="61"/>
      <c r="R3879" s="61"/>
      <c r="S3879" s="40"/>
      <c r="T3879" s="38"/>
      <c r="U3879" s="38"/>
      <c r="V3879" s="38"/>
      <c r="W3879" s="60"/>
      <c r="AB3879" s="42"/>
      <c r="AC3879" s="35"/>
      <c r="AD3879" s="38"/>
      <c r="AE3879" s="38"/>
      <c r="AF3879" s="38"/>
      <c r="AG3879" s="38"/>
      <c r="AH3879" s="60"/>
    </row>
    <row r="3880" spans="1:34" ht="15.75" customHeight="1">
      <c r="A3880" s="111" t="s">
        <v>64</v>
      </c>
      <c r="B3880" s="158" t="s">
        <v>13669</v>
      </c>
      <c r="C3880" s="37" t="s">
        <v>87</v>
      </c>
      <c r="D3880" s="20" t="s">
        <v>13670</v>
      </c>
      <c r="E3880" s="180" t="s">
        <v>13671</v>
      </c>
      <c r="F3880" s="19" t="s">
        <v>90</v>
      </c>
      <c r="G3880" s="19" t="s">
        <v>91</v>
      </c>
      <c r="H3880" s="37"/>
      <c r="I3880" s="37" t="s">
        <v>29</v>
      </c>
      <c r="J3880" s="155" t="str">
        <f t="shared" si="3"/>
        <v>TT</v>
      </c>
      <c r="K3880" s="61" t="s">
        <v>13672</v>
      </c>
      <c r="L3880" s="56">
        <v>45100</v>
      </c>
      <c r="O3880" s="42"/>
      <c r="P3880" s="40"/>
      <c r="Q3880" s="61"/>
      <c r="R3880" s="61"/>
      <c r="S3880" s="40"/>
      <c r="T3880" s="38"/>
      <c r="U3880" s="38"/>
      <c r="V3880" s="38"/>
      <c r="W3880" s="60"/>
      <c r="AB3880" s="42"/>
      <c r="AC3880" s="35"/>
      <c r="AD3880" s="38"/>
      <c r="AE3880" s="38"/>
      <c r="AF3880" s="38"/>
      <c r="AG3880" s="38"/>
      <c r="AH3880" s="60"/>
    </row>
    <row r="3881" spans="1:34" ht="15.75" customHeight="1">
      <c r="A3881" s="75">
        <v>2.5</v>
      </c>
      <c r="B3881" s="158" t="s">
        <v>13673</v>
      </c>
      <c r="C3881" s="37" t="s">
        <v>46</v>
      </c>
      <c r="D3881" s="20" t="s">
        <v>13674</v>
      </c>
      <c r="E3881" s="180" t="s">
        <v>13675</v>
      </c>
      <c r="F3881" s="37" t="s">
        <v>49</v>
      </c>
      <c r="G3881" s="19" t="s">
        <v>50</v>
      </c>
      <c r="H3881" s="37"/>
      <c r="I3881" s="37" t="s">
        <v>29</v>
      </c>
      <c r="J3881" s="155" t="str">
        <f t="shared" si="3"/>
        <v>TT</v>
      </c>
      <c r="K3881" s="61" t="s">
        <v>13676</v>
      </c>
      <c r="L3881" s="56">
        <v>45100</v>
      </c>
      <c r="O3881" s="42"/>
      <c r="P3881" s="40"/>
      <c r="Q3881" s="61"/>
      <c r="R3881" s="61"/>
      <c r="S3881" s="40"/>
      <c r="T3881" s="38"/>
      <c r="U3881" s="38"/>
      <c r="V3881" s="38"/>
      <c r="W3881" s="60"/>
      <c r="AB3881" s="42"/>
      <c r="AC3881" s="35"/>
      <c r="AD3881" s="38"/>
      <c r="AE3881" s="38"/>
      <c r="AF3881" s="38"/>
      <c r="AG3881" s="38"/>
      <c r="AH3881" s="60"/>
    </row>
    <row r="3882" spans="1:34" ht="15.75" customHeight="1">
      <c r="A3882" s="111" t="s">
        <v>73</v>
      </c>
      <c r="B3882" s="158" t="s">
        <v>13677</v>
      </c>
      <c r="C3882" s="37" t="s">
        <v>87</v>
      </c>
      <c r="D3882" s="20" t="s">
        <v>13678</v>
      </c>
      <c r="E3882" s="180" t="s">
        <v>13679</v>
      </c>
      <c r="F3882" s="19" t="s">
        <v>90</v>
      </c>
      <c r="G3882" s="19" t="s">
        <v>91</v>
      </c>
      <c r="H3882" s="37"/>
      <c r="I3882" s="37" t="s">
        <v>29</v>
      </c>
      <c r="J3882" s="155" t="str">
        <f t="shared" si="3"/>
        <v>TT</v>
      </c>
      <c r="K3882" s="61" t="s">
        <v>13680</v>
      </c>
      <c r="L3882" s="56">
        <v>45100</v>
      </c>
      <c r="O3882" s="42"/>
      <c r="P3882" s="40"/>
      <c r="Q3882" s="61"/>
      <c r="R3882" s="61"/>
      <c r="S3882" s="40"/>
      <c r="T3882" s="38"/>
      <c r="U3882" s="38"/>
      <c r="V3882" s="38"/>
      <c r="W3882" s="60"/>
      <c r="AB3882" s="42"/>
      <c r="AC3882" s="35"/>
      <c r="AD3882" s="38"/>
      <c r="AE3882" s="38"/>
      <c r="AF3882" s="38"/>
      <c r="AG3882" s="38"/>
      <c r="AH3882" s="60"/>
    </row>
    <row r="3883" spans="1:34" ht="15.75" customHeight="1">
      <c r="A3883" s="75">
        <v>3.2</v>
      </c>
      <c r="B3883" s="158" t="s">
        <v>13681</v>
      </c>
      <c r="C3883" s="37" t="s">
        <v>87</v>
      </c>
      <c r="D3883" s="20" t="s">
        <v>13682</v>
      </c>
      <c r="E3883" s="180" t="s">
        <v>13683</v>
      </c>
      <c r="F3883" s="19" t="s">
        <v>90</v>
      </c>
      <c r="G3883" s="19" t="s">
        <v>91</v>
      </c>
      <c r="H3883" s="37"/>
      <c r="I3883" s="37" t="s">
        <v>29</v>
      </c>
      <c r="J3883" s="155" t="str">
        <f t="shared" si="3"/>
        <v>TT</v>
      </c>
      <c r="K3883" s="61" t="s">
        <v>13684</v>
      </c>
      <c r="L3883" s="56">
        <v>45100</v>
      </c>
      <c r="O3883" s="42"/>
      <c r="P3883" s="40"/>
      <c r="Q3883" s="61"/>
      <c r="R3883" s="61"/>
      <c r="S3883" s="40"/>
      <c r="T3883" s="38"/>
      <c r="U3883" s="38"/>
      <c r="V3883" s="38"/>
      <c r="W3883" s="60"/>
      <c r="AB3883" s="42"/>
      <c r="AC3883" s="35"/>
      <c r="AD3883" s="38"/>
      <c r="AE3883" s="38"/>
      <c r="AF3883" s="38"/>
      <c r="AG3883" s="38"/>
      <c r="AH3883" s="60"/>
    </row>
    <row r="3884" spans="1:34" ht="15.75" customHeight="1">
      <c r="A3884" s="111" t="s">
        <v>82</v>
      </c>
      <c r="B3884" s="158" t="s">
        <v>13685</v>
      </c>
      <c r="C3884" s="37" t="s">
        <v>87</v>
      </c>
      <c r="D3884" s="20" t="s">
        <v>13686</v>
      </c>
      <c r="E3884" s="180" t="s">
        <v>13687</v>
      </c>
      <c r="F3884" s="19" t="s">
        <v>90</v>
      </c>
      <c r="G3884" s="19" t="s">
        <v>91</v>
      </c>
      <c r="H3884" s="37"/>
      <c r="I3884" s="37" t="s">
        <v>29</v>
      </c>
      <c r="J3884" s="155" t="str">
        <f t="shared" si="3"/>
        <v>TT</v>
      </c>
      <c r="K3884" s="61" t="s">
        <v>13688</v>
      </c>
      <c r="L3884" s="56">
        <v>45100</v>
      </c>
      <c r="O3884" s="42"/>
      <c r="P3884" s="40"/>
      <c r="Q3884" s="61"/>
      <c r="R3884" s="61"/>
      <c r="S3884" s="40"/>
      <c r="T3884" s="38"/>
      <c r="U3884" s="38"/>
      <c r="V3884" s="38"/>
      <c r="W3884" s="60"/>
      <c r="AB3884" s="42"/>
      <c r="AC3884" s="35"/>
      <c r="AD3884" s="38"/>
      <c r="AE3884" s="38"/>
      <c r="AF3884" s="38"/>
      <c r="AG3884" s="38"/>
      <c r="AH3884" s="60"/>
    </row>
    <row r="3885" spans="1:34" ht="15.75" customHeight="1">
      <c r="A3885" s="75" t="s">
        <v>13689</v>
      </c>
      <c r="B3885" s="158" t="s">
        <v>13690</v>
      </c>
      <c r="C3885" s="37" t="s">
        <v>46</v>
      </c>
      <c r="D3885" s="20" t="s">
        <v>13691</v>
      </c>
      <c r="E3885" s="180" t="s">
        <v>13692</v>
      </c>
      <c r="F3885" s="37" t="s">
        <v>49</v>
      </c>
      <c r="G3885" s="19" t="s">
        <v>50</v>
      </c>
      <c r="H3885" s="37"/>
      <c r="I3885" s="37" t="s">
        <v>29</v>
      </c>
      <c r="J3885" s="155" t="str">
        <f t="shared" si="3"/>
        <v>TT</v>
      </c>
      <c r="K3885" s="61" t="s">
        <v>13693</v>
      </c>
      <c r="L3885" s="56">
        <v>45100</v>
      </c>
      <c r="O3885" s="42"/>
      <c r="P3885" s="40"/>
      <c r="Q3885" s="61"/>
      <c r="R3885" s="61"/>
      <c r="S3885" s="40"/>
      <c r="T3885" s="38"/>
      <c r="U3885" s="38"/>
      <c r="V3885" s="38"/>
      <c r="W3885" s="60"/>
      <c r="AB3885" s="42"/>
      <c r="AC3885" s="35"/>
      <c r="AD3885" s="38"/>
      <c r="AE3885" s="38"/>
      <c r="AF3885" s="38"/>
      <c r="AG3885" s="38"/>
      <c r="AH3885" s="60"/>
    </row>
    <row r="3886" spans="1:34" ht="15.75" customHeight="1">
      <c r="A3886" s="111" t="s">
        <v>92</v>
      </c>
      <c r="B3886" s="158" t="s">
        <v>13694</v>
      </c>
      <c r="C3886" s="37" t="s">
        <v>24</v>
      </c>
      <c r="D3886" s="20" t="s">
        <v>13695</v>
      </c>
      <c r="E3886" s="180" t="s">
        <v>13696</v>
      </c>
      <c r="F3886" s="19" t="s">
        <v>27</v>
      </c>
      <c r="G3886" s="19" t="s">
        <v>28</v>
      </c>
      <c r="H3886" s="37"/>
      <c r="I3886" s="37" t="s">
        <v>29</v>
      </c>
      <c r="J3886" s="155" t="str">
        <f t="shared" si="3"/>
        <v>TT</v>
      </c>
      <c r="K3886" s="61" t="s">
        <v>13697</v>
      </c>
      <c r="L3886" s="56">
        <v>45100</v>
      </c>
      <c r="O3886" s="42"/>
      <c r="P3886" s="40"/>
      <c r="Q3886" s="61"/>
      <c r="R3886" s="61"/>
      <c r="S3886" s="40"/>
      <c r="T3886" s="38"/>
      <c r="U3886" s="38"/>
      <c r="V3886" s="38"/>
      <c r="W3886" s="60"/>
      <c r="AB3886" s="42"/>
      <c r="AC3886" s="35"/>
      <c r="AD3886" s="38"/>
      <c r="AE3886" s="38"/>
      <c r="AF3886" s="38"/>
      <c r="AG3886" s="38"/>
      <c r="AH3886" s="60"/>
    </row>
    <row r="3887" spans="1:34" ht="15.75" customHeight="1">
      <c r="A3887" s="112">
        <v>3211</v>
      </c>
      <c r="B3887" s="158" t="s">
        <v>13698</v>
      </c>
      <c r="C3887" s="37" t="s">
        <v>24</v>
      </c>
      <c r="D3887" s="20" t="s">
        <v>13699</v>
      </c>
      <c r="E3887" s="180" t="s">
        <v>13700</v>
      </c>
      <c r="F3887" s="19" t="s">
        <v>27</v>
      </c>
      <c r="G3887" s="19" t="s">
        <v>28</v>
      </c>
      <c r="H3887" s="37"/>
      <c r="I3887" s="37" t="s">
        <v>29</v>
      </c>
      <c r="J3887" s="155" t="str">
        <f t="shared" si="3"/>
        <v>TT</v>
      </c>
      <c r="K3887" s="61" t="s">
        <v>13701</v>
      </c>
      <c r="L3887" s="56">
        <v>45100</v>
      </c>
      <c r="O3887" s="42"/>
      <c r="P3887" s="40"/>
      <c r="Q3887" s="61"/>
      <c r="R3887" s="61"/>
      <c r="S3887" s="40"/>
      <c r="T3887" s="38"/>
      <c r="U3887" s="38"/>
      <c r="V3887" s="38"/>
      <c r="W3887" s="60"/>
      <c r="AB3887" s="42"/>
      <c r="AC3887" s="35"/>
      <c r="AD3887" s="38"/>
      <c r="AE3887" s="38"/>
      <c r="AF3887" s="38"/>
      <c r="AG3887" s="38"/>
      <c r="AH3887" s="60"/>
    </row>
    <row r="3888" spans="1:34" ht="15.75" customHeight="1">
      <c r="A3888" s="111" t="s">
        <v>100</v>
      </c>
      <c r="B3888" s="158" t="s">
        <v>13702</v>
      </c>
      <c r="C3888" s="37" t="s">
        <v>412</v>
      </c>
      <c r="D3888" s="20" t="s">
        <v>13703</v>
      </c>
      <c r="E3888" s="180" t="s">
        <v>13704</v>
      </c>
      <c r="F3888" s="19" t="s">
        <v>414</v>
      </c>
      <c r="G3888" s="37" t="s">
        <v>415</v>
      </c>
      <c r="H3888" s="37"/>
      <c r="I3888" s="37" t="s">
        <v>233</v>
      </c>
      <c r="J3888" s="155" t="str">
        <f t="shared" si="3"/>
        <v>NTT</v>
      </c>
      <c r="K3888" s="61" t="s">
        <v>13705</v>
      </c>
      <c r="L3888" s="56">
        <v>45100</v>
      </c>
      <c r="O3888" s="42"/>
      <c r="P3888" s="40"/>
      <c r="Q3888" s="61"/>
      <c r="R3888" s="61"/>
      <c r="S3888" s="40"/>
      <c r="T3888" s="38"/>
      <c r="U3888" s="38"/>
      <c r="V3888" s="38"/>
      <c r="W3888" s="60"/>
      <c r="AB3888" s="42"/>
      <c r="AC3888" s="35"/>
      <c r="AD3888" s="38"/>
      <c r="AE3888" s="38"/>
      <c r="AF3888" s="38"/>
      <c r="AG3888" s="38"/>
      <c r="AH3888" s="60"/>
    </row>
    <row r="3889" spans="1:34" ht="15.75" customHeight="1">
      <c r="A3889" s="17">
        <v>161</v>
      </c>
      <c r="B3889" s="158" t="s">
        <v>13706</v>
      </c>
      <c r="C3889" s="37" t="s">
        <v>46</v>
      </c>
      <c r="D3889" s="20" t="s">
        <v>13707</v>
      </c>
      <c r="E3889" s="180" t="s">
        <v>13708</v>
      </c>
      <c r="F3889" s="37" t="s">
        <v>49</v>
      </c>
      <c r="G3889" s="19" t="s">
        <v>50</v>
      </c>
      <c r="H3889" s="37"/>
      <c r="I3889" s="37" t="s">
        <v>29</v>
      </c>
      <c r="J3889" s="155" t="str">
        <f t="shared" si="3"/>
        <v>TT</v>
      </c>
      <c r="K3889" s="61" t="s">
        <v>13709</v>
      </c>
      <c r="L3889" s="56">
        <v>45100</v>
      </c>
      <c r="O3889" s="42"/>
      <c r="P3889" s="40"/>
      <c r="Q3889" s="61"/>
      <c r="R3889" s="61"/>
      <c r="S3889" s="40"/>
      <c r="T3889" s="38"/>
      <c r="U3889" s="38"/>
      <c r="V3889" s="38"/>
      <c r="W3889" s="60"/>
      <c r="AB3889" s="42"/>
      <c r="AC3889" s="35"/>
      <c r="AD3889" s="38"/>
      <c r="AE3889" s="38"/>
      <c r="AF3889" s="38"/>
      <c r="AG3889" s="38"/>
      <c r="AH3889" s="60"/>
    </row>
    <row r="3890" spans="1:34" ht="15.75" customHeight="1">
      <c r="A3890" s="190"/>
      <c r="B3890" s="158" t="s">
        <v>13710</v>
      </c>
      <c r="C3890" s="37" t="s">
        <v>24</v>
      </c>
      <c r="D3890" s="20" t="s">
        <v>13711</v>
      </c>
      <c r="E3890" s="180" t="s">
        <v>13712</v>
      </c>
      <c r="F3890" s="19" t="s">
        <v>27</v>
      </c>
      <c r="G3890" s="19" t="s">
        <v>28</v>
      </c>
      <c r="H3890" s="37"/>
      <c r="I3890" s="37" t="s">
        <v>29</v>
      </c>
      <c r="J3890" s="155" t="str">
        <f t="shared" si="3"/>
        <v>TT</v>
      </c>
      <c r="K3890" s="61" t="s">
        <v>13713</v>
      </c>
      <c r="L3890" s="56">
        <v>45100</v>
      </c>
      <c r="Q3890" s="20"/>
      <c r="R3890" s="20"/>
      <c r="T3890" s="40"/>
      <c r="U3890" s="40"/>
      <c r="V3890" s="38"/>
      <c r="W3890" s="60"/>
      <c r="AB3890" s="42"/>
      <c r="AC3890" s="35"/>
      <c r="AD3890" s="38"/>
      <c r="AE3890" s="38"/>
      <c r="AF3890" s="38"/>
      <c r="AG3890" s="38"/>
      <c r="AH3890" s="60"/>
    </row>
    <row r="3891" spans="1:34" ht="15.75" customHeight="1">
      <c r="A3891" s="190"/>
      <c r="B3891" s="158" t="s">
        <v>13714</v>
      </c>
      <c r="C3891" s="19" t="s">
        <v>228</v>
      </c>
      <c r="D3891" s="20" t="s">
        <v>13715</v>
      </c>
      <c r="E3891" s="180" t="s">
        <v>13716</v>
      </c>
      <c r="F3891" s="19" t="s">
        <v>231</v>
      </c>
      <c r="G3891" s="19" t="s">
        <v>232</v>
      </c>
      <c r="H3891" s="19"/>
      <c r="I3891" s="37" t="s">
        <v>233</v>
      </c>
      <c r="J3891" s="155" t="str">
        <f t="shared" si="3"/>
        <v>NTT</v>
      </c>
      <c r="K3891" s="61" t="s">
        <v>13717</v>
      </c>
      <c r="L3891" s="56">
        <v>45100</v>
      </c>
      <c r="O3891" s="42"/>
      <c r="P3891" s="40"/>
      <c r="Q3891" s="61"/>
      <c r="R3891" s="61"/>
      <c r="S3891" s="40"/>
      <c r="T3891" s="38"/>
      <c r="U3891" s="38"/>
      <c r="V3891" s="38"/>
      <c r="W3891" s="60"/>
      <c r="AB3891" s="42"/>
      <c r="AC3891" s="35"/>
      <c r="AD3891" s="38"/>
      <c r="AE3891" s="38"/>
      <c r="AF3891" s="38"/>
      <c r="AG3891" s="38"/>
      <c r="AH3891" s="60"/>
    </row>
    <row r="3892" spans="1:34" ht="15.75" customHeight="1">
      <c r="A3892" s="191"/>
      <c r="B3892" s="158" t="s">
        <v>13718</v>
      </c>
      <c r="C3892" s="37" t="s">
        <v>412</v>
      </c>
      <c r="D3892" s="20" t="s">
        <v>13719</v>
      </c>
      <c r="E3892" s="180" t="s">
        <v>13720</v>
      </c>
      <c r="F3892" s="19" t="s">
        <v>414</v>
      </c>
      <c r="G3892" s="19" t="s">
        <v>415</v>
      </c>
      <c r="H3892" s="37"/>
      <c r="I3892" s="37" t="s">
        <v>233</v>
      </c>
      <c r="J3892" s="155" t="str">
        <f t="shared" si="3"/>
        <v>NTT</v>
      </c>
      <c r="K3892" s="61" t="s">
        <v>13721</v>
      </c>
      <c r="L3892" s="56">
        <v>45100</v>
      </c>
      <c r="O3892" s="42"/>
      <c r="P3892" s="40"/>
      <c r="Q3892" s="61"/>
      <c r="R3892" s="61"/>
      <c r="S3892" s="40"/>
      <c r="T3892" s="38"/>
      <c r="U3892" s="38"/>
      <c r="V3892" s="38"/>
      <c r="W3892" s="60"/>
      <c r="AB3892" s="42"/>
      <c r="AC3892" s="35"/>
      <c r="AD3892" s="38"/>
      <c r="AE3892" s="38"/>
      <c r="AF3892" s="38"/>
      <c r="AG3892" s="38"/>
      <c r="AH3892" s="60"/>
    </row>
    <row r="3893" spans="1:34" ht="15.75" customHeight="1">
      <c r="A3893" s="191"/>
      <c r="B3893" s="158" t="s">
        <v>13722</v>
      </c>
      <c r="C3893" s="37" t="s">
        <v>24</v>
      </c>
      <c r="D3893" s="20" t="s">
        <v>13723</v>
      </c>
      <c r="E3893" s="180" t="s">
        <v>13724</v>
      </c>
      <c r="F3893" s="19" t="s">
        <v>27</v>
      </c>
      <c r="G3893" s="19" t="s">
        <v>28</v>
      </c>
      <c r="H3893" s="37"/>
      <c r="I3893" s="37" t="s">
        <v>29</v>
      </c>
      <c r="J3893" s="155" t="str">
        <f t="shared" si="3"/>
        <v>TT</v>
      </c>
      <c r="K3893" s="61" t="s">
        <v>13725</v>
      </c>
      <c r="L3893" s="56">
        <v>45100</v>
      </c>
      <c r="O3893" s="42"/>
      <c r="P3893" s="40"/>
      <c r="Q3893" s="61"/>
      <c r="R3893" s="61"/>
      <c r="S3893" s="40"/>
      <c r="T3893" s="38"/>
      <c r="U3893" s="38"/>
      <c r="V3893" s="38"/>
      <c r="W3893" s="60"/>
      <c r="AB3893" s="42"/>
      <c r="AC3893" s="35"/>
      <c r="AD3893" s="38"/>
      <c r="AE3893" s="38"/>
      <c r="AF3893" s="38"/>
      <c r="AG3893" s="38"/>
      <c r="AH3893" s="60"/>
    </row>
    <row r="3894" spans="1:34" ht="15.75" customHeight="1">
      <c r="A3894" s="191"/>
      <c r="B3894" s="158" t="s">
        <v>13726</v>
      </c>
      <c r="C3894" s="37" t="s">
        <v>24</v>
      </c>
      <c r="D3894" s="20" t="s">
        <v>13727</v>
      </c>
      <c r="E3894" s="180" t="s">
        <v>13728</v>
      </c>
      <c r="F3894" s="19" t="s">
        <v>27</v>
      </c>
      <c r="G3894" s="19" t="s">
        <v>28</v>
      </c>
      <c r="H3894" s="37"/>
      <c r="I3894" s="37" t="s">
        <v>29</v>
      </c>
      <c r="J3894" s="155" t="str">
        <f t="shared" si="3"/>
        <v>TT</v>
      </c>
      <c r="K3894" s="61" t="s">
        <v>13729</v>
      </c>
      <c r="L3894" s="56">
        <v>45100</v>
      </c>
      <c r="O3894" s="42"/>
      <c r="P3894" s="40"/>
      <c r="Q3894" s="61"/>
      <c r="R3894" s="61"/>
      <c r="S3894" s="40"/>
      <c r="T3894" s="38"/>
      <c r="U3894" s="38"/>
      <c r="V3894" s="38"/>
      <c r="W3894" s="60"/>
      <c r="AB3894" s="42"/>
      <c r="AC3894" s="35"/>
      <c r="AD3894" s="38"/>
      <c r="AE3894" s="38"/>
      <c r="AF3894" s="38"/>
      <c r="AG3894" s="38"/>
      <c r="AH3894" s="60"/>
    </row>
    <row r="3895" spans="1:34" ht="15.75" customHeight="1">
      <c r="A3895" s="192"/>
      <c r="B3895" s="158" t="s">
        <v>13730</v>
      </c>
      <c r="C3895" s="37" t="s">
        <v>24</v>
      </c>
      <c r="D3895" s="20" t="s">
        <v>13731</v>
      </c>
      <c r="E3895" s="180" t="s">
        <v>13732</v>
      </c>
      <c r="F3895" s="19" t="s">
        <v>27</v>
      </c>
      <c r="G3895" s="19" t="s">
        <v>28</v>
      </c>
      <c r="H3895" s="37"/>
      <c r="I3895" s="37" t="s">
        <v>29</v>
      </c>
      <c r="J3895" s="155" t="str">
        <f t="shared" si="3"/>
        <v>TT</v>
      </c>
      <c r="K3895" s="61" t="s">
        <v>13733</v>
      </c>
      <c r="L3895" s="56">
        <v>45100</v>
      </c>
      <c r="O3895" s="42"/>
      <c r="P3895" s="40"/>
      <c r="Q3895" s="61"/>
      <c r="R3895" s="61"/>
      <c r="S3895" s="40"/>
      <c r="T3895" s="38"/>
      <c r="U3895" s="38"/>
      <c r="V3895" s="38"/>
      <c r="W3895" s="60"/>
      <c r="AB3895" s="42"/>
      <c r="AC3895" s="35"/>
      <c r="AD3895" s="38"/>
      <c r="AE3895" s="38"/>
      <c r="AF3895" s="38"/>
      <c r="AG3895" s="38"/>
      <c r="AH3895" s="60"/>
    </row>
    <row r="3896" spans="1:34" ht="15.75" customHeight="1">
      <c r="A3896" s="192"/>
      <c r="B3896" s="158" t="s">
        <v>13734</v>
      </c>
      <c r="C3896" s="37" t="s">
        <v>87</v>
      </c>
      <c r="D3896" s="20" t="s">
        <v>13735</v>
      </c>
      <c r="E3896" s="180" t="s">
        <v>13736</v>
      </c>
      <c r="F3896" s="19" t="s">
        <v>90</v>
      </c>
      <c r="G3896" s="19" t="s">
        <v>91</v>
      </c>
      <c r="H3896" s="37"/>
      <c r="I3896" s="37" t="s">
        <v>29</v>
      </c>
      <c r="J3896" s="155" t="str">
        <f t="shared" si="3"/>
        <v>TT</v>
      </c>
      <c r="K3896" s="61" t="s">
        <v>13737</v>
      </c>
      <c r="L3896" s="56">
        <v>45100</v>
      </c>
      <c r="O3896" s="42"/>
      <c r="P3896" s="40"/>
      <c r="Q3896" s="61"/>
      <c r="R3896" s="61"/>
      <c r="S3896" s="40"/>
      <c r="T3896" s="38"/>
      <c r="U3896" s="38"/>
      <c r="V3896" s="38"/>
      <c r="W3896" s="60"/>
      <c r="AB3896" s="42"/>
      <c r="AC3896" s="35"/>
      <c r="AD3896" s="38"/>
      <c r="AE3896" s="38"/>
      <c r="AF3896" s="38"/>
      <c r="AG3896" s="38"/>
      <c r="AH3896" s="60"/>
    </row>
    <row r="3897" spans="1:34" ht="15.75" customHeight="1">
      <c r="A3897" s="191"/>
      <c r="B3897" s="158" t="s">
        <v>13738</v>
      </c>
      <c r="C3897" s="37" t="s">
        <v>24</v>
      </c>
      <c r="D3897" s="20" t="s">
        <v>13739</v>
      </c>
      <c r="E3897" s="180" t="s">
        <v>13740</v>
      </c>
      <c r="F3897" s="19" t="s">
        <v>27</v>
      </c>
      <c r="G3897" s="19" t="s">
        <v>28</v>
      </c>
      <c r="H3897" s="37"/>
      <c r="I3897" s="37" t="s">
        <v>29</v>
      </c>
      <c r="J3897" s="155" t="str">
        <f t="shared" si="3"/>
        <v>TT</v>
      </c>
      <c r="K3897" s="61" t="s">
        <v>13741</v>
      </c>
      <c r="L3897" s="56">
        <v>45100</v>
      </c>
      <c r="O3897" s="42"/>
      <c r="P3897" s="40"/>
      <c r="Q3897" s="61"/>
      <c r="R3897" s="61"/>
      <c r="S3897" s="40"/>
      <c r="T3897" s="38"/>
      <c r="U3897" s="38"/>
      <c r="V3897" s="38"/>
      <c r="W3897" s="60"/>
      <c r="AB3897" s="42"/>
      <c r="AC3897" s="35"/>
      <c r="AD3897" s="38"/>
      <c r="AE3897" s="38"/>
      <c r="AF3897" s="38"/>
      <c r="AG3897" s="38"/>
      <c r="AH3897" s="60"/>
    </row>
    <row r="3898" spans="1:34" ht="15.75" customHeight="1">
      <c r="A3898" s="191"/>
      <c r="B3898" s="158" t="s">
        <v>13742</v>
      </c>
      <c r="C3898" s="37" t="s">
        <v>228</v>
      </c>
      <c r="D3898" s="20" t="s">
        <v>13743</v>
      </c>
      <c r="E3898" s="180" t="s">
        <v>13744</v>
      </c>
      <c r="F3898" s="19" t="s">
        <v>231</v>
      </c>
      <c r="G3898" s="19" t="s">
        <v>232</v>
      </c>
      <c r="H3898" s="37"/>
      <c r="I3898" s="37" t="s">
        <v>233</v>
      </c>
      <c r="J3898" s="155" t="str">
        <f t="shared" si="3"/>
        <v>NTT</v>
      </c>
      <c r="K3898" s="61" t="s">
        <v>13745</v>
      </c>
      <c r="L3898" s="56">
        <v>45100</v>
      </c>
      <c r="O3898" s="42"/>
      <c r="P3898" s="40"/>
      <c r="Q3898" s="61"/>
      <c r="R3898" s="61"/>
      <c r="S3898" s="40"/>
      <c r="T3898" s="38"/>
      <c r="U3898" s="38"/>
      <c r="V3898" s="38"/>
      <c r="W3898" s="60"/>
      <c r="AB3898" s="42"/>
      <c r="AC3898" s="35"/>
      <c r="AD3898" s="38"/>
      <c r="AE3898" s="38"/>
      <c r="AF3898" s="38"/>
      <c r="AG3898" s="38"/>
      <c r="AH3898" s="60"/>
    </row>
    <row r="3899" spans="1:34" ht="15.75" customHeight="1">
      <c r="A3899" s="191"/>
      <c r="B3899" s="158" t="s">
        <v>13746</v>
      </c>
      <c r="C3899" s="37" t="s">
        <v>87</v>
      </c>
      <c r="D3899" s="20" t="s">
        <v>13747</v>
      </c>
      <c r="E3899" s="180" t="s">
        <v>13748</v>
      </c>
      <c r="F3899" s="19" t="s">
        <v>90</v>
      </c>
      <c r="G3899" s="19" t="s">
        <v>91</v>
      </c>
      <c r="H3899" s="37"/>
      <c r="I3899" s="37" t="s">
        <v>29</v>
      </c>
      <c r="J3899" s="155" t="str">
        <f t="shared" si="3"/>
        <v>TT</v>
      </c>
      <c r="K3899" s="61" t="s">
        <v>13749</v>
      </c>
      <c r="L3899" s="56">
        <v>45100</v>
      </c>
      <c r="O3899" s="42"/>
      <c r="P3899" s="40"/>
      <c r="Q3899" s="61"/>
      <c r="R3899" s="61"/>
      <c r="S3899" s="40"/>
      <c r="T3899" s="38"/>
      <c r="U3899" s="38"/>
      <c r="V3899" s="38"/>
      <c r="W3899" s="60"/>
      <c r="AB3899" s="42"/>
      <c r="AC3899" s="35"/>
      <c r="AD3899" s="38"/>
      <c r="AE3899" s="38"/>
      <c r="AF3899" s="38"/>
      <c r="AG3899" s="38"/>
      <c r="AH3899" s="60"/>
    </row>
    <row r="3900" spans="1:34" ht="15.75" customHeight="1">
      <c r="A3900" s="192"/>
      <c r="B3900" s="158" t="s">
        <v>13750</v>
      </c>
      <c r="C3900" s="37" t="s">
        <v>24</v>
      </c>
      <c r="D3900" s="20" t="s">
        <v>13751</v>
      </c>
      <c r="E3900" s="180" t="s">
        <v>13752</v>
      </c>
      <c r="F3900" s="19" t="s">
        <v>27</v>
      </c>
      <c r="G3900" s="19" t="s">
        <v>28</v>
      </c>
      <c r="H3900" s="37"/>
      <c r="I3900" s="37" t="s">
        <v>29</v>
      </c>
      <c r="J3900" s="155" t="str">
        <f t="shared" si="3"/>
        <v>TT</v>
      </c>
      <c r="K3900" s="61" t="s">
        <v>13753</v>
      </c>
      <c r="L3900" s="56">
        <v>45100</v>
      </c>
      <c r="O3900" s="42"/>
      <c r="P3900" s="40"/>
      <c r="Q3900" s="61"/>
      <c r="R3900" s="61"/>
      <c r="S3900" s="40"/>
      <c r="T3900" s="38"/>
      <c r="U3900" s="38"/>
      <c r="V3900" s="38"/>
      <c r="W3900" s="60"/>
      <c r="AB3900" s="42"/>
      <c r="AC3900" s="35"/>
      <c r="AD3900" s="38"/>
      <c r="AE3900" s="38"/>
      <c r="AF3900" s="38"/>
      <c r="AG3900" s="38"/>
      <c r="AH3900" s="60"/>
    </row>
    <row r="3901" spans="1:34" ht="15.75" customHeight="1">
      <c r="A3901" s="191"/>
      <c r="B3901" s="158" t="s">
        <v>13754</v>
      </c>
      <c r="C3901" s="37" t="s">
        <v>24</v>
      </c>
      <c r="D3901" s="20" t="s">
        <v>13755</v>
      </c>
      <c r="E3901" s="180" t="s">
        <v>13756</v>
      </c>
      <c r="F3901" s="19" t="s">
        <v>27</v>
      </c>
      <c r="G3901" s="19" t="s">
        <v>28</v>
      </c>
      <c r="H3901" s="37"/>
      <c r="I3901" s="37" t="s">
        <v>29</v>
      </c>
      <c r="J3901" s="155" t="str">
        <f t="shared" si="3"/>
        <v>TT</v>
      </c>
      <c r="K3901" s="61" t="s">
        <v>13757</v>
      </c>
      <c r="L3901" s="56">
        <v>45100</v>
      </c>
      <c r="O3901" s="42"/>
      <c r="P3901" s="40"/>
      <c r="Q3901" s="61"/>
      <c r="R3901" s="61"/>
      <c r="S3901" s="40"/>
      <c r="T3901" s="38"/>
      <c r="U3901" s="38"/>
      <c r="V3901" s="38"/>
      <c r="W3901" s="60"/>
      <c r="AB3901" s="42"/>
      <c r="AC3901" s="35"/>
      <c r="AD3901" s="38"/>
      <c r="AE3901" s="38"/>
      <c r="AF3901" s="38"/>
      <c r="AG3901" s="38"/>
      <c r="AH3901" s="60"/>
    </row>
    <row r="3902" spans="1:34" ht="15.75" customHeight="1">
      <c r="A3902" s="191"/>
      <c r="B3902" s="158" t="s">
        <v>13758</v>
      </c>
      <c r="C3902" s="37" t="s">
        <v>24</v>
      </c>
      <c r="D3902" s="20" t="s">
        <v>13759</v>
      </c>
      <c r="E3902" s="180" t="s">
        <v>13760</v>
      </c>
      <c r="F3902" s="19" t="s">
        <v>27</v>
      </c>
      <c r="G3902" s="19" t="s">
        <v>28</v>
      </c>
      <c r="H3902" s="37"/>
      <c r="I3902" s="37" t="s">
        <v>29</v>
      </c>
      <c r="J3902" s="155" t="str">
        <f t="shared" si="3"/>
        <v>TT</v>
      </c>
      <c r="K3902" s="61" t="s">
        <v>13761</v>
      </c>
      <c r="L3902" s="56">
        <v>45100</v>
      </c>
      <c r="O3902" s="42"/>
      <c r="P3902" s="40"/>
      <c r="Q3902" s="61"/>
      <c r="R3902" s="61"/>
      <c r="S3902" s="40"/>
      <c r="T3902" s="38"/>
      <c r="U3902" s="38"/>
      <c r="V3902" s="38"/>
      <c r="W3902" s="60"/>
      <c r="AB3902" s="42"/>
      <c r="AC3902" s="35"/>
      <c r="AD3902" s="38"/>
      <c r="AE3902" s="38"/>
      <c r="AF3902" s="38"/>
      <c r="AG3902" s="38"/>
      <c r="AH3902" s="60"/>
    </row>
    <row r="3903" spans="1:34" ht="15.75" customHeight="1">
      <c r="A3903" s="191"/>
      <c r="B3903" s="158" t="s">
        <v>13762</v>
      </c>
      <c r="C3903" s="37" t="s">
        <v>24</v>
      </c>
      <c r="D3903" s="20" t="s">
        <v>13763</v>
      </c>
      <c r="E3903" s="180" t="s">
        <v>13764</v>
      </c>
      <c r="F3903" s="19" t="s">
        <v>27</v>
      </c>
      <c r="G3903" s="19" t="s">
        <v>28</v>
      </c>
      <c r="H3903" s="37"/>
      <c r="I3903" s="37" t="s">
        <v>29</v>
      </c>
      <c r="J3903" s="155" t="str">
        <f t="shared" si="3"/>
        <v>TT</v>
      </c>
      <c r="K3903" s="61" t="s">
        <v>13765</v>
      </c>
      <c r="L3903" s="56">
        <v>45100</v>
      </c>
      <c r="O3903" s="42"/>
      <c r="P3903" s="40"/>
      <c r="Q3903" s="61"/>
      <c r="R3903" s="61"/>
      <c r="S3903" s="40"/>
      <c r="T3903" s="38"/>
      <c r="U3903" s="38"/>
      <c r="V3903" s="38"/>
      <c r="W3903" s="60"/>
      <c r="AB3903" s="42"/>
      <c r="AC3903" s="35"/>
      <c r="AD3903" s="38"/>
      <c r="AE3903" s="38"/>
      <c r="AF3903" s="38"/>
      <c r="AG3903" s="38"/>
      <c r="AH3903" s="60"/>
    </row>
    <row r="3904" spans="1:34" ht="15.75" customHeight="1">
      <c r="A3904" s="192"/>
      <c r="B3904" s="158" t="s">
        <v>13766</v>
      </c>
      <c r="C3904" s="37" t="s">
        <v>24</v>
      </c>
      <c r="D3904" s="20" t="s">
        <v>13767</v>
      </c>
      <c r="E3904" s="180" t="s">
        <v>13768</v>
      </c>
      <c r="F3904" s="19" t="s">
        <v>27</v>
      </c>
      <c r="G3904" s="19" t="s">
        <v>28</v>
      </c>
      <c r="H3904" s="37"/>
      <c r="I3904" s="37" t="s">
        <v>29</v>
      </c>
      <c r="J3904" s="155" t="str">
        <f t="shared" si="3"/>
        <v>TT</v>
      </c>
      <c r="K3904" s="61" t="s">
        <v>13769</v>
      </c>
      <c r="L3904" s="56">
        <v>45100</v>
      </c>
      <c r="O3904" s="42"/>
      <c r="P3904" s="40"/>
      <c r="Q3904" s="61"/>
      <c r="R3904" s="61"/>
      <c r="S3904" s="40"/>
      <c r="T3904" s="38"/>
      <c r="U3904" s="38"/>
      <c r="V3904" s="38"/>
      <c r="W3904" s="60"/>
      <c r="AB3904" s="42"/>
      <c r="AC3904" s="35"/>
      <c r="AD3904" s="38"/>
      <c r="AE3904" s="38"/>
      <c r="AF3904" s="38"/>
      <c r="AG3904" s="38"/>
      <c r="AH3904" s="60"/>
    </row>
    <row r="3905" spans="1:34" ht="15.75" customHeight="1">
      <c r="A3905" s="192"/>
      <c r="B3905" s="158" t="s">
        <v>13770</v>
      </c>
      <c r="C3905" s="19" t="s">
        <v>228</v>
      </c>
      <c r="D3905" s="20" t="s">
        <v>13771</v>
      </c>
      <c r="E3905" s="180" t="s">
        <v>13772</v>
      </c>
      <c r="F3905" s="19" t="s">
        <v>231</v>
      </c>
      <c r="G3905" s="19" t="s">
        <v>232</v>
      </c>
      <c r="H3905" s="19"/>
      <c r="I3905" s="37" t="s">
        <v>233</v>
      </c>
      <c r="J3905" s="155" t="str">
        <f t="shared" si="3"/>
        <v>NTT</v>
      </c>
      <c r="K3905" s="61" t="s">
        <v>13773</v>
      </c>
      <c r="L3905" s="56">
        <v>45100</v>
      </c>
      <c r="O3905" s="42"/>
      <c r="P3905" s="40"/>
      <c r="Q3905" s="61"/>
      <c r="R3905" s="61"/>
      <c r="S3905" s="40"/>
      <c r="T3905" s="38"/>
      <c r="U3905" s="38"/>
      <c r="V3905" s="38"/>
      <c r="W3905" s="60"/>
      <c r="AB3905" s="42"/>
      <c r="AC3905" s="35"/>
      <c r="AD3905" s="38"/>
      <c r="AE3905" s="38"/>
      <c r="AF3905" s="38"/>
      <c r="AG3905" s="38"/>
      <c r="AH3905" s="60"/>
    </row>
    <row r="3906" spans="1:34" ht="15.75" customHeight="1">
      <c r="A3906" s="191"/>
      <c r="B3906" s="158" t="s">
        <v>13774</v>
      </c>
      <c r="C3906" s="37" t="s">
        <v>87</v>
      </c>
      <c r="D3906" s="20" t="s">
        <v>13775</v>
      </c>
      <c r="E3906" s="180" t="s">
        <v>13776</v>
      </c>
      <c r="F3906" s="19" t="s">
        <v>90</v>
      </c>
      <c r="G3906" s="19" t="s">
        <v>91</v>
      </c>
      <c r="H3906" s="37"/>
      <c r="I3906" s="37" t="s">
        <v>29</v>
      </c>
      <c r="J3906" s="155" t="str">
        <f t="shared" si="3"/>
        <v>TT</v>
      </c>
      <c r="K3906" s="61" t="s">
        <v>13776</v>
      </c>
      <c r="L3906" s="56">
        <v>45100</v>
      </c>
      <c r="O3906" s="42"/>
      <c r="P3906" s="40"/>
      <c r="Q3906" s="61"/>
      <c r="R3906" s="61"/>
      <c r="S3906" s="40"/>
      <c r="T3906" s="38"/>
      <c r="U3906" s="38"/>
      <c r="V3906" s="38"/>
      <c r="W3906" s="60"/>
      <c r="AB3906" s="42"/>
      <c r="AC3906" s="35"/>
      <c r="AD3906" s="38"/>
      <c r="AE3906" s="38"/>
      <c r="AF3906" s="38"/>
      <c r="AG3906" s="38"/>
      <c r="AH3906" s="60"/>
    </row>
    <row r="3907" spans="1:34" ht="15.75" customHeight="1">
      <c r="A3907" s="191"/>
      <c r="B3907" s="158" t="s">
        <v>13777</v>
      </c>
      <c r="C3907" s="37" t="s">
        <v>24</v>
      </c>
      <c r="D3907" s="20" t="s">
        <v>13778</v>
      </c>
      <c r="E3907" s="180" t="s">
        <v>13779</v>
      </c>
      <c r="F3907" s="19" t="s">
        <v>27</v>
      </c>
      <c r="G3907" s="19" t="s">
        <v>28</v>
      </c>
      <c r="H3907" s="37"/>
      <c r="I3907" s="37" t="s">
        <v>29</v>
      </c>
      <c r="J3907" s="155" t="str">
        <f t="shared" si="3"/>
        <v>TT</v>
      </c>
      <c r="K3907" s="61" t="s">
        <v>13780</v>
      </c>
      <c r="L3907" s="56">
        <v>45100</v>
      </c>
      <c r="O3907" s="42"/>
      <c r="P3907" s="40"/>
      <c r="Q3907" s="61"/>
      <c r="R3907" s="61"/>
      <c r="S3907" s="40"/>
      <c r="T3907" s="38"/>
      <c r="U3907" s="38"/>
      <c r="V3907" s="38"/>
      <c r="W3907" s="60"/>
      <c r="AB3907" s="42"/>
      <c r="AC3907" s="35"/>
      <c r="AD3907" s="38"/>
      <c r="AE3907" s="38"/>
      <c r="AF3907" s="38"/>
      <c r="AG3907" s="38"/>
      <c r="AH3907" s="60"/>
    </row>
    <row r="3908" spans="1:34" ht="15.75" customHeight="1">
      <c r="A3908" s="191"/>
      <c r="B3908" s="158" t="s">
        <v>13781</v>
      </c>
      <c r="C3908" s="37" t="s">
        <v>46</v>
      </c>
      <c r="D3908" s="20" t="s">
        <v>13782</v>
      </c>
      <c r="E3908" s="180" t="s">
        <v>13783</v>
      </c>
      <c r="F3908" s="37" t="s">
        <v>49</v>
      </c>
      <c r="G3908" s="19" t="s">
        <v>50</v>
      </c>
      <c r="H3908" s="37"/>
      <c r="I3908" s="37" t="s">
        <v>29</v>
      </c>
      <c r="J3908" s="155" t="str">
        <f t="shared" si="3"/>
        <v>TT</v>
      </c>
      <c r="K3908" s="61" t="s">
        <v>13784</v>
      </c>
      <c r="L3908" s="56">
        <v>45100</v>
      </c>
      <c r="O3908" s="42"/>
      <c r="P3908" s="40"/>
      <c r="Q3908" s="61"/>
      <c r="R3908" s="61"/>
      <c r="S3908" s="40"/>
      <c r="T3908" s="38"/>
      <c r="U3908" s="38"/>
      <c r="V3908" s="38"/>
      <c r="W3908" s="60"/>
      <c r="AB3908" s="42"/>
      <c r="AC3908" s="35"/>
      <c r="AD3908" s="38"/>
      <c r="AE3908" s="38"/>
      <c r="AF3908" s="38"/>
      <c r="AG3908" s="38"/>
      <c r="AH3908" s="60"/>
    </row>
    <row r="3909" spans="1:34" ht="15.75" customHeight="1">
      <c r="A3909" s="192"/>
      <c r="B3909" s="158" t="s">
        <v>13785</v>
      </c>
      <c r="C3909" s="37" t="s">
        <v>412</v>
      </c>
      <c r="D3909" s="20" t="s">
        <v>13786</v>
      </c>
      <c r="E3909" s="180" t="s">
        <v>13787</v>
      </c>
      <c r="F3909" s="19" t="s">
        <v>414</v>
      </c>
      <c r="G3909" s="37" t="s">
        <v>415</v>
      </c>
      <c r="H3909" s="37"/>
      <c r="I3909" s="37" t="s">
        <v>233</v>
      </c>
      <c r="J3909" s="155" t="str">
        <f t="shared" si="3"/>
        <v>NTT</v>
      </c>
      <c r="K3909" s="61" t="s">
        <v>13788</v>
      </c>
      <c r="L3909" s="56">
        <v>45100</v>
      </c>
      <c r="O3909" s="42"/>
      <c r="P3909" s="40"/>
      <c r="Q3909" s="61"/>
      <c r="R3909" s="61"/>
      <c r="S3909" s="40"/>
      <c r="T3909" s="38"/>
      <c r="U3909" s="38"/>
      <c r="V3909" s="38"/>
      <c r="W3909" s="60"/>
      <c r="AB3909" s="42"/>
      <c r="AC3909" s="35"/>
      <c r="AD3909" s="38"/>
      <c r="AE3909" s="38"/>
      <c r="AF3909" s="38"/>
      <c r="AG3909" s="38"/>
      <c r="AH3909" s="60"/>
    </row>
    <row r="3910" spans="1:34" ht="15.75" customHeight="1">
      <c r="A3910" s="192"/>
      <c r="B3910" s="158" t="s">
        <v>13789</v>
      </c>
      <c r="C3910" s="37" t="s">
        <v>46</v>
      </c>
      <c r="D3910" s="20" t="s">
        <v>13790</v>
      </c>
      <c r="E3910" s="180" t="s">
        <v>13791</v>
      </c>
      <c r="F3910" s="37" t="s">
        <v>49</v>
      </c>
      <c r="G3910" s="19" t="s">
        <v>50</v>
      </c>
      <c r="H3910" s="37"/>
      <c r="I3910" s="37" t="s">
        <v>29</v>
      </c>
      <c r="J3910" s="155" t="str">
        <f t="shared" si="3"/>
        <v>TT</v>
      </c>
      <c r="K3910" s="61" t="s">
        <v>13792</v>
      </c>
      <c r="L3910" s="56">
        <v>45100</v>
      </c>
      <c r="O3910" s="42"/>
      <c r="P3910" s="40"/>
      <c r="Q3910" s="61"/>
      <c r="R3910" s="61"/>
      <c r="S3910" s="40"/>
      <c r="T3910" s="38"/>
      <c r="U3910" s="38"/>
      <c r="V3910" s="38"/>
      <c r="W3910" s="60"/>
      <c r="AB3910" s="42"/>
      <c r="AC3910" s="35"/>
      <c r="AD3910" s="38"/>
      <c r="AE3910" s="38"/>
      <c r="AF3910" s="38"/>
      <c r="AG3910" s="38"/>
      <c r="AH3910" s="60"/>
    </row>
    <row r="3911" spans="1:34" ht="15.75" customHeight="1">
      <c r="A3911" s="191"/>
      <c r="B3911" s="158" t="s">
        <v>13793</v>
      </c>
      <c r="C3911" s="37" t="s">
        <v>87</v>
      </c>
      <c r="D3911" s="20" t="s">
        <v>13794</v>
      </c>
      <c r="E3911" s="180" t="s">
        <v>13795</v>
      </c>
      <c r="F3911" s="19" t="s">
        <v>90</v>
      </c>
      <c r="G3911" s="19" t="s">
        <v>91</v>
      </c>
      <c r="H3911" s="37"/>
      <c r="I3911" s="37" t="s">
        <v>29</v>
      </c>
      <c r="J3911" s="155" t="str">
        <f t="shared" si="3"/>
        <v>TT</v>
      </c>
      <c r="K3911" s="61" t="s">
        <v>13796</v>
      </c>
      <c r="L3911" s="56">
        <v>45100</v>
      </c>
      <c r="O3911" s="42"/>
      <c r="P3911" s="40"/>
      <c r="Q3911" s="61"/>
      <c r="R3911" s="61"/>
      <c r="S3911" s="40"/>
      <c r="T3911" s="38"/>
      <c r="U3911" s="38"/>
      <c r="V3911" s="38"/>
      <c r="W3911" s="60"/>
      <c r="AB3911" s="42"/>
      <c r="AC3911" s="35"/>
      <c r="AD3911" s="38"/>
      <c r="AE3911" s="38"/>
      <c r="AF3911" s="38"/>
      <c r="AG3911" s="38"/>
      <c r="AH3911" s="60"/>
    </row>
    <row r="3912" spans="1:34" ht="15.75" customHeight="1">
      <c r="A3912" s="191"/>
      <c r="B3912" s="158" t="s">
        <v>13797</v>
      </c>
      <c r="C3912" s="37" t="s">
        <v>24</v>
      </c>
      <c r="D3912" s="20" t="s">
        <v>13798</v>
      </c>
      <c r="E3912" s="180" t="s">
        <v>13799</v>
      </c>
      <c r="F3912" s="19" t="s">
        <v>27</v>
      </c>
      <c r="G3912" s="19" t="s">
        <v>28</v>
      </c>
      <c r="H3912" s="37"/>
      <c r="I3912" s="37" t="s">
        <v>29</v>
      </c>
      <c r="J3912" s="155" t="str">
        <f t="shared" si="3"/>
        <v>TT</v>
      </c>
      <c r="K3912" s="61" t="s">
        <v>13800</v>
      </c>
      <c r="L3912" s="56">
        <v>45100</v>
      </c>
      <c r="O3912" s="42"/>
      <c r="P3912" s="40"/>
      <c r="Q3912" s="61"/>
      <c r="R3912" s="61"/>
      <c r="S3912" s="40"/>
      <c r="T3912" s="38"/>
      <c r="U3912" s="38"/>
      <c r="V3912" s="38"/>
      <c r="W3912" s="60"/>
      <c r="AB3912" s="42"/>
      <c r="AC3912" s="35"/>
      <c r="AD3912" s="38"/>
      <c r="AE3912" s="38"/>
      <c r="AF3912" s="38"/>
      <c r="AG3912" s="38"/>
      <c r="AH3912" s="60"/>
    </row>
    <row r="3913" spans="1:34" ht="15.75" customHeight="1">
      <c r="A3913" s="192"/>
      <c r="B3913" s="158" t="s">
        <v>13801</v>
      </c>
      <c r="C3913" s="37" t="s">
        <v>87</v>
      </c>
      <c r="D3913" s="20" t="s">
        <v>13802</v>
      </c>
      <c r="E3913" s="180" t="s">
        <v>13803</v>
      </c>
      <c r="F3913" s="19" t="s">
        <v>90</v>
      </c>
      <c r="G3913" s="19" t="s">
        <v>91</v>
      </c>
      <c r="H3913" s="37"/>
      <c r="I3913" s="37" t="s">
        <v>29</v>
      </c>
      <c r="J3913" s="155" t="str">
        <f t="shared" si="3"/>
        <v>TT</v>
      </c>
      <c r="K3913" s="61" t="s">
        <v>13804</v>
      </c>
      <c r="L3913" s="56">
        <v>45100</v>
      </c>
      <c r="O3913" s="42"/>
      <c r="P3913" s="40"/>
      <c r="Q3913" s="61"/>
      <c r="R3913" s="61"/>
      <c r="S3913" s="40"/>
      <c r="T3913" s="38"/>
      <c r="U3913" s="38"/>
      <c r="V3913" s="38"/>
      <c r="W3913" s="60"/>
      <c r="AB3913" s="42"/>
      <c r="AC3913" s="35"/>
      <c r="AD3913" s="38"/>
      <c r="AE3913" s="38"/>
      <c r="AF3913" s="38"/>
      <c r="AG3913" s="38"/>
      <c r="AH3913" s="60"/>
    </row>
    <row r="3914" spans="1:34" ht="15.75" customHeight="1">
      <c r="A3914" s="192"/>
      <c r="B3914" s="158" t="s">
        <v>13805</v>
      </c>
      <c r="C3914" s="37" t="s">
        <v>24</v>
      </c>
      <c r="D3914" s="20" t="s">
        <v>13806</v>
      </c>
      <c r="E3914" s="180" t="s">
        <v>13807</v>
      </c>
      <c r="F3914" s="19" t="s">
        <v>27</v>
      </c>
      <c r="G3914" s="19" t="s">
        <v>28</v>
      </c>
      <c r="H3914" s="37"/>
      <c r="I3914" s="37" t="s">
        <v>29</v>
      </c>
      <c r="J3914" s="155" t="str">
        <f t="shared" si="3"/>
        <v>TT</v>
      </c>
      <c r="K3914" s="61" t="s">
        <v>13808</v>
      </c>
      <c r="L3914" s="56">
        <v>45100</v>
      </c>
      <c r="O3914" s="42"/>
      <c r="P3914" s="40"/>
      <c r="Q3914" s="61"/>
      <c r="R3914" s="61"/>
      <c r="S3914" s="40"/>
      <c r="T3914" s="38"/>
      <c r="U3914" s="38"/>
      <c r="V3914" s="38"/>
      <c r="W3914" s="60"/>
      <c r="AB3914" s="42"/>
      <c r="AC3914" s="35"/>
      <c r="AD3914" s="38"/>
      <c r="AE3914" s="38"/>
      <c r="AF3914" s="38"/>
      <c r="AG3914" s="38"/>
      <c r="AH3914" s="60"/>
    </row>
    <row r="3915" spans="1:34" ht="15.75" customHeight="1">
      <c r="A3915" s="191"/>
      <c r="B3915" s="158" t="s">
        <v>13809</v>
      </c>
      <c r="C3915" s="37" t="s">
        <v>46</v>
      </c>
      <c r="D3915" s="20" t="s">
        <v>13810</v>
      </c>
      <c r="E3915" s="180" t="s">
        <v>13811</v>
      </c>
      <c r="F3915" s="37" t="s">
        <v>49</v>
      </c>
      <c r="G3915" s="19" t="s">
        <v>50</v>
      </c>
      <c r="H3915" s="37"/>
      <c r="I3915" s="37" t="s">
        <v>29</v>
      </c>
      <c r="J3915" s="155" t="str">
        <f t="shared" si="3"/>
        <v>TT</v>
      </c>
      <c r="K3915" s="61" t="s">
        <v>13812</v>
      </c>
      <c r="L3915" s="56">
        <v>45100</v>
      </c>
      <c r="O3915" s="42"/>
      <c r="P3915" s="40"/>
      <c r="Q3915" s="61"/>
      <c r="R3915" s="61"/>
      <c r="S3915" s="40"/>
      <c r="T3915" s="38"/>
      <c r="U3915" s="38"/>
      <c r="V3915" s="38"/>
      <c r="W3915" s="60"/>
      <c r="AB3915" s="42"/>
      <c r="AC3915" s="35"/>
      <c r="AD3915" s="38"/>
      <c r="AE3915" s="38"/>
      <c r="AF3915" s="38"/>
      <c r="AG3915" s="38"/>
      <c r="AH3915" s="60"/>
    </row>
    <row r="3916" spans="1:34" ht="15.75" customHeight="1">
      <c r="A3916" s="191"/>
      <c r="B3916" s="158" t="s">
        <v>13813</v>
      </c>
      <c r="C3916" s="37" t="s">
        <v>1638</v>
      </c>
      <c r="D3916" s="20" t="s">
        <v>13814</v>
      </c>
      <c r="E3916" s="180" t="s">
        <v>13815</v>
      </c>
      <c r="F3916" s="37" t="s">
        <v>1399</v>
      </c>
      <c r="G3916" s="19" t="s">
        <v>1641</v>
      </c>
      <c r="H3916" s="37"/>
      <c r="I3916" s="21" t="s">
        <v>1371</v>
      </c>
      <c r="J3916" s="155" t="str">
        <f t="shared" si="3"/>
        <v>Other</v>
      </c>
      <c r="K3916" s="61" t="s">
        <v>13816</v>
      </c>
      <c r="L3916" s="56">
        <v>45100</v>
      </c>
      <c r="O3916" s="42"/>
      <c r="P3916" s="40"/>
      <c r="Q3916" s="61"/>
      <c r="R3916" s="61"/>
      <c r="S3916" s="40"/>
      <c r="T3916" s="38"/>
      <c r="U3916" s="38"/>
      <c r="V3916" s="38"/>
      <c r="W3916" s="60"/>
      <c r="AB3916" s="42"/>
      <c r="AC3916" s="35"/>
      <c r="AD3916" s="38"/>
      <c r="AE3916" s="38"/>
      <c r="AF3916" s="38"/>
      <c r="AG3916" s="38"/>
      <c r="AH3916" s="60"/>
    </row>
    <row r="3917" spans="1:34" ht="15.75" customHeight="1">
      <c r="A3917" s="191"/>
      <c r="B3917" s="158" t="s">
        <v>13817</v>
      </c>
      <c r="C3917" s="37" t="s">
        <v>24</v>
      </c>
      <c r="D3917" s="20" t="s">
        <v>13818</v>
      </c>
      <c r="E3917" s="180" t="s">
        <v>13819</v>
      </c>
      <c r="F3917" s="19" t="s">
        <v>27</v>
      </c>
      <c r="G3917" s="19" t="s">
        <v>28</v>
      </c>
      <c r="H3917" s="37"/>
      <c r="I3917" s="37" t="s">
        <v>29</v>
      </c>
      <c r="J3917" s="155" t="str">
        <f t="shared" si="3"/>
        <v>TT</v>
      </c>
      <c r="K3917" s="61" t="s">
        <v>13820</v>
      </c>
      <c r="L3917" s="56">
        <v>45100</v>
      </c>
      <c r="O3917" s="42"/>
      <c r="P3917" s="40"/>
      <c r="Q3917" s="61"/>
      <c r="R3917" s="61"/>
      <c r="S3917" s="40"/>
      <c r="T3917" s="38"/>
      <c r="U3917" s="38"/>
      <c r="V3917" s="38"/>
      <c r="W3917" s="60"/>
      <c r="AB3917" s="42"/>
      <c r="AC3917" s="35"/>
      <c r="AD3917" s="38"/>
      <c r="AE3917" s="38"/>
      <c r="AF3917" s="38"/>
      <c r="AG3917" s="38"/>
      <c r="AH3917" s="60"/>
    </row>
    <row r="3918" spans="1:34" ht="15.75" customHeight="1">
      <c r="A3918" s="192"/>
      <c r="B3918" s="158" t="s">
        <v>13821</v>
      </c>
      <c r="C3918" s="37" t="s">
        <v>24</v>
      </c>
      <c r="D3918" s="20" t="s">
        <v>13822</v>
      </c>
      <c r="E3918" s="180" t="s">
        <v>13823</v>
      </c>
      <c r="F3918" s="19" t="s">
        <v>27</v>
      </c>
      <c r="G3918" s="19" t="s">
        <v>28</v>
      </c>
      <c r="H3918" s="37"/>
      <c r="I3918" s="37" t="s">
        <v>29</v>
      </c>
      <c r="J3918" s="155" t="str">
        <f t="shared" si="3"/>
        <v>TT</v>
      </c>
      <c r="K3918" s="61" t="s">
        <v>13824</v>
      </c>
      <c r="L3918" s="56">
        <v>45100</v>
      </c>
      <c r="O3918" s="42"/>
      <c r="P3918" s="40"/>
      <c r="Q3918" s="61"/>
      <c r="R3918" s="61"/>
      <c r="S3918" s="40"/>
      <c r="T3918" s="38"/>
      <c r="U3918" s="38"/>
      <c r="V3918" s="38"/>
      <c r="W3918" s="60"/>
      <c r="AB3918" s="42"/>
      <c r="AC3918" s="35"/>
      <c r="AD3918" s="38"/>
      <c r="AE3918" s="38"/>
      <c r="AF3918" s="38"/>
      <c r="AG3918" s="38"/>
      <c r="AH3918" s="60"/>
    </row>
    <row r="3919" spans="1:34" ht="15.75" customHeight="1">
      <c r="A3919" s="192"/>
      <c r="B3919" s="158" t="s">
        <v>13825</v>
      </c>
      <c r="C3919" s="37" t="s">
        <v>46</v>
      </c>
      <c r="D3919" s="20" t="s">
        <v>13826</v>
      </c>
      <c r="E3919" s="180" t="s">
        <v>13827</v>
      </c>
      <c r="F3919" s="37" t="s">
        <v>49</v>
      </c>
      <c r="G3919" s="19" t="s">
        <v>50</v>
      </c>
      <c r="H3919" s="37"/>
      <c r="I3919" s="37" t="s">
        <v>29</v>
      </c>
      <c r="J3919" s="155" t="str">
        <f t="shared" si="3"/>
        <v>TT</v>
      </c>
      <c r="K3919" s="61" t="s">
        <v>13828</v>
      </c>
      <c r="L3919" s="56">
        <v>45100</v>
      </c>
      <c r="O3919" s="42"/>
      <c r="P3919" s="40"/>
      <c r="Q3919" s="61"/>
      <c r="R3919" s="61"/>
      <c r="S3919" s="40"/>
      <c r="T3919" s="38"/>
      <c r="U3919" s="38"/>
      <c r="V3919" s="38"/>
      <c r="W3919" s="60"/>
      <c r="AB3919" s="42"/>
      <c r="AC3919" s="35"/>
      <c r="AD3919" s="38"/>
      <c r="AE3919" s="38"/>
      <c r="AF3919" s="38"/>
      <c r="AG3919" s="38"/>
      <c r="AH3919" s="60"/>
    </row>
    <row r="3920" spans="1:34" ht="15.75" customHeight="1">
      <c r="A3920" s="191"/>
      <c r="B3920" s="38"/>
      <c r="C3920" s="37"/>
      <c r="D3920" s="20"/>
      <c r="E3920" s="20"/>
      <c r="F3920" s="37"/>
      <c r="G3920" s="37"/>
      <c r="H3920" s="37"/>
      <c r="I3920" s="37"/>
      <c r="J3920" s="155">
        <f t="shared" si="3"/>
        <v>0</v>
      </c>
      <c r="K3920" s="22"/>
      <c r="L3920" s="39"/>
      <c r="O3920" s="42"/>
      <c r="P3920" s="40"/>
      <c r="Q3920" s="61"/>
      <c r="R3920" s="61"/>
      <c r="S3920" s="40"/>
      <c r="T3920" s="38"/>
      <c r="U3920" s="38"/>
      <c r="V3920" s="38"/>
      <c r="W3920" s="60"/>
      <c r="AB3920" s="42"/>
      <c r="AC3920" s="35"/>
      <c r="AD3920" s="38"/>
      <c r="AE3920" s="38"/>
      <c r="AF3920" s="38"/>
      <c r="AG3920" s="38"/>
      <c r="AH3920" s="60"/>
    </row>
    <row r="3921" spans="1:34" ht="15.75" customHeight="1">
      <c r="A3921" s="35" t="s">
        <v>13829</v>
      </c>
      <c r="B3921" s="158" t="s">
        <v>13830</v>
      </c>
      <c r="C3921" s="19" t="s">
        <v>24</v>
      </c>
      <c r="D3921" s="20" t="s">
        <v>13831</v>
      </c>
      <c r="E3921" s="20" t="s">
        <v>13832</v>
      </c>
      <c r="F3921" s="19" t="s">
        <v>27</v>
      </c>
      <c r="G3921" s="19" t="s">
        <v>28</v>
      </c>
      <c r="H3921" s="37" t="s">
        <v>813</v>
      </c>
      <c r="I3921" s="37" t="s">
        <v>29</v>
      </c>
      <c r="J3921" s="155" t="str">
        <f t="shared" si="3"/>
        <v>TT</v>
      </c>
      <c r="K3921" s="22" t="s">
        <v>13833</v>
      </c>
      <c r="L3921" s="56">
        <v>45100</v>
      </c>
      <c r="M3921" s="40"/>
      <c r="O3921" s="42"/>
      <c r="P3921" s="40"/>
      <c r="Q3921" s="61"/>
      <c r="R3921" s="61"/>
      <c r="S3921" s="40"/>
      <c r="T3921" s="38"/>
      <c r="U3921" s="38"/>
      <c r="V3921" s="38"/>
      <c r="W3921" s="60"/>
      <c r="AB3921" s="42"/>
      <c r="AC3921" s="35"/>
      <c r="AD3921" s="38"/>
      <c r="AE3921" s="38"/>
      <c r="AF3921" s="38"/>
      <c r="AG3921" s="38"/>
      <c r="AH3921" s="60"/>
    </row>
    <row r="3922" spans="1:34" ht="15.75" customHeight="1">
      <c r="A3922" s="54" t="s">
        <v>7532</v>
      </c>
      <c r="B3922" s="158" t="s">
        <v>13834</v>
      </c>
      <c r="C3922" s="19" t="s">
        <v>24</v>
      </c>
      <c r="D3922" s="20" t="s">
        <v>13835</v>
      </c>
      <c r="E3922" s="20" t="s">
        <v>13836</v>
      </c>
      <c r="F3922" s="19" t="s">
        <v>27</v>
      </c>
      <c r="G3922" s="19" t="s">
        <v>28</v>
      </c>
      <c r="H3922" s="37"/>
      <c r="I3922" s="37" t="s">
        <v>29</v>
      </c>
      <c r="J3922" s="155" t="str">
        <f t="shared" si="3"/>
        <v>TT</v>
      </c>
      <c r="K3922" s="22" t="s">
        <v>13837</v>
      </c>
      <c r="L3922" s="56">
        <v>45100</v>
      </c>
      <c r="O3922" s="42"/>
      <c r="P3922" s="40"/>
      <c r="Q3922" s="61"/>
      <c r="R3922" s="61"/>
      <c r="S3922" s="40"/>
      <c r="T3922" s="38"/>
      <c r="U3922" s="38"/>
      <c r="V3922" s="38"/>
      <c r="W3922" s="60"/>
      <c r="AB3922" s="42"/>
      <c r="AC3922" s="35"/>
      <c r="AD3922" s="38"/>
      <c r="AE3922" s="38"/>
      <c r="AF3922" s="38"/>
      <c r="AG3922" s="38"/>
      <c r="AH3922" s="60"/>
    </row>
    <row r="3923" spans="1:34" ht="15.75" customHeight="1">
      <c r="A3923" s="114" t="s">
        <v>39</v>
      </c>
      <c r="B3923" s="158" t="s">
        <v>13838</v>
      </c>
      <c r="C3923" s="37" t="s">
        <v>1470</v>
      </c>
      <c r="D3923" s="20" t="s">
        <v>13839</v>
      </c>
      <c r="E3923" s="20" t="s">
        <v>13840</v>
      </c>
      <c r="F3923" s="19" t="s">
        <v>3286</v>
      </c>
      <c r="G3923" s="37" t="s">
        <v>1461</v>
      </c>
      <c r="H3923" s="37"/>
      <c r="I3923" s="37" t="s">
        <v>233</v>
      </c>
      <c r="J3923" s="155" t="str">
        <f t="shared" si="3"/>
        <v>NTT</v>
      </c>
      <c r="K3923" s="22" t="s">
        <v>13841</v>
      </c>
      <c r="L3923" s="56">
        <v>45100</v>
      </c>
      <c r="O3923" s="42"/>
      <c r="P3923" s="40"/>
      <c r="Q3923" s="61"/>
      <c r="R3923" s="61"/>
      <c r="S3923" s="40"/>
      <c r="T3923" s="38"/>
      <c r="U3923" s="38"/>
      <c r="V3923" s="38"/>
      <c r="W3923" s="60"/>
      <c r="AB3923" s="42"/>
      <c r="AC3923" s="35"/>
      <c r="AD3923" s="38"/>
      <c r="AE3923" s="38"/>
      <c r="AF3923" s="38"/>
      <c r="AG3923" s="38"/>
      <c r="AH3923" s="60"/>
    </row>
    <row r="3924" spans="1:34" ht="15.75" customHeight="1">
      <c r="A3924" s="38" t="s">
        <v>13637</v>
      </c>
      <c r="B3924" s="38" t="s">
        <v>13842</v>
      </c>
      <c r="C3924" s="37" t="s">
        <v>46</v>
      </c>
      <c r="D3924" s="20" t="s">
        <v>13843</v>
      </c>
      <c r="E3924" s="20"/>
      <c r="F3924" s="37" t="s">
        <v>49</v>
      </c>
      <c r="G3924" s="19" t="s">
        <v>50</v>
      </c>
      <c r="H3924" s="37"/>
      <c r="I3924" s="37" t="s">
        <v>29</v>
      </c>
      <c r="J3924" s="155" t="str">
        <f t="shared" si="3"/>
        <v>TT</v>
      </c>
      <c r="K3924" s="22"/>
      <c r="L3924" s="56">
        <v>45100</v>
      </c>
      <c r="O3924" s="42"/>
      <c r="P3924" s="40"/>
      <c r="Q3924" s="61"/>
      <c r="R3924" s="61"/>
      <c r="S3924" s="40"/>
      <c r="T3924" s="38"/>
      <c r="U3924" s="38"/>
      <c r="V3924" s="38"/>
      <c r="W3924" s="60"/>
      <c r="AB3924" s="42"/>
      <c r="AC3924" s="35"/>
      <c r="AD3924" s="38"/>
      <c r="AE3924" s="38"/>
      <c r="AF3924" s="38"/>
      <c r="AG3924" s="38"/>
      <c r="AH3924" s="60"/>
    </row>
    <row r="3925" spans="1:34" ht="15.75" customHeight="1">
      <c r="A3925" s="75" t="s">
        <v>11200</v>
      </c>
      <c r="B3925" s="158" t="s">
        <v>13844</v>
      </c>
      <c r="C3925" s="37" t="s">
        <v>24</v>
      </c>
      <c r="D3925" s="20" t="s">
        <v>13845</v>
      </c>
      <c r="E3925" s="20" t="s">
        <v>13846</v>
      </c>
      <c r="F3925" s="19" t="s">
        <v>27</v>
      </c>
      <c r="G3925" s="19" t="s">
        <v>28</v>
      </c>
      <c r="H3925" s="37"/>
      <c r="I3925" s="37" t="s">
        <v>29</v>
      </c>
      <c r="J3925" s="155" t="str">
        <f t="shared" si="3"/>
        <v>TT</v>
      </c>
      <c r="K3925" s="22" t="s">
        <v>13847</v>
      </c>
      <c r="L3925" s="56">
        <v>45100</v>
      </c>
      <c r="O3925" s="42"/>
      <c r="P3925" s="40"/>
      <c r="Q3925" s="61"/>
      <c r="R3925" s="61"/>
      <c r="S3925" s="40"/>
      <c r="T3925" s="38"/>
      <c r="U3925" s="38"/>
      <c r="V3925" s="38"/>
      <c r="W3925" s="60"/>
      <c r="AB3925" s="42"/>
      <c r="AC3925" s="35"/>
      <c r="AD3925" s="38"/>
      <c r="AE3925" s="38"/>
      <c r="AF3925" s="38"/>
      <c r="AG3925" s="38"/>
      <c r="AH3925" s="60"/>
    </row>
    <row r="3926" spans="1:34" ht="15.75" customHeight="1">
      <c r="A3926" s="50" t="s">
        <v>56</v>
      </c>
      <c r="B3926" s="158" t="s">
        <v>13848</v>
      </c>
      <c r="C3926" s="37" t="s">
        <v>412</v>
      </c>
      <c r="D3926" s="20" t="s">
        <v>13849</v>
      </c>
      <c r="E3926" s="20"/>
      <c r="F3926" s="19" t="s">
        <v>414</v>
      </c>
      <c r="G3926" s="19" t="s">
        <v>415</v>
      </c>
      <c r="H3926" s="37"/>
      <c r="I3926" s="37" t="s">
        <v>233</v>
      </c>
      <c r="J3926" s="155" t="str">
        <f t="shared" si="3"/>
        <v>NTT</v>
      </c>
      <c r="K3926" s="22"/>
      <c r="L3926" s="56">
        <v>45100</v>
      </c>
      <c r="O3926" s="42"/>
      <c r="P3926" s="40"/>
      <c r="Q3926" s="61"/>
      <c r="R3926" s="61"/>
      <c r="S3926" s="40"/>
      <c r="T3926" s="38"/>
      <c r="U3926" s="38"/>
      <c r="V3926" s="38"/>
      <c r="W3926" s="60"/>
      <c r="AB3926" s="42"/>
      <c r="AC3926" s="35"/>
      <c r="AD3926" s="38"/>
      <c r="AE3926" s="38"/>
      <c r="AF3926" s="38"/>
      <c r="AG3926" s="38"/>
      <c r="AH3926" s="60"/>
    </row>
    <row r="3927" spans="1:34" ht="15.75" customHeight="1">
      <c r="A3927" s="17">
        <v>54</v>
      </c>
      <c r="B3927" s="158" t="s">
        <v>13850</v>
      </c>
      <c r="C3927" s="37" t="s">
        <v>87</v>
      </c>
      <c r="D3927" s="20" t="s">
        <v>13851</v>
      </c>
      <c r="E3927" s="20" t="s">
        <v>13852</v>
      </c>
      <c r="F3927" s="19" t="s">
        <v>90</v>
      </c>
      <c r="G3927" s="19" t="s">
        <v>91</v>
      </c>
      <c r="H3927" s="37"/>
      <c r="I3927" s="37" t="s">
        <v>29</v>
      </c>
      <c r="J3927" s="155" t="str">
        <f t="shared" si="3"/>
        <v>TT</v>
      </c>
      <c r="K3927" s="22" t="s">
        <v>13853</v>
      </c>
      <c r="L3927" s="56">
        <v>45100</v>
      </c>
      <c r="O3927" s="42"/>
      <c r="P3927" s="40"/>
      <c r="Q3927" s="61"/>
      <c r="R3927" s="61"/>
      <c r="S3927" s="40"/>
      <c r="T3927" s="38"/>
      <c r="U3927" s="38"/>
      <c r="V3927" s="38"/>
      <c r="W3927" s="60"/>
      <c r="AB3927" s="42"/>
      <c r="AC3927" s="35"/>
      <c r="AD3927" s="38"/>
      <c r="AE3927" s="38"/>
      <c r="AF3927" s="38"/>
      <c r="AG3927" s="38"/>
      <c r="AH3927" s="60"/>
    </row>
    <row r="3928" spans="1:34" ht="15.75" customHeight="1">
      <c r="A3928" s="111" t="s">
        <v>64</v>
      </c>
      <c r="B3928" s="158" t="s">
        <v>13854</v>
      </c>
      <c r="C3928" s="37" t="s">
        <v>412</v>
      </c>
      <c r="D3928" s="20" t="s">
        <v>13855</v>
      </c>
      <c r="E3928" s="20"/>
      <c r="F3928" s="19" t="s">
        <v>414</v>
      </c>
      <c r="G3928" s="37" t="s">
        <v>415</v>
      </c>
      <c r="H3928" s="37"/>
      <c r="I3928" s="37" t="s">
        <v>233</v>
      </c>
      <c r="J3928" s="155" t="str">
        <f t="shared" si="3"/>
        <v>NTT</v>
      </c>
      <c r="K3928" s="22"/>
      <c r="L3928" s="56">
        <v>45100</v>
      </c>
      <c r="O3928" s="42"/>
      <c r="P3928" s="40"/>
      <c r="Q3928" s="61"/>
      <c r="R3928" s="61"/>
      <c r="S3928" s="40"/>
      <c r="T3928" s="38"/>
      <c r="U3928" s="38"/>
      <c r="V3928" s="38"/>
      <c r="W3928" s="60"/>
      <c r="AB3928" s="42"/>
      <c r="AC3928" s="35"/>
      <c r="AD3928" s="38"/>
      <c r="AE3928" s="38"/>
      <c r="AF3928" s="38"/>
      <c r="AG3928" s="38"/>
      <c r="AH3928" s="60"/>
    </row>
    <row r="3929" spans="1:34" ht="15.75" customHeight="1">
      <c r="A3929" s="75">
        <v>2.2999999999999998</v>
      </c>
      <c r="B3929" s="158" t="s">
        <v>13856</v>
      </c>
      <c r="C3929" s="37" t="s">
        <v>24</v>
      </c>
      <c r="D3929" s="20" t="s">
        <v>13857</v>
      </c>
      <c r="E3929" s="20" t="s">
        <v>13858</v>
      </c>
      <c r="F3929" s="19" t="s">
        <v>27</v>
      </c>
      <c r="G3929" s="19" t="s">
        <v>28</v>
      </c>
      <c r="H3929" s="37"/>
      <c r="I3929" s="37" t="s">
        <v>29</v>
      </c>
      <c r="J3929" s="155" t="str">
        <f t="shared" si="3"/>
        <v>TT</v>
      </c>
      <c r="K3929" s="22" t="s">
        <v>13859</v>
      </c>
      <c r="L3929" s="56">
        <v>45100</v>
      </c>
      <c r="O3929" s="42"/>
      <c r="P3929" s="40"/>
      <c r="Q3929" s="61"/>
      <c r="R3929" s="61"/>
      <c r="S3929" s="40"/>
      <c r="T3929" s="38"/>
      <c r="U3929" s="38"/>
      <c r="V3929" s="38"/>
      <c r="W3929" s="60"/>
      <c r="AB3929" s="42"/>
      <c r="AC3929" s="35"/>
      <c r="AD3929" s="38"/>
      <c r="AE3929" s="38"/>
      <c r="AF3929" s="38"/>
      <c r="AG3929" s="38"/>
      <c r="AH3929" s="60"/>
    </row>
    <row r="3930" spans="1:34" ht="15.75" customHeight="1">
      <c r="A3930" s="111" t="s">
        <v>73</v>
      </c>
      <c r="B3930" s="158" t="s">
        <v>13860</v>
      </c>
      <c r="C3930" s="37" t="s">
        <v>24</v>
      </c>
      <c r="D3930" s="20" t="s">
        <v>13861</v>
      </c>
      <c r="E3930" s="20" t="s">
        <v>13862</v>
      </c>
      <c r="F3930" s="19" t="s">
        <v>27</v>
      </c>
      <c r="G3930" s="19" t="s">
        <v>28</v>
      </c>
      <c r="H3930" s="37"/>
      <c r="I3930" s="37" t="s">
        <v>29</v>
      </c>
      <c r="J3930" s="155" t="str">
        <f t="shared" si="3"/>
        <v>TT</v>
      </c>
      <c r="K3930" s="22" t="s">
        <v>13863</v>
      </c>
      <c r="L3930" s="56">
        <v>45100</v>
      </c>
      <c r="O3930" s="42"/>
      <c r="P3930" s="40"/>
      <c r="Q3930" s="61"/>
      <c r="R3930" s="61"/>
      <c r="S3930" s="40"/>
      <c r="T3930" s="38"/>
      <c r="U3930" s="38"/>
      <c r="V3930" s="38"/>
      <c r="W3930" s="60"/>
      <c r="AB3930" s="42"/>
      <c r="AC3930" s="35"/>
      <c r="AD3930" s="38"/>
      <c r="AE3930" s="38"/>
      <c r="AF3930" s="38"/>
      <c r="AG3930" s="38"/>
      <c r="AH3930" s="60"/>
    </row>
    <row r="3931" spans="1:34" ht="15.75" customHeight="1">
      <c r="A3931" s="75">
        <v>2.8</v>
      </c>
      <c r="B3931" s="158" t="s">
        <v>13864</v>
      </c>
      <c r="C3931" s="37" t="s">
        <v>46</v>
      </c>
      <c r="D3931" s="20" t="s">
        <v>13865</v>
      </c>
      <c r="E3931" s="20"/>
      <c r="F3931" s="37" t="s">
        <v>49</v>
      </c>
      <c r="G3931" s="19" t="s">
        <v>50</v>
      </c>
      <c r="H3931" s="19"/>
      <c r="I3931" s="37" t="s">
        <v>29</v>
      </c>
      <c r="J3931" s="155" t="str">
        <f t="shared" si="3"/>
        <v>TT</v>
      </c>
      <c r="K3931" s="22"/>
      <c r="L3931" s="56">
        <v>45100</v>
      </c>
      <c r="O3931" s="42"/>
      <c r="P3931" s="40"/>
      <c r="Q3931" s="61"/>
      <c r="R3931" s="61"/>
      <c r="S3931" s="40"/>
      <c r="T3931" s="38"/>
      <c r="U3931" s="38"/>
      <c r="V3931" s="38"/>
      <c r="W3931" s="60"/>
      <c r="AB3931" s="42"/>
      <c r="AC3931" s="35"/>
      <c r="AD3931" s="38"/>
      <c r="AE3931" s="38"/>
      <c r="AF3931" s="38"/>
      <c r="AG3931" s="38"/>
      <c r="AH3931" s="60"/>
    </row>
    <row r="3932" spans="1:34" ht="15.75" customHeight="1">
      <c r="A3932" s="111" t="s">
        <v>82</v>
      </c>
      <c r="B3932" s="158" t="s">
        <v>13866</v>
      </c>
      <c r="C3932" s="19" t="s">
        <v>87</v>
      </c>
      <c r="D3932" s="20" t="s">
        <v>13867</v>
      </c>
      <c r="E3932" s="20" t="s">
        <v>13868</v>
      </c>
      <c r="F3932" s="19" t="s">
        <v>90</v>
      </c>
      <c r="G3932" s="19" t="s">
        <v>91</v>
      </c>
      <c r="H3932" s="19"/>
      <c r="I3932" s="37" t="s">
        <v>29</v>
      </c>
      <c r="J3932" s="155" t="str">
        <f t="shared" si="3"/>
        <v>TT</v>
      </c>
      <c r="K3932" s="22" t="s">
        <v>13869</v>
      </c>
      <c r="L3932" s="56">
        <v>45100</v>
      </c>
      <c r="O3932" s="42"/>
      <c r="P3932" s="40"/>
      <c r="Q3932" s="61"/>
      <c r="R3932" s="61"/>
      <c r="S3932" s="40"/>
      <c r="T3932" s="38"/>
      <c r="U3932" s="38"/>
      <c r="V3932" s="38"/>
      <c r="W3932" s="60"/>
      <c r="AB3932" s="42"/>
      <c r="AC3932" s="35"/>
      <c r="AD3932" s="38"/>
      <c r="AE3932" s="38"/>
      <c r="AF3932" s="38"/>
      <c r="AG3932" s="38"/>
      <c r="AH3932" s="60"/>
    </row>
    <row r="3933" spans="1:34" ht="15.75" customHeight="1">
      <c r="A3933" s="112" t="s">
        <v>13870</v>
      </c>
      <c r="B3933" s="158" t="s">
        <v>13871</v>
      </c>
      <c r="C3933" s="37" t="s">
        <v>24</v>
      </c>
      <c r="D3933" s="20" t="s">
        <v>13872</v>
      </c>
      <c r="E3933" s="20" t="s">
        <v>13873</v>
      </c>
      <c r="F3933" s="19" t="s">
        <v>27</v>
      </c>
      <c r="G3933" s="19" t="s">
        <v>28</v>
      </c>
      <c r="H3933" s="37"/>
      <c r="I3933" s="37" t="s">
        <v>29</v>
      </c>
      <c r="J3933" s="155" t="str">
        <f t="shared" si="3"/>
        <v>TT</v>
      </c>
      <c r="K3933" s="22" t="s">
        <v>13874</v>
      </c>
      <c r="L3933" s="56">
        <v>45100</v>
      </c>
      <c r="O3933" s="42"/>
      <c r="P3933" s="40"/>
      <c r="Q3933" s="61"/>
      <c r="R3933" s="61"/>
      <c r="S3933" s="40"/>
      <c r="T3933" s="38"/>
      <c r="U3933" s="38"/>
      <c r="V3933" s="38"/>
      <c r="W3933" s="60"/>
      <c r="AB3933" s="42"/>
      <c r="AC3933" s="35"/>
      <c r="AD3933" s="38"/>
      <c r="AE3933" s="38"/>
      <c r="AF3933" s="38"/>
      <c r="AG3933" s="38"/>
      <c r="AH3933" s="60"/>
    </row>
    <row r="3934" spans="1:34" ht="15.75" customHeight="1">
      <c r="A3934" s="111" t="s">
        <v>92</v>
      </c>
      <c r="B3934" s="158" t="s">
        <v>13875</v>
      </c>
      <c r="C3934" s="37" t="s">
        <v>87</v>
      </c>
      <c r="D3934" s="20" t="s">
        <v>13876</v>
      </c>
      <c r="E3934" s="20" t="s">
        <v>13877</v>
      </c>
      <c r="F3934" s="19" t="s">
        <v>90</v>
      </c>
      <c r="G3934" s="19" t="s">
        <v>91</v>
      </c>
      <c r="H3934" s="37"/>
      <c r="I3934" s="37" t="s">
        <v>29</v>
      </c>
      <c r="J3934" s="155" t="str">
        <f t="shared" si="3"/>
        <v>TT</v>
      </c>
      <c r="K3934" s="22" t="s">
        <v>13878</v>
      </c>
      <c r="L3934" s="56">
        <v>45100</v>
      </c>
      <c r="O3934" s="42"/>
      <c r="P3934" s="40"/>
      <c r="Q3934" s="61"/>
      <c r="R3934" s="61"/>
      <c r="S3934" s="40"/>
      <c r="T3934" s="38"/>
      <c r="U3934" s="38"/>
      <c r="V3934" s="38"/>
      <c r="W3934" s="60"/>
      <c r="AB3934" s="42"/>
      <c r="AC3934" s="35"/>
      <c r="AD3934" s="38"/>
      <c r="AE3934" s="38"/>
      <c r="AF3934" s="38"/>
      <c r="AG3934" s="38"/>
      <c r="AH3934" s="60"/>
    </row>
    <row r="3935" spans="1:34" ht="15.75" customHeight="1">
      <c r="A3935" s="17">
        <v>277</v>
      </c>
      <c r="B3935" s="158" t="s">
        <v>13879</v>
      </c>
      <c r="C3935" s="37" t="s">
        <v>87</v>
      </c>
      <c r="D3935" s="20" t="s">
        <v>13880</v>
      </c>
      <c r="E3935" s="20" t="s">
        <v>13881</v>
      </c>
      <c r="F3935" s="19" t="s">
        <v>90</v>
      </c>
      <c r="G3935" s="19" t="s">
        <v>91</v>
      </c>
      <c r="H3935" s="37"/>
      <c r="I3935" s="37" t="s">
        <v>29</v>
      </c>
      <c r="J3935" s="155" t="str">
        <f t="shared" si="3"/>
        <v>TT</v>
      </c>
      <c r="K3935" s="22" t="s">
        <v>13882</v>
      </c>
      <c r="L3935" s="56">
        <v>45100</v>
      </c>
      <c r="O3935" s="42"/>
      <c r="P3935" s="40"/>
      <c r="Q3935" s="61"/>
      <c r="R3935" s="61"/>
      <c r="S3935" s="40"/>
      <c r="T3935" s="38"/>
      <c r="U3935" s="38"/>
      <c r="V3935" s="38"/>
      <c r="W3935" s="60"/>
      <c r="AB3935" s="42"/>
      <c r="AC3935" s="35"/>
      <c r="AD3935" s="38"/>
      <c r="AE3935" s="38"/>
      <c r="AF3935" s="38"/>
      <c r="AG3935" s="38"/>
      <c r="AH3935" s="60"/>
    </row>
    <row r="3936" spans="1:34" ht="15.75" customHeight="1">
      <c r="A3936" s="111" t="s">
        <v>100</v>
      </c>
      <c r="B3936" s="158" t="s">
        <v>13883</v>
      </c>
      <c r="C3936" s="37" t="s">
        <v>87</v>
      </c>
      <c r="D3936" s="20" t="s">
        <v>13884</v>
      </c>
      <c r="E3936" s="20" t="s">
        <v>13885</v>
      </c>
      <c r="F3936" s="19" t="s">
        <v>90</v>
      </c>
      <c r="G3936" s="19" t="s">
        <v>91</v>
      </c>
      <c r="H3936" s="37"/>
      <c r="I3936" s="37" t="s">
        <v>29</v>
      </c>
      <c r="J3936" s="155" t="str">
        <f t="shared" si="3"/>
        <v>TT</v>
      </c>
      <c r="K3936" s="22" t="s">
        <v>13886</v>
      </c>
      <c r="L3936" s="56">
        <v>45100</v>
      </c>
      <c r="O3936" s="42"/>
      <c r="P3936" s="40"/>
      <c r="Q3936" s="61"/>
      <c r="R3936" s="61"/>
      <c r="S3936" s="40"/>
      <c r="T3936" s="38"/>
      <c r="U3936" s="38"/>
      <c r="V3936" s="38"/>
      <c r="W3936" s="60"/>
      <c r="AB3936" s="42"/>
      <c r="AC3936" s="35"/>
      <c r="AD3936" s="38"/>
      <c r="AE3936" s="38"/>
      <c r="AF3936" s="38"/>
      <c r="AG3936" s="38"/>
      <c r="AH3936" s="60"/>
    </row>
    <row r="3937" spans="1:34" ht="15.75" customHeight="1">
      <c r="A3937" s="17">
        <v>159</v>
      </c>
      <c r="B3937" s="158" t="s">
        <v>13887</v>
      </c>
      <c r="C3937" s="37" t="s">
        <v>24</v>
      </c>
      <c r="D3937" s="20" t="s">
        <v>13888</v>
      </c>
      <c r="E3937" s="20" t="s">
        <v>13889</v>
      </c>
      <c r="F3937" s="19" t="s">
        <v>27</v>
      </c>
      <c r="G3937" s="19" t="s">
        <v>28</v>
      </c>
      <c r="H3937" s="37"/>
      <c r="I3937" s="37" t="s">
        <v>29</v>
      </c>
      <c r="J3937" s="155" t="str">
        <f t="shared" si="3"/>
        <v>TT</v>
      </c>
      <c r="K3937" s="22" t="s">
        <v>13890</v>
      </c>
      <c r="L3937" s="56">
        <v>45100</v>
      </c>
      <c r="O3937" s="42"/>
      <c r="P3937" s="40"/>
      <c r="Q3937" s="61"/>
      <c r="R3937" s="61"/>
      <c r="S3937" s="40"/>
      <c r="T3937" s="38"/>
      <c r="U3937" s="38"/>
      <c r="V3937" s="38"/>
      <c r="W3937" s="60"/>
      <c r="AB3937" s="42"/>
      <c r="AC3937" s="35"/>
      <c r="AD3937" s="38"/>
      <c r="AE3937" s="38"/>
      <c r="AF3937" s="38"/>
      <c r="AG3937" s="38"/>
      <c r="AH3937" s="60"/>
    </row>
    <row r="3938" spans="1:34" ht="15.75" customHeight="1">
      <c r="A3938" s="193"/>
      <c r="B3938" s="158" t="s">
        <v>13891</v>
      </c>
      <c r="C3938" s="37" t="s">
        <v>24</v>
      </c>
      <c r="D3938" s="20" t="s">
        <v>13892</v>
      </c>
      <c r="E3938" s="20" t="s">
        <v>13893</v>
      </c>
      <c r="F3938" s="19" t="s">
        <v>27</v>
      </c>
      <c r="G3938" s="19" t="s">
        <v>28</v>
      </c>
      <c r="H3938" s="37"/>
      <c r="I3938" s="37" t="s">
        <v>29</v>
      </c>
      <c r="J3938" s="155" t="str">
        <f t="shared" si="3"/>
        <v>TT</v>
      </c>
      <c r="K3938" s="22" t="s">
        <v>13894</v>
      </c>
      <c r="L3938" s="56">
        <v>45100</v>
      </c>
      <c r="O3938" s="42"/>
      <c r="P3938" s="40"/>
      <c r="Q3938" s="61"/>
      <c r="R3938" s="61"/>
      <c r="S3938" s="40"/>
      <c r="T3938" s="38"/>
      <c r="U3938" s="38"/>
      <c r="V3938" s="38"/>
      <c r="W3938" s="60"/>
      <c r="AB3938" s="42"/>
      <c r="AC3938" s="35"/>
      <c r="AD3938" s="38"/>
      <c r="AE3938" s="38"/>
      <c r="AF3938" s="38"/>
      <c r="AG3938" s="38"/>
      <c r="AH3938" s="60"/>
    </row>
    <row r="3939" spans="1:34" ht="15.75" customHeight="1">
      <c r="A3939" s="194"/>
      <c r="B3939" s="38" t="s">
        <v>13895</v>
      </c>
      <c r="C3939" s="37" t="s">
        <v>46</v>
      </c>
      <c r="D3939" s="20" t="s">
        <v>13896</v>
      </c>
      <c r="E3939" s="20"/>
      <c r="F3939" s="37" t="s">
        <v>49</v>
      </c>
      <c r="G3939" s="19" t="s">
        <v>50</v>
      </c>
      <c r="H3939" s="37"/>
      <c r="I3939" s="37" t="s">
        <v>29</v>
      </c>
      <c r="J3939" s="155" t="str">
        <f t="shared" si="3"/>
        <v>TT</v>
      </c>
      <c r="K3939" s="22"/>
      <c r="L3939" s="56">
        <v>45100</v>
      </c>
      <c r="O3939" s="42"/>
      <c r="P3939" s="40"/>
      <c r="Q3939" s="61"/>
      <c r="R3939" s="61"/>
      <c r="S3939" s="40"/>
      <c r="T3939" s="38"/>
      <c r="U3939" s="38"/>
      <c r="V3939" s="38"/>
      <c r="W3939" s="60"/>
      <c r="AB3939" s="42"/>
      <c r="AC3939" s="35"/>
      <c r="AD3939" s="38"/>
      <c r="AE3939" s="38"/>
      <c r="AF3939" s="38"/>
      <c r="AG3939" s="38"/>
      <c r="AH3939" s="60"/>
    </row>
    <row r="3940" spans="1:34" ht="15.75" customHeight="1">
      <c r="A3940" s="193"/>
      <c r="B3940" s="158" t="s">
        <v>13897</v>
      </c>
      <c r="C3940" s="37" t="s">
        <v>1430</v>
      </c>
      <c r="D3940" s="20" t="s">
        <v>13898</v>
      </c>
      <c r="E3940" s="20" t="s">
        <v>13899</v>
      </c>
      <c r="F3940" s="55" t="s">
        <v>1445</v>
      </c>
      <c r="G3940" s="55" t="s">
        <v>1432</v>
      </c>
      <c r="H3940" s="37"/>
      <c r="I3940" s="37" t="s">
        <v>233</v>
      </c>
      <c r="J3940" s="155" t="str">
        <f t="shared" si="3"/>
        <v>NTT</v>
      </c>
      <c r="K3940" s="22" t="s">
        <v>13900</v>
      </c>
      <c r="L3940" s="56">
        <v>45100</v>
      </c>
      <c r="O3940" s="42"/>
      <c r="P3940" s="40"/>
      <c r="Q3940" s="61"/>
      <c r="R3940" s="61"/>
      <c r="S3940" s="40"/>
      <c r="T3940" s="38"/>
      <c r="U3940" s="38"/>
      <c r="V3940" s="38"/>
      <c r="W3940" s="60"/>
      <c r="AB3940" s="42"/>
      <c r="AC3940" s="35"/>
      <c r="AD3940" s="38"/>
      <c r="AE3940" s="38"/>
      <c r="AF3940" s="38"/>
      <c r="AG3940" s="38"/>
      <c r="AH3940" s="60"/>
    </row>
    <row r="3941" spans="1:34" ht="15.75" customHeight="1">
      <c r="A3941" s="194"/>
      <c r="B3941" s="158" t="s">
        <v>13901</v>
      </c>
      <c r="C3941" s="37" t="s">
        <v>87</v>
      </c>
      <c r="D3941" s="20" t="s">
        <v>13902</v>
      </c>
      <c r="E3941" s="20" t="s">
        <v>13903</v>
      </c>
      <c r="F3941" s="19" t="s">
        <v>90</v>
      </c>
      <c r="G3941" s="19" t="s">
        <v>91</v>
      </c>
      <c r="H3941" s="37"/>
      <c r="I3941" s="37" t="s">
        <v>29</v>
      </c>
      <c r="J3941" s="155" t="str">
        <f t="shared" si="3"/>
        <v>TT</v>
      </c>
      <c r="K3941" s="22" t="s">
        <v>13904</v>
      </c>
      <c r="L3941" s="56">
        <v>45100</v>
      </c>
      <c r="O3941" s="42"/>
      <c r="P3941" s="40"/>
      <c r="Q3941" s="61"/>
      <c r="R3941" s="61"/>
      <c r="S3941" s="40"/>
      <c r="T3941" s="38"/>
      <c r="U3941" s="38"/>
      <c r="V3941" s="38"/>
      <c r="W3941" s="60"/>
      <c r="AB3941" s="42"/>
      <c r="AC3941" s="35"/>
      <c r="AD3941" s="38"/>
      <c r="AE3941" s="38"/>
      <c r="AF3941" s="38"/>
      <c r="AG3941" s="38"/>
      <c r="AH3941" s="60"/>
    </row>
    <row r="3942" spans="1:34" ht="15.75" customHeight="1">
      <c r="A3942" s="193"/>
      <c r="B3942" s="158" t="s">
        <v>13905</v>
      </c>
      <c r="C3942" s="37" t="s">
        <v>87</v>
      </c>
      <c r="D3942" s="20" t="s">
        <v>13906</v>
      </c>
      <c r="E3942" s="20" t="s">
        <v>13907</v>
      </c>
      <c r="F3942" s="19" t="s">
        <v>90</v>
      </c>
      <c r="G3942" s="19" t="s">
        <v>91</v>
      </c>
      <c r="H3942" s="37"/>
      <c r="I3942" s="37" t="s">
        <v>29</v>
      </c>
      <c r="J3942" s="155" t="str">
        <f t="shared" si="3"/>
        <v>TT</v>
      </c>
      <c r="K3942" s="22" t="s">
        <v>13908</v>
      </c>
      <c r="L3942" s="56">
        <v>45100</v>
      </c>
      <c r="O3942" s="42"/>
      <c r="P3942" s="40"/>
      <c r="Q3942" s="61"/>
      <c r="R3942" s="61"/>
      <c r="S3942" s="40"/>
      <c r="T3942" s="38"/>
      <c r="U3942" s="38"/>
      <c r="V3942" s="38"/>
      <c r="W3942" s="60"/>
      <c r="AB3942" s="42"/>
      <c r="AC3942" s="35"/>
      <c r="AD3942" s="38"/>
      <c r="AE3942" s="38"/>
      <c r="AF3942" s="38"/>
      <c r="AG3942" s="38"/>
      <c r="AH3942" s="60"/>
    </row>
    <row r="3943" spans="1:34" ht="15.75" customHeight="1">
      <c r="A3943" s="194"/>
      <c r="B3943" s="38" t="s">
        <v>13909</v>
      </c>
      <c r="C3943" s="37" t="s">
        <v>412</v>
      </c>
      <c r="D3943" s="20" t="s">
        <v>13910</v>
      </c>
      <c r="E3943" s="20"/>
      <c r="F3943" s="19" t="s">
        <v>414</v>
      </c>
      <c r="G3943" s="19" t="s">
        <v>415</v>
      </c>
      <c r="H3943" s="37"/>
      <c r="I3943" s="37" t="s">
        <v>233</v>
      </c>
      <c r="J3943" s="155" t="str">
        <f t="shared" si="3"/>
        <v>NTT</v>
      </c>
      <c r="K3943" s="22"/>
      <c r="L3943" s="56">
        <v>45100</v>
      </c>
      <c r="O3943" s="42"/>
      <c r="P3943" s="40"/>
      <c r="Q3943" s="61"/>
      <c r="R3943" s="61"/>
      <c r="S3943" s="40"/>
      <c r="T3943" s="38"/>
      <c r="U3943" s="38"/>
      <c r="V3943" s="38"/>
      <c r="W3943" s="60"/>
      <c r="AB3943" s="42"/>
      <c r="AC3943" s="35"/>
      <c r="AD3943" s="38"/>
      <c r="AE3943" s="38"/>
      <c r="AF3943" s="38"/>
      <c r="AG3943" s="38"/>
      <c r="AH3943" s="60"/>
    </row>
    <row r="3944" spans="1:34" ht="15.75" customHeight="1">
      <c r="A3944" s="193"/>
      <c r="B3944" s="158" t="s">
        <v>13911</v>
      </c>
      <c r="C3944" s="37" t="s">
        <v>46</v>
      </c>
      <c r="D3944" s="20" t="s">
        <v>13912</v>
      </c>
      <c r="E3944" s="20" t="s">
        <v>13913</v>
      </c>
      <c r="F3944" s="37" t="s">
        <v>49</v>
      </c>
      <c r="G3944" s="19" t="s">
        <v>50</v>
      </c>
      <c r="H3944" s="37"/>
      <c r="I3944" s="37" t="s">
        <v>29</v>
      </c>
      <c r="J3944" s="155" t="str">
        <f t="shared" si="3"/>
        <v>TT</v>
      </c>
      <c r="K3944" s="22" t="s">
        <v>13914</v>
      </c>
      <c r="L3944" s="56">
        <v>45100</v>
      </c>
      <c r="O3944" s="42"/>
      <c r="P3944" s="40"/>
      <c r="Q3944" s="61"/>
      <c r="R3944" s="61"/>
      <c r="S3944" s="40"/>
      <c r="T3944" s="38"/>
      <c r="U3944" s="38"/>
      <c r="V3944" s="38"/>
      <c r="W3944" s="60"/>
      <c r="AB3944" s="42"/>
      <c r="AC3944" s="35"/>
      <c r="AD3944" s="38"/>
      <c r="AE3944" s="38"/>
      <c r="AF3944" s="38"/>
      <c r="AG3944" s="38"/>
      <c r="AH3944" s="60"/>
    </row>
    <row r="3945" spans="1:34" ht="15.75" customHeight="1">
      <c r="A3945" s="194"/>
      <c r="B3945" s="38"/>
      <c r="C3945" s="37"/>
      <c r="D3945" s="20"/>
      <c r="E3945" s="20"/>
      <c r="F3945" s="37"/>
      <c r="G3945" s="37"/>
      <c r="H3945" s="37"/>
      <c r="I3945" s="37"/>
      <c r="J3945" s="155">
        <f t="shared" si="3"/>
        <v>0</v>
      </c>
      <c r="K3945" s="22"/>
      <c r="L3945" s="39"/>
      <c r="O3945" s="42"/>
      <c r="P3945" s="40"/>
      <c r="Q3945" s="61"/>
      <c r="R3945" s="61"/>
      <c r="S3945" s="40"/>
      <c r="T3945" s="38"/>
      <c r="U3945" s="38"/>
      <c r="V3945" s="38"/>
      <c r="W3945" s="60"/>
      <c r="AB3945" s="42"/>
      <c r="AC3945" s="35"/>
      <c r="AD3945" s="38"/>
      <c r="AE3945" s="38"/>
      <c r="AF3945" s="38"/>
      <c r="AG3945" s="38"/>
      <c r="AH3945" s="60"/>
    </row>
    <row r="3946" spans="1:34" ht="15.75" customHeight="1">
      <c r="A3946" s="35" t="s">
        <v>13915</v>
      </c>
      <c r="B3946" s="158" t="s">
        <v>13916</v>
      </c>
      <c r="C3946" s="37" t="s">
        <v>87</v>
      </c>
      <c r="D3946" s="20" t="s">
        <v>13917</v>
      </c>
      <c r="E3946" s="20" t="s">
        <v>13918</v>
      </c>
      <c r="F3946" s="19" t="s">
        <v>90</v>
      </c>
      <c r="G3946" s="19" t="s">
        <v>91</v>
      </c>
      <c r="H3946" s="37"/>
      <c r="I3946" s="37"/>
      <c r="J3946" s="155">
        <f t="shared" si="3"/>
        <v>0</v>
      </c>
      <c r="K3946" s="22" t="s">
        <v>13919</v>
      </c>
      <c r="L3946" s="56">
        <v>45100</v>
      </c>
      <c r="M3946" s="40"/>
      <c r="O3946" s="42"/>
      <c r="P3946" s="40"/>
      <c r="Q3946" s="61"/>
      <c r="R3946" s="61"/>
      <c r="S3946" s="40"/>
      <c r="T3946" s="38"/>
      <c r="U3946" s="38"/>
      <c r="V3946" s="38"/>
      <c r="W3946" s="60"/>
      <c r="AB3946" s="42"/>
      <c r="AC3946" s="35"/>
      <c r="AD3946" s="38"/>
      <c r="AE3946" s="38"/>
      <c r="AF3946" s="38"/>
      <c r="AG3946" s="38"/>
      <c r="AH3946" s="60"/>
    </row>
    <row r="3947" spans="1:34" ht="15.75" customHeight="1">
      <c r="A3947" s="54" t="s">
        <v>13920</v>
      </c>
      <c r="B3947" s="158" t="s">
        <v>13921</v>
      </c>
      <c r="C3947" s="143" t="s">
        <v>24</v>
      </c>
      <c r="D3947" s="20" t="s">
        <v>13922</v>
      </c>
      <c r="E3947" s="20" t="s">
        <v>13923</v>
      </c>
      <c r="F3947" s="19" t="s">
        <v>27</v>
      </c>
      <c r="G3947" s="19" t="s">
        <v>28</v>
      </c>
      <c r="H3947" s="143"/>
      <c r="I3947" s="37"/>
      <c r="J3947" s="155">
        <f t="shared" si="3"/>
        <v>0</v>
      </c>
      <c r="K3947" s="22" t="s">
        <v>13924</v>
      </c>
      <c r="L3947" s="56">
        <v>45100</v>
      </c>
      <c r="O3947" s="42"/>
      <c r="P3947" s="40"/>
      <c r="Q3947" s="61"/>
      <c r="R3947" s="61"/>
      <c r="S3947" s="40"/>
      <c r="T3947" s="38"/>
      <c r="U3947" s="38"/>
      <c r="V3947" s="38"/>
      <c r="W3947" s="60"/>
      <c r="AB3947" s="42"/>
      <c r="AC3947" s="35"/>
      <c r="AD3947" s="38"/>
      <c r="AE3947" s="38"/>
      <c r="AF3947" s="38"/>
      <c r="AG3947" s="38"/>
      <c r="AH3947" s="60"/>
    </row>
    <row r="3948" spans="1:34" ht="15.75" customHeight="1">
      <c r="A3948" s="114" t="s">
        <v>39</v>
      </c>
      <c r="B3948" s="158" t="s">
        <v>13925</v>
      </c>
      <c r="C3948" s="143" t="s">
        <v>24</v>
      </c>
      <c r="D3948" s="20" t="s">
        <v>13926</v>
      </c>
      <c r="E3948" s="20" t="s">
        <v>13927</v>
      </c>
      <c r="F3948" s="19" t="s">
        <v>27</v>
      </c>
      <c r="G3948" s="19" t="s">
        <v>28</v>
      </c>
      <c r="H3948" s="143"/>
      <c r="I3948" s="37"/>
      <c r="J3948" s="155">
        <f t="shared" si="3"/>
        <v>0</v>
      </c>
      <c r="K3948" s="22" t="s">
        <v>13928</v>
      </c>
      <c r="L3948" s="56">
        <v>45100</v>
      </c>
      <c r="O3948" s="42"/>
      <c r="P3948" s="40"/>
      <c r="Q3948" s="61"/>
      <c r="R3948" s="61"/>
      <c r="S3948" s="40"/>
      <c r="T3948" s="38"/>
      <c r="U3948" s="38"/>
      <c r="V3948" s="38"/>
      <c r="W3948" s="60"/>
      <c r="AB3948" s="42"/>
      <c r="AC3948" s="35"/>
      <c r="AD3948" s="38"/>
      <c r="AE3948" s="38"/>
      <c r="AF3948" s="38"/>
      <c r="AG3948" s="38"/>
      <c r="AH3948" s="60"/>
    </row>
    <row r="3949" spans="1:34" ht="15.75" customHeight="1">
      <c r="A3949" s="38" t="s">
        <v>13637</v>
      </c>
      <c r="B3949" s="158" t="s">
        <v>13929</v>
      </c>
      <c r="C3949" s="37" t="s">
        <v>87</v>
      </c>
      <c r="D3949" s="20" t="s">
        <v>13930</v>
      </c>
      <c r="E3949" s="20" t="s">
        <v>13931</v>
      </c>
      <c r="F3949" s="19" t="s">
        <v>90</v>
      </c>
      <c r="G3949" s="19" t="s">
        <v>91</v>
      </c>
      <c r="H3949" s="37"/>
      <c r="I3949" s="37"/>
      <c r="J3949" s="155">
        <f t="shared" si="3"/>
        <v>0</v>
      </c>
      <c r="K3949" s="22" t="s">
        <v>13932</v>
      </c>
      <c r="L3949" s="56">
        <v>45100</v>
      </c>
      <c r="O3949" s="42"/>
      <c r="P3949" s="40"/>
      <c r="Q3949" s="61"/>
      <c r="R3949" s="61"/>
      <c r="S3949" s="40"/>
      <c r="T3949" s="38"/>
      <c r="U3949" s="38"/>
      <c r="V3949" s="38"/>
      <c r="W3949" s="60"/>
      <c r="AB3949" s="42"/>
      <c r="AC3949" s="35"/>
      <c r="AD3949" s="38"/>
      <c r="AE3949" s="38"/>
      <c r="AF3949" s="38"/>
      <c r="AG3949" s="38"/>
      <c r="AH3949" s="60"/>
    </row>
    <row r="3950" spans="1:34" ht="15.75" customHeight="1">
      <c r="A3950" s="75" t="s">
        <v>10670</v>
      </c>
      <c r="B3950" s="158" t="s">
        <v>13933</v>
      </c>
      <c r="C3950" s="37" t="s">
        <v>46</v>
      </c>
      <c r="D3950" s="20" t="s">
        <v>13934</v>
      </c>
      <c r="E3950" s="20" t="s">
        <v>13935</v>
      </c>
      <c r="F3950" s="37" t="s">
        <v>49</v>
      </c>
      <c r="G3950" s="19" t="s">
        <v>50</v>
      </c>
      <c r="H3950" s="37"/>
      <c r="I3950" s="37"/>
      <c r="J3950" s="155">
        <f t="shared" si="3"/>
        <v>0</v>
      </c>
      <c r="K3950" s="22" t="s">
        <v>13936</v>
      </c>
      <c r="L3950" s="56">
        <v>45100</v>
      </c>
      <c r="O3950" s="42"/>
      <c r="P3950" s="40"/>
      <c r="Q3950" s="61"/>
      <c r="R3950" s="61"/>
      <c r="S3950" s="40"/>
      <c r="T3950" s="38"/>
      <c r="U3950" s="38"/>
      <c r="V3950" s="38"/>
      <c r="W3950" s="60"/>
      <c r="AB3950" s="42"/>
      <c r="AC3950" s="35"/>
      <c r="AD3950" s="38"/>
      <c r="AE3950" s="38"/>
      <c r="AF3950" s="38"/>
      <c r="AG3950" s="38"/>
      <c r="AH3950" s="60"/>
    </row>
    <row r="3951" spans="1:34" ht="15.75" customHeight="1">
      <c r="A3951" s="50" t="s">
        <v>56</v>
      </c>
      <c r="B3951" s="159" t="s">
        <v>13937</v>
      </c>
      <c r="C3951" s="37" t="s">
        <v>87</v>
      </c>
      <c r="D3951" s="20" t="s">
        <v>13938</v>
      </c>
      <c r="E3951" s="20" t="s">
        <v>13939</v>
      </c>
      <c r="F3951" s="19" t="s">
        <v>90</v>
      </c>
      <c r="G3951" s="19" t="s">
        <v>91</v>
      </c>
      <c r="H3951" s="37"/>
      <c r="I3951" s="37"/>
      <c r="J3951" s="155">
        <f t="shared" si="3"/>
        <v>0</v>
      </c>
      <c r="K3951" s="22" t="s">
        <v>13940</v>
      </c>
      <c r="L3951" s="56">
        <v>45100</v>
      </c>
      <c r="O3951" s="42"/>
      <c r="P3951" s="40"/>
      <c r="Q3951" s="61"/>
      <c r="R3951" s="61"/>
      <c r="S3951" s="40"/>
      <c r="T3951" s="38"/>
      <c r="U3951" s="38"/>
      <c r="V3951" s="38"/>
      <c r="W3951" s="60"/>
      <c r="AB3951" s="42"/>
      <c r="AC3951" s="35"/>
      <c r="AD3951" s="38"/>
      <c r="AE3951" s="38"/>
      <c r="AF3951" s="38"/>
      <c r="AG3951" s="38"/>
      <c r="AH3951" s="60"/>
    </row>
    <row r="3952" spans="1:34" ht="15.75" customHeight="1">
      <c r="A3952" s="17">
        <v>49</v>
      </c>
      <c r="B3952" s="158" t="s">
        <v>946</v>
      </c>
      <c r="C3952" s="37" t="s">
        <v>46</v>
      </c>
      <c r="D3952" s="20" t="s">
        <v>13941</v>
      </c>
      <c r="E3952" s="20" t="s">
        <v>13942</v>
      </c>
      <c r="F3952" s="37" t="s">
        <v>49</v>
      </c>
      <c r="G3952" s="19" t="s">
        <v>50</v>
      </c>
      <c r="H3952" s="37"/>
      <c r="I3952" s="37" t="s">
        <v>29</v>
      </c>
      <c r="J3952" s="155" t="str">
        <f t="shared" si="3"/>
        <v>TT</v>
      </c>
      <c r="K3952" s="22" t="s">
        <v>13943</v>
      </c>
      <c r="L3952" s="56">
        <v>45100</v>
      </c>
      <c r="O3952" s="42"/>
      <c r="P3952" s="40"/>
      <c r="Q3952" s="61"/>
      <c r="R3952" s="61"/>
      <c r="S3952" s="40"/>
      <c r="T3952" s="38"/>
      <c r="U3952" s="38"/>
      <c r="V3952" s="38"/>
      <c r="W3952" s="60"/>
      <c r="AB3952" s="42"/>
      <c r="AC3952" s="35"/>
      <c r="AD3952" s="38"/>
      <c r="AE3952" s="38"/>
      <c r="AF3952" s="38"/>
      <c r="AG3952" s="38"/>
      <c r="AH3952" s="60"/>
    </row>
    <row r="3953" spans="1:34" ht="15.75" customHeight="1">
      <c r="A3953" s="111" t="s">
        <v>64</v>
      </c>
      <c r="B3953" s="158" t="s">
        <v>13944</v>
      </c>
      <c r="C3953" s="37" t="s">
        <v>412</v>
      </c>
      <c r="D3953" s="20" t="s">
        <v>13945</v>
      </c>
      <c r="E3953" s="20"/>
      <c r="F3953" s="19" t="s">
        <v>414</v>
      </c>
      <c r="G3953" s="37" t="s">
        <v>415</v>
      </c>
      <c r="H3953" s="37"/>
      <c r="I3953" s="37" t="s">
        <v>233</v>
      </c>
      <c r="J3953" s="155" t="str">
        <f t="shared" si="3"/>
        <v>NTT</v>
      </c>
      <c r="K3953" s="22"/>
      <c r="L3953" s="56">
        <v>45100</v>
      </c>
      <c r="O3953" s="42"/>
      <c r="P3953" s="40"/>
      <c r="Q3953" s="61"/>
      <c r="R3953" s="61"/>
      <c r="S3953" s="40"/>
      <c r="T3953" s="38"/>
      <c r="U3953" s="38"/>
      <c r="V3953" s="38"/>
      <c r="W3953" s="60"/>
      <c r="AB3953" s="42"/>
      <c r="AC3953" s="35"/>
      <c r="AD3953" s="38"/>
      <c r="AE3953" s="38"/>
      <c r="AF3953" s="38"/>
      <c r="AG3953" s="38"/>
      <c r="AH3953" s="60"/>
    </row>
    <row r="3954" spans="1:34" ht="15.75" customHeight="1">
      <c r="A3954" s="75">
        <v>2.5</v>
      </c>
      <c r="B3954" s="158" t="s">
        <v>13946</v>
      </c>
      <c r="C3954" s="37" t="s">
        <v>1638</v>
      </c>
      <c r="D3954" s="20" t="s">
        <v>13947</v>
      </c>
      <c r="E3954" s="20" t="s">
        <v>13948</v>
      </c>
      <c r="F3954" s="37" t="s">
        <v>1399</v>
      </c>
      <c r="G3954" s="19" t="s">
        <v>1641</v>
      </c>
      <c r="H3954" s="37"/>
      <c r="I3954" s="21" t="s">
        <v>1371</v>
      </c>
      <c r="J3954" s="155" t="str">
        <f t="shared" si="3"/>
        <v>Other</v>
      </c>
      <c r="K3954" s="22" t="s">
        <v>13949</v>
      </c>
      <c r="L3954" s="56">
        <v>45100</v>
      </c>
      <c r="O3954" s="42"/>
      <c r="P3954" s="40"/>
      <c r="Q3954" s="61"/>
      <c r="R3954" s="61"/>
      <c r="S3954" s="40"/>
      <c r="T3954" s="38"/>
      <c r="U3954" s="38"/>
      <c r="V3954" s="38"/>
      <c r="W3954" s="60"/>
      <c r="AB3954" s="42"/>
      <c r="AC3954" s="35"/>
      <c r="AD3954" s="38"/>
      <c r="AE3954" s="38"/>
      <c r="AF3954" s="38"/>
      <c r="AG3954" s="38"/>
      <c r="AH3954" s="60"/>
    </row>
    <row r="3955" spans="1:34" ht="15.75" customHeight="1">
      <c r="A3955" s="111" t="s">
        <v>73</v>
      </c>
      <c r="B3955" s="158" t="s">
        <v>13950</v>
      </c>
      <c r="C3955" s="37" t="s">
        <v>412</v>
      </c>
      <c r="D3955" s="20" t="s">
        <v>13951</v>
      </c>
      <c r="E3955" s="20"/>
      <c r="F3955" s="19" t="s">
        <v>414</v>
      </c>
      <c r="G3955" s="19" t="s">
        <v>415</v>
      </c>
      <c r="H3955" s="37"/>
      <c r="I3955" s="37" t="s">
        <v>233</v>
      </c>
      <c r="J3955" s="155" t="str">
        <f t="shared" si="3"/>
        <v>NTT</v>
      </c>
      <c r="K3955" s="22"/>
      <c r="L3955" s="56">
        <v>45100</v>
      </c>
      <c r="O3955" s="42"/>
      <c r="P3955" s="40"/>
      <c r="Q3955" s="61"/>
      <c r="R3955" s="61"/>
      <c r="S3955" s="40"/>
      <c r="T3955" s="38"/>
      <c r="U3955" s="38"/>
      <c r="V3955" s="38"/>
      <c r="W3955" s="60"/>
      <c r="AB3955" s="42"/>
      <c r="AC3955" s="35"/>
      <c r="AD3955" s="38"/>
      <c r="AE3955" s="38"/>
      <c r="AF3955" s="38"/>
      <c r="AG3955" s="38"/>
      <c r="AH3955" s="60"/>
    </row>
    <row r="3956" spans="1:34" ht="15.75" customHeight="1">
      <c r="A3956" s="75">
        <v>3</v>
      </c>
      <c r="B3956" s="158" t="s">
        <v>13952</v>
      </c>
      <c r="C3956" s="37" t="s">
        <v>412</v>
      </c>
      <c r="D3956" s="20" t="s">
        <v>13953</v>
      </c>
      <c r="E3956" s="20"/>
      <c r="F3956" s="19" t="s">
        <v>414</v>
      </c>
      <c r="G3956" s="37" t="s">
        <v>415</v>
      </c>
      <c r="H3956" s="37"/>
      <c r="I3956" s="37" t="s">
        <v>233</v>
      </c>
      <c r="J3956" s="155" t="str">
        <f t="shared" si="3"/>
        <v>NTT</v>
      </c>
      <c r="K3956" s="22"/>
      <c r="L3956" s="56">
        <v>45100</v>
      </c>
      <c r="O3956" s="42"/>
      <c r="P3956" s="40"/>
      <c r="Q3956" s="61"/>
      <c r="R3956" s="61"/>
      <c r="S3956" s="40"/>
      <c r="T3956" s="38"/>
      <c r="U3956" s="38"/>
      <c r="V3956" s="38"/>
      <c r="W3956" s="60"/>
      <c r="AB3956" s="42"/>
      <c r="AC3956" s="35"/>
      <c r="AD3956" s="38"/>
      <c r="AE3956" s="38"/>
      <c r="AF3956" s="38"/>
      <c r="AG3956" s="38"/>
      <c r="AH3956" s="60"/>
    </row>
    <row r="3957" spans="1:34" ht="15.75" customHeight="1">
      <c r="A3957" s="111" t="s">
        <v>82</v>
      </c>
      <c r="B3957" s="158" t="s">
        <v>13954</v>
      </c>
      <c r="C3957" s="37" t="s">
        <v>87</v>
      </c>
      <c r="D3957" s="20" t="s">
        <v>13955</v>
      </c>
      <c r="E3957" s="20" t="s">
        <v>13956</v>
      </c>
      <c r="F3957" s="19" t="s">
        <v>90</v>
      </c>
      <c r="G3957" s="19" t="s">
        <v>91</v>
      </c>
      <c r="H3957" s="37"/>
      <c r="I3957" s="37" t="s">
        <v>29</v>
      </c>
      <c r="J3957" s="155" t="str">
        <f t="shared" si="3"/>
        <v>TT</v>
      </c>
      <c r="K3957" s="22" t="s">
        <v>13957</v>
      </c>
      <c r="L3957" s="56">
        <v>45100</v>
      </c>
      <c r="O3957" s="42"/>
      <c r="P3957" s="40"/>
      <c r="Q3957" s="61"/>
      <c r="R3957" s="61"/>
      <c r="S3957" s="40"/>
      <c r="T3957" s="38"/>
      <c r="U3957" s="38"/>
      <c r="V3957" s="38"/>
      <c r="W3957" s="60"/>
      <c r="AB3957" s="42"/>
      <c r="AC3957" s="35"/>
      <c r="AD3957" s="38"/>
      <c r="AE3957" s="38"/>
      <c r="AF3957" s="38"/>
      <c r="AG3957" s="38"/>
      <c r="AH3957" s="60"/>
    </row>
    <row r="3958" spans="1:34" ht="15.75" customHeight="1">
      <c r="A3958" s="112" t="s">
        <v>13958</v>
      </c>
      <c r="B3958" s="158" t="s">
        <v>13959</v>
      </c>
      <c r="C3958" s="37" t="s">
        <v>87</v>
      </c>
      <c r="D3958" s="20" t="s">
        <v>13960</v>
      </c>
      <c r="E3958" s="20" t="s">
        <v>13961</v>
      </c>
      <c r="F3958" s="19" t="s">
        <v>90</v>
      </c>
      <c r="G3958" s="19" t="s">
        <v>91</v>
      </c>
      <c r="H3958" s="37"/>
      <c r="I3958" s="37" t="s">
        <v>29</v>
      </c>
      <c r="J3958" s="155" t="str">
        <f t="shared" si="3"/>
        <v>TT</v>
      </c>
      <c r="K3958" s="22" t="s">
        <v>13962</v>
      </c>
      <c r="L3958" s="56">
        <v>45100</v>
      </c>
      <c r="O3958" s="42"/>
      <c r="P3958" s="40"/>
      <c r="Q3958" s="61"/>
      <c r="R3958" s="61"/>
      <c r="S3958" s="40"/>
      <c r="T3958" s="38"/>
      <c r="U3958" s="38"/>
      <c r="V3958" s="38"/>
      <c r="W3958" s="60"/>
      <c r="AB3958" s="42"/>
      <c r="AC3958" s="35"/>
      <c r="AD3958" s="38"/>
      <c r="AE3958" s="38"/>
      <c r="AF3958" s="38"/>
      <c r="AG3958" s="38"/>
      <c r="AH3958" s="60"/>
    </row>
    <row r="3959" spans="1:34" ht="15.75" customHeight="1">
      <c r="A3959" s="111" t="s">
        <v>92</v>
      </c>
      <c r="B3959" s="158" t="s">
        <v>13963</v>
      </c>
      <c r="C3959" s="37" t="s">
        <v>412</v>
      </c>
      <c r="D3959" s="20" t="s">
        <v>13964</v>
      </c>
      <c r="E3959" s="20" t="s">
        <v>13965</v>
      </c>
      <c r="F3959" s="19" t="s">
        <v>414</v>
      </c>
      <c r="G3959" s="19" t="s">
        <v>415</v>
      </c>
      <c r="H3959" s="37"/>
      <c r="I3959" s="37" t="s">
        <v>233</v>
      </c>
      <c r="J3959" s="155" t="str">
        <f t="shared" si="3"/>
        <v>NTT</v>
      </c>
      <c r="K3959" s="22" t="s">
        <v>13966</v>
      </c>
      <c r="L3959" s="56">
        <v>45100</v>
      </c>
      <c r="O3959" s="42"/>
      <c r="P3959" s="40"/>
      <c r="Q3959" s="61"/>
      <c r="R3959" s="61"/>
      <c r="S3959" s="40"/>
      <c r="T3959" s="38"/>
      <c r="U3959" s="38"/>
      <c r="V3959" s="38"/>
      <c r="W3959" s="60"/>
      <c r="AB3959" s="42"/>
      <c r="AC3959" s="35"/>
      <c r="AD3959" s="38"/>
      <c r="AE3959" s="38"/>
      <c r="AF3959" s="38"/>
      <c r="AG3959" s="38"/>
      <c r="AH3959" s="60"/>
    </row>
    <row r="3960" spans="1:34" ht="15.75" customHeight="1">
      <c r="A3960" s="17">
        <v>375</v>
      </c>
      <c r="B3960" s="158" t="s">
        <v>13967</v>
      </c>
      <c r="C3960" s="143" t="s">
        <v>24</v>
      </c>
      <c r="D3960" s="20" t="s">
        <v>13968</v>
      </c>
      <c r="E3960" s="20" t="s">
        <v>13969</v>
      </c>
      <c r="F3960" s="19" t="s">
        <v>27</v>
      </c>
      <c r="G3960" s="19" t="s">
        <v>28</v>
      </c>
      <c r="H3960" s="143"/>
      <c r="I3960" s="37" t="s">
        <v>29</v>
      </c>
      <c r="J3960" s="155" t="str">
        <f t="shared" si="3"/>
        <v>TT</v>
      </c>
      <c r="K3960" s="22" t="s">
        <v>13970</v>
      </c>
      <c r="L3960" s="56">
        <v>45100</v>
      </c>
      <c r="O3960" s="42"/>
      <c r="P3960" s="40"/>
      <c r="Q3960" s="61"/>
      <c r="R3960" s="61"/>
      <c r="S3960" s="40"/>
      <c r="T3960" s="38"/>
      <c r="U3960" s="38"/>
      <c r="V3960" s="38"/>
      <c r="W3960" s="60"/>
      <c r="AB3960" s="42"/>
      <c r="AC3960" s="35"/>
      <c r="AD3960" s="38"/>
      <c r="AE3960" s="38"/>
      <c r="AF3960" s="38"/>
      <c r="AG3960" s="38"/>
      <c r="AH3960" s="60"/>
    </row>
    <row r="3961" spans="1:34" ht="15.75" customHeight="1">
      <c r="A3961" s="111" t="s">
        <v>100</v>
      </c>
      <c r="B3961" s="159" t="s">
        <v>13971</v>
      </c>
      <c r="C3961" s="143" t="s">
        <v>24</v>
      </c>
      <c r="D3961" s="20" t="s">
        <v>13972</v>
      </c>
      <c r="E3961" s="20" t="s">
        <v>13973</v>
      </c>
      <c r="F3961" s="19" t="s">
        <v>27</v>
      </c>
      <c r="G3961" s="19" t="s">
        <v>28</v>
      </c>
      <c r="H3961" s="19" t="s">
        <v>36</v>
      </c>
      <c r="I3961" s="21" t="s">
        <v>29</v>
      </c>
      <c r="J3961" s="155" t="str">
        <f t="shared" si="3"/>
        <v>TT</v>
      </c>
      <c r="K3961" s="22" t="s">
        <v>13974</v>
      </c>
      <c r="L3961" s="56">
        <v>45100</v>
      </c>
      <c r="O3961" s="42"/>
      <c r="P3961" s="40"/>
      <c r="Q3961" s="61"/>
      <c r="R3961" s="61"/>
      <c r="S3961" s="40"/>
      <c r="T3961" s="38"/>
      <c r="U3961" s="38"/>
      <c r="V3961" s="38"/>
      <c r="W3961" s="60"/>
      <c r="AB3961" s="42"/>
      <c r="AC3961" s="35"/>
      <c r="AD3961" s="38"/>
      <c r="AE3961" s="38"/>
      <c r="AF3961" s="38"/>
      <c r="AG3961" s="38"/>
      <c r="AH3961" s="60"/>
    </row>
    <row r="3962" spans="1:34" ht="15.75" customHeight="1">
      <c r="A3962" s="17">
        <v>161</v>
      </c>
      <c r="B3962" s="158" t="s">
        <v>13975</v>
      </c>
      <c r="C3962" s="37" t="s">
        <v>46</v>
      </c>
      <c r="D3962" s="20" t="s">
        <v>13976</v>
      </c>
      <c r="E3962" s="20"/>
      <c r="F3962" s="37" t="s">
        <v>49</v>
      </c>
      <c r="G3962" s="19" t="s">
        <v>50</v>
      </c>
      <c r="H3962" s="37"/>
      <c r="I3962" s="21" t="s">
        <v>29</v>
      </c>
      <c r="J3962" s="155" t="str">
        <f t="shared" si="3"/>
        <v>TT</v>
      </c>
      <c r="K3962" s="22"/>
      <c r="L3962" s="56">
        <v>45100</v>
      </c>
      <c r="O3962" s="42"/>
      <c r="P3962" s="40"/>
      <c r="Q3962" s="61"/>
      <c r="R3962" s="61"/>
      <c r="S3962" s="40"/>
      <c r="T3962" s="38"/>
      <c r="U3962" s="38"/>
      <c r="V3962" s="38"/>
      <c r="W3962" s="60"/>
      <c r="AB3962" s="42"/>
      <c r="AC3962" s="35"/>
      <c r="AD3962" s="38"/>
      <c r="AE3962" s="38"/>
      <c r="AF3962" s="38"/>
      <c r="AG3962" s="38"/>
      <c r="AH3962" s="60"/>
    </row>
    <row r="3963" spans="1:34" ht="15.75" customHeight="1">
      <c r="A3963" s="44"/>
      <c r="B3963" s="158" t="s">
        <v>13977</v>
      </c>
      <c r="C3963" s="143" t="s">
        <v>24</v>
      </c>
      <c r="D3963" s="20" t="s">
        <v>13978</v>
      </c>
      <c r="E3963" s="20" t="s">
        <v>13979</v>
      </c>
      <c r="F3963" s="19" t="s">
        <v>27</v>
      </c>
      <c r="G3963" s="19" t="s">
        <v>28</v>
      </c>
      <c r="H3963" s="143"/>
      <c r="I3963" s="37" t="s">
        <v>29</v>
      </c>
      <c r="J3963" s="155" t="str">
        <f t="shared" si="3"/>
        <v>TT</v>
      </c>
      <c r="K3963" s="22" t="s">
        <v>13980</v>
      </c>
      <c r="L3963" s="56">
        <v>45100</v>
      </c>
      <c r="O3963" s="42"/>
      <c r="P3963" s="40"/>
      <c r="Q3963" s="61"/>
      <c r="R3963" s="61"/>
      <c r="S3963" s="40"/>
      <c r="T3963" s="38"/>
      <c r="U3963" s="38"/>
      <c r="V3963" s="38"/>
      <c r="W3963" s="60"/>
      <c r="AB3963" s="42"/>
      <c r="AC3963" s="35"/>
      <c r="AD3963" s="38"/>
      <c r="AE3963" s="38"/>
      <c r="AF3963" s="38"/>
      <c r="AG3963" s="38"/>
      <c r="AH3963" s="60"/>
    </row>
    <row r="3964" spans="1:34" ht="15.75" customHeight="1">
      <c r="A3964" s="195"/>
      <c r="B3964" s="158" t="s">
        <v>13981</v>
      </c>
      <c r="C3964" s="37" t="s">
        <v>46</v>
      </c>
      <c r="D3964" s="20" t="s">
        <v>13982</v>
      </c>
      <c r="E3964" s="20" t="s">
        <v>13983</v>
      </c>
      <c r="F3964" s="37" t="s">
        <v>49</v>
      </c>
      <c r="G3964" s="19" t="s">
        <v>50</v>
      </c>
      <c r="H3964" s="37"/>
      <c r="I3964" s="21" t="s">
        <v>29</v>
      </c>
      <c r="J3964" s="155" t="str">
        <f t="shared" si="3"/>
        <v>TT</v>
      </c>
      <c r="K3964" s="22" t="s">
        <v>13984</v>
      </c>
      <c r="L3964" s="56">
        <v>45100</v>
      </c>
      <c r="O3964" s="42"/>
      <c r="P3964" s="40"/>
      <c r="Q3964" s="61"/>
      <c r="R3964" s="61"/>
      <c r="S3964" s="40"/>
      <c r="T3964" s="38"/>
      <c r="U3964" s="38"/>
      <c r="V3964" s="38"/>
      <c r="W3964" s="60"/>
      <c r="AB3964" s="42"/>
      <c r="AC3964" s="35"/>
      <c r="AD3964" s="38"/>
      <c r="AE3964" s="38"/>
      <c r="AF3964" s="38"/>
      <c r="AG3964" s="38"/>
      <c r="AH3964" s="60"/>
    </row>
    <row r="3965" spans="1:34" ht="15.75" customHeight="1">
      <c r="A3965" s="195"/>
      <c r="B3965" s="158" t="s">
        <v>13985</v>
      </c>
      <c r="C3965" s="37" t="s">
        <v>87</v>
      </c>
      <c r="D3965" s="20" t="s">
        <v>13986</v>
      </c>
      <c r="E3965" s="20" t="s">
        <v>13987</v>
      </c>
      <c r="F3965" s="19" t="s">
        <v>90</v>
      </c>
      <c r="G3965" s="19" t="s">
        <v>91</v>
      </c>
      <c r="H3965" s="37"/>
      <c r="I3965" s="21" t="s">
        <v>29</v>
      </c>
      <c r="J3965" s="155" t="str">
        <f t="shared" si="3"/>
        <v>TT</v>
      </c>
      <c r="K3965" s="22" t="s">
        <v>13988</v>
      </c>
      <c r="L3965" s="56">
        <v>45100</v>
      </c>
      <c r="O3965" s="42"/>
      <c r="P3965" s="40"/>
      <c r="Q3965" s="61"/>
      <c r="R3965" s="61"/>
      <c r="S3965" s="40"/>
      <c r="T3965" s="38"/>
      <c r="U3965" s="38"/>
      <c r="V3965" s="38"/>
      <c r="W3965" s="60"/>
      <c r="AB3965" s="42"/>
      <c r="AC3965" s="35"/>
      <c r="AD3965" s="38"/>
      <c r="AE3965" s="38"/>
      <c r="AF3965" s="38"/>
      <c r="AG3965" s="38"/>
      <c r="AH3965" s="60"/>
    </row>
    <row r="3966" spans="1:34" ht="15.75" customHeight="1">
      <c r="A3966" s="195"/>
      <c r="B3966" s="158" t="s">
        <v>13989</v>
      </c>
      <c r="C3966" s="37" t="s">
        <v>87</v>
      </c>
      <c r="D3966" s="20" t="s">
        <v>13990</v>
      </c>
      <c r="E3966" s="20" t="s">
        <v>13991</v>
      </c>
      <c r="F3966" s="19" t="s">
        <v>90</v>
      </c>
      <c r="G3966" s="19" t="s">
        <v>91</v>
      </c>
      <c r="H3966" s="37"/>
      <c r="I3966" s="21" t="s">
        <v>29</v>
      </c>
      <c r="J3966" s="155" t="str">
        <f t="shared" si="3"/>
        <v>TT</v>
      </c>
      <c r="K3966" s="22" t="s">
        <v>13992</v>
      </c>
      <c r="L3966" s="56">
        <v>45100</v>
      </c>
      <c r="O3966" s="42"/>
      <c r="P3966" s="40"/>
      <c r="Q3966" s="61"/>
      <c r="R3966" s="61"/>
      <c r="S3966" s="40"/>
      <c r="T3966" s="38"/>
      <c r="U3966" s="38"/>
      <c r="V3966" s="38"/>
      <c r="W3966" s="60"/>
      <c r="AB3966" s="42"/>
      <c r="AC3966" s="35"/>
      <c r="AD3966" s="38"/>
      <c r="AE3966" s="38"/>
      <c r="AF3966" s="38"/>
      <c r="AG3966" s="38"/>
      <c r="AH3966" s="60"/>
    </row>
    <row r="3967" spans="1:34" ht="15.75" customHeight="1">
      <c r="A3967" s="195"/>
      <c r="B3967" s="158" t="s">
        <v>13993</v>
      </c>
      <c r="C3967" s="37" t="s">
        <v>87</v>
      </c>
      <c r="D3967" s="20" t="s">
        <v>13994</v>
      </c>
      <c r="E3967" s="20" t="s">
        <v>13995</v>
      </c>
      <c r="F3967" s="19" t="s">
        <v>90</v>
      </c>
      <c r="G3967" s="19" t="s">
        <v>91</v>
      </c>
      <c r="H3967" s="37"/>
      <c r="I3967" s="21" t="s">
        <v>29</v>
      </c>
      <c r="J3967" s="155" t="str">
        <f t="shared" si="3"/>
        <v>TT</v>
      </c>
      <c r="K3967" s="22" t="s">
        <v>13996</v>
      </c>
      <c r="L3967" s="56">
        <v>45100</v>
      </c>
      <c r="O3967" s="42"/>
      <c r="P3967" s="40"/>
      <c r="Q3967" s="61"/>
      <c r="R3967" s="61"/>
      <c r="S3967" s="40"/>
      <c r="T3967" s="38"/>
      <c r="U3967" s="38"/>
      <c r="V3967" s="38"/>
      <c r="W3967" s="60"/>
      <c r="AB3967" s="42"/>
      <c r="AC3967" s="35"/>
      <c r="AD3967" s="38"/>
      <c r="AE3967" s="38"/>
      <c r="AF3967" s="38"/>
      <c r="AG3967" s="38"/>
      <c r="AH3967" s="60"/>
    </row>
    <row r="3968" spans="1:34" ht="15.75" customHeight="1">
      <c r="A3968" s="195"/>
      <c r="B3968" s="158" t="s">
        <v>13997</v>
      </c>
      <c r="C3968" s="143" t="s">
        <v>24</v>
      </c>
      <c r="D3968" s="20" t="s">
        <v>13998</v>
      </c>
      <c r="E3968" s="20" t="s">
        <v>13999</v>
      </c>
      <c r="F3968" s="19" t="s">
        <v>27</v>
      </c>
      <c r="G3968" s="19" t="s">
        <v>28</v>
      </c>
      <c r="H3968" s="19" t="s">
        <v>36</v>
      </c>
      <c r="I3968" s="21" t="s">
        <v>29</v>
      </c>
      <c r="J3968" s="155" t="str">
        <f t="shared" si="3"/>
        <v>TT</v>
      </c>
      <c r="K3968" s="22" t="s">
        <v>14000</v>
      </c>
      <c r="L3968" s="56">
        <v>45100</v>
      </c>
      <c r="O3968" s="42"/>
      <c r="P3968" s="40"/>
      <c r="Q3968" s="61"/>
      <c r="R3968" s="61"/>
      <c r="S3968" s="40"/>
      <c r="T3968" s="38"/>
      <c r="U3968" s="38"/>
      <c r="V3968" s="38"/>
      <c r="W3968" s="60"/>
      <c r="AB3968" s="42"/>
      <c r="AC3968" s="35"/>
      <c r="AD3968" s="38"/>
      <c r="AE3968" s="38"/>
      <c r="AF3968" s="38"/>
      <c r="AG3968" s="38"/>
      <c r="AH3968" s="60"/>
    </row>
    <row r="3969" spans="1:34" ht="15.75" customHeight="1">
      <c r="A3969" s="195"/>
      <c r="B3969" s="158" t="s">
        <v>14001</v>
      </c>
      <c r="C3969" s="37" t="s">
        <v>87</v>
      </c>
      <c r="D3969" s="20" t="s">
        <v>14002</v>
      </c>
      <c r="E3969" s="20" t="s">
        <v>14003</v>
      </c>
      <c r="F3969" s="19" t="s">
        <v>90</v>
      </c>
      <c r="G3969" s="19" t="s">
        <v>91</v>
      </c>
      <c r="H3969" s="37"/>
      <c r="I3969" s="21" t="s">
        <v>29</v>
      </c>
      <c r="J3969" s="155" t="str">
        <f t="shared" si="3"/>
        <v>TT</v>
      </c>
      <c r="K3969" s="22" t="s">
        <v>14004</v>
      </c>
      <c r="L3969" s="56">
        <v>45100</v>
      </c>
      <c r="O3969" s="42"/>
      <c r="P3969" s="40"/>
      <c r="Q3969" s="61"/>
      <c r="R3969" s="61"/>
      <c r="S3969" s="40"/>
      <c r="T3969" s="38"/>
      <c r="U3969" s="38"/>
      <c r="V3969" s="38"/>
      <c r="W3969" s="60"/>
      <c r="AB3969" s="42"/>
      <c r="AC3969" s="35"/>
      <c r="AD3969" s="38"/>
      <c r="AE3969" s="38"/>
      <c r="AF3969" s="38"/>
      <c r="AG3969" s="38"/>
      <c r="AH3969" s="60"/>
    </row>
    <row r="3970" spans="1:34" ht="15.75" customHeight="1">
      <c r="A3970" s="195"/>
      <c r="B3970" s="158" t="s">
        <v>14005</v>
      </c>
      <c r="C3970" s="37" t="s">
        <v>46</v>
      </c>
      <c r="D3970" s="20" t="s">
        <v>14006</v>
      </c>
      <c r="E3970" s="20"/>
      <c r="F3970" s="37" t="s">
        <v>49</v>
      </c>
      <c r="G3970" s="19" t="s">
        <v>50</v>
      </c>
      <c r="H3970" s="37"/>
      <c r="I3970" s="21" t="s">
        <v>29</v>
      </c>
      <c r="J3970" s="155" t="str">
        <f t="shared" si="3"/>
        <v>TT</v>
      </c>
      <c r="K3970" s="22"/>
      <c r="L3970" s="56">
        <v>45100</v>
      </c>
      <c r="O3970" s="42"/>
      <c r="P3970" s="40"/>
      <c r="Q3970" s="61"/>
      <c r="R3970" s="61"/>
      <c r="S3970" s="40"/>
      <c r="T3970" s="38"/>
      <c r="U3970" s="38"/>
      <c r="V3970" s="38"/>
      <c r="W3970" s="60"/>
      <c r="AB3970" s="42"/>
      <c r="AC3970" s="35"/>
      <c r="AD3970" s="38"/>
      <c r="AE3970" s="38"/>
      <c r="AF3970" s="38"/>
      <c r="AG3970" s="38"/>
      <c r="AH3970" s="60"/>
    </row>
    <row r="3971" spans="1:34" ht="15.75" customHeight="1">
      <c r="A3971" s="195"/>
      <c r="B3971" s="158" t="s">
        <v>14007</v>
      </c>
      <c r="C3971" s="37" t="s">
        <v>46</v>
      </c>
      <c r="D3971" s="20" t="s">
        <v>14008</v>
      </c>
      <c r="E3971" s="20" t="s">
        <v>14009</v>
      </c>
      <c r="F3971" s="37" t="s">
        <v>49</v>
      </c>
      <c r="G3971" s="19" t="s">
        <v>50</v>
      </c>
      <c r="H3971" s="37"/>
      <c r="I3971" s="21" t="s">
        <v>29</v>
      </c>
      <c r="J3971" s="155" t="str">
        <f t="shared" si="3"/>
        <v>TT</v>
      </c>
      <c r="K3971" s="22" t="s">
        <v>14010</v>
      </c>
      <c r="L3971" s="56">
        <v>45100</v>
      </c>
      <c r="O3971" s="42"/>
      <c r="P3971" s="40"/>
      <c r="Q3971" s="61"/>
      <c r="R3971" s="61"/>
      <c r="S3971" s="40"/>
      <c r="T3971" s="38"/>
      <c r="U3971" s="38"/>
      <c r="V3971" s="38"/>
      <c r="W3971" s="60"/>
      <c r="AB3971" s="42"/>
      <c r="AC3971" s="35"/>
      <c r="AD3971" s="38"/>
      <c r="AE3971" s="38"/>
      <c r="AF3971" s="38"/>
      <c r="AG3971" s="38"/>
      <c r="AH3971" s="60"/>
    </row>
    <row r="3972" spans="1:34" ht="15.75" customHeight="1">
      <c r="A3972" s="195"/>
      <c r="B3972" s="158" t="s">
        <v>14011</v>
      </c>
      <c r="C3972" s="143" t="s">
        <v>24</v>
      </c>
      <c r="D3972" s="20" t="s">
        <v>14012</v>
      </c>
      <c r="E3972" s="20" t="s">
        <v>14013</v>
      </c>
      <c r="F3972" s="19" t="s">
        <v>27</v>
      </c>
      <c r="G3972" s="19" t="s">
        <v>28</v>
      </c>
      <c r="H3972" s="143"/>
      <c r="I3972" s="21" t="s">
        <v>29</v>
      </c>
      <c r="J3972" s="155" t="str">
        <f t="shared" si="3"/>
        <v>TT</v>
      </c>
      <c r="K3972" s="22" t="s">
        <v>14014</v>
      </c>
      <c r="L3972" s="56">
        <v>45100</v>
      </c>
      <c r="O3972" s="42"/>
      <c r="P3972" s="40"/>
      <c r="Q3972" s="61"/>
      <c r="R3972" s="61"/>
      <c r="S3972" s="40"/>
      <c r="T3972" s="38"/>
      <c r="U3972" s="38"/>
      <c r="V3972" s="38"/>
      <c r="W3972" s="60"/>
      <c r="AB3972" s="42"/>
      <c r="AC3972" s="35"/>
      <c r="AD3972" s="38"/>
      <c r="AE3972" s="38"/>
      <c r="AF3972" s="38"/>
      <c r="AG3972" s="38"/>
      <c r="AH3972" s="60"/>
    </row>
    <row r="3973" spans="1:34" ht="15.75" customHeight="1">
      <c r="A3973" s="195"/>
      <c r="B3973" s="158" t="s">
        <v>14015</v>
      </c>
      <c r="C3973" s="37" t="s">
        <v>87</v>
      </c>
      <c r="D3973" s="20" t="s">
        <v>14016</v>
      </c>
      <c r="E3973" s="20" t="s">
        <v>14017</v>
      </c>
      <c r="F3973" s="19" t="s">
        <v>90</v>
      </c>
      <c r="G3973" s="19" t="s">
        <v>91</v>
      </c>
      <c r="H3973" s="37"/>
      <c r="I3973" s="21" t="s">
        <v>29</v>
      </c>
      <c r="J3973" s="155" t="str">
        <f t="shared" si="3"/>
        <v>TT</v>
      </c>
      <c r="K3973" s="22" t="s">
        <v>14018</v>
      </c>
      <c r="L3973" s="56">
        <v>45100</v>
      </c>
      <c r="O3973" s="42"/>
      <c r="P3973" s="40"/>
      <c r="Q3973" s="61"/>
      <c r="R3973" s="61"/>
      <c r="S3973" s="40"/>
      <c r="T3973" s="38"/>
      <c r="U3973" s="38"/>
      <c r="V3973" s="38"/>
      <c r="W3973" s="60"/>
      <c r="AB3973" s="42"/>
      <c r="AC3973" s="35"/>
      <c r="AD3973" s="38"/>
      <c r="AE3973" s="38"/>
      <c r="AF3973" s="38"/>
      <c r="AG3973" s="38"/>
      <c r="AH3973" s="60"/>
    </row>
    <row r="3974" spans="1:34" ht="15.75" customHeight="1">
      <c r="A3974" s="195"/>
      <c r="B3974" s="158" t="s">
        <v>14019</v>
      </c>
      <c r="C3974" s="37" t="s">
        <v>46</v>
      </c>
      <c r="D3974" s="20" t="s">
        <v>14020</v>
      </c>
      <c r="E3974" s="20" t="s">
        <v>14021</v>
      </c>
      <c r="F3974" s="37" t="s">
        <v>49</v>
      </c>
      <c r="G3974" s="19" t="s">
        <v>50</v>
      </c>
      <c r="H3974" s="37"/>
      <c r="I3974" s="21" t="s">
        <v>29</v>
      </c>
      <c r="J3974" s="155" t="str">
        <f t="shared" si="3"/>
        <v>TT</v>
      </c>
      <c r="K3974" s="22" t="s">
        <v>14022</v>
      </c>
      <c r="L3974" s="56">
        <v>45100</v>
      </c>
      <c r="O3974" s="42"/>
      <c r="P3974" s="40"/>
      <c r="Q3974" s="61"/>
      <c r="R3974" s="61"/>
      <c r="S3974" s="40"/>
      <c r="T3974" s="38"/>
      <c r="U3974" s="38"/>
      <c r="V3974" s="38"/>
      <c r="W3974" s="60"/>
      <c r="AB3974" s="42"/>
      <c r="AC3974" s="35"/>
      <c r="AD3974" s="38"/>
      <c r="AE3974" s="38"/>
      <c r="AF3974" s="38"/>
      <c r="AG3974" s="38"/>
      <c r="AH3974" s="60"/>
    </row>
    <row r="3975" spans="1:34" ht="15.75" customHeight="1">
      <c r="A3975" s="195"/>
      <c r="B3975" s="158" t="s">
        <v>14023</v>
      </c>
      <c r="C3975" s="37" t="s">
        <v>46</v>
      </c>
      <c r="D3975" s="20" t="s">
        <v>14024</v>
      </c>
      <c r="E3975" s="20" t="s">
        <v>14025</v>
      </c>
      <c r="F3975" s="37" t="s">
        <v>49</v>
      </c>
      <c r="G3975" s="19" t="s">
        <v>50</v>
      </c>
      <c r="H3975" s="37"/>
      <c r="I3975" s="21" t="s">
        <v>29</v>
      </c>
      <c r="J3975" s="155" t="str">
        <f t="shared" si="3"/>
        <v>TT</v>
      </c>
      <c r="K3975" s="22" t="s">
        <v>14026</v>
      </c>
      <c r="L3975" s="56">
        <v>45100</v>
      </c>
      <c r="O3975" s="42"/>
      <c r="P3975" s="40"/>
      <c r="Q3975" s="61"/>
      <c r="R3975" s="61"/>
      <c r="S3975" s="40"/>
      <c r="T3975" s="38"/>
      <c r="U3975" s="38"/>
      <c r="V3975" s="38"/>
      <c r="W3975" s="60"/>
      <c r="AB3975" s="42"/>
      <c r="AC3975" s="35"/>
      <c r="AD3975" s="38"/>
      <c r="AE3975" s="38"/>
      <c r="AF3975" s="38"/>
      <c r="AG3975" s="38"/>
      <c r="AH3975" s="60"/>
    </row>
    <row r="3976" spans="1:34" ht="15.75" customHeight="1">
      <c r="A3976" s="195"/>
      <c r="B3976" s="158" t="s">
        <v>14027</v>
      </c>
      <c r="C3976" s="143" t="s">
        <v>24</v>
      </c>
      <c r="D3976" s="20" t="s">
        <v>14028</v>
      </c>
      <c r="E3976" s="20" t="s">
        <v>14029</v>
      </c>
      <c r="F3976" s="19" t="s">
        <v>27</v>
      </c>
      <c r="G3976" s="19" t="s">
        <v>28</v>
      </c>
      <c r="H3976" s="143"/>
      <c r="I3976" s="21" t="s">
        <v>29</v>
      </c>
      <c r="J3976" s="155" t="str">
        <f t="shared" si="3"/>
        <v>TT</v>
      </c>
      <c r="K3976" s="22" t="s">
        <v>14030</v>
      </c>
      <c r="L3976" s="56">
        <v>45100</v>
      </c>
      <c r="O3976" s="42"/>
      <c r="P3976" s="40"/>
      <c r="Q3976" s="61"/>
      <c r="R3976" s="61"/>
      <c r="S3976" s="40"/>
      <c r="T3976" s="38"/>
      <c r="U3976" s="38"/>
      <c r="V3976" s="38"/>
      <c r="W3976" s="60"/>
      <c r="AB3976" s="42"/>
      <c r="AC3976" s="35"/>
      <c r="AD3976" s="38"/>
      <c r="AE3976" s="38"/>
      <c r="AF3976" s="38"/>
      <c r="AG3976" s="38"/>
      <c r="AH3976" s="60"/>
    </row>
    <row r="3977" spans="1:34" ht="15.75" customHeight="1">
      <c r="A3977" s="195"/>
      <c r="B3977" s="163" t="s">
        <v>14031</v>
      </c>
      <c r="C3977" s="19" t="s">
        <v>121</v>
      </c>
      <c r="D3977" s="20" t="s">
        <v>14032</v>
      </c>
      <c r="E3977" s="20"/>
      <c r="F3977" s="19" t="s">
        <v>27</v>
      </c>
      <c r="G3977" s="143" t="s">
        <v>359</v>
      </c>
      <c r="H3977" s="143"/>
      <c r="I3977" s="21" t="s">
        <v>29</v>
      </c>
      <c r="J3977" s="155" t="str">
        <f t="shared" si="3"/>
        <v>TT</v>
      </c>
      <c r="K3977" s="22"/>
      <c r="L3977" s="56">
        <v>45100</v>
      </c>
      <c r="O3977" s="42"/>
      <c r="P3977" s="40"/>
      <c r="Q3977" s="61"/>
      <c r="R3977" s="61"/>
      <c r="S3977" s="40"/>
      <c r="T3977" s="38"/>
      <c r="U3977" s="38"/>
      <c r="V3977" s="38"/>
      <c r="W3977" s="60"/>
      <c r="AB3977" s="42"/>
      <c r="AC3977" s="35"/>
      <c r="AD3977" s="38"/>
      <c r="AE3977" s="38"/>
      <c r="AF3977" s="38"/>
      <c r="AG3977" s="38"/>
      <c r="AH3977" s="60"/>
    </row>
    <row r="3978" spans="1:34" ht="15.75" customHeight="1">
      <c r="A3978" s="195"/>
      <c r="B3978" s="158" t="s">
        <v>14033</v>
      </c>
      <c r="C3978" s="37" t="s">
        <v>46</v>
      </c>
      <c r="D3978" s="20" t="s">
        <v>14034</v>
      </c>
      <c r="E3978" s="20" t="s">
        <v>14035</v>
      </c>
      <c r="F3978" s="37" t="s">
        <v>49</v>
      </c>
      <c r="G3978" s="19" t="s">
        <v>50</v>
      </c>
      <c r="H3978" s="37"/>
      <c r="I3978" s="21" t="s">
        <v>29</v>
      </c>
      <c r="J3978" s="155" t="str">
        <f t="shared" si="3"/>
        <v>TT</v>
      </c>
      <c r="K3978" s="22" t="s">
        <v>14036</v>
      </c>
      <c r="L3978" s="56">
        <v>45100</v>
      </c>
      <c r="O3978" s="42"/>
      <c r="P3978" s="40"/>
      <c r="Q3978" s="61"/>
      <c r="R3978" s="61"/>
      <c r="S3978" s="40"/>
      <c r="T3978" s="38"/>
      <c r="U3978" s="38"/>
      <c r="V3978" s="38"/>
      <c r="W3978" s="60"/>
      <c r="AB3978" s="42"/>
      <c r="AC3978" s="35"/>
      <c r="AD3978" s="38"/>
      <c r="AE3978" s="38"/>
      <c r="AF3978" s="38"/>
      <c r="AG3978" s="38"/>
      <c r="AH3978" s="60"/>
    </row>
    <row r="3979" spans="1:34" ht="15.75" customHeight="1">
      <c r="A3979" s="195"/>
      <c r="B3979" s="158" t="s">
        <v>14037</v>
      </c>
      <c r="C3979" s="37" t="s">
        <v>87</v>
      </c>
      <c r="D3979" s="20" t="s">
        <v>14038</v>
      </c>
      <c r="E3979" s="20" t="s">
        <v>14039</v>
      </c>
      <c r="F3979" s="19" t="s">
        <v>90</v>
      </c>
      <c r="G3979" s="19" t="s">
        <v>91</v>
      </c>
      <c r="H3979" s="37"/>
      <c r="I3979" s="21" t="s">
        <v>29</v>
      </c>
      <c r="J3979" s="155" t="str">
        <f t="shared" si="3"/>
        <v>TT</v>
      </c>
      <c r="K3979" s="22" t="s">
        <v>14040</v>
      </c>
      <c r="L3979" s="56">
        <v>45100</v>
      </c>
      <c r="O3979" s="42"/>
      <c r="P3979" s="40"/>
      <c r="Q3979" s="61"/>
      <c r="R3979" s="61"/>
      <c r="S3979" s="40"/>
      <c r="T3979" s="38"/>
      <c r="U3979" s="38"/>
      <c r="V3979" s="38"/>
      <c r="W3979" s="60"/>
      <c r="AB3979" s="42"/>
      <c r="AC3979" s="35"/>
      <c r="AD3979" s="38"/>
      <c r="AE3979" s="38"/>
      <c r="AF3979" s="38"/>
      <c r="AG3979" s="38"/>
      <c r="AH3979" s="60"/>
    </row>
    <row r="3980" spans="1:34" ht="15.75" customHeight="1">
      <c r="A3980" s="195"/>
      <c r="B3980" s="158" t="s">
        <v>14041</v>
      </c>
      <c r="C3980" s="143" t="s">
        <v>24</v>
      </c>
      <c r="D3980" s="20" t="s">
        <v>14042</v>
      </c>
      <c r="E3980" s="20" t="s">
        <v>14043</v>
      </c>
      <c r="F3980" s="19" t="s">
        <v>27</v>
      </c>
      <c r="G3980" s="19" t="s">
        <v>28</v>
      </c>
      <c r="H3980" s="19" t="s">
        <v>36</v>
      </c>
      <c r="I3980" s="21" t="s">
        <v>29</v>
      </c>
      <c r="J3980" s="155" t="str">
        <f t="shared" si="3"/>
        <v>TT</v>
      </c>
      <c r="K3980" s="22" t="s">
        <v>14044</v>
      </c>
      <c r="L3980" s="56">
        <v>45100</v>
      </c>
      <c r="O3980" s="42"/>
      <c r="P3980" s="40"/>
      <c r="Q3980" s="61"/>
      <c r="R3980" s="61"/>
      <c r="S3980" s="40"/>
      <c r="T3980" s="38"/>
      <c r="U3980" s="38"/>
      <c r="V3980" s="38"/>
      <c r="W3980" s="60"/>
      <c r="AB3980" s="42"/>
      <c r="AC3980" s="35"/>
      <c r="AD3980" s="38"/>
      <c r="AE3980" s="38"/>
      <c r="AF3980" s="38"/>
      <c r="AG3980" s="38"/>
      <c r="AH3980" s="60"/>
    </row>
    <row r="3981" spans="1:34" ht="15.75" customHeight="1">
      <c r="A3981" s="195"/>
      <c r="B3981" s="158" t="s">
        <v>14045</v>
      </c>
      <c r="C3981" s="143" t="s">
        <v>24</v>
      </c>
      <c r="D3981" s="20" t="s">
        <v>14046</v>
      </c>
      <c r="E3981" s="20" t="s">
        <v>14047</v>
      </c>
      <c r="F3981" s="19" t="s">
        <v>27</v>
      </c>
      <c r="G3981" s="19" t="s">
        <v>28</v>
      </c>
      <c r="H3981" s="143"/>
      <c r="I3981" s="21" t="s">
        <v>29</v>
      </c>
      <c r="J3981" s="155" t="str">
        <f t="shared" si="3"/>
        <v>TT</v>
      </c>
      <c r="K3981" s="22" t="s">
        <v>14048</v>
      </c>
      <c r="L3981" s="56">
        <v>45100</v>
      </c>
      <c r="O3981" s="42"/>
      <c r="P3981" s="40"/>
      <c r="Q3981" s="61"/>
      <c r="R3981" s="61"/>
      <c r="S3981" s="40"/>
      <c r="T3981" s="38"/>
      <c r="U3981" s="38"/>
      <c r="V3981" s="38"/>
      <c r="W3981" s="60"/>
      <c r="AB3981" s="42"/>
      <c r="AC3981" s="35"/>
      <c r="AD3981" s="38"/>
      <c r="AE3981" s="38"/>
      <c r="AF3981" s="38"/>
      <c r="AG3981" s="38"/>
      <c r="AH3981" s="60"/>
    </row>
    <row r="3982" spans="1:34" ht="15.75" customHeight="1">
      <c r="A3982" s="195"/>
      <c r="B3982" s="159" t="s">
        <v>14049</v>
      </c>
      <c r="C3982" s="37" t="s">
        <v>24</v>
      </c>
      <c r="D3982" s="20" t="s">
        <v>14050</v>
      </c>
      <c r="E3982" s="20" t="s">
        <v>14051</v>
      </c>
      <c r="F3982" s="19" t="s">
        <v>27</v>
      </c>
      <c r="G3982" s="19" t="s">
        <v>28</v>
      </c>
      <c r="H3982" s="37"/>
      <c r="I3982" s="21" t="s">
        <v>29</v>
      </c>
      <c r="J3982" s="155" t="str">
        <f t="shared" si="3"/>
        <v>TT</v>
      </c>
      <c r="K3982" s="22" t="s">
        <v>14052</v>
      </c>
      <c r="L3982" s="56">
        <v>45100</v>
      </c>
      <c r="O3982" s="42"/>
      <c r="P3982" s="40"/>
      <c r="Q3982" s="61"/>
      <c r="R3982" s="61"/>
      <c r="S3982" s="40"/>
      <c r="T3982" s="38"/>
      <c r="U3982" s="38"/>
      <c r="V3982" s="38"/>
      <c r="W3982" s="60"/>
      <c r="AB3982" s="42"/>
      <c r="AC3982" s="35"/>
      <c r="AD3982" s="38"/>
      <c r="AE3982" s="38"/>
      <c r="AF3982" s="38"/>
      <c r="AG3982" s="38"/>
      <c r="AH3982" s="60"/>
    </row>
    <row r="3983" spans="1:34" ht="15.75" customHeight="1">
      <c r="A3983" s="195"/>
      <c r="B3983" s="158" t="s">
        <v>14053</v>
      </c>
      <c r="C3983" s="37" t="s">
        <v>46</v>
      </c>
      <c r="D3983" s="20" t="s">
        <v>14054</v>
      </c>
      <c r="E3983" s="20" t="s">
        <v>14055</v>
      </c>
      <c r="F3983" s="37" t="s">
        <v>49</v>
      </c>
      <c r="G3983" s="19" t="s">
        <v>50</v>
      </c>
      <c r="H3983" s="37"/>
      <c r="I3983" s="21" t="s">
        <v>29</v>
      </c>
      <c r="J3983" s="155" t="str">
        <f t="shared" si="3"/>
        <v>TT</v>
      </c>
      <c r="K3983" s="22" t="s">
        <v>14056</v>
      </c>
      <c r="L3983" s="56">
        <v>45100</v>
      </c>
      <c r="O3983" s="42"/>
      <c r="P3983" s="40"/>
      <c r="Q3983" s="61"/>
      <c r="R3983" s="61"/>
      <c r="S3983" s="40"/>
      <c r="T3983" s="38"/>
      <c r="U3983" s="38"/>
      <c r="V3983" s="38"/>
      <c r="W3983" s="60"/>
      <c r="AB3983" s="42"/>
      <c r="AC3983" s="35"/>
      <c r="AD3983" s="38"/>
      <c r="AE3983" s="38"/>
      <c r="AF3983" s="38"/>
      <c r="AG3983" s="38"/>
      <c r="AH3983" s="60"/>
    </row>
    <row r="3984" spans="1:34" ht="15.75" customHeight="1">
      <c r="A3984" s="195"/>
      <c r="B3984" s="158" t="s">
        <v>14057</v>
      </c>
      <c r="C3984" s="37" t="s">
        <v>24</v>
      </c>
      <c r="D3984" s="20" t="s">
        <v>14058</v>
      </c>
      <c r="E3984" s="20" t="s">
        <v>14059</v>
      </c>
      <c r="F3984" s="19" t="s">
        <v>27</v>
      </c>
      <c r="G3984" s="19" t="s">
        <v>28</v>
      </c>
      <c r="H3984" s="37"/>
      <c r="I3984" s="21" t="s">
        <v>29</v>
      </c>
      <c r="J3984" s="155" t="str">
        <f t="shared" si="3"/>
        <v>TT</v>
      </c>
      <c r="K3984" s="22" t="s">
        <v>14060</v>
      </c>
      <c r="L3984" s="56">
        <v>45100</v>
      </c>
      <c r="O3984" s="42"/>
      <c r="P3984" s="40"/>
      <c r="Q3984" s="61"/>
      <c r="R3984" s="61"/>
      <c r="S3984" s="40"/>
      <c r="T3984" s="38"/>
      <c r="U3984" s="38"/>
      <c r="V3984" s="38"/>
      <c r="W3984" s="60"/>
      <c r="AB3984" s="42"/>
      <c r="AC3984" s="35"/>
      <c r="AD3984" s="38"/>
      <c r="AE3984" s="38"/>
      <c r="AF3984" s="38"/>
      <c r="AG3984" s="38"/>
      <c r="AH3984" s="60"/>
    </row>
    <row r="3985" spans="1:34" ht="15.75" customHeight="1">
      <c r="A3985" s="195"/>
      <c r="B3985" s="158" t="s">
        <v>14061</v>
      </c>
      <c r="C3985" s="37" t="s">
        <v>412</v>
      </c>
      <c r="D3985" s="20" t="s">
        <v>14062</v>
      </c>
      <c r="E3985" s="20" t="s">
        <v>14063</v>
      </c>
      <c r="F3985" s="19" t="s">
        <v>414</v>
      </c>
      <c r="G3985" s="37" t="s">
        <v>415</v>
      </c>
      <c r="H3985" s="37"/>
      <c r="I3985" s="21" t="s">
        <v>233</v>
      </c>
      <c r="J3985" s="155" t="str">
        <f t="shared" si="3"/>
        <v>NTT</v>
      </c>
      <c r="K3985" s="22" t="s">
        <v>14064</v>
      </c>
      <c r="L3985" s="56">
        <v>45100</v>
      </c>
      <c r="O3985" s="42"/>
      <c r="P3985" s="40"/>
      <c r="Q3985" s="61"/>
      <c r="R3985" s="61"/>
      <c r="S3985" s="40"/>
      <c r="T3985" s="38"/>
      <c r="U3985" s="38"/>
      <c r="V3985" s="38"/>
      <c r="W3985" s="60"/>
      <c r="AB3985" s="42"/>
      <c r="AC3985" s="35"/>
      <c r="AD3985" s="38"/>
      <c r="AE3985" s="38"/>
      <c r="AF3985" s="38"/>
      <c r="AG3985" s="38"/>
      <c r="AH3985" s="60"/>
    </row>
    <row r="3986" spans="1:34" ht="15.75" customHeight="1">
      <c r="A3986" s="195"/>
      <c r="B3986" s="158" t="s">
        <v>14065</v>
      </c>
      <c r="C3986" s="37" t="s">
        <v>87</v>
      </c>
      <c r="D3986" s="20" t="s">
        <v>14066</v>
      </c>
      <c r="E3986" s="20" t="s">
        <v>14067</v>
      </c>
      <c r="F3986" s="19" t="s">
        <v>90</v>
      </c>
      <c r="G3986" s="19" t="s">
        <v>91</v>
      </c>
      <c r="H3986" s="37"/>
      <c r="I3986" s="21" t="s">
        <v>29</v>
      </c>
      <c r="J3986" s="155" t="str">
        <f t="shared" si="3"/>
        <v>TT</v>
      </c>
      <c r="K3986" s="22" t="s">
        <v>14068</v>
      </c>
      <c r="L3986" s="56">
        <v>45100</v>
      </c>
      <c r="O3986" s="42"/>
      <c r="P3986" s="40"/>
      <c r="Q3986" s="61"/>
      <c r="R3986" s="61"/>
      <c r="S3986" s="40"/>
      <c r="T3986" s="38"/>
      <c r="U3986" s="38"/>
      <c r="V3986" s="38"/>
      <c r="W3986" s="60"/>
      <c r="AB3986" s="42"/>
      <c r="AC3986" s="35"/>
      <c r="AD3986" s="38"/>
      <c r="AE3986" s="38"/>
      <c r="AF3986" s="38"/>
      <c r="AG3986" s="38"/>
      <c r="AH3986" s="60"/>
    </row>
    <row r="3987" spans="1:34" ht="15.75" customHeight="1">
      <c r="A3987" s="195"/>
      <c r="B3987" s="158" t="s">
        <v>14069</v>
      </c>
      <c r="C3987" s="37" t="s">
        <v>46</v>
      </c>
      <c r="D3987" s="20" t="s">
        <v>14070</v>
      </c>
      <c r="E3987" s="20"/>
      <c r="F3987" s="37" t="s">
        <v>49</v>
      </c>
      <c r="G3987" s="19" t="s">
        <v>50</v>
      </c>
      <c r="H3987" s="37"/>
      <c r="I3987" s="21" t="s">
        <v>29</v>
      </c>
      <c r="J3987" s="155" t="str">
        <f t="shared" si="3"/>
        <v>TT</v>
      </c>
      <c r="K3987" s="22"/>
      <c r="L3987" s="56">
        <v>45100</v>
      </c>
      <c r="O3987" s="42"/>
      <c r="P3987" s="40"/>
      <c r="Q3987" s="61"/>
      <c r="R3987" s="61"/>
      <c r="S3987" s="40"/>
      <c r="T3987" s="38"/>
      <c r="U3987" s="38"/>
      <c r="V3987" s="38"/>
      <c r="W3987" s="60"/>
      <c r="AB3987" s="42"/>
      <c r="AC3987" s="35"/>
      <c r="AD3987" s="38"/>
      <c r="AE3987" s="38"/>
      <c r="AF3987" s="38"/>
      <c r="AG3987" s="38"/>
      <c r="AH3987" s="60"/>
    </row>
    <row r="3988" spans="1:34" ht="15.75" customHeight="1">
      <c r="A3988" s="195"/>
      <c r="B3988" s="158" t="s">
        <v>14071</v>
      </c>
      <c r="C3988" s="37" t="s">
        <v>87</v>
      </c>
      <c r="D3988" s="20" t="s">
        <v>14072</v>
      </c>
      <c r="E3988" s="20" t="s">
        <v>14073</v>
      </c>
      <c r="F3988" s="19" t="s">
        <v>90</v>
      </c>
      <c r="G3988" s="19" t="s">
        <v>91</v>
      </c>
      <c r="H3988" s="19" t="s">
        <v>36</v>
      </c>
      <c r="I3988" s="21" t="s">
        <v>29</v>
      </c>
      <c r="J3988" s="155" t="str">
        <f t="shared" si="3"/>
        <v>TT</v>
      </c>
      <c r="K3988" s="22" t="s">
        <v>14074</v>
      </c>
      <c r="L3988" s="56">
        <v>45100</v>
      </c>
      <c r="O3988" s="42"/>
      <c r="P3988" s="40"/>
      <c r="Q3988" s="61"/>
      <c r="R3988" s="61"/>
      <c r="S3988" s="40"/>
      <c r="T3988" s="38"/>
      <c r="U3988" s="38"/>
      <c r="V3988" s="38"/>
      <c r="W3988" s="60"/>
      <c r="AB3988" s="42"/>
      <c r="AC3988" s="35"/>
      <c r="AD3988" s="38"/>
      <c r="AE3988" s="38"/>
      <c r="AF3988" s="38"/>
      <c r="AG3988" s="38"/>
      <c r="AH3988" s="60"/>
    </row>
    <row r="3989" spans="1:34" ht="15.75" customHeight="1">
      <c r="A3989" s="195"/>
      <c r="B3989" s="158" t="s">
        <v>14075</v>
      </c>
      <c r="C3989" s="37" t="s">
        <v>412</v>
      </c>
      <c r="D3989" s="20" t="s">
        <v>14076</v>
      </c>
      <c r="E3989" s="20" t="s">
        <v>14077</v>
      </c>
      <c r="F3989" s="19" t="s">
        <v>414</v>
      </c>
      <c r="G3989" s="19" t="s">
        <v>415</v>
      </c>
      <c r="H3989" s="37"/>
      <c r="I3989" s="21" t="s">
        <v>233</v>
      </c>
      <c r="J3989" s="155" t="str">
        <f t="shared" si="3"/>
        <v>NTT</v>
      </c>
      <c r="K3989" s="22" t="s">
        <v>14078</v>
      </c>
      <c r="L3989" s="56">
        <v>45100</v>
      </c>
      <c r="O3989" s="42"/>
      <c r="P3989" s="40"/>
      <c r="Q3989" s="61"/>
      <c r="R3989" s="61"/>
      <c r="S3989" s="40"/>
      <c r="T3989" s="38"/>
      <c r="U3989" s="38"/>
      <c r="V3989" s="38"/>
      <c r="W3989" s="60"/>
      <c r="AB3989" s="42"/>
      <c r="AC3989" s="35"/>
      <c r="AD3989" s="38"/>
      <c r="AE3989" s="38"/>
      <c r="AF3989" s="38"/>
      <c r="AG3989" s="38"/>
      <c r="AH3989" s="60"/>
    </row>
    <row r="3990" spans="1:34" ht="15.75" customHeight="1">
      <c r="A3990" s="195"/>
      <c r="B3990" s="158" t="s">
        <v>14079</v>
      </c>
      <c r="C3990" s="37" t="s">
        <v>24</v>
      </c>
      <c r="D3990" s="20" t="s">
        <v>14080</v>
      </c>
      <c r="E3990" s="20" t="s">
        <v>14081</v>
      </c>
      <c r="F3990" s="19" t="s">
        <v>27</v>
      </c>
      <c r="G3990" s="19" t="s">
        <v>28</v>
      </c>
      <c r="H3990" s="37"/>
      <c r="I3990" s="21" t="s">
        <v>29</v>
      </c>
      <c r="J3990" s="155" t="str">
        <f t="shared" si="3"/>
        <v>TT</v>
      </c>
      <c r="K3990" s="22" t="s">
        <v>14082</v>
      </c>
      <c r="L3990" s="56">
        <v>45100</v>
      </c>
      <c r="O3990" s="42"/>
      <c r="P3990" s="40"/>
      <c r="Q3990" s="61"/>
      <c r="R3990" s="61"/>
      <c r="S3990" s="40"/>
      <c r="T3990" s="38"/>
      <c r="U3990" s="38"/>
      <c r="V3990" s="38"/>
      <c r="W3990" s="60"/>
      <c r="AB3990" s="42"/>
      <c r="AC3990" s="35"/>
      <c r="AD3990" s="38"/>
      <c r="AE3990" s="38"/>
      <c r="AF3990" s="38"/>
      <c r="AG3990" s="38"/>
      <c r="AH3990" s="60"/>
    </row>
    <row r="3991" spans="1:34" ht="15.75" customHeight="1">
      <c r="A3991" s="195"/>
      <c r="B3991" s="38"/>
      <c r="C3991" s="37"/>
      <c r="D3991" s="20"/>
      <c r="E3991" s="20"/>
      <c r="F3991" s="37"/>
      <c r="G3991" s="37"/>
      <c r="H3991" s="37"/>
      <c r="I3991" s="37"/>
      <c r="J3991" s="155">
        <f t="shared" si="3"/>
        <v>0</v>
      </c>
      <c r="K3991" s="22"/>
      <c r="L3991" s="39"/>
      <c r="O3991" s="42"/>
      <c r="P3991" s="40"/>
      <c r="Q3991" s="61"/>
      <c r="R3991" s="61"/>
      <c r="S3991" s="40"/>
      <c r="T3991" s="38"/>
      <c r="U3991" s="38"/>
      <c r="V3991" s="38"/>
      <c r="W3991" s="60"/>
      <c r="AB3991" s="42"/>
      <c r="AC3991" s="35"/>
      <c r="AD3991" s="38"/>
      <c r="AE3991" s="38"/>
      <c r="AF3991" s="38"/>
      <c r="AG3991" s="38"/>
      <c r="AH3991" s="60"/>
    </row>
    <row r="3992" spans="1:34" ht="15.75" customHeight="1">
      <c r="A3992" s="35" t="s">
        <v>14083</v>
      </c>
      <c r="B3992" s="159" t="s">
        <v>14084</v>
      </c>
      <c r="C3992" s="37" t="s">
        <v>24</v>
      </c>
      <c r="D3992" s="20" t="s">
        <v>14085</v>
      </c>
      <c r="E3992" s="20" t="s">
        <v>14086</v>
      </c>
      <c r="F3992" s="19" t="s">
        <v>27</v>
      </c>
      <c r="G3992" s="19" t="s">
        <v>28</v>
      </c>
      <c r="H3992" s="19" t="s">
        <v>36</v>
      </c>
      <c r="I3992" s="37" t="s">
        <v>29</v>
      </c>
      <c r="J3992" s="155" t="str">
        <f t="shared" si="3"/>
        <v>TT</v>
      </c>
      <c r="K3992" s="22" t="s">
        <v>14087</v>
      </c>
      <c r="L3992" s="56">
        <v>45100</v>
      </c>
      <c r="M3992" s="40"/>
      <c r="O3992" s="42"/>
      <c r="P3992" s="40"/>
      <c r="Q3992" s="61"/>
      <c r="R3992" s="61"/>
      <c r="S3992" s="40"/>
      <c r="T3992" s="38"/>
      <c r="U3992" s="38"/>
      <c r="V3992" s="38"/>
      <c r="W3992" s="60"/>
      <c r="AB3992" s="42"/>
      <c r="AC3992" s="35"/>
      <c r="AD3992" s="38"/>
      <c r="AE3992" s="38"/>
      <c r="AF3992" s="38"/>
      <c r="AG3992" s="38"/>
      <c r="AH3992" s="60"/>
    </row>
    <row r="3993" spans="1:34" ht="15.75" customHeight="1">
      <c r="A3993" s="54" t="s">
        <v>12252</v>
      </c>
      <c r="B3993" s="158" t="s">
        <v>14088</v>
      </c>
      <c r="C3993" s="37" t="s">
        <v>412</v>
      </c>
      <c r="D3993" s="20" t="s">
        <v>14089</v>
      </c>
      <c r="E3993" s="20" t="s">
        <v>14090</v>
      </c>
      <c r="F3993" s="19" t="s">
        <v>414</v>
      </c>
      <c r="G3993" s="37" t="s">
        <v>415</v>
      </c>
      <c r="H3993" s="37"/>
      <c r="I3993" s="37" t="s">
        <v>233</v>
      </c>
      <c r="J3993" s="155" t="str">
        <f t="shared" si="3"/>
        <v>NTT</v>
      </c>
      <c r="K3993" s="22" t="s">
        <v>14091</v>
      </c>
      <c r="L3993" s="56">
        <v>45100</v>
      </c>
      <c r="O3993" s="42"/>
      <c r="P3993" s="40"/>
      <c r="Q3993" s="61"/>
      <c r="R3993" s="61"/>
      <c r="S3993" s="40"/>
      <c r="T3993" s="38"/>
      <c r="U3993" s="38"/>
      <c r="V3993" s="38"/>
      <c r="W3993" s="60"/>
      <c r="AB3993" s="42"/>
      <c r="AC3993" s="35"/>
      <c r="AD3993" s="38"/>
      <c r="AE3993" s="38"/>
      <c r="AF3993" s="38"/>
      <c r="AG3993" s="38"/>
      <c r="AH3993" s="60"/>
    </row>
    <row r="3994" spans="1:34" ht="15.75" customHeight="1">
      <c r="A3994" s="114" t="s">
        <v>39</v>
      </c>
      <c r="B3994" s="158" t="s">
        <v>14092</v>
      </c>
      <c r="C3994" s="37" t="s">
        <v>87</v>
      </c>
      <c r="D3994" s="20" t="s">
        <v>14093</v>
      </c>
      <c r="E3994" s="20" t="s">
        <v>14094</v>
      </c>
      <c r="F3994" s="19" t="s">
        <v>90</v>
      </c>
      <c r="G3994" s="19" t="s">
        <v>91</v>
      </c>
      <c r="H3994" s="37"/>
      <c r="I3994" s="37" t="s">
        <v>29</v>
      </c>
      <c r="J3994" s="155" t="str">
        <f t="shared" si="3"/>
        <v>TT</v>
      </c>
      <c r="K3994" s="22" t="s">
        <v>14095</v>
      </c>
      <c r="L3994" s="56">
        <v>45100</v>
      </c>
      <c r="O3994" s="42"/>
      <c r="P3994" s="40"/>
      <c r="Q3994" s="61"/>
      <c r="R3994" s="61"/>
      <c r="S3994" s="40"/>
      <c r="T3994" s="38"/>
      <c r="U3994" s="38"/>
      <c r="V3994" s="38"/>
      <c r="W3994" s="60"/>
      <c r="AB3994" s="42"/>
      <c r="AC3994" s="35"/>
      <c r="AD3994" s="38"/>
      <c r="AE3994" s="38"/>
      <c r="AF3994" s="38"/>
      <c r="AG3994" s="38"/>
      <c r="AH3994" s="60"/>
    </row>
    <row r="3995" spans="1:34" ht="15.75" customHeight="1">
      <c r="A3995" s="38" t="s">
        <v>13637</v>
      </c>
      <c r="B3995" s="158" t="s">
        <v>14096</v>
      </c>
      <c r="C3995" s="37" t="s">
        <v>24</v>
      </c>
      <c r="D3995" s="20" t="s">
        <v>14097</v>
      </c>
      <c r="E3995" s="20" t="s">
        <v>14098</v>
      </c>
      <c r="F3995" s="19" t="s">
        <v>27</v>
      </c>
      <c r="G3995" s="19" t="s">
        <v>28</v>
      </c>
      <c r="H3995" s="37"/>
      <c r="I3995" s="37" t="s">
        <v>29</v>
      </c>
      <c r="J3995" s="155" t="str">
        <f t="shared" si="3"/>
        <v>TT</v>
      </c>
      <c r="K3995" s="22" t="s">
        <v>14099</v>
      </c>
      <c r="L3995" s="56">
        <v>45100</v>
      </c>
      <c r="O3995" s="42"/>
      <c r="P3995" s="40"/>
      <c r="Q3995" s="61"/>
      <c r="R3995" s="61"/>
      <c r="S3995" s="40"/>
      <c r="T3995" s="38"/>
      <c r="U3995" s="38"/>
      <c r="V3995" s="38"/>
      <c r="W3995" s="60"/>
      <c r="AB3995" s="42"/>
      <c r="AC3995" s="35"/>
      <c r="AD3995" s="38"/>
      <c r="AE3995" s="38"/>
      <c r="AF3995" s="38"/>
      <c r="AG3995" s="38"/>
      <c r="AH3995" s="60"/>
    </row>
    <row r="3996" spans="1:34" ht="15.75" customHeight="1">
      <c r="A3996" s="75" t="s">
        <v>9672</v>
      </c>
      <c r="B3996" s="158" t="s">
        <v>14100</v>
      </c>
      <c r="C3996" s="37" t="s">
        <v>87</v>
      </c>
      <c r="D3996" s="20" t="s">
        <v>14101</v>
      </c>
      <c r="E3996" s="20" t="s">
        <v>14102</v>
      </c>
      <c r="F3996" s="19" t="s">
        <v>90</v>
      </c>
      <c r="G3996" s="19" t="s">
        <v>91</v>
      </c>
      <c r="H3996" s="19" t="s">
        <v>36</v>
      </c>
      <c r="I3996" s="37" t="s">
        <v>29</v>
      </c>
      <c r="J3996" s="155" t="str">
        <f t="shared" si="3"/>
        <v>TT</v>
      </c>
      <c r="K3996" s="22" t="s">
        <v>14103</v>
      </c>
      <c r="L3996" s="56">
        <v>45100</v>
      </c>
      <c r="O3996" s="42"/>
      <c r="P3996" s="40"/>
      <c r="Q3996" s="61"/>
      <c r="R3996" s="61"/>
      <c r="S3996" s="40"/>
      <c r="T3996" s="38"/>
      <c r="U3996" s="38"/>
      <c r="V3996" s="38"/>
      <c r="W3996" s="60"/>
      <c r="AB3996" s="42"/>
      <c r="AC3996" s="35"/>
      <c r="AD3996" s="38"/>
      <c r="AE3996" s="38"/>
      <c r="AF3996" s="38"/>
      <c r="AG3996" s="38"/>
      <c r="AH3996" s="60"/>
    </row>
    <row r="3997" spans="1:34" ht="15.75" customHeight="1">
      <c r="A3997" s="50" t="s">
        <v>56</v>
      </c>
      <c r="B3997" s="158" t="s">
        <v>14104</v>
      </c>
      <c r="C3997" s="37" t="s">
        <v>46</v>
      </c>
      <c r="D3997" s="20" t="s">
        <v>14105</v>
      </c>
      <c r="E3997" s="20" t="s">
        <v>14106</v>
      </c>
      <c r="F3997" s="37" t="s">
        <v>49</v>
      </c>
      <c r="G3997" s="19" t="s">
        <v>50</v>
      </c>
      <c r="H3997" s="37"/>
      <c r="I3997" s="37" t="s">
        <v>29</v>
      </c>
      <c r="J3997" s="155" t="str">
        <f t="shared" si="3"/>
        <v>TT</v>
      </c>
      <c r="K3997" s="22" t="s">
        <v>14107</v>
      </c>
      <c r="L3997" s="56">
        <v>45100</v>
      </c>
      <c r="O3997" s="42"/>
      <c r="P3997" s="40"/>
      <c r="Q3997" s="61"/>
      <c r="R3997" s="61"/>
      <c r="S3997" s="40"/>
      <c r="T3997" s="38"/>
      <c r="U3997" s="38"/>
      <c r="V3997" s="38"/>
      <c r="W3997" s="60"/>
      <c r="AB3997" s="42"/>
      <c r="AC3997" s="35"/>
      <c r="AD3997" s="38"/>
      <c r="AE3997" s="38"/>
      <c r="AF3997" s="38"/>
      <c r="AG3997" s="38"/>
      <c r="AH3997" s="60"/>
    </row>
    <row r="3998" spans="1:34" ht="15.75" customHeight="1">
      <c r="A3998" s="17">
        <v>48</v>
      </c>
      <c r="B3998" s="158" t="s">
        <v>14108</v>
      </c>
      <c r="C3998" s="37" t="s">
        <v>24</v>
      </c>
      <c r="D3998" s="20" t="s">
        <v>14109</v>
      </c>
      <c r="E3998" s="20" t="s">
        <v>14110</v>
      </c>
      <c r="F3998" s="19" t="s">
        <v>27</v>
      </c>
      <c r="G3998" s="19" t="s">
        <v>28</v>
      </c>
      <c r="H3998" s="19" t="s">
        <v>36</v>
      </c>
      <c r="I3998" s="37" t="s">
        <v>29</v>
      </c>
      <c r="J3998" s="155" t="str">
        <f t="shared" si="3"/>
        <v>TT</v>
      </c>
      <c r="K3998" s="22" t="s">
        <v>14111</v>
      </c>
      <c r="L3998" s="56">
        <v>45100</v>
      </c>
      <c r="O3998" s="42"/>
      <c r="P3998" s="40"/>
      <c r="Q3998" s="61"/>
      <c r="R3998" s="61"/>
      <c r="S3998" s="40"/>
      <c r="T3998" s="38"/>
      <c r="U3998" s="38"/>
      <c r="V3998" s="38"/>
      <c r="W3998" s="60"/>
      <c r="AB3998" s="42"/>
      <c r="AC3998" s="35"/>
      <c r="AD3998" s="38"/>
      <c r="AE3998" s="38"/>
      <c r="AF3998" s="38"/>
      <c r="AG3998" s="38"/>
      <c r="AH3998" s="60"/>
    </row>
    <row r="3999" spans="1:34" ht="15.75" customHeight="1">
      <c r="A3999" s="111" t="s">
        <v>64</v>
      </c>
      <c r="B3999" s="158" t="s">
        <v>14112</v>
      </c>
      <c r="C3999" s="37" t="s">
        <v>24</v>
      </c>
      <c r="D3999" s="20" t="s">
        <v>14113</v>
      </c>
      <c r="E3999" s="20" t="s">
        <v>14114</v>
      </c>
      <c r="F3999" s="19" t="s">
        <v>27</v>
      </c>
      <c r="G3999" s="19" t="s">
        <v>28</v>
      </c>
      <c r="H3999" s="19" t="s">
        <v>36</v>
      </c>
      <c r="I3999" s="37" t="s">
        <v>29</v>
      </c>
      <c r="J3999" s="155" t="str">
        <f t="shared" si="3"/>
        <v>TT</v>
      </c>
      <c r="K3999" s="22" t="s">
        <v>14115</v>
      </c>
      <c r="L3999" s="56">
        <v>45100</v>
      </c>
      <c r="O3999" s="42"/>
      <c r="P3999" s="40"/>
      <c r="Q3999" s="61"/>
      <c r="R3999" s="61"/>
      <c r="S3999" s="40"/>
      <c r="T3999" s="38"/>
      <c r="U3999" s="38"/>
      <c r="V3999" s="38"/>
      <c r="W3999" s="60"/>
      <c r="AB3999" s="42"/>
      <c r="AC3999" s="35"/>
      <c r="AD3999" s="38"/>
      <c r="AE3999" s="38"/>
      <c r="AF3999" s="38"/>
      <c r="AG3999" s="38"/>
      <c r="AH3999" s="60"/>
    </row>
    <row r="4000" spans="1:34" ht="15.75" customHeight="1">
      <c r="A4000" s="75">
        <v>2.6</v>
      </c>
      <c r="B4000" s="158" t="s">
        <v>14116</v>
      </c>
      <c r="C4000" s="37" t="s">
        <v>46</v>
      </c>
      <c r="D4000" s="20" t="s">
        <v>14117</v>
      </c>
      <c r="E4000" s="20" t="s">
        <v>14118</v>
      </c>
      <c r="F4000" s="37" t="s">
        <v>49</v>
      </c>
      <c r="G4000" s="19" t="s">
        <v>50</v>
      </c>
      <c r="H4000" s="37"/>
      <c r="I4000" s="37" t="s">
        <v>29</v>
      </c>
      <c r="J4000" s="155" t="str">
        <f t="shared" si="3"/>
        <v>TT</v>
      </c>
      <c r="K4000" s="22" t="s">
        <v>14119</v>
      </c>
      <c r="L4000" s="56">
        <v>45100</v>
      </c>
      <c r="O4000" s="42"/>
      <c r="P4000" s="40"/>
      <c r="Q4000" s="61"/>
      <c r="R4000" s="61"/>
      <c r="S4000" s="40"/>
      <c r="T4000" s="38"/>
      <c r="U4000" s="38"/>
      <c r="V4000" s="38"/>
      <c r="W4000" s="60"/>
      <c r="AB4000" s="42"/>
      <c r="AC4000" s="35"/>
      <c r="AD4000" s="38"/>
      <c r="AE4000" s="38"/>
      <c r="AF4000" s="38"/>
      <c r="AG4000" s="38"/>
      <c r="AH4000" s="60"/>
    </row>
    <row r="4001" spans="1:34" ht="15.75" customHeight="1">
      <c r="A4001" s="111" t="s">
        <v>73</v>
      </c>
      <c r="B4001" s="158" t="s">
        <v>14120</v>
      </c>
      <c r="C4001" s="37" t="s">
        <v>46</v>
      </c>
      <c r="D4001" s="20" t="s">
        <v>14121</v>
      </c>
      <c r="E4001" s="20" t="s">
        <v>14122</v>
      </c>
      <c r="F4001" s="37" t="s">
        <v>49</v>
      </c>
      <c r="G4001" s="19" t="s">
        <v>50</v>
      </c>
      <c r="H4001" s="37"/>
      <c r="I4001" s="37" t="s">
        <v>29</v>
      </c>
      <c r="J4001" s="155" t="str">
        <f t="shared" si="3"/>
        <v>TT</v>
      </c>
      <c r="K4001" s="22" t="s">
        <v>14123</v>
      </c>
      <c r="L4001" s="56">
        <v>45100</v>
      </c>
      <c r="O4001" s="42"/>
      <c r="P4001" s="40"/>
      <c r="Q4001" s="61"/>
      <c r="R4001" s="61"/>
      <c r="S4001" s="40"/>
      <c r="T4001" s="38"/>
      <c r="U4001" s="38"/>
      <c r="V4001" s="38"/>
      <c r="W4001" s="60"/>
      <c r="AB4001" s="42"/>
      <c r="AC4001" s="35"/>
      <c r="AD4001" s="38"/>
      <c r="AE4001" s="38"/>
      <c r="AF4001" s="38"/>
      <c r="AG4001" s="38"/>
      <c r="AH4001" s="60"/>
    </row>
    <row r="4002" spans="1:34" ht="15.75" customHeight="1">
      <c r="A4002" s="75">
        <v>3</v>
      </c>
      <c r="B4002" s="158" t="s">
        <v>14124</v>
      </c>
      <c r="C4002" s="37" t="s">
        <v>24</v>
      </c>
      <c r="D4002" s="20" t="s">
        <v>14125</v>
      </c>
      <c r="E4002" s="20" t="s">
        <v>14126</v>
      </c>
      <c r="F4002" s="19" t="s">
        <v>27</v>
      </c>
      <c r="G4002" s="19" t="s">
        <v>28</v>
      </c>
      <c r="H4002" s="37"/>
      <c r="I4002" s="37" t="s">
        <v>29</v>
      </c>
      <c r="J4002" s="155" t="str">
        <f t="shared" si="3"/>
        <v>TT</v>
      </c>
      <c r="K4002" s="22" t="s">
        <v>14127</v>
      </c>
      <c r="L4002" s="56">
        <v>45100</v>
      </c>
      <c r="O4002" s="42"/>
      <c r="P4002" s="40"/>
      <c r="Q4002" s="61"/>
      <c r="R4002" s="61"/>
      <c r="S4002" s="40"/>
      <c r="T4002" s="38"/>
      <c r="U4002" s="38"/>
      <c r="V4002" s="38"/>
      <c r="W4002" s="60"/>
      <c r="AB4002" s="42"/>
      <c r="AC4002" s="35"/>
      <c r="AD4002" s="38"/>
      <c r="AE4002" s="38"/>
      <c r="AF4002" s="38"/>
      <c r="AG4002" s="38"/>
      <c r="AH4002" s="60"/>
    </row>
    <row r="4003" spans="1:34" ht="15.75" customHeight="1">
      <c r="A4003" s="111" t="s">
        <v>82</v>
      </c>
      <c r="B4003" s="158" t="s">
        <v>14128</v>
      </c>
      <c r="C4003" s="37" t="s">
        <v>46</v>
      </c>
      <c r="D4003" s="20" t="s">
        <v>14129</v>
      </c>
      <c r="E4003" s="20" t="s">
        <v>14130</v>
      </c>
      <c r="F4003" s="37" t="s">
        <v>49</v>
      </c>
      <c r="G4003" s="19" t="s">
        <v>50</v>
      </c>
      <c r="H4003" s="37"/>
      <c r="I4003" s="37" t="s">
        <v>29</v>
      </c>
      <c r="J4003" s="155" t="str">
        <f t="shared" si="3"/>
        <v>TT</v>
      </c>
      <c r="K4003" s="22" t="s">
        <v>14131</v>
      </c>
      <c r="L4003" s="56">
        <v>45100</v>
      </c>
      <c r="O4003" s="42"/>
      <c r="P4003" s="40"/>
      <c r="Q4003" s="61"/>
      <c r="R4003" s="61"/>
      <c r="S4003" s="40"/>
      <c r="T4003" s="38"/>
      <c r="U4003" s="38"/>
      <c r="V4003" s="38"/>
      <c r="W4003" s="60"/>
      <c r="AB4003" s="42"/>
      <c r="AC4003" s="35"/>
      <c r="AD4003" s="38"/>
      <c r="AE4003" s="38"/>
      <c r="AF4003" s="38"/>
      <c r="AG4003" s="38"/>
      <c r="AH4003" s="60"/>
    </row>
    <row r="4004" spans="1:34" ht="15.75" customHeight="1">
      <c r="A4004" s="112" t="s">
        <v>14132</v>
      </c>
      <c r="B4004" s="158" t="s">
        <v>14133</v>
      </c>
      <c r="C4004" s="37" t="s">
        <v>46</v>
      </c>
      <c r="D4004" s="20" t="s">
        <v>14134</v>
      </c>
      <c r="E4004" s="20" t="s">
        <v>14135</v>
      </c>
      <c r="F4004" s="37" t="s">
        <v>49</v>
      </c>
      <c r="G4004" s="19" t="s">
        <v>50</v>
      </c>
      <c r="H4004" s="37"/>
      <c r="I4004" s="37" t="s">
        <v>29</v>
      </c>
      <c r="J4004" s="155" t="str">
        <f t="shared" si="3"/>
        <v>TT</v>
      </c>
      <c r="K4004" s="22" t="s">
        <v>14136</v>
      </c>
      <c r="L4004" s="56">
        <v>45100</v>
      </c>
      <c r="O4004" s="42"/>
      <c r="P4004" s="40"/>
      <c r="Q4004" s="61"/>
      <c r="R4004" s="61"/>
      <c r="S4004" s="40"/>
      <c r="T4004" s="38"/>
      <c r="U4004" s="38"/>
      <c r="V4004" s="38"/>
      <c r="W4004" s="60"/>
      <c r="AB4004" s="42"/>
      <c r="AC4004" s="35"/>
      <c r="AD4004" s="38"/>
      <c r="AE4004" s="38"/>
      <c r="AF4004" s="38"/>
      <c r="AG4004" s="38"/>
      <c r="AH4004" s="60"/>
    </row>
    <row r="4005" spans="1:34" ht="15.75" customHeight="1">
      <c r="A4005" s="111" t="s">
        <v>92</v>
      </c>
      <c r="B4005" s="158" t="s">
        <v>14137</v>
      </c>
      <c r="C4005" s="37" t="s">
        <v>46</v>
      </c>
      <c r="D4005" s="20" t="s">
        <v>14138</v>
      </c>
      <c r="E4005" s="20" t="s">
        <v>14139</v>
      </c>
      <c r="F4005" s="37" t="s">
        <v>49</v>
      </c>
      <c r="G4005" s="19" t="s">
        <v>50</v>
      </c>
      <c r="H4005" s="37"/>
      <c r="I4005" s="37" t="s">
        <v>29</v>
      </c>
      <c r="J4005" s="155" t="str">
        <f t="shared" si="3"/>
        <v>TT</v>
      </c>
      <c r="K4005" s="22" t="s">
        <v>14140</v>
      </c>
      <c r="L4005" s="56">
        <v>45100</v>
      </c>
      <c r="O4005" s="42"/>
      <c r="P4005" s="40"/>
      <c r="Q4005" s="61"/>
      <c r="R4005" s="61"/>
      <c r="S4005" s="40"/>
      <c r="T4005" s="38"/>
      <c r="U4005" s="38"/>
      <c r="V4005" s="38"/>
      <c r="W4005" s="60"/>
      <c r="AB4005" s="42"/>
      <c r="AC4005" s="35"/>
      <c r="AD4005" s="38"/>
      <c r="AE4005" s="38"/>
      <c r="AF4005" s="38"/>
      <c r="AG4005" s="38"/>
      <c r="AH4005" s="60"/>
    </row>
    <row r="4006" spans="1:34" ht="15.75" customHeight="1">
      <c r="A4006" s="17">
        <v>497</v>
      </c>
      <c r="B4006" s="158" t="s">
        <v>14141</v>
      </c>
      <c r="C4006" s="37" t="s">
        <v>412</v>
      </c>
      <c r="D4006" s="20" t="s">
        <v>14142</v>
      </c>
      <c r="E4006" s="20"/>
      <c r="F4006" s="19" t="s">
        <v>414</v>
      </c>
      <c r="G4006" s="19" t="s">
        <v>415</v>
      </c>
      <c r="H4006" s="37"/>
      <c r="I4006" s="37" t="s">
        <v>233</v>
      </c>
      <c r="J4006" s="155" t="str">
        <f t="shared" si="3"/>
        <v>NTT</v>
      </c>
      <c r="K4006" s="22"/>
      <c r="L4006" s="56">
        <v>45100</v>
      </c>
      <c r="O4006" s="42"/>
      <c r="P4006" s="40"/>
      <c r="Q4006" s="61"/>
      <c r="R4006" s="61"/>
      <c r="S4006" s="40"/>
      <c r="T4006" s="38"/>
      <c r="U4006" s="38"/>
      <c r="V4006" s="38"/>
      <c r="W4006" s="60"/>
      <c r="AB4006" s="42"/>
      <c r="AC4006" s="35"/>
      <c r="AD4006" s="38"/>
      <c r="AE4006" s="38"/>
      <c r="AF4006" s="38"/>
      <c r="AG4006" s="38"/>
      <c r="AH4006" s="60"/>
    </row>
    <row r="4007" spans="1:34" ht="15.75" customHeight="1">
      <c r="A4007" s="111" t="s">
        <v>100</v>
      </c>
      <c r="B4007" s="158" t="s">
        <v>14143</v>
      </c>
      <c r="C4007" s="37" t="s">
        <v>24</v>
      </c>
      <c r="D4007" s="20" t="s">
        <v>14144</v>
      </c>
      <c r="E4007" s="20" t="s">
        <v>14145</v>
      </c>
      <c r="F4007" s="19" t="s">
        <v>27</v>
      </c>
      <c r="G4007" s="19" t="s">
        <v>28</v>
      </c>
      <c r="H4007" s="37"/>
      <c r="I4007" s="37" t="s">
        <v>29</v>
      </c>
      <c r="J4007" s="155" t="str">
        <f t="shared" si="3"/>
        <v>TT</v>
      </c>
      <c r="K4007" s="22" t="s">
        <v>14146</v>
      </c>
      <c r="L4007" s="56">
        <v>45100</v>
      </c>
      <c r="O4007" s="42"/>
      <c r="P4007" s="40"/>
      <c r="Q4007" s="61"/>
      <c r="R4007" s="61"/>
      <c r="S4007" s="40"/>
      <c r="T4007" s="38"/>
      <c r="U4007" s="38"/>
      <c r="V4007" s="38"/>
      <c r="W4007" s="60"/>
      <c r="AB4007" s="42"/>
      <c r="AC4007" s="35"/>
      <c r="AD4007" s="38"/>
      <c r="AE4007" s="38"/>
      <c r="AF4007" s="38"/>
      <c r="AG4007" s="38"/>
      <c r="AH4007" s="60"/>
    </row>
    <row r="4008" spans="1:34" ht="15.75" customHeight="1">
      <c r="A4008" s="17">
        <v>156</v>
      </c>
      <c r="B4008" s="158" t="s">
        <v>14147</v>
      </c>
      <c r="C4008" s="37" t="s">
        <v>46</v>
      </c>
      <c r="D4008" s="20" t="s">
        <v>14148</v>
      </c>
      <c r="E4008" s="20" t="s">
        <v>14149</v>
      </c>
      <c r="F4008" s="37" t="s">
        <v>49</v>
      </c>
      <c r="G4008" s="19" t="s">
        <v>50</v>
      </c>
      <c r="H4008" s="37"/>
      <c r="I4008" s="37" t="s">
        <v>29</v>
      </c>
      <c r="J4008" s="155" t="str">
        <f t="shared" si="3"/>
        <v>TT</v>
      </c>
      <c r="K4008" s="22" t="s">
        <v>14150</v>
      </c>
      <c r="L4008" s="56">
        <v>45100</v>
      </c>
      <c r="O4008" s="42"/>
      <c r="P4008" s="40"/>
      <c r="Q4008" s="61"/>
      <c r="R4008" s="61"/>
      <c r="S4008" s="40"/>
      <c r="T4008" s="38"/>
      <c r="U4008" s="38"/>
      <c r="V4008" s="38"/>
      <c r="W4008" s="60"/>
      <c r="AB4008" s="42"/>
      <c r="AC4008" s="35"/>
      <c r="AD4008" s="38"/>
      <c r="AE4008" s="38"/>
      <c r="AF4008" s="38"/>
      <c r="AG4008" s="38"/>
      <c r="AH4008" s="60"/>
    </row>
    <row r="4009" spans="1:34" ht="15.75" customHeight="1">
      <c r="A4009" s="35"/>
      <c r="B4009" s="158" t="s">
        <v>14151</v>
      </c>
      <c r="C4009" s="37" t="s">
        <v>46</v>
      </c>
      <c r="D4009" s="20" t="s">
        <v>14152</v>
      </c>
      <c r="E4009" s="20" t="s">
        <v>14153</v>
      </c>
      <c r="F4009" s="37" t="s">
        <v>49</v>
      </c>
      <c r="G4009" s="19" t="s">
        <v>50</v>
      </c>
      <c r="H4009" s="37"/>
      <c r="I4009" s="37" t="s">
        <v>29</v>
      </c>
      <c r="J4009" s="155" t="str">
        <f t="shared" si="3"/>
        <v>TT</v>
      </c>
      <c r="K4009" s="22" t="s">
        <v>14154</v>
      </c>
      <c r="L4009" s="56">
        <v>45100</v>
      </c>
      <c r="O4009" s="42"/>
      <c r="P4009" s="40"/>
      <c r="Q4009" s="61"/>
      <c r="R4009" s="61"/>
      <c r="S4009" s="40"/>
      <c r="T4009" s="38"/>
      <c r="U4009" s="38"/>
      <c r="V4009" s="38"/>
      <c r="W4009" s="60"/>
      <c r="AB4009" s="42"/>
      <c r="AC4009" s="35"/>
      <c r="AD4009" s="38"/>
      <c r="AE4009" s="38"/>
      <c r="AF4009" s="38"/>
      <c r="AG4009" s="38"/>
      <c r="AH4009" s="60"/>
    </row>
    <row r="4010" spans="1:34" ht="15.75" customHeight="1">
      <c r="A4010" s="38"/>
      <c r="B4010" s="158" t="s">
        <v>14155</v>
      </c>
      <c r="C4010" s="37" t="s">
        <v>46</v>
      </c>
      <c r="D4010" s="20" t="s">
        <v>14156</v>
      </c>
      <c r="E4010" s="20" t="s">
        <v>14157</v>
      </c>
      <c r="F4010" s="37" t="s">
        <v>49</v>
      </c>
      <c r="G4010" s="19" t="s">
        <v>50</v>
      </c>
      <c r="H4010" s="37"/>
      <c r="I4010" s="37" t="s">
        <v>29</v>
      </c>
      <c r="J4010" s="155" t="str">
        <f t="shared" si="3"/>
        <v>TT</v>
      </c>
      <c r="K4010" s="22" t="s">
        <v>14158</v>
      </c>
      <c r="L4010" s="56">
        <v>45100</v>
      </c>
      <c r="O4010" s="42"/>
      <c r="P4010" s="40"/>
      <c r="Q4010" s="61"/>
      <c r="R4010" s="61"/>
      <c r="S4010" s="40"/>
      <c r="T4010" s="38"/>
      <c r="U4010" s="38"/>
      <c r="V4010" s="38"/>
      <c r="W4010" s="60"/>
      <c r="AB4010" s="42"/>
      <c r="AC4010" s="35"/>
      <c r="AD4010" s="38"/>
      <c r="AE4010" s="38"/>
      <c r="AF4010" s="38"/>
      <c r="AG4010" s="38"/>
      <c r="AH4010" s="60"/>
    </row>
    <row r="4011" spans="1:34" ht="15.75" customHeight="1">
      <c r="A4011" s="38"/>
      <c r="B4011" s="158" t="s">
        <v>14159</v>
      </c>
      <c r="C4011" s="37" t="s">
        <v>46</v>
      </c>
      <c r="D4011" s="20" t="s">
        <v>14160</v>
      </c>
      <c r="E4011" s="20" t="s">
        <v>14161</v>
      </c>
      <c r="F4011" s="37" t="s">
        <v>49</v>
      </c>
      <c r="G4011" s="19" t="s">
        <v>50</v>
      </c>
      <c r="H4011" s="37"/>
      <c r="I4011" s="37" t="s">
        <v>29</v>
      </c>
      <c r="J4011" s="155" t="str">
        <f t="shared" si="3"/>
        <v>TT</v>
      </c>
      <c r="K4011" s="22" t="s">
        <v>14162</v>
      </c>
      <c r="L4011" s="56">
        <v>45100</v>
      </c>
      <c r="O4011" s="42"/>
      <c r="P4011" s="40"/>
      <c r="Q4011" s="61"/>
      <c r="R4011" s="61"/>
      <c r="S4011" s="40"/>
      <c r="T4011" s="38"/>
      <c r="U4011" s="38"/>
      <c r="V4011" s="38"/>
      <c r="W4011" s="60"/>
      <c r="AB4011" s="42"/>
      <c r="AC4011" s="35"/>
      <c r="AD4011" s="38"/>
      <c r="AE4011" s="38"/>
      <c r="AF4011" s="38"/>
      <c r="AG4011" s="38"/>
      <c r="AH4011" s="60"/>
    </row>
    <row r="4012" spans="1:34" ht="15.75" customHeight="1">
      <c r="A4012" s="38"/>
      <c r="B4012" s="158" t="s">
        <v>14163</v>
      </c>
      <c r="C4012" s="37" t="s">
        <v>24</v>
      </c>
      <c r="D4012" s="20" t="s">
        <v>14164</v>
      </c>
      <c r="E4012" s="20" t="s">
        <v>14165</v>
      </c>
      <c r="F4012" s="19" t="s">
        <v>27</v>
      </c>
      <c r="G4012" s="19" t="s">
        <v>28</v>
      </c>
      <c r="H4012" s="37"/>
      <c r="I4012" s="37" t="s">
        <v>29</v>
      </c>
      <c r="J4012" s="155" t="str">
        <f t="shared" si="3"/>
        <v>TT</v>
      </c>
      <c r="K4012" s="22" t="s">
        <v>14166</v>
      </c>
      <c r="L4012" s="56">
        <v>45100</v>
      </c>
      <c r="O4012" s="42"/>
      <c r="P4012" s="40"/>
      <c r="Q4012" s="61"/>
      <c r="R4012" s="61"/>
      <c r="S4012" s="40"/>
      <c r="T4012" s="38"/>
      <c r="U4012" s="38"/>
      <c r="V4012" s="38"/>
      <c r="W4012" s="60"/>
      <c r="AB4012" s="42"/>
      <c r="AC4012" s="35"/>
      <c r="AD4012" s="38"/>
      <c r="AE4012" s="38"/>
      <c r="AF4012" s="38"/>
      <c r="AG4012" s="38"/>
      <c r="AH4012" s="60"/>
    </row>
    <row r="4013" spans="1:34" ht="15.75" customHeight="1">
      <c r="A4013" s="38"/>
      <c r="B4013" s="158" t="s">
        <v>14167</v>
      </c>
      <c r="C4013" s="37" t="s">
        <v>46</v>
      </c>
      <c r="D4013" s="20" t="s">
        <v>14168</v>
      </c>
      <c r="E4013" s="20" t="s">
        <v>14169</v>
      </c>
      <c r="F4013" s="37" t="s">
        <v>49</v>
      </c>
      <c r="G4013" s="19" t="s">
        <v>50</v>
      </c>
      <c r="H4013" s="37"/>
      <c r="I4013" s="37" t="s">
        <v>29</v>
      </c>
      <c r="J4013" s="155" t="str">
        <f t="shared" si="3"/>
        <v>TT</v>
      </c>
      <c r="K4013" s="22" t="s">
        <v>14170</v>
      </c>
      <c r="L4013" s="56">
        <v>45100</v>
      </c>
      <c r="O4013" s="42"/>
      <c r="P4013" s="40"/>
      <c r="Q4013" s="61"/>
      <c r="R4013" s="61"/>
      <c r="S4013" s="40"/>
      <c r="T4013" s="38"/>
      <c r="U4013" s="38"/>
      <c r="V4013" s="38"/>
      <c r="W4013" s="60"/>
      <c r="AB4013" s="42"/>
      <c r="AC4013" s="35"/>
      <c r="AD4013" s="38"/>
      <c r="AE4013" s="38"/>
      <c r="AF4013" s="38"/>
      <c r="AG4013" s="38"/>
      <c r="AH4013" s="60"/>
    </row>
    <row r="4014" spans="1:34" ht="15.75" customHeight="1">
      <c r="A4014" s="38"/>
      <c r="B4014" s="158" t="s">
        <v>14171</v>
      </c>
      <c r="C4014" s="37" t="s">
        <v>46</v>
      </c>
      <c r="D4014" s="20" t="s">
        <v>14172</v>
      </c>
      <c r="E4014" s="20" t="s">
        <v>14173</v>
      </c>
      <c r="F4014" s="37" t="s">
        <v>49</v>
      </c>
      <c r="G4014" s="19" t="s">
        <v>50</v>
      </c>
      <c r="H4014" s="19" t="s">
        <v>36</v>
      </c>
      <c r="I4014" s="37" t="s">
        <v>29</v>
      </c>
      <c r="J4014" s="155" t="str">
        <f t="shared" si="3"/>
        <v>TT</v>
      </c>
      <c r="K4014" s="22" t="s">
        <v>14174</v>
      </c>
      <c r="L4014" s="56">
        <v>45100</v>
      </c>
      <c r="O4014" s="42"/>
      <c r="P4014" s="40"/>
      <c r="Q4014" s="61"/>
      <c r="R4014" s="61"/>
      <c r="S4014" s="40"/>
      <c r="T4014" s="38"/>
      <c r="U4014" s="38"/>
      <c r="V4014" s="38"/>
      <c r="W4014" s="60"/>
      <c r="AB4014" s="42"/>
      <c r="AC4014" s="35"/>
      <c r="AD4014" s="38"/>
      <c r="AE4014" s="38"/>
      <c r="AF4014" s="38"/>
      <c r="AG4014" s="38"/>
      <c r="AH4014" s="60"/>
    </row>
    <row r="4015" spans="1:34" ht="15.75" customHeight="1">
      <c r="A4015" s="38"/>
      <c r="B4015" s="158" t="s">
        <v>14175</v>
      </c>
      <c r="C4015" s="37" t="s">
        <v>1638</v>
      </c>
      <c r="D4015" s="20" t="s">
        <v>14176</v>
      </c>
      <c r="E4015" s="20"/>
      <c r="F4015" s="37" t="s">
        <v>1399</v>
      </c>
      <c r="G4015" s="19" t="s">
        <v>1641</v>
      </c>
      <c r="H4015" s="37"/>
      <c r="I4015" s="21" t="s">
        <v>1371</v>
      </c>
      <c r="J4015" s="155" t="str">
        <f t="shared" si="3"/>
        <v>Other</v>
      </c>
      <c r="K4015" s="22"/>
      <c r="L4015" s="56">
        <v>45100</v>
      </c>
      <c r="O4015" s="42"/>
      <c r="P4015" s="40"/>
      <c r="Q4015" s="61"/>
      <c r="R4015" s="61"/>
      <c r="S4015" s="40"/>
      <c r="T4015" s="38"/>
      <c r="U4015" s="38"/>
      <c r="V4015" s="38"/>
      <c r="W4015" s="60"/>
      <c r="AB4015" s="42"/>
      <c r="AC4015" s="35"/>
      <c r="AD4015" s="38"/>
      <c r="AE4015" s="38"/>
      <c r="AF4015" s="38"/>
      <c r="AG4015" s="38"/>
      <c r="AH4015" s="60"/>
    </row>
    <row r="4016" spans="1:34" ht="15.75" customHeight="1">
      <c r="A4016" s="38"/>
      <c r="B4016" s="158" t="s">
        <v>14177</v>
      </c>
      <c r="C4016" s="37" t="s">
        <v>24</v>
      </c>
      <c r="D4016" s="20" t="s">
        <v>14178</v>
      </c>
      <c r="E4016" s="20" t="s">
        <v>14179</v>
      </c>
      <c r="F4016" s="19" t="s">
        <v>27</v>
      </c>
      <c r="G4016" s="19" t="s">
        <v>28</v>
      </c>
      <c r="H4016" s="37" t="s">
        <v>813</v>
      </c>
      <c r="I4016" s="37" t="s">
        <v>29</v>
      </c>
      <c r="J4016" s="155" t="str">
        <f t="shared" si="3"/>
        <v>TT</v>
      </c>
      <c r="K4016" s="22" t="s">
        <v>14180</v>
      </c>
      <c r="L4016" s="56">
        <v>45100</v>
      </c>
      <c r="O4016" s="42"/>
      <c r="P4016" s="40"/>
      <c r="Q4016" s="61"/>
      <c r="R4016" s="61"/>
      <c r="S4016" s="40"/>
      <c r="T4016" s="38"/>
      <c r="U4016" s="38"/>
      <c r="V4016" s="38"/>
      <c r="W4016" s="60"/>
      <c r="AB4016" s="42"/>
      <c r="AC4016" s="35"/>
      <c r="AD4016" s="38"/>
      <c r="AE4016" s="38"/>
      <c r="AF4016" s="38"/>
      <c r="AG4016" s="38"/>
      <c r="AH4016" s="60"/>
    </row>
    <row r="4017" spans="1:34" ht="15.75" customHeight="1">
      <c r="A4017" s="38"/>
      <c r="B4017" s="158" t="s">
        <v>14181</v>
      </c>
      <c r="C4017" s="37" t="s">
        <v>87</v>
      </c>
      <c r="D4017" s="20" t="s">
        <v>14182</v>
      </c>
      <c r="E4017" s="20" t="s">
        <v>14183</v>
      </c>
      <c r="F4017" s="19" t="s">
        <v>90</v>
      </c>
      <c r="G4017" s="19" t="s">
        <v>91</v>
      </c>
      <c r="H4017" s="37"/>
      <c r="I4017" s="37" t="s">
        <v>29</v>
      </c>
      <c r="J4017" s="155" t="str">
        <f t="shared" si="3"/>
        <v>TT</v>
      </c>
      <c r="K4017" s="22" t="s">
        <v>14184</v>
      </c>
      <c r="L4017" s="56">
        <v>45100</v>
      </c>
      <c r="O4017" s="42"/>
      <c r="P4017" s="40"/>
      <c r="Q4017" s="61"/>
      <c r="R4017" s="61"/>
      <c r="S4017" s="40"/>
      <c r="T4017" s="38"/>
      <c r="U4017" s="38"/>
      <c r="V4017" s="38"/>
      <c r="W4017" s="60"/>
      <c r="AB4017" s="42"/>
      <c r="AC4017" s="35"/>
      <c r="AD4017" s="38"/>
      <c r="AE4017" s="38"/>
      <c r="AF4017" s="38"/>
      <c r="AG4017" s="38"/>
      <c r="AH4017" s="60"/>
    </row>
    <row r="4018" spans="1:34" ht="15.75" customHeight="1">
      <c r="A4018" s="38"/>
      <c r="B4018" s="158" t="s">
        <v>14185</v>
      </c>
      <c r="C4018" s="37" t="s">
        <v>1638</v>
      </c>
      <c r="D4018" s="20" t="s">
        <v>14186</v>
      </c>
      <c r="E4018" s="20" t="s">
        <v>14187</v>
      </c>
      <c r="F4018" s="37" t="s">
        <v>1399</v>
      </c>
      <c r="G4018" s="19" t="s">
        <v>1641</v>
      </c>
      <c r="H4018" s="37"/>
      <c r="I4018" s="21" t="s">
        <v>1371</v>
      </c>
      <c r="J4018" s="155" t="str">
        <f t="shared" si="3"/>
        <v>Other</v>
      </c>
      <c r="K4018" s="22" t="s">
        <v>14188</v>
      </c>
      <c r="L4018" s="56">
        <v>45100</v>
      </c>
      <c r="O4018" s="42"/>
      <c r="P4018" s="40"/>
      <c r="Q4018" s="61"/>
      <c r="R4018" s="61"/>
      <c r="S4018" s="40"/>
      <c r="T4018" s="38"/>
      <c r="U4018" s="38"/>
      <c r="V4018" s="38"/>
      <c r="W4018" s="60"/>
      <c r="AB4018" s="42"/>
      <c r="AC4018" s="35"/>
      <c r="AD4018" s="38"/>
      <c r="AE4018" s="38"/>
      <c r="AF4018" s="38"/>
      <c r="AG4018" s="38"/>
      <c r="AH4018" s="60"/>
    </row>
    <row r="4019" spans="1:34" ht="15.75" customHeight="1">
      <c r="A4019" s="38"/>
      <c r="B4019" s="158" t="s">
        <v>14189</v>
      </c>
      <c r="C4019" s="37" t="s">
        <v>24</v>
      </c>
      <c r="D4019" s="20" t="s">
        <v>14190</v>
      </c>
      <c r="E4019" s="20" t="s">
        <v>14191</v>
      </c>
      <c r="F4019" s="19" t="s">
        <v>27</v>
      </c>
      <c r="G4019" s="19" t="s">
        <v>28</v>
      </c>
      <c r="H4019" s="37"/>
      <c r="I4019" s="37" t="s">
        <v>29</v>
      </c>
      <c r="J4019" s="155" t="str">
        <f t="shared" si="3"/>
        <v>TT</v>
      </c>
      <c r="K4019" s="22" t="s">
        <v>14192</v>
      </c>
      <c r="L4019" s="56">
        <v>45100</v>
      </c>
      <c r="O4019" s="42"/>
      <c r="P4019" s="40"/>
      <c r="Q4019" s="61"/>
      <c r="R4019" s="61"/>
      <c r="S4019" s="40"/>
      <c r="T4019" s="38"/>
      <c r="U4019" s="38"/>
      <c r="V4019" s="38"/>
      <c r="W4019" s="60"/>
      <c r="AB4019" s="42"/>
      <c r="AC4019" s="35"/>
      <c r="AD4019" s="38"/>
      <c r="AE4019" s="38"/>
      <c r="AF4019" s="38"/>
      <c r="AG4019" s="38"/>
      <c r="AH4019" s="60"/>
    </row>
    <row r="4020" spans="1:34" ht="15.75" customHeight="1">
      <c r="A4020" s="38"/>
      <c r="B4020" s="158" t="s">
        <v>14193</v>
      </c>
      <c r="C4020" s="37" t="s">
        <v>87</v>
      </c>
      <c r="D4020" s="20" t="s">
        <v>14194</v>
      </c>
      <c r="E4020" s="20" t="s">
        <v>14195</v>
      </c>
      <c r="F4020" s="19" t="s">
        <v>90</v>
      </c>
      <c r="G4020" s="19" t="s">
        <v>91</v>
      </c>
      <c r="H4020" s="37"/>
      <c r="I4020" s="37" t="s">
        <v>29</v>
      </c>
      <c r="J4020" s="155" t="str">
        <f t="shared" si="3"/>
        <v>TT</v>
      </c>
      <c r="K4020" s="22" t="s">
        <v>14196</v>
      </c>
      <c r="L4020" s="56">
        <v>45100</v>
      </c>
      <c r="O4020" s="42"/>
      <c r="P4020" s="40"/>
      <c r="Q4020" s="61"/>
      <c r="R4020" s="61"/>
      <c r="S4020" s="40"/>
      <c r="T4020" s="38"/>
      <c r="U4020" s="38"/>
      <c r="V4020" s="38"/>
      <c r="W4020" s="60"/>
      <c r="AB4020" s="42"/>
      <c r="AC4020" s="35"/>
      <c r="AD4020" s="38"/>
      <c r="AE4020" s="38"/>
      <c r="AF4020" s="38"/>
      <c r="AG4020" s="38"/>
      <c r="AH4020" s="60"/>
    </row>
    <row r="4021" spans="1:34" ht="15.75" customHeight="1">
      <c r="A4021" s="38"/>
      <c r="B4021" s="158" t="s">
        <v>14197</v>
      </c>
      <c r="C4021" s="37" t="s">
        <v>24</v>
      </c>
      <c r="D4021" s="20" t="s">
        <v>14198</v>
      </c>
      <c r="E4021" s="20" t="s">
        <v>14199</v>
      </c>
      <c r="F4021" s="19" t="s">
        <v>27</v>
      </c>
      <c r="G4021" s="19" t="s">
        <v>28</v>
      </c>
      <c r="H4021" s="19" t="s">
        <v>36</v>
      </c>
      <c r="I4021" s="37" t="s">
        <v>29</v>
      </c>
      <c r="J4021" s="155" t="str">
        <f t="shared" si="3"/>
        <v>TT</v>
      </c>
      <c r="K4021" s="22" t="s">
        <v>14200</v>
      </c>
      <c r="L4021" s="56">
        <v>45100</v>
      </c>
      <c r="O4021" s="42"/>
      <c r="P4021" s="40"/>
      <c r="Q4021" s="61"/>
      <c r="R4021" s="61"/>
      <c r="S4021" s="40"/>
      <c r="T4021" s="38"/>
      <c r="U4021" s="38"/>
      <c r="V4021" s="38"/>
      <c r="W4021" s="60"/>
      <c r="AB4021" s="42"/>
      <c r="AC4021" s="35"/>
      <c r="AD4021" s="38"/>
      <c r="AE4021" s="38"/>
      <c r="AF4021" s="38"/>
      <c r="AG4021" s="38"/>
      <c r="AH4021" s="60"/>
    </row>
    <row r="4022" spans="1:34" ht="15.75" customHeight="1">
      <c r="A4022" s="38"/>
      <c r="B4022" s="158" t="s">
        <v>14201</v>
      </c>
      <c r="C4022" s="37" t="s">
        <v>24</v>
      </c>
      <c r="D4022" s="20" t="s">
        <v>14202</v>
      </c>
      <c r="E4022" s="20" t="s">
        <v>14203</v>
      </c>
      <c r="F4022" s="19" t="s">
        <v>27</v>
      </c>
      <c r="G4022" s="19" t="s">
        <v>28</v>
      </c>
      <c r="H4022" s="37"/>
      <c r="I4022" s="37" t="s">
        <v>29</v>
      </c>
      <c r="J4022" s="155" t="str">
        <f t="shared" si="3"/>
        <v>TT</v>
      </c>
      <c r="K4022" s="22" t="s">
        <v>14204</v>
      </c>
      <c r="L4022" s="56">
        <v>45100</v>
      </c>
      <c r="O4022" s="42"/>
      <c r="P4022" s="40"/>
      <c r="Q4022" s="61"/>
      <c r="R4022" s="61"/>
      <c r="S4022" s="40"/>
      <c r="T4022" s="38"/>
      <c r="U4022" s="38"/>
      <c r="V4022" s="38"/>
      <c r="W4022" s="60"/>
      <c r="AB4022" s="42"/>
      <c r="AC4022" s="35"/>
      <c r="AD4022" s="38"/>
      <c r="AE4022" s="38"/>
      <c r="AF4022" s="38"/>
      <c r="AG4022" s="38"/>
      <c r="AH4022" s="60"/>
    </row>
    <row r="4023" spans="1:34" ht="15.75" customHeight="1">
      <c r="A4023" s="38"/>
      <c r="B4023" s="158" t="s">
        <v>14205</v>
      </c>
      <c r="C4023" s="37" t="s">
        <v>24</v>
      </c>
      <c r="D4023" s="20" t="s">
        <v>14206</v>
      </c>
      <c r="E4023" s="20" t="s">
        <v>14207</v>
      </c>
      <c r="F4023" s="19" t="s">
        <v>27</v>
      </c>
      <c r="G4023" s="19" t="s">
        <v>28</v>
      </c>
      <c r="H4023" s="37"/>
      <c r="I4023" s="37" t="s">
        <v>29</v>
      </c>
      <c r="J4023" s="155" t="str">
        <f t="shared" si="3"/>
        <v>TT</v>
      </c>
      <c r="K4023" s="22" t="s">
        <v>14208</v>
      </c>
      <c r="L4023" s="56">
        <v>45100</v>
      </c>
      <c r="O4023" s="42"/>
      <c r="P4023" s="40"/>
      <c r="Q4023" s="61"/>
      <c r="R4023" s="61"/>
      <c r="S4023" s="40"/>
      <c r="T4023" s="38"/>
      <c r="U4023" s="38"/>
      <c r="V4023" s="38"/>
      <c r="W4023" s="60"/>
      <c r="AB4023" s="42"/>
      <c r="AC4023" s="35"/>
      <c r="AD4023" s="38"/>
      <c r="AE4023" s="38"/>
      <c r="AF4023" s="38"/>
      <c r="AG4023" s="38"/>
      <c r="AH4023" s="60"/>
    </row>
    <row r="4024" spans="1:34" ht="15.75" customHeight="1">
      <c r="A4024" s="38"/>
      <c r="B4024" s="158" t="s">
        <v>14209</v>
      </c>
      <c r="C4024" s="37" t="s">
        <v>87</v>
      </c>
      <c r="D4024" s="20" t="s">
        <v>14210</v>
      </c>
      <c r="E4024" s="20"/>
      <c r="F4024" s="19" t="s">
        <v>90</v>
      </c>
      <c r="G4024" s="19" t="s">
        <v>91</v>
      </c>
      <c r="H4024" s="19" t="s">
        <v>36</v>
      </c>
      <c r="I4024" s="37" t="s">
        <v>29</v>
      </c>
      <c r="J4024" s="155" t="str">
        <f t="shared" si="3"/>
        <v>TT</v>
      </c>
      <c r="K4024" s="22"/>
      <c r="L4024" s="56">
        <v>45100</v>
      </c>
      <c r="O4024" s="42"/>
      <c r="P4024" s="40"/>
      <c r="Q4024" s="61"/>
      <c r="R4024" s="61"/>
      <c r="S4024" s="40"/>
      <c r="T4024" s="38"/>
      <c r="U4024" s="38"/>
      <c r="V4024" s="38"/>
      <c r="W4024" s="60"/>
      <c r="AB4024" s="42"/>
      <c r="AC4024" s="35"/>
      <c r="AD4024" s="38"/>
      <c r="AE4024" s="38"/>
      <c r="AF4024" s="38"/>
      <c r="AG4024" s="38"/>
      <c r="AH4024" s="60"/>
    </row>
    <row r="4025" spans="1:34" ht="15.75" customHeight="1">
      <c r="A4025" s="38"/>
      <c r="B4025" s="158" t="s">
        <v>14211</v>
      </c>
      <c r="C4025" s="37" t="s">
        <v>87</v>
      </c>
      <c r="D4025" s="20" t="s">
        <v>14212</v>
      </c>
      <c r="E4025" s="20" t="s">
        <v>14213</v>
      </c>
      <c r="F4025" s="19" t="s">
        <v>90</v>
      </c>
      <c r="G4025" s="19" t="s">
        <v>91</v>
      </c>
      <c r="H4025" s="37"/>
      <c r="I4025" s="37" t="s">
        <v>29</v>
      </c>
      <c r="J4025" s="155" t="str">
        <f t="shared" si="3"/>
        <v>TT</v>
      </c>
      <c r="K4025" s="22" t="s">
        <v>14214</v>
      </c>
      <c r="L4025" s="56">
        <v>45100</v>
      </c>
      <c r="O4025" s="42"/>
      <c r="P4025" s="40"/>
      <c r="Q4025" s="61"/>
      <c r="R4025" s="61"/>
      <c r="S4025" s="40"/>
      <c r="T4025" s="38"/>
      <c r="U4025" s="38"/>
      <c r="V4025" s="38"/>
      <c r="W4025" s="60"/>
      <c r="AB4025" s="42"/>
      <c r="AC4025" s="35"/>
      <c r="AD4025" s="38"/>
      <c r="AE4025" s="38"/>
      <c r="AF4025" s="38"/>
      <c r="AG4025" s="38"/>
      <c r="AH4025" s="60"/>
    </row>
    <row r="4026" spans="1:34" ht="15.75" customHeight="1">
      <c r="A4026" s="38"/>
      <c r="B4026" s="38"/>
      <c r="C4026" s="37"/>
      <c r="D4026" s="20"/>
      <c r="E4026" s="20"/>
      <c r="F4026" s="37"/>
      <c r="G4026" s="37"/>
      <c r="H4026" s="37"/>
      <c r="I4026" s="37"/>
      <c r="J4026" s="155">
        <f t="shared" si="3"/>
        <v>0</v>
      </c>
      <c r="K4026" s="22"/>
      <c r="L4026" s="39"/>
      <c r="O4026" s="42"/>
      <c r="P4026" s="40"/>
      <c r="Q4026" s="61"/>
      <c r="R4026" s="61"/>
      <c r="S4026" s="40"/>
      <c r="T4026" s="38"/>
      <c r="U4026" s="38"/>
      <c r="V4026" s="38"/>
      <c r="W4026" s="60"/>
      <c r="AB4026" s="42"/>
      <c r="AC4026" s="35"/>
      <c r="AD4026" s="38"/>
      <c r="AE4026" s="38"/>
      <c r="AF4026" s="38"/>
      <c r="AG4026" s="38"/>
      <c r="AH4026" s="60"/>
    </row>
    <row r="4027" spans="1:34" ht="15.75" customHeight="1">
      <c r="A4027" s="35" t="s">
        <v>14215</v>
      </c>
      <c r="B4027" s="158" t="s">
        <v>14216</v>
      </c>
      <c r="C4027" s="37" t="s">
        <v>1430</v>
      </c>
      <c r="D4027" s="20" t="s">
        <v>14217</v>
      </c>
      <c r="E4027" s="20"/>
      <c r="F4027" s="55" t="s">
        <v>1445</v>
      </c>
      <c r="G4027" s="55" t="s">
        <v>1432</v>
      </c>
      <c r="H4027" s="37" t="s">
        <v>55</v>
      </c>
      <c r="I4027" s="37" t="s">
        <v>233</v>
      </c>
      <c r="J4027" s="155" t="str">
        <f t="shared" si="3"/>
        <v>NTT</v>
      </c>
      <c r="K4027" s="22"/>
      <c r="L4027" s="56">
        <v>45103</v>
      </c>
      <c r="M4027" s="40"/>
      <c r="O4027" s="42"/>
      <c r="P4027" s="40"/>
      <c r="Q4027" s="61"/>
      <c r="R4027" s="61"/>
      <c r="S4027" s="40"/>
      <c r="T4027" s="38"/>
      <c r="U4027" s="38"/>
      <c r="V4027" s="38"/>
      <c r="W4027" s="60"/>
      <c r="AB4027" s="42"/>
      <c r="AC4027" s="35"/>
      <c r="AD4027" s="38"/>
      <c r="AE4027" s="38"/>
      <c r="AF4027" s="38"/>
      <c r="AG4027" s="38"/>
      <c r="AH4027" s="60"/>
    </row>
    <row r="4028" spans="1:34" ht="15.75" customHeight="1">
      <c r="A4028" s="54" t="s">
        <v>14218</v>
      </c>
      <c r="B4028" s="158" t="s">
        <v>14219</v>
      </c>
      <c r="C4028" s="37" t="s">
        <v>46</v>
      </c>
      <c r="D4028" s="20" t="s">
        <v>14220</v>
      </c>
      <c r="E4028" s="20" t="s">
        <v>14221</v>
      </c>
      <c r="F4028" s="37" t="s">
        <v>49</v>
      </c>
      <c r="G4028" s="19" t="s">
        <v>50</v>
      </c>
      <c r="H4028" s="37" t="s">
        <v>55</v>
      </c>
      <c r="I4028" s="37" t="s">
        <v>29</v>
      </c>
      <c r="J4028" s="155" t="str">
        <f t="shared" si="3"/>
        <v>TT</v>
      </c>
      <c r="K4028" s="22" t="s">
        <v>14222</v>
      </c>
      <c r="L4028" s="56">
        <v>45103</v>
      </c>
      <c r="O4028" s="42"/>
      <c r="P4028" s="40"/>
      <c r="Q4028" s="61"/>
      <c r="R4028" s="61"/>
      <c r="S4028" s="40"/>
      <c r="T4028" s="38"/>
      <c r="U4028" s="38"/>
      <c r="V4028" s="38"/>
      <c r="W4028" s="60"/>
      <c r="AB4028" s="42"/>
      <c r="AC4028" s="35"/>
      <c r="AD4028" s="38"/>
      <c r="AE4028" s="38"/>
      <c r="AF4028" s="38"/>
      <c r="AG4028" s="38"/>
      <c r="AH4028" s="60"/>
    </row>
    <row r="4029" spans="1:34" ht="15.75" customHeight="1">
      <c r="A4029" s="114" t="s">
        <v>39</v>
      </c>
      <c r="B4029" s="158" t="s">
        <v>14223</v>
      </c>
      <c r="C4029" s="37" t="s">
        <v>46</v>
      </c>
      <c r="D4029" s="20" t="s">
        <v>14224</v>
      </c>
      <c r="E4029" s="20" t="s">
        <v>14225</v>
      </c>
      <c r="F4029" s="37" t="s">
        <v>49</v>
      </c>
      <c r="G4029" s="19" t="s">
        <v>50</v>
      </c>
      <c r="H4029" s="37" t="s">
        <v>55</v>
      </c>
      <c r="I4029" s="37" t="s">
        <v>29</v>
      </c>
      <c r="J4029" s="155" t="str">
        <f t="shared" si="3"/>
        <v>TT</v>
      </c>
      <c r="K4029" s="22" t="s">
        <v>14226</v>
      </c>
      <c r="L4029" s="56">
        <v>45103</v>
      </c>
      <c r="O4029" s="42"/>
      <c r="P4029" s="40"/>
      <c r="Q4029" s="61"/>
      <c r="R4029" s="61"/>
      <c r="S4029" s="40"/>
      <c r="T4029" s="38"/>
      <c r="U4029" s="38"/>
      <c r="V4029" s="38"/>
      <c r="W4029" s="60"/>
      <c r="AB4029" s="42"/>
      <c r="AC4029" s="35"/>
      <c r="AD4029" s="38"/>
      <c r="AE4029" s="38"/>
      <c r="AF4029" s="38"/>
      <c r="AG4029" s="38"/>
      <c r="AH4029" s="60"/>
    </row>
    <row r="4030" spans="1:34" ht="15.75" customHeight="1">
      <c r="A4030" s="38" t="s">
        <v>13637</v>
      </c>
      <c r="B4030" s="159" t="s">
        <v>14227</v>
      </c>
      <c r="C4030" s="37" t="s">
        <v>24</v>
      </c>
      <c r="D4030" s="20" t="s">
        <v>14228</v>
      </c>
      <c r="E4030" s="20" t="s">
        <v>14229</v>
      </c>
      <c r="F4030" s="19" t="s">
        <v>27</v>
      </c>
      <c r="G4030" s="19" t="s">
        <v>28</v>
      </c>
      <c r="H4030" s="37" t="s">
        <v>55</v>
      </c>
      <c r="I4030" s="37" t="s">
        <v>29</v>
      </c>
      <c r="J4030" s="155" t="str">
        <f t="shared" si="3"/>
        <v>TT</v>
      </c>
      <c r="K4030" s="22" t="s">
        <v>14230</v>
      </c>
      <c r="L4030" s="56">
        <v>45103</v>
      </c>
      <c r="O4030" s="42"/>
      <c r="P4030" s="40"/>
      <c r="Q4030" s="61"/>
      <c r="R4030" s="61"/>
      <c r="S4030" s="40"/>
      <c r="T4030" s="38"/>
      <c r="U4030" s="38"/>
      <c r="V4030" s="38"/>
      <c r="W4030" s="60"/>
      <c r="AB4030" s="42"/>
      <c r="AC4030" s="35"/>
      <c r="AD4030" s="38"/>
      <c r="AE4030" s="38"/>
      <c r="AF4030" s="38"/>
      <c r="AG4030" s="38"/>
      <c r="AH4030" s="60"/>
    </row>
    <row r="4031" spans="1:34" ht="15.75" customHeight="1">
      <c r="A4031" s="75" t="s">
        <v>14231</v>
      </c>
      <c r="B4031" s="38" t="s">
        <v>14232</v>
      </c>
      <c r="C4031" s="37" t="s">
        <v>412</v>
      </c>
      <c r="D4031" s="20" t="s">
        <v>14233</v>
      </c>
      <c r="E4031" s="20"/>
      <c r="F4031" s="19" t="s">
        <v>414</v>
      </c>
      <c r="G4031" s="37" t="s">
        <v>415</v>
      </c>
      <c r="H4031" s="37" t="s">
        <v>55</v>
      </c>
      <c r="I4031" s="37" t="s">
        <v>233</v>
      </c>
      <c r="J4031" s="155" t="str">
        <f t="shared" si="3"/>
        <v>NTT</v>
      </c>
      <c r="K4031" s="22"/>
      <c r="L4031" s="56">
        <v>45103</v>
      </c>
      <c r="O4031" s="42"/>
      <c r="P4031" s="40"/>
      <c r="Q4031" s="61"/>
      <c r="R4031" s="61"/>
      <c r="S4031" s="40"/>
      <c r="T4031" s="38"/>
      <c r="U4031" s="38"/>
      <c r="V4031" s="38"/>
      <c r="W4031" s="60"/>
      <c r="AB4031" s="42"/>
      <c r="AC4031" s="35"/>
      <c r="AD4031" s="38"/>
      <c r="AE4031" s="38"/>
      <c r="AF4031" s="38"/>
      <c r="AG4031" s="38"/>
      <c r="AH4031" s="60"/>
    </row>
    <row r="4032" spans="1:34" ht="15.75" customHeight="1">
      <c r="A4032" s="50" t="s">
        <v>56</v>
      </c>
      <c r="B4032" s="38" t="s">
        <v>14234</v>
      </c>
      <c r="C4032" s="37" t="s">
        <v>24</v>
      </c>
      <c r="D4032" s="20" t="s">
        <v>14235</v>
      </c>
      <c r="E4032" s="20"/>
      <c r="F4032" s="19" t="s">
        <v>27</v>
      </c>
      <c r="G4032" s="19" t="s">
        <v>28</v>
      </c>
      <c r="H4032" s="37" t="s">
        <v>55</v>
      </c>
      <c r="I4032" s="37" t="s">
        <v>29</v>
      </c>
      <c r="J4032" s="155" t="str">
        <f t="shared" si="3"/>
        <v>TT</v>
      </c>
      <c r="K4032" s="22"/>
      <c r="L4032" s="56">
        <v>45103</v>
      </c>
      <c r="O4032" s="42"/>
      <c r="P4032" s="40"/>
      <c r="Q4032" s="61"/>
      <c r="R4032" s="61"/>
      <c r="S4032" s="40"/>
      <c r="T4032" s="38"/>
      <c r="U4032" s="38"/>
      <c r="V4032" s="38"/>
      <c r="W4032" s="60"/>
      <c r="AB4032" s="42"/>
      <c r="AC4032" s="35"/>
      <c r="AD4032" s="38"/>
      <c r="AE4032" s="38"/>
      <c r="AF4032" s="38"/>
      <c r="AG4032" s="38"/>
      <c r="AH4032" s="60"/>
    </row>
    <row r="4033" spans="1:34" ht="15.75" customHeight="1">
      <c r="A4033" s="17">
        <v>38</v>
      </c>
      <c r="B4033" s="158" t="s">
        <v>14236</v>
      </c>
      <c r="C4033" s="37" t="s">
        <v>24</v>
      </c>
      <c r="D4033" s="20" t="s">
        <v>14237</v>
      </c>
      <c r="E4033" s="20" t="s">
        <v>14238</v>
      </c>
      <c r="F4033" s="19" t="s">
        <v>27</v>
      </c>
      <c r="G4033" s="19" t="s">
        <v>28</v>
      </c>
      <c r="H4033" s="37" t="s">
        <v>55</v>
      </c>
      <c r="I4033" s="37" t="s">
        <v>29</v>
      </c>
      <c r="J4033" s="155" t="str">
        <f t="shared" si="3"/>
        <v>TT</v>
      </c>
      <c r="K4033" s="22" t="s">
        <v>14239</v>
      </c>
      <c r="L4033" s="56">
        <v>45103</v>
      </c>
      <c r="O4033" s="42"/>
      <c r="P4033" s="40"/>
      <c r="Q4033" s="61"/>
      <c r="R4033" s="61"/>
      <c r="S4033" s="40"/>
      <c r="T4033" s="38"/>
      <c r="U4033" s="38"/>
      <c r="V4033" s="38"/>
      <c r="W4033" s="60"/>
      <c r="AB4033" s="42"/>
      <c r="AC4033" s="35"/>
      <c r="AD4033" s="38"/>
      <c r="AE4033" s="38"/>
      <c r="AF4033" s="38"/>
      <c r="AG4033" s="38"/>
      <c r="AH4033" s="60"/>
    </row>
    <row r="4034" spans="1:34" ht="15.75" customHeight="1">
      <c r="A4034" s="111" t="s">
        <v>64</v>
      </c>
      <c r="B4034" s="158" t="s">
        <v>14240</v>
      </c>
      <c r="C4034" s="37" t="s">
        <v>1470</v>
      </c>
      <c r="D4034" s="20" t="s">
        <v>14241</v>
      </c>
      <c r="E4034" s="20"/>
      <c r="F4034" s="19" t="s">
        <v>3286</v>
      </c>
      <c r="G4034" s="19" t="s">
        <v>1461</v>
      </c>
      <c r="H4034" s="37" t="s">
        <v>55</v>
      </c>
      <c r="I4034" s="37" t="s">
        <v>233</v>
      </c>
      <c r="J4034" s="155" t="str">
        <f t="shared" si="3"/>
        <v>NTT</v>
      </c>
      <c r="K4034" s="22"/>
      <c r="L4034" s="56">
        <v>45103</v>
      </c>
      <c r="O4034" s="42"/>
      <c r="P4034" s="40"/>
      <c r="Q4034" s="61"/>
      <c r="R4034" s="61"/>
      <c r="S4034" s="40"/>
      <c r="T4034" s="38"/>
      <c r="U4034" s="38"/>
      <c r="V4034" s="38"/>
      <c r="W4034" s="60"/>
      <c r="AB4034" s="42"/>
      <c r="AC4034" s="35"/>
      <c r="AD4034" s="38"/>
      <c r="AE4034" s="38"/>
      <c r="AF4034" s="38"/>
      <c r="AG4034" s="38"/>
      <c r="AH4034" s="60"/>
    </row>
    <row r="4035" spans="1:34" ht="15.75" customHeight="1">
      <c r="A4035" s="75">
        <v>2.1</v>
      </c>
      <c r="B4035" s="38" t="s">
        <v>14242</v>
      </c>
      <c r="C4035" s="37" t="s">
        <v>46</v>
      </c>
      <c r="D4035" s="20" t="s">
        <v>14243</v>
      </c>
      <c r="E4035" s="20"/>
      <c r="F4035" s="37" t="s">
        <v>49</v>
      </c>
      <c r="G4035" s="19" t="s">
        <v>50</v>
      </c>
      <c r="H4035" s="37" t="s">
        <v>55</v>
      </c>
      <c r="I4035" s="37" t="s">
        <v>29</v>
      </c>
      <c r="J4035" s="155" t="str">
        <f t="shared" si="3"/>
        <v>TT</v>
      </c>
      <c r="K4035" s="22"/>
      <c r="L4035" s="56">
        <v>45103</v>
      </c>
      <c r="O4035" s="42"/>
      <c r="P4035" s="40"/>
      <c r="Q4035" s="61"/>
      <c r="R4035" s="61"/>
      <c r="S4035" s="40"/>
      <c r="T4035" s="38"/>
      <c r="U4035" s="38"/>
      <c r="V4035" s="38"/>
      <c r="W4035" s="60"/>
      <c r="AB4035" s="42"/>
      <c r="AC4035" s="35"/>
      <c r="AD4035" s="38"/>
      <c r="AE4035" s="38"/>
      <c r="AF4035" s="38"/>
      <c r="AG4035" s="38"/>
      <c r="AH4035" s="60"/>
    </row>
    <row r="4036" spans="1:34" ht="15.75" customHeight="1">
      <c r="A4036" s="111" t="s">
        <v>73</v>
      </c>
      <c r="B4036" s="158" t="s">
        <v>14244</v>
      </c>
      <c r="C4036" s="37" t="s">
        <v>46</v>
      </c>
      <c r="D4036" s="20" t="s">
        <v>14245</v>
      </c>
      <c r="E4036" s="20" t="s">
        <v>14246</v>
      </c>
      <c r="F4036" s="37" t="s">
        <v>49</v>
      </c>
      <c r="G4036" s="19" t="s">
        <v>50</v>
      </c>
      <c r="H4036" s="37" t="s">
        <v>55</v>
      </c>
      <c r="I4036" s="37" t="s">
        <v>29</v>
      </c>
      <c r="J4036" s="155" t="str">
        <f t="shared" si="3"/>
        <v>TT</v>
      </c>
      <c r="K4036" s="22" t="s">
        <v>14247</v>
      </c>
      <c r="L4036" s="56">
        <v>45103</v>
      </c>
      <c r="O4036" s="42"/>
      <c r="P4036" s="40"/>
      <c r="Q4036" s="61"/>
      <c r="R4036" s="61"/>
      <c r="S4036" s="40"/>
      <c r="T4036" s="38"/>
      <c r="U4036" s="38"/>
      <c r="V4036" s="38"/>
      <c r="W4036" s="60"/>
      <c r="AB4036" s="42"/>
      <c r="AC4036" s="35"/>
      <c r="AD4036" s="38"/>
      <c r="AE4036" s="38"/>
      <c r="AF4036" s="38"/>
      <c r="AG4036" s="38"/>
      <c r="AH4036" s="60"/>
    </row>
    <row r="4037" spans="1:34" ht="15.75" customHeight="1">
      <c r="A4037" s="75">
        <v>2.7</v>
      </c>
      <c r="B4037" s="158" t="s">
        <v>14248</v>
      </c>
      <c r="C4037" s="37" t="s">
        <v>1430</v>
      </c>
      <c r="D4037" s="20" t="s">
        <v>14249</v>
      </c>
      <c r="E4037" s="20"/>
      <c r="F4037" s="55" t="s">
        <v>1445</v>
      </c>
      <c r="G4037" s="55" t="s">
        <v>1432</v>
      </c>
      <c r="H4037" s="37" t="s">
        <v>55</v>
      </c>
      <c r="I4037" s="37" t="s">
        <v>233</v>
      </c>
      <c r="J4037" s="155" t="str">
        <f t="shared" si="3"/>
        <v>NTT</v>
      </c>
      <c r="K4037" s="22"/>
      <c r="L4037" s="56">
        <v>45103</v>
      </c>
      <c r="O4037" s="42"/>
      <c r="P4037" s="40"/>
      <c r="Q4037" s="61"/>
      <c r="R4037" s="61"/>
      <c r="S4037" s="40"/>
      <c r="T4037" s="38"/>
      <c r="U4037" s="38"/>
      <c r="V4037" s="38"/>
      <c r="W4037" s="60"/>
      <c r="AB4037" s="42"/>
      <c r="AC4037" s="35"/>
      <c r="AD4037" s="38"/>
      <c r="AE4037" s="38"/>
      <c r="AF4037" s="38"/>
      <c r="AG4037" s="38"/>
      <c r="AH4037" s="60"/>
    </row>
    <row r="4038" spans="1:34" ht="15.75" customHeight="1">
      <c r="A4038" s="111" t="s">
        <v>82</v>
      </c>
      <c r="B4038" s="158" t="s">
        <v>14250</v>
      </c>
      <c r="C4038" s="143" t="s">
        <v>24</v>
      </c>
      <c r="D4038" s="20" t="s">
        <v>14251</v>
      </c>
      <c r="E4038" s="20"/>
      <c r="F4038" s="19" t="s">
        <v>27</v>
      </c>
      <c r="G4038" s="19" t="s">
        <v>28</v>
      </c>
      <c r="H4038" s="37" t="s">
        <v>55</v>
      </c>
      <c r="I4038" s="37" t="s">
        <v>29</v>
      </c>
      <c r="J4038" s="155" t="str">
        <f t="shared" si="3"/>
        <v>TT</v>
      </c>
      <c r="K4038" s="22"/>
      <c r="L4038" s="56">
        <v>45103</v>
      </c>
      <c r="O4038" s="42"/>
      <c r="P4038" s="40"/>
      <c r="Q4038" s="61"/>
      <c r="R4038" s="61"/>
      <c r="S4038" s="40"/>
      <c r="T4038" s="38"/>
      <c r="U4038" s="38"/>
      <c r="V4038" s="38"/>
      <c r="W4038" s="60"/>
      <c r="AB4038" s="42"/>
      <c r="AC4038" s="35"/>
      <c r="AD4038" s="38"/>
      <c r="AE4038" s="38"/>
      <c r="AF4038" s="38"/>
      <c r="AG4038" s="38"/>
      <c r="AH4038" s="60"/>
    </row>
    <row r="4039" spans="1:34" ht="15.75" customHeight="1">
      <c r="A4039" s="112" t="s">
        <v>14252</v>
      </c>
      <c r="B4039" s="158" t="s">
        <v>14253</v>
      </c>
      <c r="C4039" s="37" t="s">
        <v>46</v>
      </c>
      <c r="D4039" s="20" t="s">
        <v>14254</v>
      </c>
      <c r="E4039" s="20" t="s">
        <v>14255</v>
      </c>
      <c r="F4039" s="37" t="s">
        <v>49</v>
      </c>
      <c r="G4039" s="19" t="s">
        <v>50</v>
      </c>
      <c r="H4039" s="37" t="s">
        <v>55</v>
      </c>
      <c r="I4039" s="37" t="s">
        <v>29</v>
      </c>
      <c r="J4039" s="155" t="str">
        <f t="shared" si="3"/>
        <v>TT</v>
      </c>
      <c r="K4039" s="22" t="s">
        <v>14256</v>
      </c>
      <c r="L4039" s="56">
        <v>45103</v>
      </c>
      <c r="O4039" s="42"/>
      <c r="P4039" s="40"/>
      <c r="Q4039" s="61"/>
      <c r="R4039" s="61"/>
      <c r="S4039" s="40"/>
      <c r="T4039" s="38"/>
      <c r="U4039" s="38"/>
      <c r="V4039" s="38"/>
      <c r="W4039" s="60"/>
      <c r="AB4039" s="42"/>
      <c r="AC4039" s="35"/>
      <c r="AD4039" s="38"/>
      <c r="AE4039" s="38"/>
      <c r="AF4039" s="38"/>
      <c r="AG4039" s="38"/>
      <c r="AH4039" s="60"/>
    </row>
    <row r="4040" spans="1:34" ht="15.75" customHeight="1">
      <c r="A4040" s="111" t="s">
        <v>92</v>
      </c>
      <c r="B4040" s="158" t="s">
        <v>14257</v>
      </c>
      <c r="C4040" s="37" t="s">
        <v>24</v>
      </c>
      <c r="D4040" s="20" t="s">
        <v>14258</v>
      </c>
      <c r="E4040" s="20" t="s">
        <v>14259</v>
      </c>
      <c r="F4040" s="19" t="s">
        <v>27</v>
      </c>
      <c r="G4040" s="19" t="s">
        <v>28</v>
      </c>
      <c r="H4040" s="37" t="s">
        <v>55</v>
      </c>
      <c r="I4040" s="37" t="s">
        <v>29</v>
      </c>
      <c r="J4040" s="155" t="str">
        <f t="shared" si="3"/>
        <v>TT</v>
      </c>
      <c r="K4040" s="22" t="s">
        <v>14260</v>
      </c>
      <c r="L4040" s="56">
        <v>45103</v>
      </c>
      <c r="O4040" s="42"/>
      <c r="P4040" s="40"/>
      <c r="Q4040" s="61"/>
      <c r="R4040" s="61"/>
      <c r="S4040" s="40"/>
      <c r="T4040" s="38"/>
      <c r="U4040" s="38"/>
      <c r="V4040" s="38"/>
      <c r="W4040" s="60"/>
      <c r="AB4040" s="42"/>
      <c r="AC4040" s="35"/>
      <c r="AD4040" s="38"/>
      <c r="AE4040" s="38"/>
      <c r="AF4040" s="38"/>
      <c r="AG4040" s="38"/>
      <c r="AH4040" s="60"/>
    </row>
    <row r="4041" spans="1:34" ht="15.75" customHeight="1">
      <c r="A4041" s="17">
        <v>821</v>
      </c>
      <c r="B4041" s="159" t="s">
        <v>14261</v>
      </c>
      <c r="C4041" s="37" t="s">
        <v>24</v>
      </c>
      <c r="D4041" s="20" t="s">
        <v>14262</v>
      </c>
      <c r="E4041" s="20" t="s">
        <v>14263</v>
      </c>
      <c r="F4041" s="19" t="s">
        <v>27</v>
      </c>
      <c r="G4041" s="19" t="s">
        <v>28</v>
      </c>
      <c r="H4041" s="37" t="s">
        <v>55</v>
      </c>
      <c r="I4041" s="37" t="s">
        <v>29</v>
      </c>
      <c r="J4041" s="155" t="str">
        <f t="shared" si="3"/>
        <v>TT</v>
      </c>
      <c r="K4041" s="22" t="s">
        <v>14264</v>
      </c>
      <c r="L4041" s="56">
        <v>45103</v>
      </c>
      <c r="O4041" s="42"/>
      <c r="P4041" s="40"/>
      <c r="Q4041" s="61"/>
      <c r="R4041" s="61"/>
      <c r="S4041" s="40"/>
      <c r="T4041" s="38"/>
      <c r="U4041" s="38"/>
      <c r="V4041" s="38"/>
      <c r="W4041" s="60"/>
      <c r="AB4041" s="42"/>
      <c r="AC4041" s="35"/>
      <c r="AD4041" s="38"/>
      <c r="AE4041" s="38"/>
      <c r="AF4041" s="38"/>
      <c r="AG4041" s="38"/>
      <c r="AH4041" s="60"/>
    </row>
    <row r="4042" spans="1:34" ht="15.75" customHeight="1">
      <c r="A4042" s="111" t="s">
        <v>100</v>
      </c>
      <c r="B4042" s="38" t="s">
        <v>14265</v>
      </c>
      <c r="C4042" s="37" t="s">
        <v>1470</v>
      </c>
      <c r="D4042" s="20" t="s">
        <v>14266</v>
      </c>
      <c r="E4042" s="20"/>
      <c r="F4042" s="19" t="s">
        <v>3286</v>
      </c>
      <c r="G4042" s="37" t="s">
        <v>1461</v>
      </c>
      <c r="H4042" s="37" t="s">
        <v>55</v>
      </c>
      <c r="I4042" s="37" t="s">
        <v>233</v>
      </c>
      <c r="J4042" s="155" t="str">
        <f t="shared" si="3"/>
        <v>NTT</v>
      </c>
      <c r="K4042" s="22"/>
      <c r="L4042" s="56">
        <v>45103</v>
      </c>
      <c r="O4042" s="42"/>
      <c r="P4042" s="40"/>
      <c r="Q4042" s="61"/>
      <c r="R4042" s="61"/>
      <c r="S4042" s="40"/>
      <c r="T4042" s="38"/>
      <c r="U4042" s="38"/>
      <c r="V4042" s="38"/>
      <c r="W4042" s="60"/>
      <c r="AB4042" s="42"/>
      <c r="AC4042" s="35"/>
      <c r="AD4042" s="38"/>
      <c r="AE4042" s="38"/>
      <c r="AF4042" s="38"/>
      <c r="AG4042" s="38"/>
      <c r="AH4042" s="60"/>
    </row>
    <row r="4043" spans="1:34" ht="15.75" customHeight="1">
      <c r="A4043" s="17">
        <v>162</v>
      </c>
      <c r="B4043" s="38" t="s">
        <v>14267</v>
      </c>
      <c r="C4043" s="37" t="s">
        <v>1430</v>
      </c>
      <c r="D4043" s="20" t="s">
        <v>14268</v>
      </c>
      <c r="E4043" s="20"/>
      <c r="F4043" s="55" t="s">
        <v>1445</v>
      </c>
      <c r="G4043" s="55" t="s">
        <v>1432</v>
      </c>
      <c r="H4043" s="37" t="s">
        <v>55</v>
      </c>
      <c r="I4043" s="37" t="s">
        <v>233</v>
      </c>
      <c r="J4043" s="155" t="str">
        <f t="shared" si="3"/>
        <v>NTT</v>
      </c>
      <c r="K4043" s="22"/>
      <c r="L4043" s="56">
        <v>45103</v>
      </c>
      <c r="O4043" s="42"/>
      <c r="P4043" s="40"/>
      <c r="Q4043" s="61"/>
      <c r="R4043" s="61"/>
      <c r="S4043" s="40"/>
      <c r="T4043" s="38"/>
      <c r="U4043" s="38"/>
      <c r="V4043" s="38"/>
      <c r="W4043" s="60"/>
      <c r="AB4043" s="42"/>
      <c r="AC4043" s="35"/>
      <c r="AD4043" s="38"/>
      <c r="AE4043" s="38"/>
      <c r="AF4043" s="38"/>
      <c r="AG4043" s="38"/>
      <c r="AH4043" s="60"/>
    </row>
    <row r="4044" spans="1:34" ht="15.75" customHeight="1">
      <c r="A4044" s="35"/>
      <c r="B4044" s="158" t="s">
        <v>14269</v>
      </c>
      <c r="C4044" s="37" t="s">
        <v>228</v>
      </c>
      <c r="D4044" s="20" t="s">
        <v>14270</v>
      </c>
      <c r="E4044" s="20" t="s">
        <v>14271</v>
      </c>
      <c r="F4044" s="19" t="s">
        <v>231</v>
      </c>
      <c r="G4044" s="19" t="s">
        <v>232</v>
      </c>
      <c r="H4044" s="37" t="s">
        <v>55</v>
      </c>
      <c r="I4044" s="37" t="s">
        <v>233</v>
      </c>
      <c r="J4044" s="155" t="str">
        <f t="shared" si="3"/>
        <v>NTT</v>
      </c>
      <c r="K4044" s="22" t="s">
        <v>14272</v>
      </c>
      <c r="L4044" s="56">
        <v>45103</v>
      </c>
      <c r="M4044" s="40"/>
      <c r="Q4044" s="25"/>
      <c r="R4044" s="25"/>
      <c r="U4044" s="38"/>
      <c r="V4044" s="38"/>
      <c r="W4044" s="60"/>
      <c r="AB4044" s="42"/>
      <c r="AC4044" s="35"/>
      <c r="AD4044" s="38"/>
      <c r="AE4044" s="38"/>
      <c r="AF4044" s="38"/>
      <c r="AG4044" s="38"/>
      <c r="AH4044" s="60"/>
    </row>
    <row r="4045" spans="1:34" ht="15.75" customHeight="1">
      <c r="A4045" s="35"/>
      <c r="B4045" s="158" t="s">
        <v>14273</v>
      </c>
      <c r="C4045" s="37" t="s">
        <v>87</v>
      </c>
      <c r="D4045" s="20" t="s">
        <v>14274</v>
      </c>
      <c r="E4045" s="20" t="s">
        <v>14275</v>
      </c>
      <c r="F4045" s="19" t="s">
        <v>90</v>
      </c>
      <c r="G4045" s="19" t="s">
        <v>91</v>
      </c>
      <c r="H4045" s="37" t="s">
        <v>55</v>
      </c>
      <c r="I4045" s="37" t="s">
        <v>29</v>
      </c>
      <c r="J4045" s="155" t="str">
        <f t="shared" si="3"/>
        <v>TT</v>
      </c>
      <c r="K4045" s="22" t="s">
        <v>14276</v>
      </c>
      <c r="L4045" s="56">
        <v>45103</v>
      </c>
      <c r="M4045" s="40"/>
      <c r="O4045" s="42"/>
      <c r="P4045" s="40"/>
      <c r="Q4045" s="61"/>
      <c r="R4045" s="61"/>
      <c r="S4045" s="40"/>
      <c r="T4045" s="38"/>
      <c r="U4045" s="38"/>
      <c r="V4045" s="38"/>
      <c r="W4045" s="60"/>
      <c r="AB4045" s="42"/>
      <c r="AC4045" s="35"/>
      <c r="AD4045" s="38"/>
      <c r="AE4045" s="38"/>
      <c r="AF4045" s="38"/>
      <c r="AG4045" s="38"/>
      <c r="AH4045" s="60"/>
    </row>
    <row r="4046" spans="1:34" ht="15.75" customHeight="1">
      <c r="A4046" s="35"/>
      <c r="B4046" s="158" t="s">
        <v>14277</v>
      </c>
      <c r="C4046" s="37" t="s">
        <v>1470</v>
      </c>
      <c r="D4046" s="20" t="s">
        <v>14278</v>
      </c>
      <c r="E4046" s="20" t="s">
        <v>14279</v>
      </c>
      <c r="F4046" s="19" t="s">
        <v>3286</v>
      </c>
      <c r="G4046" s="19" t="s">
        <v>1461</v>
      </c>
      <c r="H4046" s="37" t="s">
        <v>55</v>
      </c>
      <c r="I4046" s="37" t="s">
        <v>233</v>
      </c>
      <c r="J4046" s="155" t="str">
        <f t="shared" si="3"/>
        <v>NTT</v>
      </c>
      <c r="K4046" s="22" t="s">
        <v>14280</v>
      </c>
      <c r="L4046" s="56">
        <v>45103</v>
      </c>
      <c r="M4046" s="40"/>
      <c r="O4046" s="42"/>
      <c r="P4046" s="40"/>
      <c r="Q4046" s="61"/>
      <c r="R4046" s="61"/>
      <c r="S4046" s="40"/>
      <c r="T4046" s="38"/>
      <c r="U4046" s="38"/>
      <c r="V4046" s="38"/>
      <c r="W4046" s="60"/>
      <c r="AB4046" s="42"/>
      <c r="AC4046" s="35"/>
      <c r="AD4046" s="38"/>
      <c r="AE4046" s="38"/>
      <c r="AF4046" s="38"/>
      <c r="AG4046" s="38"/>
      <c r="AH4046" s="60"/>
    </row>
    <row r="4047" spans="1:34" ht="15.75" customHeight="1">
      <c r="A4047" s="35"/>
      <c r="B4047" s="158" t="s">
        <v>14281</v>
      </c>
      <c r="C4047" s="37" t="s">
        <v>46</v>
      </c>
      <c r="D4047" s="20" t="s">
        <v>14282</v>
      </c>
      <c r="E4047" s="20" t="s">
        <v>14283</v>
      </c>
      <c r="F4047" s="37" t="s">
        <v>49</v>
      </c>
      <c r="G4047" s="19" t="s">
        <v>50</v>
      </c>
      <c r="H4047" s="37" t="s">
        <v>55</v>
      </c>
      <c r="I4047" s="37" t="s">
        <v>29</v>
      </c>
      <c r="J4047" s="155" t="str">
        <f t="shared" si="3"/>
        <v>TT</v>
      </c>
      <c r="K4047" s="22" t="s">
        <v>14284</v>
      </c>
      <c r="L4047" s="56">
        <v>45103</v>
      </c>
      <c r="M4047" s="40"/>
      <c r="O4047" s="42"/>
      <c r="P4047" s="40"/>
      <c r="Q4047" s="61"/>
      <c r="R4047" s="61"/>
      <c r="S4047" s="40"/>
      <c r="T4047" s="38"/>
      <c r="U4047" s="38"/>
      <c r="V4047" s="38"/>
      <c r="W4047" s="60"/>
      <c r="AB4047" s="42"/>
      <c r="AC4047" s="35"/>
      <c r="AD4047" s="38"/>
      <c r="AE4047" s="38"/>
      <c r="AF4047" s="38"/>
      <c r="AG4047" s="38"/>
      <c r="AH4047" s="60"/>
    </row>
    <row r="4048" spans="1:34" ht="15.75" customHeight="1">
      <c r="A4048" s="35"/>
      <c r="B4048" s="38" t="s">
        <v>14285</v>
      </c>
      <c r="C4048" s="37" t="s">
        <v>1430</v>
      </c>
      <c r="D4048" s="20" t="s">
        <v>14286</v>
      </c>
      <c r="E4048" s="20"/>
      <c r="F4048" s="55" t="s">
        <v>1445</v>
      </c>
      <c r="G4048" s="55" t="s">
        <v>1432</v>
      </c>
      <c r="H4048" s="37" t="s">
        <v>55</v>
      </c>
      <c r="I4048" s="37" t="s">
        <v>233</v>
      </c>
      <c r="J4048" s="155" t="str">
        <f t="shared" si="3"/>
        <v>NTT</v>
      </c>
      <c r="K4048" s="22"/>
      <c r="L4048" s="56">
        <v>45103</v>
      </c>
      <c r="O4048" s="42"/>
      <c r="P4048" s="40"/>
      <c r="Q4048" s="61"/>
      <c r="R4048" s="61"/>
      <c r="S4048" s="40"/>
      <c r="T4048" s="38"/>
      <c r="U4048" s="38"/>
      <c r="V4048" s="38"/>
      <c r="W4048" s="60"/>
      <c r="AB4048" s="42"/>
      <c r="AC4048" s="35"/>
      <c r="AD4048" s="38"/>
      <c r="AE4048" s="38"/>
      <c r="AF4048" s="38"/>
      <c r="AG4048" s="38"/>
      <c r="AH4048" s="60"/>
    </row>
    <row r="4049" spans="1:34" ht="15.75" customHeight="1">
      <c r="A4049" s="35"/>
      <c r="B4049" s="158" t="s">
        <v>14287</v>
      </c>
      <c r="C4049" s="143" t="s">
        <v>24</v>
      </c>
      <c r="D4049" s="20" t="s">
        <v>14288</v>
      </c>
      <c r="E4049" s="20" t="s">
        <v>14289</v>
      </c>
      <c r="F4049" s="19" t="s">
        <v>27</v>
      </c>
      <c r="G4049" s="19" t="s">
        <v>28</v>
      </c>
      <c r="H4049" s="37" t="s">
        <v>762</v>
      </c>
      <c r="I4049" s="37" t="s">
        <v>29</v>
      </c>
      <c r="J4049" s="155" t="str">
        <f t="shared" si="3"/>
        <v>TT</v>
      </c>
      <c r="K4049" s="22" t="s">
        <v>14290</v>
      </c>
      <c r="L4049" s="56">
        <v>45103</v>
      </c>
      <c r="O4049" s="42"/>
      <c r="P4049" s="40"/>
      <c r="Q4049" s="61"/>
      <c r="R4049" s="61"/>
      <c r="S4049" s="40"/>
      <c r="T4049" s="38"/>
      <c r="U4049" s="38"/>
      <c r="V4049" s="38"/>
      <c r="W4049" s="60"/>
      <c r="AB4049" s="42"/>
      <c r="AC4049" s="35"/>
      <c r="AD4049" s="38"/>
      <c r="AE4049" s="38"/>
      <c r="AF4049" s="38"/>
      <c r="AG4049" s="38"/>
      <c r="AH4049" s="60"/>
    </row>
    <row r="4050" spans="1:34" ht="15.75" customHeight="1">
      <c r="A4050" s="35"/>
      <c r="B4050" s="158" t="s">
        <v>14291</v>
      </c>
      <c r="C4050" s="143" t="s">
        <v>24</v>
      </c>
      <c r="D4050" s="20" t="s">
        <v>14292</v>
      </c>
      <c r="E4050" s="20" t="s">
        <v>14293</v>
      </c>
      <c r="F4050" s="19" t="s">
        <v>27</v>
      </c>
      <c r="G4050" s="19" t="s">
        <v>28</v>
      </c>
      <c r="H4050" s="37" t="s">
        <v>55</v>
      </c>
      <c r="I4050" s="37" t="s">
        <v>29</v>
      </c>
      <c r="J4050" s="155" t="str">
        <f t="shared" si="3"/>
        <v>TT</v>
      </c>
      <c r="K4050" s="22" t="s">
        <v>14293</v>
      </c>
      <c r="L4050" s="56">
        <v>45103</v>
      </c>
      <c r="M4050" s="40"/>
      <c r="O4050" s="42"/>
      <c r="P4050" s="40"/>
      <c r="Q4050" s="61"/>
      <c r="R4050" s="61"/>
      <c r="S4050" s="40"/>
      <c r="T4050" s="38"/>
      <c r="U4050" s="38"/>
      <c r="V4050" s="38"/>
      <c r="W4050" s="60"/>
      <c r="AB4050" s="42"/>
      <c r="AC4050" s="35"/>
      <c r="AD4050" s="38"/>
      <c r="AE4050" s="38"/>
      <c r="AF4050" s="38"/>
      <c r="AG4050" s="38"/>
      <c r="AH4050" s="60"/>
    </row>
    <row r="4051" spans="1:34" ht="15.75" customHeight="1">
      <c r="A4051" s="35"/>
      <c r="B4051" s="158" t="s">
        <v>14294</v>
      </c>
      <c r="C4051" s="37" t="s">
        <v>24</v>
      </c>
      <c r="D4051" s="20" t="s">
        <v>14295</v>
      </c>
      <c r="E4051" s="20" t="s">
        <v>14296</v>
      </c>
      <c r="F4051" s="19" t="s">
        <v>27</v>
      </c>
      <c r="G4051" s="19" t="s">
        <v>28</v>
      </c>
      <c r="H4051" s="37" t="s">
        <v>55</v>
      </c>
      <c r="I4051" s="37" t="s">
        <v>29</v>
      </c>
      <c r="J4051" s="155" t="str">
        <f t="shared" si="3"/>
        <v>TT</v>
      </c>
      <c r="K4051" s="22" t="s">
        <v>14297</v>
      </c>
      <c r="L4051" s="56">
        <v>45103</v>
      </c>
      <c r="M4051" s="40"/>
      <c r="O4051" s="42"/>
      <c r="P4051" s="40"/>
      <c r="Q4051" s="61"/>
      <c r="R4051" s="61"/>
      <c r="S4051" s="40"/>
      <c r="T4051" s="38"/>
      <c r="U4051" s="38"/>
      <c r="V4051" s="38"/>
      <c r="W4051" s="60"/>
      <c r="AB4051" s="42"/>
      <c r="AC4051" s="35"/>
      <c r="AD4051" s="38"/>
      <c r="AE4051" s="38"/>
      <c r="AF4051" s="38"/>
      <c r="AG4051" s="38"/>
      <c r="AH4051" s="60"/>
    </row>
    <row r="4052" spans="1:34" ht="15.75" customHeight="1">
      <c r="A4052" s="35"/>
      <c r="B4052" s="158" t="s">
        <v>14298</v>
      </c>
      <c r="C4052" s="37" t="s">
        <v>24</v>
      </c>
      <c r="D4052" s="20" t="s">
        <v>14299</v>
      </c>
      <c r="E4052" s="20" t="s">
        <v>14300</v>
      </c>
      <c r="F4052" s="19" t="s">
        <v>27</v>
      </c>
      <c r="G4052" s="19" t="s">
        <v>28</v>
      </c>
      <c r="H4052" s="37" t="s">
        <v>55</v>
      </c>
      <c r="I4052" s="37" t="s">
        <v>29</v>
      </c>
      <c r="J4052" s="155" t="str">
        <f t="shared" si="3"/>
        <v>TT</v>
      </c>
      <c r="K4052" s="22" t="s">
        <v>14300</v>
      </c>
      <c r="L4052" s="56">
        <v>45103</v>
      </c>
      <c r="O4052" s="42"/>
      <c r="P4052" s="40"/>
      <c r="Q4052" s="61"/>
      <c r="R4052" s="61"/>
      <c r="S4052" s="40"/>
      <c r="T4052" s="38"/>
      <c r="U4052" s="38"/>
      <c r="V4052" s="38"/>
      <c r="W4052" s="60"/>
      <c r="AB4052" s="42"/>
      <c r="AC4052" s="35"/>
      <c r="AD4052" s="38"/>
      <c r="AE4052" s="38"/>
      <c r="AF4052" s="38"/>
      <c r="AG4052" s="38"/>
      <c r="AH4052" s="60"/>
    </row>
    <row r="4053" spans="1:34" ht="15.75" customHeight="1">
      <c r="A4053" s="35"/>
      <c r="B4053" s="158" t="s">
        <v>14301</v>
      </c>
      <c r="C4053" s="37" t="s">
        <v>24</v>
      </c>
      <c r="D4053" s="20" t="s">
        <v>14302</v>
      </c>
      <c r="E4053" s="20" t="s">
        <v>14303</v>
      </c>
      <c r="F4053" s="19" t="s">
        <v>27</v>
      </c>
      <c r="G4053" s="19" t="s">
        <v>28</v>
      </c>
      <c r="H4053" s="37" t="s">
        <v>55</v>
      </c>
      <c r="I4053" s="37" t="s">
        <v>29</v>
      </c>
      <c r="J4053" s="155" t="str">
        <f t="shared" si="3"/>
        <v>TT</v>
      </c>
      <c r="K4053" s="22" t="s">
        <v>14304</v>
      </c>
      <c r="L4053" s="56">
        <v>45103</v>
      </c>
      <c r="M4053" s="40"/>
      <c r="O4053" s="42"/>
      <c r="P4053" s="40"/>
      <c r="Q4053" s="61"/>
      <c r="R4053" s="61"/>
      <c r="S4053" s="40"/>
      <c r="T4053" s="38"/>
      <c r="U4053" s="38"/>
      <c r="V4053" s="38"/>
      <c r="W4053" s="60"/>
      <c r="AB4053" s="42"/>
      <c r="AC4053" s="35"/>
      <c r="AD4053" s="38"/>
      <c r="AE4053" s="38"/>
      <c r="AF4053" s="38"/>
      <c r="AG4053" s="38"/>
      <c r="AH4053" s="60"/>
    </row>
    <row r="4054" spans="1:34" ht="15.75" customHeight="1">
      <c r="A4054" s="35"/>
      <c r="B4054" s="158" t="s">
        <v>14305</v>
      </c>
      <c r="C4054" s="37" t="s">
        <v>1470</v>
      </c>
      <c r="D4054" s="20" t="s">
        <v>14306</v>
      </c>
      <c r="E4054" s="20" t="s">
        <v>14307</v>
      </c>
      <c r="F4054" s="19" t="s">
        <v>3286</v>
      </c>
      <c r="G4054" s="37" t="s">
        <v>1461</v>
      </c>
      <c r="H4054" s="37" t="s">
        <v>55</v>
      </c>
      <c r="I4054" s="37" t="s">
        <v>233</v>
      </c>
      <c r="J4054" s="155" t="str">
        <f t="shared" si="3"/>
        <v>NTT</v>
      </c>
      <c r="K4054" s="22" t="s">
        <v>14307</v>
      </c>
      <c r="L4054" s="56">
        <v>45103</v>
      </c>
      <c r="M4054" s="40"/>
      <c r="O4054" s="42"/>
      <c r="P4054" s="40"/>
      <c r="Q4054" s="61"/>
      <c r="R4054" s="61"/>
      <c r="S4054" s="40"/>
      <c r="T4054" s="38"/>
      <c r="U4054" s="38"/>
      <c r="V4054" s="38"/>
      <c r="W4054" s="60"/>
      <c r="AB4054" s="42"/>
      <c r="AC4054" s="35"/>
      <c r="AD4054" s="38"/>
      <c r="AE4054" s="38"/>
      <c r="AF4054" s="38"/>
      <c r="AG4054" s="38"/>
      <c r="AH4054" s="60"/>
    </row>
    <row r="4055" spans="1:34" ht="15.75" customHeight="1">
      <c r="A4055" s="35"/>
      <c r="B4055" s="158" t="s">
        <v>14308</v>
      </c>
      <c r="C4055" s="143" t="s">
        <v>24</v>
      </c>
      <c r="D4055" s="20" t="s">
        <v>14309</v>
      </c>
      <c r="E4055" s="20" t="s">
        <v>14310</v>
      </c>
      <c r="F4055" s="19" t="s">
        <v>27</v>
      </c>
      <c r="G4055" s="19" t="s">
        <v>28</v>
      </c>
      <c r="H4055" s="37" t="s">
        <v>762</v>
      </c>
      <c r="I4055" s="37" t="s">
        <v>29</v>
      </c>
      <c r="J4055" s="155" t="str">
        <f t="shared" si="3"/>
        <v>TT</v>
      </c>
      <c r="K4055" s="22" t="s">
        <v>14311</v>
      </c>
      <c r="L4055" s="56">
        <v>45103</v>
      </c>
      <c r="M4055" s="40"/>
      <c r="O4055" s="42"/>
      <c r="P4055" s="40"/>
      <c r="Q4055" s="61"/>
      <c r="R4055" s="61"/>
      <c r="S4055" s="40"/>
      <c r="T4055" s="38"/>
      <c r="U4055" s="38"/>
      <c r="V4055" s="38"/>
      <c r="W4055" s="60"/>
      <c r="AB4055" s="42"/>
      <c r="AC4055" s="35"/>
      <c r="AD4055" s="38"/>
      <c r="AE4055" s="38"/>
      <c r="AF4055" s="38"/>
      <c r="AG4055" s="38"/>
      <c r="AH4055" s="60"/>
    </row>
    <row r="4056" spans="1:34" ht="15.75" customHeight="1">
      <c r="A4056" s="35"/>
      <c r="B4056" s="158" t="s">
        <v>14312</v>
      </c>
      <c r="C4056" s="37" t="s">
        <v>24</v>
      </c>
      <c r="D4056" s="20" t="s">
        <v>14313</v>
      </c>
      <c r="E4056" s="20" t="s">
        <v>14314</v>
      </c>
      <c r="F4056" s="19" t="s">
        <v>27</v>
      </c>
      <c r="G4056" s="19" t="s">
        <v>28</v>
      </c>
      <c r="H4056" s="37" t="s">
        <v>55</v>
      </c>
      <c r="I4056" s="37" t="s">
        <v>29</v>
      </c>
      <c r="J4056" s="155" t="str">
        <f t="shared" si="3"/>
        <v>TT</v>
      </c>
      <c r="K4056" s="22" t="s">
        <v>14315</v>
      </c>
      <c r="L4056" s="56">
        <v>45103</v>
      </c>
      <c r="M4056" s="40"/>
      <c r="O4056" s="42"/>
      <c r="P4056" s="40"/>
      <c r="Q4056" s="61"/>
      <c r="R4056" s="61"/>
      <c r="S4056" s="40"/>
      <c r="T4056" s="38"/>
      <c r="U4056" s="38"/>
      <c r="V4056" s="38"/>
      <c r="W4056" s="60"/>
      <c r="AB4056" s="42"/>
      <c r="AC4056" s="35"/>
      <c r="AD4056" s="38"/>
      <c r="AE4056" s="38"/>
      <c r="AF4056" s="38"/>
      <c r="AG4056" s="38"/>
      <c r="AH4056" s="60"/>
    </row>
    <row r="4057" spans="1:34" ht="15.75" customHeight="1">
      <c r="A4057" s="35"/>
      <c r="B4057" s="38" t="s">
        <v>14316</v>
      </c>
      <c r="C4057" s="37" t="s">
        <v>1430</v>
      </c>
      <c r="D4057" s="20" t="s">
        <v>14317</v>
      </c>
      <c r="E4057" s="20"/>
      <c r="F4057" s="55" t="s">
        <v>1445</v>
      </c>
      <c r="G4057" s="55" t="s">
        <v>1432</v>
      </c>
      <c r="H4057" s="37" t="s">
        <v>55</v>
      </c>
      <c r="I4057" s="37" t="s">
        <v>233</v>
      </c>
      <c r="J4057" s="155" t="str">
        <f t="shared" si="3"/>
        <v>NTT</v>
      </c>
      <c r="K4057" s="22"/>
      <c r="L4057" s="56">
        <v>45103</v>
      </c>
      <c r="M4057" s="40"/>
      <c r="O4057" s="42"/>
      <c r="P4057" s="40"/>
      <c r="Q4057" s="61"/>
      <c r="R4057" s="61"/>
      <c r="S4057" s="40"/>
      <c r="T4057" s="38"/>
      <c r="U4057" s="38"/>
      <c r="V4057" s="38"/>
      <c r="W4057" s="60"/>
      <c r="AB4057" s="42"/>
      <c r="AC4057" s="35"/>
      <c r="AD4057" s="38"/>
      <c r="AE4057" s="38"/>
      <c r="AF4057" s="38"/>
      <c r="AG4057" s="38"/>
      <c r="AH4057" s="60"/>
    </row>
    <row r="4058" spans="1:34" ht="15.75" customHeight="1">
      <c r="A4058" s="35"/>
      <c r="B4058" s="158" t="s">
        <v>14318</v>
      </c>
      <c r="C4058" s="37" t="s">
        <v>24</v>
      </c>
      <c r="D4058" s="20" t="s">
        <v>14319</v>
      </c>
      <c r="E4058" s="20" t="s">
        <v>14320</v>
      </c>
      <c r="F4058" s="19" t="s">
        <v>27</v>
      </c>
      <c r="G4058" s="19" t="s">
        <v>28</v>
      </c>
      <c r="H4058" s="37" t="s">
        <v>55</v>
      </c>
      <c r="I4058" s="37" t="s">
        <v>29</v>
      </c>
      <c r="J4058" s="155" t="str">
        <f t="shared" si="3"/>
        <v>TT</v>
      </c>
      <c r="K4058" s="22" t="s">
        <v>14321</v>
      </c>
      <c r="L4058" s="56">
        <v>45103</v>
      </c>
      <c r="M4058" s="40"/>
      <c r="O4058" s="42"/>
      <c r="P4058" s="40"/>
      <c r="Q4058" s="61"/>
      <c r="R4058" s="61"/>
      <c r="S4058" s="40"/>
      <c r="T4058" s="38"/>
      <c r="U4058" s="38"/>
      <c r="V4058" s="38"/>
      <c r="W4058" s="60"/>
      <c r="AB4058" s="42"/>
      <c r="AC4058" s="35"/>
      <c r="AD4058" s="38"/>
      <c r="AE4058" s="38"/>
      <c r="AF4058" s="38"/>
      <c r="AG4058" s="38"/>
      <c r="AH4058" s="60"/>
    </row>
    <row r="4059" spans="1:34" ht="15.75" customHeight="1">
      <c r="A4059" s="35"/>
      <c r="B4059" s="38" t="s">
        <v>14322</v>
      </c>
      <c r="C4059" s="37" t="s">
        <v>1430</v>
      </c>
      <c r="D4059" s="20" t="s">
        <v>14323</v>
      </c>
      <c r="E4059" s="20"/>
      <c r="F4059" s="55" t="s">
        <v>1445</v>
      </c>
      <c r="G4059" s="55" t="s">
        <v>1432</v>
      </c>
      <c r="H4059" s="37" t="s">
        <v>55</v>
      </c>
      <c r="I4059" s="37" t="s">
        <v>233</v>
      </c>
      <c r="J4059" s="155" t="str">
        <f t="shared" si="3"/>
        <v>NTT</v>
      </c>
      <c r="K4059" s="22"/>
      <c r="L4059" s="56">
        <v>45103</v>
      </c>
      <c r="O4059" s="42"/>
      <c r="P4059" s="40"/>
      <c r="Q4059" s="61"/>
      <c r="R4059" s="61"/>
      <c r="S4059" s="40"/>
      <c r="T4059" s="38"/>
      <c r="U4059" s="38"/>
      <c r="V4059" s="38"/>
      <c r="W4059" s="60"/>
      <c r="AB4059" s="42"/>
      <c r="AC4059" s="35"/>
      <c r="AD4059" s="38"/>
      <c r="AE4059" s="38"/>
      <c r="AF4059" s="38"/>
      <c r="AG4059" s="38"/>
      <c r="AH4059" s="60"/>
    </row>
    <row r="4060" spans="1:34" ht="15.75" customHeight="1">
      <c r="A4060" s="35"/>
      <c r="B4060" s="38" t="s">
        <v>14324</v>
      </c>
      <c r="C4060" s="37" t="s">
        <v>1430</v>
      </c>
      <c r="D4060" s="20" t="s">
        <v>14325</v>
      </c>
      <c r="E4060" s="20"/>
      <c r="F4060" s="55" t="s">
        <v>1445</v>
      </c>
      <c r="G4060" s="55" t="s">
        <v>1432</v>
      </c>
      <c r="H4060" s="37" t="s">
        <v>55</v>
      </c>
      <c r="I4060" s="37" t="s">
        <v>233</v>
      </c>
      <c r="J4060" s="155" t="str">
        <f t="shared" si="3"/>
        <v>NTT</v>
      </c>
      <c r="K4060" s="22"/>
      <c r="L4060" s="56">
        <v>45103</v>
      </c>
      <c r="O4060" s="42"/>
      <c r="P4060" s="40"/>
      <c r="Q4060" s="61"/>
      <c r="R4060" s="61"/>
      <c r="S4060" s="40"/>
      <c r="T4060" s="38"/>
      <c r="U4060" s="38"/>
      <c r="V4060" s="38"/>
      <c r="W4060" s="60"/>
      <c r="AB4060" s="42"/>
      <c r="AC4060" s="35"/>
      <c r="AD4060" s="38"/>
      <c r="AE4060" s="38"/>
      <c r="AF4060" s="38"/>
      <c r="AG4060" s="38"/>
      <c r="AH4060" s="60"/>
    </row>
    <row r="4061" spans="1:34" ht="15.75" customHeight="1">
      <c r="A4061" s="35"/>
      <c r="B4061" s="158" t="s">
        <v>14326</v>
      </c>
      <c r="C4061" s="37" t="s">
        <v>87</v>
      </c>
      <c r="D4061" s="20" t="s">
        <v>14327</v>
      </c>
      <c r="E4061" s="20" t="s">
        <v>14328</v>
      </c>
      <c r="F4061" s="19" t="s">
        <v>90</v>
      </c>
      <c r="G4061" s="19" t="s">
        <v>91</v>
      </c>
      <c r="H4061" s="37" t="s">
        <v>55</v>
      </c>
      <c r="I4061" s="37" t="s">
        <v>29</v>
      </c>
      <c r="J4061" s="155" t="str">
        <f t="shared" si="3"/>
        <v>TT</v>
      </c>
      <c r="K4061" s="22" t="s">
        <v>14329</v>
      </c>
      <c r="L4061" s="56">
        <v>45103</v>
      </c>
      <c r="M4061" s="40"/>
      <c r="O4061" s="42"/>
      <c r="P4061" s="40"/>
      <c r="Q4061" s="61"/>
      <c r="R4061" s="61"/>
      <c r="S4061" s="40"/>
      <c r="T4061" s="38"/>
      <c r="U4061" s="38"/>
      <c r="V4061" s="38"/>
      <c r="W4061" s="60"/>
      <c r="AB4061" s="42"/>
      <c r="AC4061" s="35"/>
      <c r="AD4061" s="38"/>
      <c r="AE4061" s="38"/>
      <c r="AF4061" s="38"/>
      <c r="AG4061" s="38"/>
      <c r="AH4061" s="60"/>
    </row>
    <row r="4062" spans="1:34" ht="15.75" customHeight="1">
      <c r="A4062" s="35"/>
      <c r="B4062" s="158" t="s">
        <v>14330</v>
      </c>
      <c r="C4062" s="37" t="s">
        <v>24</v>
      </c>
      <c r="D4062" s="20" t="s">
        <v>14331</v>
      </c>
      <c r="E4062" s="20" t="s">
        <v>14332</v>
      </c>
      <c r="F4062" s="19" t="s">
        <v>27</v>
      </c>
      <c r="G4062" s="19" t="s">
        <v>28</v>
      </c>
      <c r="H4062" s="37" t="s">
        <v>55</v>
      </c>
      <c r="I4062" s="37" t="s">
        <v>29</v>
      </c>
      <c r="J4062" s="155" t="str">
        <f t="shared" si="3"/>
        <v>TT</v>
      </c>
      <c r="K4062" s="22" t="s">
        <v>14333</v>
      </c>
      <c r="L4062" s="56">
        <v>45103</v>
      </c>
      <c r="M4062" s="40"/>
      <c r="O4062" s="42"/>
      <c r="P4062" s="40"/>
      <c r="Q4062" s="61"/>
      <c r="R4062" s="61"/>
      <c r="S4062" s="40"/>
      <c r="T4062" s="38"/>
      <c r="U4062" s="38"/>
      <c r="V4062" s="38"/>
      <c r="W4062" s="60"/>
      <c r="AB4062" s="42"/>
      <c r="AC4062" s="35"/>
      <c r="AD4062" s="38"/>
      <c r="AE4062" s="38"/>
      <c r="AF4062" s="38"/>
      <c r="AG4062" s="38"/>
      <c r="AH4062" s="60"/>
    </row>
    <row r="4063" spans="1:34" ht="15.75" customHeight="1">
      <c r="A4063" s="35"/>
      <c r="B4063" s="38" t="s">
        <v>14334</v>
      </c>
      <c r="C4063" s="37" t="s">
        <v>1470</v>
      </c>
      <c r="D4063" s="20" t="s">
        <v>14335</v>
      </c>
      <c r="E4063" s="20"/>
      <c r="F4063" s="19" t="s">
        <v>3286</v>
      </c>
      <c r="G4063" s="19" t="s">
        <v>1461</v>
      </c>
      <c r="H4063" s="37" t="s">
        <v>55</v>
      </c>
      <c r="I4063" s="37" t="s">
        <v>233</v>
      </c>
      <c r="J4063" s="155" t="str">
        <f t="shared" si="3"/>
        <v>NTT</v>
      </c>
      <c r="K4063" s="22"/>
      <c r="L4063" s="56">
        <v>45103</v>
      </c>
      <c r="M4063" s="40"/>
      <c r="O4063" s="42"/>
      <c r="P4063" s="40"/>
      <c r="Q4063" s="61"/>
      <c r="R4063" s="61"/>
      <c r="S4063" s="40"/>
      <c r="T4063" s="38"/>
      <c r="U4063" s="38"/>
      <c r="V4063" s="38"/>
      <c r="W4063" s="60"/>
      <c r="AB4063" s="42"/>
      <c r="AC4063" s="35"/>
      <c r="AD4063" s="38"/>
      <c r="AE4063" s="38"/>
      <c r="AF4063" s="38"/>
      <c r="AG4063" s="38"/>
      <c r="AH4063" s="60"/>
    </row>
    <row r="4064" spans="1:34" ht="15.75" customHeight="1">
      <c r="A4064" s="35"/>
      <c r="B4064" s="158" t="s">
        <v>14336</v>
      </c>
      <c r="C4064" s="37" t="s">
        <v>24</v>
      </c>
      <c r="D4064" s="20" t="s">
        <v>14337</v>
      </c>
      <c r="E4064" s="20" t="s">
        <v>14338</v>
      </c>
      <c r="F4064" s="19" t="s">
        <v>27</v>
      </c>
      <c r="G4064" s="19" t="s">
        <v>28</v>
      </c>
      <c r="H4064" s="37" t="s">
        <v>55</v>
      </c>
      <c r="I4064" s="37" t="s">
        <v>29</v>
      </c>
      <c r="J4064" s="155" t="str">
        <f t="shared" si="3"/>
        <v>TT</v>
      </c>
      <c r="K4064" s="22" t="s">
        <v>14339</v>
      </c>
      <c r="L4064" s="56">
        <v>45103</v>
      </c>
      <c r="M4064" s="40"/>
      <c r="O4064" s="42"/>
      <c r="P4064" s="40"/>
      <c r="Q4064" s="61"/>
      <c r="R4064" s="61"/>
      <c r="S4064" s="40"/>
      <c r="T4064" s="38"/>
      <c r="U4064" s="38"/>
      <c r="V4064" s="38"/>
      <c r="W4064" s="60"/>
      <c r="AB4064" s="42"/>
      <c r="AC4064" s="35"/>
      <c r="AD4064" s="38"/>
      <c r="AE4064" s="38"/>
      <c r="AF4064" s="38"/>
      <c r="AG4064" s="38"/>
      <c r="AH4064" s="60"/>
    </row>
    <row r="4065" spans="1:34" ht="15.75" customHeight="1">
      <c r="A4065" s="35"/>
      <c r="B4065" s="158" t="s">
        <v>14340</v>
      </c>
      <c r="C4065" s="37" t="s">
        <v>46</v>
      </c>
      <c r="D4065" s="20" t="s">
        <v>14341</v>
      </c>
      <c r="E4065" s="20" t="s">
        <v>14342</v>
      </c>
      <c r="F4065" s="37" t="s">
        <v>49</v>
      </c>
      <c r="G4065" s="19" t="s">
        <v>50</v>
      </c>
      <c r="H4065" s="37" t="s">
        <v>55</v>
      </c>
      <c r="I4065" s="37" t="s">
        <v>29</v>
      </c>
      <c r="J4065" s="155" t="str">
        <f t="shared" si="3"/>
        <v>TT</v>
      </c>
      <c r="K4065" s="22" t="s">
        <v>14343</v>
      </c>
      <c r="L4065" s="56">
        <v>45103</v>
      </c>
      <c r="O4065" s="42"/>
      <c r="P4065" s="40"/>
      <c r="Q4065" s="61"/>
      <c r="R4065" s="61"/>
      <c r="S4065" s="40"/>
      <c r="T4065" s="38"/>
      <c r="U4065" s="38"/>
      <c r="V4065" s="38"/>
      <c r="W4065" s="60"/>
      <c r="AB4065" s="42"/>
      <c r="AC4065" s="35"/>
      <c r="AD4065" s="38"/>
      <c r="AE4065" s="38"/>
      <c r="AF4065" s="38"/>
      <c r="AG4065" s="38"/>
      <c r="AH4065" s="60"/>
    </row>
    <row r="4066" spans="1:34" ht="15.75" customHeight="1">
      <c r="A4066" s="35"/>
      <c r="B4066" s="158" t="s">
        <v>14344</v>
      </c>
      <c r="C4066" s="37" t="s">
        <v>87</v>
      </c>
      <c r="D4066" s="20" t="s">
        <v>14345</v>
      </c>
      <c r="E4066" s="20" t="s">
        <v>14346</v>
      </c>
      <c r="F4066" s="19" t="s">
        <v>90</v>
      </c>
      <c r="G4066" s="19" t="s">
        <v>91</v>
      </c>
      <c r="H4066" s="37" t="s">
        <v>55</v>
      </c>
      <c r="I4066" s="37" t="s">
        <v>29</v>
      </c>
      <c r="J4066" s="155" t="str">
        <f t="shared" si="3"/>
        <v>TT</v>
      </c>
      <c r="K4066" s="22" t="s">
        <v>14347</v>
      </c>
      <c r="L4066" s="56">
        <v>45103</v>
      </c>
      <c r="M4066" s="40"/>
      <c r="O4066" s="42"/>
      <c r="P4066" s="40"/>
      <c r="Q4066" s="61"/>
      <c r="R4066" s="61"/>
      <c r="S4066" s="40"/>
      <c r="T4066" s="38"/>
      <c r="U4066" s="38"/>
      <c r="V4066" s="38"/>
      <c r="W4066" s="60"/>
      <c r="AB4066" s="42"/>
      <c r="AC4066" s="35"/>
      <c r="AD4066" s="38"/>
      <c r="AE4066" s="38"/>
      <c r="AF4066" s="38"/>
      <c r="AG4066" s="38"/>
      <c r="AH4066" s="60"/>
    </row>
    <row r="4067" spans="1:34" ht="15.75" customHeight="1">
      <c r="A4067" s="35"/>
      <c r="B4067" s="158" t="s">
        <v>14348</v>
      </c>
      <c r="C4067" s="37" t="s">
        <v>24</v>
      </c>
      <c r="D4067" s="20" t="s">
        <v>14349</v>
      </c>
      <c r="E4067" s="20" t="s">
        <v>14350</v>
      </c>
      <c r="F4067" s="19" t="s">
        <v>27</v>
      </c>
      <c r="G4067" s="19" t="s">
        <v>28</v>
      </c>
      <c r="H4067" s="37" t="s">
        <v>55</v>
      </c>
      <c r="I4067" s="37" t="s">
        <v>29</v>
      </c>
      <c r="J4067" s="155" t="str">
        <f t="shared" si="3"/>
        <v>TT</v>
      </c>
      <c r="K4067" s="22" t="s">
        <v>14351</v>
      </c>
      <c r="L4067" s="56">
        <v>45103</v>
      </c>
      <c r="M4067" s="40"/>
      <c r="O4067" s="42"/>
      <c r="P4067" s="40"/>
      <c r="Q4067" s="61"/>
      <c r="R4067" s="61"/>
      <c r="S4067" s="40"/>
      <c r="T4067" s="38"/>
      <c r="U4067" s="38"/>
      <c r="V4067" s="38"/>
      <c r="W4067" s="60"/>
      <c r="AB4067" s="42"/>
      <c r="AC4067" s="35"/>
      <c r="AD4067" s="38"/>
      <c r="AE4067" s="38"/>
      <c r="AF4067" s="38"/>
      <c r="AG4067" s="38"/>
      <c r="AH4067" s="60"/>
    </row>
    <row r="4068" spans="1:34" ht="15.75" customHeight="1">
      <c r="A4068" s="35"/>
      <c r="B4068" s="158" t="s">
        <v>14352</v>
      </c>
      <c r="C4068" s="37" t="s">
        <v>46</v>
      </c>
      <c r="D4068" s="20" t="s">
        <v>14353</v>
      </c>
      <c r="E4068" s="20"/>
      <c r="F4068" s="37" t="s">
        <v>49</v>
      </c>
      <c r="G4068" s="19" t="s">
        <v>50</v>
      </c>
      <c r="H4068" s="37" t="s">
        <v>55</v>
      </c>
      <c r="I4068" s="37" t="s">
        <v>29</v>
      </c>
      <c r="J4068" s="155" t="str">
        <f t="shared" si="3"/>
        <v>TT</v>
      </c>
      <c r="K4068" s="22"/>
      <c r="L4068" s="56">
        <v>45103</v>
      </c>
      <c r="M4068" s="40"/>
      <c r="O4068" s="42"/>
      <c r="P4068" s="40"/>
      <c r="Q4068" s="61"/>
      <c r="R4068" s="61"/>
      <c r="S4068" s="40"/>
      <c r="T4068" s="38"/>
      <c r="U4068" s="38"/>
      <c r="V4068" s="38"/>
      <c r="W4068" s="60"/>
      <c r="AB4068" s="42"/>
      <c r="AC4068" s="35"/>
      <c r="AD4068" s="38"/>
      <c r="AE4068" s="38"/>
      <c r="AF4068" s="38"/>
      <c r="AG4068" s="38"/>
      <c r="AH4068" s="60"/>
    </row>
    <row r="4069" spans="1:34" ht="15.75" customHeight="1">
      <c r="A4069" s="35"/>
      <c r="B4069" s="158" t="s">
        <v>14354</v>
      </c>
      <c r="C4069" s="37" t="s">
        <v>87</v>
      </c>
      <c r="D4069" s="20" t="s">
        <v>14355</v>
      </c>
      <c r="E4069" s="20" t="s">
        <v>14356</v>
      </c>
      <c r="F4069" s="19" t="s">
        <v>90</v>
      </c>
      <c r="G4069" s="19" t="s">
        <v>91</v>
      </c>
      <c r="H4069" s="37" t="s">
        <v>55</v>
      </c>
      <c r="I4069" s="37" t="s">
        <v>29</v>
      </c>
      <c r="J4069" s="155" t="str">
        <f t="shared" si="3"/>
        <v>TT</v>
      </c>
      <c r="K4069" s="22" t="s">
        <v>14357</v>
      </c>
      <c r="L4069" s="56">
        <v>45103</v>
      </c>
      <c r="M4069" s="40"/>
      <c r="O4069" s="42"/>
      <c r="P4069" s="40"/>
      <c r="Q4069" s="61"/>
      <c r="R4069" s="61"/>
      <c r="S4069" s="40"/>
      <c r="T4069" s="38"/>
      <c r="U4069" s="38"/>
      <c r="V4069" s="38"/>
      <c r="W4069" s="60"/>
      <c r="AB4069" s="42"/>
      <c r="AC4069" s="35"/>
      <c r="AD4069" s="38"/>
      <c r="AE4069" s="38"/>
      <c r="AF4069" s="38"/>
      <c r="AG4069" s="38"/>
      <c r="AH4069" s="60"/>
    </row>
    <row r="4070" spans="1:34" ht="15.75" customHeight="1">
      <c r="A4070" s="35"/>
      <c r="B4070" s="158" t="s">
        <v>14358</v>
      </c>
      <c r="C4070" s="37" t="s">
        <v>24</v>
      </c>
      <c r="D4070" s="20" t="s">
        <v>14359</v>
      </c>
      <c r="E4070" s="20" t="s">
        <v>14360</v>
      </c>
      <c r="F4070" s="19" t="s">
        <v>27</v>
      </c>
      <c r="G4070" s="19" t="s">
        <v>28</v>
      </c>
      <c r="H4070" s="37" t="s">
        <v>55</v>
      </c>
      <c r="I4070" s="37" t="s">
        <v>29</v>
      </c>
      <c r="J4070" s="155" t="str">
        <f t="shared" si="3"/>
        <v>TT</v>
      </c>
      <c r="K4070" s="22" t="s">
        <v>14361</v>
      </c>
      <c r="L4070" s="56">
        <v>45103</v>
      </c>
      <c r="M4070" s="40"/>
      <c r="O4070" s="42"/>
      <c r="P4070" s="40"/>
      <c r="Q4070" s="61"/>
      <c r="R4070" s="61"/>
      <c r="S4070" s="40"/>
      <c r="T4070" s="38"/>
      <c r="U4070" s="38"/>
      <c r="V4070" s="38"/>
      <c r="W4070" s="60"/>
      <c r="AB4070" s="42"/>
      <c r="AC4070" s="35"/>
      <c r="AD4070" s="38"/>
      <c r="AE4070" s="38"/>
      <c r="AF4070" s="38"/>
      <c r="AG4070" s="38"/>
      <c r="AH4070" s="60"/>
    </row>
    <row r="4071" spans="1:34" ht="15.75" customHeight="1">
      <c r="A4071" s="35"/>
      <c r="B4071" s="38"/>
      <c r="C4071" s="37"/>
      <c r="D4071" s="20"/>
      <c r="E4071" s="20"/>
      <c r="F4071" s="37"/>
      <c r="G4071" s="37"/>
      <c r="H4071" s="37"/>
      <c r="I4071" s="37"/>
      <c r="J4071" s="155">
        <f t="shared" si="3"/>
        <v>0</v>
      </c>
      <c r="K4071" s="22"/>
      <c r="L4071" s="39"/>
      <c r="M4071" s="40"/>
      <c r="O4071" s="42"/>
      <c r="P4071" s="40"/>
      <c r="Q4071" s="61"/>
      <c r="R4071" s="61"/>
      <c r="S4071" s="40"/>
      <c r="T4071" s="38"/>
      <c r="U4071" s="38"/>
      <c r="V4071" s="38"/>
      <c r="W4071" s="60"/>
      <c r="AB4071" s="42"/>
      <c r="AC4071" s="35"/>
      <c r="AD4071" s="38"/>
      <c r="AE4071" s="38"/>
      <c r="AF4071" s="38"/>
      <c r="AG4071" s="38"/>
      <c r="AH4071" s="60"/>
    </row>
    <row r="4072" spans="1:34" ht="15.75" customHeight="1">
      <c r="A4072" s="35" t="s">
        <v>14362</v>
      </c>
      <c r="B4072" s="158" t="s">
        <v>14363</v>
      </c>
      <c r="C4072" s="37" t="s">
        <v>46</v>
      </c>
      <c r="D4072" s="20" t="s">
        <v>14364</v>
      </c>
      <c r="E4072" s="20" t="s">
        <v>14365</v>
      </c>
      <c r="F4072" s="37" t="s">
        <v>49</v>
      </c>
      <c r="G4072" s="19" t="s">
        <v>50</v>
      </c>
      <c r="H4072" s="37"/>
      <c r="I4072" s="37" t="s">
        <v>29</v>
      </c>
      <c r="J4072" s="155" t="str">
        <f t="shared" si="3"/>
        <v>TT</v>
      </c>
      <c r="K4072" s="22" t="s">
        <v>14366</v>
      </c>
      <c r="L4072" s="56">
        <v>45103</v>
      </c>
      <c r="M4072" s="40"/>
      <c r="O4072" s="42"/>
      <c r="P4072" s="40"/>
      <c r="Q4072" s="61"/>
      <c r="R4072" s="61"/>
      <c r="S4072" s="40"/>
      <c r="T4072" s="38"/>
      <c r="U4072" s="38"/>
      <c r="V4072" s="38"/>
      <c r="W4072" s="60"/>
      <c r="AB4072" s="42"/>
      <c r="AC4072" s="35"/>
      <c r="AD4072" s="38"/>
      <c r="AE4072" s="38"/>
      <c r="AF4072" s="38"/>
      <c r="AG4072" s="38"/>
      <c r="AH4072" s="60"/>
    </row>
    <row r="4073" spans="1:34" ht="15.75" customHeight="1">
      <c r="A4073" s="54" t="s">
        <v>2714</v>
      </c>
      <c r="B4073" s="158" t="s">
        <v>14367</v>
      </c>
      <c r="C4073" s="37" t="s">
        <v>87</v>
      </c>
      <c r="D4073" s="20" t="s">
        <v>14368</v>
      </c>
      <c r="E4073" s="20" t="s">
        <v>14369</v>
      </c>
      <c r="F4073" s="19" t="s">
        <v>90</v>
      </c>
      <c r="G4073" s="19" t="s">
        <v>91</v>
      </c>
      <c r="H4073" s="37"/>
      <c r="I4073" s="37" t="s">
        <v>29</v>
      </c>
      <c r="J4073" s="155" t="str">
        <f t="shared" si="3"/>
        <v>TT</v>
      </c>
      <c r="K4073" s="22" t="s">
        <v>14370</v>
      </c>
      <c r="L4073" s="56">
        <v>45103</v>
      </c>
      <c r="M4073" s="40"/>
      <c r="O4073" s="42"/>
      <c r="P4073" s="40"/>
      <c r="Q4073" s="61"/>
      <c r="R4073" s="61"/>
      <c r="S4073" s="40"/>
      <c r="T4073" s="38"/>
      <c r="U4073" s="38"/>
      <c r="V4073" s="38"/>
      <c r="W4073" s="60"/>
      <c r="AB4073" s="42"/>
      <c r="AC4073" s="35"/>
      <c r="AD4073" s="38"/>
      <c r="AE4073" s="38"/>
      <c r="AF4073" s="38"/>
      <c r="AG4073" s="38"/>
      <c r="AH4073" s="60"/>
    </row>
    <row r="4074" spans="1:34" ht="15.75" customHeight="1">
      <c r="A4074" s="114" t="s">
        <v>39</v>
      </c>
      <c r="B4074" s="158" t="s">
        <v>14371</v>
      </c>
      <c r="C4074" s="37" t="s">
        <v>46</v>
      </c>
      <c r="D4074" s="20" t="s">
        <v>14372</v>
      </c>
      <c r="E4074" s="20" t="s">
        <v>14373</v>
      </c>
      <c r="F4074" s="37" t="s">
        <v>49</v>
      </c>
      <c r="G4074" s="19" t="s">
        <v>50</v>
      </c>
      <c r="H4074" s="37"/>
      <c r="I4074" s="37" t="s">
        <v>29</v>
      </c>
      <c r="J4074" s="155" t="str">
        <f t="shared" si="3"/>
        <v>TT</v>
      </c>
      <c r="K4074" s="22" t="s">
        <v>14374</v>
      </c>
      <c r="L4074" s="56">
        <v>45103</v>
      </c>
      <c r="O4074" s="42"/>
      <c r="P4074" s="40"/>
      <c r="Q4074" s="61"/>
      <c r="R4074" s="61"/>
      <c r="S4074" s="40"/>
      <c r="T4074" s="38"/>
      <c r="U4074" s="38"/>
      <c r="V4074" s="38"/>
      <c r="W4074" s="60"/>
      <c r="AB4074" s="42"/>
      <c r="AC4074" s="35"/>
      <c r="AD4074" s="38"/>
      <c r="AE4074" s="38"/>
      <c r="AF4074" s="38"/>
      <c r="AG4074" s="38"/>
      <c r="AH4074" s="60"/>
    </row>
    <row r="4075" spans="1:34" ht="15.75" customHeight="1">
      <c r="A4075" s="38" t="s">
        <v>13637</v>
      </c>
      <c r="B4075" s="158" t="s">
        <v>14375</v>
      </c>
      <c r="C4075" s="37" t="s">
        <v>46</v>
      </c>
      <c r="D4075" s="20" t="s">
        <v>14376</v>
      </c>
      <c r="E4075" s="20" t="s">
        <v>14377</v>
      </c>
      <c r="F4075" s="37" t="s">
        <v>49</v>
      </c>
      <c r="G4075" s="19" t="s">
        <v>50</v>
      </c>
      <c r="H4075" s="37"/>
      <c r="I4075" s="37" t="s">
        <v>29</v>
      </c>
      <c r="J4075" s="155" t="str">
        <f t="shared" si="3"/>
        <v>TT</v>
      </c>
      <c r="K4075" s="22" t="s">
        <v>14378</v>
      </c>
      <c r="L4075" s="56">
        <v>45103</v>
      </c>
      <c r="M4075" s="40"/>
      <c r="O4075" s="42"/>
      <c r="P4075" s="40"/>
      <c r="Q4075" s="61"/>
      <c r="R4075" s="61"/>
      <c r="S4075" s="40"/>
      <c r="T4075" s="38"/>
      <c r="U4075" s="38"/>
      <c r="V4075" s="38"/>
      <c r="W4075" s="60"/>
      <c r="AB4075" s="42"/>
      <c r="AC4075" s="35"/>
      <c r="AD4075" s="38"/>
      <c r="AE4075" s="38"/>
      <c r="AF4075" s="38"/>
      <c r="AG4075" s="38"/>
      <c r="AH4075" s="60"/>
    </row>
    <row r="4076" spans="1:34" ht="15.75" customHeight="1">
      <c r="A4076" s="75" t="s">
        <v>7295</v>
      </c>
      <c r="B4076" s="158" t="s">
        <v>14379</v>
      </c>
      <c r="C4076" s="143" t="s">
        <v>24</v>
      </c>
      <c r="D4076" s="20" t="s">
        <v>14380</v>
      </c>
      <c r="E4076" s="20" t="s">
        <v>14381</v>
      </c>
      <c r="F4076" s="19" t="s">
        <v>27</v>
      </c>
      <c r="G4076" s="19" t="s">
        <v>28</v>
      </c>
      <c r="H4076" s="19" t="s">
        <v>36</v>
      </c>
      <c r="I4076" s="37" t="s">
        <v>29</v>
      </c>
      <c r="J4076" s="155" t="str">
        <f t="shared" si="3"/>
        <v>TT</v>
      </c>
      <c r="K4076" s="22" t="s">
        <v>14382</v>
      </c>
      <c r="L4076" s="56">
        <v>45103</v>
      </c>
      <c r="O4076" s="42"/>
      <c r="P4076" s="40"/>
      <c r="Q4076" s="61"/>
      <c r="R4076" s="61"/>
      <c r="S4076" s="40"/>
      <c r="T4076" s="38"/>
      <c r="U4076" s="38"/>
      <c r="V4076" s="38"/>
      <c r="W4076" s="60"/>
      <c r="AB4076" s="42"/>
      <c r="AC4076" s="35"/>
      <c r="AD4076" s="38"/>
      <c r="AE4076" s="38"/>
      <c r="AF4076" s="38"/>
      <c r="AG4076" s="38"/>
      <c r="AH4076" s="60"/>
    </row>
    <row r="4077" spans="1:34" ht="15.75" customHeight="1">
      <c r="A4077" s="50" t="s">
        <v>56</v>
      </c>
      <c r="B4077" s="158" t="s">
        <v>14383</v>
      </c>
      <c r="C4077" s="37" t="s">
        <v>46</v>
      </c>
      <c r="D4077" s="20" t="s">
        <v>14384</v>
      </c>
      <c r="E4077" s="20" t="s">
        <v>14385</v>
      </c>
      <c r="F4077" s="37" t="s">
        <v>49</v>
      </c>
      <c r="G4077" s="19" t="s">
        <v>50</v>
      </c>
      <c r="H4077" s="37"/>
      <c r="I4077" s="37" t="s">
        <v>29</v>
      </c>
      <c r="J4077" s="155" t="str">
        <f t="shared" si="3"/>
        <v>TT</v>
      </c>
      <c r="K4077" s="22" t="s">
        <v>14386</v>
      </c>
      <c r="L4077" s="56">
        <v>45103</v>
      </c>
      <c r="O4077" s="42"/>
      <c r="P4077" s="40"/>
      <c r="Q4077" s="61"/>
      <c r="R4077" s="61"/>
      <c r="S4077" s="40"/>
      <c r="T4077" s="38"/>
      <c r="U4077" s="38"/>
      <c r="V4077" s="38"/>
      <c r="W4077" s="60"/>
      <c r="AB4077" s="42"/>
      <c r="AC4077" s="35"/>
      <c r="AD4077" s="38"/>
      <c r="AE4077" s="38"/>
      <c r="AF4077" s="38"/>
      <c r="AG4077" s="38"/>
      <c r="AH4077" s="60"/>
    </row>
    <row r="4078" spans="1:34" ht="15.75" customHeight="1">
      <c r="A4078" s="17">
        <v>65</v>
      </c>
      <c r="B4078" s="158" t="s">
        <v>14387</v>
      </c>
      <c r="C4078" s="37" t="s">
        <v>46</v>
      </c>
      <c r="D4078" s="20" t="s">
        <v>14388</v>
      </c>
      <c r="E4078" s="20" t="s">
        <v>12158</v>
      </c>
      <c r="F4078" s="37" t="s">
        <v>49</v>
      </c>
      <c r="G4078" s="19" t="s">
        <v>50</v>
      </c>
      <c r="H4078" s="37"/>
      <c r="I4078" s="37" t="s">
        <v>29</v>
      </c>
      <c r="J4078" s="155" t="str">
        <f t="shared" si="3"/>
        <v>TT</v>
      </c>
      <c r="K4078" s="22" t="s">
        <v>12158</v>
      </c>
      <c r="L4078" s="56">
        <v>45103</v>
      </c>
      <c r="M4078" s="40"/>
      <c r="O4078" s="42"/>
      <c r="P4078" s="40"/>
      <c r="Q4078" s="61"/>
      <c r="R4078" s="61"/>
      <c r="S4078" s="40"/>
      <c r="T4078" s="38"/>
      <c r="U4078" s="38"/>
      <c r="V4078" s="38"/>
      <c r="W4078" s="60"/>
      <c r="AB4078" s="42"/>
      <c r="AC4078" s="35"/>
      <c r="AD4078" s="38"/>
      <c r="AE4078" s="38"/>
      <c r="AF4078" s="38"/>
      <c r="AG4078" s="38"/>
      <c r="AH4078" s="60"/>
    </row>
    <row r="4079" spans="1:34" ht="15.75" customHeight="1">
      <c r="A4079" s="111" t="s">
        <v>64</v>
      </c>
      <c r="B4079" s="158" t="s">
        <v>14389</v>
      </c>
      <c r="C4079" s="37" t="s">
        <v>24</v>
      </c>
      <c r="D4079" s="20" t="s">
        <v>14390</v>
      </c>
      <c r="E4079" s="20" t="s">
        <v>14391</v>
      </c>
      <c r="F4079" s="19" t="s">
        <v>27</v>
      </c>
      <c r="G4079" s="19" t="s">
        <v>28</v>
      </c>
      <c r="H4079" s="37"/>
      <c r="I4079" s="37" t="s">
        <v>29</v>
      </c>
      <c r="J4079" s="155" t="str">
        <f t="shared" si="3"/>
        <v>TT</v>
      </c>
      <c r="K4079" s="22" t="s">
        <v>14392</v>
      </c>
      <c r="L4079" s="56">
        <v>45103</v>
      </c>
      <c r="M4079" s="40"/>
      <c r="O4079" s="42"/>
      <c r="P4079" s="40"/>
      <c r="Q4079" s="61"/>
      <c r="R4079" s="61"/>
      <c r="S4079" s="40"/>
      <c r="T4079" s="38"/>
      <c r="U4079" s="38"/>
      <c r="V4079" s="38"/>
      <c r="W4079" s="60"/>
      <c r="AB4079" s="42"/>
      <c r="AC4079" s="35"/>
      <c r="AD4079" s="38"/>
      <c r="AE4079" s="38"/>
      <c r="AF4079" s="38"/>
      <c r="AG4079" s="38"/>
      <c r="AH4079" s="60"/>
    </row>
    <row r="4080" spans="1:34" ht="15.75" customHeight="1">
      <c r="A4080" s="75">
        <v>2.6</v>
      </c>
      <c r="B4080" s="158" t="s">
        <v>14393</v>
      </c>
      <c r="C4080" s="37" t="s">
        <v>24</v>
      </c>
      <c r="D4080" s="20" t="s">
        <v>14394</v>
      </c>
      <c r="E4080" s="20" t="s">
        <v>14395</v>
      </c>
      <c r="F4080" s="19" t="s">
        <v>27</v>
      </c>
      <c r="G4080" s="19" t="s">
        <v>28</v>
      </c>
      <c r="H4080" s="19" t="s">
        <v>36</v>
      </c>
      <c r="I4080" s="37" t="s">
        <v>29</v>
      </c>
      <c r="J4080" s="155" t="str">
        <f t="shared" si="3"/>
        <v>TT</v>
      </c>
      <c r="K4080" s="22" t="s">
        <v>14396</v>
      </c>
      <c r="L4080" s="56">
        <v>45103</v>
      </c>
      <c r="O4080" s="42"/>
      <c r="P4080" s="40"/>
      <c r="Q4080" s="61"/>
      <c r="R4080" s="61"/>
      <c r="S4080" s="40"/>
      <c r="T4080" s="38"/>
      <c r="U4080" s="38"/>
      <c r="V4080" s="38"/>
      <c r="W4080" s="60"/>
      <c r="AB4080" s="42"/>
      <c r="AC4080" s="35"/>
      <c r="AD4080" s="38"/>
      <c r="AE4080" s="38"/>
      <c r="AF4080" s="38"/>
      <c r="AG4080" s="38"/>
      <c r="AH4080" s="60"/>
    </row>
    <row r="4081" spans="1:34" ht="15.75" customHeight="1">
      <c r="A4081" s="111" t="s">
        <v>73</v>
      </c>
      <c r="B4081" s="158" t="s">
        <v>14397</v>
      </c>
      <c r="C4081" s="37" t="s">
        <v>46</v>
      </c>
      <c r="D4081" s="20" t="s">
        <v>14398</v>
      </c>
      <c r="E4081" s="20" t="s">
        <v>14399</v>
      </c>
      <c r="F4081" s="37" t="s">
        <v>49</v>
      </c>
      <c r="G4081" s="19" t="s">
        <v>50</v>
      </c>
      <c r="H4081" s="37"/>
      <c r="I4081" s="37" t="s">
        <v>29</v>
      </c>
      <c r="J4081" s="155" t="str">
        <f t="shared" si="3"/>
        <v>TT</v>
      </c>
      <c r="K4081" s="22" t="s">
        <v>14400</v>
      </c>
      <c r="L4081" s="56">
        <v>45103</v>
      </c>
      <c r="M4081" s="40"/>
      <c r="O4081" s="42"/>
      <c r="P4081" s="40"/>
      <c r="Q4081" s="61"/>
      <c r="R4081" s="61"/>
      <c r="S4081" s="40"/>
      <c r="T4081" s="38"/>
      <c r="U4081" s="38"/>
      <c r="V4081" s="38"/>
      <c r="W4081" s="60"/>
      <c r="AB4081" s="42"/>
      <c r="AC4081" s="35"/>
      <c r="AD4081" s="38"/>
      <c r="AE4081" s="38"/>
      <c r="AF4081" s="38"/>
      <c r="AG4081" s="38"/>
      <c r="AH4081" s="60"/>
    </row>
    <row r="4082" spans="1:34" ht="15.75" customHeight="1">
      <c r="A4082" s="75">
        <v>3.3</v>
      </c>
      <c r="B4082" s="158" t="s">
        <v>14401</v>
      </c>
      <c r="C4082" s="37" t="s">
        <v>46</v>
      </c>
      <c r="D4082" s="20" t="s">
        <v>14402</v>
      </c>
      <c r="E4082" s="20" t="s">
        <v>14403</v>
      </c>
      <c r="F4082" s="37" t="s">
        <v>49</v>
      </c>
      <c r="G4082" s="19" t="s">
        <v>50</v>
      </c>
      <c r="H4082" s="37"/>
      <c r="I4082" s="37" t="s">
        <v>29</v>
      </c>
      <c r="J4082" s="155" t="str">
        <f t="shared" si="3"/>
        <v>TT</v>
      </c>
      <c r="K4082" s="22" t="s">
        <v>14404</v>
      </c>
      <c r="L4082" s="56">
        <v>45103</v>
      </c>
      <c r="M4082" s="40"/>
      <c r="O4082" s="42"/>
      <c r="P4082" s="40"/>
      <c r="Q4082" s="61"/>
      <c r="R4082" s="61"/>
      <c r="S4082" s="40"/>
      <c r="T4082" s="38"/>
      <c r="U4082" s="38"/>
      <c r="V4082" s="38"/>
      <c r="W4082" s="60"/>
      <c r="AB4082" s="42"/>
      <c r="AC4082" s="35"/>
      <c r="AD4082" s="38"/>
      <c r="AE4082" s="38"/>
      <c r="AF4082" s="38"/>
      <c r="AG4082" s="38"/>
      <c r="AH4082" s="60"/>
    </row>
    <row r="4083" spans="1:34" ht="15.75" customHeight="1">
      <c r="A4083" s="111" t="s">
        <v>82</v>
      </c>
      <c r="B4083" s="158" t="s">
        <v>14405</v>
      </c>
      <c r="C4083" s="37" t="s">
        <v>46</v>
      </c>
      <c r="D4083" s="20" t="s">
        <v>14406</v>
      </c>
      <c r="E4083" s="20" t="s">
        <v>14407</v>
      </c>
      <c r="F4083" s="37" t="s">
        <v>49</v>
      </c>
      <c r="G4083" s="19" t="s">
        <v>50</v>
      </c>
      <c r="H4083" s="37"/>
      <c r="I4083" s="37" t="s">
        <v>29</v>
      </c>
      <c r="J4083" s="155" t="str">
        <f t="shared" si="3"/>
        <v>TT</v>
      </c>
      <c r="K4083" s="22" t="s">
        <v>14408</v>
      </c>
      <c r="L4083" s="56">
        <v>45103</v>
      </c>
      <c r="M4083" s="40"/>
      <c r="O4083" s="42"/>
      <c r="P4083" s="40"/>
      <c r="Q4083" s="61"/>
      <c r="R4083" s="61"/>
      <c r="S4083" s="40"/>
      <c r="T4083" s="38"/>
      <c r="U4083" s="38"/>
      <c r="V4083" s="38"/>
      <c r="W4083" s="60"/>
      <c r="AB4083" s="42"/>
      <c r="AC4083" s="35"/>
      <c r="AD4083" s="38"/>
      <c r="AE4083" s="38"/>
      <c r="AF4083" s="38"/>
      <c r="AG4083" s="38"/>
      <c r="AH4083" s="60"/>
    </row>
    <row r="4084" spans="1:34" ht="15.75" customHeight="1">
      <c r="A4084" s="112" t="s">
        <v>14409</v>
      </c>
      <c r="B4084" s="158" t="s">
        <v>14410</v>
      </c>
      <c r="C4084" s="37" t="s">
        <v>87</v>
      </c>
      <c r="D4084" s="20" t="s">
        <v>14411</v>
      </c>
      <c r="E4084" s="20" t="s">
        <v>14412</v>
      </c>
      <c r="F4084" s="19" t="s">
        <v>90</v>
      </c>
      <c r="G4084" s="19" t="s">
        <v>91</v>
      </c>
      <c r="H4084" s="37"/>
      <c r="I4084" s="37" t="s">
        <v>29</v>
      </c>
      <c r="J4084" s="155" t="str">
        <f t="shared" si="3"/>
        <v>TT</v>
      </c>
      <c r="K4084" s="22" t="s">
        <v>14413</v>
      </c>
      <c r="L4084" s="56">
        <v>45103</v>
      </c>
      <c r="M4084" s="40"/>
      <c r="O4084" s="42"/>
      <c r="P4084" s="40"/>
      <c r="Q4084" s="61"/>
      <c r="R4084" s="61"/>
      <c r="S4084" s="40"/>
      <c r="T4084" s="38"/>
      <c r="U4084" s="38"/>
      <c r="V4084" s="38"/>
      <c r="W4084" s="60"/>
      <c r="AB4084" s="42"/>
      <c r="AC4084" s="35"/>
      <c r="AD4084" s="38"/>
      <c r="AE4084" s="38"/>
      <c r="AF4084" s="38"/>
      <c r="AG4084" s="38"/>
      <c r="AH4084" s="60"/>
    </row>
    <row r="4085" spans="1:34" ht="15.75" customHeight="1">
      <c r="A4085" s="111" t="s">
        <v>92</v>
      </c>
      <c r="B4085" s="158" t="s">
        <v>14414</v>
      </c>
      <c r="C4085" s="37" t="s">
        <v>24</v>
      </c>
      <c r="D4085" s="20" t="s">
        <v>14415</v>
      </c>
      <c r="E4085" s="20" t="s">
        <v>14416</v>
      </c>
      <c r="F4085" s="19" t="s">
        <v>27</v>
      </c>
      <c r="G4085" s="19" t="s">
        <v>28</v>
      </c>
      <c r="H4085" s="37"/>
      <c r="I4085" s="37" t="s">
        <v>29</v>
      </c>
      <c r="J4085" s="155" t="str">
        <f t="shared" si="3"/>
        <v>TT</v>
      </c>
      <c r="K4085" s="22" t="s">
        <v>14417</v>
      </c>
      <c r="L4085" s="56">
        <v>45103</v>
      </c>
      <c r="M4085" s="40"/>
      <c r="O4085" s="42"/>
      <c r="P4085" s="40"/>
      <c r="Q4085" s="61"/>
      <c r="R4085" s="61"/>
      <c r="S4085" s="40"/>
      <c r="T4085" s="38"/>
      <c r="U4085" s="38"/>
      <c r="V4085" s="38"/>
      <c r="W4085" s="60"/>
      <c r="AB4085" s="42"/>
      <c r="AC4085" s="35"/>
      <c r="AD4085" s="38"/>
      <c r="AE4085" s="38"/>
      <c r="AF4085" s="38"/>
      <c r="AG4085" s="38"/>
      <c r="AH4085" s="60"/>
    </row>
    <row r="4086" spans="1:34" ht="15.75" customHeight="1">
      <c r="A4086" s="17">
        <v>586</v>
      </c>
      <c r="B4086" s="158" t="s">
        <v>14418</v>
      </c>
      <c r="C4086" s="37" t="s">
        <v>24</v>
      </c>
      <c r="D4086" s="20" t="s">
        <v>14419</v>
      </c>
      <c r="E4086" s="20" t="s">
        <v>14420</v>
      </c>
      <c r="F4086" s="19" t="s">
        <v>27</v>
      </c>
      <c r="G4086" s="19" t="s">
        <v>28</v>
      </c>
      <c r="H4086" s="37"/>
      <c r="I4086" s="37" t="s">
        <v>29</v>
      </c>
      <c r="J4086" s="155" t="str">
        <f t="shared" si="3"/>
        <v>TT</v>
      </c>
      <c r="K4086" s="22" t="s">
        <v>14421</v>
      </c>
      <c r="L4086" s="56">
        <v>45103</v>
      </c>
      <c r="M4086" s="40"/>
      <c r="O4086" s="42"/>
      <c r="P4086" s="40"/>
      <c r="Q4086" s="61"/>
      <c r="R4086" s="61"/>
      <c r="S4086" s="40"/>
      <c r="T4086" s="38"/>
      <c r="U4086" s="38"/>
      <c r="V4086" s="38"/>
      <c r="W4086" s="60"/>
      <c r="AB4086" s="42"/>
      <c r="AC4086" s="35"/>
      <c r="AD4086" s="38"/>
      <c r="AE4086" s="38"/>
      <c r="AF4086" s="38"/>
      <c r="AG4086" s="38"/>
      <c r="AH4086" s="60"/>
    </row>
    <row r="4087" spans="1:34" ht="15.75" customHeight="1">
      <c r="A4087" s="111" t="s">
        <v>100</v>
      </c>
      <c r="B4087" s="158" t="s">
        <v>14422</v>
      </c>
      <c r="C4087" s="37" t="s">
        <v>46</v>
      </c>
      <c r="D4087" s="20" t="s">
        <v>14423</v>
      </c>
      <c r="E4087" s="20" t="s">
        <v>14424</v>
      </c>
      <c r="F4087" s="37" t="s">
        <v>49</v>
      </c>
      <c r="G4087" s="19" t="s">
        <v>50</v>
      </c>
      <c r="H4087" s="37"/>
      <c r="I4087" s="37" t="s">
        <v>29</v>
      </c>
      <c r="J4087" s="155" t="str">
        <f t="shared" si="3"/>
        <v>TT</v>
      </c>
      <c r="K4087" s="22" t="s">
        <v>14425</v>
      </c>
      <c r="L4087" s="56">
        <v>45103</v>
      </c>
      <c r="M4087" s="40"/>
      <c r="O4087" s="42"/>
      <c r="P4087" s="40"/>
      <c r="Q4087" s="61"/>
      <c r="R4087" s="61"/>
      <c r="S4087" s="40"/>
      <c r="T4087" s="38"/>
      <c r="U4087" s="38"/>
      <c r="V4087" s="38"/>
      <c r="W4087" s="60"/>
      <c r="AB4087" s="42"/>
      <c r="AC4087" s="35"/>
      <c r="AD4087" s="38"/>
      <c r="AE4087" s="38"/>
      <c r="AF4087" s="38"/>
      <c r="AG4087" s="38"/>
      <c r="AH4087" s="60"/>
    </row>
    <row r="4088" spans="1:34" ht="15.75" customHeight="1">
      <c r="A4088" s="17">
        <v>166</v>
      </c>
      <c r="B4088" s="158" t="s">
        <v>14426</v>
      </c>
      <c r="C4088" s="37" t="s">
        <v>87</v>
      </c>
      <c r="D4088" s="20" t="s">
        <v>14427</v>
      </c>
      <c r="E4088" s="20" t="s">
        <v>14428</v>
      </c>
      <c r="F4088" s="19" t="s">
        <v>90</v>
      </c>
      <c r="G4088" s="19" t="s">
        <v>91</v>
      </c>
      <c r="H4088" s="37"/>
      <c r="I4088" s="37" t="s">
        <v>29</v>
      </c>
      <c r="J4088" s="155" t="str">
        <f t="shared" si="3"/>
        <v>TT</v>
      </c>
      <c r="K4088" s="22" t="s">
        <v>14429</v>
      </c>
      <c r="L4088" s="56">
        <v>45103</v>
      </c>
      <c r="O4088" s="42"/>
      <c r="P4088" s="40"/>
      <c r="Q4088" s="61"/>
      <c r="R4088" s="61"/>
      <c r="S4088" s="40"/>
      <c r="T4088" s="38"/>
      <c r="U4088" s="38"/>
      <c r="V4088" s="38"/>
      <c r="W4088" s="60"/>
      <c r="AB4088" s="42"/>
      <c r="AC4088" s="35"/>
      <c r="AD4088" s="38"/>
      <c r="AE4088" s="38"/>
      <c r="AF4088" s="38"/>
      <c r="AG4088" s="38"/>
      <c r="AH4088" s="60"/>
    </row>
    <row r="4089" spans="1:34" ht="15.75" customHeight="1">
      <c r="A4089" s="35"/>
      <c r="B4089" s="158" t="s">
        <v>14430</v>
      </c>
      <c r="C4089" s="37" t="s">
        <v>87</v>
      </c>
      <c r="D4089" s="20" t="s">
        <v>14431</v>
      </c>
      <c r="E4089" s="20" t="s">
        <v>14432</v>
      </c>
      <c r="F4089" s="19" t="s">
        <v>90</v>
      </c>
      <c r="G4089" s="19" t="s">
        <v>91</v>
      </c>
      <c r="H4089" s="37"/>
      <c r="I4089" s="37" t="s">
        <v>29</v>
      </c>
      <c r="J4089" s="155" t="str">
        <f t="shared" si="3"/>
        <v>TT</v>
      </c>
      <c r="K4089" s="22" t="s">
        <v>14433</v>
      </c>
      <c r="L4089" s="56">
        <v>45103</v>
      </c>
      <c r="O4089" s="42"/>
      <c r="P4089" s="40"/>
      <c r="Q4089" s="61"/>
      <c r="R4089" s="61"/>
      <c r="S4089" s="40"/>
      <c r="T4089" s="38"/>
      <c r="U4089" s="38"/>
      <c r="V4089" s="38"/>
      <c r="W4089" s="60"/>
      <c r="AB4089" s="42"/>
      <c r="AC4089" s="35"/>
      <c r="AD4089" s="38"/>
      <c r="AE4089" s="38"/>
      <c r="AF4089" s="38"/>
      <c r="AG4089" s="38"/>
      <c r="AH4089" s="60"/>
    </row>
    <row r="4090" spans="1:34" ht="15.75" customHeight="1">
      <c r="A4090" s="196"/>
      <c r="B4090" s="158" t="s">
        <v>14434</v>
      </c>
      <c r="C4090" s="37" t="s">
        <v>24</v>
      </c>
      <c r="D4090" s="20" t="s">
        <v>14435</v>
      </c>
      <c r="E4090" s="20" t="s">
        <v>14436</v>
      </c>
      <c r="F4090" s="19" t="s">
        <v>27</v>
      </c>
      <c r="G4090" s="19" t="s">
        <v>28</v>
      </c>
      <c r="H4090" s="37"/>
      <c r="I4090" s="37" t="s">
        <v>29</v>
      </c>
      <c r="J4090" s="155" t="str">
        <f t="shared" si="3"/>
        <v>TT</v>
      </c>
      <c r="K4090" s="22" t="s">
        <v>14437</v>
      </c>
      <c r="L4090" s="56">
        <v>45103</v>
      </c>
      <c r="O4090" s="42"/>
      <c r="P4090" s="40"/>
      <c r="Q4090" s="61"/>
      <c r="R4090" s="61"/>
      <c r="S4090" s="40"/>
      <c r="T4090" s="38"/>
      <c r="U4090" s="38"/>
      <c r="V4090" s="38"/>
      <c r="W4090" s="60"/>
      <c r="AB4090" s="42"/>
      <c r="AC4090" s="35"/>
      <c r="AD4090" s="38"/>
      <c r="AE4090" s="38"/>
      <c r="AF4090" s="38"/>
      <c r="AG4090" s="38"/>
      <c r="AH4090" s="60"/>
    </row>
    <row r="4091" spans="1:34" ht="15.75" customHeight="1">
      <c r="A4091" s="196"/>
      <c r="B4091" s="158" t="s">
        <v>14438</v>
      </c>
      <c r="C4091" s="37" t="s">
        <v>87</v>
      </c>
      <c r="D4091" s="20" t="s">
        <v>14439</v>
      </c>
      <c r="E4091" s="20" t="s">
        <v>14440</v>
      </c>
      <c r="F4091" s="19" t="s">
        <v>90</v>
      </c>
      <c r="G4091" s="19" t="s">
        <v>91</v>
      </c>
      <c r="H4091" s="37"/>
      <c r="I4091" s="37" t="s">
        <v>29</v>
      </c>
      <c r="J4091" s="155" t="str">
        <f t="shared" si="3"/>
        <v>TT</v>
      </c>
      <c r="K4091" s="22" t="s">
        <v>14441</v>
      </c>
      <c r="L4091" s="56">
        <v>45103</v>
      </c>
      <c r="O4091" s="42"/>
      <c r="P4091" s="40"/>
      <c r="Q4091" s="61"/>
      <c r="R4091" s="61"/>
      <c r="S4091" s="40"/>
      <c r="T4091" s="38"/>
      <c r="U4091" s="38"/>
      <c r="V4091" s="38"/>
      <c r="W4091" s="60"/>
      <c r="AB4091" s="42"/>
      <c r="AC4091" s="35"/>
      <c r="AD4091" s="38"/>
      <c r="AE4091" s="38"/>
      <c r="AF4091" s="38"/>
      <c r="AG4091" s="38"/>
      <c r="AH4091" s="60"/>
    </row>
    <row r="4092" spans="1:34" ht="15.75" customHeight="1">
      <c r="A4092" s="196"/>
      <c r="B4092" s="158" t="s">
        <v>14442</v>
      </c>
      <c r="C4092" s="37" t="s">
        <v>24</v>
      </c>
      <c r="D4092" s="20" t="s">
        <v>14443</v>
      </c>
      <c r="E4092" s="20" t="s">
        <v>12158</v>
      </c>
      <c r="F4092" s="19" t="s">
        <v>27</v>
      </c>
      <c r="G4092" s="19" t="s">
        <v>28</v>
      </c>
      <c r="H4092" s="37"/>
      <c r="I4092" s="37" t="s">
        <v>29</v>
      </c>
      <c r="J4092" s="155" t="str">
        <f t="shared" si="3"/>
        <v>TT</v>
      </c>
      <c r="K4092" s="22"/>
      <c r="L4092" s="56">
        <v>45103</v>
      </c>
      <c r="O4092" s="42"/>
      <c r="P4092" s="40"/>
      <c r="Q4092" s="61"/>
      <c r="R4092" s="61"/>
      <c r="S4092" s="40"/>
      <c r="T4092" s="38"/>
      <c r="U4092" s="38"/>
      <c r="V4092" s="38"/>
      <c r="W4092" s="60"/>
      <c r="AB4092" s="42"/>
      <c r="AC4092" s="35"/>
      <c r="AD4092" s="38"/>
      <c r="AE4092" s="38"/>
      <c r="AF4092" s="38"/>
      <c r="AG4092" s="38"/>
      <c r="AH4092" s="60"/>
    </row>
    <row r="4093" spans="1:34" ht="15.75" customHeight="1">
      <c r="A4093" s="196"/>
      <c r="B4093" s="158" t="s">
        <v>14444</v>
      </c>
      <c r="C4093" s="37" t="s">
        <v>87</v>
      </c>
      <c r="D4093" s="20" t="s">
        <v>14445</v>
      </c>
      <c r="E4093" s="20" t="s">
        <v>14446</v>
      </c>
      <c r="F4093" s="19" t="s">
        <v>90</v>
      </c>
      <c r="G4093" s="19" t="s">
        <v>91</v>
      </c>
      <c r="H4093" s="37"/>
      <c r="I4093" s="37" t="s">
        <v>29</v>
      </c>
      <c r="J4093" s="155" t="str">
        <f t="shared" si="3"/>
        <v>TT</v>
      </c>
      <c r="K4093" s="22" t="s">
        <v>14447</v>
      </c>
      <c r="L4093" s="56">
        <v>45103</v>
      </c>
      <c r="O4093" s="42"/>
      <c r="P4093" s="40"/>
      <c r="Q4093" s="61"/>
      <c r="R4093" s="61"/>
      <c r="S4093" s="40"/>
      <c r="T4093" s="38"/>
      <c r="U4093" s="38"/>
      <c r="V4093" s="38"/>
      <c r="W4093" s="60"/>
      <c r="AB4093" s="42"/>
      <c r="AC4093" s="35"/>
      <c r="AD4093" s="38"/>
      <c r="AE4093" s="38"/>
      <c r="AF4093" s="38"/>
      <c r="AG4093" s="38"/>
      <c r="AH4093" s="60"/>
    </row>
    <row r="4094" spans="1:34" ht="15.75" customHeight="1">
      <c r="A4094" s="196"/>
      <c r="B4094" s="158" t="s">
        <v>14448</v>
      </c>
      <c r="C4094" s="37" t="s">
        <v>46</v>
      </c>
      <c r="D4094" s="20" t="s">
        <v>14449</v>
      </c>
      <c r="E4094" s="20" t="s">
        <v>14450</v>
      </c>
      <c r="F4094" s="37" t="s">
        <v>49</v>
      </c>
      <c r="G4094" s="19" t="s">
        <v>50</v>
      </c>
      <c r="H4094" s="37"/>
      <c r="I4094" s="37" t="s">
        <v>29</v>
      </c>
      <c r="J4094" s="155" t="str">
        <f t="shared" si="3"/>
        <v>TT</v>
      </c>
      <c r="K4094" s="22" t="s">
        <v>14451</v>
      </c>
      <c r="L4094" s="56">
        <v>45103</v>
      </c>
      <c r="O4094" s="42"/>
      <c r="P4094" s="40"/>
      <c r="Q4094" s="61"/>
      <c r="R4094" s="61"/>
      <c r="S4094" s="40"/>
      <c r="T4094" s="38"/>
      <c r="U4094" s="38"/>
      <c r="V4094" s="38"/>
      <c r="W4094" s="60"/>
      <c r="AB4094" s="42"/>
      <c r="AC4094" s="35"/>
      <c r="AD4094" s="38"/>
      <c r="AE4094" s="38"/>
      <c r="AF4094" s="38"/>
      <c r="AG4094" s="38"/>
      <c r="AH4094" s="60"/>
    </row>
    <row r="4095" spans="1:34" ht="15.75" customHeight="1">
      <c r="A4095" s="196"/>
      <c r="B4095" s="159" t="s">
        <v>14452</v>
      </c>
      <c r="C4095" s="37" t="s">
        <v>24</v>
      </c>
      <c r="D4095" s="20" t="s">
        <v>14453</v>
      </c>
      <c r="E4095" s="20" t="s">
        <v>14454</v>
      </c>
      <c r="F4095" s="19" t="s">
        <v>27</v>
      </c>
      <c r="G4095" s="19" t="s">
        <v>28</v>
      </c>
      <c r="H4095" s="37"/>
      <c r="I4095" s="37" t="s">
        <v>29</v>
      </c>
      <c r="J4095" s="155" t="str">
        <f t="shared" si="3"/>
        <v>TT</v>
      </c>
      <c r="K4095" s="22" t="s">
        <v>14455</v>
      </c>
      <c r="L4095" s="56">
        <v>45103</v>
      </c>
      <c r="O4095" s="42"/>
      <c r="P4095" s="40"/>
      <c r="Q4095" s="61"/>
      <c r="R4095" s="61"/>
      <c r="S4095" s="40"/>
      <c r="T4095" s="38"/>
      <c r="U4095" s="38"/>
      <c r="V4095" s="38"/>
      <c r="W4095" s="60"/>
      <c r="AB4095" s="42"/>
      <c r="AC4095" s="35"/>
      <c r="AD4095" s="38"/>
      <c r="AE4095" s="38"/>
      <c r="AF4095" s="38"/>
      <c r="AG4095" s="38"/>
      <c r="AH4095" s="60"/>
    </row>
    <row r="4096" spans="1:34" ht="15.75" customHeight="1">
      <c r="A4096" s="196"/>
      <c r="B4096" s="158" t="s">
        <v>14456</v>
      </c>
      <c r="C4096" s="37" t="s">
        <v>46</v>
      </c>
      <c r="D4096" s="20" t="s">
        <v>14457</v>
      </c>
      <c r="E4096" s="20" t="s">
        <v>14458</v>
      </c>
      <c r="F4096" s="37" t="s">
        <v>49</v>
      </c>
      <c r="G4096" s="19" t="s">
        <v>50</v>
      </c>
      <c r="H4096" s="37"/>
      <c r="I4096" s="37" t="s">
        <v>29</v>
      </c>
      <c r="J4096" s="155" t="str">
        <f t="shared" si="3"/>
        <v>TT</v>
      </c>
      <c r="K4096" s="22" t="s">
        <v>14459</v>
      </c>
      <c r="L4096" s="56">
        <v>45103</v>
      </c>
      <c r="O4096" s="42"/>
      <c r="P4096" s="40"/>
      <c r="Q4096" s="61"/>
      <c r="R4096" s="61"/>
      <c r="S4096" s="40"/>
      <c r="T4096" s="38"/>
      <c r="U4096" s="38"/>
      <c r="V4096" s="38"/>
      <c r="W4096" s="60"/>
      <c r="AB4096" s="42"/>
      <c r="AC4096" s="35"/>
      <c r="AD4096" s="38"/>
      <c r="AE4096" s="38"/>
      <c r="AF4096" s="38"/>
      <c r="AG4096" s="38"/>
      <c r="AH4096" s="60"/>
    </row>
    <row r="4097" spans="1:34" ht="15.75" customHeight="1">
      <c r="A4097" s="196"/>
      <c r="B4097" s="158" t="s">
        <v>14460</v>
      </c>
      <c r="C4097" s="37" t="s">
        <v>46</v>
      </c>
      <c r="D4097" s="20" t="s">
        <v>14461</v>
      </c>
      <c r="E4097" s="20" t="s">
        <v>14462</v>
      </c>
      <c r="F4097" s="37" t="s">
        <v>49</v>
      </c>
      <c r="G4097" s="19" t="s">
        <v>50</v>
      </c>
      <c r="H4097" s="37"/>
      <c r="I4097" s="37" t="s">
        <v>29</v>
      </c>
      <c r="J4097" s="155" t="str">
        <f t="shared" si="3"/>
        <v>TT</v>
      </c>
      <c r="K4097" s="22" t="s">
        <v>14463</v>
      </c>
      <c r="L4097" s="56">
        <v>45103</v>
      </c>
      <c r="O4097" s="42"/>
      <c r="P4097" s="40"/>
      <c r="Q4097" s="61"/>
      <c r="R4097" s="61"/>
      <c r="S4097" s="40"/>
      <c r="T4097" s="38"/>
      <c r="U4097" s="38"/>
      <c r="V4097" s="38"/>
      <c r="W4097" s="60"/>
      <c r="AB4097" s="42"/>
      <c r="AC4097" s="35"/>
      <c r="AD4097" s="38"/>
      <c r="AE4097" s="38"/>
      <c r="AF4097" s="38"/>
      <c r="AG4097" s="38"/>
      <c r="AH4097" s="60"/>
    </row>
    <row r="4098" spans="1:34" ht="15.75" customHeight="1">
      <c r="A4098" s="196"/>
      <c r="B4098" s="158" t="s">
        <v>14464</v>
      </c>
      <c r="C4098" s="37" t="s">
        <v>87</v>
      </c>
      <c r="D4098" s="20" t="s">
        <v>14465</v>
      </c>
      <c r="E4098" s="20" t="s">
        <v>14466</v>
      </c>
      <c r="F4098" s="19" t="s">
        <v>90</v>
      </c>
      <c r="G4098" s="19" t="s">
        <v>91</v>
      </c>
      <c r="H4098" s="37"/>
      <c r="I4098" s="37" t="s">
        <v>29</v>
      </c>
      <c r="J4098" s="155" t="str">
        <f t="shared" si="3"/>
        <v>TT</v>
      </c>
      <c r="K4098" s="22" t="s">
        <v>14467</v>
      </c>
      <c r="L4098" s="56">
        <v>45103</v>
      </c>
      <c r="O4098" s="42"/>
      <c r="P4098" s="40"/>
      <c r="Q4098" s="61"/>
      <c r="R4098" s="61"/>
      <c r="S4098" s="40"/>
      <c r="T4098" s="38"/>
      <c r="U4098" s="38"/>
      <c r="V4098" s="38"/>
      <c r="W4098" s="60"/>
      <c r="AB4098" s="42"/>
      <c r="AC4098" s="35"/>
      <c r="AD4098" s="38"/>
      <c r="AE4098" s="38"/>
      <c r="AF4098" s="38"/>
      <c r="AG4098" s="38"/>
      <c r="AH4098" s="60"/>
    </row>
    <row r="4099" spans="1:34" ht="15.75" customHeight="1">
      <c r="A4099" s="196"/>
      <c r="B4099" s="158" t="s">
        <v>14468</v>
      </c>
      <c r="C4099" s="37" t="s">
        <v>24</v>
      </c>
      <c r="D4099" s="20" t="s">
        <v>14469</v>
      </c>
      <c r="E4099" s="20" t="s">
        <v>14470</v>
      </c>
      <c r="F4099" s="19" t="s">
        <v>27</v>
      </c>
      <c r="G4099" s="19" t="s">
        <v>28</v>
      </c>
      <c r="H4099" s="37"/>
      <c r="I4099" s="37" t="s">
        <v>29</v>
      </c>
      <c r="J4099" s="155" t="str">
        <f t="shared" si="3"/>
        <v>TT</v>
      </c>
      <c r="K4099" s="22" t="s">
        <v>14471</v>
      </c>
      <c r="L4099" s="56">
        <v>45103</v>
      </c>
      <c r="O4099" s="42"/>
      <c r="P4099" s="40"/>
      <c r="Q4099" s="61"/>
      <c r="R4099" s="61"/>
      <c r="S4099" s="40"/>
      <c r="T4099" s="38"/>
      <c r="U4099" s="38"/>
      <c r="V4099" s="38"/>
      <c r="W4099" s="60"/>
      <c r="AB4099" s="42"/>
      <c r="AC4099" s="35"/>
      <c r="AD4099" s="38"/>
      <c r="AE4099" s="38"/>
      <c r="AF4099" s="38"/>
      <c r="AG4099" s="38"/>
      <c r="AH4099" s="60"/>
    </row>
    <row r="4100" spans="1:34" ht="15.75" customHeight="1">
      <c r="A4100" s="196"/>
      <c r="B4100" s="158" t="s">
        <v>14472</v>
      </c>
      <c r="C4100" s="37" t="s">
        <v>46</v>
      </c>
      <c r="D4100" s="20" t="s">
        <v>14473</v>
      </c>
      <c r="E4100" s="20" t="s">
        <v>14474</v>
      </c>
      <c r="F4100" s="37" t="s">
        <v>49</v>
      </c>
      <c r="G4100" s="19" t="s">
        <v>50</v>
      </c>
      <c r="H4100" s="37"/>
      <c r="I4100" s="37" t="s">
        <v>29</v>
      </c>
      <c r="J4100" s="155" t="str">
        <f t="shared" si="3"/>
        <v>TT</v>
      </c>
      <c r="K4100" s="22" t="s">
        <v>14475</v>
      </c>
      <c r="L4100" s="56">
        <v>45103</v>
      </c>
      <c r="O4100" s="42"/>
      <c r="P4100" s="40"/>
      <c r="Q4100" s="61"/>
      <c r="R4100" s="61"/>
      <c r="S4100" s="40"/>
      <c r="T4100" s="38"/>
      <c r="U4100" s="38"/>
      <c r="V4100" s="38"/>
      <c r="W4100" s="60"/>
      <c r="AB4100" s="42"/>
      <c r="AC4100" s="35"/>
      <c r="AD4100" s="38"/>
      <c r="AE4100" s="38"/>
      <c r="AF4100" s="38"/>
      <c r="AG4100" s="38"/>
      <c r="AH4100" s="60"/>
    </row>
    <row r="4101" spans="1:34" ht="15.75" customHeight="1">
      <c r="A4101" s="196"/>
      <c r="B4101" s="158" t="s">
        <v>14476</v>
      </c>
      <c r="C4101" s="37" t="s">
        <v>46</v>
      </c>
      <c r="D4101" s="20" t="s">
        <v>14477</v>
      </c>
      <c r="E4101" s="20" t="s">
        <v>14478</v>
      </c>
      <c r="F4101" s="37" t="s">
        <v>49</v>
      </c>
      <c r="G4101" s="19" t="s">
        <v>50</v>
      </c>
      <c r="H4101" s="37"/>
      <c r="I4101" s="37" t="s">
        <v>29</v>
      </c>
      <c r="J4101" s="155" t="str">
        <f t="shared" si="3"/>
        <v>TT</v>
      </c>
      <c r="K4101" s="22" t="s">
        <v>14479</v>
      </c>
      <c r="L4101" s="56">
        <v>45103</v>
      </c>
      <c r="O4101" s="42"/>
      <c r="P4101" s="40"/>
      <c r="Q4101" s="61"/>
      <c r="R4101" s="61"/>
      <c r="S4101" s="40"/>
      <c r="T4101" s="38"/>
      <c r="U4101" s="38"/>
      <c r="V4101" s="38"/>
      <c r="W4101" s="60"/>
      <c r="AB4101" s="42"/>
      <c r="AC4101" s="35"/>
      <c r="AD4101" s="38"/>
      <c r="AE4101" s="38"/>
      <c r="AF4101" s="38"/>
      <c r="AG4101" s="38"/>
      <c r="AH4101" s="60"/>
    </row>
    <row r="4102" spans="1:34" ht="15.75" customHeight="1">
      <c r="A4102" s="196"/>
      <c r="B4102" s="158" t="s">
        <v>14480</v>
      </c>
      <c r="C4102" s="37" t="s">
        <v>46</v>
      </c>
      <c r="D4102" s="20" t="s">
        <v>14481</v>
      </c>
      <c r="E4102" s="20" t="s">
        <v>14482</v>
      </c>
      <c r="F4102" s="37" t="s">
        <v>49</v>
      </c>
      <c r="G4102" s="19" t="s">
        <v>50</v>
      </c>
      <c r="H4102" s="37"/>
      <c r="I4102" s="37" t="s">
        <v>29</v>
      </c>
      <c r="J4102" s="155" t="str">
        <f t="shared" si="3"/>
        <v>TT</v>
      </c>
      <c r="K4102" s="22" t="s">
        <v>14483</v>
      </c>
      <c r="L4102" s="56">
        <v>45103</v>
      </c>
      <c r="O4102" s="42"/>
      <c r="P4102" s="40"/>
      <c r="Q4102" s="61"/>
      <c r="R4102" s="61"/>
      <c r="S4102" s="40"/>
      <c r="T4102" s="38"/>
      <c r="U4102" s="38"/>
      <c r="V4102" s="38"/>
      <c r="W4102" s="60"/>
      <c r="AB4102" s="42"/>
      <c r="AC4102" s="35"/>
      <c r="AD4102" s="38"/>
      <c r="AE4102" s="38"/>
      <c r="AF4102" s="38"/>
      <c r="AG4102" s="38"/>
      <c r="AH4102" s="60"/>
    </row>
    <row r="4103" spans="1:34" ht="15.75" customHeight="1">
      <c r="A4103" s="196"/>
      <c r="B4103" s="158" t="s">
        <v>14484</v>
      </c>
      <c r="C4103" s="37" t="s">
        <v>46</v>
      </c>
      <c r="D4103" s="20" t="s">
        <v>14485</v>
      </c>
      <c r="E4103" s="20" t="s">
        <v>14486</v>
      </c>
      <c r="F4103" s="37" t="s">
        <v>49</v>
      </c>
      <c r="G4103" s="19" t="s">
        <v>50</v>
      </c>
      <c r="H4103" s="37"/>
      <c r="I4103" s="37" t="s">
        <v>29</v>
      </c>
      <c r="J4103" s="155" t="str">
        <f t="shared" si="3"/>
        <v>TT</v>
      </c>
      <c r="K4103" s="22" t="s">
        <v>14487</v>
      </c>
      <c r="L4103" s="56">
        <v>45103</v>
      </c>
      <c r="O4103" s="42"/>
      <c r="P4103" s="40"/>
      <c r="Q4103" s="61"/>
      <c r="R4103" s="61"/>
      <c r="S4103" s="40"/>
      <c r="T4103" s="38"/>
      <c r="U4103" s="38"/>
      <c r="V4103" s="38"/>
      <c r="W4103" s="60"/>
      <c r="AB4103" s="42"/>
      <c r="AC4103" s="35"/>
      <c r="AD4103" s="38"/>
      <c r="AE4103" s="38"/>
      <c r="AF4103" s="38"/>
      <c r="AG4103" s="38"/>
      <c r="AH4103" s="60"/>
    </row>
    <row r="4104" spans="1:34" ht="15.75" customHeight="1">
      <c r="A4104" s="196"/>
      <c r="B4104" s="158" t="s">
        <v>14488</v>
      </c>
      <c r="C4104" s="37" t="s">
        <v>46</v>
      </c>
      <c r="D4104" s="20" t="s">
        <v>14489</v>
      </c>
      <c r="E4104" s="20" t="s">
        <v>14490</v>
      </c>
      <c r="F4104" s="37" t="s">
        <v>49</v>
      </c>
      <c r="G4104" s="19" t="s">
        <v>50</v>
      </c>
      <c r="H4104" s="37"/>
      <c r="I4104" s="37" t="s">
        <v>29</v>
      </c>
      <c r="J4104" s="155" t="str">
        <f t="shared" si="3"/>
        <v>TT</v>
      </c>
      <c r="K4104" s="22" t="s">
        <v>14491</v>
      </c>
      <c r="L4104" s="56">
        <v>45103</v>
      </c>
      <c r="O4104" s="42"/>
      <c r="P4104" s="40"/>
      <c r="Q4104" s="61"/>
      <c r="R4104" s="61"/>
      <c r="S4104" s="40"/>
      <c r="T4104" s="38"/>
      <c r="U4104" s="38"/>
      <c r="V4104" s="38"/>
      <c r="W4104" s="60"/>
      <c r="AB4104" s="42"/>
      <c r="AC4104" s="35"/>
      <c r="AD4104" s="38"/>
      <c r="AE4104" s="38"/>
      <c r="AF4104" s="38"/>
      <c r="AG4104" s="38"/>
      <c r="AH4104" s="60"/>
    </row>
    <row r="4105" spans="1:34" ht="15.75" customHeight="1">
      <c r="A4105" s="196"/>
      <c r="B4105" s="158" t="s">
        <v>14492</v>
      </c>
      <c r="C4105" s="37" t="s">
        <v>87</v>
      </c>
      <c r="D4105" s="20" t="s">
        <v>14493</v>
      </c>
      <c r="E4105" s="20" t="s">
        <v>14494</v>
      </c>
      <c r="F4105" s="19" t="s">
        <v>90</v>
      </c>
      <c r="G4105" s="19" t="s">
        <v>91</v>
      </c>
      <c r="H4105" s="37"/>
      <c r="I4105" s="37" t="s">
        <v>29</v>
      </c>
      <c r="J4105" s="155" t="str">
        <f t="shared" si="3"/>
        <v>TT</v>
      </c>
      <c r="K4105" s="22" t="s">
        <v>14495</v>
      </c>
      <c r="L4105" s="56">
        <v>45103</v>
      </c>
      <c r="O4105" s="42"/>
      <c r="P4105" s="40"/>
      <c r="Q4105" s="61"/>
      <c r="R4105" s="61"/>
      <c r="S4105" s="40"/>
      <c r="T4105" s="38"/>
      <c r="U4105" s="38"/>
      <c r="V4105" s="38"/>
      <c r="W4105" s="60"/>
      <c r="AB4105" s="42"/>
      <c r="AC4105" s="35"/>
      <c r="AD4105" s="38"/>
      <c r="AE4105" s="38"/>
      <c r="AF4105" s="38"/>
      <c r="AG4105" s="38"/>
      <c r="AH4105" s="60"/>
    </row>
    <row r="4106" spans="1:34" ht="15.75" customHeight="1">
      <c r="A4106" s="196"/>
      <c r="B4106" s="38"/>
      <c r="C4106" s="37"/>
      <c r="D4106" s="20"/>
      <c r="E4106" s="20"/>
      <c r="F4106" s="37"/>
      <c r="G4106" s="37"/>
      <c r="H4106" s="37"/>
      <c r="I4106" s="37"/>
      <c r="J4106" s="155">
        <f t="shared" si="3"/>
        <v>0</v>
      </c>
      <c r="K4106" s="22"/>
      <c r="L4106" s="39"/>
      <c r="O4106" s="42"/>
      <c r="P4106" s="40"/>
      <c r="Q4106" s="61"/>
      <c r="R4106" s="61"/>
      <c r="S4106" s="40"/>
      <c r="T4106" s="38"/>
      <c r="U4106" s="38"/>
      <c r="V4106" s="38"/>
      <c r="W4106" s="60"/>
      <c r="AB4106" s="42"/>
      <c r="AC4106" s="35"/>
      <c r="AD4106" s="38"/>
      <c r="AE4106" s="38"/>
      <c r="AF4106" s="38"/>
      <c r="AG4106" s="38"/>
      <c r="AH4106" s="60"/>
    </row>
    <row r="4107" spans="1:34" ht="15.75" customHeight="1">
      <c r="A4107" s="35" t="s">
        <v>14496</v>
      </c>
      <c r="B4107" s="18" t="s">
        <v>14497</v>
      </c>
      <c r="C4107" s="37" t="s">
        <v>46</v>
      </c>
      <c r="D4107" s="20" t="s">
        <v>14498</v>
      </c>
      <c r="E4107" s="20" t="s">
        <v>14499</v>
      </c>
      <c r="F4107" s="37" t="s">
        <v>49</v>
      </c>
      <c r="G4107" s="19" t="s">
        <v>50</v>
      </c>
      <c r="H4107" s="37"/>
      <c r="I4107" s="37" t="s">
        <v>29</v>
      </c>
      <c r="J4107" s="155" t="str">
        <f t="shared" si="3"/>
        <v>TT</v>
      </c>
      <c r="K4107" s="22" t="s">
        <v>14500</v>
      </c>
      <c r="L4107" s="56">
        <v>45103</v>
      </c>
      <c r="M4107" s="40"/>
      <c r="O4107" s="42"/>
      <c r="P4107" s="40"/>
      <c r="Q4107" s="61"/>
      <c r="R4107" s="61"/>
      <c r="S4107" s="40"/>
      <c r="T4107" s="38"/>
      <c r="U4107" s="38"/>
      <c r="V4107" s="38"/>
      <c r="W4107" s="60"/>
      <c r="AB4107" s="42"/>
      <c r="AC4107" s="35"/>
      <c r="AD4107" s="38"/>
      <c r="AE4107" s="38"/>
      <c r="AF4107" s="38"/>
      <c r="AG4107" s="38"/>
      <c r="AH4107" s="60"/>
    </row>
    <row r="4108" spans="1:34" ht="15.75" customHeight="1">
      <c r="A4108" s="54" t="s">
        <v>2714</v>
      </c>
      <c r="B4108" s="18" t="s">
        <v>14501</v>
      </c>
      <c r="C4108" s="37" t="s">
        <v>24</v>
      </c>
      <c r="D4108" s="20" t="s">
        <v>14502</v>
      </c>
      <c r="E4108" s="20" t="s">
        <v>14503</v>
      </c>
      <c r="F4108" s="19" t="s">
        <v>27</v>
      </c>
      <c r="G4108" s="19" t="s">
        <v>28</v>
      </c>
      <c r="H4108" s="37"/>
      <c r="I4108" s="37" t="s">
        <v>29</v>
      </c>
      <c r="J4108" s="155" t="str">
        <f t="shared" si="3"/>
        <v>TT</v>
      </c>
      <c r="K4108" s="22" t="s">
        <v>14504</v>
      </c>
      <c r="L4108" s="56">
        <v>45103</v>
      </c>
      <c r="O4108" s="42"/>
      <c r="P4108" s="40"/>
      <c r="Q4108" s="61"/>
      <c r="R4108" s="61"/>
      <c r="S4108" s="40"/>
      <c r="T4108" s="38"/>
      <c r="U4108" s="38"/>
      <c r="V4108" s="38"/>
      <c r="W4108" s="60"/>
      <c r="AB4108" s="42"/>
      <c r="AC4108" s="35"/>
      <c r="AD4108" s="38"/>
      <c r="AE4108" s="38"/>
      <c r="AF4108" s="38"/>
      <c r="AG4108" s="38"/>
      <c r="AH4108" s="60"/>
    </row>
    <row r="4109" spans="1:34" ht="15.75" customHeight="1">
      <c r="A4109" s="114" t="s">
        <v>39</v>
      </c>
      <c r="B4109" s="18" t="s">
        <v>14505</v>
      </c>
      <c r="C4109" s="37" t="s">
        <v>24</v>
      </c>
      <c r="D4109" s="20" t="s">
        <v>14506</v>
      </c>
      <c r="E4109" s="20" t="s">
        <v>14507</v>
      </c>
      <c r="F4109" s="19" t="s">
        <v>27</v>
      </c>
      <c r="G4109" s="19" t="s">
        <v>28</v>
      </c>
      <c r="H4109" s="37"/>
      <c r="I4109" s="37" t="s">
        <v>29</v>
      </c>
      <c r="J4109" s="155" t="str">
        <f t="shared" si="3"/>
        <v>TT</v>
      </c>
      <c r="K4109" s="22" t="s">
        <v>14508</v>
      </c>
      <c r="L4109" s="56">
        <v>45103</v>
      </c>
      <c r="O4109" s="42"/>
      <c r="P4109" s="40"/>
      <c r="Q4109" s="61"/>
      <c r="R4109" s="61"/>
      <c r="S4109" s="40"/>
      <c r="T4109" s="38"/>
      <c r="U4109" s="38"/>
      <c r="V4109" s="38"/>
      <c r="W4109" s="60"/>
      <c r="AB4109" s="42"/>
      <c r="AC4109" s="35"/>
      <c r="AD4109" s="38"/>
      <c r="AE4109" s="38"/>
      <c r="AF4109" s="38"/>
      <c r="AG4109" s="38"/>
      <c r="AH4109" s="60"/>
    </row>
    <row r="4110" spans="1:34" ht="15.75" customHeight="1">
      <c r="A4110" s="38" t="s">
        <v>13637</v>
      </c>
      <c r="B4110" s="18" t="s">
        <v>14509</v>
      </c>
      <c r="C4110" s="37" t="s">
        <v>24</v>
      </c>
      <c r="D4110" s="20" t="s">
        <v>14510</v>
      </c>
      <c r="E4110" s="20" t="s">
        <v>14511</v>
      </c>
      <c r="F4110" s="19" t="s">
        <v>27</v>
      </c>
      <c r="G4110" s="19" t="s">
        <v>28</v>
      </c>
      <c r="H4110" s="37"/>
      <c r="I4110" s="37" t="s">
        <v>29</v>
      </c>
      <c r="J4110" s="155" t="str">
        <f t="shared" si="3"/>
        <v>TT</v>
      </c>
      <c r="K4110" s="22" t="s">
        <v>14512</v>
      </c>
      <c r="L4110" s="56">
        <v>45103</v>
      </c>
      <c r="O4110" s="42"/>
      <c r="P4110" s="40"/>
      <c r="Q4110" s="61"/>
      <c r="R4110" s="61"/>
      <c r="S4110" s="40"/>
      <c r="T4110" s="38"/>
      <c r="U4110" s="38"/>
      <c r="V4110" s="38"/>
      <c r="W4110" s="60"/>
      <c r="AB4110" s="42"/>
      <c r="AC4110" s="35"/>
      <c r="AD4110" s="38"/>
      <c r="AE4110" s="38"/>
      <c r="AF4110" s="38"/>
      <c r="AG4110" s="38"/>
      <c r="AH4110" s="60"/>
    </row>
    <row r="4111" spans="1:34" ht="15.75" customHeight="1">
      <c r="A4111" s="75" t="s">
        <v>11020</v>
      </c>
      <c r="B4111" s="18" t="s">
        <v>14513</v>
      </c>
      <c r="C4111" s="37" t="s">
        <v>24</v>
      </c>
      <c r="D4111" s="20" t="s">
        <v>14514</v>
      </c>
      <c r="E4111" s="20" t="s">
        <v>14515</v>
      </c>
      <c r="F4111" s="19" t="s">
        <v>27</v>
      </c>
      <c r="G4111" s="19" t="s">
        <v>28</v>
      </c>
      <c r="H4111" s="37"/>
      <c r="I4111" s="37" t="s">
        <v>29</v>
      </c>
      <c r="J4111" s="155" t="str">
        <f t="shared" si="3"/>
        <v>TT</v>
      </c>
      <c r="K4111" s="22" t="s">
        <v>14516</v>
      </c>
      <c r="L4111" s="56">
        <v>45103</v>
      </c>
      <c r="O4111" s="42"/>
      <c r="P4111" s="40"/>
      <c r="Q4111" s="61"/>
      <c r="R4111" s="61"/>
      <c r="S4111" s="40"/>
      <c r="T4111" s="38"/>
      <c r="U4111" s="38"/>
      <c r="V4111" s="38"/>
      <c r="W4111" s="60"/>
      <c r="AB4111" s="42"/>
      <c r="AC4111" s="35"/>
      <c r="AD4111" s="38"/>
      <c r="AE4111" s="38"/>
      <c r="AF4111" s="38"/>
      <c r="AG4111" s="38"/>
      <c r="AH4111" s="60"/>
    </row>
    <row r="4112" spans="1:34" ht="15.75" customHeight="1">
      <c r="A4112" s="50" t="s">
        <v>56</v>
      </c>
      <c r="B4112" s="18" t="s">
        <v>14517</v>
      </c>
      <c r="C4112" s="37" t="s">
        <v>24</v>
      </c>
      <c r="D4112" s="20" t="s">
        <v>14518</v>
      </c>
      <c r="E4112" s="20" t="s">
        <v>14519</v>
      </c>
      <c r="F4112" s="19" t="s">
        <v>27</v>
      </c>
      <c r="G4112" s="19" t="s">
        <v>28</v>
      </c>
      <c r="H4112" s="37"/>
      <c r="I4112" s="37" t="s">
        <v>29</v>
      </c>
      <c r="J4112" s="155" t="str">
        <f t="shared" si="3"/>
        <v>TT</v>
      </c>
      <c r="K4112" s="22" t="s">
        <v>14520</v>
      </c>
      <c r="L4112" s="56">
        <v>45103</v>
      </c>
      <c r="Q4112" s="61"/>
      <c r="R4112" s="61"/>
      <c r="T4112" s="38"/>
      <c r="U4112" s="38"/>
      <c r="V4112" s="38"/>
      <c r="W4112" s="60"/>
      <c r="AB4112" s="42"/>
      <c r="AC4112" s="35"/>
      <c r="AD4112" s="38"/>
      <c r="AE4112" s="38"/>
      <c r="AF4112" s="38"/>
      <c r="AG4112" s="38"/>
      <c r="AH4112" s="60"/>
    </row>
    <row r="4113" spans="1:34" ht="15.75" customHeight="1">
      <c r="A4113" s="17">
        <v>46</v>
      </c>
      <c r="B4113" s="18" t="s">
        <v>14521</v>
      </c>
      <c r="C4113" s="37" t="s">
        <v>46</v>
      </c>
      <c r="D4113" s="20" t="s">
        <v>14522</v>
      </c>
      <c r="E4113" s="20" t="s">
        <v>14523</v>
      </c>
      <c r="F4113" s="37" t="s">
        <v>49</v>
      </c>
      <c r="G4113" s="19" t="s">
        <v>50</v>
      </c>
      <c r="H4113" s="37"/>
      <c r="I4113" s="37" t="s">
        <v>29</v>
      </c>
      <c r="J4113" s="155" t="str">
        <f t="shared" si="3"/>
        <v>TT</v>
      </c>
      <c r="K4113" s="22" t="s">
        <v>14524</v>
      </c>
      <c r="L4113" s="56">
        <v>45103</v>
      </c>
      <c r="Q4113" s="61"/>
      <c r="R4113" s="61"/>
      <c r="T4113" s="38"/>
      <c r="U4113" s="38"/>
      <c r="V4113" s="38"/>
      <c r="W4113" s="60"/>
      <c r="AB4113" s="42"/>
      <c r="AC4113" s="35"/>
      <c r="AD4113" s="38"/>
      <c r="AE4113" s="38"/>
      <c r="AF4113" s="38"/>
      <c r="AG4113" s="38"/>
      <c r="AH4113" s="60"/>
    </row>
    <row r="4114" spans="1:34" ht="15.75" customHeight="1">
      <c r="A4114" s="111" t="s">
        <v>64</v>
      </c>
      <c r="B4114" s="18" t="s">
        <v>14525</v>
      </c>
      <c r="C4114" s="37" t="s">
        <v>24</v>
      </c>
      <c r="D4114" s="20" t="s">
        <v>14526</v>
      </c>
      <c r="E4114" s="20" t="s">
        <v>14527</v>
      </c>
      <c r="F4114" s="19" t="s">
        <v>27</v>
      </c>
      <c r="G4114" s="19" t="s">
        <v>28</v>
      </c>
      <c r="H4114" s="37"/>
      <c r="I4114" s="37" t="s">
        <v>29</v>
      </c>
      <c r="J4114" s="155" t="str">
        <f t="shared" si="3"/>
        <v>TT</v>
      </c>
      <c r="K4114" s="22" t="s">
        <v>14528</v>
      </c>
      <c r="L4114" s="56">
        <v>45103</v>
      </c>
      <c r="Q4114" s="61"/>
      <c r="R4114" s="61"/>
      <c r="T4114" s="38"/>
      <c r="U4114" s="38"/>
      <c r="V4114" s="38"/>
      <c r="W4114" s="60"/>
      <c r="AB4114" s="42"/>
      <c r="AC4114" s="35"/>
      <c r="AD4114" s="38"/>
      <c r="AE4114" s="38"/>
      <c r="AF4114" s="38"/>
      <c r="AG4114" s="38"/>
      <c r="AH4114" s="60"/>
    </row>
    <row r="4115" spans="1:34" ht="15.75" customHeight="1">
      <c r="A4115" s="75">
        <v>2.5</v>
      </c>
      <c r="B4115" s="18" t="s">
        <v>14529</v>
      </c>
      <c r="C4115" s="37" t="s">
        <v>46</v>
      </c>
      <c r="D4115" s="20" t="s">
        <v>14530</v>
      </c>
      <c r="E4115" s="20" t="s">
        <v>14531</v>
      </c>
      <c r="F4115" s="37" t="s">
        <v>49</v>
      </c>
      <c r="G4115" s="19" t="s">
        <v>50</v>
      </c>
      <c r="H4115" s="37"/>
      <c r="I4115" s="37" t="s">
        <v>29</v>
      </c>
      <c r="J4115" s="155" t="str">
        <f t="shared" si="3"/>
        <v>TT</v>
      </c>
      <c r="K4115" s="22" t="s">
        <v>14532</v>
      </c>
      <c r="L4115" s="56">
        <v>45103</v>
      </c>
      <c r="Q4115" s="61"/>
      <c r="R4115" s="61"/>
      <c r="T4115" s="38"/>
      <c r="U4115" s="38"/>
      <c r="V4115" s="38"/>
      <c r="W4115" s="60"/>
      <c r="AB4115" s="42"/>
      <c r="AC4115" s="35"/>
      <c r="AD4115" s="38"/>
      <c r="AE4115" s="38"/>
      <c r="AF4115" s="38"/>
      <c r="AG4115" s="38"/>
      <c r="AH4115" s="60"/>
    </row>
    <row r="4116" spans="1:34" ht="15.75" customHeight="1">
      <c r="A4116" s="111" t="s">
        <v>73</v>
      </c>
      <c r="B4116" s="18" t="s">
        <v>14533</v>
      </c>
      <c r="C4116" s="37" t="s">
        <v>24</v>
      </c>
      <c r="D4116" s="20" t="s">
        <v>14534</v>
      </c>
      <c r="E4116" s="20" t="s">
        <v>14535</v>
      </c>
      <c r="F4116" s="19" t="s">
        <v>27</v>
      </c>
      <c r="G4116" s="19" t="s">
        <v>28</v>
      </c>
      <c r="H4116" s="37" t="s">
        <v>813</v>
      </c>
      <c r="I4116" s="37" t="s">
        <v>29</v>
      </c>
      <c r="J4116" s="155" t="str">
        <f t="shared" si="3"/>
        <v>TT</v>
      </c>
      <c r="K4116" s="22" t="s">
        <v>14536</v>
      </c>
      <c r="L4116" s="56">
        <v>45103</v>
      </c>
      <c r="Q4116" s="61"/>
      <c r="R4116" s="61"/>
      <c r="T4116" s="38"/>
      <c r="U4116" s="38"/>
      <c r="V4116" s="38"/>
      <c r="W4116" s="60"/>
      <c r="AB4116" s="42"/>
      <c r="AC4116" s="35"/>
      <c r="AD4116" s="38"/>
      <c r="AE4116" s="38"/>
      <c r="AF4116" s="38"/>
      <c r="AG4116" s="38"/>
      <c r="AH4116" s="60"/>
    </row>
    <row r="4117" spans="1:34" ht="15.75" customHeight="1">
      <c r="A4117" s="75">
        <v>3</v>
      </c>
      <c r="B4117" s="18" t="s">
        <v>14537</v>
      </c>
      <c r="C4117" s="37" t="s">
        <v>1486</v>
      </c>
      <c r="D4117" s="20" t="s">
        <v>14538</v>
      </c>
      <c r="E4117" s="20" t="s">
        <v>14539</v>
      </c>
      <c r="F4117" s="37" t="s">
        <v>1489</v>
      </c>
      <c r="G4117" s="37" t="s">
        <v>1490</v>
      </c>
      <c r="H4117" s="37"/>
      <c r="I4117" s="21" t="s">
        <v>1371</v>
      </c>
      <c r="J4117" s="155" t="str">
        <f t="shared" si="3"/>
        <v>Other</v>
      </c>
      <c r="K4117" s="22" t="s">
        <v>14540</v>
      </c>
      <c r="L4117" s="56">
        <v>45103</v>
      </c>
      <c r="Q4117" s="61"/>
      <c r="R4117" s="61"/>
      <c r="T4117" s="38"/>
      <c r="U4117" s="38"/>
      <c r="V4117" s="38"/>
      <c r="W4117" s="60"/>
      <c r="AB4117" s="42"/>
      <c r="AC4117" s="35"/>
      <c r="AD4117" s="38"/>
      <c r="AE4117" s="38"/>
      <c r="AF4117" s="38"/>
      <c r="AG4117" s="38"/>
      <c r="AH4117" s="60"/>
    </row>
    <row r="4118" spans="1:34" ht="15.75" customHeight="1">
      <c r="A4118" s="111" t="s">
        <v>82</v>
      </c>
      <c r="B4118" s="18" t="s">
        <v>14541</v>
      </c>
      <c r="C4118" s="37" t="s">
        <v>24</v>
      </c>
      <c r="D4118" s="20" t="s">
        <v>14542</v>
      </c>
      <c r="E4118" s="20" t="s">
        <v>14543</v>
      </c>
      <c r="F4118" s="19" t="s">
        <v>27</v>
      </c>
      <c r="G4118" s="19" t="s">
        <v>28</v>
      </c>
      <c r="H4118" s="37"/>
      <c r="I4118" s="37" t="s">
        <v>29</v>
      </c>
      <c r="J4118" s="155" t="str">
        <f t="shared" si="3"/>
        <v>TT</v>
      </c>
      <c r="K4118" s="22" t="s">
        <v>14544</v>
      </c>
      <c r="L4118" s="56">
        <v>45103</v>
      </c>
      <c r="Q4118" s="61"/>
      <c r="R4118" s="61"/>
      <c r="T4118" s="38"/>
      <c r="U4118" s="38"/>
      <c r="V4118" s="38"/>
      <c r="W4118" s="60"/>
      <c r="AB4118" s="42"/>
      <c r="AC4118" s="35"/>
      <c r="AD4118" s="38"/>
      <c r="AE4118" s="38"/>
      <c r="AF4118" s="38"/>
      <c r="AG4118" s="38"/>
      <c r="AH4118" s="60"/>
    </row>
    <row r="4119" spans="1:34" ht="15.75" customHeight="1">
      <c r="A4119" s="112" t="s">
        <v>14545</v>
      </c>
      <c r="B4119" s="18" t="s">
        <v>14546</v>
      </c>
      <c r="C4119" s="37" t="s">
        <v>24</v>
      </c>
      <c r="D4119" s="20" t="s">
        <v>14547</v>
      </c>
      <c r="E4119" s="20" t="s">
        <v>14548</v>
      </c>
      <c r="F4119" s="19" t="s">
        <v>27</v>
      </c>
      <c r="G4119" s="19" t="s">
        <v>28</v>
      </c>
      <c r="H4119" s="37"/>
      <c r="I4119" s="37" t="s">
        <v>29</v>
      </c>
      <c r="J4119" s="155" t="str">
        <f t="shared" si="3"/>
        <v>TT</v>
      </c>
      <c r="K4119" s="22" t="s">
        <v>14549</v>
      </c>
      <c r="L4119" s="56">
        <v>45103</v>
      </c>
      <c r="Q4119" s="61"/>
      <c r="R4119" s="61"/>
      <c r="T4119" s="38"/>
      <c r="U4119" s="38"/>
      <c r="V4119" s="38"/>
      <c r="W4119" s="60"/>
      <c r="AB4119" s="42"/>
      <c r="AC4119" s="35"/>
      <c r="AD4119" s="38"/>
      <c r="AE4119" s="38"/>
      <c r="AF4119" s="38"/>
      <c r="AG4119" s="38"/>
      <c r="AH4119" s="60"/>
    </row>
    <row r="4120" spans="1:34" ht="15.75" customHeight="1">
      <c r="A4120" s="111" t="s">
        <v>92</v>
      </c>
      <c r="B4120" s="18" t="s">
        <v>14550</v>
      </c>
      <c r="C4120" s="37" t="s">
        <v>412</v>
      </c>
      <c r="D4120" s="20" t="s">
        <v>14551</v>
      </c>
      <c r="E4120" s="20" t="s">
        <v>14552</v>
      </c>
      <c r="F4120" s="19" t="s">
        <v>414</v>
      </c>
      <c r="G4120" s="19" t="s">
        <v>415</v>
      </c>
      <c r="H4120" s="37"/>
      <c r="I4120" s="37" t="s">
        <v>233</v>
      </c>
      <c r="J4120" s="155" t="str">
        <f t="shared" si="3"/>
        <v>NTT</v>
      </c>
      <c r="K4120" s="22" t="s">
        <v>14553</v>
      </c>
      <c r="L4120" s="56">
        <v>45103</v>
      </c>
      <c r="Q4120" s="61"/>
      <c r="R4120" s="61"/>
      <c r="T4120" s="38"/>
      <c r="U4120" s="38"/>
      <c r="V4120" s="38"/>
      <c r="W4120" s="60"/>
      <c r="AB4120" s="42"/>
      <c r="AC4120" s="35"/>
      <c r="AD4120" s="38"/>
      <c r="AE4120" s="38"/>
      <c r="AF4120" s="38"/>
      <c r="AG4120" s="38"/>
      <c r="AH4120" s="60"/>
    </row>
    <row r="4121" spans="1:34" ht="15.75" customHeight="1">
      <c r="A4121" s="17">
        <v>492</v>
      </c>
      <c r="B4121" s="18" t="s">
        <v>14554</v>
      </c>
      <c r="C4121" s="37" t="s">
        <v>412</v>
      </c>
      <c r="D4121" s="20" t="s">
        <v>14555</v>
      </c>
      <c r="E4121" s="20" t="s">
        <v>14556</v>
      </c>
      <c r="F4121" s="19" t="s">
        <v>414</v>
      </c>
      <c r="G4121" s="37" t="s">
        <v>415</v>
      </c>
      <c r="H4121" s="37"/>
      <c r="I4121" s="37" t="s">
        <v>233</v>
      </c>
      <c r="J4121" s="155" t="str">
        <f t="shared" si="3"/>
        <v>NTT</v>
      </c>
      <c r="K4121" s="22" t="s">
        <v>14557</v>
      </c>
      <c r="L4121" s="56">
        <v>45103</v>
      </c>
      <c r="Q4121" s="61"/>
      <c r="R4121" s="61"/>
      <c r="T4121" s="38"/>
      <c r="U4121" s="38"/>
      <c r="V4121" s="38"/>
      <c r="W4121" s="60"/>
      <c r="AB4121" s="42"/>
      <c r="AC4121" s="35"/>
      <c r="AD4121" s="38"/>
      <c r="AE4121" s="38"/>
      <c r="AF4121" s="38"/>
      <c r="AG4121" s="38"/>
      <c r="AH4121" s="60"/>
    </row>
    <row r="4122" spans="1:34" ht="15.75" customHeight="1">
      <c r="A4122" s="111" t="s">
        <v>100</v>
      </c>
      <c r="B4122" s="18" t="s">
        <v>14558</v>
      </c>
      <c r="C4122" s="37" t="s">
        <v>46</v>
      </c>
      <c r="D4122" s="20" t="s">
        <v>14559</v>
      </c>
      <c r="E4122" s="20" t="s">
        <v>14560</v>
      </c>
      <c r="F4122" s="37" t="s">
        <v>49</v>
      </c>
      <c r="G4122" s="19" t="s">
        <v>50</v>
      </c>
      <c r="H4122" s="37"/>
      <c r="I4122" s="37" t="s">
        <v>29</v>
      </c>
      <c r="J4122" s="155" t="str">
        <f t="shared" si="3"/>
        <v>TT</v>
      </c>
      <c r="K4122" s="22" t="s">
        <v>14561</v>
      </c>
      <c r="L4122" s="56">
        <v>45103</v>
      </c>
      <c r="Q4122" s="61"/>
      <c r="R4122" s="61"/>
      <c r="T4122" s="38"/>
      <c r="U4122" s="38"/>
      <c r="V4122" s="38"/>
      <c r="W4122" s="60"/>
      <c r="AB4122" s="42"/>
      <c r="AC4122" s="35"/>
      <c r="AD4122" s="38"/>
      <c r="AE4122" s="38"/>
      <c r="AF4122" s="38"/>
      <c r="AG4122" s="38"/>
      <c r="AH4122" s="60"/>
    </row>
    <row r="4123" spans="1:34" ht="15.75" customHeight="1">
      <c r="A4123" s="17">
        <v>156</v>
      </c>
      <c r="B4123" s="18" t="s">
        <v>14562</v>
      </c>
      <c r="C4123" s="37" t="s">
        <v>24</v>
      </c>
      <c r="D4123" s="20" t="s">
        <v>14563</v>
      </c>
      <c r="E4123" s="20" t="s">
        <v>14564</v>
      </c>
      <c r="F4123" s="19" t="s">
        <v>27</v>
      </c>
      <c r="G4123" s="19" t="s">
        <v>28</v>
      </c>
      <c r="H4123" s="37"/>
      <c r="I4123" s="37" t="s">
        <v>29</v>
      </c>
      <c r="J4123" s="155" t="str">
        <f t="shared" si="3"/>
        <v>TT</v>
      </c>
      <c r="K4123" s="22" t="s">
        <v>14565</v>
      </c>
      <c r="L4123" s="56">
        <v>45103</v>
      </c>
      <c r="O4123" s="42"/>
      <c r="P4123" s="40"/>
      <c r="Q4123" s="61"/>
      <c r="R4123" s="61"/>
      <c r="S4123" s="40"/>
      <c r="T4123" s="38"/>
      <c r="U4123" s="38"/>
      <c r="V4123" s="38"/>
      <c r="W4123" s="60"/>
      <c r="AB4123" s="42"/>
      <c r="AC4123" s="35"/>
      <c r="AD4123" s="38"/>
      <c r="AE4123" s="38"/>
      <c r="AF4123" s="38"/>
      <c r="AG4123" s="38"/>
      <c r="AH4123" s="60"/>
    </row>
    <row r="4124" spans="1:34" ht="15.75" customHeight="1">
      <c r="A4124" s="35"/>
      <c r="B4124" s="18" t="s">
        <v>14566</v>
      </c>
      <c r="C4124" s="37" t="s">
        <v>24</v>
      </c>
      <c r="D4124" s="20" t="s">
        <v>14567</v>
      </c>
      <c r="E4124" s="20" t="s">
        <v>14568</v>
      </c>
      <c r="F4124" s="19" t="s">
        <v>27</v>
      </c>
      <c r="G4124" s="19" t="s">
        <v>28</v>
      </c>
      <c r="H4124" s="37"/>
      <c r="I4124" s="37" t="s">
        <v>29</v>
      </c>
      <c r="J4124" s="155" t="str">
        <f t="shared" si="3"/>
        <v>TT</v>
      </c>
      <c r="K4124" s="22" t="s">
        <v>14569</v>
      </c>
      <c r="L4124" s="56">
        <v>45103</v>
      </c>
      <c r="O4124" s="42"/>
      <c r="P4124" s="40"/>
      <c r="Q4124" s="61"/>
      <c r="R4124" s="61"/>
      <c r="S4124" s="40"/>
      <c r="T4124" s="38"/>
      <c r="U4124" s="38"/>
      <c r="V4124" s="38"/>
      <c r="W4124" s="60"/>
      <c r="AB4124" s="42"/>
      <c r="AC4124" s="35"/>
      <c r="AD4124" s="38"/>
      <c r="AE4124" s="38"/>
      <c r="AF4124" s="38"/>
      <c r="AG4124" s="38"/>
      <c r="AH4124" s="60"/>
    </row>
    <row r="4125" spans="1:34" ht="15.75" customHeight="1">
      <c r="A4125" s="196"/>
      <c r="B4125" s="18" t="s">
        <v>14570</v>
      </c>
      <c r="C4125" s="37" t="s">
        <v>24</v>
      </c>
      <c r="D4125" s="20" t="s">
        <v>14571</v>
      </c>
      <c r="E4125" s="20" t="s">
        <v>14572</v>
      </c>
      <c r="F4125" s="19" t="s">
        <v>27</v>
      </c>
      <c r="G4125" s="19" t="s">
        <v>28</v>
      </c>
      <c r="H4125" s="37"/>
      <c r="I4125" s="37" t="s">
        <v>29</v>
      </c>
      <c r="J4125" s="155" t="str">
        <f t="shared" si="3"/>
        <v>TT</v>
      </c>
      <c r="K4125" s="22" t="s">
        <v>14573</v>
      </c>
      <c r="L4125" s="56">
        <v>45103</v>
      </c>
      <c r="O4125" s="42"/>
      <c r="P4125" s="40"/>
      <c r="Q4125" s="61"/>
      <c r="R4125" s="61"/>
      <c r="S4125" s="40"/>
      <c r="T4125" s="38"/>
      <c r="U4125" s="38"/>
      <c r="V4125" s="38"/>
      <c r="W4125" s="60"/>
      <c r="AB4125" s="42"/>
      <c r="AC4125" s="35"/>
      <c r="AD4125" s="38"/>
      <c r="AE4125" s="38"/>
      <c r="AF4125" s="38"/>
      <c r="AG4125" s="38"/>
      <c r="AH4125" s="60"/>
    </row>
    <row r="4126" spans="1:34" ht="15.75" customHeight="1">
      <c r="A4126" s="196"/>
      <c r="B4126" s="29" t="s">
        <v>14574</v>
      </c>
      <c r="C4126" s="37" t="s">
        <v>24</v>
      </c>
      <c r="D4126" s="20" t="s">
        <v>14575</v>
      </c>
      <c r="E4126" s="20" t="s">
        <v>14576</v>
      </c>
      <c r="F4126" s="19" t="s">
        <v>27</v>
      </c>
      <c r="G4126" s="19" t="s">
        <v>28</v>
      </c>
      <c r="H4126" s="37"/>
      <c r="I4126" s="37" t="s">
        <v>29</v>
      </c>
      <c r="J4126" s="155" t="str">
        <f t="shared" si="3"/>
        <v>TT</v>
      </c>
      <c r="K4126" s="22" t="s">
        <v>14577</v>
      </c>
      <c r="L4126" s="56">
        <v>45103</v>
      </c>
      <c r="O4126" s="42"/>
      <c r="P4126" s="40"/>
      <c r="Q4126" s="61"/>
      <c r="R4126" s="61"/>
      <c r="S4126" s="40"/>
      <c r="T4126" s="38"/>
      <c r="U4126" s="38"/>
      <c r="V4126" s="38"/>
      <c r="W4126" s="60"/>
      <c r="AB4126" s="42"/>
      <c r="AC4126" s="35"/>
      <c r="AD4126" s="38"/>
      <c r="AE4126" s="38"/>
      <c r="AF4126" s="38"/>
      <c r="AG4126" s="38"/>
      <c r="AH4126" s="60"/>
    </row>
    <row r="4127" spans="1:34" ht="15.75" customHeight="1">
      <c r="A4127" s="196"/>
      <c r="B4127" s="18" t="s">
        <v>14578</v>
      </c>
      <c r="C4127" s="37" t="s">
        <v>87</v>
      </c>
      <c r="D4127" s="20" t="s">
        <v>14579</v>
      </c>
      <c r="E4127" s="20" t="s">
        <v>14580</v>
      </c>
      <c r="F4127" s="19" t="s">
        <v>90</v>
      </c>
      <c r="G4127" s="19" t="s">
        <v>91</v>
      </c>
      <c r="H4127" s="37"/>
      <c r="I4127" s="37" t="s">
        <v>29</v>
      </c>
      <c r="J4127" s="155" t="str">
        <f t="shared" ref="J4127:J4381" si="4">IF(G4127="R","NA",I4127)</f>
        <v>TT</v>
      </c>
      <c r="K4127" s="22" t="s">
        <v>14581</v>
      </c>
      <c r="L4127" s="56">
        <v>45103</v>
      </c>
      <c r="O4127" s="42"/>
      <c r="P4127" s="40"/>
      <c r="Q4127" s="61"/>
      <c r="R4127" s="61"/>
      <c r="S4127" s="40"/>
      <c r="T4127" s="38"/>
      <c r="U4127" s="38"/>
      <c r="V4127" s="38"/>
      <c r="W4127" s="60"/>
      <c r="AB4127" s="42"/>
      <c r="AC4127" s="35"/>
      <c r="AD4127" s="38"/>
      <c r="AE4127" s="38"/>
      <c r="AF4127" s="38"/>
      <c r="AG4127" s="38"/>
      <c r="AH4127" s="60"/>
    </row>
    <row r="4128" spans="1:34" ht="15.75" customHeight="1">
      <c r="A4128" s="196"/>
      <c r="B4128" s="18" t="s">
        <v>14582</v>
      </c>
      <c r="C4128" s="37" t="s">
        <v>24</v>
      </c>
      <c r="D4128" s="20" t="s">
        <v>14583</v>
      </c>
      <c r="E4128" s="20" t="s">
        <v>14584</v>
      </c>
      <c r="F4128" s="19" t="s">
        <v>27</v>
      </c>
      <c r="G4128" s="19" t="s">
        <v>28</v>
      </c>
      <c r="H4128" s="37"/>
      <c r="I4128" s="37" t="s">
        <v>29</v>
      </c>
      <c r="J4128" s="155" t="str">
        <f t="shared" si="4"/>
        <v>TT</v>
      </c>
      <c r="K4128" s="22" t="s">
        <v>14585</v>
      </c>
      <c r="L4128" s="56">
        <v>45103</v>
      </c>
      <c r="O4128" s="42"/>
      <c r="P4128" s="40"/>
      <c r="Q4128" s="61"/>
      <c r="R4128" s="61"/>
      <c r="S4128" s="40"/>
      <c r="T4128" s="38"/>
      <c r="U4128" s="38"/>
      <c r="V4128" s="38"/>
      <c r="W4128" s="60"/>
      <c r="AB4128" s="42"/>
      <c r="AC4128" s="35"/>
      <c r="AD4128" s="38"/>
      <c r="AE4128" s="38"/>
      <c r="AF4128" s="38"/>
      <c r="AG4128" s="38"/>
      <c r="AH4128" s="60"/>
    </row>
    <row r="4129" spans="1:34" ht="15.75" customHeight="1">
      <c r="A4129" s="196"/>
      <c r="B4129" s="29" t="s">
        <v>14586</v>
      </c>
      <c r="C4129" s="37" t="s">
        <v>24</v>
      </c>
      <c r="D4129" s="20" t="s">
        <v>14587</v>
      </c>
      <c r="E4129" s="20" t="s">
        <v>14588</v>
      </c>
      <c r="F4129" s="19" t="s">
        <v>27</v>
      </c>
      <c r="G4129" s="19" t="s">
        <v>28</v>
      </c>
      <c r="H4129" s="37"/>
      <c r="I4129" s="37" t="s">
        <v>29</v>
      </c>
      <c r="J4129" s="155" t="str">
        <f t="shared" si="4"/>
        <v>TT</v>
      </c>
      <c r="K4129" s="22" t="s">
        <v>14589</v>
      </c>
      <c r="L4129" s="56">
        <v>45103</v>
      </c>
      <c r="O4129" s="42"/>
      <c r="P4129" s="40"/>
      <c r="Q4129" s="61"/>
      <c r="R4129" s="61"/>
      <c r="S4129" s="40"/>
      <c r="T4129" s="38"/>
      <c r="U4129" s="38"/>
      <c r="V4129" s="38"/>
      <c r="W4129" s="60"/>
      <c r="AB4129" s="42"/>
      <c r="AC4129" s="35"/>
      <c r="AD4129" s="38"/>
      <c r="AE4129" s="38"/>
      <c r="AF4129" s="38"/>
      <c r="AG4129" s="38"/>
      <c r="AH4129" s="60"/>
    </row>
    <row r="4130" spans="1:34" ht="15.75" customHeight="1">
      <c r="A4130" s="196"/>
      <c r="B4130" s="18" t="s">
        <v>14590</v>
      </c>
      <c r="C4130" s="37" t="s">
        <v>46</v>
      </c>
      <c r="D4130" s="20" t="s">
        <v>14591</v>
      </c>
      <c r="E4130" s="20" t="s">
        <v>14592</v>
      </c>
      <c r="F4130" s="37" t="s">
        <v>49</v>
      </c>
      <c r="G4130" s="19" t="s">
        <v>50</v>
      </c>
      <c r="H4130" s="37"/>
      <c r="I4130" s="37" t="s">
        <v>29</v>
      </c>
      <c r="J4130" s="155" t="str">
        <f t="shared" si="4"/>
        <v>TT</v>
      </c>
      <c r="K4130" s="22" t="s">
        <v>14593</v>
      </c>
      <c r="L4130" s="56">
        <v>45103</v>
      </c>
      <c r="O4130" s="42"/>
      <c r="P4130" s="40"/>
      <c r="Q4130" s="61"/>
      <c r="R4130" s="61"/>
      <c r="S4130" s="40"/>
      <c r="T4130" s="38"/>
      <c r="U4130" s="38"/>
      <c r="V4130" s="38"/>
      <c r="W4130" s="60"/>
      <c r="AB4130" s="42"/>
      <c r="AC4130" s="35"/>
      <c r="AD4130" s="38"/>
      <c r="AE4130" s="38"/>
      <c r="AF4130" s="38"/>
      <c r="AG4130" s="38"/>
      <c r="AH4130" s="60"/>
    </row>
    <row r="4131" spans="1:34" ht="15.75" customHeight="1">
      <c r="A4131" s="196"/>
      <c r="B4131" s="18" t="s">
        <v>14594</v>
      </c>
      <c r="C4131" s="37" t="s">
        <v>46</v>
      </c>
      <c r="D4131" s="20" t="s">
        <v>14595</v>
      </c>
      <c r="E4131" s="20" t="s">
        <v>14596</v>
      </c>
      <c r="F4131" s="37" t="s">
        <v>49</v>
      </c>
      <c r="G4131" s="19" t="s">
        <v>50</v>
      </c>
      <c r="H4131" s="37"/>
      <c r="I4131" s="37" t="s">
        <v>29</v>
      </c>
      <c r="J4131" s="155" t="str">
        <f t="shared" si="4"/>
        <v>TT</v>
      </c>
      <c r="K4131" s="22" t="s">
        <v>14597</v>
      </c>
      <c r="L4131" s="56">
        <v>45103</v>
      </c>
      <c r="O4131" s="42"/>
      <c r="P4131" s="40"/>
      <c r="Q4131" s="61"/>
      <c r="R4131" s="61"/>
      <c r="S4131" s="40"/>
      <c r="T4131" s="38"/>
      <c r="U4131" s="38"/>
      <c r="V4131" s="38"/>
      <c r="W4131" s="60"/>
      <c r="AB4131" s="42"/>
      <c r="AC4131" s="35"/>
      <c r="AD4131" s="38"/>
      <c r="AE4131" s="38"/>
      <c r="AF4131" s="38"/>
      <c r="AG4131" s="38"/>
      <c r="AH4131" s="60"/>
    </row>
    <row r="4132" spans="1:34" ht="15.75" customHeight="1">
      <c r="A4132" s="196"/>
      <c r="B4132" s="18" t="s">
        <v>3291</v>
      </c>
      <c r="C4132" s="37" t="s">
        <v>24</v>
      </c>
      <c r="D4132" s="20" t="s">
        <v>14598</v>
      </c>
      <c r="E4132" s="20" t="s">
        <v>14599</v>
      </c>
      <c r="F4132" s="19" t="s">
        <v>27</v>
      </c>
      <c r="G4132" s="19" t="s">
        <v>28</v>
      </c>
      <c r="H4132" s="37"/>
      <c r="I4132" s="37" t="s">
        <v>29</v>
      </c>
      <c r="J4132" s="155" t="str">
        <f t="shared" si="4"/>
        <v>TT</v>
      </c>
      <c r="K4132" s="22" t="s">
        <v>14600</v>
      </c>
      <c r="L4132" s="56">
        <v>45103</v>
      </c>
      <c r="O4132" s="42"/>
      <c r="P4132" s="40"/>
      <c r="Q4132" s="61"/>
      <c r="R4132" s="61"/>
      <c r="S4132" s="40"/>
      <c r="T4132" s="38"/>
      <c r="U4132" s="38"/>
      <c r="V4132" s="38"/>
      <c r="W4132" s="60"/>
      <c r="AB4132" s="42"/>
      <c r="AC4132" s="35"/>
      <c r="AD4132" s="38"/>
      <c r="AE4132" s="38"/>
      <c r="AF4132" s="38"/>
      <c r="AG4132" s="38"/>
      <c r="AH4132" s="60"/>
    </row>
    <row r="4133" spans="1:34" ht="15.75" customHeight="1">
      <c r="A4133" s="196"/>
      <c r="B4133" s="18" t="s">
        <v>14601</v>
      </c>
      <c r="C4133" s="37" t="s">
        <v>87</v>
      </c>
      <c r="D4133" s="20" t="s">
        <v>14602</v>
      </c>
      <c r="E4133" s="20"/>
      <c r="F4133" s="19" t="s">
        <v>90</v>
      </c>
      <c r="G4133" s="19" t="s">
        <v>91</v>
      </c>
      <c r="H4133" s="37"/>
      <c r="I4133" s="37" t="s">
        <v>29</v>
      </c>
      <c r="J4133" s="155" t="str">
        <f t="shared" si="4"/>
        <v>TT</v>
      </c>
      <c r="K4133" s="22"/>
      <c r="L4133" s="56">
        <v>45103</v>
      </c>
      <c r="O4133" s="42"/>
      <c r="P4133" s="40"/>
      <c r="Q4133" s="61"/>
      <c r="R4133" s="61"/>
      <c r="S4133" s="40"/>
      <c r="T4133" s="38"/>
      <c r="U4133" s="38"/>
      <c r="V4133" s="38"/>
      <c r="W4133" s="60"/>
      <c r="AB4133" s="42"/>
      <c r="AC4133" s="35"/>
      <c r="AD4133" s="38"/>
      <c r="AE4133" s="38"/>
      <c r="AF4133" s="38"/>
      <c r="AG4133" s="38"/>
      <c r="AH4133" s="60"/>
    </row>
    <row r="4134" spans="1:34" ht="15.75" customHeight="1">
      <c r="A4134" s="196"/>
      <c r="B4134" s="18" t="s">
        <v>14603</v>
      </c>
      <c r="C4134" s="37" t="s">
        <v>24</v>
      </c>
      <c r="D4134" s="20" t="s">
        <v>14604</v>
      </c>
      <c r="E4134" s="20" t="s">
        <v>14605</v>
      </c>
      <c r="F4134" s="19" t="s">
        <v>27</v>
      </c>
      <c r="G4134" s="19" t="s">
        <v>28</v>
      </c>
      <c r="H4134" s="37"/>
      <c r="I4134" s="37" t="s">
        <v>29</v>
      </c>
      <c r="J4134" s="155" t="str">
        <f t="shared" si="4"/>
        <v>TT</v>
      </c>
      <c r="K4134" s="22" t="s">
        <v>14606</v>
      </c>
      <c r="L4134" s="56">
        <v>45103</v>
      </c>
      <c r="O4134" s="42"/>
      <c r="P4134" s="40"/>
      <c r="Q4134" s="61"/>
      <c r="R4134" s="61"/>
      <c r="S4134" s="40"/>
      <c r="T4134" s="38"/>
      <c r="U4134" s="38"/>
      <c r="V4134" s="38"/>
      <c r="W4134" s="60"/>
      <c r="AB4134" s="42"/>
      <c r="AC4134" s="35"/>
      <c r="AD4134" s="38"/>
      <c r="AE4134" s="38"/>
      <c r="AF4134" s="38"/>
      <c r="AG4134" s="38"/>
      <c r="AH4134" s="60"/>
    </row>
    <row r="4135" spans="1:34" ht="15.75" customHeight="1">
      <c r="A4135" s="196"/>
      <c r="B4135" s="18" t="s">
        <v>14607</v>
      </c>
      <c r="C4135" s="37" t="s">
        <v>412</v>
      </c>
      <c r="D4135" s="20" t="s">
        <v>14608</v>
      </c>
      <c r="E4135" s="20" t="s">
        <v>14609</v>
      </c>
      <c r="F4135" s="19" t="s">
        <v>414</v>
      </c>
      <c r="G4135" s="19" t="s">
        <v>415</v>
      </c>
      <c r="H4135" s="37"/>
      <c r="I4135" s="37" t="s">
        <v>233</v>
      </c>
      <c r="J4135" s="155" t="str">
        <f t="shared" si="4"/>
        <v>NTT</v>
      </c>
      <c r="K4135" s="22" t="s">
        <v>14610</v>
      </c>
      <c r="L4135" s="56">
        <v>45103</v>
      </c>
      <c r="O4135" s="42"/>
      <c r="P4135" s="40"/>
      <c r="Q4135" s="61"/>
      <c r="R4135" s="61"/>
      <c r="S4135" s="40"/>
      <c r="T4135" s="38"/>
      <c r="U4135" s="38"/>
      <c r="V4135" s="38"/>
      <c r="W4135" s="60"/>
      <c r="AB4135" s="42"/>
      <c r="AC4135" s="35"/>
      <c r="AD4135" s="38"/>
      <c r="AE4135" s="38"/>
      <c r="AF4135" s="38"/>
      <c r="AG4135" s="38"/>
      <c r="AH4135" s="60"/>
    </row>
    <row r="4136" spans="1:34" ht="15.75" customHeight="1">
      <c r="A4136" s="196"/>
      <c r="B4136" s="18" t="s">
        <v>14611</v>
      </c>
      <c r="C4136" s="37" t="s">
        <v>412</v>
      </c>
      <c r="D4136" s="20" t="s">
        <v>14612</v>
      </c>
      <c r="E4136" s="20" t="s">
        <v>14613</v>
      </c>
      <c r="F4136" s="19" t="s">
        <v>414</v>
      </c>
      <c r="G4136" s="37" t="s">
        <v>415</v>
      </c>
      <c r="H4136" s="37"/>
      <c r="I4136" s="37" t="s">
        <v>233</v>
      </c>
      <c r="J4136" s="155" t="str">
        <f t="shared" si="4"/>
        <v>NTT</v>
      </c>
      <c r="K4136" s="22" t="s">
        <v>14614</v>
      </c>
      <c r="L4136" s="56">
        <v>45103</v>
      </c>
      <c r="O4136" s="42"/>
      <c r="P4136" s="40"/>
      <c r="Q4136" s="61"/>
      <c r="R4136" s="61"/>
      <c r="S4136" s="40"/>
      <c r="T4136" s="38"/>
      <c r="U4136" s="38"/>
      <c r="V4136" s="38"/>
      <c r="W4136" s="60"/>
      <c r="AB4136" s="42"/>
      <c r="AC4136" s="35"/>
      <c r="AD4136" s="38"/>
      <c r="AE4136" s="38"/>
      <c r="AF4136" s="38"/>
      <c r="AG4136" s="38"/>
      <c r="AH4136" s="60"/>
    </row>
    <row r="4137" spans="1:34" ht="15.75" customHeight="1">
      <c r="A4137" s="196"/>
      <c r="B4137" s="18" t="s">
        <v>14615</v>
      </c>
      <c r="C4137" s="37" t="s">
        <v>412</v>
      </c>
      <c r="D4137" s="20" t="s">
        <v>14616</v>
      </c>
      <c r="E4137" s="20" t="s">
        <v>14617</v>
      </c>
      <c r="F4137" s="19" t="s">
        <v>414</v>
      </c>
      <c r="G4137" s="19" t="s">
        <v>415</v>
      </c>
      <c r="H4137" s="37"/>
      <c r="I4137" s="37" t="s">
        <v>233</v>
      </c>
      <c r="J4137" s="155" t="str">
        <f t="shared" si="4"/>
        <v>NTT</v>
      </c>
      <c r="K4137" s="22" t="s">
        <v>14618</v>
      </c>
      <c r="L4137" s="56">
        <v>45103</v>
      </c>
      <c r="O4137" s="42"/>
      <c r="P4137" s="40"/>
      <c r="Q4137" s="61"/>
      <c r="R4137" s="61"/>
      <c r="S4137" s="40"/>
      <c r="T4137" s="38"/>
      <c r="U4137" s="38"/>
      <c r="V4137" s="38"/>
      <c r="W4137" s="60"/>
      <c r="AB4137" s="42"/>
      <c r="AC4137" s="35"/>
      <c r="AD4137" s="38"/>
      <c r="AE4137" s="38"/>
      <c r="AF4137" s="38"/>
      <c r="AG4137" s="38"/>
      <c r="AH4137" s="60"/>
    </row>
    <row r="4138" spans="1:34" ht="15.75" customHeight="1">
      <c r="A4138" s="196"/>
      <c r="B4138" s="18" t="s">
        <v>14619</v>
      </c>
      <c r="C4138" s="19" t="s">
        <v>412</v>
      </c>
      <c r="D4138" s="20" t="s">
        <v>14620</v>
      </c>
      <c r="E4138" s="20" t="s">
        <v>14621</v>
      </c>
      <c r="F4138" s="19" t="s">
        <v>414</v>
      </c>
      <c r="G4138" s="37" t="s">
        <v>415</v>
      </c>
      <c r="H4138" s="19"/>
      <c r="I4138" s="37" t="s">
        <v>233</v>
      </c>
      <c r="J4138" s="155" t="str">
        <f t="shared" si="4"/>
        <v>NTT</v>
      </c>
      <c r="K4138" s="22" t="s">
        <v>14622</v>
      </c>
      <c r="L4138" s="56">
        <v>45103</v>
      </c>
      <c r="O4138" s="42"/>
      <c r="P4138" s="40"/>
      <c r="Q4138" s="61"/>
      <c r="R4138" s="61"/>
      <c r="S4138" s="40"/>
      <c r="T4138" s="38"/>
      <c r="U4138" s="38"/>
      <c r="V4138" s="38"/>
      <c r="W4138" s="60"/>
      <c r="AB4138" s="42"/>
      <c r="AC4138" s="35"/>
      <c r="AD4138" s="38"/>
      <c r="AE4138" s="38"/>
      <c r="AF4138" s="38"/>
      <c r="AG4138" s="38"/>
      <c r="AH4138" s="60"/>
    </row>
    <row r="4139" spans="1:34" ht="15.75" customHeight="1">
      <c r="A4139" s="196"/>
      <c r="B4139" s="18" t="s">
        <v>14623</v>
      </c>
      <c r="C4139" s="37" t="s">
        <v>24</v>
      </c>
      <c r="D4139" s="20" t="s">
        <v>14624</v>
      </c>
      <c r="E4139" s="20" t="s">
        <v>14625</v>
      </c>
      <c r="F4139" s="19" t="s">
        <v>27</v>
      </c>
      <c r="G4139" s="19" t="s">
        <v>28</v>
      </c>
      <c r="H4139" s="37"/>
      <c r="I4139" s="21" t="s">
        <v>29</v>
      </c>
      <c r="J4139" s="155" t="str">
        <f t="shared" si="4"/>
        <v>TT</v>
      </c>
      <c r="K4139" s="22" t="s">
        <v>14626</v>
      </c>
      <c r="L4139" s="56">
        <v>45103</v>
      </c>
      <c r="O4139" s="42"/>
      <c r="P4139" s="40"/>
      <c r="Q4139" s="61"/>
      <c r="R4139" s="61"/>
      <c r="S4139" s="40"/>
      <c r="T4139" s="38"/>
      <c r="U4139" s="38"/>
      <c r="V4139" s="38"/>
      <c r="W4139" s="60"/>
      <c r="AB4139" s="42"/>
      <c r="AC4139" s="35"/>
      <c r="AD4139" s="38"/>
      <c r="AE4139" s="38"/>
      <c r="AF4139" s="38"/>
      <c r="AG4139" s="38"/>
      <c r="AH4139" s="60"/>
    </row>
    <row r="4140" spans="1:34" ht="15.75" customHeight="1">
      <c r="A4140" s="196"/>
      <c r="B4140" s="18" t="s">
        <v>14627</v>
      </c>
      <c r="C4140" s="37" t="s">
        <v>87</v>
      </c>
      <c r="D4140" s="20" t="s">
        <v>14628</v>
      </c>
      <c r="E4140" s="20" t="s">
        <v>14629</v>
      </c>
      <c r="F4140" s="19" t="s">
        <v>90</v>
      </c>
      <c r="G4140" s="19" t="s">
        <v>91</v>
      </c>
      <c r="H4140" s="37"/>
      <c r="I4140" s="21" t="s">
        <v>29</v>
      </c>
      <c r="J4140" s="155" t="str">
        <f t="shared" si="4"/>
        <v>TT</v>
      </c>
      <c r="K4140" s="22" t="s">
        <v>14630</v>
      </c>
      <c r="L4140" s="56">
        <v>45103</v>
      </c>
      <c r="O4140" s="42"/>
      <c r="P4140" s="40"/>
      <c r="Q4140" s="61"/>
      <c r="R4140" s="61"/>
      <c r="S4140" s="40"/>
      <c r="T4140" s="38"/>
      <c r="U4140" s="38"/>
      <c r="V4140" s="38"/>
      <c r="W4140" s="60"/>
      <c r="AB4140" s="42"/>
      <c r="AC4140" s="35"/>
      <c r="AD4140" s="38"/>
      <c r="AE4140" s="38"/>
      <c r="AF4140" s="38"/>
      <c r="AG4140" s="38"/>
      <c r="AH4140" s="60"/>
    </row>
    <row r="4141" spans="1:34" ht="15.75" customHeight="1">
      <c r="A4141" s="196"/>
      <c r="B4141" s="18" t="s">
        <v>14631</v>
      </c>
      <c r="C4141" s="37" t="s">
        <v>412</v>
      </c>
      <c r="D4141" s="20" t="s">
        <v>14632</v>
      </c>
      <c r="E4141" s="20" t="s">
        <v>14633</v>
      </c>
      <c r="F4141" s="19" t="s">
        <v>414</v>
      </c>
      <c r="G4141" s="19" t="s">
        <v>415</v>
      </c>
      <c r="H4141" s="37"/>
      <c r="I4141" s="21" t="s">
        <v>29</v>
      </c>
      <c r="J4141" s="155" t="str">
        <f t="shared" si="4"/>
        <v>TT</v>
      </c>
      <c r="K4141" s="22" t="s">
        <v>14634</v>
      </c>
      <c r="L4141" s="56">
        <v>45103</v>
      </c>
      <c r="O4141" s="42"/>
      <c r="P4141" s="40"/>
      <c r="Q4141" s="61"/>
      <c r="R4141" s="61"/>
      <c r="S4141" s="40"/>
      <c r="T4141" s="38"/>
      <c r="U4141" s="38"/>
      <c r="V4141" s="38"/>
      <c r="W4141" s="60"/>
      <c r="AB4141" s="42"/>
      <c r="AC4141" s="35"/>
      <c r="AD4141" s="38"/>
      <c r="AE4141" s="38"/>
      <c r="AF4141" s="38"/>
      <c r="AG4141" s="38"/>
      <c r="AH4141" s="60"/>
    </row>
    <row r="4142" spans="1:34" ht="15.75" customHeight="1">
      <c r="A4142" s="196"/>
      <c r="B4142" s="18" t="s">
        <v>14635</v>
      </c>
      <c r="C4142" s="37" t="s">
        <v>24</v>
      </c>
      <c r="D4142" s="20" t="s">
        <v>14636</v>
      </c>
      <c r="E4142" s="20" t="s">
        <v>14637</v>
      </c>
      <c r="F4142" s="19" t="s">
        <v>27</v>
      </c>
      <c r="G4142" s="19" t="s">
        <v>28</v>
      </c>
      <c r="H4142" s="37"/>
      <c r="I4142" s="21" t="s">
        <v>29</v>
      </c>
      <c r="J4142" s="155" t="str">
        <f t="shared" si="4"/>
        <v>TT</v>
      </c>
      <c r="K4142" s="22" t="s">
        <v>14638</v>
      </c>
      <c r="L4142" s="56">
        <v>45103</v>
      </c>
      <c r="O4142" s="42"/>
      <c r="P4142" s="40"/>
      <c r="Q4142" s="61"/>
      <c r="R4142" s="61"/>
      <c r="S4142" s="40"/>
      <c r="T4142" s="38"/>
      <c r="U4142" s="38"/>
      <c r="V4142" s="38"/>
      <c r="W4142" s="60"/>
      <c r="AB4142" s="42"/>
      <c r="AC4142" s="35"/>
      <c r="AD4142" s="38"/>
      <c r="AE4142" s="38"/>
      <c r="AF4142" s="38"/>
      <c r="AG4142" s="38"/>
      <c r="AH4142" s="60"/>
    </row>
    <row r="4143" spans="1:34" ht="15.75" customHeight="1">
      <c r="A4143" s="196"/>
      <c r="B4143" s="18" t="s">
        <v>14639</v>
      </c>
      <c r="C4143" s="37" t="s">
        <v>46</v>
      </c>
      <c r="D4143" s="20" t="s">
        <v>14640</v>
      </c>
      <c r="E4143" s="20" t="s">
        <v>14641</v>
      </c>
      <c r="F4143" s="37" t="s">
        <v>49</v>
      </c>
      <c r="G4143" s="19" t="s">
        <v>50</v>
      </c>
      <c r="H4143" s="37"/>
      <c r="I4143" s="21" t="s">
        <v>29</v>
      </c>
      <c r="J4143" s="155" t="str">
        <f t="shared" si="4"/>
        <v>TT</v>
      </c>
      <c r="K4143" s="22" t="s">
        <v>14642</v>
      </c>
      <c r="L4143" s="56">
        <v>45103</v>
      </c>
      <c r="O4143" s="42"/>
      <c r="P4143" s="40"/>
      <c r="Q4143" s="61"/>
      <c r="R4143" s="61"/>
      <c r="S4143" s="40"/>
      <c r="T4143" s="38"/>
      <c r="U4143" s="38"/>
      <c r="V4143" s="38"/>
      <c r="W4143" s="60"/>
      <c r="AB4143" s="42"/>
      <c r="AC4143" s="35"/>
      <c r="AD4143" s="38"/>
      <c r="AE4143" s="38"/>
      <c r="AF4143" s="38"/>
      <c r="AG4143" s="38"/>
      <c r="AH4143" s="60"/>
    </row>
    <row r="4144" spans="1:34" ht="15.75" customHeight="1">
      <c r="A4144" s="196"/>
      <c r="B4144" s="18" t="s">
        <v>14643</v>
      </c>
      <c r="C4144" s="37" t="s">
        <v>24</v>
      </c>
      <c r="D4144" s="20" t="s">
        <v>14644</v>
      </c>
      <c r="E4144" s="20" t="s">
        <v>14645</v>
      </c>
      <c r="F4144" s="19" t="s">
        <v>27</v>
      </c>
      <c r="G4144" s="19" t="s">
        <v>28</v>
      </c>
      <c r="H4144" s="37" t="s">
        <v>813</v>
      </c>
      <c r="I4144" s="21" t="s">
        <v>29</v>
      </c>
      <c r="J4144" s="155" t="str">
        <f t="shared" si="4"/>
        <v>TT</v>
      </c>
      <c r="K4144" s="22" t="s">
        <v>14646</v>
      </c>
      <c r="L4144" s="56">
        <v>45103</v>
      </c>
      <c r="O4144" s="42"/>
      <c r="P4144" s="40"/>
      <c r="Q4144" s="61"/>
      <c r="R4144" s="61"/>
      <c r="S4144" s="40"/>
      <c r="T4144" s="38"/>
      <c r="U4144" s="38"/>
      <c r="V4144" s="38"/>
      <c r="W4144" s="60"/>
      <c r="AB4144" s="42"/>
      <c r="AC4144" s="35"/>
      <c r="AD4144" s="38"/>
      <c r="AE4144" s="38"/>
      <c r="AF4144" s="38"/>
      <c r="AG4144" s="38"/>
      <c r="AH4144" s="60"/>
    </row>
    <row r="4145" spans="1:34" ht="15.75" customHeight="1">
      <c r="A4145" s="196"/>
      <c r="B4145" s="18" t="s">
        <v>14647</v>
      </c>
      <c r="C4145" s="37" t="s">
        <v>1638</v>
      </c>
      <c r="D4145" s="20" t="s">
        <v>14648</v>
      </c>
      <c r="E4145" s="20" t="s">
        <v>14649</v>
      </c>
      <c r="F4145" s="37" t="s">
        <v>1399</v>
      </c>
      <c r="G4145" s="19" t="s">
        <v>1641</v>
      </c>
      <c r="H4145" s="37"/>
      <c r="I4145" s="21" t="s">
        <v>1371</v>
      </c>
      <c r="J4145" s="155" t="str">
        <f t="shared" si="4"/>
        <v>Other</v>
      </c>
      <c r="K4145" s="22" t="s">
        <v>14650</v>
      </c>
      <c r="L4145" s="56">
        <v>45103</v>
      </c>
      <c r="O4145" s="42"/>
      <c r="P4145" s="40"/>
      <c r="Q4145" s="61"/>
      <c r="R4145" s="61"/>
      <c r="S4145" s="40"/>
      <c r="T4145" s="38"/>
      <c r="U4145" s="38"/>
      <c r="V4145" s="38"/>
      <c r="W4145" s="60"/>
      <c r="AB4145" s="42"/>
      <c r="AC4145" s="35"/>
      <c r="AD4145" s="38"/>
      <c r="AE4145" s="38"/>
      <c r="AF4145" s="38"/>
      <c r="AG4145" s="38"/>
      <c r="AH4145" s="60"/>
    </row>
    <row r="4146" spans="1:34" ht="15.75" customHeight="1">
      <c r="A4146" s="196"/>
      <c r="B4146" s="18" t="s">
        <v>14651</v>
      </c>
      <c r="C4146" s="197" t="s">
        <v>46</v>
      </c>
      <c r="D4146" s="20" t="s">
        <v>14652</v>
      </c>
      <c r="E4146" s="20" t="s">
        <v>14653</v>
      </c>
      <c r="F4146" s="37" t="s">
        <v>49</v>
      </c>
      <c r="G4146" s="19" t="s">
        <v>50</v>
      </c>
      <c r="H4146" s="197"/>
      <c r="I4146" s="21" t="s">
        <v>29</v>
      </c>
      <c r="J4146" s="155" t="str">
        <f t="shared" si="4"/>
        <v>TT</v>
      </c>
      <c r="K4146" s="22" t="s">
        <v>14654</v>
      </c>
      <c r="L4146" s="56">
        <v>45103</v>
      </c>
      <c r="O4146" s="42"/>
      <c r="P4146" s="40"/>
      <c r="Q4146" s="61"/>
      <c r="R4146" s="61"/>
      <c r="S4146" s="40"/>
      <c r="T4146" s="38"/>
      <c r="U4146" s="38"/>
      <c r="V4146" s="38"/>
      <c r="W4146" s="60"/>
      <c r="AB4146" s="42"/>
      <c r="AC4146" s="35"/>
      <c r="AD4146" s="38"/>
      <c r="AE4146" s="38"/>
      <c r="AF4146" s="38"/>
      <c r="AG4146" s="38"/>
      <c r="AH4146" s="60"/>
    </row>
    <row r="4147" spans="1:34" ht="15.75" customHeight="1">
      <c r="A4147" s="196"/>
      <c r="B4147" s="18" t="s">
        <v>14655</v>
      </c>
      <c r="C4147" s="37" t="s">
        <v>87</v>
      </c>
      <c r="D4147" s="20" t="s">
        <v>14656</v>
      </c>
      <c r="E4147" s="20" t="s">
        <v>14657</v>
      </c>
      <c r="F4147" s="19" t="s">
        <v>90</v>
      </c>
      <c r="G4147" s="19" t="s">
        <v>91</v>
      </c>
      <c r="H4147" s="37"/>
      <c r="I4147" s="21" t="s">
        <v>29</v>
      </c>
      <c r="J4147" s="155" t="str">
        <f t="shared" si="4"/>
        <v>TT</v>
      </c>
      <c r="K4147" s="22" t="s">
        <v>14658</v>
      </c>
      <c r="L4147" s="56">
        <v>45103</v>
      </c>
      <c r="O4147" s="42"/>
      <c r="P4147" s="40"/>
      <c r="Q4147" s="61"/>
      <c r="R4147" s="61"/>
      <c r="S4147" s="40"/>
      <c r="T4147" s="38"/>
      <c r="U4147" s="38"/>
      <c r="V4147" s="38"/>
      <c r="W4147" s="60"/>
      <c r="AB4147" s="42"/>
      <c r="AC4147" s="35"/>
      <c r="AD4147" s="38"/>
      <c r="AE4147" s="38"/>
      <c r="AF4147" s="38"/>
      <c r="AG4147" s="38"/>
      <c r="AH4147" s="60"/>
    </row>
    <row r="4148" spans="1:34" ht="15.75" customHeight="1">
      <c r="A4148" s="196"/>
      <c r="B4148" s="18" t="s">
        <v>14659</v>
      </c>
      <c r="C4148" s="37" t="s">
        <v>87</v>
      </c>
      <c r="D4148" s="20" t="s">
        <v>14660</v>
      </c>
      <c r="E4148" s="20" t="s">
        <v>14661</v>
      </c>
      <c r="F4148" s="19" t="s">
        <v>90</v>
      </c>
      <c r="G4148" s="19" t="s">
        <v>91</v>
      </c>
      <c r="H4148" s="37"/>
      <c r="I4148" s="21" t="s">
        <v>29</v>
      </c>
      <c r="J4148" s="155" t="str">
        <f t="shared" si="4"/>
        <v>TT</v>
      </c>
      <c r="K4148" s="22" t="s">
        <v>14662</v>
      </c>
      <c r="L4148" s="56">
        <v>45103</v>
      </c>
      <c r="O4148" s="42"/>
      <c r="P4148" s="40"/>
      <c r="Q4148" s="61"/>
      <c r="R4148" s="61"/>
      <c r="S4148" s="40"/>
      <c r="T4148" s="38"/>
      <c r="U4148" s="38"/>
      <c r="V4148" s="38"/>
      <c r="W4148" s="60"/>
      <c r="AB4148" s="42"/>
      <c r="AC4148" s="35"/>
      <c r="AD4148" s="38"/>
      <c r="AE4148" s="38"/>
      <c r="AF4148" s="38"/>
      <c r="AG4148" s="38"/>
      <c r="AH4148" s="60"/>
    </row>
    <row r="4149" spans="1:34" ht="15.75" customHeight="1">
      <c r="A4149" s="196"/>
      <c r="B4149" s="18" t="s">
        <v>14663</v>
      </c>
      <c r="C4149" s="37" t="s">
        <v>87</v>
      </c>
      <c r="D4149" s="20" t="s">
        <v>14664</v>
      </c>
      <c r="E4149" s="20" t="s">
        <v>14665</v>
      </c>
      <c r="F4149" s="19" t="s">
        <v>90</v>
      </c>
      <c r="G4149" s="19" t="s">
        <v>91</v>
      </c>
      <c r="H4149" s="37"/>
      <c r="I4149" s="21" t="s">
        <v>29</v>
      </c>
      <c r="J4149" s="155" t="str">
        <f t="shared" si="4"/>
        <v>TT</v>
      </c>
      <c r="K4149" s="22" t="s">
        <v>14666</v>
      </c>
      <c r="L4149" s="56">
        <v>45103</v>
      </c>
      <c r="O4149" s="42"/>
      <c r="P4149" s="40"/>
      <c r="Q4149" s="61"/>
      <c r="R4149" s="61"/>
      <c r="S4149" s="40"/>
      <c r="T4149" s="38"/>
      <c r="U4149" s="38"/>
      <c r="V4149" s="38"/>
      <c r="W4149" s="60"/>
      <c r="AB4149" s="42"/>
      <c r="AC4149" s="35"/>
      <c r="AD4149" s="38"/>
      <c r="AE4149" s="38"/>
      <c r="AF4149" s="38"/>
      <c r="AG4149" s="38"/>
      <c r="AH4149" s="60"/>
    </row>
    <row r="4150" spans="1:34" ht="15.75" customHeight="1">
      <c r="A4150" s="196"/>
      <c r="B4150" s="18" t="s">
        <v>14667</v>
      </c>
      <c r="C4150" s="37" t="s">
        <v>87</v>
      </c>
      <c r="D4150" s="20" t="s">
        <v>14668</v>
      </c>
      <c r="E4150" s="20" t="s">
        <v>14669</v>
      </c>
      <c r="F4150" s="19" t="s">
        <v>90</v>
      </c>
      <c r="G4150" s="19" t="s">
        <v>91</v>
      </c>
      <c r="H4150" s="37"/>
      <c r="I4150" s="21" t="s">
        <v>29</v>
      </c>
      <c r="J4150" s="155" t="str">
        <f t="shared" si="4"/>
        <v>TT</v>
      </c>
      <c r="K4150" s="22" t="s">
        <v>14670</v>
      </c>
      <c r="L4150" s="56">
        <v>45103</v>
      </c>
      <c r="O4150" s="42"/>
      <c r="P4150" s="40"/>
      <c r="Q4150" s="61"/>
      <c r="R4150" s="61"/>
      <c r="S4150" s="40"/>
      <c r="T4150" s="38"/>
      <c r="U4150" s="38"/>
      <c r="V4150" s="38"/>
      <c r="W4150" s="60"/>
      <c r="AB4150" s="42"/>
      <c r="AC4150" s="35"/>
      <c r="AD4150" s="38"/>
      <c r="AE4150" s="38"/>
      <c r="AF4150" s="38"/>
      <c r="AG4150" s="38"/>
      <c r="AH4150" s="60"/>
    </row>
    <row r="4151" spans="1:34" ht="15.75" customHeight="1">
      <c r="A4151" s="196"/>
      <c r="B4151" s="18" t="s">
        <v>14671</v>
      </c>
      <c r="C4151" s="37" t="s">
        <v>24</v>
      </c>
      <c r="D4151" s="20" t="s">
        <v>14672</v>
      </c>
      <c r="E4151" s="20" t="s">
        <v>14673</v>
      </c>
      <c r="F4151" s="19" t="s">
        <v>27</v>
      </c>
      <c r="G4151" s="19" t="s">
        <v>28</v>
      </c>
      <c r="H4151" s="37"/>
      <c r="I4151" s="21" t="s">
        <v>29</v>
      </c>
      <c r="J4151" s="155" t="str">
        <f t="shared" si="4"/>
        <v>TT</v>
      </c>
      <c r="K4151" s="22" t="s">
        <v>14674</v>
      </c>
      <c r="L4151" s="56">
        <v>45103</v>
      </c>
      <c r="O4151" s="42"/>
      <c r="P4151" s="40"/>
      <c r="Q4151" s="61"/>
      <c r="R4151" s="61"/>
      <c r="S4151" s="40"/>
      <c r="T4151" s="38"/>
      <c r="U4151" s="38"/>
      <c r="V4151" s="38"/>
      <c r="W4151" s="60"/>
      <c r="AB4151" s="42"/>
      <c r="AC4151" s="35"/>
      <c r="AD4151" s="38"/>
      <c r="AE4151" s="38"/>
      <c r="AF4151" s="38"/>
      <c r="AG4151" s="38"/>
      <c r="AH4151" s="60"/>
    </row>
    <row r="4152" spans="1:34" ht="15.75" customHeight="1">
      <c r="A4152" s="196"/>
      <c r="B4152" s="18" t="s">
        <v>14675</v>
      </c>
      <c r="C4152" s="37" t="s">
        <v>87</v>
      </c>
      <c r="D4152" s="20" t="s">
        <v>14676</v>
      </c>
      <c r="E4152" s="20" t="s">
        <v>14677</v>
      </c>
      <c r="F4152" s="19" t="s">
        <v>90</v>
      </c>
      <c r="G4152" s="19" t="s">
        <v>91</v>
      </c>
      <c r="H4152" s="37"/>
      <c r="I4152" s="21" t="s">
        <v>29</v>
      </c>
      <c r="J4152" s="155" t="str">
        <f t="shared" si="4"/>
        <v>TT</v>
      </c>
      <c r="K4152" s="22" t="s">
        <v>14678</v>
      </c>
      <c r="L4152" s="56">
        <v>45103</v>
      </c>
      <c r="O4152" s="42"/>
      <c r="P4152" s="40"/>
      <c r="Q4152" s="61"/>
      <c r="R4152" s="61"/>
      <c r="S4152" s="40"/>
      <c r="T4152" s="38"/>
      <c r="U4152" s="38"/>
      <c r="V4152" s="38"/>
      <c r="W4152" s="60"/>
      <c r="AB4152" s="42"/>
      <c r="AC4152" s="35"/>
      <c r="AD4152" s="38"/>
      <c r="AE4152" s="38"/>
      <c r="AF4152" s="38"/>
      <c r="AG4152" s="38"/>
      <c r="AH4152" s="60"/>
    </row>
    <row r="4153" spans="1:34" ht="15.75" customHeight="1">
      <c r="A4153" s="196"/>
      <c r="B4153" s="18" t="s">
        <v>14679</v>
      </c>
      <c r="C4153" s="37" t="s">
        <v>87</v>
      </c>
      <c r="D4153" s="20" t="s">
        <v>14680</v>
      </c>
      <c r="E4153" s="20" t="s">
        <v>14681</v>
      </c>
      <c r="F4153" s="19" t="s">
        <v>90</v>
      </c>
      <c r="G4153" s="19" t="s">
        <v>91</v>
      </c>
      <c r="H4153" s="37"/>
      <c r="I4153" s="21" t="s">
        <v>29</v>
      </c>
      <c r="J4153" s="155" t="str">
        <f t="shared" si="4"/>
        <v>TT</v>
      </c>
      <c r="K4153" s="22" t="s">
        <v>14682</v>
      </c>
      <c r="L4153" s="56">
        <v>45103</v>
      </c>
      <c r="O4153" s="42"/>
      <c r="P4153" s="40"/>
      <c r="Q4153" s="61"/>
      <c r="R4153" s="61"/>
      <c r="S4153" s="40"/>
      <c r="T4153" s="38"/>
      <c r="U4153" s="38"/>
      <c r="V4153" s="38"/>
      <c r="W4153" s="60"/>
      <c r="AB4153" s="42"/>
      <c r="AC4153" s="35"/>
      <c r="AD4153" s="38"/>
      <c r="AE4153" s="38"/>
      <c r="AF4153" s="38"/>
      <c r="AG4153" s="38"/>
      <c r="AH4153" s="60"/>
    </row>
    <row r="4154" spans="1:34" ht="15.75" customHeight="1">
      <c r="A4154" s="196"/>
      <c r="B4154" s="38"/>
      <c r="C4154" s="37"/>
      <c r="D4154" s="20"/>
      <c r="E4154" s="20"/>
      <c r="F4154" s="37"/>
      <c r="G4154" s="37"/>
      <c r="H4154" s="37"/>
      <c r="I4154" s="37"/>
      <c r="J4154" s="155">
        <f t="shared" si="4"/>
        <v>0</v>
      </c>
      <c r="K4154" s="22"/>
      <c r="L4154" s="39"/>
      <c r="O4154" s="42"/>
      <c r="P4154" s="40"/>
      <c r="Q4154" s="61"/>
      <c r="R4154" s="61"/>
      <c r="S4154" s="40"/>
      <c r="T4154" s="38"/>
      <c r="U4154" s="38"/>
      <c r="V4154" s="38"/>
      <c r="W4154" s="60"/>
      <c r="AB4154" s="42"/>
      <c r="AC4154" s="35"/>
      <c r="AD4154" s="38"/>
      <c r="AE4154" s="38"/>
      <c r="AF4154" s="38"/>
      <c r="AG4154" s="38"/>
      <c r="AH4154" s="60"/>
    </row>
    <row r="4155" spans="1:34" ht="15.75" customHeight="1">
      <c r="A4155" s="35" t="s">
        <v>14683</v>
      </c>
      <c r="B4155" s="158" t="s">
        <v>14684</v>
      </c>
      <c r="C4155" s="37" t="s">
        <v>24</v>
      </c>
      <c r="D4155" s="20" t="s">
        <v>14685</v>
      </c>
      <c r="E4155" s="20" t="s">
        <v>14686</v>
      </c>
      <c r="F4155" s="19" t="s">
        <v>27</v>
      </c>
      <c r="G4155" s="19" t="s">
        <v>28</v>
      </c>
      <c r="H4155" s="19" t="s">
        <v>36</v>
      </c>
      <c r="I4155" s="37" t="s">
        <v>29</v>
      </c>
      <c r="J4155" s="155" t="str">
        <f t="shared" si="4"/>
        <v>TT</v>
      </c>
      <c r="K4155" s="22" t="s">
        <v>14687</v>
      </c>
      <c r="L4155" s="56">
        <v>45103</v>
      </c>
      <c r="M4155" s="40"/>
      <c r="O4155" s="42"/>
      <c r="P4155" s="40"/>
      <c r="Q4155" s="61"/>
      <c r="R4155" s="61"/>
      <c r="S4155" s="40"/>
      <c r="T4155" s="38"/>
      <c r="U4155" s="38"/>
      <c r="V4155" s="38"/>
      <c r="W4155" s="60"/>
      <c r="AB4155" s="42"/>
      <c r="AC4155" s="35"/>
      <c r="AD4155" s="38"/>
      <c r="AE4155" s="38"/>
      <c r="AF4155" s="38"/>
      <c r="AG4155" s="38"/>
      <c r="AH4155" s="60"/>
    </row>
    <row r="4156" spans="1:34" ht="15.75" customHeight="1">
      <c r="A4156" s="54" t="s">
        <v>6929</v>
      </c>
      <c r="B4156" s="158" t="s">
        <v>14688</v>
      </c>
      <c r="C4156" s="37" t="s">
        <v>24</v>
      </c>
      <c r="D4156" s="20" t="s">
        <v>14689</v>
      </c>
      <c r="E4156" s="20" t="s">
        <v>14690</v>
      </c>
      <c r="F4156" s="19" t="s">
        <v>27</v>
      </c>
      <c r="G4156" s="19" t="s">
        <v>28</v>
      </c>
      <c r="H4156" s="37"/>
      <c r="I4156" s="37" t="s">
        <v>29</v>
      </c>
      <c r="J4156" s="155" t="str">
        <f t="shared" si="4"/>
        <v>TT</v>
      </c>
      <c r="K4156" s="22" t="s">
        <v>14691</v>
      </c>
      <c r="L4156" s="56">
        <v>45103</v>
      </c>
      <c r="O4156" s="42"/>
      <c r="P4156" s="40"/>
      <c r="Q4156" s="61"/>
      <c r="R4156" s="61"/>
      <c r="S4156" s="40"/>
      <c r="T4156" s="38"/>
      <c r="U4156" s="38"/>
      <c r="V4156" s="38"/>
      <c r="W4156" s="60"/>
      <c r="AB4156" s="42"/>
      <c r="AC4156" s="35"/>
      <c r="AD4156" s="38"/>
      <c r="AE4156" s="38"/>
      <c r="AF4156" s="38"/>
      <c r="AG4156" s="38"/>
      <c r="AH4156" s="60"/>
    </row>
    <row r="4157" spans="1:34" ht="15.75" customHeight="1">
      <c r="A4157" s="114" t="s">
        <v>39</v>
      </c>
      <c r="B4157" s="158" t="s">
        <v>14692</v>
      </c>
      <c r="C4157" s="37" t="s">
        <v>46</v>
      </c>
      <c r="D4157" s="20" t="s">
        <v>14693</v>
      </c>
      <c r="E4157" s="20" t="s">
        <v>14694</v>
      </c>
      <c r="F4157" s="37" t="s">
        <v>49</v>
      </c>
      <c r="G4157" s="19" t="s">
        <v>50</v>
      </c>
      <c r="H4157" s="37"/>
      <c r="I4157" s="37" t="s">
        <v>29</v>
      </c>
      <c r="J4157" s="155" t="str">
        <f t="shared" si="4"/>
        <v>TT</v>
      </c>
      <c r="K4157" s="22" t="s">
        <v>14695</v>
      </c>
      <c r="L4157" s="56">
        <v>45103</v>
      </c>
      <c r="O4157" s="42"/>
      <c r="P4157" s="40"/>
      <c r="Q4157" s="61"/>
      <c r="R4157" s="61"/>
      <c r="S4157" s="40"/>
      <c r="T4157" s="38"/>
      <c r="U4157" s="38"/>
      <c r="V4157" s="38"/>
      <c r="W4157" s="60"/>
      <c r="AB4157" s="42"/>
      <c r="AC4157" s="35"/>
      <c r="AD4157" s="38"/>
      <c r="AE4157" s="38"/>
      <c r="AF4157" s="38"/>
      <c r="AG4157" s="38"/>
      <c r="AH4157" s="60"/>
    </row>
    <row r="4158" spans="1:34" ht="15.75" customHeight="1">
      <c r="A4158" s="38" t="s">
        <v>14696</v>
      </c>
      <c r="B4158" s="158" t="s">
        <v>14697</v>
      </c>
      <c r="C4158" s="37" t="s">
        <v>87</v>
      </c>
      <c r="D4158" s="20" t="s">
        <v>14698</v>
      </c>
      <c r="E4158" s="20" t="s">
        <v>14699</v>
      </c>
      <c r="F4158" s="19" t="s">
        <v>90</v>
      </c>
      <c r="G4158" s="19" t="s">
        <v>91</v>
      </c>
      <c r="H4158" s="37"/>
      <c r="I4158" s="37" t="s">
        <v>29</v>
      </c>
      <c r="J4158" s="155" t="str">
        <f t="shared" si="4"/>
        <v>TT</v>
      </c>
      <c r="K4158" s="22" t="s">
        <v>14700</v>
      </c>
      <c r="L4158" s="56">
        <v>45103</v>
      </c>
      <c r="O4158" s="42"/>
      <c r="P4158" s="40"/>
      <c r="Q4158" s="61"/>
      <c r="R4158" s="61"/>
      <c r="S4158" s="40"/>
      <c r="T4158" s="38"/>
      <c r="U4158" s="38"/>
      <c r="V4158" s="38"/>
      <c r="W4158" s="60"/>
      <c r="AB4158" s="42"/>
      <c r="AC4158" s="35"/>
      <c r="AD4158" s="38"/>
      <c r="AE4158" s="38"/>
      <c r="AF4158" s="38"/>
      <c r="AG4158" s="38"/>
      <c r="AH4158" s="60"/>
    </row>
    <row r="4159" spans="1:34" ht="15.75" customHeight="1">
      <c r="A4159" s="75" t="s">
        <v>13413</v>
      </c>
      <c r="B4159" s="158" t="s">
        <v>14701</v>
      </c>
      <c r="C4159" s="37" t="s">
        <v>24</v>
      </c>
      <c r="D4159" s="20" t="s">
        <v>14702</v>
      </c>
      <c r="E4159" s="20" t="s">
        <v>14703</v>
      </c>
      <c r="F4159" s="19" t="s">
        <v>27</v>
      </c>
      <c r="G4159" s="19" t="s">
        <v>28</v>
      </c>
      <c r="H4159" s="37"/>
      <c r="I4159" s="37" t="s">
        <v>29</v>
      </c>
      <c r="J4159" s="155" t="str">
        <f t="shared" si="4"/>
        <v>TT</v>
      </c>
      <c r="K4159" s="22" t="s">
        <v>14704</v>
      </c>
      <c r="L4159" s="56">
        <v>45103</v>
      </c>
      <c r="O4159" s="42"/>
      <c r="P4159" s="40"/>
      <c r="Q4159" s="61"/>
      <c r="R4159" s="61"/>
      <c r="S4159" s="40"/>
      <c r="T4159" s="38"/>
      <c r="U4159" s="38"/>
      <c r="V4159" s="38"/>
      <c r="W4159" s="60"/>
      <c r="AB4159" s="42"/>
      <c r="AC4159" s="35"/>
      <c r="AD4159" s="38"/>
      <c r="AE4159" s="38"/>
      <c r="AF4159" s="38"/>
      <c r="AG4159" s="38"/>
      <c r="AH4159" s="60"/>
    </row>
    <row r="4160" spans="1:34" ht="15.75" customHeight="1">
      <c r="A4160" s="50" t="s">
        <v>56</v>
      </c>
      <c r="B4160" s="158" t="s">
        <v>14705</v>
      </c>
      <c r="C4160" s="37" t="s">
        <v>412</v>
      </c>
      <c r="D4160" s="20" t="s">
        <v>14706</v>
      </c>
      <c r="E4160" s="20" t="s">
        <v>14707</v>
      </c>
      <c r="F4160" s="19" t="s">
        <v>414</v>
      </c>
      <c r="G4160" s="37" t="s">
        <v>415</v>
      </c>
      <c r="H4160" s="37"/>
      <c r="I4160" s="37" t="s">
        <v>233</v>
      </c>
      <c r="J4160" s="155" t="str">
        <f t="shared" si="4"/>
        <v>NTT</v>
      </c>
      <c r="K4160" s="22" t="s">
        <v>14708</v>
      </c>
      <c r="L4160" s="56">
        <v>45103</v>
      </c>
      <c r="O4160" s="42"/>
      <c r="P4160" s="40"/>
      <c r="Q4160" s="61"/>
      <c r="R4160" s="61"/>
      <c r="S4160" s="40"/>
      <c r="T4160" s="38"/>
      <c r="U4160" s="38"/>
      <c r="V4160" s="38"/>
      <c r="W4160" s="60"/>
      <c r="AB4160" s="42"/>
      <c r="AC4160" s="35"/>
      <c r="AD4160" s="38"/>
      <c r="AE4160" s="38"/>
      <c r="AF4160" s="38"/>
      <c r="AG4160" s="38"/>
      <c r="AH4160" s="60"/>
    </row>
    <row r="4161" spans="1:34" ht="15.75" customHeight="1">
      <c r="A4161" s="17">
        <v>44</v>
      </c>
      <c r="B4161" s="158" t="s">
        <v>14709</v>
      </c>
      <c r="C4161" s="37" t="s">
        <v>46</v>
      </c>
      <c r="D4161" s="20" t="s">
        <v>14710</v>
      </c>
      <c r="E4161" s="20" t="s">
        <v>14711</v>
      </c>
      <c r="F4161" s="37" t="s">
        <v>49</v>
      </c>
      <c r="G4161" s="19" t="s">
        <v>50</v>
      </c>
      <c r="H4161" s="37"/>
      <c r="I4161" s="37" t="s">
        <v>29</v>
      </c>
      <c r="J4161" s="155" t="str">
        <f t="shared" si="4"/>
        <v>TT</v>
      </c>
      <c r="K4161" s="22" t="s">
        <v>14712</v>
      </c>
      <c r="L4161" s="56">
        <v>45103</v>
      </c>
      <c r="O4161" s="42"/>
      <c r="P4161" s="40"/>
      <c r="Q4161" s="61"/>
      <c r="R4161" s="61"/>
      <c r="S4161" s="40"/>
      <c r="T4161" s="38"/>
      <c r="U4161" s="38"/>
      <c r="V4161" s="38"/>
      <c r="W4161" s="60"/>
      <c r="AB4161" s="42"/>
      <c r="AC4161" s="35"/>
      <c r="AD4161" s="38"/>
      <c r="AE4161" s="38"/>
      <c r="AF4161" s="38"/>
      <c r="AG4161" s="38"/>
      <c r="AH4161" s="60"/>
    </row>
    <row r="4162" spans="1:34" ht="15.75" customHeight="1">
      <c r="A4162" s="111" t="s">
        <v>64</v>
      </c>
      <c r="B4162" s="158" t="s">
        <v>14713</v>
      </c>
      <c r="C4162" s="37" t="s">
        <v>24</v>
      </c>
      <c r="D4162" s="20" t="s">
        <v>14714</v>
      </c>
      <c r="E4162" s="20" t="s">
        <v>14715</v>
      </c>
      <c r="F4162" s="19" t="s">
        <v>27</v>
      </c>
      <c r="G4162" s="19" t="s">
        <v>28</v>
      </c>
      <c r="H4162" s="37"/>
      <c r="I4162" s="37" t="s">
        <v>29</v>
      </c>
      <c r="J4162" s="155" t="str">
        <f t="shared" si="4"/>
        <v>TT</v>
      </c>
      <c r="K4162" s="22" t="s">
        <v>14716</v>
      </c>
      <c r="L4162" s="56">
        <v>45103</v>
      </c>
      <c r="O4162" s="42"/>
      <c r="P4162" s="40"/>
      <c r="Q4162" s="61"/>
      <c r="R4162" s="61"/>
      <c r="S4162" s="40"/>
      <c r="T4162" s="38"/>
      <c r="U4162" s="38"/>
      <c r="V4162" s="38"/>
      <c r="W4162" s="60"/>
      <c r="AB4162" s="42"/>
      <c r="AC4162" s="35"/>
      <c r="AD4162" s="38"/>
      <c r="AE4162" s="38"/>
      <c r="AF4162" s="38"/>
      <c r="AG4162" s="38"/>
      <c r="AH4162" s="60"/>
    </row>
    <row r="4163" spans="1:34" ht="15.75" customHeight="1">
      <c r="A4163" s="75">
        <v>2.4</v>
      </c>
      <c r="B4163" s="158" t="s">
        <v>14717</v>
      </c>
      <c r="C4163" s="37" t="s">
        <v>24</v>
      </c>
      <c r="D4163" s="20" t="s">
        <v>14718</v>
      </c>
      <c r="E4163" s="20" t="s">
        <v>14719</v>
      </c>
      <c r="F4163" s="19" t="s">
        <v>27</v>
      </c>
      <c r="G4163" s="19" t="s">
        <v>28</v>
      </c>
      <c r="H4163" s="19" t="s">
        <v>36</v>
      </c>
      <c r="I4163" s="37" t="s">
        <v>29</v>
      </c>
      <c r="J4163" s="155" t="str">
        <f t="shared" si="4"/>
        <v>TT</v>
      </c>
      <c r="K4163" s="22" t="s">
        <v>14720</v>
      </c>
      <c r="L4163" s="56">
        <v>45103</v>
      </c>
      <c r="O4163" s="42"/>
      <c r="P4163" s="40"/>
      <c r="Q4163" s="61"/>
      <c r="R4163" s="61"/>
      <c r="S4163" s="40"/>
      <c r="T4163" s="38"/>
      <c r="U4163" s="38"/>
      <c r="V4163" s="38"/>
      <c r="W4163" s="60"/>
      <c r="AB4163" s="42"/>
      <c r="AC4163" s="35"/>
      <c r="AD4163" s="38"/>
      <c r="AE4163" s="38"/>
      <c r="AF4163" s="38"/>
      <c r="AG4163" s="38"/>
      <c r="AH4163" s="60"/>
    </row>
    <row r="4164" spans="1:34" ht="15.75" customHeight="1">
      <c r="A4164" s="111" t="s">
        <v>73</v>
      </c>
      <c r="B4164" s="158" t="s">
        <v>14721</v>
      </c>
      <c r="C4164" s="143" t="s">
        <v>228</v>
      </c>
      <c r="D4164" s="20" t="s">
        <v>14722</v>
      </c>
      <c r="E4164" s="20" t="s">
        <v>14723</v>
      </c>
      <c r="F4164" s="19" t="s">
        <v>231</v>
      </c>
      <c r="G4164" s="19" t="s">
        <v>232</v>
      </c>
      <c r="H4164" s="37" t="s">
        <v>813</v>
      </c>
      <c r="I4164" s="37" t="s">
        <v>233</v>
      </c>
      <c r="J4164" s="155" t="str">
        <f t="shared" si="4"/>
        <v>NTT</v>
      </c>
      <c r="K4164" s="22" t="s">
        <v>14724</v>
      </c>
      <c r="L4164" s="56">
        <v>45103</v>
      </c>
      <c r="O4164" s="42"/>
      <c r="P4164" s="40"/>
      <c r="Q4164" s="61"/>
      <c r="R4164" s="61"/>
      <c r="S4164" s="40"/>
      <c r="T4164" s="38"/>
      <c r="U4164" s="38"/>
      <c r="V4164" s="38"/>
      <c r="W4164" s="60"/>
      <c r="AB4164" s="42"/>
      <c r="AC4164" s="35"/>
      <c r="AD4164" s="38"/>
      <c r="AE4164" s="38"/>
      <c r="AF4164" s="38"/>
      <c r="AG4164" s="38"/>
      <c r="AH4164" s="60"/>
    </row>
    <row r="4165" spans="1:34" ht="15.75" customHeight="1">
      <c r="A4165" s="75">
        <v>3.2</v>
      </c>
      <c r="B4165" s="158" t="s">
        <v>14725</v>
      </c>
      <c r="C4165" s="37" t="s">
        <v>46</v>
      </c>
      <c r="D4165" s="20" t="s">
        <v>14726</v>
      </c>
      <c r="E4165" s="20" t="s">
        <v>14727</v>
      </c>
      <c r="F4165" s="37" t="s">
        <v>49</v>
      </c>
      <c r="G4165" s="19" t="s">
        <v>50</v>
      </c>
      <c r="H4165" s="37" t="s">
        <v>813</v>
      </c>
      <c r="I4165" s="37" t="s">
        <v>29</v>
      </c>
      <c r="J4165" s="155" t="str">
        <f t="shared" si="4"/>
        <v>TT</v>
      </c>
      <c r="K4165" s="22" t="s">
        <v>14728</v>
      </c>
      <c r="L4165" s="56">
        <v>45103</v>
      </c>
      <c r="O4165" s="42"/>
      <c r="P4165" s="40"/>
      <c r="Q4165" s="61"/>
      <c r="R4165" s="61"/>
      <c r="S4165" s="40"/>
      <c r="T4165" s="38"/>
      <c r="U4165" s="38"/>
      <c r="V4165" s="38"/>
      <c r="W4165" s="60"/>
      <c r="AB4165" s="42"/>
      <c r="AC4165" s="35"/>
      <c r="AD4165" s="38"/>
      <c r="AE4165" s="38"/>
      <c r="AF4165" s="38"/>
      <c r="AG4165" s="38"/>
      <c r="AH4165" s="60"/>
    </row>
    <row r="4166" spans="1:34" ht="15.75" customHeight="1">
      <c r="A4166" s="111" t="s">
        <v>82</v>
      </c>
      <c r="B4166" s="158" t="s">
        <v>14729</v>
      </c>
      <c r="C4166" s="143" t="s">
        <v>24</v>
      </c>
      <c r="D4166" s="20" t="s">
        <v>14730</v>
      </c>
      <c r="E4166" s="20" t="s">
        <v>14731</v>
      </c>
      <c r="F4166" s="19" t="s">
        <v>27</v>
      </c>
      <c r="G4166" s="19" t="s">
        <v>28</v>
      </c>
      <c r="H4166" s="143"/>
      <c r="I4166" s="37" t="s">
        <v>29</v>
      </c>
      <c r="J4166" s="155" t="str">
        <f t="shared" si="4"/>
        <v>TT</v>
      </c>
      <c r="K4166" s="22" t="s">
        <v>14732</v>
      </c>
      <c r="L4166" s="56">
        <v>45103</v>
      </c>
      <c r="O4166" s="42"/>
      <c r="P4166" s="40"/>
      <c r="Q4166" s="61"/>
      <c r="R4166" s="61"/>
      <c r="S4166" s="40"/>
      <c r="T4166" s="38"/>
      <c r="U4166" s="38"/>
      <c r="V4166" s="38"/>
      <c r="W4166" s="60"/>
      <c r="AB4166" s="42"/>
      <c r="AC4166" s="35"/>
      <c r="AD4166" s="38"/>
      <c r="AE4166" s="38"/>
      <c r="AF4166" s="38"/>
      <c r="AG4166" s="38"/>
      <c r="AH4166" s="60"/>
    </row>
    <row r="4167" spans="1:34" ht="15.75" customHeight="1">
      <c r="A4167" s="112" t="s">
        <v>11154</v>
      </c>
      <c r="B4167" s="159" t="s">
        <v>14733</v>
      </c>
      <c r="C4167" s="37" t="s">
        <v>87</v>
      </c>
      <c r="D4167" s="20" t="s">
        <v>14734</v>
      </c>
      <c r="E4167" s="20" t="s">
        <v>14735</v>
      </c>
      <c r="F4167" s="19" t="s">
        <v>90</v>
      </c>
      <c r="G4167" s="19" t="s">
        <v>91</v>
      </c>
      <c r="H4167" s="37"/>
      <c r="I4167" s="37" t="s">
        <v>29</v>
      </c>
      <c r="J4167" s="155" t="str">
        <f t="shared" si="4"/>
        <v>TT</v>
      </c>
      <c r="K4167" s="22" t="s">
        <v>14736</v>
      </c>
      <c r="L4167" s="56">
        <v>45103</v>
      </c>
      <c r="O4167" s="42"/>
      <c r="P4167" s="40"/>
      <c r="Q4167" s="61"/>
      <c r="R4167" s="61"/>
      <c r="S4167" s="40"/>
      <c r="T4167" s="38"/>
      <c r="U4167" s="38"/>
      <c r="V4167" s="38"/>
      <c r="W4167" s="60"/>
      <c r="AB4167" s="42"/>
      <c r="AC4167" s="35"/>
      <c r="AD4167" s="38"/>
      <c r="AE4167" s="38"/>
      <c r="AF4167" s="38"/>
      <c r="AG4167" s="38"/>
      <c r="AH4167" s="60"/>
    </row>
    <row r="4168" spans="1:34" ht="15.75" customHeight="1">
      <c r="A4168" s="111" t="s">
        <v>92</v>
      </c>
      <c r="B4168" s="158" t="s">
        <v>14737</v>
      </c>
      <c r="C4168" s="37" t="s">
        <v>412</v>
      </c>
      <c r="D4168" s="20" t="s">
        <v>14738</v>
      </c>
      <c r="E4168" s="20" t="s">
        <v>14739</v>
      </c>
      <c r="F4168" s="19" t="s">
        <v>414</v>
      </c>
      <c r="G4168" s="19" t="s">
        <v>415</v>
      </c>
      <c r="H4168" s="37"/>
      <c r="I4168" s="37" t="s">
        <v>233</v>
      </c>
      <c r="J4168" s="155" t="str">
        <f t="shared" si="4"/>
        <v>NTT</v>
      </c>
      <c r="K4168" s="22" t="s">
        <v>13591</v>
      </c>
      <c r="L4168" s="56">
        <v>45103</v>
      </c>
      <c r="O4168" s="42"/>
      <c r="P4168" s="40"/>
      <c r="Q4168" s="61"/>
      <c r="R4168" s="61"/>
      <c r="S4168" s="40"/>
      <c r="T4168" s="38"/>
      <c r="U4168" s="38"/>
      <c r="V4168" s="38"/>
      <c r="W4168" s="60"/>
      <c r="AB4168" s="42"/>
      <c r="AC4168" s="35"/>
      <c r="AD4168" s="38"/>
      <c r="AE4168" s="38"/>
      <c r="AF4168" s="38"/>
      <c r="AG4168" s="38"/>
      <c r="AH4168" s="60"/>
    </row>
    <row r="4169" spans="1:34" ht="15.75" customHeight="1">
      <c r="A4169" s="17">
        <v>1095</v>
      </c>
      <c r="B4169" s="158" t="s">
        <v>14740</v>
      </c>
      <c r="C4169" s="37" t="s">
        <v>24</v>
      </c>
      <c r="D4169" s="20" t="s">
        <v>14741</v>
      </c>
      <c r="E4169" s="20" t="s">
        <v>14742</v>
      </c>
      <c r="F4169" s="19" t="s">
        <v>27</v>
      </c>
      <c r="G4169" s="19" t="s">
        <v>28</v>
      </c>
      <c r="H4169" s="37"/>
      <c r="I4169" s="37" t="s">
        <v>29</v>
      </c>
      <c r="J4169" s="155" t="str">
        <f t="shared" si="4"/>
        <v>TT</v>
      </c>
      <c r="K4169" s="22" t="s">
        <v>14743</v>
      </c>
      <c r="L4169" s="56">
        <v>45103</v>
      </c>
      <c r="O4169" s="42"/>
      <c r="P4169" s="40"/>
      <c r="Q4169" s="61"/>
      <c r="R4169" s="61"/>
      <c r="S4169" s="40"/>
      <c r="T4169" s="38"/>
      <c r="U4169" s="38"/>
      <c r="V4169" s="38"/>
      <c r="W4169" s="60"/>
      <c r="AB4169" s="42"/>
      <c r="AC4169" s="35"/>
      <c r="AD4169" s="38"/>
      <c r="AE4169" s="38"/>
      <c r="AF4169" s="38"/>
      <c r="AG4169" s="38"/>
      <c r="AH4169" s="60"/>
    </row>
    <row r="4170" spans="1:34" ht="15.75" customHeight="1">
      <c r="A4170" s="111" t="s">
        <v>100</v>
      </c>
      <c r="B4170" s="158" t="s">
        <v>14744</v>
      </c>
      <c r="C4170" s="37" t="s">
        <v>87</v>
      </c>
      <c r="D4170" s="20" t="s">
        <v>14745</v>
      </c>
      <c r="E4170" s="20" t="s">
        <v>14746</v>
      </c>
      <c r="F4170" s="19" t="s">
        <v>90</v>
      </c>
      <c r="G4170" s="19" t="s">
        <v>91</v>
      </c>
      <c r="H4170" s="37"/>
      <c r="I4170" s="37" t="s">
        <v>29</v>
      </c>
      <c r="J4170" s="155" t="str">
        <f t="shared" si="4"/>
        <v>TT</v>
      </c>
      <c r="K4170" s="22" t="s">
        <v>14747</v>
      </c>
      <c r="L4170" s="56">
        <v>45103</v>
      </c>
      <c r="O4170" s="42"/>
      <c r="P4170" s="40"/>
      <c r="Q4170" s="61"/>
      <c r="R4170" s="61"/>
      <c r="S4170" s="40"/>
      <c r="T4170" s="38"/>
      <c r="U4170" s="38"/>
      <c r="V4170" s="38"/>
      <c r="W4170" s="60"/>
      <c r="AB4170" s="42"/>
      <c r="AC4170" s="35"/>
      <c r="AD4170" s="38"/>
      <c r="AE4170" s="38"/>
      <c r="AF4170" s="38"/>
      <c r="AG4170" s="38"/>
      <c r="AH4170" s="60"/>
    </row>
    <row r="4171" spans="1:34" ht="15.75" customHeight="1">
      <c r="A4171" s="17">
        <v>163</v>
      </c>
      <c r="B4171" s="158" t="s">
        <v>14748</v>
      </c>
      <c r="C4171" s="37" t="s">
        <v>87</v>
      </c>
      <c r="D4171" s="20" t="s">
        <v>14749</v>
      </c>
      <c r="E4171" s="20" t="s">
        <v>14750</v>
      </c>
      <c r="F4171" s="19" t="s">
        <v>90</v>
      </c>
      <c r="G4171" s="19" t="s">
        <v>91</v>
      </c>
      <c r="H4171" s="37"/>
      <c r="I4171" s="37" t="s">
        <v>29</v>
      </c>
      <c r="J4171" s="155" t="str">
        <f t="shared" si="4"/>
        <v>TT</v>
      </c>
      <c r="K4171" s="22" t="s">
        <v>14751</v>
      </c>
      <c r="L4171" s="56">
        <v>45103</v>
      </c>
      <c r="O4171" s="42"/>
      <c r="P4171" s="40"/>
      <c r="Q4171" s="61"/>
      <c r="R4171" s="61"/>
      <c r="S4171" s="40"/>
      <c r="T4171" s="38"/>
      <c r="U4171" s="38"/>
      <c r="V4171" s="38"/>
      <c r="W4171" s="60"/>
      <c r="AB4171" s="42"/>
      <c r="AC4171" s="35"/>
      <c r="AD4171" s="38"/>
      <c r="AE4171" s="38"/>
      <c r="AF4171" s="38"/>
      <c r="AG4171" s="38"/>
      <c r="AH4171" s="60"/>
    </row>
    <row r="4172" spans="1:34" ht="15.75" customHeight="1">
      <c r="A4172" s="50"/>
      <c r="B4172" s="158" t="s">
        <v>14752</v>
      </c>
      <c r="C4172" s="37" t="s">
        <v>24</v>
      </c>
      <c r="D4172" s="20" t="s">
        <v>14753</v>
      </c>
      <c r="E4172" s="20" t="s">
        <v>14754</v>
      </c>
      <c r="F4172" s="19" t="s">
        <v>27</v>
      </c>
      <c r="G4172" s="19" t="s">
        <v>28</v>
      </c>
      <c r="H4172" s="37"/>
      <c r="I4172" s="37" t="s">
        <v>29</v>
      </c>
      <c r="J4172" s="155" t="str">
        <f t="shared" si="4"/>
        <v>TT</v>
      </c>
      <c r="K4172" s="22" t="s">
        <v>14755</v>
      </c>
      <c r="L4172" s="56">
        <v>45103</v>
      </c>
      <c r="O4172" s="42"/>
      <c r="P4172" s="40"/>
      <c r="Q4172" s="61"/>
      <c r="R4172" s="61"/>
      <c r="S4172" s="40"/>
      <c r="T4172" s="38"/>
      <c r="U4172" s="38"/>
      <c r="V4172" s="38"/>
      <c r="W4172" s="60"/>
      <c r="AB4172" s="42"/>
      <c r="AC4172" s="35"/>
      <c r="AD4172" s="38"/>
      <c r="AE4172" s="38"/>
      <c r="AF4172" s="38"/>
      <c r="AG4172" s="38"/>
      <c r="AH4172" s="60"/>
    </row>
    <row r="4173" spans="1:34" ht="15.75" customHeight="1">
      <c r="A4173" s="198"/>
      <c r="B4173" s="158" t="s">
        <v>14756</v>
      </c>
      <c r="C4173" s="37" t="s">
        <v>46</v>
      </c>
      <c r="D4173" s="20" t="s">
        <v>14757</v>
      </c>
      <c r="E4173" s="20" t="s">
        <v>14758</v>
      </c>
      <c r="F4173" s="37" t="s">
        <v>49</v>
      </c>
      <c r="G4173" s="19" t="s">
        <v>50</v>
      </c>
      <c r="H4173" s="37"/>
      <c r="I4173" s="37" t="s">
        <v>29</v>
      </c>
      <c r="J4173" s="155" t="str">
        <f t="shared" si="4"/>
        <v>TT</v>
      </c>
      <c r="K4173" s="22" t="s">
        <v>14759</v>
      </c>
      <c r="L4173" s="56">
        <v>45103</v>
      </c>
      <c r="O4173" s="42"/>
      <c r="P4173" s="40"/>
      <c r="Q4173" s="61"/>
      <c r="R4173" s="61"/>
      <c r="S4173" s="40"/>
      <c r="T4173" s="38"/>
      <c r="U4173" s="38"/>
      <c r="V4173" s="38"/>
      <c r="W4173" s="60"/>
      <c r="AB4173" s="42"/>
      <c r="AC4173" s="35"/>
      <c r="AD4173" s="38"/>
      <c r="AE4173" s="38"/>
      <c r="AF4173" s="38"/>
      <c r="AG4173" s="38"/>
      <c r="AH4173" s="60"/>
    </row>
    <row r="4174" spans="1:34" ht="15.75" customHeight="1">
      <c r="A4174" s="199"/>
      <c r="B4174" s="158" t="s">
        <v>14760</v>
      </c>
      <c r="C4174" s="37" t="s">
        <v>412</v>
      </c>
      <c r="D4174" s="20" t="s">
        <v>14761</v>
      </c>
      <c r="E4174" s="20" t="s">
        <v>14762</v>
      </c>
      <c r="F4174" s="19" t="s">
        <v>414</v>
      </c>
      <c r="G4174" s="37" t="s">
        <v>415</v>
      </c>
      <c r="H4174" s="37"/>
      <c r="I4174" s="37" t="s">
        <v>233</v>
      </c>
      <c r="J4174" s="155" t="str">
        <f t="shared" si="4"/>
        <v>NTT</v>
      </c>
      <c r="K4174" s="22" t="s">
        <v>14763</v>
      </c>
      <c r="L4174" s="56">
        <v>45103</v>
      </c>
      <c r="O4174" s="42"/>
      <c r="P4174" s="40"/>
      <c r="Q4174" s="61"/>
      <c r="R4174" s="61"/>
      <c r="S4174" s="40"/>
      <c r="T4174" s="38"/>
      <c r="U4174" s="38"/>
      <c r="V4174" s="38"/>
      <c r="W4174" s="60"/>
      <c r="AB4174" s="42"/>
      <c r="AC4174" s="35"/>
      <c r="AD4174" s="38"/>
      <c r="AE4174" s="38"/>
      <c r="AF4174" s="38"/>
      <c r="AG4174" s="38"/>
      <c r="AH4174" s="60"/>
    </row>
    <row r="4175" spans="1:34" ht="15.75" customHeight="1">
      <c r="A4175" s="199"/>
      <c r="B4175" s="158" t="s">
        <v>14764</v>
      </c>
      <c r="C4175" s="37" t="s">
        <v>46</v>
      </c>
      <c r="D4175" s="20" t="s">
        <v>14765</v>
      </c>
      <c r="E4175" s="20" t="s">
        <v>14766</v>
      </c>
      <c r="F4175" s="37" t="s">
        <v>49</v>
      </c>
      <c r="G4175" s="19" t="s">
        <v>50</v>
      </c>
      <c r="H4175" s="37"/>
      <c r="I4175" s="37" t="s">
        <v>29</v>
      </c>
      <c r="J4175" s="155" t="str">
        <f t="shared" si="4"/>
        <v>TT</v>
      </c>
      <c r="K4175" s="22" t="s">
        <v>14767</v>
      </c>
      <c r="L4175" s="56">
        <v>45103</v>
      </c>
      <c r="O4175" s="42"/>
      <c r="P4175" s="40"/>
      <c r="Q4175" s="61"/>
      <c r="R4175" s="61"/>
      <c r="S4175" s="40"/>
      <c r="T4175" s="38"/>
      <c r="U4175" s="38"/>
      <c r="V4175" s="38"/>
      <c r="W4175" s="60"/>
      <c r="AB4175" s="42"/>
      <c r="AC4175" s="35"/>
      <c r="AD4175" s="38"/>
      <c r="AE4175" s="38"/>
      <c r="AF4175" s="38"/>
      <c r="AG4175" s="38"/>
      <c r="AH4175" s="60"/>
    </row>
    <row r="4176" spans="1:34" ht="15.75" customHeight="1">
      <c r="A4176" s="50"/>
      <c r="B4176" s="158" t="s">
        <v>14768</v>
      </c>
      <c r="C4176" s="143" t="s">
        <v>24</v>
      </c>
      <c r="D4176" s="20" t="s">
        <v>14769</v>
      </c>
      <c r="E4176" s="20" t="s">
        <v>14770</v>
      </c>
      <c r="F4176" s="19" t="s">
        <v>27</v>
      </c>
      <c r="G4176" s="19" t="s">
        <v>28</v>
      </c>
      <c r="H4176" s="143"/>
      <c r="I4176" s="37" t="s">
        <v>29</v>
      </c>
      <c r="J4176" s="155" t="str">
        <f t="shared" si="4"/>
        <v>TT</v>
      </c>
      <c r="K4176" s="22" t="s">
        <v>14771</v>
      </c>
      <c r="L4176" s="56">
        <v>45103</v>
      </c>
      <c r="O4176" s="42"/>
      <c r="P4176" s="40"/>
      <c r="Q4176" s="61"/>
      <c r="R4176" s="61"/>
      <c r="S4176" s="40"/>
      <c r="T4176" s="38"/>
      <c r="U4176" s="38"/>
      <c r="V4176" s="38"/>
      <c r="W4176" s="60"/>
      <c r="AB4176" s="42"/>
      <c r="AC4176" s="35"/>
      <c r="AD4176" s="38"/>
      <c r="AE4176" s="38"/>
      <c r="AF4176" s="38"/>
      <c r="AG4176" s="38"/>
      <c r="AH4176" s="60"/>
    </row>
    <row r="4177" spans="1:34" ht="15.75" customHeight="1">
      <c r="A4177" s="198"/>
      <c r="B4177" s="38"/>
      <c r="C4177" s="37"/>
      <c r="D4177" s="20"/>
      <c r="E4177" s="20"/>
      <c r="F4177" s="37"/>
      <c r="G4177" s="37"/>
      <c r="H4177" s="37"/>
      <c r="I4177" s="37"/>
      <c r="J4177" s="155">
        <f t="shared" si="4"/>
        <v>0</v>
      </c>
      <c r="K4177" s="22"/>
      <c r="L4177" s="39"/>
      <c r="O4177" s="42"/>
      <c r="P4177" s="40"/>
      <c r="Q4177" s="61"/>
      <c r="R4177" s="61"/>
      <c r="S4177" s="40"/>
      <c r="T4177" s="38"/>
      <c r="U4177" s="38"/>
      <c r="V4177" s="38"/>
      <c r="W4177" s="60"/>
      <c r="AB4177" s="42"/>
      <c r="AC4177" s="35"/>
      <c r="AD4177" s="38"/>
      <c r="AE4177" s="38"/>
      <c r="AF4177" s="38"/>
      <c r="AG4177" s="38"/>
      <c r="AH4177" s="60"/>
    </row>
    <row r="4178" spans="1:34" ht="15.75" customHeight="1">
      <c r="A4178" s="54" t="s">
        <v>14772</v>
      </c>
      <c r="B4178" s="158" t="s">
        <v>14773</v>
      </c>
      <c r="C4178" s="143" t="s">
        <v>24</v>
      </c>
      <c r="D4178" s="20" t="s">
        <v>14774</v>
      </c>
      <c r="E4178" s="20" t="s">
        <v>14775</v>
      </c>
      <c r="F4178" s="19" t="s">
        <v>27</v>
      </c>
      <c r="G4178" s="19" t="s">
        <v>28</v>
      </c>
      <c r="H4178" s="37"/>
      <c r="I4178" s="37" t="s">
        <v>29</v>
      </c>
      <c r="J4178" s="155" t="str">
        <f t="shared" si="4"/>
        <v>TT</v>
      </c>
      <c r="K4178" s="22" t="s">
        <v>14776</v>
      </c>
      <c r="L4178" s="56">
        <v>45104</v>
      </c>
      <c r="M4178" s="40"/>
      <c r="O4178" s="42"/>
      <c r="P4178" s="40"/>
      <c r="Q4178" s="61"/>
      <c r="R4178" s="61"/>
      <c r="S4178" s="40"/>
      <c r="T4178" s="38"/>
      <c r="U4178" s="38"/>
      <c r="V4178" s="38"/>
      <c r="W4178" s="60"/>
      <c r="AB4178" s="42"/>
      <c r="AC4178" s="35"/>
      <c r="AD4178" s="38"/>
      <c r="AE4178" s="38"/>
      <c r="AF4178" s="38"/>
      <c r="AG4178" s="38"/>
      <c r="AH4178" s="60"/>
    </row>
    <row r="4179" spans="1:34" ht="15.75" customHeight="1">
      <c r="A4179" s="71" t="s">
        <v>2628</v>
      </c>
      <c r="B4179" s="158" t="s">
        <v>14777</v>
      </c>
      <c r="C4179" s="37" t="s">
        <v>87</v>
      </c>
      <c r="D4179" s="20" t="s">
        <v>14778</v>
      </c>
      <c r="E4179" s="20" t="s">
        <v>14779</v>
      </c>
      <c r="F4179" s="19" t="s">
        <v>90</v>
      </c>
      <c r="G4179" s="19" t="s">
        <v>91</v>
      </c>
      <c r="H4179" s="37"/>
      <c r="I4179" s="37" t="s">
        <v>29</v>
      </c>
      <c r="J4179" s="155" t="str">
        <f t="shared" si="4"/>
        <v>TT</v>
      </c>
      <c r="K4179" s="22" t="s">
        <v>14780</v>
      </c>
      <c r="L4179" s="56">
        <v>45104</v>
      </c>
      <c r="O4179" s="42"/>
      <c r="P4179" s="40"/>
      <c r="Q4179" s="61"/>
      <c r="R4179" s="61"/>
      <c r="S4179" s="40"/>
      <c r="T4179" s="38"/>
      <c r="U4179" s="38"/>
      <c r="V4179" s="38"/>
      <c r="W4179" s="60"/>
      <c r="AB4179" s="42"/>
      <c r="AC4179" s="35"/>
      <c r="AD4179" s="38"/>
      <c r="AE4179" s="38"/>
      <c r="AF4179" s="38"/>
      <c r="AG4179" s="38"/>
      <c r="AH4179" s="60"/>
    </row>
    <row r="4180" spans="1:34" ht="15.75" customHeight="1">
      <c r="A4180" s="114" t="s">
        <v>39</v>
      </c>
      <c r="B4180" s="158" t="s">
        <v>14781</v>
      </c>
      <c r="C4180" s="143" t="s">
        <v>24</v>
      </c>
      <c r="D4180" s="20" t="s">
        <v>14782</v>
      </c>
      <c r="E4180" s="20" t="s">
        <v>14783</v>
      </c>
      <c r="F4180" s="19" t="s">
        <v>27</v>
      </c>
      <c r="G4180" s="19" t="s">
        <v>28</v>
      </c>
      <c r="H4180" s="143"/>
      <c r="I4180" s="37" t="s">
        <v>29</v>
      </c>
      <c r="J4180" s="155" t="str">
        <f t="shared" si="4"/>
        <v>TT</v>
      </c>
      <c r="K4180" s="22" t="s">
        <v>14784</v>
      </c>
      <c r="L4180" s="56">
        <v>45104</v>
      </c>
      <c r="O4180" s="42"/>
      <c r="P4180" s="40"/>
      <c r="Q4180" s="61"/>
      <c r="R4180" s="61"/>
      <c r="S4180" s="40"/>
      <c r="T4180" s="38"/>
      <c r="U4180" s="38"/>
      <c r="V4180" s="38"/>
      <c r="W4180" s="60"/>
      <c r="AB4180" s="42"/>
      <c r="AC4180" s="35"/>
      <c r="AD4180" s="38"/>
      <c r="AE4180" s="38"/>
      <c r="AF4180" s="38"/>
      <c r="AG4180" s="38"/>
      <c r="AH4180" s="60"/>
    </row>
    <row r="4181" spans="1:34" ht="15.75" customHeight="1">
      <c r="A4181" s="38" t="s">
        <v>14696</v>
      </c>
      <c r="B4181" s="158" t="s">
        <v>14785</v>
      </c>
      <c r="C4181" s="37" t="s">
        <v>24</v>
      </c>
      <c r="D4181" s="20" t="s">
        <v>14786</v>
      </c>
      <c r="E4181" s="20" t="s">
        <v>14787</v>
      </c>
      <c r="F4181" s="19" t="s">
        <v>27</v>
      </c>
      <c r="G4181" s="19" t="s">
        <v>28</v>
      </c>
      <c r="H4181" s="37"/>
      <c r="I4181" s="37" t="s">
        <v>29</v>
      </c>
      <c r="J4181" s="155" t="str">
        <f t="shared" si="4"/>
        <v>TT</v>
      </c>
      <c r="K4181" s="22" t="s">
        <v>14788</v>
      </c>
      <c r="L4181" s="56">
        <v>45104</v>
      </c>
      <c r="O4181" s="42"/>
      <c r="P4181" s="40"/>
      <c r="Q4181" s="61"/>
      <c r="R4181" s="61"/>
      <c r="S4181" s="40"/>
      <c r="T4181" s="38"/>
      <c r="U4181" s="38"/>
      <c r="V4181" s="38"/>
      <c r="W4181" s="60"/>
      <c r="AB4181" s="42"/>
      <c r="AC4181" s="35"/>
      <c r="AD4181" s="38"/>
      <c r="AE4181" s="38"/>
      <c r="AF4181" s="38"/>
      <c r="AG4181" s="38"/>
      <c r="AH4181" s="60"/>
    </row>
    <row r="4182" spans="1:34" ht="15.75" customHeight="1">
      <c r="A4182" s="75" t="s">
        <v>14789</v>
      </c>
      <c r="B4182" s="158" t="s">
        <v>14790</v>
      </c>
      <c r="C4182" s="37" t="s">
        <v>46</v>
      </c>
      <c r="D4182" s="20" t="s">
        <v>14791</v>
      </c>
      <c r="E4182" s="20" t="s">
        <v>14792</v>
      </c>
      <c r="F4182" s="37" t="s">
        <v>49</v>
      </c>
      <c r="G4182" s="19" t="s">
        <v>50</v>
      </c>
      <c r="H4182" s="37"/>
      <c r="I4182" s="37" t="s">
        <v>29</v>
      </c>
      <c r="J4182" s="155" t="str">
        <f t="shared" si="4"/>
        <v>TT</v>
      </c>
      <c r="K4182" s="22" t="s">
        <v>14793</v>
      </c>
      <c r="L4182" s="56">
        <v>45104</v>
      </c>
      <c r="O4182" s="42"/>
      <c r="P4182" s="40"/>
      <c r="Q4182" s="61"/>
      <c r="R4182" s="61"/>
      <c r="S4182" s="40"/>
      <c r="T4182" s="38"/>
      <c r="U4182" s="38"/>
      <c r="V4182" s="38"/>
      <c r="W4182" s="60"/>
      <c r="AB4182" s="42"/>
      <c r="AC4182" s="35"/>
      <c r="AD4182" s="38"/>
      <c r="AE4182" s="38"/>
      <c r="AF4182" s="38"/>
      <c r="AG4182" s="38"/>
      <c r="AH4182" s="60"/>
    </row>
    <row r="4183" spans="1:34" ht="15.75" customHeight="1">
      <c r="A4183" s="50" t="s">
        <v>56</v>
      </c>
      <c r="B4183" s="158" t="s">
        <v>14794</v>
      </c>
      <c r="C4183" s="37" t="s">
        <v>24</v>
      </c>
      <c r="D4183" s="20" t="s">
        <v>14795</v>
      </c>
      <c r="E4183" s="20" t="s">
        <v>14796</v>
      </c>
      <c r="F4183" s="19" t="s">
        <v>27</v>
      </c>
      <c r="G4183" s="19" t="s">
        <v>28</v>
      </c>
      <c r="H4183" s="37"/>
      <c r="I4183" s="37" t="s">
        <v>29</v>
      </c>
      <c r="J4183" s="155" t="str">
        <f t="shared" si="4"/>
        <v>TT</v>
      </c>
      <c r="K4183" s="22" t="s">
        <v>14797</v>
      </c>
      <c r="L4183" s="56">
        <v>45104</v>
      </c>
      <c r="O4183" s="42"/>
      <c r="P4183" s="40"/>
      <c r="Q4183" s="61"/>
      <c r="R4183" s="61"/>
      <c r="S4183" s="40"/>
      <c r="T4183" s="38"/>
      <c r="U4183" s="38"/>
      <c r="V4183" s="38"/>
      <c r="W4183" s="60"/>
      <c r="AB4183" s="42"/>
      <c r="AC4183" s="35"/>
      <c r="AD4183" s="38"/>
      <c r="AE4183" s="38"/>
      <c r="AF4183" s="38"/>
      <c r="AG4183" s="38"/>
      <c r="AH4183" s="60"/>
    </row>
    <row r="4184" spans="1:34" ht="15.75" customHeight="1">
      <c r="A4184" s="17">
        <v>31</v>
      </c>
      <c r="B4184" s="158" t="s">
        <v>14798</v>
      </c>
      <c r="C4184" s="37" t="s">
        <v>24</v>
      </c>
      <c r="D4184" s="20" t="s">
        <v>14799</v>
      </c>
      <c r="E4184" s="20" t="s">
        <v>14800</v>
      </c>
      <c r="F4184" s="19" t="s">
        <v>27</v>
      </c>
      <c r="G4184" s="19" t="s">
        <v>28</v>
      </c>
      <c r="H4184" s="37"/>
      <c r="I4184" s="37" t="s">
        <v>29</v>
      </c>
      <c r="J4184" s="155" t="str">
        <f t="shared" si="4"/>
        <v>TT</v>
      </c>
      <c r="K4184" s="22" t="s">
        <v>14801</v>
      </c>
      <c r="L4184" s="56">
        <v>45104</v>
      </c>
      <c r="O4184" s="42"/>
      <c r="P4184" s="40"/>
      <c r="Q4184" s="61"/>
      <c r="R4184" s="61"/>
      <c r="S4184" s="40"/>
      <c r="T4184" s="38"/>
      <c r="U4184" s="38"/>
      <c r="V4184" s="38"/>
      <c r="W4184" s="60"/>
      <c r="AB4184" s="42"/>
      <c r="AC4184" s="35"/>
      <c r="AD4184" s="38"/>
      <c r="AE4184" s="38"/>
      <c r="AF4184" s="38"/>
      <c r="AG4184" s="38"/>
      <c r="AH4184" s="60"/>
    </row>
    <row r="4185" spans="1:34" ht="15.75" customHeight="1">
      <c r="A4185" s="111" t="s">
        <v>64</v>
      </c>
      <c r="B4185" s="158" t="s">
        <v>14802</v>
      </c>
      <c r="C4185" s="143" t="s">
        <v>24</v>
      </c>
      <c r="D4185" s="20" t="s">
        <v>14803</v>
      </c>
      <c r="E4185" s="20" t="s">
        <v>14804</v>
      </c>
      <c r="F4185" s="19" t="s">
        <v>27</v>
      </c>
      <c r="G4185" s="19" t="s">
        <v>28</v>
      </c>
      <c r="H4185" s="143"/>
      <c r="I4185" s="37" t="s">
        <v>29</v>
      </c>
      <c r="J4185" s="155" t="str">
        <f t="shared" si="4"/>
        <v>TT</v>
      </c>
      <c r="K4185" s="22" t="s">
        <v>14805</v>
      </c>
      <c r="L4185" s="56">
        <v>45104</v>
      </c>
      <c r="O4185" s="42"/>
      <c r="P4185" s="40"/>
      <c r="Q4185" s="61"/>
      <c r="R4185" s="61"/>
      <c r="S4185" s="40"/>
      <c r="T4185" s="38"/>
      <c r="U4185" s="38"/>
      <c r="V4185" s="38"/>
      <c r="W4185" s="60"/>
      <c r="AB4185" s="42"/>
      <c r="AC4185" s="35"/>
      <c r="AD4185" s="38"/>
      <c r="AE4185" s="38"/>
      <c r="AF4185" s="38"/>
      <c r="AG4185" s="38"/>
      <c r="AH4185" s="60"/>
    </row>
    <row r="4186" spans="1:34" ht="15.75" customHeight="1">
      <c r="A4186" s="75">
        <v>2.2000000000000002</v>
      </c>
      <c r="B4186" s="158" t="s">
        <v>14806</v>
      </c>
      <c r="C4186" s="37" t="s">
        <v>87</v>
      </c>
      <c r="D4186" s="20" t="s">
        <v>14807</v>
      </c>
      <c r="E4186" s="20" t="s">
        <v>14808</v>
      </c>
      <c r="F4186" s="19" t="s">
        <v>90</v>
      </c>
      <c r="G4186" s="19" t="s">
        <v>91</v>
      </c>
      <c r="H4186" s="37"/>
      <c r="I4186" s="37" t="s">
        <v>29</v>
      </c>
      <c r="J4186" s="155" t="str">
        <f t="shared" si="4"/>
        <v>TT</v>
      </c>
      <c r="K4186" s="22" t="s">
        <v>14809</v>
      </c>
      <c r="L4186" s="56">
        <v>45104</v>
      </c>
      <c r="O4186" s="42"/>
      <c r="P4186" s="40"/>
      <c r="Q4186" s="61"/>
      <c r="R4186" s="61"/>
      <c r="S4186" s="40"/>
      <c r="T4186" s="38"/>
      <c r="U4186" s="38"/>
      <c r="V4186" s="38"/>
      <c r="W4186" s="60"/>
      <c r="AB4186" s="42"/>
      <c r="AC4186" s="35"/>
      <c r="AD4186" s="38"/>
      <c r="AE4186" s="38"/>
      <c r="AF4186" s="38"/>
      <c r="AG4186" s="38"/>
      <c r="AH4186" s="60"/>
    </row>
    <row r="4187" spans="1:34" ht="15.75" customHeight="1">
      <c r="A4187" s="111" t="s">
        <v>73</v>
      </c>
      <c r="B4187" s="158" t="s">
        <v>14810</v>
      </c>
      <c r="C4187" s="37" t="s">
        <v>87</v>
      </c>
      <c r="D4187" s="20" t="s">
        <v>14811</v>
      </c>
      <c r="E4187" s="20" t="s">
        <v>14812</v>
      </c>
      <c r="F4187" s="19" t="s">
        <v>90</v>
      </c>
      <c r="G4187" s="19" t="s">
        <v>91</v>
      </c>
      <c r="H4187" s="37"/>
      <c r="I4187" s="37" t="s">
        <v>29</v>
      </c>
      <c r="J4187" s="155" t="str">
        <f t="shared" si="4"/>
        <v>TT</v>
      </c>
      <c r="K4187" s="22" t="s">
        <v>14813</v>
      </c>
      <c r="L4187" s="56">
        <v>45104</v>
      </c>
      <c r="O4187" s="42"/>
      <c r="P4187" s="40"/>
      <c r="Q4187" s="61"/>
      <c r="R4187" s="61"/>
      <c r="S4187" s="40"/>
      <c r="T4187" s="38"/>
      <c r="U4187" s="38"/>
      <c r="V4187" s="38"/>
      <c r="W4187" s="60"/>
      <c r="AB4187" s="42"/>
      <c r="AC4187" s="35"/>
      <c r="AD4187" s="38"/>
      <c r="AE4187" s="38"/>
      <c r="AF4187" s="38"/>
      <c r="AG4187" s="38"/>
      <c r="AH4187" s="60"/>
    </row>
    <row r="4188" spans="1:34" ht="15.75" customHeight="1">
      <c r="A4188" s="75">
        <v>3.3</v>
      </c>
      <c r="B4188" s="159" t="s">
        <v>14814</v>
      </c>
      <c r="C4188" s="143" t="s">
        <v>24</v>
      </c>
      <c r="D4188" s="20" t="s">
        <v>14774</v>
      </c>
      <c r="E4188" s="20" t="s">
        <v>14815</v>
      </c>
      <c r="F4188" s="19" t="s">
        <v>27</v>
      </c>
      <c r="G4188" s="19" t="s">
        <v>28</v>
      </c>
      <c r="H4188" s="37"/>
      <c r="I4188" s="37" t="s">
        <v>29</v>
      </c>
      <c r="J4188" s="155" t="str">
        <f t="shared" si="4"/>
        <v>TT</v>
      </c>
      <c r="K4188" s="22" t="s">
        <v>14816</v>
      </c>
      <c r="L4188" s="56">
        <v>45104</v>
      </c>
      <c r="O4188" s="42"/>
      <c r="P4188" s="40"/>
      <c r="Q4188" s="61"/>
      <c r="R4188" s="61"/>
      <c r="S4188" s="40"/>
      <c r="T4188" s="38"/>
      <c r="U4188" s="38"/>
      <c r="V4188" s="38"/>
      <c r="W4188" s="60"/>
      <c r="AB4188" s="42"/>
      <c r="AC4188" s="35"/>
      <c r="AD4188" s="38"/>
      <c r="AE4188" s="38"/>
      <c r="AF4188" s="38"/>
      <c r="AG4188" s="38"/>
      <c r="AH4188" s="60"/>
    </row>
    <row r="4189" spans="1:34" ht="15.75" customHeight="1">
      <c r="A4189" s="111" t="s">
        <v>82</v>
      </c>
      <c r="B4189" s="158" t="s">
        <v>14817</v>
      </c>
      <c r="C4189" s="37" t="s">
        <v>87</v>
      </c>
      <c r="D4189" s="20" t="s">
        <v>14818</v>
      </c>
      <c r="E4189" s="20" t="s">
        <v>14819</v>
      </c>
      <c r="F4189" s="19" t="s">
        <v>90</v>
      </c>
      <c r="G4189" s="19" t="s">
        <v>91</v>
      </c>
      <c r="H4189" s="37"/>
      <c r="I4189" s="37" t="s">
        <v>29</v>
      </c>
      <c r="J4189" s="155" t="str">
        <f t="shared" si="4"/>
        <v>TT</v>
      </c>
      <c r="K4189" s="22" t="s">
        <v>14820</v>
      </c>
      <c r="L4189" s="56">
        <v>45104</v>
      </c>
      <c r="O4189" s="42"/>
      <c r="P4189" s="40"/>
      <c r="Q4189" s="61"/>
      <c r="R4189" s="61"/>
      <c r="S4189" s="40"/>
      <c r="T4189" s="38"/>
      <c r="U4189" s="38"/>
      <c r="V4189" s="38"/>
      <c r="W4189" s="60"/>
      <c r="AB4189" s="42"/>
      <c r="AC4189" s="35"/>
      <c r="AD4189" s="38"/>
      <c r="AE4189" s="38"/>
      <c r="AF4189" s="38"/>
      <c r="AG4189" s="38"/>
      <c r="AH4189" s="60"/>
    </row>
    <row r="4190" spans="1:34" ht="15.75" customHeight="1">
      <c r="A4190" s="112" t="s">
        <v>55</v>
      </c>
      <c r="B4190" s="158" t="s">
        <v>14821</v>
      </c>
      <c r="C4190" s="37" t="s">
        <v>87</v>
      </c>
      <c r="D4190" s="20" t="s">
        <v>14822</v>
      </c>
      <c r="E4190" s="20" t="s">
        <v>14823</v>
      </c>
      <c r="F4190" s="19" t="s">
        <v>90</v>
      </c>
      <c r="G4190" s="19" t="s">
        <v>91</v>
      </c>
      <c r="H4190" s="37"/>
      <c r="I4190" s="37" t="s">
        <v>29</v>
      </c>
      <c r="J4190" s="155" t="str">
        <f t="shared" si="4"/>
        <v>TT</v>
      </c>
      <c r="K4190" s="22" t="s">
        <v>14824</v>
      </c>
      <c r="L4190" s="56">
        <v>45104</v>
      </c>
      <c r="O4190" s="42"/>
      <c r="P4190" s="40"/>
      <c r="Q4190" s="61"/>
      <c r="R4190" s="61"/>
      <c r="S4190" s="40"/>
      <c r="T4190" s="38"/>
      <c r="U4190" s="38"/>
      <c r="V4190" s="38"/>
      <c r="W4190" s="60"/>
      <c r="AB4190" s="42"/>
      <c r="AC4190" s="35"/>
      <c r="AD4190" s="38"/>
      <c r="AE4190" s="38"/>
      <c r="AF4190" s="38"/>
      <c r="AG4190" s="38"/>
      <c r="AH4190" s="60"/>
    </row>
    <row r="4191" spans="1:34" ht="15.75" customHeight="1">
      <c r="A4191" s="111" t="s">
        <v>92</v>
      </c>
      <c r="B4191" s="158" t="s">
        <v>14825</v>
      </c>
      <c r="C4191" s="37" t="s">
        <v>87</v>
      </c>
      <c r="D4191" s="20" t="s">
        <v>14826</v>
      </c>
      <c r="E4191" s="20" t="s">
        <v>14827</v>
      </c>
      <c r="F4191" s="19" t="s">
        <v>90</v>
      </c>
      <c r="G4191" s="19" t="s">
        <v>91</v>
      </c>
      <c r="H4191" s="37"/>
      <c r="I4191" s="37" t="s">
        <v>29</v>
      </c>
      <c r="J4191" s="155" t="str">
        <f t="shared" si="4"/>
        <v>TT</v>
      </c>
      <c r="K4191" s="22" t="s">
        <v>14828</v>
      </c>
      <c r="L4191" s="56">
        <v>45104</v>
      </c>
      <c r="O4191" s="42"/>
      <c r="P4191" s="40"/>
      <c r="Q4191" s="61"/>
      <c r="R4191" s="61"/>
      <c r="S4191" s="40"/>
      <c r="T4191" s="38"/>
      <c r="U4191" s="38"/>
      <c r="V4191" s="38"/>
      <c r="W4191" s="60"/>
      <c r="AB4191" s="42"/>
      <c r="AC4191" s="35"/>
      <c r="AD4191" s="38"/>
      <c r="AE4191" s="38"/>
      <c r="AF4191" s="38"/>
      <c r="AG4191" s="38"/>
      <c r="AH4191" s="60"/>
    </row>
    <row r="4192" spans="1:34" ht="15.75" customHeight="1">
      <c r="A4192" s="17">
        <v>198</v>
      </c>
      <c r="B4192" s="158" t="s">
        <v>14829</v>
      </c>
      <c r="C4192" s="37" t="s">
        <v>24</v>
      </c>
      <c r="D4192" s="20" t="s">
        <v>14830</v>
      </c>
      <c r="E4192" s="20" t="s">
        <v>14831</v>
      </c>
      <c r="F4192" s="19" t="s">
        <v>27</v>
      </c>
      <c r="G4192" s="19" t="s">
        <v>28</v>
      </c>
      <c r="H4192" s="37"/>
      <c r="I4192" s="37" t="s">
        <v>29</v>
      </c>
      <c r="J4192" s="155" t="str">
        <f t="shared" si="4"/>
        <v>TT</v>
      </c>
      <c r="K4192" s="22" t="s">
        <v>14832</v>
      </c>
      <c r="L4192" s="56">
        <v>45104</v>
      </c>
      <c r="O4192" s="42"/>
      <c r="P4192" s="40"/>
      <c r="Q4192" s="61"/>
      <c r="R4192" s="61"/>
      <c r="S4192" s="40"/>
      <c r="T4192" s="38"/>
      <c r="U4192" s="38"/>
      <c r="V4192" s="38"/>
      <c r="W4192" s="60"/>
      <c r="AB4192" s="42"/>
      <c r="AC4192" s="35"/>
      <c r="AD4192" s="38"/>
      <c r="AE4192" s="38"/>
      <c r="AF4192" s="38"/>
      <c r="AG4192" s="38"/>
      <c r="AH4192" s="60"/>
    </row>
    <row r="4193" spans="1:34" ht="15.75" customHeight="1">
      <c r="A4193" s="111" t="s">
        <v>100</v>
      </c>
      <c r="B4193" s="158" t="s">
        <v>14833</v>
      </c>
      <c r="C4193" s="37" t="s">
        <v>24</v>
      </c>
      <c r="D4193" s="20" t="s">
        <v>14834</v>
      </c>
      <c r="E4193" s="20" t="s">
        <v>14835</v>
      </c>
      <c r="F4193" s="19" t="s">
        <v>27</v>
      </c>
      <c r="G4193" s="19" t="s">
        <v>28</v>
      </c>
      <c r="H4193" s="37"/>
      <c r="I4193" s="37" t="s">
        <v>29</v>
      </c>
      <c r="J4193" s="155" t="str">
        <f t="shared" si="4"/>
        <v>TT</v>
      </c>
      <c r="K4193" s="22" t="s">
        <v>14836</v>
      </c>
      <c r="L4193" s="56">
        <v>45104</v>
      </c>
      <c r="O4193" s="42"/>
      <c r="P4193" s="40"/>
      <c r="Q4193" s="61"/>
      <c r="R4193" s="61"/>
      <c r="S4193" s="40"/>
      <c r="T4193" s="38"/>
      <c r="U4193" s="38"/>
      <c r="V4193" s="38"/>
      <c r="W4193" s="60"/>
      <c r="AB4193" s="42"/>
      <c r="AC4193" s="35"/>
      <c r="AD4193" s="38"/>
      <c r="AE4193" s="38"/>
      <c r="AF4193" s="38"/>
      <c r="AG4193" s="38"/>
      <c r="AH4193" s="60"/>
    </row>
    <row r="4194" spans="1:34" ht="15.75" customHeight="1">
      <c r="A4194" s="17" t="s">
        <v>55</v>
      </c>
      <c r="B4194" s="158" t="s">
        <v>14837</v>
      </c>
      <c r="C4194" s="37" t="s">
        <v>87</v>
      </c>
      <c r="D4194" s="20" t="s">
        <v>14838</v>
      </c>
      <c r="E4194" s="20" t="s">
        <v>14839</v>
      </c>
      <c r="F4194" s="19" t="s">
        <v>90</v>
      </c>
      <c r="G4194" s="19" t="s">
        <v>91</v>
      </c>
      <c r="H4194" s="37"/>
      <c r="I4194" s="37" t="s">
        <v>29</v>
      </c>
      <c r="J4194" s="155" t="str">
        <f t="shared" si="4"/>
        <v>TT</v>
      </c>
      <c r="K4194" s="22" t="s">
        <v>14840</v>
      </c>
      <c r="L4194" s="56">
        <v>45104</v>
      </c>
      <c r="O4194" s="42"/>
      <c r="P4194" s="40"/>
      <c r="Q4194" s="61"/>
      <c r="R4194" s="61"/>
      <c r="S4194" s="40"/>
      <c r="T4194" s="38"/>
      <c r="U4194" s="38"/>
      <c r="V4194" s="38"/>
      <c r="W4194" s="60"/>
      <c r="AB4194" s="42"/>
      <c r="AC4194" s="35"/>
      <c r="AD4194" s="38"/>
      <c r="AE4194" s="38"/>
      <c r="AF4194" s="38"/>
      <c r="AG4194" s="38"/>
      <c r="AH4194" s="60"/>
    </row>
    <row r="4195" spans="1:34" ht="15.75" customHeight="1">
      <c r="A4195" s="198"/>
      <c r="B4195" s="158" t="s">
        <v>14841</v>
      </c>
      <c r="C4195" s="37" t="s">
        <v>87</v>
      </c>
      <c r="D4195" s="20" t="s">
        <v>14842</v>
      </c>
      <c r="E4195" s="20" t="s">
        <v>14843</v>
      </c>
      <c r="F4195" s="19" t="s">
        <v>90</v>
      </c>
      <c r="G4195" s="19" t="s">
        <v>91</v>
      </c>
      <c r="H4195" s="37"/>
      <c r="I4195" s="37" t="s">
        <v>29</v>
      </c>
      <c r="J4195" s="155" t="str">
        <f t="shared" si="4"/>
        <v>TT</v>
      </c>
      <c r="K4195" s="22" t="s">
        <v>14844</v>
      </c>
      <c r="L4195" s="56">
        <v>45104</v>
      </c>
      <c r="O4195" s="42"/>
      <c r="P4195" s="40"/>
      <c r="Q4195" s="61"/>
      <c r="R4195" s="61"/>
      <c r="S4195" s="40"/>
      <c r="T4195" s="38"/>
      <c r="U4195" s="38"/>
      <c r="V4195" s="38"/>
      <c r="W4195" s="60"/>
      <c r="AB4195" s="42"/>
      <c r="AC4195" s="35"/>
      <c r="AD4195" s="38"/>
      <c r="AE4195" s="38"/>
      <c r="AF4195" s="38"/>
      <c r="AG4195" s="38"/>
      <c r="AH4195" s="60"/>
    </row>
    <row r="4196" spans="1:34" ht="15.75" customHeight="1">
      <c r="A4196" s="200"/>
      <c r="B4196" s="158" t="s">
        <v>14845</v>
      </c>
      <c r="C4196" s="37" t="s">
        <v>87</v>
      </c>
      <c r="D4196" s="20" t="s">
        <v>14846</v>
      </c>
      <c r="E4196" s="20" t="s">
        <v>14847</v>
      </c>
      <c r="F4196" s="19" t="s">
        <v>90</v>
      </c>
      <c r="G4196" s="19" t="s">
        <v>91</v>
      </c>
      <c r="H4196" s="37"/>
      <c r="I4196" s="37" t="s">
        <v>29</v>
      </c>
      <c r="J4196" s="155" t="str">
        <f t="shared" si="4"/>
        <v>TT</v>
      </c>
      <c r="K4196" s="22" t="s">
        <v>14848</v>
      </c>
      <c r="L4196" s="56">
        <v>45104</v>
      </c>
      <c r="O4196" s="42"/>
      <c r="P4196" s="40"/>
      <c r="Q4196" s="61"/>
      <c r="R4196" s="61"/>
      <c r="S4196" s="40"/>
      <c r="T4196" s="38"/>
      <c r="U4196" s="38"/>
      <c r="V4196" s="38"/>
      <c r="W4196" s="60"/>
      <c r="AB4196" s="42"/>
      <c r="AC4196" s="35"/>
      <c r="AD4196" s="38"/>
      <c r="AE4196" s="38"/>
      <c r="AF4196" s="38"/>
      <c r="AG4196" s="38"/>
      <c r="AH4196" s="60"/>
    </row>
    <row r="4197" spans="1:34" ht="15.75" customHeight="1">
      <c r="A4197" s="200"/>
      <c r="B4197" s="158" t="s">
        <v>14849</v>
      </c>
      <c r="C4197" s="37" t="s">
        <v>24</v>
      </c>
      <c r="D4197" s="20" t="s">
        <v>14850</v>
      </c>
      <c r="E4197" s="20" t="s">
        <v>14851</v>
      </c>
      <c r="F4197" s="19" t="s">
        <v>27</v>
      </c>
      <c r="G4197" s="19" t="s">
        <v>28</v>
      </c>
      <c r="H4197" s="37"/>
      <c r="I4197" s="37" t="s">
        <v>29</v>
      </c>
      <c r="J4197" s="155" t="str">
        <f t="shared" si="4"/>
        <v>TT</v>
      </c>
      <c r="K4197" s="22" t="s">
        <v>14852</v>
      </c>
      <c r="L4197" s="56">
        <v>45104</v>
      </c>
      <c r="O4197" s="42"/>
      <c r="P4197" s="40"/>
      <c r="Q4197" s="61"/>
      <c r="R4197" s="61"/>
      <c r="S4197" s="40"/>
      <c r="T4197" s="38"/>
      <c r="U4197" s="38"/>
      <c r="V4197" s="38"/>
      <c r="W4197" s="60"/>
      <c r="AB4197" s="42"/>
      <c r="AC4197" s="35"/>
      <c r="AD4197" s="38"/>
      <c r="AE4197" s="38"/>
      <c r="AF4197" s="38"/>
      <c r="AG4197" s="38"/>
      <c r="AH4197" s="60"/>
    </row>
    <row r="4198" spans="1:34" ht="15.75" customHeight="1">
      <c r="A4198" s="200"/>
      <c r="B4198" s="158" t="s">
        <v>14853</v>
      </c>
      <c r="C4198" s="37" t="s">
        <v>1366</v>
      </c>
      <c r="D4198" s="20" t="s">
        <v>14854</v>
      </c>
      <c r="E4198" s="20" t="s">
        <v>14855</v>
      </c>
      <c r="F4198" s="55" t="s">
        <v>1369</v>
      </c>
      <c r="G4198" s="55" t="s">
        <v>1370</v>
      </c>
      <c r="H4198" s="37" t="s">
        <v>813</v>
      </c>
      <c r="I4198" s="21" t="s">
        <v>1371</v>
      </c>
      <c r="J4198" s="155" t="str">
        <f t="shared" si="4"/>
        <v>Other</v>
      </c>
      <c r="K4198" s="22" t="s">
        <v>14856</v>
      </c>
      <c r="L4198" s="56">
        <v>45104</v>
      </c>
      <c r="O4198" s="42"/>
      <c r="P4198" s="40"/>
      <c r="Q4198" s="61"/>
      <c r="R4198" s="61"/>
      <c r="S4198" s="40"/>
      <c r="T4198" s="38"/>
      <c r="U4198" s="38"/>
      <c r="V4198" s="38"/>
      <c r="W4198" s="60"/>
      <c r="AB4198" s="42"/>
      <c r="AC4198" s="35"/>
      <c r="AD4198" s="38"/>
      <c r="AE4198" s="38"/>
      <c r="AF4198" s="38"/>
      <c r="AG4198" s="38"/>
      <c r="AH4198" s="60"/>
    </row>
    <row r="4199" spans="1:34" ht="15.75" customHeight="1">
      <c r="A4199" s="200"/>
      <c r="B4199" s="158" t="s">
        <v>14857</v>
      </c>
      <c r="C4199" s="37" t="s">
        <v>87</v>
      </c>
      <c r="D4199" s="20" t="s">
        <v>14858</v>
      </c>
      <c r="E4199" s="20" t="s">
        <v>14859</v>
      </c>
      <c r="F4199" s="19" t="s">
        <v>90</v>
      </c>
      <c r="G4199" s="19" t="s">
        <v>91</v>
      </c>
      <c r="H4199" s="37"/>
      <c r="I4199" s="37" t="s">
        <v>29</v>
      </c>
      <c r="J4199" s="155" t="str">
        <f t="shared" si="4"/>
        <v>TT</v>
      </c>
      <c r="K4199" s="22" t="s">
        <v>14860</v>
      </c>
      <c r="L4199" s="56">
        <v>45104</v>
      </c>
      <c r="O4199" s="42"/>
      <c r="P4199" s="40"/>
      <c r="Q4199" s="61"/>
      <c r="R4199" s="61"/>
      <c r="S4199" s="40"/>
      <c r="T4199" s="38"/>
      <c r="U4199" s="38"/>
      <c r="V4199" s="38"/>
      <c r="W4199" s="60"/>
      <c r="AB4199" s="42"/>
      <c r="AC4199" s="35"/>
      <c r="AD4199" s="38"/>
      <c r="AE4199" s="38"/>
      <c r="AF4199" s="38"/>
      <c r="AG4199" s="38"/>
      <c r="AH4199" s="60"/>
    </row>
    <row r="4200" spans="1:34" ht="15.75" customHeight="1">
      <c r="A4200" s="200"/>
      <c r="B4200" s="158" t="s">
        <v>14861</v>
      </c>
      <c r="C4200" s="37" t="s">
        <v>24</v>
      </c>
      <c r="D4200" s="20" t="s">
        <v>14862</v>
      </c>
      <c r="E4200" s="20" t="s">
        <v>14863</v>
      </c>
      <c r="F4200" s="19" t="s">
        <v>27</v>
      </c>
      <c r="G4200" s="19" t="s">
        <v>28</v>
      </c>
      <c r="H4200" s="37"/>
      <c r="I4200" s="37" t="s">
        <v>29</v>
      </c>
      <c r="J4200" s="155" t="str">
        <f t="shared" si="4"/>
        <v>TT</v>
      </c>
      <c r="K4200" s="22" t="s">
        <v>14864</v>
      </c>
      <c r="L4200" s="56">
        <v>45104</v>
      </c>
      <c r="O4200" s="42"/>
      <c r="P4200" s="40"/>
      <c r="Q4200" s="61"/>
      <c r="R4200" s="61"/>
      <c r="S4200" s="40"/>
      <c r="T4200" s="38"/>
      <c r="U4200" s="38"/>
      <c r="V4200" s="38"/>
      <c r="W4200" s="60"/>
      <c r="AB4200" s="42"/>
      <c r="AC4200" s="35"/>
      <c r="AD4200" s="38"/>
      <c r="AE4200" s="38"/>
      <c r="AF4200" s="38"/>
      <c r="AG4200" s="38"/>
      <c r="AH4200" s="60"/>
    </row>
    <row r="4201" spans="1:34" ht="15.75" customHeight="1">
      <c r="A4201" s="200"/>
      <c r="B4201" s="158" t="s">
        <v>14865</v>
      </c>
      <c r="C4201" s="37" t="s">
        <v>87</v>
      </c>
      <c r="D4201" s="20" t="s">
        <v>14866</v>
      </c>
      <c r="E4201" s="20" t="s">
        <v>14867</v>
      </c>
      <c r="F4201" s="19" t="s">
        <v>90</v>
      </c>
      <c r="G4201" s="19" t="s">
        <v>91</v>
      </c>
      <c r="H4201" s="37"/>
      <c r="I4201" s="37" t="s">
        <v>29</v>
      </c>
      <c r="J4201" s="155" t="str">
        <f t="shared" si="4"/>
        <v>TT</v>
      </c>
      <c r="K4201" s="22" t="s">
        <v>14868</v>
      </c>
      <c r="L4201" s="56">
        <v>45104</v>
      </c>
      <c r="O4201" s="42"/>
      <c r="P4201" s="40"/>
      <c r="Q4201" s="61"/>
      <c r="R4201" s="61"/>
      <c r="S4201" s="40"/>
      <c r="T4201" s="38"/>
      <c r="U4201" s="38"/>
      <c r="V4201" s="38"/>
      <c r="W4201" s="60"/>
      <c r="AB4201" s="42"/>
      <c r="AC4201" s="35"/>
      <c r="AD4201" s="38"/>
      <c r="AE4201" s="38"/>
      <c r="AF4201" s="38"/>
      <c r="AG4201" s="38"/>
      <c r="AH4201" s="60"/>
    </row>
    <row r="4202" spans="1:34" ht="15.75" customHeight="1">
      <c r="A4202" s="200"/>
      <c r="B4202" s="38"/>
      <c r="C4202" s="37"/>
      <c r="D4202" s="20"/>
      <c r="E4202" s="20"/>
      <c r="F4202" s="37"/>
      <c r="G4202" s="37"/>
      <c r="H4202" s="37"/>
      <c r="I4202" s="37"/>
      <c r="J4202" s="155">
        <f t="shared" si="4"/>
        <v>0</v>
      </c>
      <c r="K4202" s="22"/>
      <c r="L4202" s="39"/>
      <c r="O4202" s="42"/>
      <c r="P4202" s="40"/>
      <c r="Q4202" s="61"/>
      <c r="R4202" s="61"/>
      <c r="S4202" s="40"/>
      <c r="T4202" s="38"/>
      <c r="U4202" s="38"/>
      <c r="V4202" s="38"/>
      <c r="W4202" s="60"/>
      <c r="AB4202" s="42"/>
      <c r="AC4202" s="35"/>
      <c r="AD4202" s="38"/>
      <c r="AE4202" s="38"/>
      <c r="AF4202" s="38"/>
      <c r="AG4202" s="38"/>
      <c r="AH4202" s="60"/>
    </row>
    <row r="4203" spans="1:34" ht="15.75" customHeight="1">
      <c r="A4203" s="35" t="s">
        <v>14869</v>
      </c>
      <c r="B4203" s="158" t="s">
        <v>14870</v>
      </c>
      <c r="C4203" s="19" t="s">
        <v>46</v>
      </c>
      <c r="D4203" s="20" t="str">
        <f t="shared" ref="D4203:D4224" si="5">CONCATENATE(LEFT(B4203,FIND(" ",B4203) - 1),".",RIGHT(B4203,LEN(B4203) - (FIND(" ",B4203))),"@erau.edu")</f>
        <v>Carolina.Barriento@erau.edu</v>
      </c>
      <c r="E4203" s="20"/>
      <c r="F4203" s="37" t="s">
        <v>49</v>
      </c>
      <c r="G4203" s="19" t="s">
        <v>50</v>
      </c>
      <c r="H4203" s="19"/>
      <c r="I4203" s="37" t="s">
        <v>29</v>
      </c>
      <c r="J4203" s="155" t="str">
        <f t="shared" si="4"/>
        <v>TT</v>
      </c>
      <c r="K4203" s="22"/>
      <c r="L4203" s="56">
        <v>45104</v>
      </c>
      <c r="M4203" s="40"/>
      <c r="O4203" s="42"/>
      <c r="P4203" s="40"/>
      <c r="Q4203" s="61"/>
      <c r="R4203" s="61"/>
      <c r="S4203" s="40"/>
      <c r="T4203" s="38"/>
      <c r="U4203" s="38"/>
      <c r="V4203" s="38"/>
      <c r="W4203" s="60"/>
      <c r="AB4203" s="42"/>
      <c r="AC4203" s="35"/>
      <c r="AD4203" s="38"/>
      <c r="AE4203" s="38"/>
      <c r="AF4203" s="38"/>
      <c r="AG4203" s="38"/>
      <c r="AH4203" s="60"/>
    </row>
    <row r="4204" spans="1:34" ht="15.75" customHeight="1">
      <c r="A4204" s="54" t="s">
        <v>6929</v>
      </c>
      <c r="B4204" s="158" t="s">
        <v>14871</v>
      </c>
      <c r="C4204" s="19" t="s">
        <v>24</v>
      </c>
      <c r="D4204" s="20" t="str">
        <f t="shared" si="5"/>
        <v>Fady.Barsoum@erau.edu</v>
      </c>
      <c r="E4204" s="20" t="s">
        <v>14872</v>
      </c>
      <c r="F4204" s="19" t="s">
        <v>27</v>
      </c>
      <c r="G4204" s="19" t="s">
        <v>28</v>
      </c>
      <c r="H4204" s="19"/>
      <c r="I4204" s="37" t="s">
        <v>29</v>
      </c>
      <c r="J4204" s="155" t="str">
        <f t="shared" si="4"/>
        <v>TT</v>
      </c>
      <c r="K4204" s="22" t="s">
        <v>14873</v>
      </c>
      <c r="L4204" s="56">
        <v>45104</v>
      </c>
      <c r="O4204" s="42"/>
      <c r="P4204" s="40"/>
      <c r="Q4204" s="61"/>
      <c r="R4204" s="61"/>
      <c r="S4204" s="40"/>
      <c r="T4204" s="38"/>
      <c r="U4204" s="38"/>
      <c r="V4204" s="38"/>
      <c r="W4204" s="60"/>
      <c r="AB4204" s="42"/>
      <c r="AC4204" s="35"/>
      <c r="AD4204" s="38"/>
      <c r="AE4204" s="38"/>
      <c r="AF4204" s="38"/>
      <c r="AG4204" s="38"/>
      <c r="AH4204" s="60"/>
    </row>
    <row r="4205" spans="1:34" ht="15.75" customHeight="1">
      <c r="A4205" s="114" t="s">
        <v>39</v>
      </c>
      <c r="B4205" s="158" t="s">
        <v>14874</v>
      </c>
      <c r="C4205" s="19" t="s">
        <v>24</v>
      </c>
      <c r="D4205" s="20" t="str">
        <f t="shared" si="5"/>
        <v>Sandra.Boetcher@erau.edu</v>
      </c>
      <c r="E4205" s="20" t="s">
        <v>14875</v>
      </c>
      <c r="F4205" s="19" t="s">
        <v>27</v>
      </c>
      <c r="G4205" s="19" t="s">
        <v>28</v>
      </c>
      <c r="H4205" s="19"/>
      <c r="I4205" s="37" t="s">
        <v>29</v>
      </c>
      <c r="J4205" s="155" t="str">
        <f t="shared" si="4"/>
        <v>TT</v>
      </c>
      <c r="K4205" s="22" t="s">
        <v>14876</v>
      </c>
      <c r="L4205" s="56">
        <v>45104</v>
      </c>
      <c r="O4205" s="42"/>
      <c r="P4205" s="40"/>
      <c r="Q4205" s="61"/>
      <c r="R4205" s="61"/>
      <c r="S4205" s="40"/>
      <c r="T4205" s="38"/>
      <c r="U4205" s="38"/>
      <c r="V4205" s="38"/>
      <c r="W4205" s="60"/>
      <c r="AB4205" s="42"/>
      <c r="AC4205" s="35"/>
      <c r="AD4205" s="38"/>
      <c r="AE4205" s="38"/>
      <c r="AF4205" s="38"/>
      <c r="AG4205" s="38"/>
      <c r="AH4205" s="60"/>
    </row>
    <row r="4206" spans="1:34" ht="15.75" customHeight="1">
      <c r="A4206" s="38" t="s">
        <v>14696</v>
      </c>
      <c r="B4206" s="158" t="s">
        <v>14877</v>
      </c>
      <c r="C4206" s="37" t="s">
        <v>87</v>
      </c>
      <c r="D4206" s="20" t="str">
        <f t="shared" si="5"/>
        <v>Marc.Compere@erau.edu</v>
      </c>
      <c r="E4206" s="20" t="s">
        <v>14878</v>
      </c>
      <c r="F4206" s="19" t="s">
        <v>90</v>
      </c>
      <c r="G4206" s="19" t="s">
        <v>91</v>
      </c>
      <c r="H4206" s="19"/>
      <c r="I4206" s="37" t="s">
        <v>29</v>
      </c>
      <c r="J4206" s="155" t="str">
        <f t="shared" si="4"/>
        <v>TT</v>
      </c>
      <c r="K4206" s="22" t="s">
        <v>14879</v>
      </c>
      <c r="L4206" s="56">
        <v>45104</v>
      </c>
      <c r="O4206" s="42"/>
      <c r="P4206" s="40"/>
      <c r="Q4206" s="61"/>
      <c r="R4206" s="61"/>
      <c r="S4206" s="40"/>
      <c r="T4206" s="38"/>
      <c r="U4206" s="38"/>
      <c r="V4206" s="38"/>
      <c r="W4206" s="60"/>
      <c r="AB4206" s="42"/>
      <c r="AC4206" s="35"/>
      <c r="AD4206" s="38"/>
      <c r="AE4206" s="38"/>
      <c r="AF4206" s="38"/>
      <c r="AG4206" s="38"/>
      <c r="AH4206" s="60"/>
    </row>
    <row r="4207" spans="1:34" ht="15.75" customHeight="1">
      <c r="A4207" s="75" t="s">
        <v>13546</v>
      </c>
      <c r="B4207" s="158" t="s">
        <v>14880</v>
      </c>
      <c r="C4207" s="19" t="s">
        <v>24</v>
      </c>
      <c r="D4207" s="20" t="str">
        <f t="shared" si="5"/>
        <v>Eric.Coyle@erau.edu</v>
      </c>
      <c r="E4207" s="20" t="s">
        <v>14881</v>
      </c>
      <c r="F4207" s="19" t="s">
        <v>27</v>
      </c>
      <c r="G4207" s="19" t="s">
        <v>28</v>
      </c>
      <c r="H4207" s="19"/>
      <c r="I4207" s="37" t="s">
        <v>29</v>
      </c>
      <c r="J4207" s="155" t="str">
        <f t="shared" si="4"/>
        <v>TT</v>
      </c>
      <c r="K4207" s="22" t="s">
        <v>14882</v>
      </c>
      <c r="L4207" s="56">
        <v>45104</v>
      </c>
      <c r="O4207" s="42"/>
      <c r="P4207" s="40"/>
      <c r="Q4207" s="61"/>
      <c r="R4207" s="61"/>
      <c r="S4207" s="40"/>
      <c r="T4207" s="38"/>
      <c r="U4207" s="38"/>
      <c r="V4207" s="38"/>
      <c r="W4207" s="60"/>
      <c r="AB4207" s="42"/>
      <c r="AC4207" s="35"/>
      <c r="AD4207" s="38"/>
      <c r="AE4207" s="38"/>
      <c r="AF4207" s="38"/>
      <c r="AG4207" s="38"/>
      <c r="AH4207" s="60"/>
    </row>
    <row r="4208" spans="1:34" ht="15.75" customHeight="1">
      <c r="A4208" s="50" t="s">
        <v>56</v>
      </c>
      <c r="B4208" s="158" t="s">
        <v>14883</v>
      </c>
      <c r="C4208" s="19" t="s">
        <v>46</v>
      </c>
      <c r="D4208" s="20" t="str">
        <f t="shared" si="5"/>
        <v>Paul.Crittenden@erau.edu</v>
      </c>
      <c r="E4208" s="20"/>
      <c r="F4208" s="37" t="s">
        <v>49</v>
      </c>
      <c r="G4208" s="19" t="s">
        <v>50</v>
      </c>
      <c r="H4208" s="19"/>
      <c r="I4208" s="37" t="s">
        <v>29</v>
      </c>
      <c r="J4208" s="155" t="str">
        <f t="shared" si="4"/>
        <v>TT</v>
      </c>
      <c r="K4208" s="22"/>
      <c r="L4208" s="56">
        <v>45104</v>
      </c>
      <c r="O4208" s="42"/>
      <c r="P4208" s="40"/>
      <c r="Q4208" s="61"/>
      <c r="R4208" s="61"/>
      <c r="S4208" s="40"/>
      <c r="T4208" s="38"/>
      <c r="U4208" s="38"/>
      <c r="V4208" s="38"/>
      <c r="W4208" s="60"/>
      <c r="AB4208" s="42"/>
      <c r="AC4208" s="35"/>
      <c r="AD4208" s="38"/>
      <c r="AE4208" s="38"/>
      <c r="AF4208" s="38"/>
      <c r="AG4208" s="38"/>
      <c r="AH4208" s="60"/>
    </row>
    <row r="4209" spans="1:34" ht="15.75" customHeight="1">
      <c r="A4209" s="17">
        <v>47</v>
      </c>
      <c r="B4209" s="158" t="s">
        <v>14884</v>
      </c>
      <c r="C4209" s="19" t="s">
        <v>24</v>
      </c>
      <c r="D4209" s="20" t="str">
        <f t="shared" si="5"/>
        <v>Patrick.Currier@erau.edu</v>
      </c>
      <c r="E4209" s="20" t="s">
        <v>14885</v>
      </c>
      <c r="F4209" s="19" t="s">
        <v>27</v>
      </c>
      <c r="G4209" s="19" t="s">
        <v>28</v>
      </c>
      <c r="H4209" s="19"/>
      <c r="I4209" s="37" t="s">
        <v>29</v>
      </c>
      <c r="J4209" s="155" t="str">
        <f t="shared" si="4"/>
        <v>TT</v>
      </c>
      <c r="K4209" s="22" t="s">
        <v>14886</v>
      </c>
      <c r="L4209" s="56">
        <v>45104</v>
      </c>
      <c r="O4209" s="42"/>
      <c r="P4209" s="40"/>
      <c r="Q4209" s="61"/>
      <c r="R4209" s="61"/>
      <c r="S4209" s="40"/>
      <c r="T4209" s="38"/>
      <c r="U4209" s="38"/>
      <c r="V4209" s="38"/>
      <c r="W4209" s="60"/>
      <c r="AB4209" s="42"/>
      <c r="AC4209" s="35"/>
      <c r="AD4209" s="38"/>
      <c r="AE4209" s="38"/>
      <c r="AF4209" s="38"/>
      <c r="AG4209" s="38"/>
      <c r="AH4209" s="60"/>
    </row>
    <row r="4210" spans="1:34" ht="15.75" customHeight="1">
      <c r="A4210" s="111" t="s">
        <v>64</v>
      </c>
      <c r="B4210" s="158" t="s">
        <v>14887</v>
      </c>
      <c r="C4210" s="19" t="s">
        <v>46</v>
      </c>
      <c r="D4210" s="20" t="str">
        <f t="shared" si="5"/>
        <v>Arka.Das@erau.edu</v>
      </c>
      <c r="E4210" s="20"/>
      <c r="F4210" s="37" t="s">
        <v>49</v>
      </c>
      <c r="G4210" s="19" t="s">
        <v>50</v>
      </c>
      <c r="H4210" s="19"/>
      <c r="I4210" s="37" t="s">
        <v>29</v>
      </c>
      <c r="J4210" s="155" t="str">
        <f t="shared" si="4"/>
        <v>TT</v>
      </c>
      <c r="K4210" s="22"/>
      <c r="L4210" s="56">
        <v>45104</v>
      </c>
      <c r="O4210" s="42"/>
      <c r="P4210" s="40"/>
      <c r="Q4210" s="61"/>
      <c r="R4210" s="61"/>
      <c r="S4210" s="40"/>
      <c r="T4210" s="38"/>
      <c r="U4210" s="38"/>
      <c r="V4210" s="38"/>
      <c r="W4210" s="60"/>
      <c r="AB4210" s="42"/>
      <c r="AC4210" s="35"/>
      <c r="AD4210" s="38"/>
      <c r="AE4210" s="38"/>
      <c r="AF4210" s="38"/>
      <c r="AG4210" s="38"/>
      <c r="AH4210" s="60"/>
    </row>
    <row r="4211" spans="1:34" ht="15.75" customHeight="1">
      <c r="A4211" s="75">
        <v>2.5</v>
      </c>
      <c r="B4211" s="158" t="s">
        <v>14888</v>
      </c>
      <c r="C4211" s="19" t="s">
        <v>24</v>
      </c>
      <c r="D4211" s="20" t="str">
        <f t="shared" si="5"/>
        <v>Jean-Michel.Dhainaut@erau.edu</v>
      </c>
      <c r="E4211" s="20"/>
      <c r="F4211" s="19" t="s">
        <v>27</v>
      </c>
      <c r="G4211" s="19" t="s">
        <v>28</v>
      </c>
      <c r="H4211" s="19"/>
      <c r="I4211" s="37" t="s">
        <v>29</v>
      </c>
      <c r="J4211" s="155" t="str">
        <f t="shared" si="4"/>
        <v>TT</v>
      </c>
      <c r="K4211" s="22"/>
      <c r="L4211" s="56">
        <v>45104</v>
      </c>
      <c r="O4211" s="42"/>
      <c r="P4211" s="40"/>
      <c r="Q4211" s="61"/>
      <c r="R4211" s="61"/>
      <c r="S4211" s="40"/>
      <c r="T4211" s="38"/>
      <c r="U4211" s="38"/>
      <c r="V4211" s="38"/>
      <c r="W4211" s="60"/>
      <c r="AB4211" s="42"/>
      <c r="AC4211" s="35"/>
      <c r="AD4211" s="38"/>
      <c r="AE4211" s="38"/>
      <c r="AF4211" s="38"/>
      <c r="AG4211" s="38"/>
      <c r="AH4211" s="60"/>
    </row>
    <row r="4212" spans="1:34" ht="15.75" customHeight="1">
      <c r="A4212" s="111" t="s">
        <v>73</v>
      </c>
      <c r="B4212" s="158" t="s">
        <v>14889</v>
      </c>
      <c r="C4212" s="37" t="s">
        <v>87</v>
      </c>
      <c r="D4212" s="20" t="str">
        <f t="shared" si="5"/>
        <v>Birce.Dikici@erau.edu</v>
      </c>
      <c r="E4212" s="20" t="s">
        <v>14890</v>
      </c>
      <c r="F4212" s="19" t="s">
        <v>90</v>
      </c>
      <c r="G4212" s="19" t="s">
        <v>91</v>
      </c>
      <c r="H4212" s="19"/>
      <c r="I4212" s="37" t="s">
        <v>29</v>
      </c>
      <c r="J4212" s="155" t="str">
        <f t="shared" si="4"/>
        <v>TT</v>
      </c>
      <c r="K4212" s="22" t="s">
        <v>14890</v>
      </c>
      <c r="L4212" s="56">
        <v>45104</v>
      </c>
      <c r="O4212" s="42"/>
      <c r="P4212" s="40"/>
      <c r="Q4212" s="61"/>
      <c r="R4212" s="61"/>
      <c r="S4212" s="40"/>
      <c r="T4212" s="38"/>
      <c r="U4212" s="38"/>
      <c r="V4212" s="38"/>
      <c r="W4212" s="60"/>
      <c r="AB4212" s="42"/>
      <c r="AC4212" s="35"/>
      <c r="AD4212" s="38"/>
      <c r="AE4212" s="38"/>
      <c r="AF4212" s="38"/>
      <c r="AG4212" s="38"/>
      <c r="AH4212" s="60"/>
    </row>
    <row r="4213" spans="1:34" ht="15.75" customHeight="1">
      <c r="A4213" s="75">
        <v>3.6</v>
      </c>
      <c r="B4213" s="158" t="s">
        <v>14891</v>
      </c>
      <c r="C4213" s="19" t="s">
        <v>24</v>
      </c>
      <c r="D4213" s="20" t="str">
        <f t="shared" si="5"/>
        <v>Eduardo.Divo@erau.edu</v>
      </c>
      <c r="E4213" s="20" t="s">
        <v>14892</v>
      </c>
      <c r="F4213" s="19" t="s">
        <v>27</v>
      </c>
      <c r="G4213" s="19" t="s">
        <v>28</v>
      </c>
      <c r="H4213" s="19"/>
      <c r="I4213" s="37" t="s">
        <v>29</v>
      </c>
      <c r="J4213" s="155" t="str">
        <f t="shared" si="4"/>
        <v>TT</v>
      </c>
      <c r="K4213" s="22" t="s">
        <v>14893</v>
      </c>
      <c r="L4213" s="56">
        <v>45104</v>
      </c>
      <c r="O4213" s="42"/>
      <c r="P4213" s="40"/>
      <c r="Q4213" s="61"/>
      <c r="R4213" s="61"/>
      <c r="S4213" s="40"/>
      <c r="T4213" s="38"/>
      <c r="U4213" s="38"/>
      <c r="V4213" s="38"/>
      <c r="W4213" s="60"/>
      <c r="AB4213" s="42"/>
      <c r="AC4213" s="35"/>
      <c r="AD4213" s="38"/>
      <c r="AE4213" s="38"/>
      <c r="AF4213" s="38"/>
      <c r="AG4213" s="38"/>
      <c r="AH4213" s="60"/>
    </row>
    <row r="4214" spans="1:34" ht="15.75" customHeight="1">
      <c r="A4214" s="111" t="s">
        <v>82</v>
      </c>
      <c r="B4214" s="158" t="s">
        <v>14894</v>
      </c>
      <c r="C4214" s="19" t="s">
        <v>24</v>
      </c>
      <c r="D4214" s="20" t="str">
        <f t="shared" si="5"/>
        <v>Sathya.Gangadharan@erau.edu</v>
      </c>
      <c r="E4214" s="20" t="s">
        <v>14895</v>
      </c>
      <c r="F4214" s="19" t="s">
        <v>27</v>
      </c>
      <c r="G4214" s="19" t="s">
        <v>28</v>
      </c>
      <c r="H4214" s="19"/>
      <c r="I4214" s="37" t="s">
        <v>29</v>
      </c>
      <c r="J4214" s="155" t="str">
        <f t="shared" si="4"/>
        <v>TT</v>
      </c>
      <c r="K4214" s="22" t="s">
        <v>14896</v>
      </c>
      <c r="L4214" s="56">
        <v>45104</v>
      </c>
      <c r="O4214" s="42"/>
      <c r="P4214" s="40"/>
      <c r="Q4214" s="61"/>
      <c r="R4214" s="61"/>
      <c r="S4214" s="40"/>
      <c r="T4214" s="38"/>
      <c r="U4214" s="38"/>
      <c r="V4214" s="38"/>
      <c r="W4214" s="60"/>
      <c r="AB4214" s="42"/>
      <c r="AC4214" s="35"/>
      <c r="AD4214" s="38"/>
      <c r="AE4214" s="38"/>
      <c r="AF4214" s="38"/>
      <c r="AG4214" s="38"/>
      <c r="AH4214" s="60"/>
    </row>
    <row r="4215" spans="1:34" ht="15.75" customHeight="1">
      <c r="A4215" s="112" t="s">
        <v>14897</v>
      </c>
      <c r="B4215" s="158" t="s">
        <v>14898</v>
      </c>
      <c r="C4215" s="19" t="s">
        <v>46</v>
      </c>
      <c r="D4215" s="20" t="str">
        <f t="shared" si="5"/>
        <v>Monica.Garcia@erau.edu</v>
      </c>
      <c r="E4215" s="20"/>
      <c r="F4215" s="37" t="s">
        <v>49</v>
      </c>
      <c r="G4215" s="19" t="s">
        <v>50</v>
      </c>
      <c r="H4215" s="19"/>
      <c r="I4215" s="37" t="s">
        <v>29</v>
      </c>
      <c r="J4215" s="155" t="str">
        <f t="shared" si="4"/>
        <v>TT</v>
      </c>
      <c r="K4215" s="22"/>
      <c r="L4215" s="56">
        <v>45104</v>
      </c>
      <c r="O4215" s="42"/>
      <c r="P4215" s="40"/>
      <c r="Q4215" s="61"/>
      <c r="R4215" s="61"/>
      <c r="S4215" s="40"/>
      <c r="T4215" s="38"/>
      <c r="U4215" s="38"/>
      <c r="V4215" s="38"/>
      <c r="W4215" s="60"/>
      <c r="AB4215" s="42"/>
      <c r="AC4215" s="35"/>
      <c r="AD4215" s="38"/>
      <c r="AE4215" s="38"/>
      <c r="AF4215" s="38"/>
      <c r="AG4215" s="38"/>
      <c r="AH4215" s="60"/>
    </row>
    <row r="4216" spans="1:34" ht="15.75" customHeight="1">
      <c r="A4216" s="111" t="s">
        <v>92</v>
      </c>
      <c r="B4216" s="158" t="s">
        <v>14899</v>
      </c>
      <c r="C4216" s="19" t="s">
        <v>46</v>
      </c>
      <c r="D4216" s="20" t="str">
        <f t="shared" si="5"/>
        <v>Christopher.Hockley@erau.edu</v>
      </c>
      <c r="E4216" s="20"/>
      <c r="F4216" s="37" t="s">
        <v>49</v>
      </c>
      <c r="G4216" s="19" t="s">
        <v>50</v>
      </c>
      <c r="H4216" s="19"/>
      <c r="I4216" s="37" t="s">
        <v>29</v>
      </c>
      <c r="J4216" s="155" t="str">
        <f t="shared" si="4"/>
        <v>TT</v>
      </c>
      <c r="K4216" s="22"/>
      <c r="L4216" s="56">
        <v>45104</v>
      </c>
      <c r="O4216" s="42"/>
      <c r="P4216" s="40"/>
      <c r="Q4216" s="61"/>
      <c r="R4216" s="61"/>
      <c r="S4216" s="40"/>
      <c r="T4216" s="38"/>
      <c r="U4216" s="38"/>
      <c r="V4216" s="38"/>
      <c r="W4216" s="60"/>
      <c r="AB4216" s="42"/>
      <c r="AC4216" s="35"/>
      <c r="AD4216" s="38"/>
      <c r="AE4216" s="38"/>
      <c r="AF4216" s="38"/>
      <c r="AG4216" s="38"/>
      <c r="AH4216" s="60"/>
    </row>
    <row r="4217" spans="1:34" ht="15.75" customHeight="1">
      <c r="A4217" s="17">
        <v>311</v>
      </c>
      <c r="B4217" s="158" t="s">
        <v>14900</v>
      </c>
      <c r="C4217" s="37" t="s">
        <v>87</v>
      </c>
      <c r="D4217" s="20" t="str">
        <f t="shared" si="5"/>
        <v>Victor.Huayamave@erau.edu</v>
      </c>
      <c r="E4217" s="20" t="s">
        <v>14901</v>
      </c>
      <c r="F4217" s="19" t="s">
        <v>90</v>
      </c>
      <c r="G4217" s="19" t="s">
        <v>91</v>
      </c>
      <c r="H4217" s="19"/>
      <c r="I4217" s="37" t="s">
        <v>29</v>
      </c>
      <c r="J4217" s="155" t="str">
        <f t="shared" si="4"/>
        <v>TT</v>
      </c>
      <c r="K4217" s="22" t="s">
        <v>14902</v>
      </c>
      <c r="L4217" s="56">
        <v>45104</v>
      </c>
      <c r="O4217" s="42"/>
      <c r="P4217" s="40"/>
      <c r="Q4217" s="61"/>
      <c r="R4217" s="61"/>
      <c r="S4217" s="40"/>
      <c r="T4217" s="38"/>
      <c r="U4217" s="38"/>
      <c r="V4217" s="38"/>
      <c r="W4217" s="60"/>
      <c r="AB4217" s="42"/>
      <c r="AC4217" s="35"/>
      <c r="AD4217" s="38"/>
      <c r="AE4217" s="38"/>
      <c r="AF4217" s="38"/>
      <c r="AG4217" s="38"/>
      <c r="AH4217" s="60"/>
    </row>
    <row r="4218" spans="1:34" ht="15.75" customHeight="1">
      <c r="A4218" s="111" t="s">
        <v>100</v>
      </c>
      <c r="B4218" s="158" t="s">
        <v>14903</v>
      </c>
      <c r="C4218" s="19" t="s">
        <v>24</v>
      </c>
      <c r="D4218" s="20" t="str">
        <f t="shared" si="5"/>
        <v>Yongho.Lee@erau.edu</v>
      </c>
      <c r="E4218" s="20" t="s">
        <v>14904</v>
      </c>
      <c r="F4218" s="19" t="s">
        <v>27</v>
      </c>
      <c r="G4218" s="19" t="s">
        <v>28</v>
      </c>
      <c r="H4218" s="19"/>
      <c r="I4218" s="37" t="s">
        <v>29</v>
      </c>
      <c r="J4218" s="155" t="str">
        <f t="shared" si="4"/>
        <v>TT</v>
      </c>
      <c r="K4218" s="22" t="s">
        <v>14905</v>
      </c>
      <c r="L4218" s="56">
        <v>45104</v>
      </c>
      <c r="O4218" s="42"/>
      <c r="P4218" s="40"/>
      <c r="Q4218" s="61"/>
      <c r="R4218" s="61"/>
      <c r="S4218" s="40"/>
      <c r="T4218" s="38"/>
      <c r="U4218" s="38"/>
      <c r="V4218" s="38"/>
      <c r="W4218" s="60"/>
      <c r="AB4218" s="42"/>
      <c r="AC4218" s="35"/>
      <c r="AD4218" s="38"/>
      <c r="AE4218" s="38"/>
      <c r="AF4218" s="38"/>
      <c r="AG4218" s="38"/>
      <c r="AH4218" s="60"/>
    </row>
    <row r="4219" spans="1:34" ht="15.75" customHeight="1">
      <c r="A4219" s="17">
        <v>160</v>
      </c>
      <c r="B4219" s="158" t="s">
        <v>14906</v>
      </c>
      <c r="C4219" s="37" t="s">
        <v>87</v>
      </c>
      <c r="D4219" s="20" t="str">
        <f t="shared" si="5"/>
        <v>Rafael.Rodriguez@erau.edu</v>
      </c>
      <c r="E4219" s="20"/>
      <c r="F4219" s="19" t="s">
        <v>90</v>
      </c>
      <c r="G4219" s="19" t="s">
        <v>91</v>
      </c>
      <c r="H4219" s="19"/>
      <c r="I4219" s="37" t="s">
        <v>29</v>
      </c>
      <c r="J4219" s="155" t="str">
        <f t="shared" si="4"/>
        <v>TT</v>
      </c>
      <c r="K4219" s="22"/>
      <c r="L4219" s="56">
        <v>45104</v>
      </c>
      <c r="O4219" s="42"/>
      <c r="P4219" s="40"/>
      <c r="Q4219" s="61"/>
      <c r="R4219" s="61"/>
      <c r="S4219" s="40"/>
      <c r="T4219" s="38"/>
      <c r="U4219" s="38"/>
      <c r="V4219" s="38"/>
      <c r="W4219" s="60"/>
      <c r="AB4219" s="42"/>
      <c r="AC4219" s="35"/>
      <c r="AD4219" s="38"/>
      <c r="AE4219" s="38"/>
      <c r="AF4219" s="38"/>
      <c r="AG4219" s="38"/>
      <c r="AH4219" s="60"/>
    </row>
    <row r="4220" spans="1:34" ht="15.75" customHeight="1">
      <c r="A4220" s="35"/>
      <c r="B4220" s="158" t="s">
        <v>14907</v>
      </c>
      <c r="C4220" s="19" t="s">
        <v>46</v>
      </c>
      <c r="D4220" s="20" t="e">
        <f t="shared" si="5"/>
        <v>#VALUE!</v>
      </c>
      <c r="E4220" s="20" t="s">
        <v>14908</v>
      </c>
      <c r="F4220" s="37" t="s">
        <v>49</v>
      </c>
      <c r="G4220" s="19" t="s">
        <v>50</v>
      </c>
      <c r="H4220" s="19"/>
      <c r="I4220" s="37" t="s">
        <v>29</v>
      </c>
      <c r="J4220" s="155" t="str">
        <f t="shared" si="4"/>
        <v>TT</v>
      </c>
      <c r="K4220" s="22" t="s">
        <v>14908</v>
      </c>
      <c r="L4220" s="56">
        <v>45104</v>
      </c>
      <c r="O4220" s="42"/>
      <c r="P4220" s="40"/>
      <c r="Q4220" s="61"/>
      <c r="R4220" s="61"/>
      <c r="S4220" s="40"/>
      <c r="T4220" s="38"/>
      <c r="U4220" s="38"/>
      <c r="V4220" s="38"/>
      <c r="W4220" s="60"/>
      <c r="AB4220" s="42"/>
      <c r="AC4220" s="35"/>
      <c r="AD4220" s="38"/>
      <c r="AE4220" s="38"/>
      <c r="AF4220" s="38"/>
      <c r="AG4220" s="38"/>
      <c r="AH4220" s="60"/>
    </row>
    <row r="4221" spans="1:34" ht="15.75" customHeight="1">
      <c r="A4221" s="201"/>
      <c r="B4221" s="158" t="s">
        <v>14909</v>
      </c>
      <c r="C4221" s="19" t="s">
        <v>46</v>
      </c>
      <c r="D4221" s="20" t="str">
        <f t="shared" si="5"/>
        <v>Gaetano.Sterlacci@erau.edu</v>
      </c>
      <c r="E4221" s="20"/>
      <c r="F4221" s="37" t="s">
        <v>49</v>
      </c>
      <c r="G4221" s="19" t="s">
        <v>50</v>
      </c>
      <c r="H4221" s="19"/>
      <c r="I4221" s="37" t="s">
        <v>29</v>
      </c>
      <c r="J4221" s="155" t="str">
        <f t="shared" si="4"/>
        <v>TT</v>
      </c>
      <c r="K4221" s="22"/>
      <c r="L4221" s="56">
        <v>45104</v>
      </c>
      <c r="O4221" s="42"/>
      <c r="P4221" s="40"/>
      <c r="Q4221" s="61"/>
      <c r="R4221" s="61"/>
      <c r="S4221" s="40"/>
      <c r="T4221" s="38"/>
      <c r="U4221" s="38"/>
      <c r="V4221" s="38"/>
      <c r="W4221" s="60"/>
      <c r="AB4221" s="42"/>
      <c r="AC4221" s="35"/>
      <c r="AD4221" s="38"/>
      <c r="AE4221" s="38"/>
      <c r="AF4221" s="38"/>
      <c r="AG4221" s="38"/>
      <c r="AH4221" s="60"/>
    </row>
    <row r="4222" spans="1:34" ht="15.75" customHeight="1">
      <c r="A4222" s="202"/>
      <c r="B4222" s="158" t="s">
        <v>14910</v>
      </c>
      <c r="C4222" s="37" t="s">
        <v>87</v>
      </c>
      <c r="D4222" s="20" t="str">
        <f t="shared" si="5"/>
        <v>Yan.Tang@erau.edu</v>
      </c>
      <c r="E4222" s="20" t="s">
        <v>14911</v>
      </c>
      <c r="F4222" s="19" t="s">
        <v>90</v>
      </c>
      <c r="G4222" s="19" t="s">
        <v>91</v>
      </c>
      <c r="H4222" s="19"/>
      <c r="I4222" s="37" t="s">
        <v>29</v>
      </c>
      <c r="J4222" s="155" t="str">
        <f t="shared" si="4"/>
        <v>TT</v>
      </c>
      <c r="K4222" s="22" t="s">
        <v>14911</v>
      </c>
      <c r="L4222" s="56">
        <v>45104</v>
      </c>
      <c r="O4222" s="42"/>
      <c r="P4222" s="40"/>
      <c r="Q4222" s="61"/>
      <c r="R4222" s="61"/>
      <c r="S4222" s="40"/>
      <c r="T4222" s="38"/>
      <c r="U4222" s="38"/>
      <c r="V4222" s="38"/>
      <c r="W4222" s="60"/>
      <c r="AB4222" s="42"/>
      <c r="AC4222" s="35"/>
      <c r="AD4222" s="38"/>
      <c r="AE4222" s="38"/>
      <c r="AF4222" s="38"/>
      <c r="AG4222" s="38"/>
      <c r="AH4222" s="60"/>
    </row>
    <row r="4223" spans="1:34" ht="15.75" customHeight="1">
      <c r="A4223" s="203"/>
      <c r="B4223" s="158" t="s">
        <v>14912</v>
      </c>
      <c r="C4223" s="19" t="s">
        <v>46</v>
      </c>
      <c r="D4223" s="20" t="str">
        <f t="shared" si="5"/>
        <v>Christine.Walck@erau.edu</v>
      </c>
      <c r="E4223" s="20"/>
      <c r="F4223" s="37" t="s">
        <v>49</v>
      </c>
      <c r="G4223" s="19" t="s">
        <v>50</v>
      </c>
      <c r="H4223" s="19"/>
      <c r="I4223" s="37" t="s">
        <v>29</v>
      </c>
      <c r="J4223" s="155" t="str">
        <f t="shared" si="4"/>
        <v>TT</v>
      </c>
      <c r="K4223" s="22"/>
      <c r="L4223" s="56">
        <v>45104</v>
      </c>
      <c r="O4223" s="42"/>
      <c r="P4223" s="40"/>
      <c r="Q4223" s="61"/>
      <c r="R4223" s="61"/>
      <c r="S4223" s="40"/>
      <c r="T4223" s="38"/>
      <c r="U4223" s="38"/>
      <c r="V4223" s="38"/>
      <c r="W4223" s="60"/>
      <c r="AB4223" s="42"/>
      <c r="AC4223" s="35"/>
      <c r="AD4223" s="38"/>
      <c r="AE4223" s="38"/>
      <c r="AF4223" s="38"/>
      <c r="AG4223" s="38"/>
      <c r="AH4223" s="60"/>
    </row>
    <row r="4224" spans="1:34" ht="15.75" customHeight="1">
      <c r="A4224" s="203"/>
      <c r="B4224" s="158" t="s">
        <v>14913</v>
      </c>
      <c r="C4224" s="19" t="s">
        <v>24</v>
      </c>
      <c r="D4224" s="20" t="str">
        <f t="shared" si="5"/>
        <v>Darris.White@erau.edu</v>
      </c>
      <c r="E4224" s="20" t="s">
        <v>14914</v>
      </c>
      <c r="F4224" s="19" t="s">
        <v>27</v>
      </c>
      <c r="G4224" s="19" t="s">
        <v>28</v>
      </c>
      <c r="H4224" s="19"/>
      <c r="I4224" s="37" t="s">
        <v>29</v>
      </c>
      <c r="J4224" s="155" t="str">
        <f t="shared" si="4"/>
        <v>TT</v>
      </c>
      <c r="K4224" s="22" t="s">
        <v>14915</v>
      </c>
      <c r="L4224" s="56">
        <v>45104</v>
      </c>
      <c r="O4224" s="42"/>
      <c r="P4224" s="40"/>
      <c r="Q4224" s="61"/>
      <c r="R4224" s="61"/>
      <c r="S4224" s="40"/>
      <c r="T4224" s="38"/>
      <c r="U4224" s="38"/>
      <c r="V4224" s="38"/>
      <c r="W4224" s="60"/>
      <c r="AB4224" s="42"/>
      <c r="AC4224" s="35"/>
      <c r="AD4224" s="38"/>
      <c r="AE4224" s="38"/>
      <c r="AF4224" s="38"/>
      <c r="AG4224" s="38"/>
      <c r="AH4224" s="60"/>
    </row>
    <row r="4225" spans="1:34" ht="15.75" customHeight="1">
      <c r="A4225" s="203"/>
      <c r="B4225" s="38"/>
      <c r="C4225" s="37"/>
      <c r="D4225" s="20"/>
      <c r="E4225" s="20"/>
      <c r="F4225" s="37"/>
      <c r="G4225" s="37"/>
      <c r="H4225" s="37"/>
      <c r="I4225" s="21"/>
      <c r="J4225" s="155">
        <f t="shared" si="4"/>
        <v>0</v>
      </c>
      <c r="K4225" s="22"/>
      <c r="L4225" s="39"/>
      <c r="O4225" s="42"/>
      <c r="P4225" s="40"/>
      <c r="Q4225" s="61"/>
      <c r="R4225" s="61"/>
      <c r="S4225" s="40"/>
      <c r="T4225" s="38"/>
      <c r="U4225" s="38"/>
      <c r="V4225" s="38"/>
      <c r="W4225" s="60"/>
      <c r="AB4225" s="42"/>
      <c r="AC4225" s="35"/>
      <c r="AD4225" s="38"/>
      <c r="AE4225" s="38"/>
      <c r="AF4225" s="38"/>
      <c r="AG4225" s="38"/>
      <c r="AH4225" s="60"/>
    </row>
    <row r="4226" spans="1:34" ht="15.75" customHeight="1">
      <c r="A4226" s="35" t="s">
        <v>14916</v>
      </c>
      <c r="B4226" s="159" t="s">
        <v>14917</v>
      </c>
      <c r="C4226" s="19" t="s">
        <v>24</v>
      </c>
      <c r="D4226" s="204" t="s">
        <v>14918</v>
      </c>
      <c r="E4226" s="20" t="s">
        <v>14919</v>
      </c>
      <c r="F4226" s="19" t="s">
        <v>27</v>
      </c>
      <c r="G4226" s="19" t="s">
        <v>28</v>
      </c>
      <c r="H4226" s="19"/>
      <c r="I4226" s="21" t="s">
        <v>29</v>
      </c>
      <c r="J4226" s="155" t="str">
        <f t="shared" si="4"/>
        <v>TT</v>
      </c>
      <c r="K4226" s="22" t="s">
        <v>14920</v>
      </c>
      <c r="L4226" s="56">
        <v>45104</v>
      </c>
      <c r="M4226" s="40"/>
      <c r="O4226" s="42"/>
      <c r="P4226" s="40"/>
      <c r="Q4226" s="61"/>
      <c r="R4226" s="61"/>
      <c r="S4226" s="40"/>
      <c r="T4226" s="38"/>
      <c r="U4226" s="38"/>
      <c r="V4226" s="38"/>
      <c r="W4226" s="60"/>
      <c r="AB4226" s="42"/>
      <c r="AC4226" s="35"/>
      <c r="AD4226" s="38"/>
      <c r="AE4226" s="38"/>
      <c r="AF4226" s="38"/>
      <c r="AG4226" s="38"/>
      <c r="AH4226" s="60"/>
    </row>
    <row r="4227" spans="1:34" ht="15.75" customHeight="1">
      <c r="A4227" s="54" t="s">
        <v>14921</v>
      </c>
      <c r="B4227" s="158" t="s">
        <v>14922</v>
      </c>
      <c r="C4227" s="37" t="s">
        <v>87</v>
      </c>
      <c r="D4227" s="204" t="s">
        <v>14923</v>
      </c>
      <c r="E4227" s="20" t="s">
        <v>14924</v>
      </c>
      <c r="F4227" s="19" t="s">
        <v>90</v>
      </c>
      <c r="G4227" s="19" t="s">
        <v>91</v>
      </c>
      <c r="H4227" s="19" t="s">
        <v>36</v>
      </c>
      <c r="I4227" s="21" t="s">
        <v>29</v>
      </c>
      <c r="J4227" s="155" t="str">
        <f t="shared" si="4"/>
        <v>TT</v>
      </c>
      <c r="K4227" s="22" t="s">
        <v>14925</v>
      </c>
      <c r="L4227" s="56">
        <v>45104</v>
      </c>
      <c r="O4227" s="42"/>
      <c r="P4227" s="40"/>
      <c r="Q4227" s="61"/>
      <c r="R4227" s="61"/>
      <c r="S4227" s="40"/>
      <c r="T4227" s="38"/>
      <c r="U4227" s="38"/>
      <c r="V4227" s="38"/>
      <c r="W4227" s="60"/>
      <c r="AB4227" s="42"/>
      <c r="AC4227" s="35"/>
      <c r="AD4227" s="38"/>
      <c r="AE4227" s="38"/>
      <c r="AF4227" s="38"/>
      <c r="AG4227" s="38"/>
      <c r="AH4227" s="60"/>
    </row>
    <row r="4228" spans="1:34" ht="15.75" customHeight="1">
      <c r="A4228" s="114" t="s">
        <v>39</v>
      </c>
      <c r="B4228" s="158" t="s">
        <v>14926</v>
      </c>
      <c r="C4228" s="19" t="s">
        <v>24</v>
      </c>
      <c r="D4228" s="204" t="s">
        <v>14927</v>
      </c>
      <c r="E4228" s="20" t="s">
        <v>14928</v>
      </c>
      <c r="F4228" s="19" t="s">
        <v>27</v>
      </c>
      <c r="G4228" s="19" t="s">
        <v>28</v>
      </c>
      <c r="H4228" s="19"/>
      <c r="I4228" s="21" t="s">
        <v>29</v>
      </c>
      <c r="J4228" s="155" t="str">
        <f t="shared" si="4"/>
        <v>TT</v>
      </c>
      <c r="K4228" s="22" t="s">
        <v>14929</v>
      </c>
      <c r="L4228" s="56">
        <v>45104</v>
      </c>
      <c r="O4228" s="42"/>
      <c r="P4228" s="40"/>
      <c r="Q4228" s="61"/>
      <c r="R4228" s="61"/>
      <c r="S4228" s="40"/>
      <c r="T4228" s="38"/>
      <c r="U4228" s="38"/>
      <c r="V4228" s="38"/>
      <c r="W4228" s="60"/>
      <c r="AB4228" s="42"/>
      <c r="AC4228" s="35"/>
      <c r="AD4228" s="38"/>
      <c r="AE4228" s="38"/>
      <c r="AF4228" s="38"/>
      <c r="AG4228" s="38"/>
      <c r="AH4228" s="60"/>
    </row>
    <row r="4229" spans="1:34" ht="15.75" customHeight="1">
      <c r="A4229" s="38" t="s">
        <v>14696</v>
      </c>
      <c r="B4229" s="158" t="s">
        <v>14930</v>
      </c>
      <c r="C4229" s="37" t="s">
        <v>87</v>
      </c>
      <c r="D4229" s="204" t="s">
        <v>14931</v>
      </c>
      <c r="E4229" s="20" t="s">
        <v>14932</v>
      </c>
      <c r="F4229" s="19" t="s">
        <v>90</v>
      </c>
      <c r="G4229" s="19" t="s">
        <v>91</v>
      </c>
      <c r="H4229" s="19"/>
      <c r="I4229" s="21" t="s">
        <v>29</v>
      </c>
      <c r="J4229" s="155" t="str">
        <f t="shared" si="4"/>
        <v>TT</v>
      </c>
      <c r="K4229" s="22" t="s">
        <v>14933</v>
      </c>
      <c r="L4229" s="56">
        <v>45104</v>
      </c>
      <c r="O4229" s="42"/>
      <c r="P4229" s="40"/>
      <c r="Q4229" s="61"/>
      <c r="R4229" s="61"/>
      <c r="S4229" s="40"/>
      <c r="T4229" s="38"/>
      <c r="U4229" s="38"/>
      <c r="V4229" s="38"/>
      <c r="W4229" s="60"/>
      <c r="AB4229" s="42"/>
      <c r="AC4229" s="35"/>
      <c r="AD4229" s="38"/>
      <c r="AE4229" s="38"/>
      <c r="AF4229" s="38"/>
      <c r="AG4229" s="38"/>
      <c r="AH4229" s="60"/>
    </row>
    <row r="4230" spans="1:34" ht="15.75" customHeight="1">
      <c r="A4230" s="75" t="s">
        <v>11020</v>
      </c>
      <c r="B4230" s="158" t="s">
        <v>14934</v>
      </c>
      <c r="C4230" s="19" t="s">
        <v>1430</v>
      </c>
      <c r="D4230" s="204" t="s">
        <v>14935</v>
      </c>
      <c r="E4230" s="20" t="s">
        <v>14936</v>
      </c>
      <c r="F4230" s="55" t="s">
        <v>1445</v>
      </c>
      <c r="G4230" s="55" t="s">
        <v>1432</v>
      </c>
      <c r="H4230" s="19" t="s">
        <v>36</v>
      </c>
      <c r="I4230" s="21" t="s">
        <v>233</v>
      </c>
      <c r="J4230" s="155" t="str">
        <f t="shared" si="4"/>
        <v>NTT</v>
      </c>
      <c r="K4230" s="22" t="s">
        <v>14937</v>
      </c>
      <c r="L4230" s="56">
        <v>45104</v>
      </c>
      <c r="O4230" s="42"/>
      <c r="P4230" s="40"/>
      <c r="Q4230" s="61"/>
      <c r="R4230" s="61"/>
      <c r="S4230" s="40"/>
      <c r="T4230" s="38"/>
      <c r="U4230" s="38"/>
      <c r="V4230" s="38"/>
      <c r="W4230" s="60"/>
      <c r="AB4230" s="42"/>
      <c r="AC4230" s="35"/>
      <c r="AD4230" s="38"/>
      <c r="AE4230" s="38"/>
      <c r="AF4230" s="38"/>
      <c r="AG4230" s="38"/>
      <c r="AH4230" s="60"/>
    </row>
    <row r="4231" spans="1:34" ht="15.75" customHeight="1">
      <c r="A4231" s="50" t="s">
        <v>56</v>
      </c>
      <c r="B4231" s="158" t="s">
        <v>14938</v>
      </c>
      <c r="C4231" s="37" t="s">
        <v>87</v>
      </c>
      <c r="D4231" s="204" t="s">
        <v>14939</v>
      </c>
      <c r="E4231" s="20" t="s">
        <v>14940</v>
      </c>
      <c r="F4231" s="19" t="s">
        <v>90</v>
      </c>
      <c r="G4231" s="19" t="s">
        <v>91</v>
      </c>
      <c r="H4231" s="19"/>
      <c r="I4231" s="21" t="s">
        <v>29</v>
      </c>
      <c r="J4231" s="155" t="str">
        <f t="shared" si="4"/>
        <v>TT</v>
      </c>
      <c r="K4231" s="22" t="s">
        <v>14941</v>
      </c>
      <c r="L4231" s="56">
        <v>45104</v>
      </c>
      <c r="O4231" s="42"/>
      <c r="P4231" s="40"/>
      <c r="Q4231" s="61"/>
      <c r="R4231" s="61"/>
      <c r="S4231" s="40"/>
      <c r="T4231" s="38"/>
      <c r="U4231" s="38"/>
      <c r="V4231" s="38"/>
      <c r="W4231" s="60"/>
      <c r="AB4231" s="42"/>
      <c r="AC4231" s="35"/>
      <c r="AD4231" s="38"/>
      <c r="AE4231" s="38"/>
      <c r="AF4231" s="38"/>
      <c r="AG4231" s="38"/>
      <c r="AH4231" s="60"/>
    </row>
    <row r="4232" spans="1:34" ht="15.75" customHeight="1">
      <c r="A4232" s="17">
        <v>46</v>
      </c>
      <c r="B4232" s="158" t="s">
        <v>14942</v>
      </c>
      <c r="C4232" s="37" t="s">
        <v>87</v>
      </c>
      <c r="D4232" s="204" t="s">
        <v>14943</v>
      </c>
      <c r="E4232" s="20" t="s">
        <v>14944</v>
      </c>
      <c r="F4232" s="19" t="s">
        <v>90</v>
      </c>
      <c r="G4232" s="19" t="s">
        <v>91</v>
      </c>
      <c r="H4232" s="19"/>
      <c r="I4232" s="21" t="s">
        <v>29</v>
      </c>
      <c r="J4232" s="155" t="str">
        <f t="shared" si="4"/>
        <v>TT</v>
      </c>
      <c r="K4232" s="22" t="s">
        <v>14945</v>
      </c>
      <c r="L4232" s="56">
        <v>45104</v>
      </c>
      <c r="O4232" s="42"/>
      <c r="P4232" s="40"/>
      <c r="Q4232" s="61"/>
      <c r="R4232" s="61"/>
      <c r="S4232" s="40"/>
      <c r="T4232" s="38"/>
      <c r="U4232" s="38"/>
      <c r="V4232" s="38"/>
      <c r="W4232" s="60"/>
      <c r="AB4232" s="42"/>
      <c r="AC4232" s="35"/>
      <c r="AD4232" s="38"/>
      <c r="AE4232" s="38"/>
      <c r="AF4232" s="38"/>
      <c r="AG4232" s="38"/>
      <c r="AH4232" s="60"/>
    </row>
    <row r="4233" spans="1:34" ht="15.75" customHeight="1">
      <c r="A4233" s="111" t="s">
        <v>64</v>
      </c>
      <c r="B4233" s="158" t="s">
        <v>14946</v>
      </c>
      <c r="C4233" s="19" t="s">
        <v>24</v>
      </c>
      <c r="D4233" s="204" t="s">
        <v>14947</v>
      </c>
      <c r="E4233" s="20" t="s">
        <v>14948</v>
      </c>
      <c r="F4233" s="19" t="s">
        <v>27</v>
      </c>
      <c r="G4233" s="19" t="s">
        <v>28</v>
      </c>
      <c r="H4233" s="19"/>
      <c r="I4233" s="21" t="s">
        <v>29</v>
      </c>
      <c r="J4233" s="155" t="str">
        <f t="shared" si="4"/>
        <v>TT</v>
      </c>
      <c r="K4233" s="22" t="s">
        <v>14949</v>
      </c>
      <c r="L4233" s="56">
        <v>45104</v>
      </c>
      <c r="O4233" s="42"/>
      <c r="P4233" s="40"/>
      <c r="Q4233" s="61"/>
      <c r="R4233" s="61"/>
      <c r="S4233" s="40"/>
      <c r="T4233" s="38"/>
      <c r="U4233" s="38"/>
      <c r="V4233" s="38"/>
      <c r="W4233" s="60"/>
      <c r="AB4233" s="42"/>
      <c r="AC4233" s="35"/>
      <c r="AD4233" s="38"/>
      <c r="AE4233" s="38"/>
      <c r="AF4233" s="38"/>
      <c r="AG4233" s="38"/>
      <c r="AH4233" s="60"/>
    </row>
    <row r="4234" spans="1:34" ht="15.75" customHeight="1">
      <c r="A4234" s="75">
        <v>2.6</v>
      </c>
      <c r="B4234" s="158" t="s">
        <v>14950</v>
      </c>
      <c r="C4234" s="19" t="s">
        <v>1430</v>
      </c>
      <c r="D4234" s="204" t="s">
        <v>14951</v>
      </c>
      <c r="E4234" s="20" t="s">
        <v>14952</v>
      </c>
      <c r="F4234" s="55" t="s">
        <v>1445</v>
      </c>
      <c r="G4234" s="55" t="s">
        <v>1432</v>
      </c>
      <c r="H4234" s="19"/>
      <c r="I4234" s="21" t="s">
        <v>233</v>
      </c>
      <c r="J4234" s="155" t="str">
        <f t="shared" si="4"/>
        <v>NTT</v>
      </c>
      <c r="K4234" s="22" t="s">
        <v>14953</v>
      </c>
      <c r="L4234" s="56">
        <v>45104</v>
      </c>
      <c r="O4234" s="42"/>
      <c r="P4234" s="40"/>
      <c r="Q4234" s="61"/>
      <c r="R4234" s="61"/>
      <c r="S4234" s="40"/>
      <c r="T4234" s="38"/>
      <c r="U4234" s="38"/>
      <c r="V4234" s="38"/>
      <c r="W4234" s="60"/>
      <c r="AB4234" s="42"/>
      <c r="AC4234" s="35"/>
      <c r="AD4234" s="38"/>
      <c r="AE4234" s="38"/>
      <c r="AF4234" s="38"/>
      <c r="AG4234" s="38"/>
      <c r="AH4234" s="60"/>
    </row>
    <row r="4235" spans="1:34" ht="15.75" customHeight="1">
      <c r="A4235" s="111" t="s">
        <v>73</v>
      </c>
      <c r="B4235" s="158" t="s">
        <v>14954</v>
      </c>
      <c r="C4235" s="19" t="s">
        <v>412</v>
      </c>
      <c r="D4235" s="204" t="s">
        <v>14955</v>
      </c>
      <c r="E4235" s="20"/>
      <c r="F4235" s="19" t="s">
        <v>414</v>
      </c>
      <c r="G4235" s="19" t="s">
        <v>415</v>
      </c>
      <c r="H4235" s="19"/>
      <c r="I4235" s="21" t="s">
        <v>233</v>
      </c>
      <c r="J4235" s="155" t="str">
        <f t="shared" si="4"/>
        <v>NTT</v>
      </c>
      <c r="K4235" s="22"/>
      <c r="L4235" s="56">
        <v>45104</v>
      </c>
      <c r="O4235" s="42"/>
      <c r="P4235" s="40"/>
      <c r="Q4235" s="61"/>
      <c r="R4235" s="61"/>
      <c r="S4235" s="40"/>
      <c r="T4235" s="38"/>
      <c r="U4235" s="38"/>
      <c r="V4235" s="38"/>
      <c r="W4235" s="60"/>
      <c r="AB4235" s="42"/>
      <c r="AC4235" s="35"/>
      <c r="AD4235" s="38"/>
      <c r="AE4235" s="38"/>
      <c r="AF4235" s="38"/>
      <c r="AG4235" s="38"/>
      <c r="AH4235" s="60"/>
    </row>
    <row r="4236" spans="1:34" ht="15.75" customHeight="1">
      <c r="A4236" s="75">
        <v>3.2</v>
      </c>
      <c r="B4236" s="158" t="s">
        <v>14956</v>
      </c>
      <c r="C4236" s="19" t="s">
        <v>24</v>
      </c>
      <c r="D4236" s="204" t="s">
        <v>14957</v>
      </c>
      <c r="E4236" s="20" t="s">
        <v>14958</v>
      </c>
      <c r="F4236" s="19" t="s">
        <v>27</v>
      </c>
      <c r="G4236" s="19" t="s">
        <v>28</v>
      </c>
      <c r="H4236" s="19"/>
      <c r="I4236" s="21" t="s">
        <v>29</v>
      </c>
      <c r="J4236" s="155" t="str">
        <f t="shared" si="4"/>
        <v>TT</v>
      </c>
      <c r="K4236" s="22" t="s">
        <v>14959</v>
      </c>
      <c r="L4236" s="56">
        <v>45104</v>
      </c>
      <c r="O4236" s="42"/>
      <c r="P4236" s="40"/>
      <c r="Q4236" s="61"/>
      <c r="R4236" s="61"/>
      <c r="S4236" s="40"/>
      <c r="T4236" s="38"/>
      <c r="U4236" s="38"/>
      <c r="V4236" s="38"/>
      <c r="W4236" s="60"/>
      <c r="AB4236" s="42"/>
      <c r="AC4236" s="35"/>
      <c r="AD4236" s="38"/>
      <c r="AE4236" s="38"/>
      <c r="AF4236" s="38"/>
      <c r="AG4236" s="38"/>
      <c r="AH4236" s="60"/>
    </row>
    <row r="4237" spans="1:34" ht="15.75" customHeight="1">
      <c r="A4237" s="111" t="s">
        <v>82</v>
      </c>
      <c r="B4237" s="158" t="s">
        <v>14960</v>
      </c>
      <c r="C4237" s="19" t="s">
        <v>24</v>
      </c>
      <c r="D4237" s="204" t="s">
        <v>14961</v>
      </c>
      <c r="E4237" s="20" t="s">
        <v>14962</v>
      </c>
      <c r="F4237" s="19" t="s">
        <v>27</v>
      </c>
      <c r="G4237" s="19" t="s">
        <v>28</v>
      </c>
      <c r="H4237" s="19"/>
      <c r="I4237" s="21" t="s">
        <v>29</v>
      </c>
      <c r="J4237" s="155" t="str">
        <f t="shared" si="4"/>
        <v>TT</v>
      </c>
      <c r="K4237" s="22" t="s">
        <v>14963</v>
      </c>
      <c r="L4237" s="56">
        <v>45104</v>
      </c>
      <c r="O4237" s="42"/>
      <c r="P4237" s="40"/>
      <c r="Q4237" s="61"/>
      <c r="R4237" s="61"/>
      <c r="S4237" s="40"/>
      <c r="T4237" s="38"/>
      <c r="U4237" s="38"/>
      <c r="V4237" s="38"/>
      <c r="W4237" s="60"/>
      <c r="AB4237" s="42"/>
      <c r="AC4237" s="35"/>
      <c r="AD4237" s="38"/>
      <c r="AE4237" s="38"/>
      <c r="AF4237" s="38"/>
      <c r="AG4237" s="38"/>
      <c r="AH4237" s="60"/>
    </row>
    <row r="4238" spans="1:34" ht="15.75" customHeight="1">
      <c r="A4238" s="112" t="s">
        <v>14964</v>
      </c>
      <c r="B4238" s="158" t="s">
        <v>14965</v>
      </c>
      <c r="C4238" s="19" t="s">
        <v>412</v>
      </c>
      <c r="D4238" s="204" t="s">
        <v>14966</v>
      </c>
      <c r="E4238" s="20"/>
      <c r="F4238" s="19" t="s">
        <v>414</v>
      </c>
      <c r="G4238" s="37" t="s">
        <v>415</v>
      </c>
      <c r="H4238" s="19"/>
      <c r="I4238" s="21" t="s">
        <v>233</v>
      </c>
      <c r="J4238" s="155" t="str">
        <f t="shared" si="4"/>
        <v>NTT</v>
      </c>
      <c r="K4238" s="22"/>
      <c r="L4238" s="56">
        <v>45104</v>
      </c>
      <c r="O4238" s="42"/>
      <c r="P4238" s="40"/>
      <c r="Q4238" s="61"/>
      <c r="R4238" s="61"/>
      <c r="S4238" s="40"/>
      <c r="T4238" s="38"/>
      <c r="U4238" s="38"/>
      <c r="V4238" s="38"/>
      <c r="W4238" s="60"/>
      <c r="AB4238" s="42"/>
      <c r="AC4238" s="35"/>
      <c r="AD4238" s="38"/>
      <c r="AE4238" s="38"/>
      <c r="AF4238" s="38"/>
      <c r="AG4238" s="38"/>
      <c r="AH4238" s="60"/>
    </row>
    <row r="4239" spans="1:34" ht="15.75" customHeight="1">
      <c r="A4239" s="111" t="s">
        <v>92</v>
      </c>
      <c r="B4239" s="158" t="s">
        <v>14967</v>
      </c>
      <c r="C4239" s="19" t="s">
        <v>24</v>
      </c>
      <c r="D4239" s="204" t="s">
        <v>14968</v>
      </c>
      <c r="E4239" s="20" t="s">
        <v>14969</v>
      </c>
      <c r="F4239" s="19" t="s">
        <v>27</v>
      </c>
      <c r="G4239" s="19" t="s">
        <v>28</v>
      </c>
      <c r="H4239" s="37" t="s">
        <v>813</v>
      </c>
      <c r="I4239" s="21" t="s">
        <v>29</v>
      </c>
      <c r="J4239" s="155" t="str">
        <f t="shared" si="4"/>
        <v>TT</v>
      </c>
      <c r="K4239" s="22" t="s">
        <v>14970</v>
      </c>
      <c r="L4239" s="56">
        <v>45104</v>
      </c>
      <c r="O4239" s="42"/>
      <c r="P4239" s="40"/>
      <c r="Q4239" s="61"/>
      <c r="R4239" s="61"/>
      <c r="S4239" s="40"/>
      <c r="T4239" s="38"/>
      <c r="U4239" s="38"/>
      <c r="V4239" s="38"/>
      <c r="W4239" s="60"/>
      <c r="AB4239" s="42"/>
      <c r="AC4239" s="35"/>
      <c r="AD4239" s="38"/>
      <c r="AE4239" s="38"/>
      <c r="AF4239" s="38"/>
      <c r="AG4239" s="38"/>
      <c r="AH4239" s="60"/>
    </row>
    <row r="4240" spans="1:34" ht="15.75" customHeight="1">
      <c r="A4240" s="17">
        <v>220</v>
      </c>
      <c r="B4240" s="158" t="s">
        <v>14971</v>
      </c>
      <c r="C4240" s="37" t="s">
        <v>87</v>
      </c>
      <c r="D4240" s="204" t="s">
        <v>14972</v>
      </c>
      <c r="E4240" s="20" t="s">
        <v>14973</v>
      </c>
      <c r="F4240" s="19" t="s">
        <v>90</v>
      </c>
      <c r="G4240" s="19" t="s">
        <v>91</v>
      </c>
      <c r="H4240" s="19"/>
      <c r="I4240" s="21" t="s">
        <v>29</v>
      </c>
      <c r="J4240" s="155" t="str">
        <f t="shared" si="4"/>
        <v>TT</v>
      </c>
      <c r="K4240" s="22" t="s">
        <v>14974</v>
      </c>
      <c r="L4240" s="56">
        <v>45104</v>
      </c>
      <c r="O4240" s="42"/>
      <c r="P4240" s="40"/>
      <c r="Q4240" s="61"/>
      <c r="R4240" s="61"/>
      <c r="S4240" s="40"/>
      <c r="T4240" s="38"/>
      <c r="U4240" s="38"/>
      <c r="V4240" s="38"/>
      <c r="W4240" s="60"/>
      <c r="AB4240" s="42"/>
      <c r="AC4240" s="35"/>
      <c r="AD4240" s="38"/>
      <c r="AE4240" s="38"/>
      <c r="AF4240" s="38"/>
      <c r="AG4240" s="38"/>
      <c r="AH4240" s="60"/>
    </row>
    <row r="4241" spans="1:34" ht="15.75" customHeight="1">
      <c r="A4241" s="111" t="s">
        <v>100</v>
      </c>
      <c r="B4241" s="158" t="s">
        <v>14975</v>
      </c>
      <c r="C4241" s="19" t="s">
        <v>46</v>
      </c>
      <c r="D4241" s="204" t="s">
        <v>14976</v>
      </c>
      <c r="E4241" s="20" t="s">
        <v>14977</v>
      </c>
      <c r="F4241" s="37" t="s">
        <v>49</v>
      </c>
      <c r="G4241" s="19" t="s">
        <v>50</v>
      </c>
      <c r="H4241" s="19"/>
      <c r="I4241" s="21" t="s">
        <v>29</v>
      </c>
      <c r="J4241" s="155" t="str">
        <f t="shared" si="4"/>
        <v>TT</v>
      </c>
      <c r="K4241" s="22" t="s">
        <v>14977</v>
      </c>
      <c r="L4241" s="56">
        <v>45104</v>
      </c>
      <c r="O4241" s="42"/>
      <c r="P4241" s="40"/>
      <c r="Q4241" s="61"/>
      <c r="R4241" s="61"/>
      <c r="S4241" s="40"/>
      <c r="T4241" s="38"/>
      <c r="U4241" s="38"/>
      <c r="V4241" s="38"/>
      <c r="W4241" s="60"/>
      <c r="AB4241" s="42"/>
      <c r="AC4241" s="35"/>
      <c r="AD4241" s="38"/>
      <c r="AE4241" s="38"/>
      <c r="AF4241" s="38"/>
      <c r="AG4241" s="38"/>
      <c r="AH4241" s="60"/>
    </row>
    <row r="4242" spans="1:34" ht="15.75" customHeight="1">
      <c r="A4242" s="17">
        <v>154</v>
      </c>
      <c r="B4242" s="158" t="s">
        <v>14978</v>
      </c>
      <c r="C4242" s="19" t="s">
        <v>412</v>
      </c>
      <c r="D4242" s="204" t="s">
        <v>14979</v>
      </c>
      <c r="E4242" s="20"/>
      <c r="F4242" s="19" t="s">
        <v>414</v>
      </c>
      <c r="G4242" s="19" t="s">
        <v>415</v>
      </c>
      <c r="H4242" s="19"/>
      <c r="I4242" s="21" t="s">
        <v>233</v>
      </c>
      <c r="J4242" s="155" t="str">
        <f t="shared" si="4"/>
        <v>NTT</v>
      </c>
      <c r="K4242" s="22"/>
      <c r="L4242" s="56">
        <v>45104</v>
      </c>
      <c r="O4242" s="42"/>
      <c r="P4242" s="40"/>
      <c r="Q4242" s="61"/>
      <c r="R4242" s="61"/>
      <c r="S4242" s="40"/>
      <c r="T4242" s="38"/>
      <c r="U4242" s="38"/>
      <c r="V4242" s="38"/>
      <c r="W4242" s="60"/>
      <c r="AB4242" s="42"/>
      <c r="AC4242" s="35"/>
      <c r="AD4242" s="38"/>
      <c r="AE4242" s="38"/>
      <c r="AF4242" s="38"/>
      <c r="AG4242" s="38"/>
      <c r="AH4242" s="60"/>
    </row>
    <row r="4243" spans="1:34" ht="15.75" customHeight="1">
      <c r="A4243" s="35"/>
      <c r="B4243" s="158" t="s">
        <v>14980</v>
      </c>
      <c r="C4243" s="37" t="s">
        <v>87</v>
      </c>
      <c r="D4243" s="204" t="s">
        <v>14981</v>
      </c>
      <c r="E4243" s="20" t="s">
        <v>14982</v>
      </c>
      <c r="F4243" s="19" t="s">
        <v>90</v>
      </c>
      <c r="G4243" s="19" t="s">
        <v>91</v>
      </c>
      <c r="H4243" s="19"/>
      <c r="I4243" s="21" t="s">
        <v>29</v>
      </c>
      <c r="J4243" s="155" t="str">
        <f t="shared" si="4"/>
        <v>TT</v>
      </c>
      <c r="K4243" s="22" t="s">
        <v>14983</v>
      </c>
      <c r="L4243" s="56">
        <v>45104</v>
      </c>
      <c r="O4243" s="42"/>
      <c r="P4243" s="40"/>
      <c r="Q4243" s="61"/>
      <c r="R4243" s="61"/>
      <c r="S4243" s="40"/>
      <c r="T4243" s="38"/>
      <c r="U4243" s="38"/>
      <c r="V4243" s="38"/>
      <c r="W4243" s="60"/>
      <c r="AB4243" s="42"/>
      <c r="AC4243" s="35"/>
      <c r="AD4243" s="38"/>
      <c r="AE4243" s="38"/>
      <c r="AF4243" s="38"/>
      <c r="AG4243" s="38"/>
      <c r="AH4243" s="60"/>
    </row>
    <row r="4244" spans="1:34" ht="15.75" customHeight="1">
      <c r="A4244" s="111"/>
      <c r="B4244" s="158" t="s">
        <v>14984</v>
      </c>
      <c r="C4244" s="19" t="s">
        <v>24</v>
      </c>
      <c r="D4244" s="204" t="s">
        <v>14985</v>
      </c>
      <c r="E4244" s="20" t="s">
        <v>14986</v>
      </c>
      <c r="F4244" s="19" t="s">
        <v>27</v>
      </c>
      <c r="G4244" s="19" t="s">
        <v>28</v>
      </c>
      <c r="H4244" s="19" t="s">
        <v>36</v>
      </c>
      <c r="I4244" s="21" t="s">
        <v>29</v>
      </c>
      <c r="J4244" s="155" t="str">
        <f t="shared" si="4"/>
        <v>TT</v>
      </c>
      <c r="K4244" s="22" t="s">
        <v>14987</v>
      </c>
      <c r="L4244" s="56">
        <v>45104</v>
      </c>
      <c r="O4244" s="42"/>
      <c r="P4244" s="40"/>
      <c r="Q4244" s="61"/>
      <c r="R4244" s="61"/>
      <c r="S4244" s="40"/>
      <c r="T4244" s="38"/>
      <c r="U4244" s="38"/>
      <c r="V4244" s="38"/>
      <c r="W4244" s="60"/>
      <c r="AB4244" s="42"/>
      <c r="AC4244" s="35"/>
      <c r="AD4244" s="38"/>
      <c r="AE4244" s="38"/>
      <c r="AF4244" s="38"/>
      <c r="AG4244" s="38"/>
      <c r="AH4244" s="60"/>
    </row>
    <row r="4245" spans="1:34" ht="15.75" customHeight="1">
      <c r="A4245" s="17"/>
      <c r="B4245" s="158" t="s">
        <v>14988</v>
      </c>
      <c r="C4245" s="19" t="s">
        <v>46</v>
      </c>
      <c r="D4245" s="204" t="s">
        <v>14989</v>
      </c>
      <c r="E4245" s="20" t="s">
        <v>14990</v>
      </c>
      <c r="F4245" s="37" t="s">
        <v>49</v>
      </c>
      <c r="G4245" s="19" t="s">
        <v>50</v>
      </c>
      <c r="H4245" s="19"/>
      <c r="I4245" s="21" t="s">
        <v>29</v>
      </c>
      <c r="J4245" s="155" t="str">
        <f t="shared" si="4"/>
        <v>TT</v>
      </c>
      <c r="K4245" s="22" t="s">
        <v>14991</v>
      </c>
      <c r="L4245" s="56">
        <v>45104</v>
      </c>
      <c r="O4245" s="42"/>
      <c r="P4245" s="40"/>
      <c r="Q4245" s="61"/>
      <c r="R4245" s="61"/>
      <c r="S4245" s="40"/>
      <c r="T4245" s="38"/>
      <c r="U4245" s="38"/>
      <c r="V4245" s="38"/>
      <c r="W4245" s="60"/>
      <c r="AB4245" s="42"/>
      <c r="AC4245" s="35"/>
      <c r="AD4245" s="38"/>
      <c r="AE4245" s="38"/>
      <c r="AF4245" s="38"/>
      <c r="AG4245" s="38"/>
      <c r="AH4245" s="60"/>
    </row>
    <row r="4246" spans="1:34" ht="15.75" customHeight="1">
      <c r="A4246" s="111"/>
      <c r="B4246" s="158" t="s">
        <v>14992</v>
      </c>
      <c r="C4246" s="19" t="s">
        <v>24</v>
      </c>
      <c r="D4246" s="204" t="s">
        <v>14993</v>
      </c>
      <c r="E4246" s="20" t="s">
        <v>14994</v>
      </c>
      <c r="F4246" s="19" t="s">
        <v>27</v>
      </c>
      <c r="G4246" s="19" t="s">
        <v>28</v>
      </c>
      <c r="H4246" s="19"/>
      <c r="I4246" s="21" t="s">
        <v>29</v>
      </c>
      <c r="J4246" s="155" t="str">
        <f t="shared" si="4"/>
        <v>TT</v>
      </c>
      <c r="K4246" s="22" t="s">
        <v>14995</v>
      </c>
      <c r="L4246" s="56">
        <v>45104</v>
      </c>
      <c r="O4246" s="42"/>
      <c r="P4246" s="40"/>
      <c r="Q4246" s="61"/>
      <c r="R4246" s="61"/>
      <c r="S4246" s="40"/>
      <c r="T4246" s="38"/>
      <c r="U4246" s="38"/>
      <c r="V4246" s="38"/>
      <c r="W4246" s="60"/>
      <c r="AB4246" s="42"/>
      <c r="AC4246" s="35"/>
      <c r="AD4246" s="38"/>
      <c r="AE4246" s="38"/>
      <c r="AF4246" s="38"/>
      <c r="AG4246" s="38"/>
      <c r="AH4246" s="60"/>
    </row>
    <row r="4247" spans="1:34" ht="15.75" customHeight="1">
      <c r="A4247" s="17"/>
      <c r="B4247" s="158" t="s">
        <v>14996</v>
      </c>
      <c r="C4247" s="19" t="s">
        <v>1470</v>
      </c>
      <c r="D4247" s="204" t="s">
        <v>14997</v>
      </c>
      <c r="E4247" s="20"/>
      <c r="F4247" s="19" t="s">
        <v>3286</v>
      </c>
      <c r="G4247" s="37" t="s">
        <v>1461</v>
      </c>
      <c r="H4247" s="19"/>
      <c r="I4247" s="21" t="s">
        <v>233</v>
      </c>
      <c r="J4247" s="155" t="str">
        <f t="shared" si="4"/>
        <v>NTT</v>
      </c>
      <c r="K4247" s="22"/>
      <c r="L4247" s="56">
        <v>45104</v>
      </c>
      <c r="O4247" s="42"/>
      <c r="P4247" s="40"/>
      <c r="Q4247" s="61"/>
      <c r="R4247" s="61"/>
      <c r="S4247" s="40"/>
      <c r="T4247" s="38"/>
      <c r="U4247" s="38"/>
      <c r="V4247" s="38"/>
      <c r="W4247" s="60"/>
      <c r="AB4247" s="42"/>
      <c r="AC4247" s="35"/>
      <c r="AD4247" s="38"/>
      <c r="AE4247" s="38"/>
      <c r="AF4247" s="38"/>
      <c r="AG4247" s="38"/>
      <c r="AH4247" s="60"/>
    </row>
    <row r="4248" spans="1:34" ht="15.75" customHeight="1">
      <c r="A4248" s="205"/>
      <c r="B4248" s="158" t="s">
        <v>14998</v>
      </c>
      <c r="C4248" s="37" t="s">
        <v>87</v>
      </c>
      <c r="D4248" s="204" t="s">
        <v>14999</v>
      </c>
      <c r="E4248" s="20" t="s">
        <v>15000</v>
      </c>
      <c r="F4248" s="19" t="s">
        <v>90</v>
      </c>
      <c r="G4248" s="19" t="s">
        <v>91</v>
      </c>
      <c r="H4248" s="19" t="s">
        <v>36</v>
      </c>
      <c r="I4248" s="21" t="s">
        <v>29</v>
      </c>
      <c r="J4248" s="155" t="str">
        <f t="shared" si="4"/>
        <v>TT</v>
      </c>
      <c r="K4248" s="22" t="s">
        <v>15001</v>
      </c>
      <c r="L4248" s="56">
        <v>45104</v>
      </c>
      <c r="O4248" s="42"/>
      <c r="P4248" s="40"/>
      <c r="Q4248" s="61"/>
      <c r="R4248" s="61"/>
      <c r="S4248" s="40"/>
      <c r="T4248" s="38"/>
      <c r="U4248" s="38"/>
      <c r="V4248" s="38"/>
      <c r="W4248" s="60"/>
      <c r="AB4248" s="42"/>
      <c r="AC4248" s="35"/>
      <c r="AD4248" s="38"/>
      <c r="AE4248" s="38"/>
      <c r="AF4248" s="38"/>
      <c r="AG4248" s="38"/>
      <c r="AH4248" s="60"/>
    </row>
    <row r="4249" spans="1:34" ht="15.75" customHeight="1">
      <c r="A4249" s="205"/>
      <c r="B4249" s="158" t="s">
        <v>15002</v>
      </c>
      <c r="C4249" s="37" t="s">
        <v>87</v>
      </c>
      <c r="D4249" s="204" t="s">
        <v>15003</v>
      </c>
      <c r="E4249" s="20" t="s">
        <v>15004</v>
      </c>
      <c r="F4249" s="19" t="s">
        <v>90</v>
      </c>
      <c r="G4249" s="19" t="s">
        <v>91</v>
      </c>
      <c r="H4249" s="19"/>
      <c r="I4249" s="21" t="s">
        <v>29</v>
      </c>
      <c r="J4249" s="155" t="str">
        <f t="shared" si="4"/>
        <v>TT</v>
      </c>
      <c r="K4249" s="22" t="s">
        <v>15005</v>
      </c>
      <c r="L4249" s="56">
        <v>45104</v>
      </c>
      <c r="O4249" s="42"/>
      <c r="P4249" s="40"/>
      <c r="Q4249" s="61"/>
      <c r="R4249" s="61"/>
      <c r="S4249" s="40"/>
      <c r="T4249" s="38"/>
      <c r="U4249" s="38"/>
      <c r="V4249" s="38"/>
      <c r="W4249" s="60"/>
      <c r="AB4249" s="42"/>
      <c r="AC4249" s="35"/>
      <c r="AD4249" s="38"/>
      <c r="AE4249" s="38"/>
      <c r="AF4249" s="38"/>
      <c r="AG4249" s="38"/>
      <c r="AH4249" s="60"/>
    </row>
    <row r="4250" spans="1:34" ht="15.75" customHeight="1">
      <c r="A4250" s="205"/>
      <c r="B4250" s="38"/>
      <c r="C4250" s="37"/>
      <c r="D4250" s="20"/>
      <c r="E4250" s="20"/>
      <c r="F4250" s="37"/>
      <c r="G4250" s="37"/>
      <c r="H4250" s="37"/>
      <c r="I4250" s="21"/>
      <c r="J4250" s="155">
        <f t="shared" si="4"/>
        <v>0</v>
      </c>
      <c r="K4250" s="22"/>
      <c r="L4250" s="39"/>
      <c r="O4250" s="42"/>
      <c r="P4250" s="40"/>
      <c r="Q4250" s="61"/>
      <c r="R4250" s="61"/>
      <c r="S4250" s="40"/>
      <c r="T4250" s="38"/>
      <c r="U4250" s="38"/>
      <c r="V4250" s="38"/>
      <c r="W4250" s="60"/>
      <c r="AB4250" s="42"/>
      <c r="AC4250" s="35"/>
      <c r="AD4250" s="38"/>
      <c r="AE4250" s="38"/>
      <c r="AF4250" s="38"/>
      <c r="AG4250" s="38"/>
      <c r="AH4250" s="60"/>
    </row>
    <row r="4251" spans="1:34" ht="15.75" customHeight="1">
      <c r="A4251" s="35" t="s">
        <v>15006</v>
      </c>
      <c r="B4251" s="158" t="s">
        <v>15007</v>
      </c>
      <c r="C4251" s="19" t="s">
        <v>24</v>
      </c>
      <c r="D4251" s="20" t="s">
        <v>15008</v>
      </c>
      <c r="E4251" s="20" t="s">
        <v>15009</v>
      </c>
      <c r="F4251" s="19" t="s">
        <v>27</v>
      </c>
      <c r="G4251" s="19" t="s">
        <v>28</v>
      </c>
      <c r="H4251" s="19"/>
      <c r="I4251" s="37" t="s">
        <v>29</v>
      </c>
      <c r="J4251" s="155" t="str">
        <f t="shared" si="4"/>
        <v>TT</v>
      </c>
      <c r="K4251" s="22" t="s">
        <v>15010</v>
      </c>
      <c r="L4251" s="56">
        <v>45104</v>
      </c>
      <c r="M4251" s="40"/>
      <c r="O4251" s="42"/>
      <c r="P4251" s="40"/>
      <c r="Q4251" s="61"/>
      <c r="R4251" s="61"/>
      <c r="S4251" s="40"/>
      <c r="T4251" s="38"/>
      <c r="U4251" s="38"/>
      <c r="V4251" s="38"/>
      <c r="W4251" s="60"/>
      <c r="AB4251" s="42"/>
      <c r="AC4251" s="35"/>
      <c r="AD4251" s="38"/>
      <c r="AE4251" s="38"/>
      <c r="AF4251" s="38"/>
      <c r="AG4251" s="38"/>
      <c r="AH4251" s="60"/>
    </row>
    <row r="4252" spans="1:34" ht="15.75" customHeight="1">
      <c r="A4252" s="54" t="s">
        <v>2714</v>
      </c>
      <c r="B4252" s="158" t="s">
        <v>15011</v>
      </c>
      <c r="C4252" s="19" t="s">
        <v>46</v>
      </c>
      <c r="D4252" s="206" t="s">
        <v>15012</v>
      </c>
      <c r="E4252" s="20" t="s">
        <v>15013</v>
      </c>
      <c r="F4252" s="37" t="s">
        <v>49</v>
      </c>
      <c r="G4252" s="19" t="s">
        <v>50</v>
      </c>
      <c r="H4252" s="19"/>
      <c r="I4252" s="37" t="s">
        <v>29</v>
      </c>
      <c r="J4252" s="155" t="str">
        <f t="shared" si="4"/>
        <v>TT</v>
      </c>
      <c r="K4252" s="22" t="s">
        <v>15013</v>
      </c>
      <c r="L4252" s="56">
        <v>45104</v>
      </c>
      <c r="O4252" s="42"/>
      <c r="P4252" s="40"/>
      <c r="Q4252" s="61"/>
      <c r="R4252" s="61"/>
      <c r="S4252" s="40"/>
      <c r="T4252" s="38"/>
      <c r="U4252" s="38"/>
      <c r="V4252" s="38"/>
      <c r="W4252" s="60"/>
      <c r="AB4252" s="42"/>
      <c r="AC4252" s="35"/>
      <c r="AD4252" s="38"/>
      <c r="AE4252" s="38"/>
      <c r="AF4252" s="38"/>
      <c r="AG4252" s="38"/>
      <c r="AH4252" s="60"/>
    </row>
    <row r="4253" spans="1:34" ht="15.75" customHeight="1">
      <c r="A4253" s="114" t="s">
        <v>39</v>
      </c>
      <c r="B4253" s="158" t="s">
        <v>15014</v>
      </c>
      <c r="C4253" s="19" t="s">
        <v>24</v>
      </c>
      <c r="D4253" s="206" t="s">
        <v>15015</v>
      </c>
      <c r="E4253" s="20" t="s">
        <v>15016</v>
      </c>
      <c r="F4253" s="19" t="s">
        <v>27</v>
      </c>
      <c r="G4253" s="19" t="s">
        <v>28</v>
      </c>
      <c r="H4253" s="19"/>
      <c r="I4253" s="37" t="s">
        <v>29</v>
      </c>
      <c r="J4253" s="155" t="str">
        <f t="shared" si="4"/>
        <v>TT</v>
      </c>
      <c r="K4253" s="22" t="s">
        <v>15016</v>
      </c>
      <c r="L4253" s="56">
        <v>45104</v>
      </c>
      <c r="O4253" s="42"/>
      <c r="P4253" s="40"/>
      <c r="Q4253" s="61"/>
      <c r="R4253" s="61"/>
      <c r="S4253" s="40"/>
      <c r="T4253" s="38"/>
      <c r="U4253" s="38"/>
      <c r="V4253" s="38"/>
      <c r="W4253" s="60"/>
      <c r="AB4253" s="42"/>
      <c r="AC4253" s="35"/>
      <c r="AD4253" s="38"/>
      <c r="AE4253" s="38"/>
      <c r="AF4253" s="38"/>
      <c r="AG4253" s="38"/>
      <c r="AH4253" s="60"/>
    </row>
    <row r="4254" spans="1:34" ht="15.75" customHeight="1">
      <c r="A4254" s="38" t="s">
        <v>14696</v>
      </c>
      <c r="B4254" s="158" t="s">
        <v>15017</v>
      </c>
      <c r="C4254" s="19" t="s">
        <v>46</v>
      </c>
      <c r="D4254" s="206" t="s">
        <v>15018</v>
      </c>
      <c r="E4254" s="20" t="s">
        <v>15019</v>
      </c>
      <c r="F4254" s="37" t="s">
        <v>49</v>
      </c>
      <c r="G4254" s="19" t="s">
        <v>50</v>
      </c>
      <c r="H4254" s="19"/>
      <c r="I4254" s="37" t="s">
        <v>29</v>
      </c>
      <c r="J4254" s="155" t="str">
        <f t="shared" si="4"/>
        <v>TT</v>
      </c>
      <c r="K4254" s="22" t="s">
        <v>15019</v>
      </c>
      <c r="L4254" s="56">
        <v>45104</v>
      </c>
      <c r="O4254" s="42"/>
      <c r="P4254" s="40"/>
      <c r="Q4254" s="61"/>
      <c r="R4254" s="61"/>
      <c r="S4254" s="40"/>
      <c r="T4254" s="38"/>
      <c r="U4254" s="38"/>
      <c r="V4254" s="38"/>
      <c r="W4254" s="60"/>
      <c r="AB4254" s="42"/>
      <c r="AC4254" s="35"/>
      <c r="AD4254" s="38"/>
      <c r="AE4254" s="38"/>
      <c r="AF4254" s="38"/>
      <c r="AG4254" s="38"/>
      <c r="AH4254" s="60"/>
    </row>
    <row r="4255" spans="1:34" ht="15.75" customHeight="1">
      <c r="A4255" s="75" t="s">
        <v>15020</v>
      </c>
      <c r="B4255" s="158" t="s">
        <v>15021</v>
      </c>
      <c r="C4255" s="19" t="s">
        <v>24</v>
      </c>
      <c r="D4255" s="206" t="s">
        <v>15022</v>
      </c>
      <c r="E4255" s="20" t="s">
        <v>15023</v>
      </c>
      <c r="F4255" s="19" t="s">
        <v>27</v>
      </c>
      <c r="G4255" s="19" t="s">
        <v>28</v>
      </c>
      <c r="H4255" s="19"/>
      <c r="I4255" s="37" t="s">
        <v>29</v>
      </c>
      <c r="J4255" s="155" t="str">
        <f t="shared" si="4"/>
        <v>TT</v>
      </c>
      <c r="K4255" s="22" t="s">
        <v>15024</v>
      </c>
      <c r="L4255" s="56">
        <v>45104</v>
      </c>
      <c r="O4255" s="42"/>
      <c r="P4255" s="40"/>
      <c r="Q4255" s="61"/>
      <c r="R4255" s="61"/>
      <c r="S4255" s="40"/>
      <c r="T4255" s="38"/>
      <c r="U4255" s="38"/>
      <c r="V4255" s="38"/>
      <c r="W4255" s="60"/>
      <c r="AB4255" s="42"/>
      <c r="AC4255" s="35"/>
      <c r="AD4255" s="38"/>
      <c r="AE4255" s="38"/>
      <c r="AF4255" s="38"/>
      <c r="AG4255" s="38"/>
      <c r="AH4255" s="60"/>
    </row>
    <row r="4256" spans="1:34" ht="15.75" customHeight="1">
      <c r="A4256" s="50" t="s">
        <v>56</v>
      </c>
      <c r="B4256" s="158" t="s">
        <v>15025</v>
      </c>
      <c r="C4256" s="19" t="s">
        <v>46</v>
      </c>
      <c r="D4256" s="206" t="s">
        <v>15026</v>
      </c>
      <c r="E4256" s="20" t="s">
        <v>15027</v>
      </c>
      <c r="F4256" s="37" t="s">
        <v>49</v>
      </c>
      <c r="G4256" s="19" t="s">
        <v>50</v>
      </c>
      <c r="H4256" s="19"/>
      <c r="I4256" s="37" t="s">
        <v>29</v>
      </c>
      <c r="J4256" s="155" t="str">
        <f t="shared" si="4"/>
        <v>TT</v>
      </c>
      <c r="K4256" s="22" t="s">
        <v>15028</v>
      </c>
      <c r="L4256" s="56">
        <v>45104</v>
      </c>
      <c r="O4256" s="42"/>
      <c r="P4256" s="40"/>
      <c r="Q4256" s="61"/>
      <c r="R4256" s="61"/>
      <c r="S4256" s="40"/>
      <c r="T4256" s="38"/>
      <c r="U4256" s="38"/>
      <c r="V4256" s="38"/>
      <c r="W4256" s="60"/>
      <c r="AB4256" s="42"/>
      <c r="AC4256" s="35"/>
      <c r="AD4256" s="38"/>
      <c r="AE4256" s="38"/>
      <c r="AF4256" s="38"/>
      <c r="AG4256" s="38"/>
      <c r="AH4256" s="60"/>
    </row>
    <row r="4257" spans="1:34" ht="15.75" customHeight="1">
      <c r="A4257" s="17">
        <v>32</v>
      </c>
      <c r="B4257" s="158" t="s">
        <v>15029</v>
      </c>
      <c r="C4257" s="19" t="s">
        <v>46</v>
      </c>
      <c r="D4257" s="206" t="s">
        <v>15030</v>
      </c>
      <c r="E4257" s="20" t="s">
        <v>15031</v>
      </c>
      <c r="F4257" s="37" t="s">
        <v>49</v>
      </c>
      <c r="G4257" s="19" t="s">
        <v>50</v>
      </c>
      <c r="H4257" s="19"/>
      <c r="I4257" s="37" t="s">
        <v>29</v>
      </c>
      <c r="J4257" s="155" t="str">
        <f t="shared" si="4"/>
        <v>TT</v>
      </c>
      <c r="K4257" s="22" t="s">
        <v>15032</v>
      </c>
      <c r="L4257" s="56">
        <v>45104</v>
      </c>
      <c r="O4257" s="42"/>
      <c r="P4257" s="40"/>
      <c r="Q4257" s="61"/>
      <c r="R4257" s="61"/>
      <c r="S4257" s="40"/>
      <c r="T4257" s="38"/>
      <c r="U4257" s="38"/>
      <c r="V4257" s="38"/>
      <c r="W4257" s="60"/>
      <c r="AB4257" s="42"/>
      <c r="AC4257" s="35"/>
      <c r="AD4257" s="38"/>
      <c r="AE4257" s="38"/>
      <c r="AF4257" s="38"/>
      <c r="AG4257" s="38"/>
      <c r="AH4257" s="60"/>
    </row>
    <row r="4258" spans="1:34" ht="15.75" customHeight="1">
      <c r="A4258" s="111" t="s">
        <v>64</v>
      </c>
      <c r="B4258" s="158" t="s">
        <v>15033</v>
      </c>
      <c r="C4258" s="19" t="s">
        <v>46</v>
      </c>
      <c r="D4258" s="206" t="s">
        <v>15034</v>
      </c>
      <c r="E4258" s="20" t="s">
        <v>15035</v>
      </c>
      <c r="F4258" s="37" t="s">
        <v>49</v>
      </c>
      <c r="G4258" s="19" t="s">
        <v>50</v>
      </c>
      <c r="H4258" s="19"/>
      <c r="I4258" s="37" t="s">
        <v>29</v>
      </c>
      <c r="J4258" s="155" t="str">
        <f t="shared" si="4"/>
        <v>TT</v>
      </c>
      <c r="K4258" s="22" t="s">
        <v>15035</v>
      </c>
      <c r="L4258" s="56">
        <v>45104</v>
      </c>
      <c r="O4258" s="42"/>
      <c r="P4258" s="40"/>
      <c r="Q4258" s="61"/>
      <c r="R4258" s="61"/>
      <c r="S4258" s="40"/>
      <c r="T4258" s="38"/>
      <c r="U4258" s="38"/>
      <c r="V4258" s="38"/>
      <c r="W4258" s="60"/>
      <c r="AB4258" s="42"/>
      <c r="AC4258" s="35"/>
      <c r="AD4258" s="38"/>
      <c r="AE4258" s="38"/>
      <c r="AF4258" s="38"/>
      <c r="AG4258" s="38"/>
      <c r="AH4258" s="60"/>
    </row>
    <row r="4259" spans="1:34" ht="15.75" customHeight="1">
      <c r="A4259" s="75">
        <v>2.4</v>
      </c>
      <c r="B4259" s="158" t="s">
        <v>15036</v>
      </c>
      <c r="C4259" s="19" t="s">
        <v>24</v>
      </c>
      <c r="D4259" s="206" t="s">
        <v>15037</v>
      </c>
      <c r="E4259" s="20" t="s">
        <v>15038</v>
      </c>
      <c r="F4259" s="19" t="s">
        <v>27</v>
      </c>
      <c r="G4259" s="19" t="s">
        <v>28</v>
      </c>
      <c r="H4259" s="19"/>
      <c r="I4259" s="37" t="s">
        <v>29</v>
      </c>
      <c r="J4259" s="155" t="str">
        <f t="shared" si="4"/>
        <v>TT</v>
      </c>
      <c r="K4259" s="22" t="s">
        <v>15039</v>
      </c>
      <c r="L4259" s="56">
        <v>45104</v>
      </c>
      <c r="O4259" s="42"/>
      <c r="P4259" s="40"/>
      <c r="Q4259" s="61"/>
      <c r="R4259" s="61"/>
      <c r="S4259" s="40"/>
      <c r="T4259" s="38"/>
      <c r="U4259" s="38"/>
      <c r="V4259" s="38"/>
      <c r="W4259" s="60"/>
      <c r="AB4259" s="42"/>
      <c r="AC4259" s="35"/>
      <c r="AD4259" s="38"/>
      <c r="AE4259" s="38"/>
      <c r="AF4259" s="38"/>
      <c r="AG4259" s="38"/>
      <c r="AH4259" s="60"/>
    </row>
    <row r="4260" spans="1:34" ht="15.75" customHeight="1">
      <c r="A4260" s="111" t="s">
        <v>73</v>
      </c>
      <c r="B4260" s="158" t="s">
        <v>15040</v>
      </c>
      <c r="C4260" s="37" t="s">
        <v>87</v>
      </c>
      <c r="D4260" s="206" t="s">
        <v>15041</v>
      </c>
      <c r="E4260" s="20" t="s">
        <v>15042</v>
      </c>
      <c r="F4260" s="19" t="s">
        <v>90</v>
      </c>
      <c r="G4260" s="19" t="s">
        <v>91</v>
      </c>
      <c r="H4260" s="19"/>
      <c r="I4260" s="37" t="s">
        <v>29</v>
      </c>
      <c r="J4260" s="155" t="str">
        <f t="shared" si="4"/>
        <v>TT</v>
      </c>
      <c r="K4260" s="22" t="s">
        <v>15042</v>
      </c>
      <c r="L4260" s="56">
        <v>45104</v>
      </c>
      <c r="O4260" s="42"/>
      <c r="P4260" s="40"/>
      <c r="Q4260" s="61"/>
      <c r="R4260" s="61"/>
      <c r="S4260" s="40"/>
      <c r="T4260" s="38"/>
      <c r="U4260" s="38"/>
      <c r="V4260" s="38"/>
      <c r="W4260" s="60"/>
      <c r="AB4260" s="42"/>
      <c r="AC4260" s="35"/>
      <c r="AD4260" s="38"/>
      <c r="AE4260" s="38"/>
      <c r="AF4260" s="38"/>
      <c r="AG4260" s="38"/>
      <c r="AH4260" s="60"/>
    </row>
    <row r="4261" spans="1:34" ht="15.75" customHeight="1">
      <c r="A4261" s="75">
        <v>3.1</v>
      </c>
      <c r="B4261" s="158" t="s">
        <v>15043</v>
      </c>
      <c r="C4261" s="19" t="s">
        <v>24</v>
      </c>
      <c r="D4261" s="206" t="s">
        <v>15044</v>
      </c>
      <c r="E4261" s="20" t="s">
        <v>15045</v>
      </c>
      <c r="F4261" s="19" t="s">
        <v>27</v>
      </c>
      <c r="G4261" s="19" t="s">
        <v>28</v>
      </c>
      <c r="H4261" s="19"/>
      <c r="I4261" s="37" t="s">
        <v>29</v>
      </c>
      <c r="J4261" s="155" t="str">
        <f t="shared" si="4"/>
        <v>TT</v>
      </c>
      <c r="K4261" s="22" t="s">
        <v>15045</v>
      </c>
      <c r="L4261" s="56">
        <v>45104</v>
      </c>
      <c r="O4261" s="42"/>
      <c r="P4261" s="40"/>
      <c r="Q4261" s="61"/>
      <c r="R4261" s="61"/>
      <c r="S4261" s="40"/>
      <c r="T4261" s="38"/>
      <c r="U4261" s="38"/>
      <c r="V4261" s="38"/>
      <c r="W4261" s="60"/>
      <c r="AB4261" s="42"/>
      <c r="AC4261" s="35"/>
      <c r="AD4261" s="38"/>
      <c r="AE4261" s="38"/>
      <c r="AF4261" s="38"/>
      <c r="AG4261" s="38"/>
      <c r="AH4261" s="60"/>
    </row>
    <row r="4262" spans="1:34" ht="15.75" customHeight="1">
      <c r="A4262" s="111" t="s">
        <v>82</v>
      </c>
      <c r="B4262" s="158" t="s">
        <v>15046</v>
      </c>
      <c r="C4262" s="19" t="s">
        <v>24</v>
      </c>
      <c r="D4262" s="206" t="s">
        <v>15047</v>
      </c>
      <c r="E4262" s="20" t="s">
        <v>15048</v>
      </c>
      <c r="F4262" s="19" t="s">
        <v>27</v>
      </c>
      <c r="G4262" s="19" t="s">
        <v>28</v>
      </c>
      <c r="H4262" s="19"/>
      <c r="I4262" s="37" t="s">
        <v>29</v>
      </c>
      <c r="J4262" s="155" t="str">
        <f t="shared" si="4"/>
        <v>TT</v>
      </c>
      <c r="K4262" s="22" t="s">
        <v>15048</v>
      </c>
      <c r="L4262" s="56">
        <v>45104</v>
      </c>
      <c r="O4262" s="42"/>
      <c r="P4262" s="40"/>
      <c r="Q4262" s="61"/>
      <c r="R4262" s="61"/>
      <c r="S4262" s="40"/>
      <c r="T4262" s="38"/>
      <c r="U4262" s="38"/>
      <c r="V4262" s="38"/>
      <c r="W4262" s="60"/>
      <c r="AB4262" s="42"/>
      <c r="AC4262" s="35"/>
      <c r="AD4262" s="38"/>
      <c r="AE4262" s="38"/>
      <c r="AF4262" s="38"/>
      <c r="AG4262" s="38"/>
      <c r="AH4262" s="60"/>
    </row>
    <row r="4263" spans="1:34" ht="15.75" customHeight="1">
      <c r="A4263" s="112" t="s">
        <v>15049</v>
      </c>
      <c r="B4263" s="158" t="s">
        <v>15050</v>
      </c>
      <c r="C4263" s="19" t="s">
        <v>24</v>
      </c>
      <c r="D4263" s="206" t="s">
        <v>15051</v>
      </c>
      <c r="E4263" s="20" t="s">
        <v>15052</v>
      </c>
      <c r="F4263" s="19" t="s">
        <v>27</v>
      </c>
      <c r="G4263" s="19" t="s">
        <v>28</v>
      </c>
      <c r="H4263" s="19"/>
      <c r="I4263" s="37" t="s">
        <v>29</v>
      </c>
      <c r="J4263" s="155" t="str">
        <f t="shared" si="4"/>
        <v>TT</v>
      </c>
      <c r="K4263" s="22" t="s">
        <v>15052</v>
      </c>
      <c r="L4263" s="56">
        <v>45104</v>
      </c>
      <c r="O4263" s="42"/>
      <c r="P4263" s="40"/>
      <c r="Q4263" s="61"/>
      <c r="R4263" s="61"/>
      <c r="S4263" s="40"/>
      <c r="T4263" s="38"/>
      <c r="U4263" s="38"/>
      <c r="V4263" s="38"/>
      <c r="W4263" s="60"/>
      <c r="AB4263" s="42"/>
      <c r="AC4263" s="35"/>
      <c r="AD4263" s="38"/>
      <c r="AE4263" s="38"/>
      <c r="AF4263" s="38"/>
      <c r="AG4263" s="38"/>
      <c r="AH4263" s="60"/>
    </row>
    <row r="4264" spans="1:34" ht="15.75" customHeight="1">
      <c r="A4264" s="111" t="s">
        <v>92</v>
      </c>
      <c r="B4264" s="158" t="s">
        <v>15053</v>
      </c>
      <c r="C4264" s="19" t="s">
        <v>24</v>
      </c>
      <c r="D4264" s="206" t="s">
        <v>15054</v>
      </c>
      <c r="E4264" s="20" t="s">
        <v>15055</v>
      </c>
      <c r="F4264" s="19" t="s">
        <v>27</v>
      </c>
      <c r="G4264" s="19" t="s">
        <v>28</v>
      </c>
      <c r="H4264" s="19"/>
      <c r="I4264" s="37" t="s">
        <v>29</v>
      </c>
      <c r="J4264" s="155" t="str">
        <f t="shared" si="4"/>
        <v>TT</v>
      </c>
      <c r="K4264" s="22" t="s">
        <v>15056</v>
      </c>
      <c r="L4264" s="56">
        <v>45104</v>
      </c>
      <c r="O4264" s="42"/>
      <c r="P4264" s="40"/>
      <c r="Q4264" s="61"/>
      <c r="R4264" s="61"/>
      <c r="S4264" s="40"/>
      <c r="T4264" s="38"/>
      <c r="U4264" s="38"/>
      <c r="V4264" s="38"/>
      <c r="W4264" s="60"/>
      <c r="AB4264" s="42"/>
      <c r="AC4264" s="35"/>
      <c r="AD4264" s="38"/>
      <c r="AE4264" s="38"/>
      <c r="AF4264" s="38"/>
      <c r="AG4264" s="38"/>
      <c r="AH4264" s="60"/>
    </row>
    <row r="4265" spans="1:34" ht="15.75" customHeight="1">
      <c r="A4265" s="17">
        <v>186</v>
      </c>
      <c r="B4265" s="158" t="s">
        <v>15057</v>
      </c>
      <c r="C4265" s="37" t="s">
        <v>87</v>
      </c>
      <c r="D4265" s="206" t="s">
        <v>15058</v>
      </c>
      <c r="E4265" s="20" t="s">
        <v>15059</v>
      </c>
      <c r="F4265" s="19" t="s">
        <v>90</v>
      </c>
      <c r="G4265" s="19" t="s">
        <v>91</v>
      </c>
      <c r="H4265" s="19"/>
      <c r="I4265" s="37" t="s">
        <v>29</v>
      </c>
      <c r="J4265" s="155" t="str">
        <f t="shared" si="4"/>
        <v>TT</v>
      </c>
      <c r="K4265" s="22" t="s">
        <v>15059</v>
      </c>
      <c r="L4265" s="56">
        <v>45104</v>
      </c>
      <c r="O4265" s="42"/>
      <c r="P4265" s="40"/>
      <c r="Q4265" s="61"/>
      <c r="R4265" s="61"/>
      <c r="S4265" s="40"/>
      <c r="T4265" s="38"/>
      <c r="U4265" s="38"/>
      <c r="V4265" s="38"/>
      <c r="W4265" s="60"/>
      <c r="AB4265" s="42"/>
      <c r="AC4265" s="35"/>
      <c r="AD4265" s="38"/>
      <c r="AE4265" s="38"/>
      <c r="AF4265" s="38"/>
      <c r="AG4265" s="38"/>
      <c r="AH4265" s="60"/>
    </row>
    <row r="4266" spans="1:34" ht="15.75" customHeight="1">
      <c r="A4266" s="111" t="s">
        <v>100</v>
      </c>
      <c r="B4266" s="158" t="s">
        <v>15060</v>
      </c>
      <c r="C4266" s="19" t="s">
        <v>46</v>
      </c>
      <c r="D4266" s="206" t="s">
        <v>15061</v>
      </c>
      <c r="E4266" s="20" t="s">
        <v>15062</v>
      </c>
      <c r="F4266" s="37" t="s">
        <v>49</v>
      </c>
      <c r="G4266" s="19" t="s">
        <v>50</v>
      </c>
      <c r="H4266" s="19"/>
      <c r="I4266" s="37" t="s">
        <v>29</v>
      </c>
      <c r="J4266" s="155" t="str">
        <f t="shared" si="4"/>
        <v>TT</v>
      </c>
      <c r="K4266" s="22" t="s">
        <v>15063</v>
      </c>
      <c r="L4266" s="56">
        <v>45104</v>
      </c>
      <c r="O4266" s="42"/>
      <c r="P4266" s="40"/>
      <c r="Q4266" s="61"/>
      <c r="R4266" s="61"/>
      <c r="S4266" s="40"/>
      <c r="T4266" s="38"/>
      <c r="U4266" s="38"/>
      <c r="V4266" s="38"/>
      <c r="W4266" s="60"/>
      <c r="AB4266" s="42"/>
      <c r="AC4266" s="35"/>
      <c r="AD4266" s="38"/>
      <c r="AE4266" s="38"/>
      <c r="AF4266" s="38"/>
      <c r="AG4266" s="38"/>
      <c r="AH4266" s="60"/>
    </row>
    <row r="4267" spans="1:34" ht="15.75" customHeight="1">
      <c r="A4267" s="17">
        <v>159</v>
      </c>
      <c r="B4267" s="158" t="s">
        <v>15064</v>
      </c>
      <c r="C4267" s="37" t="s">
        <v>87</v>
      </c>
      <c r="D4267" s="206" t="s">
        <v>15065</v>
      </c>
      <c r="E4267" s="20" t="s">
        <v>15066</v>
      </c>
      <c r="F4267" s="19" t="s">
        <v>90</v>
      </c>
      <c r="G4267" s="19" t="s">
        <v>91</v>
      </c>
      <c r="H4267" s="19"/>
      <c r="I4267" s="37" t="s">
        <v>29</v>
      </c>
      <c r="J4267" s="155" t="str">
        <f t="shared" si="4"/>
        <v>TT</v>
      </c>
      <c r="K4267" s="22" t="s">
        <v>15067</v>
      </c>
      <c r="L4267" s="56">
        <v>45104</v>
      </c>
      <c r="O4267" s="42"/>
      <c r="P4267" s="40"/>
      <c r="Q4267" s="61"/>
      <c r="R4267" s="61"/>
      <c r="S4267" s="40"/>
      <c r="T4267" s="38"/>
      <c r="U4267" s="38"/>
      <c r="V4267" s="38"/>
      <c r="W4267" s="60"/>
      <c r="AB4267" s="42"/>
      <c r="AC4267" s="35"/>
      <c r="AD4267" s="38"/>
      <c r="AE4267" s="38"/>
      <c r="AF4267" s="38"/>
      <c r="AG4267" s="38"/>
      <c r="AH4267" s="60"/>
    </row>
    <row r="4268" spans="1:34" ht="15.75" customHeight="1">
      <c r="A4268" s="35"/>
      <c r="B4268" s="158" t="s">
        <v>15068</v>
      </c>
      <c r="C4268" s="19" t="s">
        <v>46</v>
      </c>
      <c r="D4268" s="206" t="s">
        <v>15069</v>
      </c>
      <c r="E4268" s="20" t="s">
        <v>15070</v>
      </c>
      <c r="F4268" s="37" t="s">
        <v>49</v>
      </c>
      <c r="G4268" s="19" t="s">
        <v>50</v>
      </c>
      <c r="H4268" s="19"/>
      <c r="I4268" s="37" t="s">
        <v>29</v>
      </c>
      <c r="J4268" s="155" t="str">
        <f t="shared" si="4"/>
        <v>TT</v>
      </c>
      <c r="K4268" s="22" t="s">
        <v>15071</v>
      </c>
      <c r="L4268" s="56">
        <v>45104</v>
      </c>
      <c r="O4268" s="42"/>
      <c r="P4268" s="40"/>
      <c r="Q4268" s="61"/>
      <c r="R4268" s="61"/>
      <c r="S4268" s="40"/>
      <c r="T4268" s="38"/>
      <c r="U4268" s="38"/>
      <c r="V4268" s="38"/>
      <c r="W4268" s="60"/>
      <c r="AB4268" s="42"/>
      <c r="AC4268" s="35"/>
      <c r="AD4268" s="38"/>
      <c r="AE4268" s="38"/>
      <c r="AF4268" s="38"/>
      <c r="AG4268" s="38"/>
      <c r="AH4268" s="60"/>
    </row>
    <row r="4269" spans="1:34" ht="15.75" customHeight="1">
      <c r="A4269" s="207"/>
      <c r="B4269" s="158" t="s">
        <v>15072</v>
      </c>
      <c r="C4269" s="19" t="s">
        <v>46</v>
      </c>
      <c r="D4269" s="206" t="s">
        <v>15073</v>
      </c>
      <c r="E4269" s="20" t="s">
        <v>15074</v>
      </c>
      <c r="F4269" s="37" t="s">
        <v>49</v>
      </c>
      <c r="G4269" s="19" t="s">
        <v>50</v>
      </c>
      <c r="H4269" s="19"/>
      <c r="I4269" s="37" t="s">
        <v>29</v>
      </c>
      <c r="J4269" s="155" t="str">
        <f t="shared" si="4"/>
        <v>TT</v>
      </c>
      <c r="K4269" s="22" t="s">
        <v>15074</v>
      </c>
      <c r="L4269" s="56">
        <v>45104</v>
      </c>
      <c r="O4269" s="42"/>
      <c r="P4269" s="40"/>
      <c r="Q4269" s="61"/>
      <c r="R4269" s="61"/>
      <c r="S4269" s="40"/>
      <c r="T4269" s="38"/>
      <c r="U4269" s="38"/>
      <c r="V4269" s="38"/>
      <c r="W4269" s="60"/>
      <c r="AB4269" s="42"/>
      <c r="AC4269" s="35"/>
      <c r="AD4269" s="38"/>
      <c r="AE4269" s="38"/>
      <c r="AF4269" s="38"/>
      <c r="AG4269" s="38"/>
      <c r="AH4269" s="60"/>
    </row>
    <row r="4270" spans="1:34" ht="15.75" customHeight="1">
      <c r="A4270" s="19"/>
      <c r="B4270" s="158" t="s">
        <v>15075</v>
      </c>
      <c r="C4270" s="19" t="s">
        <v>46</v>
      </c>
      <c r="D4270" s="206" t="s">
        <v>15076</v>
      </c>
      <c r="E4270" s="20" t="s">
        <v>15077</v>
      </c>
      <c r="F4270" s="37" t="s">
        <v>49</v>
      </c>
      <c r="G4270" s="19" t="s">
        <v>50</v>
      </c>
      <c r="H4270" s="19"/>
      <c r="I4270" s="37" t="s">
        <v>29</v>
      </c>
      <c r="J4270" s="155" t="str">
        <f t="shared" si="4"/>
        <v>TT</v>
      </c>
      <c r="K4270" s="22" t="s">
        <v>15078</v>
      </c>
      <c r="L4270" s="56">
        <v>45104</v>
      </c>
      <c r="O4270" s="42"/>
      <c r="P4270" s="40"/>
      <c r="Q4270" s="61"/>
      <c r="R4270" s="61"/>
      <c r="S4270" s="40"/>
      <c r="T4270" s="38"/>
      <c r="U4270" s="38"/>
      <c r="V4270" s="38"/>
      <c r="W4270" s="60"/>
      <c r="AB4270" s="42"/>
      <c r="AC4270" s="35"/>
      <c r="AD4270" s="38"/>
      <c r="AE4270" s="38"/>
      <c r="AF4270" s="38"/>
      <c r="AG4270" s="38"/>
      <c r="AH4270" s="60"/>
    </row>
    <row r="4271" spans="1:34" ht="15.75" customHeight="1">
      <c r="A4271" s="207"/>
      <c r="B4271" s="158" t="s">
        <v>15079</v>
      </c>
      <c r="C4271" s="19" t="s">
        <v>24</v>
      </c>
      <c r="D4271" s="206" t="s">
        <v>15080</v>
      </c>
      <c r="E4271" s="20" t="s">
        <v>15081</v>
      </c>
      <c r="F4271" s="19" t="s">
        <v>27</v>
      </c>
      <c r="G4271" s="19" t="s">
        <v>28</v>
      </c>
      <c r="H4271" s="19"/>
      <c r="I4271" s="37" t="s">
        <v>29</v>
      </c>
      <c r="J4271" s="155" t="str">
        <f t="shared" si="4"/>
        <v>TT</v>
      </c>
      <c r="K4271" s="22" t="s">
        <v>15081</v>
      </c>
      <c r="L4271" s="56">
        <v>45104</v>
      </c>
      <c r="O4271" s="42"/>
      <c r="P4271" s="40"/>
      <c r="Q4271" s="61"/>
      <c r="R4271" s="61"/>
      <c r="S4271" s="40"/>
      <c r="T4271" s="38"/>
      <c r="U4271" s="38"/>
      <c r="V4271" s="38"/>
      <c r="W4271" s="60"/>
      <c r="AB4271" s="42"/>
      <c r="AC4271" s="35"/>
      <c r="AD4271" s="38"/>
      <c r="AE4271" s="38"/>
      <c r="AF4271" s="38"/>
      <c r="AG4271" s="38"/>
      <c r="AH4271" s="60"/>
    </row>
    <row r="4272" spans="1:34" ht="15.75" customHeight="1">
      <c r="A4272" s="19"/>
      <c r="B4272" s="18" t="s">
        <v>15082</v>
      </c>
      <c r="C4272" s="37" t="s">
        <v>412</v>
      </c>
      <c r="D4272" s="20" t="s">
        <v>15083</v>
      </c>
      <c r="E4272" s="20" t="s">
        <v>15084</v>
      </c>
      <c r="F4272" s="19" t="s">
        <v>414</v>
      </c>
      <c r="G4272" s="37" t="s">
        <v>415</v>
      </c>
      <c r="H4272" s="37"/>
      <c r="I4272" s="37" t="s">
        <v>233</v>
      </c>
      <c r="J4272" s="155" t="str">
        <f t="shared" si="4"/>
        <v>NTT</v>
      </c>
      <c r="K4272" s="22" t="s">
        <v>15085</v>
      </c>
      <c r="L4272" s="56">
        <v>45104</v>
      </c>
      <c r="O4272" s="42"/>
      <c r="P4272" s="40"/>
      <c r="Q4272" s="61"/>
      <c r="R4272" s="61"/>
      <c r="S4272" s="40"/>
      <c r="T4272" s="38"/>
      <c r="U4272" s="38"/>
      <c r="V4272" s="38"/>
      <c r="W4272" s="60"/>
      <c r="AB4272" s="42"/>
      <c r="AC4272" s="35"/>
      <c r="AD4272" s="38"/>
      <c r="AE4272" s="38"/>
      <c r="AF4272" s="38"/>
      <c r="AG4272" s="38"/>
      <c r="AH4272" s="60"/>
    </row>
    <row r="4273" spans="1:34" ht="15.75" customHeight="1">
      <c r="A4273" s="207"/>
      <c r="B4273" s="18" t="s">
        <v>15086</v>
      </c>
      <c r="C4273" s="37" t="s">
        <v>412</v>
      </c>
      <c r="D4273" s="208" t="s">
        <v>15087</v>
      </c>
      <c r="E4273" s="20" t="s">
        <v>15088</v>
      </c>
      <c r="F4273" s="19" t="s">
        <v>414</v>
      </c>
      <c r="G4273" s="19" t="s">
        <v>415</v>
      </c>
      <c r="H4273" s="37"/>
      <c r="I4273" s="37" t="s">
        <v>233</v>
      </c>
      <c r="J4273" s="155" t="str">
        <f t="shared" si="4"/>
        <v>NTT</v>
      </c>
      <c r="K4273" s="22" t="s">
        <v>15089</v>
      </c>
      <c r="L4273" s="56">
        <v>45104</v>
      </c>
      <c r="O4273" s="42"/>
      <c r="P4273" s="40"/>
      <c r="Q4273" s="61"/>
      <c r="R4273" s="61"/>
      <c r="S4273" s="40"/>
      <c r="T4273" s="38"/>
      <c r="U4273" s="38"/>
      <c r="V4273" s="38"/>
      <c r="W4273" s="60"/>
      <c r="AB4273" s="42"/>
      <c r="AC4273" s="35"/>
      <c r="AD4273" s="38"/>
      <c r="AE4273" s="38"/>
      <c r="AF4273" s="38"/>
      <c r="AG4273" s="38"/>
      <c r="AH4273" s="60"/>
    </row>
    <row r="4274" spans="1:34" ht="15.75" customHeight="1">
      <c r="A4274" s="19"/>
      <c r="B4274" s="18" t="s">
        <v>15090</v>
      </c>
      <c r="C4274" s="37" t="s">
        <v>412</v>
      </c>
      <c r="D4274" s="208" t="s">
        <v>15091</v>
      </c>
      <c r="E4274" s="20" t="s">
        <v>15092</v>
      </c>
      <c r="F4274" s="19" t="s">
        <v>414</v>
      </c>
      <c r="G4274" s="37" t="s">
        <v>415</v>
      </c>
      <c r="H4274" s="37"/>
      <c r="I4274" s="37" t="s">
        <v>233</v>
      </c>
      <c r="J4274" s="155" t="str">
        <f t="shared" si="4"/>
        <v>NTT</v>
      </c>
      <c r="K4274" s="22" t="s">
        <v>15093</v>
      </c>
      <c r="L4274" s="56">
        <v>45104</v>
      </c>
      <c r="O4274" s="42"/>
      <c r="P4274" s="40"/>
      <c r="Q4274" s="61"/>
      <c r="R4274" s="61"/>
      <c r="S4274" s="40"/>
      <c r="T4274" s="38"/>
      <c r="U4274" s="38"/>
      <c r="V4274" s="38"/>
      <c r="W4274" s="60"/>
      <c r="AB4274" s="42"/>
      <c r="AC4274" s="35"/>
      <c r="AD4274" s="38"/>
      <c r="AE4274" s="38"/>
      <c r="AF4274" s="38"/>
      <c r="AG4274" s="38"/>
      <c r="AH4274" s="60"/>
    </row>
    <row r="4275" spans="1:34" ht="15.75" customHeight="1">
      <c r="A4275" s="207"/>
      <c r="B4275" s="18" t="s">
        <v>15094</v>
      </c>
      <c r="C4275" s="37" t="s">
        <v>412</v>
      </c>
      <c r="D4275" s="208" t="s">
        <v>15095</v>
      </c>
      <c r="E4275" s="20"/>
      <c r="F4275" s="19" t="s">
        <v>414</v>
      </c>
      <c r="G4275" s="19" t="s">
        <v>415</v>
      </c>
      <c r="H4275" s="37"/>
      <c r="I4275" s="37" t="s">
        <v>233</v>
      </c>
      <c r="J4275" s="155" t="str">
        <f t="shared" si="4"/>
        <v>NTT</v>
      </c>
      <c r="K4275" s="22"/>
      <c r="L4275" s="56">
        <v>45104</v>
      </c>
      <c r="O4275" s="42"/>
      <c r="P4275" s="40"/>
      <c r="Q4275" s="61"/>
      <c r="R4275" s="61"/>
      <c r="S4275" s="40"/>
      <c r="T4275" s="38"/>
      <c r="U4275" s="38"/>
      <c r="V4275" s="38"/>
      <c r="W4275" s="60"/>
      <c r="AB4275" s="42"/>
      <c r="AC4275" s="35"/>
      <c r="AD4275" s="38"/>
      <c r="AE4275" s="38"/>
      <c r="AF4275" s="38"/>
      <c r="AG4275" s="38"/>
      <c r="AH4275" s="60"/>
    </row>
    <row r="4276" spans="1:34" ht="15.75" customHeight="1">
      <c r="A4276" s="19"/>
      <c r="B4276" s="18" t="s">
        <v>15096</v>
      </c>
      <c r="C4276" s="37" t="s">
        <v>412</v>
      </c>
      <c r="D4276" s="208" t="s">
        <v>15097</v>
      </c>
      <c r="E4276" s="20" t="s">
        <v>15098</v>
      </c>
      <c r="F4276" s="19" t="s">
        <v>414</v>
      </c>
      <c r="G4276" s="37" t="s">
        <v>415</v>
      </c>
      <c r="H4276" s="37"/>
      <c r="I4276" s="37" t="s">
        <v>233</v>
      </c>
      <c r="J4276" s="155" t="str">
        <f t="shared" si="4"/>
        <v>NTT</v>
      </c>
      <c r="K4276" s="22" t="s">
        <v>15098</v>
      </c>
      <c r="L4276" s="56">
        <v>45104</v>
      </c>
      <c r="O4276" s="42"/>
      <c r="P4276" s="40"/>
      <c r="Q4276" s="61"/>
      <c r="R4276" s="61"/>
      <c r="S4276" s="40"/>
      <c r="T4276" s="38"/>
      <c r="U4276" s="38"/>
      <c r="V4276" s="38"/>
      <c r="W4276" s="60"/>
      <c r="AB4276" s="42"/>
      <c r="AC4276" s="35"/>
      <c r="AD4276" s="38"/>
      <c r="AE4276" s="38"/>
      <c r="AF4276" s="38"/>
      <c r="AG4276" s="38"/>
      <c r="AH4276" s="60"/>
    </row>
    <row r="4277" spans="1:34" ht="15.75" customHeight="1">
      <c r="A4277" s="207"/>
      <c r="B4277" s="18" t="s">
        <v>15099</v>
      </c>
      <c r="C4277" s="37" t="s">
        <v>412</v>
      </c>
      <c r="D4277" s="208" t="s">
        <v>15100</v>
      </c>
      <c r="E4277" s="20" t="s">
        <v>15101</v>
      </c>
      <c r="F4277" s="19" t="s">
        <v>414</v>
      </c>
      <c r="G4277" s="19" t="s">
        <v>415</v>
      </c>
      <c r="H4277" s="37"/>
      <c r="I4277" s="37" t="s">
        <v>233</v>
      </c>
      <c r="J4277" s="155" t="str">
        <f t="shared" si="4"/>
        <v>NTT</v>
      </c>
      <c r="K4277" s="22" t="s">
        <v>15101</v>
      </c>
      <c r="L4277" s="56">
        <v>45104</v>
      </c>
      <c r="O4277" s="42"/>
      <c r="P4277" s="40"/>
      <c r="Q4277" s="61"/>
      <c r="R4277" s="61"/>
      <c r="S4277" s="40"/>
      <c r="T4277" s="38"/>
      <c r="U4277" s="38"/>
      <c r="V4277" s="38"/>
      <c r="W4277" s="60"/>
      <c r="AB4277" s="42"/>
      <c r="AC4277" s="35"/>
      <c r="AD4277" s="38"/>
      <c r="AE4277" s="38"/>
      <c r="AF4277" s="38"/>
      <c r="AG4277" s="38"/>
      <c r="AH4277" s="60"/>
    </row>
    <row r="4278" spans="1:34" ht="15.75" customHeight="1">
      <c r="A4278" s="19"/>
      <c r="B4278" s="18" t="s">
        <v>15102</v>
      </c>
      <c r="C4278" s="37" t="s">
        <v>412</v>
      </c>
      <c r="D4278" s="208" t="s">
        <v>15103</v>
      </c>
      <c r="E4278" s="20" t="s">
        <v>15104</v>
      </c>
      <c r="F4278" s="19" t="s">
        <v>414</v>
      </c>
      <c r="G4278" s="37" t="s">
        <v>415</v>
      </c>
      <c r="H4278" s="37"/>
      <c r="I4278" s="37" t="s">
        <v>233</v>
      </c>
      <c r="J4278" s="155" t="str">
        <f t="shared" si="4"/>
        <v>NTT</v>
      </c>
      <c r="K4278" s="22" t="s">
        <v>15104</v>
      </c>
      <c r="L4278" s="56">
        <v>45104</v>
      </c>
      <c r="O4278" s="42"/>
      <c r="P4278" s="40"/>
      <c r="Q4278" s="61"/>
      <c r="R4278" s="61"/>
      <c r="S4278" s="40"/>
      <c r="T4278" s="38"/>
      <c r="U4278" s="38"/>
      <c r="V4278" s="38"/>
      <c r="W4278" s="60"/>
      <c r="AB4278" s="42"/>
      <c r="AC4278" s="35"/>
      <c r="AD4278" s="38"/>
      <c r="AE4278" s="38"/>
      <c r="AF4278" s="38"/>
      <c r="AG4278" s="38"/>
      <c r="AH4278" s="60"/>
    </row>
    <row r="4279" spans="1:34" ht="15.75" customHeight="1">
      <c r="A4279" s="207"/>
      <c r="B4279" s="18" t="s">
        <v>15105</v>
      </c>
      <c r="C4279" s="37" t="s">
        <v>412</v>
      </c>
      <c r="D4279" s="208" t="s">
        <v>15106</v>
      </c>
      <c r="E4279" s="20" t="s">
        <v>15107</v>
      </c>
      <c r="F4279" s="19" t="s">
        <v>414</v>
      </c>
      <c r="G4279" s="19" t="s">
        <v>415</v>
      </c>
      <c r="H4279" s="37"/>
      <c r="I4279" s="37" t="s">
        <v>233</v>
      </c>
      <c r="J4279" s="155" t="str">
        <f t="shared" si="4"/>
        <v>NTT</v>
      </c>
      <c r="K4279" s="22" t="s">
        <v>15107</v>
      </c>
      <c r="L4279" s="56">
        <v>45104</v>
      </c>
      <c r="O4279" s="42"/>
      <c r="P4279" s="40"/>
      <c r="Q4279" s="61"/>
      <c r="R4279" s="61"/>
      <c r="S4279" s="40"/>
      <c r="T4279" s="38"/>
      <c r="U4279" s="38"/>
      <c r="V4279" s="38"/>
      <c r="W4279" s="60"/>
      <c r="AB4279" s="42"/>
      <c r="AC4279" s="35"/>
      <c r="AD4279" s="38"/>
      <c r="AE4279" s="38"/>
      <c r="AF4279" s="38"/>
      <c r="AG4279" s="38"/>
      <c r="AH4279" s="60"/>
    </row>
    <row r="4280" spans="1:34" ht="15.75" customHeight="1">
      <c r="A4280" s="19"/>
      <c r="B4280" s="18" t="s">
        <v>15108</v>
      </c>
      <c r="C4280" s="37" t="s">
        <v>412</v>
      </c>
      <c r="D4280" s="208" t="s">
        <v>15109</v>
      </c>
      <c r="E4280" s="20" t="s">
        <v>15110</v>
      </c>
      <c r="F4280" s="19" t="s">
        <v>414</v>
      </c>
      <c r="G4280" s="37" t="s">
        <v>415</v>
      </c>
      <c r="H4280" s="37"/>
      <c r="I4280" s="37" t="s">
        <v>233</v>
      </c>
      <c r="J4280" s="155" t="str">
        <f t="shared" si="4"/>
        <v>NTT</v>
      </c>
      <c r="K4280" s="22" t="s">
        <v>15110</v>
      </c>
      <c r="L4280" s="56">
        <v>45104</v>
      </c>
      <c r="O4280" s="42"/>
      <c r="P4280" s="40"/>
      <c r="Q4280" s="61"/>
      <c r="R4280" s="61"/>
      <c r="S4280" s="40"/>
      <c r="T4280" s="38"/>
      <c r="U4280" s="38"/>
      <c r="V4280" s="38"/>
      <c r="W4280" s="60"/>
      <c r="AB4280" s="42"/>
      <c r="AC4280" s="35"/>
      <c r="AD4280" s="38"/>
      <c r="AE4280" s="38"/>
      <c r="AF4280" s="38"/>
      <c r="AG4280" s="38"/>
      <c r="AH4280" s="60"/>
    </row>
    <row r="4281" spans="1:34" ht="15.75" customHeight="1">
      <c r="A4281" s="207"/>
      <c r="B4281" s="29" t="s">
        <v>15111</v>
      </c>
      <c r="C4281" s="37" t="s">
        <v>412</v>
      </c>
      <c r="D4281" s="208" t="s">
        <v>15112</v>
      </c>
      <c r="E4281" s="20" t="s">
        <v>15113</v>
      </c>
      <c r="F4281" s="19" t="s">
        <v>414</v>
      </c>
      <c r="G4281" s="19" t="s">
        <v>415</v>
      </c>
      <c r="H4281" s="37"/>
      <c r="I4281" s="37" t="s">
        <v>233</v>
      </c>
      <c r="J4281" s="155" t="str">
        <f t="shared" si="4"/>
        <v>NTT</v>
      </c>
      <c r="K4281" s="22" t="s">
        <v>15113</v>
      </c>
      <c r="L4281" s="56">
        <v>45104</v>
      </c>
      <c r="O4281" s="42"/>
      <c r="P4281" s="40"/>
      <c r="Q4281" s="61"/>
      <c r="R4281" s="61"/>
      <c r="S4281" s="40"/>
      <c r="T4281" s="38"/>
      <c r="U4281" s="38"/>
      <c r="V4281" s="38"/>
      <c r="W4281" s="60"/>
      <c r="AB4281" s="42"/>
      <c r="AC4281" s="35"/>
      <c r="AD4281" s="38"/>
      <c r="AE4281" s="38"/>
      <c r="AF4281" s="38"/>
      <c r="AG4281" s="38"/>
      <c r="AH4281" s="60"/>
    </row>
    <row r="4282" spans="1:34" ht="15.75" customHeight="1">
      <c r="A4282" s="19"/>
      <c r="B4282" s="18" t="s">
        <v>15114</v>
      </c>
      <c r="C4282" s="37" t="s">
        <v>412</v>
      </c>
      <c r="D4282" s="208"/>
      <c r="E4282" s="20" t="s">
        <v>15115</v>
      </c>
      <c r="F4282" s="19" t="s">
        <v>414</v>
      </c>
      <c r="G4282" s="37" t="s">
        <v>415</v>
      </c>
      <c r="H4282" s="37"/>
      <c r="I4282" s="37" t="s">
        <v>233</v>
      </c>
      <c r="J4282" s="155" t="str">
        <f t="shared" si="4"/>
        <v>NTT</v>
      </c>
      <c r="K4282" s="22" t="s">
        <v>15115</v>
      </c>
      <c r="L4282" s="56">
        <v>45104</v>
      </c>
      <c r="O4282" s="42"/>
      <c r="P4282" s="40"/>
      <c r="Q4282" s="61"/>
      <c r="R4282" s="61"/>
      <c r="S4282" s="40"/>
      <c r="T4282" s="38"/>
      <c r="U4282" s="38"/>
      <c r="V4282" s="38"/>
      <c r="W4282" s="60"/>
      <c r="AB4282" s="42"/>
      <c r="AC4282" s="35"/>
      <c r="AD4282" s="38"/>
      <c r="AE4282" s="38"/>
      <c r="AF4282" s="38"/>
      <c r="AG4282" s="38"/>
      <c r="AH4282" s="60"/>
    </row>
    <row r="4283" spans="1:34" ht="15.75" customHeight="1">
      <c r="A4283" s="207"/>
      <c r="B4283" s="18" t="s">
        <v>15116</v>
      </c>
      <c r="C4283" s="37" t="s">
        <v>412</v>
      </c>
      <c r="D4283" s="208" t="s">
        <v>15117</v>
      </c>
      <c r="E4283" s="20" t="s">
        <v>15118</v>
      </c>
      <c r="F4283" s="19" t="s">
        <v>414</v>
      </c>
      <c r="G4283" s="19" t="s">
        <v>415</v>
      </c>
      <c r="H4283" s="37"/>
      <c r="I4283" s="37" t="s">
        <v>233</v>
      </c>
      <c r="J4283" s="155" t="str">
        <f t="shared" si="4"/>
        <v>NTT</v>
      </c>
      <c r="K4283" s="22" t="s">
        <v>15118</v>
      </c>
      <c r="L4283" s="56">
        <v>45104</v>
      </c>
      <c r="O4283" s="42"/>
      <c r="P4283" s="40"/>
      <c r="Q4283" s="61"/>
      <c r="R4283" s="61"/>
      <c r="S4283" s="40"/>
      <c r="T4283" s="38"/>
      <c r="U4283" s="38"/>
      <c r="V4283" s="38"/>
      <c r="W4283" s="60"/>
      <c r="AB4283" s="42"/>
      <c r="AC4283" s="35"/>
      <c r="AD4283" s="38"/>
      <c r="AE4283" s="38"/>
      <c r="AF4283" s="38"/>
      <c r="AG4283" s="38"/>
      <c r="AH4283" s="60"/>
    </row>
    <row r="4284" spans="1:34" ht="15.75" customHeight="1">
      <c r="A4284" s="19"/>
      <c r="B4284" s="18" t="s">
        <v>15119</v>
      </c>
      <c r="C4284" s="37" t="s">
        <v>412</v>
      </c>
      <c r="D4284" s="208" t="s">
        <v>15120</v>
      </c>
      <c r="E4284" s="20" t="s">
        <v>15121</v>
      </c>
      <c r="F4284" s="19" t="s">
        <v>414</v>
      </c>
      <c r="G4284" s="37" t="s">
        <v>415</v>
      </c>
      <c r="H4284" s="37"/>
      <c r="I4284" s="37" t="s">
        <v>233</v>
      </c>
      <c r="J4284" s="155" t="str">
        <f t="shared" si="4"/>
        <v>NTT</v>
      </c>
      <c r="K4284" s="22" t="s">
        <v>15121</v>
      </c>
      <c r="L4284" s="56">
        <v>45104</v>
      </c>
      <c r="O4284" s="42"/>
      <c r="P4284" s="40"/>
      <c r="Q4284" s="61"/>
      <c r="R4284" s="61"/>
      <c r="S4284" s="40"/>
      <c r="T4284" s="38"/>
      <c r="U4284" s="38"/>
      <c r="V4284" s="38"/>
      <c r="W4284" s="60"/>
      <c r="AB4284" s="42"/>
      <c r="AC4284" s="35"/>
      <c r="AD4284" s="38"/>
      <c r="AE4284" s="38"/>
      <c r="AF4284" s="38"/>
      <c r="AG4284" s="38"/>
      <c r="AH4284" s="60"/>
    </row>
    <row r="4285" spans="1:34" ht="15.75" customHeight="1">
      <c r="A4285" s="207"/>
      <c r="B4285" s="38"/>
      <c r="C4285" s="37"/>
      <c r="D4285" s="20"/>
      <c r="E4285" s="20"/>
      <c r="F4285" s="37"/>
      <c r="G4285" s="37"/>
      <c r="H4285" s="37"/>
      <c r="I4285" s="21"/>
      <c r="J4285" s="155">
        <f t="shared" si="4"/>
        <v>0</v>
      </c>
      <c r="K4285" s="22"/>
      <c r="L4285" s="39"/>
      <c r="O4285" s="42"/>
      <c r="P4285" s="40"/>
      <c r="Q4285" s="61"/>
      <c r="R4285" s="61"/>
      <c r="S4285" s="40"/>
      <c r="T4285" s="38"/>
      <c r="U4285" s="38"/>
      <c r="V4285" s="38"/>
      <c r="W4285" s="60"/>
      <c r="AB4285" s="42"/>
      <c r="AC4285" s="35"/>
      <c r="AD4285" s="38"/>
      <c r="AE4285" s="38"/>
      <c r="AF4285" s="38"/>
      <c r="AG4285" s="38"/>
      <c r="AH4285" s="60"/>
    </row>
    <row r="4286" spans="1:34" ht="15.75" customHeight="1">
      <c r="A4286" s="54" t="s">
        <v>15122</v>
      </c>
      <c r="B4286" s="209" t="s">
        <v>15123</v>
      </c>
      <c r="C4286" s="37" t="s">
        <v>46</v>
      </c>
      <c r="D4286" s="208" t="s">
        <v>15124</v>
      </c>
      <c r="E4286" s="20" t="s">
        <v>15125</v>
      </c>
      <c r="F4286" s="37" t="s">
        <v>49</v>
      </c>
      <c r="G4286" s="19" t="s">
        <v>50</v>
      </c>
      <c r="H4286" s="37"/>
      <c r="I4286" s="37" t="s">
        <v>29</v>
      </c>
      <c r="J4286" s="155" t="str">
        <f t="shared" si="4"/>
        <v>TT</v>
      </c>
      <c r="K4286" s="22" t="s">
        <v>15126</v>
      </c>
      <c r="L4286" s="56">
        <v>45104</v>
      </c>
      <c r="M4286" s="40"/>
      <c r="O4286" s="42"/>
      <c r="P4286" s="40"/>
      <c r="Q4286" s="61"/>
      <c r="R4286" s="61"/>
      <c r="S4286" s="40"/>
      <c r="T4286" s="38"/>
      <c r="U4286" s="38"/>
      <c r="V4286" s="38"/>
      <c r="W4286" s="60"/>
      <c r="AB4286" s="42"/>
      <c r="AC4286" s="35"/>
      <c r="AD4286" s="38"/>
      <c r="AE4286" s="38"/>
      <c r="AF4286" s="38"/>
      <c r="AG4286" s="38"/>
      <c r="AH4286" s="60"/>
    </row>
    <row r="4287" spans="1:34" ht="15.75" customHeight="1">
      <c r="A4287" s="54" t="s">
        <v>2714</v>
      </c>
      <c r="B4287" s="209" t="s">
        <v>15127</v>
      </c>
      <c r="C4287" s="37" t="s">
        <v>87</v>
      </c>
      <c r="D4287" s="208" t="s">
        <v>15128</v>
      </c>
      <c r="E4287" s="20" t="s">
        <v>15129</v>
      </c>
      <c r="F4287" s="19" t="s">
        <v>90</v>
      </c>
      <c r="G4287" s="19" t="s">
        <v>91</v>
      </c>
      <c r="H4287" s="37"/>
      <c r="I4287" s="37" t="s">
        <v>29</v>
      </c>
      <c r="J4287" s="155" t="str">
        <f t="shared" si="4"/>
        <v>TT</v>
      </c>
      <c r="K4287" s="22" t="s">
        <v>15130</v>
      </c>
      <c r="L4287" s="56">
        <v>45104</v>
      </c>
      <c r="O4287" s="42"/>
      <c r="P4287" s="40"/>
      <c r="Q4287" s="61"/>
      <c r="R4287" s="61"/>
      <c r="S4287" s="40"/>
      <c r="T4287" s="38"/>
      <c r="U4287" s="38"/>
      <c r="V4287" s="38"/>
      <c r="W4287" s="60"/>
      <c r="AB4287" s="42"/>
      <c r="AC4287" s="35"/>
      <c r="AD4287" s="38"/>
      <c r="AE4287" s="38"/>
      <c r="AF4287" s="38"/>
      <c r="AG4287" s="38"/>
      <c r="AH4287" s="60"/>
    </row>
    <row r="4288" spans="1:34" ht="15.75" customHeight="1">
      <c r="A4288" s="114" t="s">
        <v>39</v>
      </c>
      <c r="B4288" s="209" t="s">
        <v>15131</v>
      </c>
      <c r="C4288" s="37" t="s">
        <v>412</v>
      </c>
      <c r="D4288" s="208" t="s">
        <v>15132</v>
      </c>
      <c r="E4288" s="20" t="s">
        <v>15133</v>
      </c>
      <c r="F4288" s="19" t="s">
        <v>414</v>
      </c>
      <c r="G4288" s="19" t="s">
        <v>415</v>
      </c>
      <c r="H4288" s="37"/>
      <c r="I4288" s="37" t="s">
        <v>233</v>
      </c>
      <c r="J4288" s="155" t="str">
        <f t="shared" si="4"/>
        <v>NTT</v>
      </c>
      <c r="K4288" s="22" t="s">
        <v>15134</v>
      </c>
      <c r="L4288" s="56">
        <v>45104</v>
      </c>
      <c r="O4288" s="42"/>
      <c r="P4288" s="40"/>
      <c r="Q4288" s="61"/>
      <c r="R4288" s="61"/>
      <c r="S4288" s="40"/>
      <c r="T4288" s="38"/>
      <c r="U4288" s="38"/>
      <c r="V4288" s="38"/>
      <c r="W4288" s="60"/>
      <c r="AB4288" s="42"/>
      <c r="AC4288" s="35"/>
      <c r="AD4288" s="38"/>
      <c r="AE4288" s="38"/>
      <c r="AF4288" s="38"/>
      <c r="AG4288" s="38"/>
      <c r="AH4288" s="60"/>
    </row>
    <row r="4289" spans="1:34" ht="15.75" customHeight="1">
      <c r="A4289" s="38" t="s">
        <v>14696</v>
      </c>
      <c r="B4289" s="209" t="s">
        <v>15135</v>
      </c>
      <c r="C4289" s="37" t="s">
        <v>412</v>
      </c>
      <c r="D4289" s="208" t="s">
        <v>15136</v>
      </c>
      <c r="E4289" s="20"/>
      <c r="F4289" s="19" t="s">
        <v>414</v>
      </c>
      <c r="G4289" s="37" t="s">
        <v>415</v>
      </c>
      <c r="H4289" s="37"/>
      <c r="I4289" s="37" t="s">
        <v>233</v>
      </c>
      <c r="J4289" s="155" t="str">
        <f t="shared" si="4"/>
        <v>NTT</v>
      </c>
      <c r="K4289" s="22"/>
      <c r="L4289" s="56">
        <v>45104</v>
      </c>
      <c r="O4289" s="42"/>
      <c r="P4289" s="40"/>
      <c r="Q4289" s="61"/>
      <c r="R4289" s="61"/>
      <c r="S4289" s="40"/>
      <c r="T4289" s="38"/>
      <c r="U4289" s="38"/>
      <c r="V4289" s="38"/>
      <c r="W4289" s="60"/>
      <c r="AB4289" s="42"/>
      <c r="AC4289" s="35"/>
      <c r="AD4289" s="38"/>
      <c r="AE4289" s="38"/>
      <c r="AF4289" s="38"/>
      <c r="AG4289" s="38"/>
      <c r="AH4289" s="60"/>
    </row>
    <row r="4290" spans="1:34" ht="15.75" customHeight="1">
      <c r="A4290" s="75" t="s">
        <v>11020</v>
      </c>
      <c r="B4290" s="209" t="s">
        <v>15137</v>
      </c>
      <c r="C4290" s="37" t="s">
        <v>87</v>
      </c>
      <c r="D4290" s="208" t="s">
        <v>15138</v>
      </c>
      <c r="E4290" s="20" t="s">
        <v>15139</v>
      </c>
      <c r="F4290" s="19" t="s">
        <v>90</v>
      </c>
      <c r="G4290" s="19" t="s">
        <v>91</v>
      </c>
      <c r="H4290" s="37"/>
      <c r="I4290" s="37" t="s">
        <v>29</v>
      </c>
      <c r="J4290" s="155" t="str">
        <f t="shared" si="4"/>
        <v>TT</v>
      </c>
      <c r="K4290" s="22" t="s">
        <v>15140</v>
      </c>
      <c r="L4290" s="56">
        <v>45104</v>
      </c>
      <c r="O4290" s="42"/>
      <c r="P4290" s="40"/>
      <c r="Q4290" s="61"/>
      <c r="R4290" s="61"/>
      <c r="S4290" s="40"/>
      <c r="T4290" s="38"/>
      <c r="U4290" s="38"/>
      <c r="V4290" s="38"/>
      <c r="W4290" s="60"/>
      <c r="AB4290" s="42"/>
      <c r="AC4290" s="35"/>
      <c r="AD4290" s="38"/>
      <c r="AE4290" s="38"/>
      <c r="AF4290" s="38"/>
      <c r="AG4290" s="38"/>
      <c r="AH4290" s="60"/>
    </row>
    <row r="4291" spans="1:34" ht="15.75" customHeight="1">
      <c r="A4291" s="50" t="s">
        <v>56</v>
      </c>
      <c r="B4291" s="209" t="s">
        <v>15141</v>
      </c>
      <c r="C4291" s="37" t="s">
        <v>24</v>
      </c>
      <c r="D4291" s="208" t="s">
        <v>15142</v>
      </c>
      <c r="E4291" s="20" t="s">
        <v>15143</v>
      </c>
      <c r="F4291" s="19" t="s">
        <v>27</v>
      </c>
      <c r="G4291" s="19" t="s">
        <v>28</v>
      </c>
      <c r="H4291" s="37"/>
      <c r="I4291" s="37" t="s">
        <v>29</v>
      </c>
      <c r="J4291" s="155" t="str">
        <f t="shared" si="4"/>
        <v>TT</v>
      </c>
      <c r="K4291" s="22" t="s">
        <v>15144</v>
      </c>
      <c r="L4291" s="56">
        <v>45104</v>
      </c>
      <c r="O4291" s="42"/>
      <c r="P4291" s="40"/>
      <c r="Q4291" s="61"/>
      <c r="R4291" s="61"/>
      <c r="S4291" s="40"/>
      <c r="T4291" s="38"/>
      <c r="U4291" s="38"/>
      <c r="V4291" s="38"/>
      <c r="W4291" s="60"/>
      <c r="AB4291" s="42"/>
      <c r="AC4291" s="35"/>
      <c r="AD4291" s="38"/>
      <c r="AE4291" s="38"/>
      <c r="AF4291" s="38"/>
      <c r="AG4291" s="38"/>
      <c r="AH4291" s="60"/>
    </row>
    <row r="4292" spans="1:34" ht="15.75" customHeight="1">
      <c r="A4292" s="17">
        <v>46</v>
      </c>
      <c r="B4292" s="209" t="s">
        <v>15145</v>
      </c>
      <c r="C4292" s="37" t="s">
        <v>87</v>
      </c>
      <c r="D4292" s="208" t="s">
        <v>15146</v>
      </c>
      <c r="E4292" s="210" t="s">
        <v>15147</v>
      </c>
      <c r="F4292" s="19" t="s">
        <v>90</v>
      </c>
      <c r="G4292" s="19" t="s">
        <v>91</v>
      </c>
      <c r="H4292" s="37"/>
      <c r="I4292" s="37" t="s">
        <v>29</v>
      </c>
      <c r="J4292" s="155" t="str">
        <f t="shared" si="4"/>
        <v>TT</v>
      </c>
      <c r="K4292" s="211" t="s">
        <v>15148</v>
      </c>
      <c r="L4292" s="56">
        <v>45104</v>
      </c>
      <c r="O4292" s="42"/>
      <c r="P4292" s="40"/>
      <c r="Q4292" s="61"/>
      <c r="R4292" s="61"/>
      <c r="S4292" s="40"/>
      <c r="T4292" s="38"/>
      <c r="U4292" s="38"/>
      <c r="V4292" s="38"/>
      <c r="W4292" s="60"/>
      <c r="AB4292" s="42"/>
      <c r="AC4292" s="35"/>
      <c r="AD4292" s="38"/>
      <c r="AE4292" s="38"/>
      <c r="AF4292" s="38"/>
      <c r="AG4292" s="38"/>
      <c r="AH4292" s="60"/>
    </row>
    <row r="4293" spans="1:34" ht="15.75" customHeight="1">
      <c r="A4293" s="111" t="s">
        <v>64</v>
      </c>
      <c r="B4293" s="209" t="s">
        <v>15149</v>
      </c>
      <c r="C4293" s="37" t="s">
        <v>24</v>
      </c>
      <c r="D4293" s="208" t="s">
        <v>15150</v>
      </c>
      <c r="E4293" s="212" t="s">
        <v>15151</v>
      </c>
      <c r="F4293" s="19" t="s">
        <v>27</v>
      </c>
      <c r="G4293" s="19" t="s">
        <v>28</v>
      </c>
      <c r="H4293" s="37"/>
      <c r="I4293" s="37" t="s">
        <v>29</v>
      </c>
      <c r="J4293" s="155" t="str">
        <f t="shared" si="4"/>
        <v>TT</v>
      </c>
      <c r="K4293" s="211" t="s">
        <v>15152</v>
      </c>
      <c r="L4293" s="56">
        <v>45104</v>
      </c>
      <c r="O4293" s="42"/>
      <c r="P4293" s="40"/>
      <c r="Q4293" s="61"/>
      <c r="R4293" s="61"/>
      <c r="S4293" s="40"/>
      <c r="T4293" s="38"/>
      <c r="U4293" s="38"/>
      <c r="V4293" s="38"/>
      <c r="W4293" s="60"/>
      <c r="AB4293" s="42"/>
      <c r="AC4293" s="35"/>
      <c r="AD4293" s="38"/>
      <c r="AE4293" s="38"/>
      <c r="AF4293" s="38"/>
      <c r="AG4293" s="38"/>
      <c r="AH4293" s="60"/>
    </row>
    <row r="4294" spans="1:34" ht="15.75" customHeight="1">
      <c r="A4294" s="75">
        <v>2.4</v>
      </c>
      <c r="B4294" s="209" t="s">
        <v>15153</v>
      </c>
      <c r="C4294" s="37" t="s">
        <v>46</v>
      </c>
      <c r="D4294" s="208" t="s">
        <v>15154</v>
      </c>
      <c r="E4294" s="20" t="s">
        <v>15155</v>
      </c>
      <c r="F4294" s="37" t="s">
        <v>49</v>
      </c>
      <c r="G4294" s="19" t="s">
        <v>50</v>
      </c>
      <c r="H4294" s="37"/>
      <c r="I4294" s="37" t="s">
        <v>29</v>
      </c>
      <c r="J4294" s="155" t="str">
        <f t="shared" si="4"/>
        <v>TT</v>
      </c>
      <c r="K4294" s="22" t="s">
        <v>15156</v>
      </c>
      <c r="L4294" s="56">
        <v>45104</v>
      </c>
      <c r="O4294" s="42"/>
      <c r="P4294" s="40"/>
      <c r="Q4294" s="61"/>
      <c r="R4294" s="61"/>
      <c r="S4294" s="40"/>
      <c r="T4294" s="38"/>
      <c r="U4294" s="38"/>
      <c r="V4294" s="38"/>
      <c r="W4294" s="60"/>
      <c r="AB4294" s="42"/>
      <c r="AC4294" s="35"/>
      <c r="AD4294" s="38"/>
      <c r="AE4294" s="38"/>
      <c r="AF4294" s="38"/>
      <c r="AG4294" s="38"/>
      <c r="AH4294" s="60"/>
    </row>
    <row r="4295" spans="1:34" ht="15.75" customHeight="1">
      <c r="A4295" s="111" t="s">
        <v>73</v>
      </c>
      <c r="B4295" s="209" t="s">
        <v>15157</v>
      </c>
      <c r="C4295" s="37" t="s">
        <v>46</v>
      </c>
      <c r="D4295" s="208" t="s">
        <v>15158</v>
      </c>
      <c r="E4295" s="20" t="s">
        <v>15159</v>
      </c>
      <c r="F4295" s="37" t="s">
        <v>49</v>
      </c>
      <c r="G4295" s="19" t="s">
        <v>50</v>
      </c>
      <c r="H4295" s="37"/>
      <c r="I4295" s="37" t="s">
        <v>29</v>
      </c>
      <c r="J4295" s="155" t="str">
        <f t="shared" si="4"/>
        <v>TT</v>
      </c>
      <c r="K4295" s="22" t="s">
        <v>15160</v>
      </c>
      <c r="L4295" s="56">
        <v>45104</v>
      </c>
      <c r="O4295" s="42"/>
      <c r="P4295" s="40"/>
      <c r="Q4295" s="61"/>
      <c r="R4295" s="61"/>
      <c r="S4295" s="40"/>
      <c r="T4295" s="38"/>
      <c r="U4295" s="38"/>
      <c r="V4295" s="38"/>
      <c r="W4295" s="60"/>
      <c r="AB4295" s="42"/>
      <c r="AC4295" s="35"/>
      <c r="AD4295" s="38"/>
      <c r="AE4295" s="38"/>
      <c r="AF4295" s="38"/>
      <c r="AG4295" s="38"/>
      <c r="AH4295" s="60"/>
    </row>
    <row r="4296" spans="1:34" ht="15.75" customHeight="1">
      <c r="A4296" s="75">
        <v>3.3</v>
      </c>
      <c r="B4296" s="209" t="s">
        <v>15161</v>
      </c>
      <c r="C4296" s="37" t="s">
        <v>24</v>
      </c>
      <c r="D4296" s="208" t="s">
        <v>15162</v>
      </c>
      <c r="E4296" s="20" t="s">
        <v>15163</v>
      </c>
      <c r="F4296" s="19" t="s">
        <v>27</v>
      </c>
      <c r="G4296" s="19" t="s">
        <v>28</v>
      </c>
      <c r="H4296" s="37"/>
      <c r="I4296" s="37" t="s">
        <v>29</v>
      </c>
      <c r="J4296" s="155" t="str">
        <f t="shared" si="4"/>
        <v>TT</v>
      </c>
      <c r="K4296" s="22" t="s">
        <v>15164</v>
      </c>
      <c r="L4296" s="56">
        <v>45104</v>
      </c>
      <c r="O4296" s="42"/>
      <c r="P4296" s="40"/>
      <c r="Q4296" s="61"/>
      <c r="R4296" s="61"/>
      <c r="S4296" s="40"/>
      <c r="T4296" s="38"/>
      <c r="U4296" s="38"/>
      <c r="V4296" s="38"/>
      <c r="W4296" s="60"/>
      <c r="AB4296" s="42"/>
      <c r="AC4296" s="35"/>
      <c r="AD4296" s="38"/>
      <c r="AE4296" s="38"/>
      <c r="AF4296" s="38"/>
      <c r="AG4296" s="38"/>
      <c r="AH4296" s="60"/>
    </row>
    <row r="4297" spans="1:34" ht="15.75" customHeight="1">
      <c r="A4297" s="111" t="s">
        <v>82</v>
      </c>
      <c r="B4297" s="209" t="s">
        <v>15165</v>
      </c>
      <c r="C4297" s="37" t="s">
        <v>24</v>
      </c>
      <c r="D4297" s="208" t="s">
        <v>15166</v>
      </c>
      <c r="E4297" s="20" t="s">
        <v>15167</v>
      </c>
      <c r="F4297" s="19" t="s">
        <v>27</v>
      </c>
      <c r="G4297" s="19" t="s">
        <v>28</v>
      </c>
      <c r="H4297" s="37"/>
      <c r="I4297" s="37" t="s">
        <v>29</v>
      </c>
      <c r="J4297" s="155" t="str">
        <f t="shared" si="4"/>
        <v>TT</v>
      </c>
      <c r="K4297" s="22" t="s">
        <v>15168</v>
      </c>
      <c r="L4297" s="56">
        <v>45104</v>
      </c>
      <c r="O4297" s="42"/>
      <c r="P4297" s="40"/>
      <c r="Q4297" s="61"/>
      <c r="R4297" s="61"/>
      <c r="S4297" s="40"/>
      <c r="T4297" s="38"/>
      <c r="U4297" s="38"/>
      <c r="V4297" s="38"/>
      <c r="W4297" s="60"/>
      <c r="AB4297" s="42"/>
      <c r="AC4297" s="35"/>
      <c r="AD4297" s="38"/>
      <c r="AE4297" s="38"/>
      <c r="AF4297" s="38"/>
      <c r="AG4297" s="38"/>
      <c r="AH4297" s="60"/>
    </row>
    <row r="4298" spans="1:34" ht="15.75" customHeight="1">
      <c r="A4298" s="112" t="s">
        <v>15169</v>
      </c>
      <c r="B4298" s="209" t="s">
        <v>15170</v>
      </c>
      <c r="C4298" s="37" t="s">
        <v>412</v>
      </c>
      <c r="D4298" s="208" t="s">
        <v>15171</v>
      </c>
      <c r="E4298" s="20" t="s">
        <v>15172</v>
      </c>
      <c r="F4298" s="19" t="s">
        <v>414</v>
      </c>
      <c r="G4298" s="19" t="s">
        <v>415</v>
      </c>
      <c r="H4298" s="37"/>
      <c r="I4298" s="37" t="s">
        <v>233</v>
      </c>
      <c r="J4298" s="155" t="str">
        <f t="shared" si="4"/>
        <v>NTT</v>
      </c>
      <c r="K4298" s="22" t="s">
        <v>15173</v>
      </c>
      <c r="L4298" s="56">
        <v>45104</v>
      </c>
      <c r="O4298" s="42"/>
      <c r="P4298" s="40"/>
      <c r="Q4298" s="61"/>
      <c r="R4298" s="61"/>
      <c r="S4298" s="40"/>
      <c r="T4298" s="38"/>
      <c r="U4298" s="38"/>
      <c r="V4298" s="38"/>
      <c r="W4298" s="60"/>
      <c r="AB4298" s="42"/>
      <c r="AC4298" s="35"/>
      <c r="AD4298" s="38"/>
      <c r="AE4298" s="38"/>
      <c r="AF4298" s="38"/>
      <c r="AG4298" s="38"/>
      <c r="AH4298" s="60"/>
    </row>
    <row r="4299" spans="1:34" ht="15.75" customHeight="1">
      <c r="A4299" s="111" t="s">
        <v>92</v>
      </c>
      <c r="B4299" s="209" t="s">
        <v>15174</v>
      </c>
      <c r="C4299" s="37" t="s">
        <v>412</v>
      </c>
      <c r="D4299" s="208" t="s">
        <v>15175</v>
      </c>
      <c r="E4299" s="20" t="s">
        <v>15176</v>
      </c>
      <c r="F4299" s="19" t="s">
        <v>414</v>
      </c>
      <c r="G4299" s="37" t="s">
        <v>415</v>
      </c>
      <c r="H4299" s="37"/>
      <c r="I4299" s="37" t="s">
        <v>233</v>
      </c>
      <c r="J4299" s="155" t="str">
        <f t="shared" si="4"/>
        <v>NTT</v>
      </c>
      <c r="K4299" s="22" t="s">
        <v>15177</v>
      </c>
      <c r="L4299" s="56">
        <v>45104</v>
      </c>
      <c r="O4299" s="42"/>
      <c r="P4299" s="40"/>
      <c r="Q4299" s="61"/>
      <c r="R4299" s="61"/>
      <c r="S4299" s="40"/>
      <c r="T4299" s="38"/>
      <c r="U4299" s="38"/>
      <c r="V4299" s="38"/>
      <c r="W4299" s="60"/>
      <c r="AB4299" s="42"/>
      <c r="AC4299" s="35"/>
      <c r="AD4299" s="38"/>
      <c r="AE4299" s="38"/>
      <c r="AF4299" s="38"/>
      <c r="AG4299" s="38"/>
      <c r="AH4299" s="60"/>
    </row>
    <row r="4300" spans="1:34" ht="15.75" customHeight="1">
      <c r="A4300" s="17">
        <v>1158</v>
      </c>
      <c r="B4300" s="209" t="s">
        <v>15178</v>
      </c>
      <c r="C4300" s="37" t="s">
        <v>87</v>
      </c>
      <c r="D4300" s="208" t="s">
        <v>15179</v>
      </c>
      <c r="E4300" s="20" t="s">
        <v>15180</v>
      </c>
      <c r="F4300" s="19" t="s">
        <v>90</v>
      </c>
      <c r="G4300" s="19" t="s">
        <v>91</v>
      </c>
      <c r="H4300" s="37"/>
      <c r="I4300" s="37" t="s">
        <v>29</v>
      </c>
      <c r="J4300" s="155" t="str">
        <f t="shared" si="4"/>
        <v>TT</v>
      </c>
      <c r="K4300" s="22" t="s">
        <v>15181</v>
      </c>
      <c r="L4300" s="56">
        <v>45104</v>
      </c>
      <c r="O4300" s="42"/>
      <c r="P4300" s="40"/>
      <c r="Q4300" s="61"/>
      <c r="R4300" s="61"/>
      <c r="S4300" s="40"/>
      <c r="T4300" s="38"/>
      <c r="U4300" s="38"/>
      <c r="V4300" s="38"/>
      <c r="W4300" s="60"/>
      <c r="AB4300" s="42"/>
      <c r="AC4300" s="35"/>
      <c r="AD4300" s="38"/>
      <c r="AE4300" s="38"/>
      <c r="AF4300" s="38"/>
      <c r="AG4300" s="38"/>
      <c r="AH4300" s="60"/>
    </row>
    <row r="4301" spans="1:34" ht="15.75" customHeight="1">
      <c r="A4301" s="111" t="s">
        <v>100</v>
      </c>
      <c r="B4301" s="209" t="s">
        <v>15182</v>
      </c>
      <c r="C4301" s="37" t="s">
        <v>87</v>
      </c>
      <c r="D4301" s="208" t="s">
        <v>15183</v>
      </c>
      <c r="E4301" s="20" t="s">
        <v>15184</v>
      </c>
      <c r="F4301" s="19" t="s">
        <v>90</v>
      </c>
      <c r="G4301" s="19" t="s">
        <v>91</v>
      </c>
      <c r="H4301" s="37"/>
      <c r="I4301" s="37" t="s">
        <v>29</v>
      </c>
      <c r="J4301" s="155" t="str">
        <f t="shared" si="4"/>
        <v>TT</v>
      </c>
      <c r="K4301" s="22" t="s">
        <v>15185</v>
      </c>
      <c r="L4301" s="56">
        <v>45104</v>
      </c>
      <c r="O4301" s="42"/>
      <c r="P4301" s="40"/>
      <c r="Q4301" s="61"/>
      <c r="R4301" s="61"/>
      <c r="S4301" s="40"/>
      <c r="T4301" s="38"/>
      <c r="U4301" s="38"/>
      <c r="V4301" s="38"/>
      <c r="W4301" s="60"/>
      <c r="AB4301" s="42"/>
      <c r="AC4301" s="35"/>
      <c r="AD4301" s="38"/>
      <c r="AE4301" s="38"/>
      <c r="AF4301" s="38"/>
      <c r="AG4301" s="38"/>
      <c r="AH4301" s="60"/>
    </row>
    <row r="4302" spans="1:34" ht="15.75" customHeight="1">
      <c r="A4302" s="17">
        <v>163</v>
      </c>
      <c r="B4302" s="209" t="s">
        <v>15186</v>
      </c>
      <c r="C4302" s="37" t="s">
        <v>24</v>
      </c>
      <c r="D4302" s="208" t="s">
        <v>15187</v>
      </c>
      <c r="E4302" s="20" t="s">
        <v>15188</v>
      </c>
      <c r="F4302" s="19" t="s">
        <v>27</v>
      </c>
      <c r="G4302" s="19" t="s">
        <v>28</v>
      </c>
      <c r="H4302" s="37"/>
      <c r="I4302" s="37" t="s">
        <v>29</v>
      </c>
      <c r="J4302" s="155" t="str">
        <f t="shared" si="4"/>
        <v>TT</v>
      </c>
      <c r="K4302" s="22" t="s">
        <v>15189</v>
      </c>
      <c r="L4302" s="56">
        <v>45104</v>
      </c>
      <c r="O4302" s="42"/>
      <c r="P4302" s="40"/>
      <c r="Q4302" s="61"/>
      <c r="R4302" s="61"/>
      <c r="S4302" s="40"/>
      <c r="T4302" s="38"/>
      <c r="U4302" s="38"/>
      <c r="V4302" s="38"/>
      <c r="W4302" s="60"/>
      <c r="AB4302" s="42"/>
      <c r="AC4302" s="35"/>
      <c r="AD4302" s="38"/>
      <c r="AE4302" s="38"/>
      <c r="AF4302" s="38"/>
      <c r="AG4302" s="38"/>
      <c r="AH4302" s="60"/>
    </row>
    <row r="4303" spans="1:34" ht="15.75" customHeight="1">
      <c r="A4303" s="35"/>
      <c r="B4303" s="209" t="s">
        <v>15190</v>
      </c>
      <c r="C4303" s="37" t="s">
        <v>24</v>
      </c>
      <c r="D4303" s="208" t="s">
        <v>15191</v>
      </c>
      <c r="E4303" s="20" t="s">
        <v>15192</v>
      </c>
      <c r="F4303" s="19" t="s">
        <v>27</v>
      </c>
      <c r="G4303" s="19" t="s">
        <v>28</v>
      </c>
      <c r="H4303" s="37"/>
      <c r="I4303" s="37" t="s">
        <v>29</v>
      </c>
      <c r="J4303" s="155" t="str">
        <f t="shared" si="4"/>
        <v>TT</v>
      </c>
      <c r="K4303" s="22" t="s">
        <v>15193</v>
      </c>
      <c r="L4303" s="56">
        <v>45104</v>
      </c>
      <c r="O4303" s="42"/>
      <c r="P4303" s="40"/>
      <c r="Q4303" s="61"/>
      <c r="R4303" s="61"/>
      <c r="S4303" s="40"/>
      <c r="T4303" s="38"/>
      <c r="U4303" s="38"/>
      <c r="V4303" s="38"/>
      <c r="W4303" s="60"/>
      <c r="AB4303" s="42"/>
      <c r="AC4303" s="35"/>
      <c r="AD4303" s="38"/>
      <c r="AE4303" s="38"/>
      <c r="AF4303" s="38"/>
      <c r="AG4303" s="38"/>
      <c r="AH4303" s="60"/>
    </row>
    <row r="4304" spans="1:34" ht="15.75" customHeight="1">
      <c r="A4304" s="213"/>
      <c r="B4304" s="209" t="s">
        <v>15194</v>
      </c>
      <c r="C4304" s="37" t="s">
        <v>24</v>
      </c>
      <c r="D4304" s="208" t="s">
        <v>15195</v>
      </c>
      <c r="E4304" s="20" t="s">
        <v>15196</v>
      </c>
      <c r="F4304" s="19" t="s">
        <v>27</v>
      </c>
      <c r="G4304" s="19" t="s">
        <v>28</v>
      </c>
      <c r="H4304" s="37"/>
      <c r="I4304" s="37" t="s">
        <v>29</v>
      </c>
      <c r="J4304" s="155" t="str">
        <f t="shared" si="4"/>
        <v>TT</v>
      </c>
      <c r="K4304" s="22" t="s">
        <v>15197</v>
      </c>
      <c r="L4304" s="56">
        <v>45104</v>
      </c>
      <c r="O4304" s="42"/>
      <c r="P4304" s="40"/>
      <c r="Q4304" s="61"/>
      <c r="R4304" s="61"/>
      <c r="S4304" s="40"/>
      <c r="T4304" s="38"/>
      <c r="U4304" s="38"/>
      <c r="V4304" s="38"/>
      <c r="W4304" s="60"/>
      <c r="AB4304" s="42"/>
      <c r="AC4304" s="35"/>
      <c r="AD4304" s="38"/>
      <c r="AE4304" s="38"/>
      <c r="AF4304" s="38"/>
      <c r="AG4304" s="38"/>
      <c r="AH4304" s="60"/>
    </row>
    <row r="4305" spans="1:34" ht="15.75" customHeight="1">
      <c r="A4305" s="214"/>
      <c r="B4305" s="209" t="s">
        <v>15198</v>
      </c>
      <c r="C4305" s="37" t="s">
        <v>46</v>
      </c>
      <c r="D4305" s="208" t="s">
        <v>15199</v>
      </c>
      <c r="E4305" s="20" t="s">
        <v>15200</v>
      </c>
      <c r="F4305" s="37" t="s">
        <v>49</v>
      </c>
      <c r="G4305" s="19" t="s">
        <v>50</v>
      </c>
      <c r="H4305" s="37"/>
      <c r="I4305" s="37" t="s">
        <v>29</v>
      </c>
      <c r="J4305" s="155" t="str">
        <f t="shared" si="4"/>
        <v>TT</v>
      </c>
      <c r="K4305" s="22" t="s">
        <v>15201</v>
      </c>
      <c r="L4305" s="56">
        <v>45104</v>
      </c>
      <c r="O4305" s="42"/>
      <c r="P4305" s="40"/>
      <c r="Q4305" s="61"/>
      <c r="R4305" s="61"/>
      <c r="S4305" s="40"/>
      <c r="T4305" s="38"/>
      <c r="U4305" s="38"/>
      <c r="V4305" s="38"/>
      <c r="W4305" s="60"/>
      <c r="AB4305" s="42"/>
      <c r="AC4305" s="35"/>
      <c r="AD4305" s="38"/>
      <c r="AE4305" s="38"/>
      <c r="AF4305" s="38"/>
      <c r="AG4305" s="38"/>
      <c r="AH4305" s="60"/>
    </row>
    <row r="4306" spans="1:34" ht="15.75" customHeight="1">
      <c r="A4306" s="214"/>
      <c r="B4306" s="209" t="s">
        <v>15202</v>
      </c>
      <c r="C4306" s="37" t="s">
        <v>24</v>
      </c>
      <c r="D4306" s="208" t="s">
        <v>15203</v>
      </c>
      <c r="E4306" s="20" t="s">
        <v>15204</v>
      </c>
      <c r="F4306" s="19" t="s">
        <v>27</v>
      </c>
      <c r="G4306" s="19" t="s">
        <v>28</v>
      </c>
      <c r="H4306" s="37"/>
      <c r="I4306" s="37" t="s">
        <v>29</v>
      </c>
      <c r="J4306" s="155" t="str">
        <f t="shared" si="4"/>
        <v>TT</v>
      </c>
      <c r="K4306" s="22" t="s">
        <v>15205</v>
      </c>
      <c r="L4306" s="56">
        <v>45104</v>
      </c>
      <c r="O4306" s="42"/>
      <c r="P4306" s="40"/>
      <c r="Q4306" s="61"/>
      <c r="R4306" s="61"/>
      <c r="S4306" s="40"/>
      <c r="T4306" s="38"/>
      <c r="U4306" s="38"/>
      <c r="V4306" s="38"/>
      <c r="W4306" s="60"/>
      <c r="AB4306" s="42"/>
      <c r="AC4306" s="35"/>
      <c r="AD4306" s="38"/>
      <c r="AE4306" s="38"/>
      <c r="AF4306" s="38"/>
      <c r="AG4306" s="38"/>
      <c r="AH4306" s="60"/>
    </row>
    <row r="4307" spans="1:34" ht="15.75" customHeight="1">
      <c r="A4307" s="214"/>
      <c r="B4307" s="209" t="s">
        <v>15206</v>
      </c>
      <c r="C4307" s="37" t="s">
        <v>87</v>
      </c>
      <c r="D4307" s="208" t="s">
        <v>15207</v>
      </c>
      <c r="E4307" s="20" t="s">
        <v>15208</v>
      </c>
      <c r="F4307" s="19" t="s">
        <v>90</v>
      </c>
      <c r="G4307" s="19" t="s">
        <v>91</v>
      </c>
      <c r="H4307" s="37"/>
      <c r="I4307" s="37" t="s">
        <v>29</v>
      </c>
      <c r="J4307" s="155" t="str">
        <f t="shared" si="4"/>
        <v>TT</v>
      </c>
      <c r="K4307" s="22" t="s">
        <v>15209</v>
      </c>
      <c r="L4307" s="56">
        <v>45104</v>
      </c>
      <c r="O4307" s="42"/>
      <c r="P4307" s="40"/>
      <c r="Q4307" s="61"/>
      <c r="R4307" s="61"/>
      <c r="S4307" s="40"/>
      <c r="T4307" s="38"/>
      <c r="U4307" s="38"/>
      <c r="V4307" s="38"/>
      <c r="W4307" s="60"/>
      <c r="AB4307" s="42"/>
      <c r="AC4307" s="35"/>
      <c r="AD4307" s="38"/>
      <c r="AE4307" s="38"/>
      <c r="AF4307" s="38"/>
      <c r="AG4307" s="38"/>
      <c r="AH4307" s="60"/>
    </row>
    <row r="4308" spans="1:34" ht="15.75" customHeight="1">
      <c r="A4308" s="214"/>
      <c r="B4308" s="209" t="s">
        <v>15210</v>
      </c>
      <c r="C4308" s="37" t="s">
        <v>412</v>
      </c>
      <c r="D4308" s="208" t="s">
        <v>15211</v>
      </c>
      <c r="E4308" s="20" t="s">
        <v>15212</v>
      </c>
      <c r="F4308" s="19" t="s">
        <v>414</v>
      </c>
      <c r="G4308" s="19" t="s">
        <v>415</v>
      </c>
      <c r="H4308" s="37"/>
      <c r="I4308" s="37" t="s">
        <v>233</v>
      </c>
      <c r="J4308" s="155" t="str">
        <f t="shared" si="4"/>
        <v>NTT</v>
      </c>
      <c r="K4308" s="22" t="s">
        <v>15213</v>
      </c>
      <c r="L4308" s="56">
        <v>45104</v>
      </c>
      <c r="O4308" s="42"/>
      <c r="P4308" s="40"/>
      <c r="Q4308" s="61"/>
      <c r="R4308" s="61"/>
      <c r="S4308" s="40"/>
      <c r="T4308" s="38"/>
      <c r="U4308" s="38"/>
      <c r="V4308" s="38"/>
      <c r="W4308" s="60"/>
      <c r="AB4308" s="42"/>
      <c r="AC4308" s="35"/>
      <c r="AD4308" s="38"/>
      <c r="AE4308" s="38"/>
      <c r="AF4308" s="38"/>
      <c r="AG4308" s="38"/>
      <c r="AH4308" s="60"/>
    </row>
    <row r="4309" spans="1:34" ht="15.75" customHeight="1">
      <c r="A4309" s="214"/>
      <c r="B4309" s="209" t="s">
        <v>15214</v>
      </c>
      <c r="C4309" s="37" t="s">
        <v>46</v>
      </c>
      <c r="D4309" s="208" t="s">
        <v>15215</v>
      </c>
      <c r="E4309" s="20" t="s">
        <v>15216</v>
      </c>
      <c r="F4309" s="37" t="s">
        <v>49</v>
      </c>
      <c r="G4309" s="19" t="s">
        <v>50</v>
      </c>
      <c r="H4309" s="37"/>
      <c r="I4309" s="37" t="s">
        <v>29</v>
      </c>
      <c r="J4309" s="155" t="str">
        <f t="shared" si="4"/>
        <v>TT</v>
      </c>
      <c r="K4309" s="22" t="s">
        <v>15217</v>
      </c>
      <c r="L4309" s="56">
        <v>45104</v>
      </c>
      <c r="O4309" s="42"/>
      <c r="P4309" s="40"/>
      <c r="Q4309" s="61"/>
      <c r="R4309" s="61"/>
      <c r="S4309" s="40"/>
      <c r="T4309" s="38"/>
      <c r="U4309" s="38"/>
      <c r="V4309" s="38"/>
      <c r="W4309" s="60"/>
      <c r="AB4309" s="42"/>
      <c r="AC4309" s="35"/>
      <c r="AD4309" s="38"/>
      <c r="AE4309" s="38"/>
      <c r="AF4309" s="38"/>
      <c r="AG4309" s="38"/>
      <c r="AH4309" s="60"/>
    </row>
    <row r="4310" spans="1:34" ht="15.75" customHeight="1">
      <c r="A4310" s="214"/>
      <c r="B4310" s="209" t="s">
        <v>15218</v>
      </c>
      <c r="C4310" s="37" t="s">
        <v>24</v>
      </c>
      <c r="D4310" s="208" t="s">
        <v>15219</v>
      </c>
      <c r="E4310" s="20" t="s">
        <v>15220</v>
      </c>
      <c r="F4310" s="19" t="s">
        <v>27</v>
      </c>
      <c r="G4310" s="19" t="s">
        <v>28</v>
      </c>
      <c r="H4310" s="37"/>
      <c r="I4310" s="37" t="s">
        <v>29</v>
      </c>
      <c r="J4310" s="155" t="str">
        <f t="shared" si="4"/>
        <v>TT</v>
      </c>
      <c r="K4310" s="22" t="s">
        <v>15221</v>
      </c>
      <c r="L4310" s="56">
        <v>45104</v>
      </c>
      <c r="O4310" s="42"/>
      <c r="P4310" s="40"/>
      <c r="Q4310" s="61"/>
      <c r="R4310" s="61"/>
      <c r="S4310" s="40"/>
      <c r="T4310" s="38"/>
      <c r="U4310" s="38"/>
      <c r="V4310" s="38"/>
      <c r="W4310" s="60"/>
      <c r="AB4310" s="42"/>
      <c r="AC4310" s="35"/>
      <c r="AD4310" s="38"/>
      <c r="AE4310" s="38"/>
      <c r="AF4310" s="38"/>
      <c r="AG4310" s="38"/>
      <c r="AH4310" s="60"/>
    </row>
    <row r="4311" spans="1:34" ht="15.75" customHeight="1">
      <c r="A4311" s="214"/>
      <c r="B4311" s="209" t="s">
        <v>15222</v>
      </c>
      <c r="C4311" s="37" t="s">
        <v>24</v>
      </c>
      <c r="D4311" s="208" t="s">
        <v>15223</v>
      </c>
      <c r="E4311" s="20"/>
      <c r="F4311" s="19" t="s">
        <v>27</v>
      </c>
      <c r="G4311" s="19" t="s">
        <v>28</v>
      </c>
      <c r="H4311" s="37"/>
      <c r="I4311" s="37" t="s">
        <v>29</v>
      </c>
      <c r="J4311" s="155" t="str">
        <f t="shared" si="4"/>
        <v>TT</v>
      </c>
      <c r="K4311" s="22"/>
      <c r="L4311" s="56">
        <v>45104</v>
      </c>
      <c r="O4311" s="42"/>
      <c r="P4311" s="40"/>
      <c r="Q4311" s="61"/>
      <c r="R4311" s="61"/>
      <c r="S4311" s="40"/>
      <c r="T4311" s="38"/>
      <c r="U4311" s="38"/>
      <c r="V4311" s="38"/>
      <c r="W4311" s="60"/>
      <c r="AB4311" s="42"/>
      <c r="AC4311" s="35"/>
      <c r="AD4311" s="38"/>
      <c r="AE4311" s="38"/>
      <c r="AF4311" s="38"/>
      <c r="AG4311" s="38"/>
      <c r="AH4311" s="60"/>
    </row>
    <row r="4312" spans="1:34" ht="15.75" customHeight="1">
      <c r="A4312" s="214"/>
      <c r="B4312" s="209" t="s">
        <v>15224</v>
      </c>
      <c r="C4312" s="37" t="s">
        <v>412</v>
      </c>
      <c r="D4312" s="208" t="s">
        <v>15225</v>
      </c>
      <c r="E4312" s="20" t="s">
        <v>15226</v>
      </c>
      <c r="F4312" s="19" t="s">
        <v>414</v>
      </c>
      <c r="G4312" s="37" t="s">
        <v>415</v>
      </c>
      <c r="H4312" s="37"/>
      <c r="I4312" s="37" t="s">
        <v>233</v>
      </c>
      <c r="J4312" s="155" t="str">
        <f t="shared" si="4"/>
        <v>NTT</v>
      </c>
      <c r="K4312" s="22" t="s">
        <v>15227</v>
      </c>
      <c r="L4312" s="56">
        <v>45104</v>
      </c>
      <c r="O4312" s="42"/>
      <c r="P4312" s="40"/>
      <c r="Q4312" s="61"/>
      <c r="R4312" s="61"/>
      <c r="S4312" s="40"/>
      <c r="T4312" s="38"/>
      <c r="U4312" s="38"/>
      <c r="V4312" s="38"/>
      <c r="W4312" s="60"/>
      <c r="AB4312" s="42"/>
      <c r="AC4312" s="35"/>
      <c r="AD4312" s="38"/>
      <c r="AE4312" s="38"/>
      <c r="AF4312" s="38"/>
      <c r="AG4312" s="38"/>
      <c r="AH4312" s="60"/>
    </row>
    <row r="4313" spans="1:34" ht="15.75" customHeight="1">
      <c r="A4313" s="214"/>
      <c r="B4313" s="209" t="s">
        <v>15228</v>
      </c>
      <c r="C4313" s="37" t="s">
        <v>24</v>
      </c>
      <c r="D4313" s="208" t="s">
        <v>15229</v>
      </c>
      <c r="E4313" s="20" t="s">
        <v>15230</v>
      </c>
      <c r="F4313" s="19" t="s">
        <v>27</v>
      </c>
      <c r="G4313" s="19" t="s">
        <v>28</v>
      </c>
      <c r="H4313" s="37"/>
      <c r="I4313" s="37" t="s">
        <v>29</v>
      </c>
      <c r="J4313" s="155" t="str">
        <f t="shared" si="4"/>
        <v>TT</v>
      </c>
      <c r="K4313" s="22" t="s">
        <v>15231</v>
      </c>
      <c r="L4313" s="56">
        <v>45104</v>
      </c>
      <c r="O4313" s="42"/>
      <c r="P4313" s="40"/>
      <c r="Q4313" s="61"/>
      <c r="R4313" s="61"/>
      <c r="S4313" s="40"/>
      <c r="T4313" s="38"/>
      <c r="U4313" s="38"/>
      <c r="V4313" s="38"/>
      <c r="W4313" s="60"/>
      <c r="AB4313" s="42"/>
      <c r="AC4313" s="35"/>
      <c r="AD4313" s="38"/>
      <c r="AE4313" s="38"/>
      <c r="AF4313" s="38"/>
      <c r="AG4313" s="38"/>
      <c r="AH4313" s="60"/>
    </row>
    <row r="4314" spans="1:34" ht="15.75" customHeight="1">
      <c r="A4314" s="214"/>
      <c r="B4314" s="209" t="s">
        <v>15232</v>
      </c>
      <c r="C4314" s="37" t="s">
        <v>24</v>
      </c>
      <c r="D4314" s="208" t="s">
        <v>15233</v>
      </c>
      <c r="E4314" s="20" t="s">
        <v>15234</v>
      </c>
      <c r="F4314" s="19" t="s">
        <v>27</v>
      </c>
      <c r="G4314" s="19" t="s">
        <v>28</v>
      </c>
      <c r="H4314" s="19" t="s">
        <v>36</v>
      </c>
      <c r="I4314" s="37" t="s">
        <v>29</v>
      </c>
      <c r="J4314" s="155" t="str">
        <f t="shared" si="4"/>
        <v>TT</v>
      </c>
      <c r="K4314" s="22" t="s">
        <v>15235</v>
      </c>
      <c r="L4314" s="56">
        <v>45104</v>
      </c>
      <c r="O4314" s="42"/>
      <c r="P4314" s="40"/>
      <c r="Q4314" s="61"/>
      <c r="R4314" s="61"/>
      <c r="S4314" s="40"/>
      <c r="T4314" s="38"/>
      <c r="U4314" s="38"/>
      <c r="V4314" s="38"/>
      <c r="W4314" s="60"/>
      <c r="AB4314" s="42"/>
      <c r="AC4314" s="35"/>
      <c r="AD4314" s="38"/>
      <c r="AE4314" s="38"/>
      <c r="AF4314" s="38"/>
      <c r="AG4314" s="38"/>
      <c r="AH4314" s="60"/>
    </row>
    <row r="4315" spans="1:34" ht="15.75" customHeight="1">
      <c r="A4315" s="214"/>
      <c r="B4315" s="209" t="s">
        <v>15236</v>
      </c>
      <c r="C4315" s="37" t="s">
        <v>46</v>
      </c>
      <c r="D4315" s="208" t="s">
        <v>15237</v>
      </c>
      <c r="E4315" s="20" t="s">
        <v>15238</v>
      </c>
      <c r="F4315" s="37" t="s">
        <v>49</v>
      </c>
      <c r="G4315" s="19" t="s">
        <v>50</v>
      </c>
      <c r="H4315" s="37"/>
      <c r="I4315" s="37" t="s">
        <v>29</v>
      </c>
      <c r="J4315" s="155" t="str">
        <f t="shared" si="4"/>
        <v>TT</v>
      </c>
      <c r="K4315" s="22" t="s">
        <v>15239</v>
      </c>
      <c r="L4315" s="56">
        <v>45104</v>
      </c>
      <c r="O4315" s="42"/>
      <c r="P4315" s="40"/>
      <c r="Q4315" s="61"/>
      <c r="R4315" s="61"/>
      <c r="S4315" s="40"/>
      <c r="T4315" s="38"/>
      <c r="U4315" s="38"/>
      <c r="V4315" s="38"/>
      <c r="W4315" s="60"/>
      <c r="AB4315" s="42"/>
      <c r="AC4315" s="35"/>
      <c r="AD4315" s="38"/>
      <c r="AE4315" s="38"/>
      <c r="AF4315" s="38"/>
      <c r="AG4315" s="38"/>
      <c r="AH4315" s="60"/>
    </row>
    <row r="4316" spans="1:34" ht="15.75" customHeight="1">
      <c r="A4316" s="214"/>
      <c r="B4316" s="209" t="s">
        <v>15240</v>
      </c>
      <c r="C4316" s="37" t="s">
        <v>412</v>
      </c>
      <c r="D4316" s="208" t="s">
        <v>15241</v>
      </c>
      <c r="E4316" s="20"/>
      <c r="F4316" s="19" t="s">
        <v>414</v>
      </c>
      <c r="G4316" s="19" t="s">
        <v>415</v>
      </c>
      <c r="H4316" s="37"/>
      <c r="I4316" s="37" t="s">
        <v>233</v>
      </c>
      <c r="J4316" s="155" t="str">
        <f t="shared" si="4"/>
        <v>NTT</v>
      </c>
      <c r="K4316" s="22"/>
      <c r="L4316" s="56">
        <v>45104</v>
      </c>
      <c r="O4316" s="42"/>
      <c r="P4316" s="40"/>
      <c r="Q4316" s="61"/>
      <c r="R4316" s="61"/>
      <c r="S4316" s="40"/>
      <c r="T4316" s="38"/>
      <c r="U4316" s="38"/>
      <c r="V4316" s="38"/>
      <c r="W4316" s="60"/>
      <c r="AB4316" s="42"/>
      <c r="AC4316" s="35"/>
      <c r="AD4316" s="38"/>
      <c r="AE4316" s="38"/>
      <c r="AF4316" s="38"/>
      <c r="AG4316" s="38"/>
      <c r="AH4316" s="60"/>
    </row>
    <row r="4317" spans="1:34" ht="15.75" customHeight="1">
      <c r="A4317" s="214"/>
      <c r="B4317" s="209" t="s">
        <v>15242</v>
      </c>
      <c r="C4317" s="37" t="s">
        <v>46</v>
      </c>
      <c r="D4317" s="208" t="s">
        <v>15243</v>
      </c>
      <c r="E4317" s="20" t="s">
        <v>15244</v>
      </c>
      <c r="F4317" s="37" t="s">
        <v>49</v>
      </c>
      <c r="G4317" s="19" t="s">
        <v>50</v>
      </c>
      <c r="H4317" s="37"/>
      <c r="I4317" s="37" t="s">
        <v>29</v>
      </c>
      <c r="J4317" s="155" t="str">
        <f t="shared" si="4"/>
        <v>TT</v>
      </c>
      <c r="K4317" s="22" t="s">
        <v>15245</v>
      </c>
      <c r="L4317" s="56">
        <v>45104</v>
      </c>
      <c r="O4317" s="42"/>
      <c r="P4317" s="40"/>
      <c r="Q4317" s="61"/>
      <c r="R4317" s="61"/>
      <c r="S4317" s="40"/>
      <c r="T4317" s="38"/>
      <c r="U4317" s="38"/>
      <c r="V4317" s="38"/>
      <c r="W4317" s="60"/>
      <c r="AB4317" s="42"/>
      <c r="AC4317" s="35"/>
      <c r="AD4317" s="38"/>
      <c r="AE4317" s="38"/>
      <c r="AF4317" s="38"/>
      <c r="AG4317" s="38"/>
      <c r="AH4317" s="60"/>
    </row>
    <row r="4318" spans="1:34" ht="15.75" customHeight="1">
      <c r="A4318" s="214"/>
      <c r="B4318" s="209" t="s">
        <v>15246</v>
      </c>
      <c r="C4318" s="37" t="s">
        <v>24</v>
      </c>
      <c r="D4318" s="208" t="s">
        <v>15247</v>
      </c>
      <c r="E4318" s="20" t="s">
        <v>15248</v>
      </c>
      <c r="F4318" s="19" t="s">
        <v>27</v>
      </c>
      <c r="G4318" s="19" t="s">
        <v>28</v>
      </c>
      <c r="H4318" s="37"/>
      <c r="I4318" s="37" t="s">
        <v>29</v>
      </c>
      <c r="J4318" s="155" t="str">
        <f t="shared" si="4"/>
        <v>TT</v>
      </c>
      <c r="K4318" s="22" t="s">
        <v>15249</v>
      </c>
      <c r="L4318" s="56">
        <v>45104</v>
      </c>
      <c r="O4318" s="42"/>
      <c r="P4318" s="40"/>
      <c r="Q4318" s="61"/>
      <c r="R4318" s="61"/>
      <c r="S4318" s="40"/>
      <c r="T4318" s="38"/>
      <c r="U4318" s="38"/>
      <c r="V4318" s="38"/>
      <c r="W4318" s="60"/>
      <c r="AB4318" s="42"/>
      <c r="AC4318" s="35"/>
      <c r="AD4318" s="38"/>
      <c r="AE4318" s="38"/>
      <c r="AF4318" s="38"/>
      <c r="AG4318" s="38"/>
      <c r="AH4318" s="60"/>
    </row>
    <row r="4319" spans="1:34" ht="15.75" customHeight="1">
      <c r="A4319" s="214"/>
      <c r="B4319" s="209" t="s">
        <v>15250</v>
      </c>
      <c r="C4319" s="37" t="s">
        <v>87</v>
      </c>
      <c r="D4319" s="208" t="s">
        <v>15251</v>
      </c>
      <c r="E4319" s="20" t="s">
        <v>15252</v>
      </c>
      <c r="F4319" s="19" t="s">
        <v>90</v>
      </c>
      <c r="G4319" s="19" t="s">
        <v>91</v>
      </c>
      <c r="H4319" s="37"/>
      <c r="I4319" s="37" t="s">
        <v>29</v>
      </c>
      <c r="J4319" s="155" t="str">
        <f t="shared" si="4"/>
        <v>TT</v>
      </c>
      <c r="K4319" s="22" t="s">
        <v>15253</v>
      </c>
      <c r="L4319" s="56">
        <v>45104</v>
      </c>
      <c r="O4319" s="42"/>
      <c r="P4319" s="40"/>
      <c r="Q4319" s="61"/>
      <c r="R4319" s="61"/>
      <c r="S4319" s="40"/>
      <c r="T4319" s="38"/>
      <c r="U4319" s="38"/>
      <c r="V4319" s="38"/>
      <c r="W4319" s="60"/>
      <c r="AB4319" s="42"/>
      <c r="AC4319" s="35"/>
      <c r="AD4319" s="38"/>
      <c r="AE4319" s="38"/>
      <c r="AF4319" s="38"/>
      <c r="AG4319" s="38"/>
      <c r="AH4319" s="60"/>
    </row>
    <row r="4320" spans="1:34" ht="15.75" customHeight="1">
      <c r="A4320" s="35"/>
      <c r="B4320" s="209" t="s">
        <v>15254</v>
      </c>
      <c r="C4320" s="37" t="s">
        <v>412</v>
      </c>
      <c r="D4320" s="208" t="s">
        <v>15255</v>
      </c>
      <c r="E4320" s="20" t="s">
        <v>15256</v>
      </c>
      <c r="F4320" s="19" t="s">
        <v>414</v>
      </c>
      <c r="G4320" s="37" t="s">
        <v>415</v>
      </c>
      <c r="H4320" s="37"/>
      <c r="I4320" s="37" t="s">
        <v>233</v>
      </c>
      <c r="J4320" s="155" t="str">
        <f t="shared" si="4"/>
        <v>NTT</v>
      </c>
      <c r="K4320" s="22" t="s">
        <v>15257</v>
      </c>
      <c r="L4320" s="56">
        <v>45104</v>
      </c>
      <c r="O4320" s="42"/>
      <c r="P4320" s="40"/>
      <c r="Q4320" s="61"/>
      <c r="R4320" s="61"/>
      <c r="S4320" s="40"/>
      <c r="T4320" s="38"/>
      <c r="U4320" s="38"/>
      <c r="V4320" s="38"/>
      <c r="W4320" s="60"/>
      <c r="AB4320" s="42"/>
      <c r="AC4320" s="35"/>
      <c r="AD4320" s="38"/>
      <c r="AE4320" s="38"/>
      <c r="AF4320" s="38"/>
      <c r="AG4320" s="38"/>
      <c r="AH4320" s="60"/>
    </row>
    <row r="4321" spans="1:34" ht="15.75" customHeight="1">
      <c r="A4321" s="214"/>
      <c r="B4321" s="215"/>
      <c r="C4321" s="216"/>
      <c r="D4321" s="20"/>
      <c r="E4321" s="20"/>
      <c r="F4321" s="216"/>
      <c r="G4321" s="216"/>
      <c r="H4321" s="216"/>
      <c r="I4321" s="216"/>
      <c r="J4321" s="155">
        <f t="shared" si="4"/>
        <v>0</v>
      </c>
      <c r="K4321" s="22"/>
      <c r="L4321" s="39"/>
      <c r="O4321" s="42"/>
      <c r="P4321" s="40"/>
      <c r="Q4321" s="61"/>
      <c r="R4321" s="61"/>
      <c r="S4321" s="40"/>
      <c r="T4321" s="38"/>
      <c r="U4321" s="38"/>
      <c r="V4321" s="38"/>
      <c r="W4321" s="60"/>
      <c r="AB4321" s="42"/>
      <c r="AC4321" s="35"/>
      <c r="AD4321" s="38"/>
      <c r="AE4321" s="38"/>
      <c r="AF4321" s="38"/>
      <c r="AG4321" s="38"/>
      <c r="AH4321" s="60"/>
    </row>
    <row r="4322" spans="1:34" ht="15.75" customHeight="1">
      <c r="A4322" s="35" t="s">
        <v>15258</v>
      </c>
      <c r="B4322" s="58" t="s">
        <v>15259</v>
      </c>
      <c r="C4322" s="37" t="s">
        <v>228</v>
      </c>
      <c r="D4322" s="20" t="s">
        <v>15260</v>
      </c>
      <c r="E4322" s="20" t="s">
        <v>15261</v>
      </c>
      <c r="F4322" s="19" t="s">
        <v>231</v>
      </c>
      <c r="G4322" s="19" t="s">
        <v>232</v>
      </c>
      <c r="H4322" s="37"/>
      <c r="I4322" s="37" t="s">
        <v>233</v>
      </c>
      <c r="J4322" s="155" t="str">
        <f t="shared" si="4"/>
        <v>NTT</v>
      </c>
      <c r="K4322" s="22" t="s">
        <v>15262</v>
      </c>
      <c r="L4322" s="56">
        <v>45105</v>
      </c>
      <c r="M4322" s="40"/>
      <c r="O4322" s="42"/>
      <c r="P4322" s="40"/>
      <c r="Q4322" s="61"/>
      <c r="R4322" s="61"/>
      <c r="S4322" s="40"/>
      <c r="T4322" s="38"/>
      <c r="U4322" s="38"/>
      <c r="V4322" s="38"/>
      <c r="W4322" s="60"/>
      <c r="AB4322" s="42"/>
      <c r="AC4322" s="35"/>
      <c r="AD4322" s="38"/>
      <c r="AE4322" s="38"/>
      <c r="AF4322" s="38"/>
      <c r="AG4322" s="38"/>
      <c r="AH4322" s="60"/>
    </row>
    <row r="4323" spans="1:34" ht="15.75" customHeight="1">
      <c r="A4323" s="54" t="s">
        <v>15263</v>
      </c>
      <c r="B4323" s="58" t="s">
        <v>15264</v>
      </c>
      <c r="C4323" s="37" t="s">
        <v>412</v>
      </c>
      <c r="D4323" s="20" t="s">
        <v>15265</v>
      </c>
      <c r="E4323" s="20" t="s">
        <v>15266</v>
      </c>
      <c r="F4323" s="19" t="s">
        <v>414</v>
      </c>
      <c r="G4323" s="19" t="s">
        <v>415</v>
      </c>
      <c r="H4323" s="37"/>
      <c r="I4323" s="37" t="s">
        <v>233</v>
      </c>
      <c r="J4323" s="155" t="str">
        <f t="shared" si="4"/>
        <v>NTT</v>
      </c>
      <c r="K4323" s="22" t="s">
        <v>15267</v>
      </c>
      <c r="L4323" s="56">
        <v>45105</v>
      </c>
      <c r="O4323" s="42"/>
      <c r="P4323" s="40"/>
      <c r="Q4323" s="61"/>
      <c r="R4323" s="61"/>
      <c r="S4323" s="40"/>
      <c r="T4323" s="38"/>
      <c r="U4323" s="38"/>
      <c r="V4323" s="38"/>
      <c r="W4323" s="60"/>
      <c r="AB4323" s="42"/>
      <c r="AC4323" s="35"/>
      <c r="AD4323" s="38"/>
      <c r="AE4323" s="38"/>
      <c r="AF4323" s="38"/>
      <c r="AG4323" s="38"/>
      <c r="AH4323" s="60"/>
    </row>
    <row r="4324" spans="1:34" ht="15.75" customHeight="1">
      <c r="A4324" s="114" t="s">
        <v>39</v>
      </c>
      <c r="B4324" s="58" t="s">
        <v>15268</v>
      </c>
      <c r="C4324" s="37" t="s">
        <v>46</v>
      </c>
      <c r="D4324" s="20" t="s">
        <v>15269</v>
      </c>
      <c r="E4324" s="20" t="s">
        <v>15270</v>
      </c>
      <c r="F4324" s="37" t="s">
        <v>49</v>
      </c>
      <c r="G4324" s="19" t="s">
        <v>50</v>
      </c>
      <c r="H4324" s="37"/>
      <c r="I4324" s="37" t="s">
        <v>29</v>
      </c>
      <c r="J4324" s="155" t="str">
        <f t="shared" si="4"/>
        <v>TT</v>
      </c>
      <c r="K4324" s="22" t="s">
        <v>15271</v>
      </c>
      <c r="L4324" s="56">
        <v>45105</v>
      </c>
      <c r="O4324" s="42"/>
      <c r="P4324" s="40"/>
      <c r="Q4324" s="61"/>
      <c r="R4324" s="61"/>
      <c r="S4324" s="40"/>
      <c r="T4324" s="38"/>
      <c r="U4324" s="38"/>
      <c r="V4324" s="38"/>
      <c r="W4324" s="60"/>
      <c r="AB4324" s="42"/>
      <c r="AC4324" s="35"/>
      <c r="AD4324" s="38"/>
      <c r="AE4324" s="38"/>
      <c r="AF4324" s="38"/>
      <c r="AG4324" s="38"/>
      <c r="AH4324" s="60"/>
    </row>
    <row r="4325" spans="1:34" ht="15.75" customHeight="1">
      <c r="A4325" s="38" t="s">
        <v>14696</v>
      </c>
      <c r="B4325" s="58" t="s">
        <v>15272</v>
      </c>
      <c r="C4325" s="37" t="s">
        <v>24</v>
      </c>
      <c r="D4325" s="20" t="s">
        <v>15273</v>
      </c>
      <c r="E4325" s="20"/>
      <c r="F4325" s="19" t="s">
        <v>27</v>
      </c>
      <c r="G4325" s="19" t="s">
        <v>28</v>
      </c>
      <c r="H4325" s="37"/>
      <c r="I4325" s="37" t="s">
        <v>29</v>
      </c>
      <c r="J4325" s="155" t="str">
        <f t="shared" si="4"/>
        <v>TT</v>
      </c>
      <c r="K4325" s="22"/>
      <c r="L4325" s="56">
        <v>45105</v>
      </c>
      <c r="O4325" s="42"/>
      <c r="P4325" s="40"/>
      <c r="Q4325" s="61"/>
      <c r="R4325" s="61"/>
      <c r="S4325" s="40"/>
      <c r="T4325" s="38"/>
      <c r="U4325" s="38"/>
      <c r="V4325" s="38"/>
      <c r="W4325" s="60"/>
      <c r="AB4325" s="42"/>
      <c r="AC4325" s="35"/>
      <c r="AD4325" s="38"/>
      <c r="AE4325" s="38"/>
      <c r="AF4325" s="38"/>
      <c r="AG4325" s="38"/>
      <c r="AH4325" s="60"/>
    </row>
    <row r="4326" spans="1:34" ht="15.75" customHeight="1">
      <c r="A4326" s="75" t="s">
        <v>13413</v>
      </c>
      <c r="B4326" s="58" t="s">
        <v>15274</v>
      </c>
      <c r="C4326" s="37" t="s">
        <v>24</v>
      </c>
      <c r="D4326" s="20" t="s">
        <v>15275</v>
      </c>
      <c r="E4326" s="20" t="s">
        <v>15276</v>
      </c>
      <c r="F4326" s="19" t="s">
        <v>27</v>
      </c>
      <c r="G4326" s="19" t="s">
        <v>28</v>
      </c>
      <c r="H4326" s="37"/>
      <c r="I4326" s="37" t="s">
        <v>29</v>
      </c>
      <c r="J4326" s="155" t="str">
        <f t="shared" si="4"/>
        <v>TT</v>
      </c>
      <c r="K4326" s="22" t="s">
        <v>15277</v>
      </c>
      <c r="L4326" s="56">
        <v>45105</v>
      </c>
      <c r="O4326" s="42"/>
      <c r="P4326" s="40"/>
      <c r="Q4326" s="61"/>
      <c r="R4326" s="61"/>
      <c r="S4326" s="40"/>
      <c r="T4326" s="38"/>
      <c r="U4326" s="38"/>
      <c r="V4326" s="38"/>
      <c r="W4326" s="60"/>
      <c r="AB4326" s="42"/>
      <c r="AC4326" s="35"/>
      <c r="AD4326" s="38"/>
      <c r="AE4326" s="38"/>
      <c r="AF4326" s="38"/>
      <c r="AG4326" s="38"/>
      <c r="AH4326" s="60"/>
    </row>
    <row r="4327" spans="1:34" ht="15.75" customHeight="1">
      <c r="A4327" s="50" t="s">
        <v>56</v>
      </c>
      <c r="B4327" s="58" t="s">
        <v>15278</v>
      </c>
      <c r="C4327" s="37" t="s">
        <v>24</v>
      </c>
      <c r="D4327" s="20" t="s">
        <v>15279</v>
      </c>
      <c r="E4327" s="20" t="s">
        <v>15280</v>
      </c>
      <c r="F4327" s="19" t="s">
        <v>27</v>
      </c>
      <c r="G4327" s="19" t="s">
        <v>28</v>
      </c>
      <c r="H4327" s="37"/>
      <c r="I4327" s="37" t="s">
        <v>29</v>
      </c>
      <c r="J4327" s="155" t="str">
        <f t="shared" si="4"/>
        <v>TT</v>
      </c>
      <c r="K4327" s="22" t="s">
        <v>15281</v>
      </c>
      <c r="L4327" s="56">
        <v>45105</v>
      </c>
      <c r="O4327" s="42"/>
      <c r="P4327" s="40"/>
      <c r="Q4327" s="61"/>
      <c r="R4327" s="61"/>
      <c r="S4327" s="40"/>
      <c r="T4327" s="38"/>
      <c r="U4327" s="38"/>
      <c r="V4327" s="38"/>
      <c r="W4327" s="60"/>
      <c r="AB4327" s="42"/>
      <c r="AC4327" s="35"/>
      <c r="AD4327" s="38"/>
      <c r="AE4327" s="38"/>
      <c r="AF4327" s="38"/>
      <c r="AG4327" s="38"/>
      <c r="AH4327" s="60"/>
    </row>
    <row r="4328" spans="1:34" ht="15.75" customHeight="1">
      <c r="A4328" s="17">
        <v>44</v>
      </c>
      <c r="B4328" s="58" t="s">
        <v>15282</v>
      </c>
      <c r="C4328" s="37" t="s">
        <v>87</v>
      </c>
      <c r="D4328" s="20" t="s">
        <v>15283</v>
      </c>
      <c r="E4328" s="20" t="s">
        <v>15284</v>
      </c>
      <c r="F4328" s="19" t="s">
        <v>90</v>
      </c>
      <c r="G4328" s="19" t="s">
        <v>91</v>
      </c>
      <c r="H4328" s="37"/>
      <c r="I4328" s="37" t="s">
        <v>29</v>
      </c>
      <c r="J4328" s="155" t="str">
        <f t="shared" si="4"/>
        <v>TT</v>
      </c>
      <c r="K4328" s="22" t="s">
        <v>15285</v>
      </c>
      <c r="L4328" s="56">
        <v>45105</v>
      </c>
      <c r="O4328" s="42"/>
      <c r="P4328" s="40"/>
      <c r="Q4328" s="61"/>
      <c r="R4328" s="61"/>
      <c r="S4328" s="40"/>
      <c r="T4328" s="38"/>
      <c r="U4328" s="38"/>
      <c r="V4328" s="38"/>
      <c r="W4328" s="60"/>
      <c r="AB4328" s="42"/>
      <c r="AC4328" s="35"/>
      <c r="AD4328" s="38"/>
      <c r="AE4328" s="38"/>
      <c r="AF4328" s="38"/>
      <c r="AG4328" s="38"/>
      <c r="AH4328" s="60"/>
    </row>
    <row r="4329" spans="1:34" ht="15.75" customHeight="1">
      <c r="A4329" s="111" t="s">
        <v>64</v>
      </c>
      <c r="B4329" s="58" t="s">
        <v>15286</v>
      </c>
      <c r="C4329" s="37" t="s">
        <v>24</v>
      </c>
      <c r="D4329" s="20" t="s">
        <v>15287</v>
      </c>
      <c r="E4329" s="20" t="s">
        <v>15288</v>
      </c>
      <c r="F4329" s="19" t="s">
        <v>27</v>
      </c>
      <c r="G4329" s="19" t="s">
        <v>28</v>
      </c>
      <c r="H4329" s="37"/>
      <c r="I4329" s="37" t="s">
        <v>29</v>
      </c>
      <c r="J4329" s="155" t="str">
        <f t="shared" si="4"/>
        <v>TT</v>
      </c>
      <c r="K4329" s="22" t="s">
        <v>15289</v>
      </c>
      <c r="L4329" s="56">
        <v>45105</v>
      </c>
      <c r="O4329" s="42"/>
      <c r="P4329" s="40"/>
      <c r="Q4329" s="61"/>
      <c r="R4329" s="61"/>
      <c r="S4329" s="40"/>
      <c r="T4329" s="38"/>
      <c r="U4329" s="38"/>
      <c r="V4329" s="38"/>
      <c r="W4329" s="60"/>
      <c r="AB4329" s="42"/>
      <c r="AC4329" s="35"/>
      <c r="AD4329" s="38"/>
      <c r="AE4329" s="38"/>
      <c r="AF4329" s="38"/>
      <c r="AG4329" s="38"/>
      <c r="AH4329" s="60"/>
    </row>
    <row r="4330" spans="1:34" ht="15.75" customHeight="1">
      <c r="A4330" s="75">
        <v>2.5</v>
      </c>
      <c r="B4330" s="58" t="s">
        <v>15290</v>
      </c>
      <c r="C4330" s="37" t="s">
        <v>87</v>
      </c>
      <c r="D4330" s="20" t="s">
        <v>15291</v>
      </c>
      <c r="E4330" s="20" t="s">
        <v>15292</v>
      </c>
      <c r="F4330" s="19" t="s">
        <v>90</v>
      </c>
      <c r="G4330" s="19" t="s">
        <v>91</v>
      </c>
      <c r="H4330" s="37"/>
      <c r="I4330" s="37" t="s">
        <v>29</v>
      </c>
      <c r="J4330" s="155" t="str">
        <f t="shared" si="4"/>
        <v>TT</v>
      </c>
      <c r="K4330" s="22" t="s">
        <v>15293</v>
      </c>
      <c r="L4330" s="56">
        <v>45105</v>
      </c>
      <c r="O4330" s="42"/>
      <c r="P4330" s="40"/>
      <c r="Q4330" s="61"/>
      <c r="R4330" s="61"/>
      <c r="S4330" s="40"/>
      <c r="T4330" s="38"/>
      <c r="U4330" s="38"/>
      <c r="V4330" s="38"/>
      <c r="W4330" s="60"/>
      <c r="AB4330" s="42"/>
      <c r="AC4330" s="35"/>
      <c r="AD4330" s="38"/>
      <c r="AE4330" s="38"/>
      <c r="AF4330" s="38"/>
      <c r="AG4330" s="38"/>
      <c r="AH4330" s="60"/>
    </row>
    <row r="4331" spans="1:34" ht="15.75" customHeight="1">
      <c r="A4331" s="111" t="s">
        <v>73</v>
      </c>
      <c r="B4331" s="58" t="s">
        <v>15294</v>
      </c>
      <c r="C4331" s="37" t="s">
        <v>24</v>
      </c>
      <c r="D4331" s="20" t="s">
        <v>15295</v>
      </c>
      <c r="E4331" s="20" t="s">
        <v>15296</v>
      </c>
      <c r="F4331" s="19" t="s">
        <v>27</v>
      </c>
      <c r="G4331" s="19" t="s">
        <v>28</v>
      </c>
      <c r="H4331" s="37"/>
      <c r="I4331" s="37" t="s">
        <v>29</v>
      </c>
      <c r="J4331" s="155" t="str">
        <f t="shared" si="4"/>
        <v>TT</v>
      </c>
      <c r="K4331" s="22" t="s">
        <v>15297</v>
      </c>
      <c r="L4331" s="56">
        <v>45105</v>
      </c>
      <c r="O4331" s="42"/>
      <c r="P4331" s="40"/>
      <c r="Q4331" s="61"/>
      <c r="R4331" s="61"/>
      <c r="S4331" s="40"/>
      <c r="T4331" s="38"/>
      <c r="U4331" s="38"/>
      <c r="V4331" s="38"/>
      <c r="W4331" s="60"/>
      <c r="AB4331" s="42"/>
      <c r="AC4331" s="35"/>
      <c r="AD4331" s="38"/>
      <c r="AE4331" s="38"/>
      <c r="AF4331" s="38"/>
      <c r="AG4331" s="38"/>
      <c r="AH4331" s="60"/>
    </row>
    <row r="4332" spans="1:34" ht="15.75" customHeight="1">
      <c r="A4332" s="75">
        <v>2.9</v>
      </c>
      <c r="B4332" s="58" t="s">
        <v>15298</v>
      </c>
      <c r="C4332" s="37" t="s">
        <v>412</v>
      </c>
      <c r="D4332" s="20" t="s">
        <v>15299</v>
      </c>
      <c r="E4332" s="20"/>
      <c r="F4332" s="19" t="s">
        <v>414</v>
      </c>
      <c r="G4332" s="37" t="s">
        <v>415</v>
      </c>
      <c r="H4332" s="37"/>
      <c r="I4332" s="37" t="s">
        <v>233</v>
      </c>
      <c r="J4332" s="155" t="str">
        <f t="shared" si="4"/>
        <v>NTT</v>
      </c>
      <c r="K4332" s="22"/>
      <c r="L4332" s="56">
        <v>45105</v>
      </c>
      <c r="O4332" s="42"/>
      <c r="P4332" s="40"/>
      <c r="Q4332" s="61"/>
      <c r="R4332" s="61"/>
      <c r="S4332" s="40"/>
      <c r="T4332" s="38"/>
      <c r="U4332" s="38"/>
      <c r="V4332" s="38"/>
      <c r="W4332" s="60"/>
      <c r="AB4332" s="42"/>
      <c r="AC4332" s="35"/>
      <c r="AD4332" s="38"/>
      <c r="AE4332" s="38"/>
      <c r="AF4332" s="38"/>
      <c r="AG4332" s="38"/>
      <c r="AH4332" s="60"/>
    </row>
    <row r="4333" spans="1:34" ht="15.75" customHeight="1">
      <c r="A4333" s="111" t="s">
        <v>82</v>
      </c>
      <c r="B4333" s="58" t="s">
        <v>15300</v>
      </c>
      <c r="C4333" s="37" t="s">
        <v>24</v>
      </c>
      <c r="D4333" s="20" t="s">
        <v>15301</v>
      </c>
      <c r="E4333" s="20" t="s">
        <v>15302</v>
      </c>
      <c r="F4333" s="19" t="s">
        <v>27</v>
      </c>
      <c r="G4333" s="19" t="s">
        <v>28</v>
      </c>
      <c r="H4333" s="37" t="s">
        <v>813</v>
      </c>
      <c r="I4333" s="37" t="s">
        <v>29</v>
      </c>
      <c r="J4333" s="155" t="str">
        <f t="shared" si="4"/>
        <v>TT</v>
      </c>
      <c r="K4333" s="22" t="s">
        <v>15303</v>
      </c>
      <c r="L4333" s="56">
        <v>45105</v>
      </c>
      <c r="O4333" s="42"/>
      <c r="P4333" s="40"/>
      <c r="Q4333" s="61"/>
      <c r="R4333" s="61"/>
      <c r="S4333" s="40"/>
      <c r="T4333" s="38"/>
      <c r="U4333" s="38"/>
      <c r="V4333" s="38"/>
      <c r="W4333" s="60"/>
      <c r="AB4333" s="42"/>
      <c r="AC4333" s="35"/>
      <c r="AD4333" s="38"/>
      <c r="AE4333" s="38"/>
      <c r="AF4333" s="38"/>
      <c r="AG4333" s="38"/>
      <c r="AH4333" s="60"/>
    </row>
    <row r="4334" spans="1:34" ht="15.75" customHeight="1">
      <c r="A4334" s="112" t="s">
        <v>15304</v>
      </c>
      <c r="B4334" s="58" t="s">
        <v>15305</v>
      </c>
      <c r="C4334" s="37" t="s">
        <v>87</v>
      </c>
      <c r="D4334" s="20" t="s">
        <v>15306</v>
      </c>
      <c r="E4334" s="20" t="s">
        <v>15307</v>
      </c>
      <c r="F4334" s="19" t="s">
        <v>90</v>
      </c>
      <c r="G4334" s="19" t="s">
        <v>91</v>
      </c>
      <c r="H4334" s="37"/>
      <c r="I4334" s="37" t="s">
        <v>29</v>
      </c>
      <c r="J4334" s="155" t="str">
        <f t="shared" si="4"/>
        <v>TT</v>
      </c>
      <c r="K4334" s="22" t="s">
        <v>15308</v>
      </c>
      <c r="L4334" s="56">
        <v>45105</v>
      </c>
      <c r="O4334" s="42"/>
      <c r="P4334" s="40"/>
      <c r="Q4334" s="61"/>
      <c r="R4334" s="61"/>
      <c r="S4334" s="40"/>
      <c r="T4334" s="38"/>
      <c r="U4334" s="38"/>
      <c r="V4334" s="38"/>
      <c r="W4334" s="60"/>
      <c r="AB4334" s="42"/>
      <c r="AC4334" s="35"/>
      <c r="AD4334" s="38"/>
      <c r="AE4334" s="38"/>
      <c r="AF4334" s="38"/>
      <c r="AG4334" s="38"/>
      <c r="AH4334" s="60"/>
    </row>
    <row r="4335" spans="1:34" ht="15.75" customHeight="1">
      <c r="A4335" s="111" t="s">
        <v>92</v>
      </c>
      <c r="B4335" s="58" t="s">
        <v>15309</v>
      </c>
      <c r="C4335" s="37" t="s">
        <v>87</v>
      </c>
      <c r="D4335" s="20" t="s">
        <v>15310</v>
      </c>
      <c r="E4335" s="20" t="s">
        <v>15311</v>
      </c>
      <c r="F4335" s="19" t="s">
        <v>90</v>
      </c>
      <c r="G4335" s="19" t="s">
        <v>91</v>
      </c>
      <c r="H4335" s="37"/>
      <c r="I4335" s="37" t="s">
        <v>29</v>
      </c>
      <c r="J4335" s="155" t="str">
        <f t="shared" si="4"/>
        <v>TT</v>
      </c>
      <c r="K4335" s="22" t="s">
        <v>15312</v>
      </c>
      <c r="L4335" s="56">
        <v>45105</v>
      </c>
      <c r="O4335" s="42"/>
      <c r="P4335" s="40"/>
      <c r="Q4335" s="61"/>
      <c r="R4335" s="61"/>
      <c r="S4335" s="40"/>
      <c r="T4335" s="38"/>
      <c r="U4335" s="38"/>
      <c r="V4335" s="38"/>
      <c r="W4335" s="60"/>
      <c r="AB4335" s="42"/>
      <c r="AC4335" s="35"/>
      <c r="AD4335" s="38"/>
      <c r="AE4335" s="38"/>
      <c r="AF4335" s="38"/>
      <c r="AG4335" s="38"/>
      <c r="AH4335" s="60"/>
    </row>
    <row r="4336" spans="1:34" ht="15.75" customHeight="1">
      <c r="A4336" s="17">
        <v>427</v>
      </c>
      <c r="B4336" s="58" t="s">
        <v>15313</v>
      </c>
      <c r="C4336" s="37" t="s">
        <v>87</v>
      </c>
      <c r="D4336" s="20" t="s">
        <v>15314</v>
      </c>
      <c r="E4336" s="20" t="s">
        <v>15315</v>
      </c>
      <c r="F4336" s="19" t="s">
        <v>90</v>
      </c>
      <c r="G4336" s="19" t="s">
        <v>91</v>
      </c>
      <c r="H4336" s="37"/>
      <c r="I4336" s="37" t="s">
        <v>29</v>
      </c>
      <c r="J4336" s="155" t="str">
        <f t="shared" si="4"/>
        <v>TT</v>
      </c>
      <c r="K4336" s="22" t="s">
        <v>15316</v>
      </c>
      <c r="L4336" s="56">
        <v>45105</v>
      </c>
      <c r="O4336" s="42"/>
      <c r="P4336" s="40"/>
      <c r="Q4336" s="61"/>
      <c r="R4336" s="61"/>
      <c r="S4336" s="40"/>
      <c r="T4336" s="38"/>
      <c r="U4336" s="38"/>
      <c r="V4336" s="38"/>
      <c r="W4336" s="60"/>
      <c r="AB4336" s="42"/>
      <c r="AC4336" s="35"/>
      <c r="AD4336" s="38"/>
      <c r="AE4336" s="38"/>
      <c r="AF4336" s="38"/>
      <c r="AG4336" s="38"/>
      <c r="AH4336" s="60"/>
    </row>
    <row r="4337" spans="1:34" ht="15.75" customHeight="1">
      <c r="A4337" s="111" t="s">
        <v>100</v>
      </c>
      <c r="B4337" s="58" t="s">
        <v>15317</v>
      </c>
      <c r="C4337" s="37" t="s">
        <v>46</v>
      </c>
      <c r="D4337" s="20" t="s">
        <v>15318</v>
      </c>
      <c r="E4337" s="20" t="s">
        <v>15319</v>
      </c>
      <c r="F4337" s="37" t="s">
        <v>49</v>
      </c>
      <c r="G4337" s="19" t="s">
        <v>50</v>
      </c>
      <c r="H4337" s="37"/>
      <c r="I4337" s="37" t="s">
        <v>29</v>
      </c>
      <c r="J4337" s="155" t="str">
        <f t="shared" si="4"/>
        <v>TT</v>
      </c>
      <c r="K4337" s="22" t="s">
        <v>15320</v>
      </c>
      <c r="L4337" s="56">
        <v>45105</v>
      </c>
      <c r="O4337" s="42"/>
      <c r="P4337" s="40"/>
      <c r="Q4337" s="61"/>
      <c r="R4337" s="61"/>
      <c r="S4337" s="40"/>
      <c r="T4337" s="38"/>
      <c r="U4337" s="38"/>
      <c r="V4337" s="38"/>
      <c r="W4337" s="60"/>
      <c r="AB4337" s="42"/>
      <c r="AC4337" s="35"/>
      <c r="AD4337" s="38"/>
      <c r="AE4337" s="38"/>
      <c r="AF4337" s="38"/>
      <c r="AG4337" s="38"/>
      <c r="AH4337" s="60"/>
    </row>
    <row r="4338" spans="1:34" ht="15.75" customHeight="1">
      <c r="A4338" s="17">
        <v>161</v>
      </c>
      <c r="B4338" s="58" t="s">
        <v>15321</v>
      </c>
      <c r="C4338" s="37" t="s">
        <v>24</v>
      </c>
      <c r="D4338" s="20" t="s">
        <v>15322</v>
      </c>
      <c r="E4338" s="20" t="s">
        <v>15323</v>
      </c>
      <c r="F4338" s="19" t="s">
        <v>27</v>
      </c>
      <c r="G4338" s="19" t="s">
        <v>28</v>
      </c>
      <c r="H4338" s="37" t="s">
        <v>813</v>
      </c>
      <c r="I4338" s="37" t="s">
        <v>29</v>
      </c>
      <c r="J4338" s="155" t="str">
        <f t="shared" si="4"/>
        <v>TT</v>
      </c>
      <c r="K4338" s="22" t="s">
        <v>15324</v>
      </c>
      <c r="L4338" s="56">
        <v>45105</v>
      </c>
      <c r="O4338" s="42"/>
      <c r="P4338" s="40"/>
      <c r="Q4338" s="61"/>
      <c r="R4338" s="61"/>
      <c r="S4338" s="40"/>
      <c r="T4338" s="38"/>
      <c r="U4338" s="38"/>
      <c r="V4338" s="38"/>
      <c r="W4338" s="60"/>
      <c r="AB4338" s="42"/>
      <c r="AC4338" s="35"/>
      <c r="AD4338" s="38"/>
      <c r="AE4338" s="38"/>
      <c r="AF4338" s="38"/>
      <c r="AG4338" s="38"/>
      <c r="AH4338" s="60"/>
    </row>
    <row r="4339" spans="1:34" ht="15.75" customHeight="1">
      <c r="A4339" s="195"/>
      <c r="B4339" s="58" t="s">
        <v>15325</v>
      </c>
      <c r="C4339" s="37" t="s">
        <v>24</v>
      </c>
      <c r="D4339" s="20" t="s">
        <v>15326</v>
      </c>
      <c r="E4339" s="20" t="s">
        <v>15327</v>
      </c>
      <c r="F4339" s="19" t="s">
        <v>27</v>
      </c>
      <c r="G4339" s="19" t="s">
        <v>28</v>
      </c>
      <c r="H4339" s="37" t="s">
        <v>813</v>
      </c>
      <c r="I4339" s="21" t="s">
        <v>29</v>
      </c>
      <c r="J4339" s="155" t="str">
        <f t="shared" si="4"/>
        <v>TT</v>
      </c>
      <c r="K4339" s="22" t="s">
        <v>15328</v>
      </c>
      <c r="L4339" s="56">
        <v>45105</v>
      </c>
      <c r="O4339" s="42"/>
      <c r="P4339" s="40"/>
      <c r="Q4339" s="61"/>
      <c r="R4339" s="61"/>
      <c r="S4339" s="40"/>
      <c r="T4339" s="38"/>
      <c r="U4339" s="38"/>
      <c r="V4339" s="38"/>
      <c r="W4339" s="60"/>
      <c r="AB4339" s="42"/>
      <c r="AC4339" s="35"/>
      <c r="AD4339" s="38"/>
      <c r="AE4339" s="38"/>
      <c r="AF4339" s="38"/>
      <c r="AG4339" s="38"/>
      <c r="AH4339" s="60"/>
    </row>
    <row r="4340" spans="1:34" ht="15.75" customHeight="1">
      <c r="A4340" s="217"/>
      <c r="B4340" s="58" t="s">
        <v>15329</v>
      </c>
      <c r="C4340" s="37" t="s">
        <v>412</v>
      </c>
      <c r="D4340" s="20" t="s">
        <v>15330</v>
      </c>
      <c r="E4340" s="20"/>
      <c r="F4340" s="19" t="s">
        <v>414</v>
      </c>
      <c r="G4340" s="19" t="s">
        <v>415</v>
      </c>
      <c r="H4340" s="37"/>
      <c r="I4340" s="21" t="s">
        <v>233</v>
      </c>
      <c r="J4340" s="155" t="str">
        <f t="shared" si="4"/>
        <v>NTT</v>
      </c>
      <c r="K4340" s="22"/>
      <c r="L4340" s="56">
        <v>45105</v>
      </c>
      <c r="O4340" s="42"/>
      <c r="P4340" s="40"/>
      <c r="Q4340" s="61"/>
      <c r="R4340" s="61"/>
      <c r="S4340" s="40"/>
      <c r="T4340" s="38"/>
      <c r="U4340" s="38"/>
      <c r="V4340" s="38"/>
      <c r="W4340" s="60"/>
      <c r="AB4340" s="42"/>
      <c r="AC4340" s="35"/>
      <c r="AD4340" s="38"/>
      <c r="AE4340" s="38"/>
      <c r="AF4340" s="38"/>
      <c r="AG4340" s="38"/>
      <c r="AH4340" s="60"/>
    </row>
    <row r="4341" spans="1:34" ht="15.75" customHeight="1">
      <c r="A4341" s="217"/>
      <c r="B4341" s="58" t="s">
        <v>15331</v>
      </c>
      <c r="C4341" s="37" t="s">
        <v>87</v>
      </c>
      <c r="D4341" s="20" t="s">
        <v>15332</v>
      </c>
      <c r="E4341" s="20" t="s">
        <v>15333</v>
      </c>
      <c r="F4341" s="19" t="s">
        <v>90</v>
      </c>
      <c r="G4341" s="19" t="s">
        <v>91</v>
      </c>
      <c r="H4341" s="37"/>
      <c r="I4341" s="21" t="s">
        <v>29</v>
      </c>
      <c r="J4341" s="155" t="str">
        <f t="shared" si="4"/>
        <v>TT</v>
      </c>
      <c r="K4341" s="22" t="s">
        <v>15334</v>
      </c>
      <c r="L4341" s="56">
        <v>45105</v>
      </c>
      <c r="O4341" s="42"/>
      <c r="P4341" s="40"/>
      <c r="Q4341" s="61"/>
      <c r="R4341" s="61"/>
      <c r="S4341" s="40"/>
      <c r="T4341" s="38"/>
      <c r="U4341" s="38"/>
      <c r="V4341" s="38"/>
      <c r="W4341" s="60"/>
      <c r="AB4341" s="42"/>
      <c r="AC4341" s="35"/>
      <c r="AD4341" s="38"/>
      <c r="AE4341" s="38"/>
      <c r="AF4341" s="38"/>
      <c r="AG4341" s="38"/>
      <c r="AH4341" s="60"/>
    </row>
    <row r="4342" spans="1:34" ht="15.75" customHeight="1">
      <c r="A4342" s="217"/>
      <c r="B4342" s="58" t="s">
        <v>15335</v>
      </c>
      <c r="C4342" s="37" t="s">
        <v>24</v>
      </c>
      <c r="D4342" s="20" t="s">
        <v>15336</v>
      </c>
      <c r="E4342" s="20" t="s">
        <v>15337</v>
      </c>
      <c r="F4342" s="19" t="s">
        <v>27</v>
      </c>
      <c r="G4342" s="19" t="s">
        <v>28</v>
      </c>
      <c r="H4342" s="37"/>
      <c r="I4342" s="21" t="s">
        <v>29</v>
      </c>
      <c r="J4342" s="155" t="str">
        <f t="shared" si="4"/>
        <v>TT</v>
      </c>
      <c r="K4342" s="22" t="s">
        <v>15338</v>
      </c>
      <c r="L4342" s="56">
        <v>45105</v>
      </c>
      <c r="O4342" s="42"/>
      <c r="P4342" s="40"/>
      <c r="Q4342" s="61"/>
      <c r="R4342" s="61"/>
      <c r="S4342" s="40"/>
      <c r="T4342" s="38"/>
      <c r="U4342" s="38"/>
      <c r="V4342" s="38"/>
      <c r="W4342" s="60"/>
      <c r="AB4342" s="42"/>
      <c r="AC4342" s="35"/>
      <c r="AD4342" s="38"/>
      <c r="AE4342" s="38"/>
      <c r="AF4342" s="38"/>
      <c r="AG4342" s="38"/>
      <c r="AH4342" s="60"/>
    </row>
    <row r="4343" spans="1:34" ht="15.75" customHeight="1">
      <c r="A4343" s="217"/>
      <c r="B4343" s="58" t="s">
        <v>15339</v>
      </c>
      <c r="C4343" s="37" t="s">
        <v>24</v>
      </c>
      <c r="D4343" s="20" t="s">
        <v>15340</v>
      </c>
      <c r="E4343" s="20" t="s">
        <v>15341</v>
      </c>
      <c r="F4343" s="19" t="s">
        <v>27</v>
      </c>
      <c r="G4343" s="19" t="s">
        <v>28</v>
      </c>
      <c r="H4343" s="37"/>
      <c r="I4343" s="21" t="s">
        <v>29</v>
      </c>
      <c r="J4343" s="155" t="str">
        <f t="shared" si="4"/>
        <v>TT</v>
      </c>
      <c r="K4343" s="22" t="s">
        <v>15342</v>
      </c>
      <c r="L4343" s="56">
        <v>45105</v>
      </c>
      <c r="O4343" s="42"/>
      <c r="P4343" s="40"/>
      <c r="Q4343" s="61"/>
      <c r="R4343" s="61"/>
      <c r="S4343" s="40"/>
      <c r="T4343" s="38"/>
      <c r="U4343" s="38"/>
      <c r="V4343" s="38"/>
      <c r="W4343" s="60"/>
      <c r="AB4343" s="42"/>
      <c r="AC4343" s="35"/>
      <c r="AD4343" s="38"/>
      <c r="AE4343" s="38"/>
      <c r="AF4343" s="38"/>
      <c r="AG4343" s="38"/>
      <c r="AH4343" s="60"/>
    </row>
    <row r="4344" spans="1:34" ht="15.75" customHeight="1">
      <c r="A4344" s="217"/>
      <c r="B4344" s="58" t="s">
        <v>15343</v>
      </c>
      <c r="C4344" s="37" t="s">
        <v>87</v>
      </c>
      <c r="D4344" s="20" t="s">
        <v>15344</v>
      </c>
      <c r="E4344" s="20" t="s">
        <v>15345</v>
      </c>
      <c r="F4344" s="19" t="s">
        <v>90</v>
      </c>
      <c r="G4344" s="19" t="s">
        <v>91</v>
      </c>
      <c r="H4344" s="37"/>
      <c r="I4344" s="21" t="s">
        <v>29</v>
      </c>
      <c r="J4344" s="155" t="str">
        <f t="shared" si="4"/>
        <v>TT</v>
      </c>
      <c r="K4344" s="22" t="s">
        <v>15346</v>
      </c>
      <c r="L4344" s="56">
        <v>45105</v>
      </c>
      <c r="O4344" s="42"/>
      <c r="P4344" s="40"/>
      <c r="Q4344" s="61"/>
      <c r="R4344" s="61"/>
      <c r="S4344" s="40"/>
      <c r="T4344" s="38"/>
      <c r="U4344" s="38"/>
      <c r="V4344" s="38"/>
      <c r="W4344" s="60"/>
      <c r="AB4344" s="42"/>
      <c r="AC4344" s="35"/>
      <c r="AD4344" s="38"/>
      <c r="AE4344" s="38"/>
      <c r="AF4344" s="38"/>
      <c r="AG4344" s="38"/>
      <c r="AH4344" s="60"/>
    </row>
    <row r="4345" spans="1:34" ht="15.75" customHeight="1">
      <c r="A4345" s="217"/>
      <c r="B4345" s="58" t="s">
        <v>15347</v>
      </c>
      <c r="C4345" s="37" t="s">
        <v>412</v>
      </c>
      <c r="D4345" s="20" t="s">
        <v>15348</v>
      </c>
      <c r="E4345" s="20" t="s">
        <v>15349</v>
      </c>
      <c r="F4345" s="19" t="s">
        <v>414</v>
      </c>
      <c r="G4345" s="37" t="s">
        <v>415</v>
      </c>
      <c r="H4345" s="37"/>
      <c r="I4345" s="21" t="s">
        <v>233</v>
      </c>
      <c r="J4345" s="155" t="str">
        <f t="shared" si="4"/>
        <v>NTT</v>
      </c>
      <c r="K4345" s="22" t="s">
        <v>15350</v>
      </c>
      <c r="L4345" s="56">
        <v>45105</v>
      </c>
      <c r="O4345" s="42"/>
      <c r="P4345" s="40"/>
      <c r="Q4345" s="61"/>
      <c r="R4345" s="61"/>
      <c r="S4345" s="40"/>
      <c r="T4345" s="38"/>
      <c r="U4345" s="38"/>
      <c r="V4345" s="38"/>
      <c r="W4345" s="60"/>
      <c r="AB4345" s="42"/>
      <c r="AC4345" s="35"/>
      <c r="AD4345" s="38"/>
      <c r="AE4345" s="38"/>
      <c r="AF4345" s="38"/>
      <c r="AG4345" s="38"/>
      <c r="AH4345" s="60"/>
    </row>
    <row r="4346" spans="1:34" ht="15.75" customHeight="1">
      <c r="A4346" s="217"/>
      <c r="B4346" s="58" t="s">
        <v>15351</v>
      </c>
      <c r="C4346" s="37" t="s">
        <v>46</v>
      </c>
      <c r="D4346" s="20" t="s">
        <v>15352</v>
      </c>
      <c r="E4346" s="20" t="s">
        <v>15353</v>
      </c>
      <c r="F4346" s="37" t="s">
        <v>49</v>
      </c>
      <c r="G4346" s="19" t="s">
        <v>50</v>
      </c>
      <c r="H4346" s="37"/>
      <c r="I4346" s="21" t="s">
        <v>29</v>
      </c>
      <c r="J4346" s="155" t="str">
        <f t="shared" si="4"/>
        <v>TT</v>
      </c>
      <c r="K4346" s="22" t="s">
        <v>15354</v>
      </c>
      <c r="L4346" s="56">
        <v>45105</v>
      </c>
      <c r="O4346" s="42"/>
      <c r="P4346" s="40"/>
      <c r="Q4346" s="61"/>
      <c r="R4346" s="61"/>
      <c r="S4346" s="40"/>
      <c r="T4346" s="38"/>
      <c r="U4346" s="38"/>
      <c r="V4346" s="38"/>
      <c r="W4346" s="60"/>
      <c r="AB4346" s="42"/>
      <c r="AC4346" s="35"/>
      <c r="AD4346" s="38"/>
      <c r="AE4346" s="38"/>
      <c r="AF4346" s="38"/>
      <c r="AG4346" s="38"/>
      <c r="AH4346" s="60"/>
    </row>
    <row r="4347" spans="1:34" ht="15.75" customHeight="1">
      <c r="A4347" s="217"/>
      <c r="B4347" s="58" t="s">
        <v>15355</v>
      </c>
      <c r="C4347" s="37" t="s">
        <v>228</v>
      </c>
      <c r="D4347" s="20" t="s">
        <v>15356</v>
      </c>
      <c r="E4347" s="20" t="s">
        <v>15357</v>
      </c>
      <c r="F4347" s="19" t="s">
        <v>231</v>
      </c>
      <c r="G4347" s="19" t="s">
        <v>232</v>
      </c>
      <c r="H4347" s="37" t="s">
        <v>813</v>
      </c>
      <c r="I4347" s="21" t="s">
        <v>233</v>
      </c>
      <c r="J4347" s="155" t="str">
        <f t="shared" si="4"/>
        <v>NTT</v>
      </c>
      <c r="K4347" s="22" t="s">
        <v>15358</v>
      </c>
      <c r="L4347" s="56">
        <v>45105</v>
      </c>
      <c r="O4347" s="42"/>
      <c r="P4347" s="40"/>
      <c r="Q4347" s="61"/>
      <c r="R4347" s="61"/>
      <c r="S4347" s="40"/>
      <c r="T4347" s="38"/>
      <c r="U4347" s="38"/>
      <c r="V4347" s="38"/>
      <c r="W4347" s="60"/>
      <c r="AB4347" s="42"/>
      <c r="AC4347" s="35"/>
      <c r="AD4347" s="38"/>
      <c r="AE4347" s="38"/>
      <c r="AF4347" s="38"/>
      <c r="AG4347" s="38"/>
      <c r="AH4347" s="60"/>
    </row>
    <row r="4348" spans="1:34" ht="15.75" customHeight="1">
      <c r="A4348" s="217"/>
      <c r="B4348" s="58" t="s">
        <v>15359</v>
      </c>
      <c r="C4348" s="37" t="s">
        <v>46</v>
      </c>
      <c r="D4348" s="20" t="s">
        <v>15360</v>
      </c>
      <c r="E4348" s="20" t="s">
        <v>15361</v>
      </c>
      <c r="F4348" s="37" t="s">
        <v>49</v>
      </c>
      <c r="G4348" s="19" t="s">
        <v>50</v>
      </c>
      <c r="H4348" s="37"/>
      <c r="I4348" s="21" t="s">
        <v>29</v>
      </c>
      <c r="J4348" s="155" t="str">
        <f t="shared" si="4"/>
        <v>TT</v>
      </c>
      <c r="K4348" s="22" t="s">
        <v>15362</v>
      </c>
      <c r="L4348" s="56">
        <v>45105</v>
      </c>
      <c r="O4348" s="42"/>
      <c r="P4348" s="40"/>
      <c r="Q4348" s="61"/>
      <c r="R4348" s="61"/>
      <c r="S4348" s="40"/>
      <c r="T4348" s="38"/>
      <c r="U4348" s="38"/>
      <c r="V4348" s="38"/>
      <c r="W4348" s="60"/>
      <c r="AB4348" s="42"/>
      <c r="AC4348" s="35"/>
      <c r="AD4348" s="38"/>
      <c r="AE4348" s="38"/>
      <c r="AF4348" s="38"/>
      <c r="AG4348" s="38"/>
      <c r="AH4348" s="60"/>
    </row>
    <row r="4349" spans="1:34" ht="15.75" customHeight="1">
      <c r="A4349" s="217"/>
      <c r="B4349" s="58" t="s">
        <v>15363</v>
      </c>
      <c r="C4349" s="37" t="s">
        <v>412</v>
      </c>
      <c r="D4349" s="20" t="s">
        <v>15364</v>
      </c>
      <c r="E4349" s="20"/>
      <c r="F4349" s="19" t="s">
        <v>414</v>
      </c>
      <c r="G4349" s="19" t="s">
        <v>415</v>
      </c>
      <c r="H4349" s="37"/>
      <c r="I4349" s="21" t="s">
        <v>233</v>
      </c>
      <c r="J4349" s="155" t="str">
        <f t="shared" si="4"/>
        <v>NTT</v>
      </c>
      <c r="K4349" s="22"/>
      <c r="L4349" s="56">
        <v>45105</v>
      </c>
      <c r="O4349" s="42"/>
      <c r="P4349" s="40"/>
      <c r="Q4349" s="61"/>
      <c r="R4349" s="61"/>
      <c r="S4349" s="40"/>
      <c r="T4349" s="38"/>
      <c r="U4349" s="38"/>
      <c r="V4349" s="38"/>
      <c r="W4349" s="60"/>
      <c r="AB4349" s="42"/>
      <c r="AC4349" s="35"/>
      <c r="AD4349" s="38"/>
      <c r="AE4349" s="38"/>
      <c r="AF4349" s="38"/>
      <c r="AG4349" s="38"/>
      <c r="AH4349" s="60"/>
    </row>
    <row r="4350" spans="1:34" ht="15.75" customHeight="1">
      <c r="A4350" s="217"/>
      <c r="B4350" s="58" t="s">
        <v>15365</v>
      </c>
      <c r="C4350" s="37" t="s">
        <v>87</v>
      </c>
      <c r="D4350" s="20" t="s">
        <v>15366</v>
      </c>
      <c r="E4350" s="20" t="s">
        <v>15367</v>
      </c>
      <c r="F4350" s="19" t="s">
        <v>90</v>
      </c>
      <c r="G4350" s="19" t="s">
        <v>91</v>
      </c>
      <c r="H4350" s="37"/>
      <c r="I4350" s="21" t="s">
        <v>29</v>
      </c>
      <c r="J4350" s="155" t="str">
        <f t="shared" si="4"/>
        <v>TT</v>
      </c>
      <c r="K4350" s="22" t="s">
        <v>15368</v>
      </c>
      <c r="L4350" s="56">
        <v>45105</v>
      </c>
      <c r="O4350" s="42"/>
      <c r="P4350" s="40"/>
      <c r="Q4350" s="61"/>
      <c r="R4350" s="61"/>
      <c r="S4350" s="40"/>
      <c r="T4350" s="38"/>
      <c r="U4350" s="38"/>
      <c r="V4350" s="38"/>
      <c r="W4350" s="60"/>
      <c r="AB4350" s="42"/>
      <c r="AC4350" s="35"/>
      <c r="AD4350" s="38"/>
      <c r="AE4350" s="38"/>
      <c r="AF4350" s="38"/>
      <c r="AG4350" s="38"/>
      <c r="AH4350" s="60"/>
    </row>
    <row r="4351" spans="1:34" ht="15.75" customHeight="1">
      <c r="A4351" s="217"/>
      <c r="B4351" s="58" t="s">
        <v>15369</v>
      </c>
      <c r="C4351" s="37" t="s">
        <v>24</v>
      </c>
      <c r="D4351" s="20" t="s">
        <v>15370</v>
      </c>
      <c r="E4351" s="20" t="s">
        <v>15371</v>
      </c>
      <c r="F4351" s="19" t="s">
        <v>27</v>
      </c>
      <c r="G4351" s="19" t="s">
        <v>28</v>
      </c>
      <c r="H4351" s="37"/>
      <c r="I4351" s="21" t="s">
        <v>29</v>
      </c>
      <c r="J4351" s="155" t="str">
        <f t="shared" si="4"/>
        <v>TT</v>
      </c>
      <c r="K4351" s="22" t="s">
        <v>15372</v>
      </c>
      <c r="L4351" s="56">
        <v>45105</v>
      </c>
      <c r="O4351" s="42"/>
      <c r="P4351" s="40"/>
      <c r="Q4351" s="61"/>
      <c r="R4351" s="61"/>
      <c r="S4351" s="40"/>
      <c r="T4351" s="38"/>
      <c r="U4351" s="38"/>
      <c r="V4351" s="38"/>
      <c r="W4351" s="60"/>
      <c r="AB4351" s="42"/>
      <c r="AC4351" s="35"/>
      <c r="AD4351" s="38"/>
      <c r="AE4351" s="38"/>
      <c r="AF4351" s="38"/>
      <c r="AG4351" s="38"/>
      <c r="AH4351" s="60"/>
    </row>
    <row r="4352" spans="1:34" ht="15.75" customHeight="1">
      <c r="A4352" s="217"/>
      <c r="B4352" s="58" t="s">
        <v>15373</v>
      </c>
      <c r="C4352" s="37" t="s">
        <v>87</v>
      </c>
      <c r="D4352" s="20" t="s">
        <v>15374</v>
      </c>
      <c r="E4352" s="20" t="s">
        <v>15375</v>
      </c>
      <c r="F4352" s="19" t="s">
        <v>90</v>
      </c>
      <c r="G4352" s="19" t="s">
        <v>91</v>
      </c>
      <c r="H4352" s="37"/>
      <c r="I4352" s="21" t="s">
        <v>29</v>
      </c>
      <c r="J4352" s="155" t="str">
        <f t="shared" si="4"/>
        <v>TT</v>
      </c>
      <c r="K4352" s="22" t="s">
        <v>15376</v>
      </c>
      <c r="L4352" s="56">
        <v>45105</v>
      </c>
      <c r="O4352" s="42"/>
      <c r="P4352" s="40"/>
      <c r="Q4352" s="61"/>
      <c r="R4352" s="61"/>
      <c r="S4352" s="40"/>
      <c r="T4352" s="38"/>
      <c r="U4352" s="38"/>
      <c r="V4352" s="38"/>
      <c r="W4352" s="60"/>
      <c r="AB4352" s="42"/>
      <c r="AC4352" s="35"/>
      <c r="AD4352" s="38"/>
      <c r="AE4352" s="38"/>
      <c r="AF4352" s="38"/>
      <c r="AG4352" s="38"/>
      <c r="AH4352" s="60"/>
    </row>
    <row r="4353" spans="1:34" ht="15.75" customHeight="1">
      <c r="A4353" s="217"/>
      <c r="B4353" s="58" t="s">
        <v>15377</v>
      </c>
      <c r="C4353" s="37" t="s">
        <v>87</v>
      </c>
      <c r="D4353" s="20" t="s">
        <v>15378</v>
      </c>
      <c r="E4353" s="20" t="s">
        <v>15379</v>
      </c>
      <c r="F4353" s="19" t="s">
        <v>90</v>
      </c>
      <c r="G4353" s="19" t="s">
        <v>91</v>
      </c>
      <c r="H4353" s="37"/>
      <c r="I4353" s="21" t="s">
        <v>29</v>
      </c>
      <c r="J4353" s="155" t="str">
        <f t="shared" si="4"/>
        <v>TT</v>
      </c>
      <c r="K4353" s="22" t="s">
        <v>15380</v>
      </c>
      <c r="L4353" s="56">
        <v>45105</v>
      </c>
      <c r="O4353" s="42"/>
      <c r="P4353" s="40"/>
      <c r="Q4353" s="61"/>
      <c r="R4353" s="61"/>
      <c r="S4353" s="40"/>
      <c r="T4353" s="38"/>
      <c r="U4353" s="38"/>
      <c r="V4353" s="38"/>
      <c r="W4353" s="60"/>
      <c r="AB4353" s="42"/>
      <c r="AC4353" s="35"/>
      <c r="AD4353" s="38"/>
      <c r="AE4353" s="38"/>
      <c r="AF4353" s="38"/>
      <c r="AG4353" s="38"/>
      <c r="AH4353" s="60"/>
    </row>
    <row r="4354" spans="1:34" ht="15.75" customHeight="1">
      <c r="A4354" s="217"/>
      <c r="B4354" s="58" t="s">
        <v>15381</v>
      </c>
      <c r="C4354" s="37" t="s">
        <v>46</v>
      </c>
      <c r="D4354" s="20" t="s">
        <v>15382</v>
      </c>
      <c r="E4354" s="20" t="s">
        <v>15383</v>
      </c>
      <c r="F4354" s="37" t="s">
        <v>49</v>
      </c>
      <c r="G4354" s="19" t="s">
        <v>50</v>
      </c>
      <c r="H4354" s="37"/>
      <c r="I4354" s="21" t="s">
        <v>29</v>
      </c>
      <c r="J4354" s="155" t="str">
        <f t="shared" si="4"/>
        <v>TT</v>
      </c>
      <c r="K4354" s="22" t="s">
        <v>15384</v>
      </c>
      <c r="L4354" s="56">
        <v>45105</v>
      </c>
      <c r="O4354" s="42"/>
      <c r="P4354" s="40"/>
      <c r="Q4354" s="61"/>
      <c r="R4354" s="61"/>
      <c r="S4354" s="40"/>
      <c r="T4354" s="38"/>
      <c r="U4354" s="38"/>
      <c r="V4354" s="38"/>
      <c r="W4354" s="60"/>
      <c r="AB4354" s="42"/>
      <c r="AC4354" s="35"/>
      <c r="AD4354" s="38"/>
      <c r="AE4354" s="38"/>
      <c r="AF4354" s="38"/>
      <c r="AG4354" s="38"/>
      <c r="AH4354" s="60"/>
    </row>
    <row r="4355" spans="1:34" ht="15.75" customHeight="1">
      <c r="A4355" s="217"/>
      <c r="B4355" s="58" t="s">
        <v>15385</v>
      </c>
      <c r="C4355" s="37" t="s">
        <v>412</v>
      </c>
      <c r="D4355" s="20" t="s">
        <v>15386</v>
      </c>
      <c r="E4355" s="20" t="s">
        <v>15387</v>
      </c>
      <c r="F4355" s="19" t="s">
        <v>414</v>
      </c>
      <c r="G4355" s="37" t="s">
        <v>415</v>
      </c>
      <c r="H4355" s="37"/>
      <c r="I4355" s="21" t="s">
        <v>233</v>
      </c>
      <c r="J4355" s="155" t="str">
        <f t="shared" si="4"/>
        <v>NTT</v>
      </c>
      <c r="K4355" s="22" t="s">
        <v>15388</v>
      </c>
      <c r="L4355" s="56">
        <v>45105</v>
      </c>
      <c r="O4355" s="42"/>
      <c r="P4355" s="40"/>
      <c r="Q4355" s="61"/>
      <c r="R4355" s="61"/>
      <c r="S4355" s="40"/>
      <c r="T4355" s="38"/>
      <c r="U4355" s="38"/>
      <c r="V4355" s="38"/>
      <c r="W4355" s="60"/>
      <c r="AB4355" s="42"/>
      <c r="AC4355" s="35"/>
      <c r="AD4355" s="38"/>
      <c r="AE4355" s="38"/>
      <c r="AF4355" s="38"/>
      <c r="AG4355" s="38"/>
      <c r="AH4355" s="60"/>
    </row>
    <row r="4356" spans="1:34" ht="15.75" customHeight="1">
      <c r="A4356" s="217"/>
      <c r="B4356" s="58" t="s">
        <v>15389</v>
      </c>
      <c r="C4356" s="37" t="s">
        <v>87</v>
      </c>
      <c r="D4356" s="20" t="s">
        <v>15390</v>
      </c>
      <c r="E4356" s="20" t="s">
        <v>15391</v>
      </c>
      <c r="F4356" s="19" t="s">
        <v>90</v>
      </c>
      <c r="G4356" s="19" t="s">
        <v>91</v>
      </c>
      <c r="H4356" s="37"/>
      <c r="I4356" s="21" t="s">
        <v>29</v>
      </c>
      <c r="J4356" s="155" t="str">
        <f t="shared" si="4"/>
        <v>TT</v>
      </c>
      <c r="K4356" s="22" t="s">
        <v>15392</v>
      </c>
      <c r="L4356" s="56">
        <v>45105</v>
      </c>
      <c r="O4356" s="42"/>
      <c r="P4356" s="40"/>
      <c r="Q4356" s="61"/>
      <c r="R4356" s="61"/>
      <c r="S4356" s="40"/>
      <c r="T4356" s="38"/>
      <c r="U4356" s="38"/>
      <c r="V4356" s="38"/>
      <c r="W4356" s="60"/>
      <c r="AB4356" s="42"/>
      <c r="AC4356" s="35"/>
      <c r="AD4356" s="38"/>
      <c r="AE4356" s="38"/>
      <c r="AF4356" s="38"/>
      <c r="AG4356" s="38"/>
      <c r="AH4356" s="60"/>
    </row>
    <row r="4357" spans="1:34" ht="15.75" customHeight="1">
      <c r="A4357" s="217"/>
      <c r="B4357" s="58" t="s">
        <v>15393</v>
      </c>
      <c r="C4357" s="37" t="s">
        <v>87</v>
      </c>
      <c r="D4357" s="20" t="s">
        <v>15394</v>
      </c>
      <c r="E4357" s="20" t="s">
        <v>15395</v>
      </c>
      <c r="F4357" s="19" t="s">
        <v>90</v>
      </c>
      <c r="G4357" s="19" t="s">
        <v>91</v>
      </c>
      <c r="H4357" s="37"/>
      <c r="I4357" s="21" t="s">
        <v>29</v>
      </c>
      <c r="J4357" s="155" t="str">
        <f t="shared" si="4"/>
        <v>TT</v>
      </c>
      <c r="K4357" s="22" t="s">
        <v>15396</v>
      </c>
      <c r="L4357" s="56">
        <v>45105</v>
      </c>
      <c r="O4357" s="42"/>
      <c r="P4357" s="40"/>
      <c r="Q4357" s="61"/>
      <c r="R4357" s="61"/>
      <c r="S4357" s="40"/>
      <c r="T4357" s="38"/>
      <c r="U4357" s="38"/>
      <c r="V4357" s="38"/>
      <c r="W4357" s="60"/>
      <c r="AB4357" s="42"/>
      <c r="AC4357" s="35"/>
      <c r="AD4357" s="38"/>
      <c r="AE4357" s="38"/>
      <c r="AF4357" s="38"/>
      <c r="AG4357" s="38"/>
      <c r="AH4357" s="60"/>
    </row>
    <row r="4358" spans="1:34" ht="15.75" customHeight="1">
      <c r="A4358" s="217"/>
      <c r="B4358" s="58" t="s">
        <v>15397</v>
      </c>
      <c r="C4358" s="37" t="s">
        <v>412</v>
      </c>
      <c r="D4358" s="20" t="s">
        <v>15398</v>
      </c>
      <c r="E4358" s="20" t="s">
        <v>15399</v>
      </c>
      <c r="F4358" s="19" t="s">
        <v>414</v>
      </c>
      <c r="G4358" s="19" t="s">
        <v>415</v>
      </c>
      <c r="H4358" s="37"/>
      <c r="I4358" s="21" t="s">
        <v>233</v>
      </c>
      <c r="J4358" s="155" t="str">
        <f t="shared" si="4"/>
        <v>NTT</v>
      </c>
      <c r="K4358" s="22" t="s">
        <v>15400</v>
      </c>
      <c r="L4358" s="56">
        <v>45105</v>
      </c>
      <c r="O4358" s="42"/>
      <c r="P4358" s="40"/>
      <c r="Q4358" s="61"/>
      <c r="R4358" s="61"/>
      <c r="S4358" s="40"/>
      <c r="T4358" s="38"/>
      <c r="U4358" s="38"/>
      <c r="V4358" s="38"/>
      <c r="W4358" s="60"/>
      <c r="AB4358" s="42"/>
      <c r="AC4358" s="35"/>
      <c r="AD4358" s="38"/>
      <c r="AE4358" s="38"/>
      <c r="AF4358" s="38"/>
      <c r="AG4358" s="38"/>
      <c r="AH4358" s="60"/>
    </row>
    <row r="4359" spans="1:34" ht="15.75" customHeight="1">
      <c r="A4359" s="217"/>
      <c r="B4359" s="58" t="s">
        <v>15401</v>
      </c>
      <c r="C4359" s="37" t="s">
        <v>412</v>
      </c>
      <c r="D4359" s="20" t="s">
        <v>15402</v>
      </c>
      <c r="E4359" s="20"/>
      <c r="F4359" s="19" t="s">
        <v>414</v>
      </c>
      <c r="G4359" s="37" t="s">
        <v>415</v>
      </c>
      <c r="H4359" s="37"/>
      <c r="I4359" s="21" t="s">
        <v>233</v>
      </c>
      <c r="J4359" s="155" t="str">
        <f t="shared" si="4"/>
        <v>NTT</v>
      </c>
      <c r="K4359" s="22"/>
      <c r="L4359" s="56">
        <v>45105</v>
      </c>
      <c r="O4359" s="42"/>
      <c r="P4359" s="40"/>
      <c r="Q4359" s="61"/>
      <c r="R4359" s="61"/>
      <c r="S4359" s="40"/>
      <c r="T4359" s="38"/>
      <c r="U4359" s="38"/>
      <c r="V4359" s="38"/>
      <c r="W4359" s="60"/>
      <c r="AB4359" s="42"/>
      <c r="AC4359" s="35"/>
      <c r="AD4359" s="38"/>
      <c r="AE4359" s="38"/>
      <c r="AF4359" s="38"/>
      <c r="AG4359" s="38"/>
      <c r="AH4359" s="60"/>
    </row>
    <row r="4360" spans="1:34" ht="15.75" customHeight="1">
      <c r="A4360" s="217"/>
      <c r="B4360" s="58" t="s">
        <v>15403</v>
      </c>
      <c r="C4360" s="37" t="s">
        <v>24</v>
      </c>
      <c r="D4360" s="20" t="s">
        <v>15404</v>
      </c>
      <c r="E4360" s="20" t="s">
        <v>15405</v>
      </c>
      <c r="F4360" s="19" t="s">
        <v>27</v>
      </c>
      <c r="G4360" s="19" t="s">
        <v>28</v>
      </c>
      <c r="H4360" s="19" t="s">
        <v>36</v>
      </c>
      <c r="I4360" s="21" t="s">
        <v>29</v>
      </c>
      <c r="J4360" s="155" t="str">
        <f t="shared" si="4"/>
        <v>TT</v>
      </c>
      <c r="K4360" s="22" t="s">
        <v>15406</v>
      </c>
      <c r="L4360" s="56">
        <v>45105</v>
      </c>
      <c r="O4360" s="42"/>
      <c r="P4360" s="40"/>
      <c r="Q4360" s="61"/>
      <c r="R4360" s="61"/>
      <c r="S4360" s="40"/>
      <c r="T4360" s="38"/>
      <c r="U4360" s="38"/>
      <c r="V4360" s="38"/>
      <c r="W4360" s="60"/>
      <c r="AB4360" s="42"/>
      <c r="AC4360" s="35"/>
      <c r="AD4360" s="38"/>
      <c r="AE4360" s="38"/>
      <c r="AF4360" s="38"/>
      <c r="AG4360" s="38"/>
      <c r="AH4360" s="60"/>
    </row>
    <row r="4361" spans="1:34" ht="15.75" customHeight="1">
      <c r="A4361" s="217"/>
      <c r="B4361" s="58" t="s">
        <v>15407</v>
      </c>
      <c r="C4361" s="37" t="s">
        <v>24</v>
      </c>
      <c r="D4361" s="20" t="s">
        <v>15408</v>
      </c>
      <c r="E4361" s="20" t="s">
        <v>15409</v>
      </c>
      <c r="F4361" s="19" t="s">
        <v>27</v>
      </c>
      <c r="G4361" s="19" t="s">
        <v>28</v>
      </c>
      <c r="H4361" s="37"/>
      <c r="I4361" s="21" t="s">
        <v>29</v>
      </c>
      <c r="J4361" s="155" t="str">
        <f t="shared" si="4"/>
        <v>TT</v>
      </c>
      <c r="K4361" s="22" t="s">
        <v>15410</v>
      </c>
      <c r="L4361" s="56">
        <v>45105</v>
      </c>
      <c r="O4361" s="42"/>
      <c r="P4361" s="40"/>
      <c r="Q4361" s="61"/>
      <c r="R4361" s="61"/>
      <c r="S4361" s="40"/>
      <c r="T4361" s="38"/>
      <c r="U4361" s="38"/>
      <c r="V4361" s="38"/>
      <c r="W4361" s="60"/>
      <c r="AB4361" s="42"/>
      <c r="AC4361" s="35"/>
      <c r="AD4361" s="38"/>
      <c r="AE4361" s="38"/>
      <c r="AF4361" s="38"/>
      <c r="AG4361" s="38"/>
      <c r="AH4361" s="60"/>
    </row>
    <row r="4362" spans="1:34" ht="15.75" customHeight="1">
      <c r="A4362" s="217"/>
      <c r="B4362" s="58" t="s">
        <v>15411</v>
      </c>
      <c r="C4362" s="37" t="s">
        <v>412</v>
      </c>
      <c r="D4362" s="20" t="s">
        <v>15412</v>
      </c>
      <c r="E4362" s="20" t="s">
        <v>15413</v>
      </c>
      <c r="F4362" s="19" t="s">
        <v>414</v>
      </c>
      <c r="G4362" s="19" t="s">
        <v>415</v>
      </c>
      <c r="H4362" s="37"/>
      <c r="I4362" s="21" t="s">
        <v>233</v>
      </c>
      <c r="J4362" s="155" t="str">
        <f t="shared" si="4"/>
        <v>NTT</v>
      </c>
      <c r="K4362" s="22" t="s">
        <v>15414</v>
      </c>
      <c r="L4362" s="56">
        <v>45105</v>
      </c>
      <c r="O4362" s="42"/>
      <c r="P4362" s="40"/>
      <c r="Q4362" s="61"/>
      <c r="R4362" s="61"/>
      <c r="S4362" s="40"/>
      <c r="T4362" s="38"/>
      <c r="U4362" s="38"/>
      <c r="V4362" s="38"/>
      <c r="W4362" s="60"/>
      <c r="AB4362" s="42"/>
      <c r="AC4362" s="35"/>
      <c r="AD4362" s="38"/>
      <c r="AE4362" s="38"/>
      <c r="AF4362" s="38"/>
      <c r="AG4362" s="38"/>
      <c r="AH4362" s="60"/>
    </row>
    <row r="4363" spans="1:34" ht="15.75" customHeight="1">
      <c r="A4363" s="217"/>
      <c r="B4363" s="58" t="s">
        <v>15415</v>
      </c>
      <c r="C4363" s="37" t="s">
        <v>412</v>
      </c>
      <c r="D4363" s="20" t="s">
        <v>15416</v>
      </c>
      <c r="E4363" s="20"/>
      <c r="F4363" s="19" t="s">
        <v>414</v>
      </c>
      <c r="G4363" s="37" t="s">
        <v>415</v>
      </c>
      <c r="H4363" s="37"/>
      <c r="I4363" s="21" t="s">
        <v>233</v>
      </c>
      <c r="J4363" s="155" t="str">
        <f t="shared" si="4"/>
        <v>NTT</v>
      </c>
      <c r="K4363" s="22"/>
      <c r="L4363" s="56">
        <v>45105</v>
      </c>
      <c r="O4363" s="42"/>
      <c r="P4363" s="40"/>
      <c r="Q4363" s="61"/>
      <c r="R4363" s="61"/>
      <c r="S4363" s="40"/>
      <c r="T4363" s="38"/>
      <c r="U4363" s="38"/>
      <c r="V4363" s="38"/>
      <c r="W4363" s="60"/>
      <c r="AB4363" s="42"/>
      <c r="AC4363" s="35"/>
      <c r="AD4363" s="38"/>
      <c r="AE4363" s="38"/>
      <c r="AF4363" s="38"/>
      <c r="AG4363" s="38"/>
      <c r="AH4363" s="60"/>
    </row>
    <row r="4364" spans="1:34" ht="15.75" customHeight="1">
      <c r="A4364" s="217"/>
      <c r="B4364" s="58" t="s">
        <v>15417</v>
      </c>
      <c r="C4364" s="37" t="s">
        <v>87</v>
      </c>
      <c r="D4364" s="20" t="s">
        <v>15418</v>
      </c>
      <c r="E4364" s="20" t="s">
        <v>15419</v>
      </c>
      <c r="F4364" s="19" t="s">
        <v>90</v>
      </c>
      <c r="G4364" s="19" t="s">
        <v>91</v>
      </c>
      <c r="H4364" s="37"/>
      <c r="I4364" s="21" t="s">
        <v>29</v>
      </c>
      <c r="J4364" s="155" t="str">
        <f t="shared" si="4"/>
        <v>TT</v>
      </c>
      <c r="K4364" s="22" t="s">
        <v>15420</v>
      </c>
      <c r="L4364" s="56">
        <v>45105</v>
      </c>
      <c r="O4364" s="42"/>
      <c r="P4364" s="40"/>
      <c r="Q4364" s="61"/>
      <c r="R4364" s="61"/>
      <c r="S4364" s="40"/>
      <c r="T4364" s="38"/>
      <c r="U4364" s="38"/>
      <c r="V4364" s="38"/>
      <c r="W4364" s="60"/>
      <c r="AB4364" s="42"/>
      <c r="AC4364" s="35"/>
      <c r="AD4364" s="38"/>
      <c r="AE4364" s="38"/>
      <c r="AF4364" s="38"/>
      <c r="AG4364" s="38"/>
      <c r="AH4364" s="60"/>
    </row>
    <row r="4365" spans="1:34" ht="15.75" customHeight="1">
      <c r="A4365" s="217"/>
      <c r="B4365" s="58" t="s">
        <v>15421</v>
      </c>
      <c r="C4365" s="37" t="s">
        <v>24</v>
      </c>
      <c r="D4365" s="20" t="s">
        <v>15422</v>
      </c>
      <c r="E4365" s="20" t="s">
        <v>15423</v>
      </c>
      <c r="F4365" s="19" t="s">
        <v>27</v>
      </c>
      <c r="G4365" s="19" t="s">
        <v>28</v>
      </c>
      <c r="H4365" s="37"/>
      <c r="I4365" s="21" t="s">
        <v>29</v>
      </c>
      <c r="J4365" s="155" t="str">
        <f t="shared" si="4"/>
        <v>TT</v>
      </c>
      <c r="K4365" s="22" t="s">
        <v>15424</v>
      </c>
      <c r="L4365" s="56">
        <v>45105</v>
      </c>
      <c r="O4365" s="42"/>
      <c r="P4365" s="40"/>
      <c r="Q4365" s="61"/>
      <c r="R4365" s="61"/>
      <c r="S4365" s="40"/>
      <c r="T4365" s="38"/>
      <c r="U4365" s="38"/>
      <c r="V4365" s="38"/>
      <c r="W4365" s="60"/>
      <c r="AB4365" s="42"/>
      <c r="AC4365" s="35"/>
      <c r="AD4365" s="38"/>
      <c r="AE4365" s="38"/>
      <c r="AF4365" s="38"/>
      <c r="AG4365" s="38"/>
      <c r="AH4365" s="60"/>
    </row>
    <row r="4366" spans="1:34" ht="15.75" customHeight="1">
      <c r="A4366" s="217"/>
      <c r="B4366" s="58" t="s">
        <v>15425</v>
      </c>
      <c r="C4366" s="37" t="s">
        <v>412</v>
      </c>
      <c r="D4366" s="20" t="s">
        <v>15426</v>
      </c>
      <c r="E4366" s="20" t="s">
        <v>15427</v>
      </c>
      <c r="F4366" s="19" t="s">
        <v>414</v>
      </c>
      <c r="G4366" s="19" t="s">
        <v>415</v>
      </c>
      <c r="H4366" s="37"/>
      <c r="I4366" s="21" t="s">
        <v>233</v>
      </c>
      <c r="J4366" s="155" t="str">
        <f t="shared" si="4"/>
        <v>NTT</v>
      </c>
      <c r="K4366" s="22" t="s">
        <v>15428</v>
      </c>
      <c r="L4366" s="56">
        <v>45105</v>
      </c>
      <c r="O4366" s="42"/>
      <c r="P4366" s="40"/>
      <c r="Q4366" s="61"/>
      <c r="R4366" s="61"/>
      <c r="S4366" s="40"/>
      <c r="T4366" s="38"/>
      <c r="U4366" s="38"/>
      <c r="V4366" s="38"/>
      <c r="W4366" s="60"/>
      <c r="AB4366" s="42"/>
      <c r="AC4366" s="35"/>
      <c r="AD4366" s="38"/>
      <c r="AE4366" s="38"/>
      <c r="AF4366" s="38"/>
      <c r="AG4366" s="38"/>
      <c r="AH4366" s="60"/>
    </row>
    <row r="4367" spans="1:34" ht="15.75" customHeight="1">
      <c r="A4367" s="217"/>
      <c r="B4367" s="58" t="s">
        <v>15429</v>
      </c>
      <c r="C4367" s="37" t="s">
        <v>412</v>
      </c>
      <c r="D4367" s="20" t="s">
        <v>15430</v>
      </c>
      <c r="E4367" s="20" t="s">
        <v>15431</v>
      </c>
      <c r="F4367" s="19" t="s">
        <v>414</v>
      </c>
      <c r="G4367" s="37" t="s">
        <v>415</v>
      </c>
      <c r="H4367" s="37"/>
      <c r="I4367" s="21" t="s">
        <v>233</v>
      </c>
      <c r="J4367" s="155" t="str">
        <f t="shared" si="4"/>
        <v>NTT</v>
      </c>
      <c r="K4367" s="22" t="s">
        <v>15432</v>
      </c>
      <c r="L4367" s="56">
        <v>45105</v>
      </c>
      <c r="O4367" s="42"/>
      <c r="P4367" s="40"/>
      <c r="Q4367" s="61"/>
      <c r="R4367" s="61"/>
      <c r="S4367" s="40"/>
      <c r="T4367" s="38"/>
      <c r="U4367" s="38"/>
      <c r="V4367" s="38"/>
      <c r="W4367" s="60"/>
      <c r="AB4367" s="42"/>
      <c r="AC4367" s="35"/>
      <c r="AD4367" s="38"/>
      <c r="AE4367" s="38"/>
      <c r="AF4367" s="38"/>
      <c r="AG4367" s="38"/>
      <c r="AH4367" s="60"/>
    </row>
    <row r="4368" spans="1:34" ht="15.75" customHeight="1">
      <c r="A4368" s="217"/>
      <c r="B4368" s="58" t="s">
        <v>15433</v>
      </c>
      <c r="C4368" s="37" t="s">
        <v>87</v>
      </c>
      <c r="D4368" s="20" t="s">
        <v>15434</v>
      </c>
      <c r="E4368" s="20" t="s">
        <v>15435</v>
      </c>
      <c r="F4368" s="19" t="s">
        <v>90</v>
      </c>
      <c r="G4368" s="19" t="s">
        <v>91</v>
      </c>
      <c r="H4368" s="37"/>
      <c r="I4368" s="21" t="s">
        <v>29</v>
      </c>
      <c r="J4368" s="155" t="str">
        <f t="shared" si="4"/>
        <v>TT</v>
      </c>
      <c r="K4368" s="22" t="s">
        <v>15436</v>
      </c>
      <c r="L4368" s="56">
        <v>45105</v>
      </c>
      <c r="O4368" s="42"/>
      <c r="P4368" s="40"/>
      <c r="Q4368" s="61"/>
      <c r="R4368" s="61"/>
      <c r="S4368" s="40"/>
      <c r="T4368" s="38"/>
      <c r="U4368" s="38"/>
      <c r="V4368" s="38"/>
      <c r="W4368" s="60"/>
      <c r="AB4368" s="42"/>
      <c r="AC4368" s="35"/>
      <c r="AD4368" s="38"/>
      <c r="AE4368" s="38"/>
      <c r="AF4368" s="38"/>
      <c r="AG4368" s="38"/>
      <c r="AH4368" s="60"/>
    </row>
    <row r="4369" spans="1:34" ht="15.75" customHeight="1">
      <c r="A4369" s="217"/>
      <c r="B4369" s="58" t="s">
        <v>15437</v>
      </c>
      <c r="C4369" s="37" t="s">
        <v>87</v>
      </c>
      <c r="D4369" s="20"/>
      <c r="E4369" s="20" t="s">
        <v>15438</v>
      </c>
      <c r="F4369" s="19" t="s">
        <v>90</v>
      </c>
      <c r="G4369" s="19" t="s">
        <v>91</v>
      </c>
      <c r="H4369" s="37"/>
      <c r="I4369" s="21" t="s">
        <v>29</v>
      </c>
      <c r="J4369" s="155" t="str">
        <f t="shared" si="4"/>
        <v>TT</v>
      </c>
      <c r="K4369" s="22" t="s">
        <v>15439</v>
      </c>
      <c r="L4369" s="56">
        <v>45105</v>
      </c>
      <c r="O4369" s="42"/>
      <c r="P4369" s="40"/>
      <c r="Q4369" s="61"/>
      <c r="R4369" s="61"/>
      <c r="S4369" s="40"/>
      <c r="T4369" s="38"/>
      <c r="U4369" s="38"/>
      <c r="V4369" s="38"/>
      <c r="W4369" s="60"/>
      <c r="AB4369" s="42"/>
      <c r="AC4369" s="35"/>
      <c r="AD4369" s="38"/>
      <c r="AE4369" s="38"/>
      <c r="AF4369" s="38"/>
      <c r="AG4369" s="38"/>
      <c r="AH4369" s="60"/>
    </row>
    <row r="4370" spans="1:34" ht="15.75" customHeight="1">
      <c r="A4370" s="218"/>
      <c r="B4370" s="38"/>
      <c r="C4370" s="37"/>
      <c r="D4370" s="20"/>
      <c r="E4370" s="20"/>
      <c r="F4370" s="37"/>
      <c r="G4370" s="37"/>
      <c r="H4370" s="37"/>
      <c r="I4370" s="21"/>
      <c r="J4370" s="155">
        <f t="shared" si="4"/>
        <v>0</v>
      </c>
      <c r="K4370" s="22"/>
      <c r="L4370" s="39"/>
      <c r="O4370" s="42"/>
      <c r="P4370" s="40"/>
      <c r="Q4370" s="61"/>
      <c r="R4370" s="61"/>
      <c r="S4370" s="40"/>
      <c r="T4370" s="38"/>
      <c r="U4370" s="38"/>
      <c r="V4370" s="38"/>
      <c r="W4370" s="60"/>
      <c r="AB4370" s="42"/>
      <c r="AC4370" s="35"/>
      <c r="AD4370" s="38"/>
      <c r="AE4370" s="38"/>
      <c r="AF4370" s="38"/>
      <c r="AG4370" s="38"/>
      <c r="AH4370" s="60"/>
    </row>
    <row r="4371" spans="1:34" ht="15.75" customHeight="1">
      <c r="A4371" s="35" t="s">
        <v>15440</v>
      </c>
      <c r="B4371" s="219" t="s">
        <v>15441</v>
      </c>
      <c r="C4371" s="143" t="s">
        <v>24</v>
      </c>
      <c r="D4371" s="20" t="s">
        <v>15442</v>
      </c>
      <c r="E4371" s="20" t="s">
        <v>15443</v>
      </c>
      <c r="F4371" s="19" t="s">
        <v>27</v>
      </c>
      <c r="G4371" s="19" t="s">
        <v>28</v>
      </c>
      <c r="H4371" s="37"/>
      <c r="I4371" s="21" t="s">
        <v>29</v>
      </c>
      <c r="J4371" s="155" t="str">
        <f t="shared" si="4"/>
        <v>TT</v>
      </c>
      <c r="K4371" s="22" t="s">
        <v>15444</v>
      </c>
      <c r="L4371" s="56">
        <v>45105</v>
      </c>
      <c r="M4371" s="40"/>
      <c r="O4371" s="42"/>
      <c r="P4371" s="40"/>
      <c r="Q4371" s="61"/>
      <c r="R4371" s="61"/>
      <c r="S4371" s="40"/>
      <c r="T4371" s="38"/>
      <c r="U4371" s="38"/>
      <c r="V4371" s="38"/>
      <c r="W4371" s="60"/>
      <c r="AB4371" s="42"/>
      <c r="AC4371" s="35"/>
      <c r="AD4371" s="38"/>
      <c r="AE4371" s="38"/>
      <c r="AF4371" s="38"/>
      <c r="AG4371" s="38"/>
      <c r="AH4371" s="60"/>
    </row>
    <row r="4372" spans="1:34" ht="15.75" customHeight="1">
      <c r="A4372" s="54" t="s">
        <v>2714</v>
      </c>
      <c r="B4372" s="58" t="s">
        <v>15445</v>
      </c>
      <c r="C4372" s="143" t="s">
        <v>24</v>
      </c>
      <c r="D4372" s="20" t="s">
        <v>15446</v>
      </c>
      <c r="E4372" s="20" t="s">
        <v>15447</v>
      </c>
      <c r="F4372" s="19" t="s">
        <v>27</v>
      </c>
      <c r="G4372" s="19" t="s">
        <v>28</v>
      </c>
      <c r="H4372" s="19" t="s">
        <v>36</v>
      </c>
      <c r="I4372" s="21" t="s">
        <v>29</v>
      </c>
      <c r="J4372" s="155" t="str">
        <f t="shared" si="4"/>
        <v>TT</v>
      </c>
      <c r="K4372" s="22" t="s">
        <v>15447</v>
      </c>
      <c r="L4372" s="56">
        <v>45105</v>
      </c>
      <c r="O4372" s="42"/>
      <c r="P4372" s="40"/>
      <c r="Q4372" s="61"/>
      <c r="R4372" s="61"/>
      <c r="S4372" s="40"/>
      <c r="T4372" s="38"/>
      <c r="U4372" s="38"/>
      <c r="V4372" s="38"/>
      <c r="W4372" s="60"/>
      <c r="AB4372" s="42"/>
      <c r="AC4372" s="35"/>
      <c r="AD4372" s="38"/>
      <c r="AE4372" s="38"/>
      <c r="AF4372" s="38"/>
      <c r="AG4372" s="38"/>
      <c r="AH4372" s="60"/>
    </row>
    <row r="4373" spans="1:34" ht="15.75" customHeight="1">
      <c r="A4373" s="114" t="s">
        <v>39</v>
      </c>
      <c r="B4373" s="58" t="s">
        <v>15448</v>
      </c>
      <c r="C4373" s="37" t="s">
        <v>24</v>
      </c>
      <c r="D4373" s="20" t="s">
        <v>15449</v>
      </c>
      <c r="E4373" s="20" t="s">
        <v>15450</v>
      </c>
      <c r="F4373" s="19" t="s">
        <v>27</v>
      </c>
      <c r="G4373" s="19" t="s">
        <v>28</v>
      </c>
      <c r="H4373" s="37"/>
      <c r="I4373" s="21" t="s">
        <v>29</v>
      </c>
      <c r="J4373" s="155" t="str">
        <f t="shared" si="4"/>
        <v>TT</v>
      </c>
      <c r="K4373" s="22" t="s">
        <v>15451</v>
      </c>
      <c r="L4373" s="56">
        <v>45105</v>
      </c>
      <c r="O4373" s="42"/>
      <c r="P4373" s="40"/>
      <c r="Q4373" s="61"/>
      <c r="R4373" s="61"/>
      <c r="S4373" s="40"/>
      <c r="T4373" s="38"/>
      <c r="U4373" s="38"/>
      <c r="V4373" s="38"/>
      <c r="W4373" s="60"/>
      <c r="AB4373" s="42"/>
      <c r="AC4373" s="35"/>
      <c r="AD4373" s="38"/>
      <c r="AE4373" s="38"/>
      <c r="AF4373" s="38"/>
      <c r="AG4373" s="38"/>
      <c r="AH4373" s="60"/>
    </row>
    <row r="4374" spans="1:34" ht="15.75" customHeight="1">
      <c r="A4374" s="38" t="s">
        <v>14696</v>
      </c>
      <c r="B4374" s="58" t="s">
        <v>15452</v>
      </c>
      <c r="C4374" s="37" t="s">
        <v>87</v>
      </c>
      <c r="D4374" s="20" t="s">
        <v>15453</v>
      </c>
      <c r="E4374" s="20" t="s">
        <v>15454</v>
      </c>
      <c r="F4374" s="19" t="s">
        <v>90</v>
      </c>
      <c r="G4374" s="19" t="s">
        <v>91</v>
      </c>
      <c r="H4374" s="37"/>
      <c r="I4374" s="21" t="s">
        <v>29</v>
      </c>
      <c r="J4374" s="155" t="str">
        <f t="shared" si="4"/>
        <v>TT</v>
      </c>
      <c r="K4374" s="22" t="s">
        <v>15454</v>
      </c>
      <c r="L4374" s="56">
        <v>45105</v>
      </c>
      <c r="O4374" s="42"/>
      <c r="P4374" s="40"/>
      <c r="Q4374" s="61"/>
      <c r="R4374" s="61"/>
      <c r="S4374" s="40"/>
      <c r="T4374" s="38"/>
      <c r="U4374" s="38"/>
      <c r="V4374" s="38"/>
      <c r="W4374" s="60"/>
      <c r="AB4374" s="42"/>
      <c r="AC4374" s="35"/>
      <c r="AD4374" s="38"/>
      <c r="AE4374" s="38"/>
      <c r="AF4374" s="38"/>
      <c r="AG4374" s="38"/>
      <c r="AH4374" s="60"/>
    </row>
    <row r="4375" spans="1:34" ht="15.75" customHeight="1">
      <c r="A4375" s="75" t="s">
        <v>12680</v>
      </c>
      <c r="B4375" s="58" t="s">
        <v>15455</v>
      </c>
      <c r="C4375" s="37" t="s">
        <v>24</v>
      </c>
      <c r="D4375" s="20" t="s">
        <v>15456</v>
      </c>
      <c r="E4375" s="20" t="s">
        <v>15457</v>
      </c>
      <c r="F4375" s="19" t="s">
        <v>27</v>
      </c>
      <c r="G4375" s="19" t="s">
        <v>28</v>
      </c>
      <c r="H4375" s="37"/>
      <c r="I4375" s="21" t="s">
        <v>29</v>
      </c>
      <c r="J4375" s="155" t="str">
        <f t="shared" si="4"/>
        <v>TT</v>
      </c>
      <c r="K4375" s="22" t="s">
        <v>15457</v>
      </c>
      <c r="L4375" s="56">
        <v>45105</v>
      </c>
      <c r="O4375" s="42"/>
      <c r="P4375" s="40"/>
      <c r="Q4375" s="61"/>
      <c r="R4375" s="61"/>
      <c r="S4375" s="40"/>
      <c r="T4375" s="38"/>
      <c r="U4375" s="38"/>
      <c r="V4375" s="38"/>
      <c r="W4375" s="60"/>
      <c r="AB4375" s="42"/>
      <c r="AC4375" s="35"/>
      <c r="AD4375" s="38"/>
      <c r="AE4375" s="38"/>
      <c r="AF4375" s="38"/>
      <c r="AG4375" s="38"/>
      <c r="AH4375" s="60"/>
    </row>
    <row r="4376" spans="1:34" ht="15.75" customHeight="1">
      <c r="A4376" s="50" t="s">
        <v>56</v>
      </c>
      <c r="B4376" s="219" t="s">
        <v>15458</v>
      </c>
      <c r="C4376" s="37" t="s">
        <v>24</v>
      </c>
      <c r="D4376" s="20" t="s">
        <v>15442</v>
      </c>
      <c r="E4376" s="20" t="s">
        <v>15443</v>
      </c>
      <c r="F4376" s="19" t="s">
        <v>27</v>
      </c>
      <c r="G4376" s="19" t="s">
        <v>28</v>
      </c>
      <c r="H4376" s="37"/>
      <c r="I4376" s="21" t="s">
        <v>29</v>
      </c>
      <c r="J4376" s="155" t="str">
        <f t="shared" si="4"/>
        <v>TT</v>
      </c>
      <c r="K4376" s="22" t="s">
        <v>15459</v>
      </c>
      <c r="L4376" s="56">
        <v>45105</v>
      </c>
      <c r="O4376" s="42"/>
      <c r="P4376" s="40"/>
      <c r="Q4376" s="61"/>
      <c r="R4376" s="61"/>
      <c r="S4376" s="40"/>
      <c r="T4376" s="38"/>
      <c r="U4376" s="38"/>
      <c r="V4376" s="38"/>
      <c r="W4376" s="60"/>
      <c r="AB4376" s="42"/>
      <c r="AC4376" s="35"/>
      <c r="AD4376" s="38"/>
      <c r="AE4376" s="38"/>
      <c r="AF4376" s="38"/>
      <c r="AG4376" s="38"/>
      <c r="AH4376" s="60"/>
    </row>
    <row r="4377" spans="1:34" ht="15.75" customHeight="1">
      <c r="A4377" s="17">
        <v>42</v>
      </c>
      <c r="B4377" s="58" t="s">
        <v>15460</v>
      </c>
      <c r="C4377" s="37" t="s">
        <v>46</v>
      </c>
      <c r="D4377" s="20" t="s">
        <v>15461</v>
      </c>
      <c r="E4377" s="20" t="s">
        <v>15462</v>
      </c>
      <c r="F4377" s="37" t="s">
        <v>49</v>
      </c>
      <c r="G4377" s="19" t="s">
        <v>50</v>
      </c>
      <c r="H4377" s="37"/>
      <c r="I4377" s="21" t="s">
        <v>29</v>
      </c>
      <c r="J4377" s="155" t="str">
        <f t="shared" si="4"/>
        <v>TT</v>
      </c>
      <c r="K4377" s="22" t="s">
        <v>15462</v>
      </c>
      <c r="L4377" s="56">
        <v>45105</v>
      </c>
      <c r="O4377" s="42"/>
      <c r="P4377" s="40"/>
      <c r="Q4377" s="61"/>
      <c r="R4377" s="61"/>
      <c r="S4377" s="40"/>
      <c r="T4377" s="38"/>
      <c r="U4377" s="38"/>
      <c r="V4377" s="38"/>
      <c r="W4377" s="60"/>
      <c r="AB4377" s="42"/>
      <c r="AC4377" s="35"/>
      <c r="AD4377" s="38"/>
      <c r="AE4377" s="38"/>
      <c r="AF4377" s="38"/>
      <c r="AG4377" s="38"/>
      <c r="AH4377" s="60"/>
    </row>
    <row r="4378" spans="1:34" ht="15.75" customHeight="1">
      <c r="A4378" s="111" t="s">
        <v>64</v>
      </c>
      <c r="B4378" s="58" t="s">
        <v>15463</v>
      </c>
      <c r="C4378" s="37" t="s">
        <v>87</v>
      </c>
      <c r="D4378" s="20" t="s">
        <v>15464</v>
      </c>
      <c r="E4378" s="20" t="s">
        <v>15465</v>
      </c>
      <c r="F4378" s="19" t="s">
        <v>90</v>
      </c>
      <c r="G4378" s="19" t="s">
        <v>91</v>
      </c>
      <c r="H4378" s="37"/>
      <c r="I4378" s="21" t="s">
        <v>29</v>
      </c>
      <c r="J4378" s="155" t="str">
        <f t="shared" si="4"/>
        <v>TT</v>
      </c>
      <c r="K4378" s="22" t="s">
        <v>15466</v>
      </c>
      <c r="L4378" s="56">
        <v>45105</v>
      </c>
      <c r="O4378" s="42"/>
      <c r="P4378" s="40"/>
      <c r="Q4378" s="61"/>
      <c r="R4378" s="61"/>
      <c r="S4378" s="40"/>
      <c r="T4378" s="38"/>
      <c r="U4378" s="38"/>
      <c r="V4378" s="38"/>
      <c r="W4378" s="60"/>
      <c r="AB4378" s="42"/>
      <c r="AC4378" s="35"/>
      <c r="AD4378" s="38"/>
      <c r="AE4378" s="38"/>
      <c r="AF4378" s="38"/>
      <c r="AG4378" s="38"/>
      <c r="AH4378" s="60"/>
    </row>
    <row r="4379" spans="1:34" ht="15.75" customHeight="1">
      <c r="A4379" s="75">
        <v>2.5</v>
      </c>
      <c r="B4379" s="58" t="s">
        <v>15467</v>
      </c>
      <c r="C4379" s="37" t="s">
        <v>87</v>
      </c>
      <c r="D4379" s="20" t="s">
        <v>15468</v>
      </c>
      <c r="E4379" s="20" t="s">
        <v>15469</v>
      </c>
      <c r="F4379" s="19" t="s">
        <v>90</v>
      </c>
      <c r="G4379" s="19" t="s">
        <v>91</v>
      </c>
      <c r="H4379" s="37"/>
      <c r="I4379" s="21" t="s">
        <v>29</v>
      </c>
      <c r="J4379" s="155" t="str">
        <f t="shared" si="4"/>
        <v>TT</v>
      </c>
      <c r="K4379" s="22" t="s">
        <v>15470</v>
      </c>
      <c r="L4379" s="56">
        <v>45105</v>
      </c>
      <c r="O4379" s="42"/>
      <c r="P4379" s="40"/>
      <c r="Q4379" s="61"/>
      <c r="R4379" s="61"/>
      <c r="S4379" s="40"/>
      <c r="T4379" s="38"/>
      <c r="U4379" s="38"/>
      <c r="V4379" s="38"/>
      <c r="W4379" s="60"/>
      <c r="AB4379" s="42"/>
      <c r="AC4379" s="35"/>
      <c r="AD4379" s="38"/>
      <c r="AE4379" s="38"/>
      <c r="AF4379" s="38"/>
      <c r="AG4379" s="38"/>
      <c r="AH4379" s="60"/>
    </row>
    <row r="4380" spans="1:34" ht="15.75" customHeight="1">
      <c r="A4380" s="111" t="s">
        <v>73</v>
      </c>
      <c r="B4380" s="58" t="s">
        <v>15471</v>
      </c>
      <c r="C4380" s="37" t="s">
        <v>24</v>
      </c>
      <c r="D4380" s="20" t="s">
        <v>15472</v>
      </c>
      <c r="E4380" s="20" t="s">
        <v>15473</v>
      </c>
      <c r="F4380" s="19" t="s">
        <v>27</v>
      </c>
      <c r="G4380" s="19" t="s">
        <v>28</v>
      </c>
      <c r="H4380" s="37"/>
      <c r="I4380" s="21" t="s">
        <v>29</v>
      </c>
      <c r="J4380" s="155" t="str">
        <f t="shared" si="4"/>
        <v>TT</v>
      </c>
      <c r="K4380" s="22" t="s">
        <v>15473</v>
      </c>
      <c r="L4380" s="56">
        <v>45105</v>
      </c>
      <c r="O4380" s="42"/>
      <c r="P4380" s="40"/>
      <c r="Q4380" s="61"/>
      <c r="R4380" s="61"/>
      <c r="S4380" s="40"/>
      <c r="T4380" s="38"/>
      <c r="U4380" s="38"/>
      <c r="V4380" s="38"/>
      <c r="W4380" s="60"/>
      <c r="AB4380" s="42"/>
      <c r="AC4380" s="35"/>
      <c r="AD4380" s="38"/>
      <c r="AE4380" s="38"/>
      <c r="AF4380" s="38"/>
      <c r="AG4380" s="38"/>
      <c r="AH4380" s="60"/>
    </row>
    <row r="4381" spans="1:34" ht="15.75" customHeight="1">
      <c r="A4381" s="75">
        <v>3.2</v>
      </c>
      <c r="B4381" s="58" t="s">
        <v>15474</v>
      </c>
      <c r="C4381" s="37" t="s">
        <v>24</v>
      </c>
      <c r="D4381" s="20" t="s">
        <v>15475</v>
      </c>
      <c r="E4381" s="20" t="s">
        <v>15476</v>
      </c>
      <c r="F4381" s="19" t="s">
        <v>27</v>
      </c>
      <c r="G4381" s="19" t="s">
        <v>28</v>
      </c>
      <c r="H4381" s="37" t="s">
        <v>813</v>
      </c>
      <c r="I4381" s="21" t="s">
        <v>29</v>
      </c>
      <c r="J4381" s="155" t="str">
        <f t="shared" si="4"/>
        <v>TT</v>
      </c>
      <c r="K4381" s="22" t="s">
        <v>15476</v>
      </c>
      <c r="L4381" s="56">
        <v>45105</v>
      </c>
      <c r="O4381" s="42"/>
      <c r="P4381" s="40"/>
      <c r="Q4381" s="61"/>
      <c r="R4381" s="61"/>
      <c r="S4381" s="40"/>
      <c r="T4381" s="38"/>
      <c r="U4381" s="38"/>
      <c r="V4381" s="38"/>
      <c r="W4381" s="60"/>
      <c r="AB4381" s="42"/>
      <c r="AC4381" s="35"/>
      <c r="AD4381" s="38"/>
      <c r="AE4381" s="38"/>
      <c r="AF4381" s="38"/>
      <c r="AG4381" s="38"/>
      <c r="AH4381" s="60"/>
    </row>
    <row r="4382" spans="1:34" ht="15.75" customHeight="1">
      <c r="A4382" s="111" t="s">
        <v>82</v>
      </c>
      <c r="B4382" s="58" t="s">
        <v>15477</v>
      </c>
      <c r="C4382" s="37" t="s">
        <v>87</v>
      </c>
      <c r="D4382" s="20" t="s">
        <v>15478</v>
      </c>
      <c r="E4382" s="20" t="s">
        <v>15479</v>
      </c>
      <c r="F4382" s="19" t="s">
        <v>90</v>
      </c>
      <c r="G4382" s="19" t="s">
        <v>91</v>
      </c>
      <c r="H4382" s="37" t="s">
        <v>762</v>
      </c>
      <c r="I4382" s="21" t="s">
        <v>29</v>
      </c>
      <c r="J4382" s="155" t="str">
        <f t="shared" ref="J4382:J4408" si="6">IF(G4382="R","NA",I4382)</f>
        <v>TT</v>
      </c>
      <c r="K4382" s="22" t="s">
        <v>15480</v>
      </c>
      <c r="L4382" s="56">
        <v>45105</v>
      </c>
      <c r="O4382" s="42"/>
      <c r="P4382" s="40"/>
      <c r="Q4382" s="61"/>
      <c r="R4382" s="61"/>
      <c r="S4382" s="40"/>
      <c r="T4382" s="38"/>
      <c r="U4382" s="38"/>
      <c r="V4382" s="38"/>
      <c r="W4382" s="60"/>
      <c r="AB4382" s="42"/>
      <c r="AC4382" s="35"/>
      <c r="AD4382" s="38"/>
      <c r="AE4382" s="38"/>
      <c r="AF4382" s="38"/>
      <c r="AG4382" s="38"/>
      <c r="AH4382" s="60"/>
    </row>
    <row r="4383" spans="1:34" ht="15.75" customHeight="1">
      <c r="A4383" s="112" t="s">
        <v>15481</v>
      </c>
      <c r="B4383" s="58" t="s">
        <v>15482</v>
      </c>
      <c r="C4383" s="37" t="s">
        <v>24</v>
      </c>
      <c r="D4383" s="20" t="s">
        <v>15483</v>
      </c>
      <c r="E4383" s="20" t="s">
        <v>15484</v>
      </c>
      <c r="F4383" s="19" t="s">
        <v>27</v>
      </c>
      <c r="G4383" s="19" t="s">
        <v>28</v>
      </c>
      <c r="H4383" s="37"/>
      <c r="I4383" s="21" t="s">
        <v>29</v>
      </c>
      <c r="J4383" s="155" t="str">
        <f t="shared" si="6"/>
        <v>TT</v>
      </c>
      <c r="K4383" s="22" t="s">
        <v>15484</v>
      </c>
      <c r="L4383" s="56">
        <v>45105</v>
      </c>
      <c r="O4383" s="42"/>
      <c r="P4383" s="40"/>
      <c r="Q4383" s="61"/>
      <c r="R4383" s="61"/>
      <c r="S4383" s="40"/>
      <c r="T4383" s="38"/>
      <c r="U4383" s="38"/>
      <c r="V4383" s="38"/>
      <c r="W4383" s="60"/>
      <c r="AB4383" s="42"/>
      <c r="AC4383" s="35"/>
      <c r="AD4383" s="38"/>
      <c r="AE4383" s="38"/>
      <c r="AF4383" s="38"/>
      <c r="AG4383" s="38"/>
      <c r="AH4383" s="60"/>
    </row>
    <row r="4384" spans="1:34" ht="15.75" customHeight="1">
      <c r="A4384" s="111" t="s">
        <v>92</v>
      </c>
      <c r="B4384" s="58" t="s">
        <v>15485</v>
      </c>
      <c r="C4384" s="37" t="s">
        <v>24</v>
      </c>
      <c r="D4384" s="20" t="s">
        <v>15486</v>
      </c>
      <c r="E4384" s="20" t="s">
        <v>15487</v>
      </c>
      <c r="F4384" s="19" t="s">
        <v>27</v>
      </c>
      <c r="G4384" s="19" t="s">
        <v>28</v>
      </c>
      <c r="H4384" s="37" t="s">
        <v>762</v>
      </c>
      <c r="I4384" s="21" t="s">
        <v>29</v>
      </c>
      <c r="J4384" s="155" t="str">
        <f t="shared" si="6"/>
        <v>TT</v>
      </c>
      <c r="K4384" s="22" t="s">
        <v>15488</v>
      </c>
      <c r="L4384" s="56">
        <v>45105</v>
      </c>
      <c r="O4384" s="42"/>
      <c r="P4384" s="40"/>
      <c r="Q4384" s="61"/>
      <c r="R4384" s="61"/>
      <c r="S4384" s="40"/>
      <c r="T4384" s="38"/>
      <c r="U4384" s="38"/>
      <c r="V4384" s="38"/>
      <c r="W4384" s="60"/>
      <c r="AB4384" s="42"/>
      <c r="AC4384" s="35"/>
      <c r="AD4384" s="38"/>
      <c r="AE4384" s="38"/>
      <c r="AF4384" s="38"/>
      <c r="AG4384" s="38"/>
      <c r="AH4384" s="60"/>
    </row>
    <row r="4385" spans="1:34" ht="15.75" customHeight="1">
      <c r="A4385" s="17">
        <v>427</v>
      </c>
      <c r="B4385" s="58" t="s">
        <v>15489</v>
      </c>
      <c r="C4385" s="37" t="s">
        <v>24</v>
      </c>
      <c r="D4385" s="20" t="s">
        <v>15490</v>
      </c>
      <c r="E4385" s="20" t="s">
        <v>15491</v>
      </c>
      <c r="F4385" s="19" t="s">
        <v>27</v>
      </c>
      <c r="G4385" s="19" t="s">
        <v>28</v>
      </c>
      <c r="H4385" s="37" t="s">
        <v>762</v>
      </c>
      <c r="I4385" s="21" t="s">
        <v>29</v>
      </c>
      <c r="J4385" s="155" t="str">
        <f t="shared" si="6"/>
        <v>TT</v>
      </c>
      <c r="K4385" s="22" t="s">
        <v>15491</v>
      </c>
      <c r="L4385" s="56">
        <v>45105</v>
      </c>
      <c r="O4385" s="42"/>
      <c r="P4385" s="40"/>
      <c r="Q4385" s="61"/>
      <c r="R4385" s="61"/>
      <c r="S4385" s="40"/>
      <c r="T4385" s="38"/>
      <c r="U4385" s="38"/>
      <c r="V4385" s="38"/>
      <c r="W4385" s="60"/>
      <c r="AB4385" s="42"/>
      <c r="AC4385" s="35"/>
      <c r="AD4385" s="38"/>
      <c r="AE4385" s="38"/>
      <c r="AF4385" s="38"/>
      <c r="AG4385" s="38"/>
      <c r="AH4385" s="60"/>
    </row>
    <row r="4386" spans="1:34" ht="15.75" customHeight="1">
      <c r="A4386" s="111" t="s">
        <v>100</v>
      </c>
      <c r="B4386" s="58" t="s">
        <v>15492</v>
      </c>
      <c r="C4386" s="37" t="s">
        <v>87</v>
      </c>
      <c r="D4386" s="20" t="s">
        <v>15493</v>
      </c>
      <c r="E4386" s="20" t="s">
        <v>15494</v>
      </c>
      <c r="F4386" s="19" t="s">
        <v>90</v>
      </c>
      <c r="G4386" s="19" t="s">
        <v>91</v>
      </c>
      <c r="H4386" s="37"/>
      <c r="I4386" s="21" t="s">
        <v>29</v>
      </c>
      <c r="J4386" s="155" t="str">
        <f t="shared" si="6"/>
        <v>TT</v>
      </c>
      <c r="K4386" s="22" t="s">
        <v>15494</v>
      </c>
      <c r="L4386" s="56">
        <v>45105</v>
      </c>
      <c r="O4386" s="42"/>
      <c r="P4386" s="40"/>
      <c r="Q4386" s="61"/>
      <c r="R4386" s="61"/>
      <c r="S4386" s="40"/>
      <c r="T4386" s="38"/>
      <c r="U4386" s="38"/>
      <c r="V4386" s="38"/>
      <c r="W4386" s="60"/>
      <c r="AB4386" s="42"/>
      <c r="AC4386" s="35"/>
      <c r="AD4386" s="38"/>
      <c r="AE4386" s="38"/>
      <c r="AF4386" s="38"/>
      <c r="AG4386" s="38"/>
      <c r="AH4386" s="60"/>
    </row>
    <row r="4387" spans="1:34" ht="15.75" customHeight="1">
      <c r="A4387" s="17">
        <v>162</v>
      </c>
      <c r="B4387" s="58" t="s">
        <v>15495</v>
      </c>
      <c r="C4387" s="37" t="s">
        <v>87</v>
      </c>
      <c r="D4387" s="20" t="s">
        <v>15496</v>
      </c>
      <c r="E4387" s="20" t="s">
        <v>15497</v>
      </c>
      <c r="F4387" s="19" t="s">
        <v>90</v>
      </c>
      <c r="G4387" s="19" t="s">
        <v>91</v>
      </c>
      <c r="H4387" s="37"/>
      <c r="I4387" s="21" t="s">
        <v>29</v>
      </c>
      <c r="J4387" s="155" t="str">
        <f t="shared" si="6"/>
        <v>TT</v>
      </c>
      <c r="K4387" s="22" t="s">
        <v>15497</v>
      </c>
      <c r="L4387" s="56">
        <v>45105</v>
      </c>
      <c r="O4387" s="42"/>
      <c r="P4387" s="40"/>
      <c r="Q4387" s="61"/>
      <c r="R4387" s="61"/>
      <c r="S4387" s="40"/>
      <c r="T4387" s="38"/>
      <c r="U4387" s="38"/>
      <c r="V4387" s="38"/>
      <c r="W4387" s="60"/>
      <c r="AB4387" s="42"/>
      <c r="AC4387" s="35"/>
      <c r="AD4387" s="38"/>
      <c r="AE4387" s="38"/>
      <c r="AF4387" s="38"/>
      <c r="AG4387" s="38"/>
      <c r="AH4387" s="60"/>
    </row>
    <row r="4388" spans="1:34" ht="15.75" customHeight="1">
      <c r="A4388" s="35"/>
      <c r="B4388" s="58" t="s">
        <v>15498</v>
      </c>
      <c r="C4388" s="37" t="s">
        <v>24</v>
      </c>
      <c r="D4388" s="20" t="s">
        <v>15499</v>
      </c>
      <c r="E4388" s="20" t="s">
        <v>15500</v>
      </c>
      <c r="F4388" s="19" t="s">
        <v>27</v>
      </c>
      <c r="G4388" s="19" t="s">
        <v>28</v>
      </c>
      <c r="H4388" s="37"/>
      <c r="I4388" s="21" t="s">
        <v>29</v>
      </c>
      <c r="J4388" s="155" t="str">
        <f t="shared" si="6"/>
        <v>TT</v>
      </c>
      <c r="K4388" s="22" t="s">
        <v>15500</v>
      </c>
      <c r="L4388" s="56">
        <v>45105</v>
      </c>
      <c r="O4388" s="42"/>
      <c r="P4388" s="40"/>
      <c r="Q4388" s="61"/>
      <c r="R4388" s="61"/>
      <c r="S4388" s="40"/>
      <c r="T4388" s="38"/>
      <c r="U4388" s="38"/>
      <c r="V4388" s="38"/>
      <c r="W4388" s="60"/>
      <c r="AB4388" s="42"/>
      <c r="AC4388" s="35"/>
      <c r="AD4388" s="38"/>
      <c r="AE4388" s="38"/>
      <c r="AF4388" s="38"/>
      <c r="AG4388" s="38"/>
      <c r="AH4388" s="60"/>
    </row>
    <row r="4389" spans="1:34" ht="15.75" customHeight="1">
      <c r="A4389" s="220"/>
      <c r="B4389" s="38"/>
      <c r="C4389" s="37"/>
      <c r="D4389" s="20"/>
      <c r="E4389" s="20"/>
      <c r="F4389" s="37"/>
      <c r="G4389" s="37"/>
      <c r="H4389" s="37"/>
      <c r="I4389" s="37"/>
      <c r="J4389" s="155">
        <f t="shared" si="6"/>
        <v>0</v>
      </c>
      <c r="K4389" s="22"/>
      <c r="L4389" s="39"/>
      <c r="O4389" s="42"/>
      <c r="P4389" s="40"/>
      <c r="Q4389" s="61"/>
      <c r="R4389" s="61"/>
      <c r="S4389" s="40"/>
      <c r="T4389" s="38"/>
      <c r="U4389" s="38"/>
      <c r="V4389" s="38"/>
      <c r="W4389" s="60"/>
      <c r="AB4389" s="42"/>
      <c r="AC4389" s="35"/>
      <c r="AD4389" s="38"/>
      <c r="AE4389" s="38"/>
      <c r="AF4389" s="38"/>
      <c r="AG4389" s="38"/>
      <c r="AH4389" s="60"/>
    </row>
    <row r="4390" spans="1:34" ht="15.75" customHeight="1">
      <c r="A4390" s="35" t="s">
        <v>15501</v>
      </c>
      <c r="B4390" s="38" t="s">
        <v>15502</v>
      </c>
      <c r="C4390" s="19" t="s">
        <v>24</v>
      </c>
      <c r="D4390" s="20" t="s">
        <v>15503</v>
      </c>
      <c r="E4390" s="208"/>
      <c r="F4390" s="19" t="s">
        <v>27</v>
      </c>
      <c r="G4390" s="19" t="s">
        <v>28</v>
      </c>
      <c r="H4390" s="19"/>
      <c r="I4390" s="37" t="s">
        <v>29</v>
      </c>
      <c r="J4390" s="155" t="str">
        <f t="shared" si="6"/>
        <v>TT</v>
      </c>
      <c r="K4390" s="221"/>
      <c r="L4390" s="56">
        <v>45105</v>
      </c>
      <c r="M4390" s="40"/>
      <c r="O4390" s="42"/>
      <c r="P4390" s="40"/>
      <c r="Q4390" s="61"/>
      <c r="R4390" s="61"/>
      <c r="S4390" s="40"/>
      <c r="T4390" s="38"/>
      <c r="U4390" s="38"/>
      <c r="V4390" s="38"/>
      <c r="W4390" s="60"/>
      <c r="AB4390" s="42"/>
      <c r="AC4390" s="35"/>
      <c r="AD4390" s="38"/>
      <c r="AE4390" s="38"/>
      <c r="AF4390" s="38"/>
      <c r="AG4390" s="38"/>
      <c r="AH4390" s="60"/>
    </row>
    <row r="4391" spans="1:34" ht="15.75" customHeight="1">
      <c r="A4391" s="54" t="s">
        <v>2714</v>
      </c>
      <c r="B4391" s="222" t="s">
        <v>15504</v>
      </c>
      <c r="C4391" s="37" t="s">
        <v>412</v>
      </c>
      <c r="D4391" s="223" t="s">
        <v>15505</v>
      </c>
      <c r="E4391" s="223" t="s">
        <v>15506</v>
      </c>
      <c r="F4391" s="19" t="s">
        <v>414</v>
      </c>
      <c r="G4391" s="19" t="s">
        <v>415</v>
      </c>
      <c r="H4391" s="37"/>
      <c r="I4391" s="37" t="s">
        <v>233</v>
      </c>
      <c r="J4391" s="155" t="str">
        <f t="shared" si="6"/>
        <v>NTT</v>
      </c>
      <c r="K4391" s="224" t="s">
        <v>15507</v>
      </c>
      <c r="L4391" s="56">
        <v>45105</v>
      </c>
      <c r="O4391" s="42"/>
      <c r="P4391" s="40"/>
      <c r="Q4391" s="61"/>
      <c r="R4391" s="61"/>
      <c r="S4391" s="40"/>
      <c r="T4391" s="38"/>
      <c r="U4391" s="38"/>
      <c r="V4391" s="38"/>
      <c r="W4391" s="60"/>
      <c r="AB4391" s="42"/>
      <c r="AC4391" s="35"/>
      <c r="AD4391" s="38"/>
      <c r="AE4391" s="38"/>
      <c r="AF4391" s="38"/>
      <c r="AG4391" s="38"/>
      <c r="AH4391" s="60"/>
    </row>
    <row r="4392" spans="1:34" ht="15.75" customHeight="1">
      <c r="A4392" s="114" t="s">
        <v>39</v>
      </c>
      <c r="B4392" s="222" t="s">
        <v>15508</v>
      </c>
      <c r="C4392" s="19" t="s">
        <v>24</v>
      </c>
      <c r="D4392" s="223" t="s">
        <v>15509</v>
      </c>
      <c r="E4392" s="223" t="s">
        <v>15510</v>
      </c>
      <c r="F4392" s="19" t="s">
        <v>27</v>
      </c>
      <c r="G4392" s="19" t="s">
        <v>28</v>
      </c>
      <c r="H4392" s="19"/>
      <c r="I4392" s="37" t="s">
        <v>29</v>
      </c>
      <c r="J4392" s="155" t="str">
        <f t="shared" si="6"/>
        <v>TT</v>
      </c>
      <c r="K4392" s="224" t="s">
        <v>15511</v>
      </c>
      <c r="L4392" s="56">
        <v>45105</v>
      </c>
      <c r="O4392" s="42"/>
      <c r="P4392" s="40"/>
      <c r="Q4392" s="61"/>
      <c r="R4392" s="61"/>
      <c r="S4392" s="40"/>
      <c r="T4392" s="38"/>
      <c r="U4392" s="38"/>
      <c r="V4392" s="38"/>
      <c r="W4392" s="60"/>
      <c r="AB4392" s="42"/>
      <c r="AC4392" s="35"/>
      <c r="AD4392" s="38"/>
      <c r="AE4392" s="38"/>
      <c r="AF4392" s="38"/>
      <c r="AG4392" s="38"/>
      <c r="AH4392" s="60"/>
    </row>
    <row r="4393" spans="1:34" ht="15.75" customHeight="1">
      <c r="A4393" s="38" t="s">
        <v>14696</v>
      </c>
      <c r="B4393" s="222" t="s">
        <v>15512</v>
      </c>
      <c r="C4393" s="19" t="s">
        <v>24</v>
      </c>
      <c r="D4393" s="223" t="s">
        <v>15513</v>
      </c>
      <c r="E4393" s="223" t="s">
        <v>15514</v>
      </c>
      <c r="F4393" s="19" t="s">
        <v>27</v>
      </c>
      <c r="G4393" s="19" t="s">
        <v>28</v>
      </c>
      <c r="H4393" s="37"/>
      <c r="I4393" s="37" t="s">
        <v>29</v>
      </c>
      <c r="J4393" s="155" t="str">
        <f t="shared" si="6"/>
        <v>TT</v>
      </c>
      <c r="K4393" s="224" t="s">
        <v>15515</v>
      </c>
      <c r="L4393" s="56">
        <v>45105</v>
      </c>
      <c r="O4393" s="42"/>
      <c r="P4393" s="40"/>
      <c r="Q4393" s="61"/>
      <c r="R4393" s="61"/>
      <c r="S4393" s="40"/>
      <c r="T4393" s="38"/>
      <c r="U4393" s="38"/>
      <c r="V4393" s="38"/>
      <c r="W4393" s="60"/>
      <c r="AB4393" s="42"/>
      <c r="AC4393" s="35"/>
      <c r="AD4393" s="38"/>
      <c r="AE4393" s="38"/>
      <c r="AF4393" s="38"/>
      <c r="AG4393" s="38"/>
      <c r="AH4393" s="60"/>
    </row>
    <row r="4394" spans="1:34" ht="15.75" customHeight="1">
      <c r="A4394" s="75" t="s">
        <v>11020</v>
      </c>
      <c r="B4394" s="222" t="s">
        <v>15516</v>
      </c>
      <c r="C4394" s="19" t="s">
        <v>24</v>
      </c>
      <c r="D4394" s="223" t="s">
        <v>15517</v>
      </c>
      <c r="E4394" s="223" t="s">
        <v>15518</v>
      </c>
      <c r="F4394" s="19" t="s">
        <v>27</v>
      </c>
      <c r="G4394" s="19" t="s">
        <v>28</v>
      </c>
      <c r="H4394" s="19"/>
      <c r="I4394" s="37" t="s">
        <v>29</v>
      </c>
      <c r="J4394" s="155" t="str">
        <f t="shared" si="6"/>
        <v>TT</v>
      </c>
      <c r="K4394" s="224" t="s">
        <v>15519</v>
      </c>
      <c r="L4394" s="56">
        <v>45105</v>
      </c>
      <c r="O4394" s="42"/>
      <c r="P4394" s="40"/>
      <c r="Q4394" s="61"/>
      <c r="R4394" s="61"/>
      <c r="S4394" s="40"/>
      <c r="T4394" s="38"/>
      <c r="U4394" s="38"/>
      <c r="V4394" s="38"/>
      <c r="W4394" s="60"/>
      <c r="AB4394" s="42"/>
      <c r="AC4394" s="35"/>
      <c r="AD4394" s="38"/>
      <c r="AE4394" s="38"/>
      <c r="AF4394" s="38"/>
      <c r="AG4394" s="38"/>
      <c r="AH4394" s="60"/>
    </row>
    <row r="4395" spans="1:34" ht="15.75" customHeight="1">
      <c r="A4395" s="50" t="s">
        <v>56</v>
      </c>
      <c r="B4395" s="222" t="s">
        <v>15520</v>
      </c>
      <c r="C4395" s="19" t="s">
        <v>46</v>
      </c>
      <c r="D4395" s="223" t="s">
        <v>15521</v>
      </c>
      <c r="E4395" s="223" t="s">
        <v>15522</v>
      </c>
      <c r="F4395" s="37" t="s">
        <v>49</v>
      </c>
      <c r="G4395" s="19" t="s">
        <v>50</v>
      </c>
      <c r="H4395" s="19"/>
      <c r="I4395" s="37" t="s">
        <v>29</v>
      </c>
      <c r="J4395" s="155" t="str">
        <f t="shared" si="6"/>
        <v>TT</v>
      </c>
      <c r="K4395" s="224" t="s">
        <v>15523</v>
      </c>
      <c r="L4395" s="56">
        <v>45105</v>
      </c>
      <c r="O4395" s="42"/>
      <c r="P4395" s="40"/>
      <c r="Q4395" s="61"/>
      <c r="R4395" s="61"/>
      <c r="S4395" s="40"/>
      <c r="T4395" s="38"/>
      <c r="U4395" s="38"/>
      <c r="V4395" s="38"/>
      <c r="W4395" s="60"/>
      <c r="AB4395" s="42"/>
      <c r="AC4395" s="35"/>
      <c r="AD4395" s="38"/>
      <c r="AE4395" s="38"/>
      <c r="AF4395" s="38"/>
      <c r="AG4395" s="38"/>
      <c r="AH4395" s="60"/>
    </row>
    <row r="4396" spans="1:34" ht="15.75" customHeight="1">
      <c r="A4396" s="17">
        <v>46</v>
      </c>
      <c r="B4396" s="222" t="s">
        <v>15524</v>
      </c>
      <c r="C4396" s="37" t="s">
        <v>412</v>
      </c>
      <c r="D4396" s="223" t="s">
        <v>15525</v>
      </c>
      <c r="E4396" s="223" t="s">
        <v>15526</v>
      </c>
      <c r="F4396" s="19" t="s">
        <v>414</v>
      </c>
      <c r="G4396" s="37" t="s">
        <v>415</v>
      </c>
      <c r="H4396" s="37"/>
      <c r="I4396" s="37" t="s">
        <v>233</v>
      </c>
      <c r="J4396" s="155" t="str">
        <f t="shared" si="6"/>
        <v>NTT</v>
      </c>
      <c r="K4396" s="224" t="s">
        <v>15527</v>
      </c>
      <c r="L4396" s="56">
        <v>45105</v>
      </c>
      <c r="O4396" s="42"/>
      <c r="P4396" s="40"/>
      <c r="Q4396" s="61"/>
      <c r="R4396" s="61"/>
      <c r="S4396" s="40"/>
      <c r="T4396" s="38"/>
      <c r="U4396" s="38"/>
      <c r="V4396" s="38"/>
      <c r="W4396" s="60"/>
      <c r="AB4396" s="42"/>
      <c r="AC4396" s="35"/>
      <c r="AD4396" s="38"/>
      <c r="AE4396" s="38"/>
      <c r="AF4396" s="38"/>
      <c r="AG4396" s="38"/>
      <c r="AH4396" s="60"/>
    </row>
    <row r="4397" spans="1:34" ht="15.75" customHeight="1">
      <c r="A4397" s="111" t="s">
        <v>64</v>
      </c>
      <c r="B4397" s="222" t="s">
        <v>15528</v>
      </c>
      <c r="C4397" s="19" t="s">
        <v>87</v>
      </c>
      <c r="D4397" s="223" t="s">
        <v>15529</v>
      </c>
      <c r="E4397" s="223" t="s">
        <v>15530</v>
      </c>
      <c r="F4397" s="19" t="s">
        <v>90</v>
      </c>
      <c r="G4397" s="19" t="s">
        <v>91</v>
      </c>
      <c r="H4397" s="19"/>
      <c r="I4397" s="37" t="s">
        <v>29</v>
      </c>
      <c r="J4397" s="155" t="str">
        <f t="shared" si="6"/>
        <v>TT</v>
      </c>
      <c r="K4397" s="224" t="s">
        <v>15531</v>
      </c>
      <c r="L4397" s="56">
        <v>45105</v>
      </c>
      <c r="O4397" s="42"/>
      <c r="P4397" s="40"/>
      <c r="Q4397" s="61"/>
      <c r="R4397" s="61"/>
      <c r="S4397" s="40"/>
      <c r="T4397" s="38"/>
      <c r="U4397" s="38"/>
      <c r="V4397" s="38"/>
      <c r="W4397" s="60"/>
      <c r="AB4397" s="42"/>
      <c r="AC4397" s="35"/>
      <c r="AD4397" s="38"/>
      <c r="AE4397" s="38"/>
      <c r="AF4397" s="38"/>
      <c r="AG4397" s="38"/>
      <c r="AH4397" s="60"/>
    </row>
    <row r="4398" spans="1:34" ht="15.75" customHeight="1">
      <c r="A4398" s="75">
        <v>2.5</v>
      </c>
      <c r="B4398" s="222" t="s">
        <v>15532</v>
      </c>
      <c r="C4398" s="19" t="s">
        <v>24</v>
      </c>
      <c r="D4398" s="223" t="s">
        <v>15533</v>
      </c>
      <c r="E4398" s="223" t="s">
        <v>15534</v>
      </c>
      <c r="F4398" s="19" t="s">
        <v>27</v>
      </c>
      <c r="G4398" s="19" t="s">
        <v>28</v>
      </c>
      <c r="H4398" s="19"/>
      <c r="I4398" s="37" t="s">
        <v>29</v>
      </c>
      <c r="J4398" s="155" t="str">
        <f t="shared" si="6"/>
        <v>TT</v>
      </c>
      <c r="K4398" s="224" t="s">
        <v>15535</v>
      </c>
      <c r="L4398" s="56">
        <v>45105</v>
      </c>
      <c r="O4398" s="42"/>
      <c r="P4398" s="40"/>
      <c r="Q4398" s="61"/>
      <c r="R4398" s="61"/>
      <c r="S4398" s="40"/>
      <c r="T4398" s="38"/>
      <c r="U4398" s="38"/>
      <c r="V4398" s="38"/>
      <c r="W4398" s="60"/>
      <c r="AB4398" s="42"/>
      <c r="AC4398" s="35"/>
      <c r="AD4398" s="38"/>
      <c r="AE4398" s="38"/>
      <c r="AF4398" s="38"/>
      <c r="AG4398" s="38"/>
      <c r="AH4398" s="60"/>
    </row>
    <row r="4399" spans="1:34" ht="15.75" customHeight="1">
      <c r="A4399" s="111" t="s">
        <v>73</v>
      </c>
      <c r="B4399" s="222" t="s">
        <v>15536</v>
      </c>
      <c r="C4399" s="19" t="s">
        <v>87</v>
      </c>
      <c r="D4399" s="223" t="s">
        <v>15537</v>
      </c>
      <c r="E4399" s="223" t="s">
        <v>15538</v>
      </c>
      <c r="F4399" s="19" t="s">
        <v>90</v>
      </c>
      <c r="G4399" s="19" t="s">
        <v>91</v>
      </c>
      <c r="H4399" s="19"/>
      <c r="I4399" s="37" t="s">
        <v>29</v>
      </c>
      <c r="J4399" s="155" t="str">
        <f t="shared" si="6"/>
        <v>TT</v>
      </c>
      <c r="K4399" s="224" t="s">
        <v>15539</v>
      </c>
      <c r="L4399" s="56">
        <v>45105</v>
      </c>
      <c r="O4399" s="42"/>
      <c r="P4399" s="40"/>
      <c r="Q4399" s="61"/>
      <c r="R4399" s="61"/>
      <c r="S4399" s="40"/>
      <c r="T4399" s="38"/>
      <c r="U4399" s="38"/>
      <c r="V4399" s="38"/>
      <c r="W4399" s="60"/>
      <c r="AB4399" s="42"/>
      <c r="AC4399" s="35"/>
      <c r="AD4399" s="38"/>
      <c r="AE4399" s="38"/>
      <c r="AF4399" s="38"/>
      <c r="AG4399" s="38"/>
      <c r="AH4399" s="60"/>
    </row>
    <row r="4400" spans="1:34" ht="15.75" customHeight="1">
      <c r="A4400" s="75">
        <v>3</v>
      </c>
      <c r="B4400" s="222" t="s">
        <v>15540</v>
      </c>
      <c r="C4400" s="19" t="s">
        <v>46</v>
      </c>
      <c r="D4400" s="223" t="s">
        <v>15541</v>
      </c>
      <c r="E4400" s="223" t="s">
        <v>15542</v>
      </c>
      <c r="F4400" s="37" t="s">
        <v>49</v>
      </c>
      <c r="G4400" s="19" t="s">
        <v>50</v>
      </c>
      <c r="H4400" s="19"/>
      <c r="I4400" s="37" t="s">
        <v>29</v>
      </c>
      <c r="J4400" s="155" t="str">
        <f t="shared" si="6"/>
        <v>TT</v>
      </c>
      <c r="K4400" s="224" t="s">
        <v>15543</v>
      </c>
      <c r="L4400" s="56">
        <v>45105</v>
      </c>
      <c r="O4400" s="42"/>
      <c r="P4400" s="40"/>
      <c r="Q4400" s="61"/>
      <c r="R4400" s="61"/>
      <c r="S4400" s="40"/>
      <c r="T4400" s="38"/>
      <c r="U4400" s="38"/>
      <c r="V4400" s="38"/>
      <c r="W4400" s="60"/>
      <c r="AB4400" s="42"/>
      <c r="AC4400" s="35"/>
      <c r="AD4400" s="38"/>
      <c r="AE4400" s="38"/>
      <c r="AF4400" s="38"/>
      <c r="AG4400" s="38"/>
      <c r="AH4400" s="60"/>
    </row>
    <row r="4401" spans="1:34" ht="15.75" customHeight="1">
      <c r="A4401" s="111" t="s">
        <v>82</v>
      </c>
      <c r="B4401" s="222" t="s">
        <v>15544</v>
      </c>
      <c r="C4401" s="19" t="s">
        <v>87</v>
      </c>
      <c r="D4401" s="223" t="s">
        <v>15545</v>
      </c>
      <c r="E4401" s="223" t="s">
        <v>15546</v>
      </c>
      <c r="F4401" s="19" t="s">
        <v>90</v>
      </c>
      <c r="G4401" s="19" t="s">
        <v>91</v>
      </c>
      <c r="H4401" s="19"/>
      <c r="I4401" s="37" t="s">
        <v>29</v>
      </c>
      <c r="J4401" s="155" t="str">
        <f t="shared" si="6"/>
        <v>TT</v>
      </c>
      <c r="K4401" s="224" t="s">
        <v>15547</v>
      </c>
      <c r="L4401" s="56">
        <v>45105</v>
      </c>
      <c r="O4401" s="42"/>
      <c r="P4401" s="40"/>
      <c r="Q4401" s="61"/>
      <c r="R4401" s="61"/>
      <c r="S4401" s="40"/>
      <c r="T4401" s="38"/>
      <c r="U4401" s="38"/>
      <c r="V4401" s="38"/>
      <c r="W4401" s="60"/>
      <c r="AB4401" s="42"/>
      <c r="AC4401" s="35"/>
      <c r="AD4401" s="38"/>
      <c r="AE4401" s="38"/>
      <c r="AF4401" s="38"/>
      <c r="AG4401" s="38"/>
      <c r="AH4401" s="60"/>
    </row>
    <row r="4402" spans="1:34" ht="15.75" customHeight="1">
      <c r="A4402" s="112" t="s">
        <v>15548</v>
      </c>
      <c r="B4402" s="222" t="s">
        <v>15549</v>
      </c>
      <c r="C4402" s="37" t="s">
        <v>24</v>
      </c>
      <c r="D4402" s="223" t="s">
        <v>15550</v>
      </c>
      <c r="E4402" s="223" t="s">
        <v>15551</v>
      </c>
      <c r="F4402" s="19" t="s">
        <v>27</v>
      </c>
      <c r="G4402" s="19" t="s">
        <v>28</v>
      </c>
      <c r="H4402" s="37"/>
      <c r="I4402" s="37" t="s">
        <v>29</v>
      </c>
      <c r="J4402" s="155" t="str">
        <f t="shared" si="6"/>
        <v>TT</v>
      </c>
      <c r="K4402" s="224" t="s">
        <v>15552</v>
      </c>
      <c r="L4402" s="56">
        <v>45105</v>
      </c>
      <c r="O4402" s="42"/>
      <c r="P4402" s="40"/>
      <c r="Q4402" s="61"/>
      <c r="R4402" s="61"/>
      <c r="S4402" s="40"/>
      <c r="T4402" s="38"/>
      <c r="U4402" s="38"/>
      <c r="V4402" s="38"/>
      <c r="W4402" s="60"/>
      <c r="AB4402" s="42"/>
      <c r="AC4402" s="35"/>
      <c r="AD4402" s="38"/>
      <c r="AE4402" s="38"/>
      <c r="AF4402" s="38"/>
      <c r="AG4402" s="38"/>
      <c r="AH4402" s="60"/>
    </row>
    <row r="4403" spans="1:34" ht="15.75" customHeight="1">
      <c r="A4403" s="111" t="s">
        <v>92</v>
      </c>
      <c r="B4403" s="222" t="s">
        <v>15553</v>
      </c>
      <c r="C4403" s="19" t="s">
        <v>24</v>
      </c>
      <c r="D4403" s="223" t="s">
        <v>15554</v>
      </c>
      <c r="E4403" s="223" t="s">
        <v>15555</v>
      </c>
      <c r="F4403" s="19" t="s">
        <v>27</v>
      </c>
      <c r="G4403" s="19" t="s">
        <v>28</v>
      </c>
      <c r="H4403" s="19"/>
      <c r="I4403" s="37" t="s">
        <v>29</v>
      </c>
      <c r="J4403" s="155" t="str">
        <f t="shared" si="6"/>
        <v>TT</v>
      </c>
      <c r="K4403" s="224" t="s">
        <v>15556</v>
      </c>
      <c r="L4403" s="56">
        <v>45105</v>
      </c>
      <c r="O4403" s="42"/>
      <c r="P4403" s="40"/>
      <c r="Q4403" s="61"/>
      <c r="R4403" s="61"/>
      <c r="S4403" s="40"/>
      <c r="T4403" s="38"/>
      <c r="U4403" s="38"/>
      <c r="V4403" s="38"/>
      <c r="W4403" s="60"/>
      <c r="AB4403" s="42"/>
      <c r="AC4403" s="35"/>
      <c r="AD4403" s="38"/>
      <c r="AE4403" s="38"/>
      <c r="AF4403" s="38"/>
      <c r="AG4403" s="38"/>
      <c r="AH4403" s="60"/>
    </row>
    <row r="4404" spans="1:34" ht="15.75" customHeight="1">
      <c r="A4404" s="17">
        <v>1607</v>
      </c>
      <c r="B4404" s="222" t="s">
        <v>15557</v>
      </c>
      <c r="C4404" s="37" t="s">
        <v>412</v>
      </c>
      <c r="D4404" s="223" t="s">
        <v>15558</v>
      </c>
      <c r="E4404" s="223" t="s">
        <v>15559</v>
      </c>
      <c r="F4404" s="19" t="s">
        <v>414</v>
      </c>
      <c r="G4404" s="19" t="s">
        <v>415</v>
      </c>
      <c r="H4404" s="37"/>
      <c r="I4404" s="37" t="s">
        <v>233</v>
      </c>
      <c r="J4404" s="155" t="str">
        <f t="shared" si="6"/>
        <v>NTT</v>
      </c>
      <c r="K4404" s="224" t="s">
        <v>15560</v>
      </c>
      <c r="L4404" s="56">
        <v>45105</v>
      </c>
      <c r="O4404" s="42"/>
      <c r="P4404" s="40"/>
      <c r="Q4404" s="61"/>
      <c r="R4404" s="61"/>
      <c r="S4404" s="40"/>
      <c r="T4404" s="38"/>
      <c r="U4404" s="38"/>
      <c r="V4404" s="38"/>
      <c r="W4404" s="60"/>
      <c r="AB4404" s="42"/>
      <c r="AC4404" s="35"/>
      <c r="AD4404" s="38"/>
      <c r="AE4404" s="38"/>
      <c r="AF4404" s="38"/>
      <c r="AG4404" s="38"/>
      <c r="AH4404" s="60"/>
    </row>
    <row r="4405" spans="1:34" ht="15.75" customHeight="1">
      <c r="A4405" s="111" t="s">
        <v>100</v>
      </c>
      <c r="B4405" s="222" t="s">
        <v>15561</v>
      </c>
      <c r="C4405" s="19" t="s">
        <v>87</v>
      </c>
      <c r="D4405" s="223" t="s">
        <v>15562</v>
      </c>
      <c r="E4405" s="223" t="s">
        <v>15563</v>
      </c>
      <c r="F4405" s="19" t="s">
        <v>90</v>
      </c>
      <c r="G4405" s="19" t="s">
        <v>91</v>
      </c>
      <c r="H4405" s="19"/>
      <c r="I4405" s="37" t="s">
        <v>29</v>
      </c>
      <c r="J4405" s="155" t="str">
        <f t="shared" si="6"/>
        <v>TT</v>
      </c>
      <c r="K4405" s="224" t="s">
        <v>15564</v>
      </c>
      <c r="L4405" s="56">
        <v>45105</v>
      </c>
      <c r="O4405" s="42"/>
      <c r="P4405" s="40"/>
      <c r="Q4405" s="61"/>
      <c r="R4405" s="61"/>
      <c r="S4405" s="40"/>
      <c r="T4405" s="38"/>
      <c r="U4405" s="38"/>
      <c r="V4405" s="38"/>
      <c r="W4405" s="60"/>
      <c r="AB4405" s="42"/>
      <c r="AC4405" s="35"/>
      <c r="AD4405" s="38"/>
      <c r="AE4405" s="38"/>
      <c r="AF4405" s="38"/>
      <c r="AG4405" s="38"/>
      <c r="AH4405" s="60"/>
    </row>
    <row r="4406" spans="1:34" ht="15.75" customHeight="1">
      <c r="A4406" s="17" t="s">
        <v>55</v>
      </c>
      <c r="B4406" s="222" t="s">
        <v>15565</v>
      </c>
      <c r="C4406" s="19" t="s">
        <v>24</v>
      </c>
      <c r="D4406" s="223" t="s">
        <v>15566</v>
      </c>
      <c r="E4406" s="223" t="s">
        <v>15567</v>
      </c>
      <c r="F4406" s="19" t="s">
        <v>27</v>
      </c>
      <c r="G4406" s="19" t="s">
        <v>28</v>
      </c>
      <c r="H4406" s="19"/>
      <c r="I4406" s="37" t="s">
        <v>29</v>
      </c>
      <c r="J4406" s="155" t="str">
        <f t="shared" si="6"/>
        <v>TT</v>
      </c>
      <c r="K4406" s="224" t="s">
        <v>15568</v>
      </c>
      <c r="L4406" s="56">
        <v>45105</v>
      </c>
      <c r="O4406" s="42"/>
      <c r="P4406" s="40"/>
      <c r="Q4406" s="61"/>
      <c r="R4406" s="61"/>
      <c r="S4406" s="40"/>
      <c r="T4406" s="38"/>
      <c r="U4406" s="38"/>
      <c r="V4406" s="38"/>
      <c r="W4406" s="60"/>
      <c r="AB4406" s="42"/>
      <c r="AC4406" s="35"/>
      <c r="AD4406" s="38"/>
      <c r="AE4406" s="38"/>
      <c r="AF4406" s="38"/>
      <c r="AG4406" s="38"/>
      <c r="AH4406" s="60"/>
    </row>
    <row r="4407" spans="1:34" ht="15.75" customHeight="1">
      <c r="A4407" s="35"/>
      <c r="B4407" s="222" t="s">
        <v>15569</v>
      </c>
      <c r="C4407" s="19" t="s">
        <v>24</v>
      </c>
      <c r="D4407" s="223" t="s">
        <v>15570</v>
      </c>
      <c r="E4407" s="223" t="s">
        <v>15571</v>
      </c>
      <c r="F4407" s="19" t="s">
        <v>27</v>
      </c>
      <c r="G4407" s="19" t="s">
        <v>28</v>
      </c>
      <c r="H4407" s="19"/>
      <c r="I4407" s="37" t="s">
        <v>29</v>
      </c>
      <c r="J4407" s="155" t="str">
        <f t="shared" si="6"/>
        <v>TT</v>
      </c>
      <c r="K4407" s="224" t="s">
        <v>15572</v>
      </c>
      <c r="L4407" s="56">
        <v>45105</v>
      </c>
      <c r="O4407" s="42"/>
      <c r="P4407" s="40"/>
      <c r="Q4407" s="61"/>
      <c r="R4407" s="61"/>
      <c r="S4407" s="40"/>
      <c r="T4407" s="38"/>
      <c r="U4407" s="38"/>
      <c r="V4407" s="38"/>
      <c r="W4407" s="60"/>
      <c r="AB4407" s="42"/>
      <c r="AC4407" s="35"/>
      <c r="AD4407" s="38"/>
      <c r="AE4407" s="38"/>
      <c r="AF4407" s="38"/>
      <c r="AG4407" s="38"/>
      <c r="AH4407" s="60"/>
    </row>
    <row r="4408" spans="1:34" ht="15.75" customHeight="1">
      <c r="A4408" s="220"/>
      <c r="B4408" s="38"/>
      <c r="C4408" s="37"/>
      <c r="D4408" s="20"/>
      <c r="E4408" s="20"/>
      <c r="F4408" s="37"/>
      <c r="G4408" s="37"/>
      <c r="H4408" s="37"/>
      <c r="I4408" s="37"/>
      <c r="J4408" s="155">
        <f t="shared" si="6"/>
        <v>0</v>
      </c>
      <c r="K4408" s="22"/>
      <c r="L4408" s="39"/>
      <c r="O4408" s="42"/>
      <c r="P4408" s="40"/>
      <c r="Q4408" s="61"/>
      <c r="R4408" s="61"/>
      <c r="S4408" s="40"/>
      <c r="T4408" s="38"/>
      <c r="U4408" s="38"/>
      <c r="V4408" s="38"/>
      <c r="W4408" s="60"/>
      <c r="AB4408" s="42"/>
      <c r="AC4408" s="35"/>
      <c r="AD4408" s="38"/>
      <c r="AE4408" s="38"/>
      <c r="AF4408" s="38"/>
      <c r="AG4408" s="38"/>
      <c r="AH4408" s="60"/>
    </row>
    <row r="4409" spans="1:34" ht="15.75" customHeight="1">
      <c r="A4409" s="54" t="s">
        <v>15573</v>
      </c>
      <c r="B4409" s="41"/>
      <c r="C4409" s="106"/>
      <c r="D4409" s="107"/>
      <c r="E4409" s="107"/>
      <c r="F4409" s="106"/>
      <c r="G4409" s="106"/>
      <c r="H4409" s="106"/>
      <c r="I4409" s="106"/>
      <c r="J4409" s="106"/>
      <c r="K4409" s="109"/>
      <c r="L4409" s="225"/>
      <c r="M4409" s="40"/>
      <c r="O4409" s="42"/>
      <c r="P4409" s="40"/>
      <c r="Q4409" s="61"/>
      <c r="R4409" s="61"/>
      <c r="S4409" s="40"/>
      <c r="T4409" s="38"/>
      <c r="U4409" s="38"/>
      <c r="V4409" s="38"/>
      <c r="W4409" s="60"/>
      <c r="AB4409" s="42"/>
      <c r="AC4409" s="35"/>
      <c r="AD4409" s="38"/>
      <c r="AE4409" s="38"/>
      <c r="AF4409" s="38"/>
      <c r="AG4409" s="38"/>
      <c r="AH4409" s="60"/>
    </row>
    <row r="4410" spans="1:34" ht="15.75" customHeight="1">
      <c r="A4410" s="226" t="s">
        <v>15574</v>
      </c>
      <c r="B4410" s="41"/>
      <c r="C4410" s="106"/>
      <c r="D4410" s="107"/>
      <c r="E4410" s="107"/>
      <c r="F4410" s="106"/>
      <c r="G4410" s="106"/>
      <c r="H4410" s="106"/>
      <c r="I4410" s="106"/>
      <c r="J4410" s="106"/>
      <c r="K4410" s="109"/>
      <c r="L4410" s="225"/>
      <c r="O4410" s="42"/>
      <c r="P4410" s="40"/>
      <c r="Q4410" s="61"/>
      <c r="R4410" s="61"/>
      <c r="S4410" s="40"/>
      <c r="T4410" s="38"/>
      <c r="U4410" s="38"/>
      <c r="V4410" s="38"/>
      <c r="W4410" s="60"/>
      <c r="AB4410" s="42"/>
      <c r="AC4410" s="35"/>
      <c r="AD4410" s="38"/>
      <c r="AE4410" s="38"/>
      <c r="AF4410" s="38"/>
      <c r="AG4410" s="38"/>
      <c r="AH4410" s="60"/>
    </row>
    <row r="4411" spans="1:34" ht="15.75" customHeight="1">
      <c r="A4411" s="114" t="s">
        <v>39</v>
      </c>
      <c r="B4411" s="41"/>
      <c r="C4411" s="106"/>
      <c r="D4411" s="107"/>
      <c r="E4411" s="107"/>
      <c r="F4411" s="106"/>
      <c r="G4411" s="106"/>
      <c r="H4411" s="106"/>
      <c r="I4411" s="106"/>
      <c r="J4411" s="106"/>
      <c r="K4411" s="109"/>
      <c r="L4411" s="225"/>
      <c r="O4411" s="42"/>
      <c r="P4411" s="40"/>
      <c r="Q4411" s="61"/>
      <c r="R4411" s="61"/>
      <c r="S4411" s="40"/>
      <c r="T4411" s="38"/>
      <c r="U4411" s="38"/>
      <c r="V4411" s="38"/>
      <c r="W4411" s="60"/>
      <c r="AB4411" s="42"/>
      <c r="AC4411" s="35"/>
      <c r="AD4411" s="38"/>
      <c r="AE4411" s="38"/>
      <c r="AF4411" s="38"/>
      <c r="AG4411" s="38"/>
      <c r="AH4411" s="60"/>
    </row>
    <row r="4412" spans="1:34" ht="15.75" customHeight="1">
      <c r="A4412" s="38" t="s">
        <v>14696</v>
      </c>
      <c r="B4412" s="41"/>
      <c r="C4412" s="106"/>
      <c r="D4412" s="107"/>
      <c r="E4412" s="107"/>
      <c r="F4412" s="106"/>
      <c r="G4412" s="106"/>
      <c r="H4412" s="106"/>
      <c r="I4412" s="106"/>
      <c r="J4412" s="106"/>
      <c r="K4412" s="109"/>
      <c r="L4412" s="225"/>
      <c r="O4412" s="42"/>
      <c r="P4412" s="40"/>
      <c r="Q4412" s="61"/>
      <c r="R4412" s="61"/>
      <c r="S4412" s="40"/>
      <c r="T4412" s="38"/>
      <c r="U4412" s="38"/>
      <c r="V4412" s="38"/>
      <c r="W4412" s="60"/>
      <c r="AB4412" s="42"/>
      <c r="AC4412" s="35"/>
      <c r="AD4412" s="38"/>
      <c r="AE4412" s="38"/>
      <c r="AF4412" s="38"/>
      <c r="AG4412" s="38"/>
      <c r="AH4412" s="60"/>
    </row>
    <row r="4413" spans="1:34" ht="15.75" customHeight="1">
      <c r="A4413" s="75" t="s">
        <v>13546</v>
      </c>
      <c r="B4413" s="41"/>
      <c r="C4413" s="106"/>
      <c r="D4413" s="107"/>
      <c r="E4413" s="107"/>
      <c r="F4413" s="106"/>
      <c r="G4413" s="106"/>
      <c r="H4413" s="106"/>
      <c r="I4413" s="106"/>
      <c r="J4413" s="106"/>
      <c r="K4413" s="109"/>
      <c r="L4413" s="225"/>
      <c r="O4413" s="42"/>
      <c r="P4413" s="40"/>
      <c r="Q4413" s="61"/>
      <c r="R4413" s="61"/>
      <c r="S4413" s="40"/>
      <c r="T4413" s="38"/>
      <c r="U4413" s="38"/>
      <c r="V4413" s="38"/>
      <c r="W4413" s="60"/>
      <c r="AB4413" s="42"/>
      <c r="AC4413" s="35"/>
      <c r="AD4413" s="38"/>
      <c r="AE4413" s="38"/>
      <c r="AF4413" s="38"/>
      <c r="AG4413" s="38"/>
      <c r="AH4413" s="60"/>
    </row>
    <row r="4414" spans="1:34" ht="15.75" customHeight="1">
      <c r="A4414" s="50" t="s">
        <v>56</v>
      </c>
      <c r="B4414" s="41"/>
      <c r="C4414" s="106"/>
      <c r="D4414" s="107"/>
      <c r="E4414" s="107"/>
      <c r="F4414" s="106"/>
      <c r="G4414" s="106"/>
      <c r="H4414" s="106"/>
      <c r="I4414" s="106"/>
      <c r="J4414" s="106"/>
      <c r="K4414" s="109"/>
      <c r="L4414" s="225"/>
      <c r="O4414" s="42"/>
      <c r="P4414" s="40"/>
      <c r="Q4414" s="61"/>
      <c r="R4414" s="61"/>
      <c r="S4414" s="40"/>
      <c r="T4414" s="38"/>
      <c r="U4414" s="38"/>
      <c r="V4414" s="38"/>
      <c r="W4414" s="60"/>
      <c r="AB4414" s="42"/>
      <c r="AC4414" s="35"/>
      <c r="AD4414" s="38"/>
      <c r="AE4414" s="38"/>
      <c r="AF4414" s="38"/>
      <c r="AG4414" s="38"/>
      <c r="AH4414" s="60"/>
    </row>
    <row r="4415" spans="1:34" ht="15.75" customHeight="1">
      <c r="A4415" s="17">
        <v>47</v>
      </c>
      <c r="B4415" s="41"/>
      <c r="C4415" s="106"/>
      <c r="D4415" s="107"/>
      <c r="E4415" s="107"/>
      <c r="F4415" s="106"/>
      <c r="G4415" s="106"/>
      <c r="H4415" s="106"/>
      <c r="I4415" s="106"/>
      <c r="J4415" s="106"/>
      <c r="K4415" s="109"/>
      <c r="L4415" s="225"/>
      <c r="O4415" s="42"/>
      <c r="P4415" s="40"/>
      <c r="Q4415" s="61"/>
      <c r="R4415" s="61"/>
      <c r="S4415" s="40"/>
      <c r="T4415" s="38"/>
      <c r="U4415" s="38"/>
      <c r="V4415" s="38"/>
      <c r="W4415" s="60"/>
      <c r="AB4415" s="42"/>
      <c r="AC4415" s="35"/>
      <c r="AD4415" s="38"/>
      <c r="AE4415" s="38"/>
      <c r="AF4415" s="38"/>
      <c r="AG4415" s="38"/>
      <c r="AH4415" s="60"/>
    </row>
    <row r="4416" spans="1:34" ht="15.75" customHeight="1">
      <c r="A4416" s="111" t="s">
        <v>64</v>
      </c>
      <c r="B4416" s="41"/>
      <c r="C4416" s="106"/>
      <c r="D4416" s="107"/>
      <c r="E4416" s="107"/>
      <c r="F4416" s="106"/>
      <c r="G4416" s="106"/>
      <c r="H4416" s="106"/>
      <c r="I4416" s="106"/>
      <c r="J4416" s="106"/>
      <c r="K4416" s="109"/>
      <c r="L4416" s="225"/>
      <c r="O4416" s="42"/>
      <c r="P4416" s="40"/>
      <c r="Q4416" s="61"/>
      <c r="R4416" s="61"/>
      <c r="S4416" s="40"/>
      <c r="T4416" s="38"/>
      <c r="U4416" s="38"/>
      <c r="V4416" s="38"/>
      <c r="W4416" s="60"/>
      <c r="AB4416" s="42"/>
      <c r="AC4416" s="35"/>
      <c r="AD4416" s="38"/>
      <c r="AE4416" s="38"/>
      <c r="AF4416" s="38"/>
      <c r="AG4416" s="38"/>
      <c r="AH4416" s="60"/>
    </row>
    <row r="4417" spans="1:34" ht="15.75" customHeight="1">
      <c r="A4417" s="75">
        <v>2.2999999999999998</v>
      </c>
      <c r="B4417" s="41"/>
      <c r="C4417" s="106"/>
      <c r="D4417" s="107"/>
      <c r="E4417" s="107"/>
      <c r="F4417" s="106"/>
      <c r="G4417" s="106"/>
      <c r="H4417" s="106"/>
      <c r="I4417" s="106"/>
      <c r="J4417" s="106"/>
      <c r="K4417" s="109"/>
      <c r="L4417" s="225"/>
      <c r="O4417" s="42"/>
      <c r="P4417" s="40"/>
      <c r="Q4417" s="61"/>
      <c r="R4417" s="61"/>
      <c r="S4417" s="40"/>
      <c r="T4417" s="38"/>
      <c r="U4417" s="38"/>
      <c r="V4417" s="38"/>
      <c r="W4417" s="60"/>
      <c r="AB4417" s="42"/>
      <c r="AC4417" s="35"/>
      <c r="AD4417" s="38"/>
      <c r="AE4417" s="38"/>
      <c r="AF4417" s="38"/>
      <c r="AG4417" s="38"/>
      <c r="AH4417" s="60"/>
    </row>
    <row r="4418" spans="1:34" ht="15.75" customHeight="1">
      <c r="A4418" s="111" t="s">
        <v>73</v>
      </c>
      <c r="B4418" s="41"/>
      <c r="C4418" s="106"/>
      <c r="D4418" s="107"/>
      <c r="E4418" s="107"/>
      <c r="F4418" s="106"/>
      <c r="G4418" s="106"/>
      <c r="H4418" s="106"/>
      <c r="I4418" s="106"/>
      <c r="J4418" s="106"/>
      <c r="K4418" s="109"/>
      <c r="L4418" s="225"/>
      <c r="O4418" s="42"/>
      <c r="P4418" s="40"/>
      <c r="Q4418" s="61"/>
      <c r="R4418" s="61"/>
      <c r="S4418" s="40"/>
      <c r="T4418" s="38"/>
      <c r="U4418" s="38"/>
      <c r="V4418" s="38"/>
      <c r="W4418" s="60"/>
      <c r="AB4418" s="42"/>
      <c r="AC4418" s="35"/>
      <c r="AD4418" s="38"/>
      <c r="AE4418" s="38"/>
      <c r="AF4418" s="38"/>
      <c r="AG4418" s="38"/>
      <c r="AH4418" s="60"/>
    </row>
    <row r="4419" spans="1:34" ht="15.75" customHeight="1">
      <c r="A4419" s="75">
        <v>3.2</v>
      </c>
      <c r="B4419" s="41"/>
      <c r="C4419" s="106"/>
      <c r="D4419" s="107"/>
      <c r="E4419" s="107"/>
      <c r="F4419" s="106"/>
      <c r="G4419" s="106"/>
      <c r="H4419" s="106"/>
      <c r="I4419" s="106"/>
      <c r="J4419" s="106"/>
      <c r="K4419" s="109"/>
      <c r="L4419" s="225"/>
      <c r="O4419" s="42"/>
      <c r="P4419" s="40"/>
      <c r="Q4419" s="61"/>
      <c r="R4419" s="61"/>
      <c r="S4419" s="40"/>
      <c r="T4419" s="38"/>
      <c r="U4419" s="38"/>
      <c r="V4419" s="38"/>
      <c r="W4419" s="60"/>
      <c r="AB4419" s="42"/>
      <c r="AC4419" s="35"/>
      <c r="AD4419" s="38"/>
      <c r="AE4419" s="38"/>
      <c r="AF4419" s="38"/>
      <c r="AG4419" s="38"/>
      <c r="AH4419" s="60"/>
    </row>
    <row r="4420" spans="1:34" ht="15.75" customHeight="1">
      <c r="A4420" s="111" t="s">
        <v>82</v>
      </c>
      <c r="B4420" s="41"/>
      <c r="C4420" s="106"/>
      <c r="D4420" s="107"/>
      <c r="E4420" s="107"/>
      <c r="F4420" s="106"/>
      <c r="G4420" s="106"/>
      <c r="H4420" s="106"/>
      <c r="I4420" s="106"/>
      <c r="J4420" s="106"/>
      <c r="K4420" s="109"/>
      <c r="L4420" s="225"/>
      <c r="O4420" s="42"/>
      <c r="P4420" s="40"/>
      <c r="Q4420" s="61"/>
      <c r="R4420" s="61"/>
      <c r="S4420" s="40"/>
      <c r="T4420" s="38"/>
      <c r="U4420" s="38"/>
      <c r="V4420" s="38"/>
      <c r="W4420" s="60"/>
      <c r="AB4420" s="42"/>
      <c r="AC4420" s="35"/>
      <c r="AD4420" s="38"/>
      <c r="AE4420" s="38"/>
      <c r="AF4420" s="38"/>
      <c r="AG4420" s="38"/>
      <c r="AH4420" s="60"/>
    </row>
    <row r="4421" spans="1:34" ht="15.75" customHeight="1">
      <c r="A4421" s="112" t="s">
        <v>15575</v>
      </c>
      <c r="B4421" s="41"/>
      <c r="C4421" s="106"/>
      <c r="D4421" s="107"/>
      <c r="E4421" s="107"/>
      <c r="F4421" s="106"/>
      <c r="G4421" s="106"/>
      <c r="H4421" s="106"/>
      <c r="I4421" s="106"/>
      <c r="J4421" s="106"/>
      <c r="K4421" s="109"/>
      <c r="L4421" s="225"/>
      <c r="O4421" s="42"/>
      <c r="P4421" s="40"/>
      <c r="Q4421" s="61"/>
      <c r="R4421" s="61"/>
      <c r="S4421" s="40"/>
      <c r="T4421" s="38"/>
      <c r="U4421" s="38"/>
      <c r="V4421" s="38"/>
      <c r="W4421" s="60"/>
      <c r="AB4421" s="42"/>
      <c r="AC4421" s="35"/>
      <c r="AD4421" s="38"/>
      <c r="AE4421" s="38"/>
      <c r="AF4421" s="38"/>
      <c r="AG4421" s="38"/>
      <c r="AH4421" s="60"/>
    </row>
    <row r="4422" spans="1:34" ht="15.75" customHeight="1">
      <c r="A4422" s="111" t="s">
        <v>92</v>
      </c>
      <c r="B4422" s="41"/>
      <c r="C4422" s="106"/>
      <c r="D4422" s="107"/>
      <c r="E4422" s="107"/>
      <c r="F4422" s="106"/>
      <c r="G4422" s="106"/>
      <c r="H4422" s="106"/>
      <c r="I4422" s="106"/>
      <c r="J4422" s="106"/>
      <c r="K4422" s="109"/>
      <c r="L4422" s="225"/>
      <c r="O4422" s="42"/>
      <c r="P4422" s="40"/>
      <c r="Q4422" s="61"/>
      <c r="R4422" s="61"/>
      <c r="S4422" s="40"/>
      <c r="T4422" s="38"/>
      <c r="U4422" s="38"/>
      <c r="V4422" s="38"/>
      <c r="W4422" s="60"/>
      <c r="AB4422" s="42"/>
      <c r="AC4422" s="35"/>
      <c r="AD4422" s="38"/>
      <c r="AE4422" s="38"/>
      <c r="AF4422" s="38"/>
      <c r="AG4422" s="38"/>
      <c r="AH4422" s="60"/>
    </row>
    <row r="4423" spans="1:34" ht="15.75" customHeight="1">
      <c r="A4423" s="17">
        <v>618</v>
      </c>
      <c r="B4423" s="41"/>
      <c r="C4423" s="106"/>
      <c r="D4423" s="107"/>
      <c r="E4423" s="107"/>
      <c r="F4423" s="106"/>
      <c r="G4423" s="106"/>
      <c r="H4423" s="106"/>
      <c r="I4423" s="106"/>
      <c r="J4423" s="106"/>
      <c r="K4423" s="109"/>
      <c r="L4423" s="225"/>
      <c r="O4423" s="42"/>
      <c r="P4423" s="40"/>
      <c r="Q4423" s="61"/>
      <c r="R4423" s="61"/>
      <c r="S4423" s="40"/>
      <c r="T4423" s="38"/>
      <c r="U4423" s="38"/>
      <c r="V4423" s="38"/>
      <c r="W4423" s="60"/>
      <c r="AB4423" s="42"/>
      <c r="AC4423" s="35"/>
      <c r="AD4423" s="38"/>
      <c r="AE4423" s="38"/>
      <c r="AF4423" s="38"/>
      <c r="AG4423" s="38"/>
      <c r="AH4423" s="60"/>
    </row>
    <row r="4424" spans="1:34" ht="15.75" customHeight="1">
      <c r="A4424" s="111" t="s">
        <v>100</v>
      </c>
      <c r="B4424" s="41"/>
      <c r="C4424" s="106"/>
      <c r="D4424" s="107"/>
      <c r="E4424" s="107"/>
      <c r="F4424" s="106"/>
      <c r="G4424" s="106"/>
      <c r="H4424" s="106"/>
      <c r="I4424" s="106"/>
      <c r="J4424" s="106"/>
      <c r="K4424" s="109"/>
      <c r="L4424" s="225"/>
      <c r="O4424" s="42"/>
      <c r="P4424" s="40"/>
      <c r="Q4424" s="61"/>
      <c r="R4424" s="61"/>
      <c r="S4424" s="40"/>
      <c r="T4424" s="38"/>
      <c r="U4424" s="38"/>
      <c r="V4424" s="38"/>
      <c r="W4424" s="60"/>
      <c r="AB4424" s="42"/>
      <c r="AC4424" s="35"/>
      <c r="AD4424" s="38"/>
      <c r="AE4424" s="38"/>
      <c r="AF4424" s="38"/>
      <c r="AG4424" s="38"/>
      <c r="AH4424" s="60"/>
    </row>
    <row r="4425" spans="1:34" ht="15.75" customHeight="1">
      <c r="A4425" s="17">
        <v>162</v>
      </c>
      <c r="B4425" s="41"/>
      <c r="C4425" s="106"/>
      <c r="D4425" s="107"/>
      <c r="E4425" s="107"/>
      <c r="F4425" s="106"/>
      <c r="G4425" s="106"/>
      <c r="H4425" s="106"/>
      <c r="I4425" s="106"/>
      <c r="J4425" s="106"/>
      <c r="K4425" s="109"/>
      <c r="L4425" s="225"/>
      <c r="O4425" s="42"/>
      <c r="P4425" s="40"/>
      <c r="Q4425" s="61"/>
      <c r="R4425" s="61"/>
      <c r="S4425" s="40"/>
      <c r="T4425" s="38"/>
      <c r="U4425" s="38"/>
      <c r="V4425" s="38"/>
      <c r="W4425" s="60"/>
      <c r="AB4425" s="42"/>
      <c r="AC4425" s="35"/>
      <c r="AD4425" s="38"/>
      <c r="AE4425" s="38"/>
      <c r="AF4425" s="38"/>
      <c r="AG4425" s="38"/>
      <c r="AH4425" s="60"/>
    </row>
    <row r="4426" spans="1:34" ht="15.75" customHeight="1">
      <c r="A4426" s="35"/>
      <c r="B4426" s="38"/>
      <c r="C4426" s="37"/>
      <c r="D4426" s="20"/>
      <c r="E4426" s="20"/>
      <c r="F4426" s="37"/>
      <c r="G4426" s="37"/>
      <c r="H4426" s="37"/>
      <c r="I4426" s="37"/>
      <c r="J4426" s="155">
        <f t="shared" ref="J4426:J4680" si="7">IF(G4426="R","NA",I4426)</f>
        <v>0</v>
      </c>
      <c r="K4426" s="22"/>
      <c r="L4426" s="39"/>
      <c r="O4426" s="42"/>
      <c r="P4426" s="40"/>
      <c r="Q4426" s="61"/>
      <c r="R4426" s="61"/>
      <c r="S4426" s="40"/>
      <c r="T4426" s="38"/>
      <c r="U4426" s="38"/>
      <c r="V4426" s="38"/>
      <c r="W4426" s="60"/>
      <c r="AB4426" s="42"/>
      <c r="AC4426" s="35"/>
      <c r="AD4426" s="38"/>
      <c r="AE4426" s="38"/>
      <c r="AF4426" s="38"/>
      <c r="AG4426" s="38"/>
      <c r="AH4426" s="60"/>
    </row>
    <row r="4427" spans="1:34" ht="15.75" customHeight="1">
      <c r="A4427" s="54" t="s">
        <v>15576</v>
      </c>
      <c r="B4427" s="227" t="s">
        <v>15577</v>
      </c>
      <c r="C4427" s="143" t="s">
        <v>24</v>
      </c>
      <c r="D4427" s="20" t="s">
        <v>15578</v>
      </c>
      <c r="E4427" s="20" t="s">
        <v>15579</v>
      </c>
      <c r="F4427" s="19" t="s">
        <v>27</v>
      </c>
      <c r="G4427" s="19" t="s">
        <v>28</v>
      </c>
      <c r="H4427" s="37" t="s">
        <v>762</v>
      </c>
      <c r="I4427" s="88"/>
      <c r="J4427" s="155">
        <f t="shared" si="7"/>
        <v>0</v>
      </c>
      <c r="K4427" s="22" t="s">
        <v>15580</v>
      </c>
      <c r="L4427" s="56">
        <v>45105</v>
      </c>
      <c r="M4427" s="40"/>
      <c r="O4427" s="42"/>
      <c r="P4427" s="40"/>
      <c r="Q4427" s="61"/>
      <c r="R4427" s="61"/>
      <c r="S4427" s="40"/>
      <c r="T4427" s="38"/>
      <c r="U4427" s="38"/>
      <c r="V4427" s="38"/>
      <c r="W4427" s="60"/>
      <c r="AB4427" s="42"/>
      <c r="AC4427" s="35"/>
      <c r="AD4427" s="38"/>
      <c r="AE4427" s="38"/>
      <c r="AF4427" s="38"/>
      <c r="AG4427" s="38"/>
      <c r="AH4427" s="60"/>
    </row>
    <row r="4428" spans="1:34" ht="15.75" customHeight="1">
      <c r="A4428" s="54" t="s">
        <v>2628</v>
      </c>
      <c r="B4428" s="227" t="s">
        <v>15581</v>
      </c>
      <c r="C4428" s="37" t="s">
        <v>24</v>
      </c>
      <c r="D4428" s="20" t="s">
        <v>15582</v>
      </c>
      <c r="E4428" s="20" t="s">
        <v>15583</v>
      </c>
      <c r="F4428" s="19" t="s">
        <v>27</v>
      </c>
      <c r="G4428" s="19" t="s">
        <v>28</v>
      </c>
      <c r="H4428" s="37"/>
      <c r="I4428" s="88" t="s">
        <v>29</v>
      </c>
      <c r="J4428" s="155" t="str">
        <f t="shared" si="7"/>
        <v>TT</v>
      </c>
      <c r="K4428" s="22" t="s">
        <v>15584</v>
      </c>
      <c r="L4428" s="56">
        <v>45105</v>
      </c>
      <c r="O4428" s="42"/>
      <c r="P4428" s="40"/>
      <c r="Q4428" s="61"/>
      <c r="R4428" s="61"/>
      <c r="S4428" s="40"/>
      <c r="T4428" s="38"/>
      <c r="U4428" s="38"/>
      <c r="V4428" s="38"/>
      <c r="W4428" s="60"/>
      <c r="AB4428" s="42"/>
      <c r="AC4428" s="35"/>
      <c r="AD4428" s="38"/>
      <c r="AE4428" s="38"/>
      <c r="AF4428" s="38"/>
      <c r="AG4428" s="38"/>
      <c r="AH4428" s="60"/>
    </row>
    <row r="4429" spans="1:34" ht="15.75" customHeight="1">
      <c r="A4429" s="114" t="s">
        <v>39</v>
      </c>
      <c r="B4429" s="227" t="s">
        <v>15585</v>
      </c>
      <c r="C4429" s="37" t="s">
        <v>24</v>
      </c>
      <c r="D4429" s="20" t="s">
        <v>15586</v>
      </c>
      <c r="E4429" s="20" t="s">
        <v>15587</v>
      </c>
      <c r="F4429" s="19" t="s">
        <v>27</v>
      </c>
      <c r="G4429" s="19" t="s">
        <v>28</v>
      </c>
      <c r="H4429" s="37"/>
      <c r="I4429" s="88" t="s">
        <v>29</v>
      </c>
      <c r="J4429" s="155" t="str">
        <f t="shared" si="7"/>
        <v>TT</v>
      </c>
      <c r="K4429" s="22" t="s">
        <v>15588</v>
      </c>
      <c r="L4429" s="56">
        <v>45105</v>
      </c>
      <c r="O4429" s="42"/>
      <c r="P4429" s="40"/>
      <c r="Q4429" s="61"/>
      <c r="R4429" s="61"/>
      <c r="S4429" s="40"/>
      <c r="T4429" s="38"/>
      <c r="U4429" s="38"/>
      <c r="V4429" s="38"/>
      <c r="W4429" s="60"/>
      <c r="AB4429" s="42"/>
      <c r="AC4429" s="35"/>
      <c r="AD4429" s="38"/>
      <c r="AE4429" s="38"/>
      <c r="AF4429" s="38"/>
      <c r="AG4429" s="38"/>
      <c r="AH4429" s="60"/>
    </row>
    <row r="4430" spans="1:34" ht="15.75" customHeight="1">
      <c r="A4430" s="38" t="s">
        <v>14696</v>
      </c>
      <c r="B4430" s="227" t="s">
        <v>15589</v>
      </c>
      <c r="C4430" s="37" t="s">
        <v>46</v>
      </c>
      <c r="D4430" s="20" t="s">
        <v>15590</v>
      </c>
      <c r="E4430" s="20" t="s">
        <v>15591</v>
      </c>
      <c r="F4430" s="37" t="s">
        <v>49</v>
      </c>
      <c r="G4430" s="19" t="s">
        <v>50</v>
      </c>
      <c r="H4430" s="37"/>
      <c r="I4430" s="88" t="s">
        <v>29</v>
      </c>
      <c r="J4430" s="155" t="str">
        <f t="shared" si="7"/>
        <v>TT</v>
      </c>
      <c r="K4430" s="22" t="s">
        <v>15592</v>
      </c>
      <c r="L4430" s="56">
        <v>45105</v>
      </c>
      <c r="O4430" s="42"/>
      <c r="P4430" s="40"/>
      <c r="Q4430" s="61"/>
      <c r="R4430" s="61"/>
      <c r="S4430" s="40"/>
      <c r="T4430" s="38"/>
      <c r="U4430" s="38"/>
      <c r="V4430" s="38"/>
      <c r="W4430" s="60"/>
      <c r="AB4430" s="42"/>
      <c r="AC4430" s="35"/>
      <c r="AD4430" s="38"/>
      <c r="AE4430" s="38"/>
      <c r="AF4430" s="38"/>
      <c r="AG4430" s="38"/>
      <c r="AH4430" s="60"/>
    </row>
    <row r="4431" spans="1:34" ht="15.75" customHeight="1">
      <c r="A4431" s="75" t="s">
        <v>13546</v>
      </c>
      <c r="B4431" s="227" t="s">
        <v>15593</v>
      </c>
      <c r="C4431" s="143" t="s">
        <v>24</v>
      </c>
      <c r="D4431" s="20" t="s">
        <v>15594</v>
      </c>
      <c r="E4431" s="20" t="s">
        <v>15595</v>
      </c>
      <c r="F4431" s="19" t="s">
        <v>27</v>
      </c>
      <c r="G4431" s="19" t="s">
        <v>28</v>
      </c>
      <c r="H4431" s="143"/>
      <c r="I4431" s="88" t="s">
        <v>29</v>
      </c>
      <c r="J4431" s="155" t="str">
        <f t="shared" si="7"/>
        <v>TT</v>
      </c>
      <c r="K4431" s="22" t="s">
        <v>15596</v>
      </c>
      <c r="L4431" s="56">
        <v>45105</v>
      </c>
      <c r="O4431" s="42"/>
      <c r="P4431" s="40"/>
      <c r="Q4431" s="61"/>
      <c r="R4431" s="61"/>
      <c r="S4431" s="40"/>
      <c r="T4431" s="38"/>
      <c r="U4431" s="38"/>
      <c r="V4431" s="38"/>
      <c r="W4431" s="60"/>
      <c r="AB4431" s="42"/>
      <c r="AC4431" s="35"/>
      <c r="AD4431" s="38"/>
      <c r="AE4431" s="38"/>
      <c r="AF4431" s="38"/>
      <c r="AG4431" s="38"/>
      <c r="AH4431" s="60"/>
    </row>
    <row r="4432" spans="1:34" ht="15.75" customHeight="1">
      <c r="A4432" s="50" t="s">
        <v>56</v>
      </c>
      <c r="B4432" s="227" t="s">
        <v>15597</v>
      </c>
      <c r="C4432" s="37" t="s">
        <v>1638</v>
      </c>
      <c r="D4432" s="20" t="s">
        <v>15598</v>
      </c>
      <c r="E4432" s="20" t="s">
        <v>15599</v>
      </c>
      <c r="F4432" s="37" t="s">
        <v>1399</v>
      </c>
      <c r="G4432" s="19" t="s">
        <v>1641</v>
      </c>
      <c r="H4432" s="37"/>
      <c r="I4432" s="21" t="s">
        <v>1371</v>
      </c>
      <c r="J4432" s="155" t="str">
        <f t="shared" si="7"/>
        <v>Other</v>
      </c>
      <c r="K4432" s="22" t="s">
        <v>15600</v>
      </c>
      <c r="L4432" s="56">
        <v>45105</v>
      </c>
      <c r="O4432" s="42"/>
      <c r="P4432" s="40"/>
      <c r="Q4432" s="61"/>
      <c r="R4432" s="61"/>
      <c r="S4432" s="40"/>
      <c r="T4432" s="38"/>
      <c r="U4432" s="38"/>
      <c r="V4432" s="38"/>
      <c r="W4432" s="60"/>
      <c r="AB4432" s="42"/>
      <c r="AC4432" s="35"/>
      <c r="AD4432" s="38"/>
      <c r="AE4432" s="38"/>
      <c r="AF4432" s="38"/>
      <c r="AG4432" s="38"/>
      <c r="AH4432" s="60"/>
    </row>
    <row r="4433" spans="1:34" ht="15.75" customHeight="1">
      <c r="A4433" s="17">
        <v>47</v>
      </c>
      <c r="B4433" s="227" t="s">
        <v>15601</v>
      </c>
      <c r="C4433" s="37" t="s">
        <v>87</v>
      </c>
      <c r="D4433" s="20" t="s">
        <v>15602</v>
      </c>
      <c r="E4433" s="20" t="s">
        <v>15603</v>
      </c>
      <c r="F4433" s="19" t="s">
        <v>90</v>
      </c>
      <c r="G4433" s="19" t="s">
        <v>91</v>
      </c>
      <c r="H4433" s="37"/>
      <c r="I4433" s="88" t="s">
        <v>29</v>
      </c>
      <c r="J4433" s="155" t="str">
        <f t="shared" si="7"/>
        <v>TT</v>
      </c>
      <c r="K4433" s="22" t="s">
        <v>15604</v>
      </c>
      <c r="L4433" s="56">
        <v>45105</v>
      </c>
      <c r="O4433" s="42"/>
      <c r="P4433" s="40"/>
      <c r="Q4433" s="61"/>
      <c r="R4433" s="61"/>
      <c r="S4433" s="40"/>
      <c r="T4433" s="38"/>
      <c r="U4433" s="38"/>
      <c r="V4433" s="38"/>
      <c r="W4433" s="60"/>
      <c r="AB4433" s="42"/>
      <c r="AC4433" s="35"/>
      <c r="AD4433" s="38"/>
      <c r="AE4433" s="38"/>
      <c r="AF4433" s="38"/>
      <c r="AG4433" s="38"/>
      <c r="AH4433" s="60"/>
    </row>
    <row r="4434" spans="1:34" ht="15.75" customHeight="1">
      <c r="A4434" s="111" t="s">
        <v>64</v>
      </c>
      <c r="B4434" s="227" t="s">
        <v>15605</v>
      </c>
      <c r="C4434" s="37" t="s">
        <v>24</v>
      </c>
      <c r="D4434" s="20" t="s">
        <v>15606</v>
      </c>
      <c r="E4434" s="20" t="s">
        <v>15607</v>
      </c>
      <c r="F4434" s="19" t="s">
        <v>27</v>
      </c>
      <c r="G4434" s="19" t="s">
        <v>28</v>
      </c>
      <c r="H4434" s="37"/>
      <c r="I4434" s="88" t="s">
        <v>29</v>
      </c>
      <c r="J4434" s="155" t="str">
        <f t="shared" si="7"/>
        <v>TT</v>
      </c>
      <c r="K4434" s="22" t="s">
        <v>15608</v>
      </c>
      <c r="L4434" s="56">
        <v>45105</v>
      </c>
      <c r="O4434" s="42"/>
      <c r="P4434" s="40"/>
      <c r="Q4434" s="61"/>
      <c r="R4434" s="61"/>
      <c r="S4434" s="40"/>
      <c r="T4434" s="38"/>
      <c r="U4434" s="38"/>
      <c r="V4434" s="38"/>
      <c r="W4434" s="60"/>
      <c r="AB4434" s="42"/>
      <c r="AC4434" s="35"/>
      <c r="AD4434" s="38"/>
      <c r="AE4434" s="38"/>
      <c r="AF4434" s="38"/>
      <c r="AG4434" s="38"/>
      <c r="AH4434" s="60"/>
    </row>
    <row r="4435" spans="1:34" ht="15.75" customHeight="1">
      <c r="A4435" s="75">
        <v>2.4</v>
      </c>
      <c r="B4435" s="227" t="s">
        <v>15609</v>
      </c>
      <c r="C4435" s="37" t="s">
        <v>46</v>
      </c>
      <c r="D4435" s="20" t="s">
        <v>15610</v>
      </c>
      <c r="E4435" s="20" t="s">
        <v>15611</v>
      </c>
      <c r="F4435" s="37" t="s">
        <v>49</v>
      </c>
      <c r="G4435" s="19" t="s">
        <v>50</v>
      </c>
      <c r="H4435" s="37"/>
      <c r="I4435" s="88" t="s">
        <v>29</v>
      </c>
      <c r="J4435" s="155" t="str">
        <f t="shared" si="7"/>
        <v>TT</v>
      </c>
      <c r="K4435" s="22" t="s">
        <v>15612</v>
      </c>
      <c r="L4435" s="56">
        <v>45105</v>
      </c>
      <c r="O4435" s="42"/>
      <c r="P4435" s="40"/>
      <c r="Q4435" s="61"/>
      <c r="R4435" s="61"/>
      <c r="S4435" s="40"/>
      <c r="T4435" s="38"/>
      <c r="U4435" s="38"/>
      <c r="V4435" s="38"/>
      <c r="W4435" s="60"/>
      <c r="AB4435" s="42"/>
      <c r="AC4435" s="35"/>
      <c r="AD4435" s="38"/>
      <c r="AE4435" s="38"/>
      <c r="AF4435" s="38"/>
      <c r="AG4435" s="38"/>
      <c r="AH4435" s="60"/>
    </row>
    <row r="4436" spans="1:34" ht="15.75" customHeight="1">
      <c r="A4436" s="111" t="s">
        <v>73</v>
      </c>
      <c r="B4436" s="227" t="s">
        <v>15613</v>
      </c>
      <c r="C4436" s="37" t="s">
        <v>24</v>
      </c>
      <c r="D4436" s="20" t="s">
        <v>15614</v>
      </c>
      <c r="E4436" s="20" t="s">
        <v>15615</v>
      </c>
      <c r="F4436" s="19" t="s">
        <v>27</v>
      </c>
      <c r="G4436" s="19" t="s">
        <v>28</v>
      </c>
      <c r="H4436" s="19" t="s">
        <v>36</v>
      </c>
      <c r="I4436" s="88" t="s">
        <v>29</v>
      </c>
      <c r="J4436" s="155" t="str">
        <f t="shared" si="7"/>
        <v>TT</v>
      </c>
      <c r="K4436" s="22" t="s">
        <v>15616</v>
      </c>
      <c r="L4436" s="56">
        <v>45105</v>
      </c>
      <c r="O4436" s="42"/>
      <c r="P4436" s="40"/>
      <c r="Q4436" s="61"/>
      <c r="R4436" s="61"/>
      <c r="S4436" s="40"/>
      <c r="T4436" s="38"/>
      <c r="U4436" s="38"/>
      <c r="V4436" s="38"/>
      <c r="W4436" s="60"/>
      <c r="AB4436" s="42"/>
      <c r="AC4436" s="35"/>
      <c r="AD4436" s="38"/>
      <c r="AE4436" s="38"/>
      <c r="AF4436" s="38"/>
      <c r="AG4436" s="38"/>
      <c r="AH4436" s="60"/>
    </row>
    <row r="4437" spans="1:34" ht="15.75" customHeight="1">
      <c r="A4437" s="75">
        <v>2.9</v>
      </c>
      <c r="B4437" s="227" t="s">
        <v>15617</v>
      </c>
      <c r="C4437" s="37" t="s">
        <v>24</v>
      </c>
      <c r="D4437" s="20" t="s">
        <v>15618</v>
      </c>
      <c r="E4437" s="20" t="s">
        <v>15619</v>
      </c>
      <c r="F4437" s="19" t="s">
        <v>27</v>
      </c>
      <c r="G4437" s="19" t="s">
        <v>28</v>
      </c>
      <c r="H4437" s="37"/>
      <c r="I4437" s="88" t="s">
        <v>29</v>
      </c>
      <c r="J4437" s="155" t="str">
        <f t="shared" si="7"/>
        <v>TT</v>
      </c>
      <c r="K4437" s="22" t="s">
        <v>15620</v>
      </c>
      <c r="L4437" s="56">
        <v>45105</v>
      </c>
      <c r="O4437" s="42"/>
      <c r="P4437" s="40"/>
      <c r="Q4437" s="61"/>
      <c r="R4437" s="61"/>
      <c r="S4437" s="40"/>
      <c r="T4437" s="38"/>
      <c r="U4437" s="38"/>
      <c r="V4437" s="38"/>
      <c r="W4437" s="60"/>
      <c r="AB4437" s="42"/>
      <c r="AC4437" s="35"/>
      <c r="AD4437" s="38"/>
      <c r="AE4437" s="38"/>
      <c r="AF4437" s="38"/>
      <c r="AG4437" s="38"/>
      <c r="AH4437" s="60"/>
    </row>
    <row r="4438" spans="1:34" ht="15.75" customHeight="1">
      <c r="A4438" s="111" t="s">
        <v>82</v>
      </c>
      <c r="B4438" s="227" t="s">
        <v>15621</v>
      </c>
      <c r="C4438" s="37" t="s">
        <v>24</v>
      </c>
      <c r="D4438" s="20" t="s">
        <v>15622</v>
      </c>
      <c r="E4438" s="20" t="s">
        <v>15623</v>
      </c>
      <c r="F4438" s="19" t="s">
        <v>27</v>
      </c>
      <c r="G4438" s="19" t="s">
        <v>28</v>
      </c>
      <c r="H4438" s="37"/>
      <c r="I4438" s="88" t="s">
        <v>29</v>
      </c>
      <c r="J4438" s="155" t="str">
        <f t="shared" si="7"/>
        <v>TT</v>
      </c>
      <c r="K4438" s="22" t="s">
        <v>15624</v>
      </c>
      <c r="L4438" s="56">
        <v>45105</v>
      </c>
      <c r="O4438" s="42"/>
      <c r="P4438" s="40"/>
      <c r="Q4438" s="61"/>
      <c r="R4438" s="61"/>
      <c r="S4438" s="40"/>
      <c r="T4438" s="38"/>
      <c r="U4438" s="38"/>
      <c r="V4438" s="38"/>
      <c r="W4438" s="60"/>
      <c r="AB4438" s="42"/>
      <c r="AC4438" s="35"/>
      <c r="AD4438" s="38"/>
      <c r="AE4438" s="38"/>
      <c r="AF4438" s="38"/>
      <c r="AG4438" s="38"/>
      <c r="AH4438" s="60"/>
    </row>
    <row r="4439" spans="1:34" ht="15.75" customHeight="1">
      <c r="A4439" s="112" t="s">
        <v>15625</v>
      </c>
      <c r="B4439" s="228" t="s">
        <v>15626</v>
      </c>
      <c r="C4439" s="37" t="s">
        <v>87</v>
      </c>
      <c r="D4439" s="20" t="s">
        <v>15627</v>
      </c>
      <c r="E4439" s="20" t="s">
        <v>15628</v>
      </c>
      <c r="F4439" s="19" t="s">
        <v>90</v>
      </c>
      <c r="G4439" s="19" t="s">
        <v>91</v>
      </c>
      <c r="H4439" s="37"/>
      <c r="I4439" s="88" t="s">
        <v>29</v>
      </c>
      <c r="J4439" s="155" t="str">
        <f t="shared" si="7"/>
        <v>TT</v>
      </c>
      <c r="K4439" s="22" t="s">
        <v>15629</v>
      </c>
      <c r="L4439" s="56">
        <v>45105</v>
      </c>
      <c r="O4439" s="42"/>
      <c r="P4439" s="40"/>
      <c r="Q4439" s="61"/>
      <c r="R4439" s="61"/>
      <c r="S4439" s="40"/>
      <c r="T4439" s="38"/>
      <c r="U4439" s="38"/>
      <c r="V4439" s="38"/>
      <c r="W4439" s="60"/>
      <c r="AB4439" s="42"/>
      <c r="AC4439" s="35"/>
      <c r="AD4439" s="38"/>
      <c r="AE4439" s="38"/>
      <c r="AF4439" s="38"/>
      <c r="AG4439" s="38"/>
      <c r="AH4439" s="60"/>
    </row>
    <row r="4440" spans="1:34" ht="15.75" customHeight="1">
      <c r="A4440" s="111" t="s">
        <v>92</v>
      </c>
      <c r="B4440" s="227" t="s">
        <v>15630</v>
      </c>
      <c r="C4440" s="37" t="s">
        <v>46</v>
      </c>
      <c r="D4440" s="20" t="s">
        <v>15631</v>
      </c>
      <c r="E4440" s="20" t="s">
        <v>15632</v>
      </c>
      <c r="F4440" s="37" t="s">
        <v>49</v>
      </c>
      <c r="G4440" s="19" t="s">
        <v>50</v>
      </c>
      <c r="H4440" s="37"/>
      <c r="I4440" s="88" t="s">
        <v>29</v>
      </c>
      <c r="J4440" s="155" t="str">
        <f t="shared" si="7"/>
        <v>TT</v>
      </c>
      <c r="K4440" s="22" t="s">
        <v>15633</v>
      </c>
      <c r="L4440" s="56">
        <v>45105</v>
      </c>
      <c r="O4440" s="42"/>
      <c r="P4440" s="40"/>
      <c r="Q4440" s="61"/>
      <c r="R4440" s="61"/>
      <c r="S4440" s="40"/>
      <c r="T4440" s="38"/>
      <c r="U4440" s="38"/>
      <c r="V4440" s="38"/>
      <c r="W4440" s="60"/>
      <c r="AB4440" s="42"/>
      <c r="AC4440" s="35"/>
      <c r="AD4440" s="38"/>
      <c r="AE4440" s="38"/>
      <c r="AF4440" s="38"/>
      <c r="AG4440" s="38"/>
      <c r="AH4440" s="60"/>
    </row>
    <row r="4441" spans="1:34" ht="15.75" customHeight="1">
      <c r="A4441" s="17">
        <v>415</v>
      </c>
      <c r="B4441" s="227" t="s">
        <v>15634</v>
      </c>
      <c r="C4441" s="37" t="s">
        <v>1430</v>
      </c>
      <c r="D4441" s="20" t="s">
        <v>15635</v>
      </c>
      <c r="E4441" s="20" t="s">
        <v>15636</v>
      </c>
      <c r="F4441" s="55" t="s">
        <v>1445</v>
      </c>
      <c r="G4441" s="55" t="s">
        <v>1432</v>
      </c>
      <c r="H4441" s="37"/>
      <c r="I4441" s="88" t="s">
        <v>233</v>
      </c>
      <c r="J4441" s="155" t="str">
        <f t="shared" si="7"/>
        <v>NTT</v>
      </c>
      <c r="K4441" s="22" t="s">
        <v>15637</v>
      </c>
      <c r="L4441" s="56">
        <v>45105</v>
      </c>
      <c r="O4441" s="42"/>
      <c r="P4441" s="40"/>
      <c r="Q4441" s="61"/>
      <c r="R4441" s="61"/>
      <c r="S4441" s="40"/>
      <c r="T4441" s="38"/>
      <c r="U4441" s="38"/>
      <c r="V4441" s="38"/>
      <c r="W4441" s="60"/>
      <c r="AB4441" s="42"/>
      <c r="AC4441" s="35"/>
      <c r="AD4441" s="38"/>
      <c r="AE4441" s="38"/>
      <c r="AF4441" s="38"/>
      <c r="AG4441" s="38"/>
      <c r="AH4441" s="60"/>
    </row>
    <row r="4442" spans="1:34" ht="15.75" customHeight="1">
      <c r="A4442" s="111" t="s">
        <v>100</v>
      </c>
      <c r="B4442" s="227" t="s">
        <v>15638</v>
      </c>
      <c r="C4442" s="37" t="s">
        <v>46</v>
      </c>
      <c r="D4442" s="20" t="s">
        <v>15639</v>
      </c>
      <c r="E4442" s="20" t="s">
        <v>15640</v>
      </c>
      <c r="F4442" s="37" t="s">
        <v>49</v>
      </c>
      <c r="G4442" s="19" t="s">
        <v>50</v>
      </c>
      <c r="H4442" s="37"/>
      <c r="I4442" s="88" t="s">
        <v>29</v>
      </c>
      <c r="J4442" s="155" t="str">
        <f t="shared" si="7"/>
        <v>TT</v>
      </c>
      <c r="K4442" s="22" t="s">
        <v>15641</v>
      </c>
      <c r="L4442" s="56">
        <v>45105</v>
      </c>
      <c r="O4442" s="42"/>
      <c r="P4442" s="40"/>
      <c r="Q4442" s="61"/>
      <c r="R4442" s="61"/>
      <c r="S4442" s="40"/>
      <c r="T4442" s="38"/>
      <c r="U4442" s="38"/>
      <c r="V4442" s="38"/>
      <c r="W4442" s="60"/>
      <c r="AB4442" s="42"/>
      <c r="AC4442" s="35"/>
      <c r="AD4442" s="38"/>
      <c r="AE4442" s="38"/>
      <c r="AF4442" s="38"/>
      <c r="AG4442" s="38"/>
      <c r="AH4442" s="60"/>
    </row>
    <row r="4443" spans="1:34" ht="15.75" customHeight="1">
      <c r="A4443" s="17">
        <v>162</v>
      </c>
      <c r="B4443" s="227" t="s">
        <v>15642</v>
      </c>
      <c r="C4443" s="37" t="s">
        <v>87</v>
      </c>
      <c r="D4443" s="20" t="s">
        <v>15643</v>
      </c>
      <c r="E4443" s="20" t="s">
        <v>15644</v>
      </c>
      <c r="F4443" s="19" t="s">
        <v>90</v>
      </c>
      <c r="G4443" s="19" t="s">
        <v>91</v>
      </c>
      <c r="H4443" s="37"/>
      <c r="I4443" s="37" t="s">
        <v>29</v>
      </c>
      <c r="J4443" s="155" t="str">
        <f t="shared" si="7"/>
        <v>TT</v>
      </c>
      <c r="K4443" s="22" t="s">
        <v>15645</v>
      </c>
      <c r="L4443" s="56">
        <v>45105</v>
      </c>
      <c r="O4443" s="42"/>
      <c r="P4443" s="40"/>
      <c r="Q4443" s="61"/>
      <c r="R4443" s="61"/>
      <c r="S4443" s="40"/>
      <c r="T4443" s="38"/>
      <c r="U4443" s="38"/>
      <c r="V4443" s="38"/>
      <c r="W4443" s="60"/>
      <c r="AB4443" s="42"/>
      <c r="AC4443" s="35"/>
      <c r="AD4443" s="38"/>
      <c r="AE4443" s="38"/>
      <c r="AF4443" s="38"/>
      <c r="AG4443" s="38"/>
      <c r="AH4443" s="60"/>
    </row>
    <row r="4444" spans="1:34" ht="15.75" customHeight="1">
      <c r="A4444" s="35"/>
      <c r="B4444" s="227" t="s">
        <v>15646</v>
      </c>
      <c r="C4444" s="37" t="s">
        <v>228</v>
      </c>
      <c r="D4444" s="20" t="s">
        <v>15647</v>
      </c>
      <c r="E4444" s="20" t="s">
        <v>15648</v>
      </c>
      <c r="F4444" s="19" t="s">
        <v>231</v>
      </c>
      <c r="G4444" s="19" t="s">
        <v>232</v>
      </c>
      <c r="H4444" s="37"/>
      <c r="I4444" s="37" t="s">
        <v>233</v>
      </c>
      <c r="J4444" s="155" t="str">
        <f t="shared" si="7"/>
        <v>NTT</v>
      </c>
      <c r="K4444" s="22" t="s">
        <v>15649</v>
      </c>
      <c r="L4444" s="56">
        <v>45105</v>
      </c>
      <c r="O4444" s="42"/>
      <c r="P4444" s="40"/>
      <c r="Q4444" s="61"/>
      <c r="R4444" s="61"/>
      <c r="S4444" s="40"/>
      <c r="T4444" s="38"/>
      <c r="U4444" s="38"/>
      <c r="V4444" s="38"/>
      <c r="W4444" s="60"/>
      <c r="AB4444" s="42"/>
      <c r="AC4444" s="35"/>
      <c r="AD4444" s="38"/>
      <c r="AE4444" s="38"/>
      <c r="AF4444" s="38"/>
      <c r="AG4444" s="38"/>
      <c r="AH4444" s="60"/>
    </row>
    <row r="4445" spans="1:34" ht="15.75" customHeight="1">
      <c r="A4445" s="229"/>
      <c r="B4445" s="227" t="s">
        <v>15650</v>
      </c>
      <c r="C4445" s="37" t="s">
        <v>24</v>
      </c>
      <c r="D4445" s="20" t="s">
        <v>15651</v>
      </c>
      <c r="E4445" s="20" t="s">
        <v>15652</v>
      </c>
      <c r="F4445" s="19" t="s">
        <v>27</v>
      </c>
      <c r="G4445" s="19" t="s">
        <v>28</v>
      </c>
      <c r="H4445" s="37"/>
      <c r="I4445" s="88" t="s">
        <v>29</v>
      </c>
      <c r="J4445" s="155" t="str">
        <f t="shared" si="7"/>
        <v>TT</v>
      </c>
      <c r="K4445" s="22" t="s">
        <v>15653</v>
      </c>
      <c r="L4445" s="56">
        <v>45105</v>
      </c>
      <c r="O4445" s="42"/>
      <c r="P4445" s="40"/>
      <c r="Q4445" s="61"/>
      <c r="R4445" s="61"/>
      <c r="S4445" s="40"/>
      <c r="T4445" s="38"/>
      <c r="U4445" s="38"/>
      <c r="V4445" s="38"/>
      <c r="W4445" s="60"/>
      <c r="AB4445" s="42"/>
      <c r="AC4445" s="35"/>
      <c r="AD4445" s="38"/>
      <c r="AE4445" s="38"/>
      <c r="AF4445" s="38"/>
      <c r="AG4445" s="38"/>
      <c r="AH4445" s="60"/>
    </row>
    <row r="4446" spans="1:34" ht="15.75" customHeight="1">
      <c r="A4446" s="230"/>
      <c r="B4446" s="227" t="s">
        <v>15654</v>
      </c>
      <c r="C4446" s="37" t="s">
        <v>87</v>
      </c>
      <c r="D4446" s="20" t="s">
        <v>15655</v>
      </c>
      <c r="E4446" s="20" t="s">
        <v>15656</v>
      </c>
      <c r="F4446" s="19" t="s">
        <v>90</v>
      </c>
      <c r="G4446" s="19" t="s">
        <v>91</v>
      </c>
      <c r="H4446" s="37"/>
      <c r="I4446" s="88" t="s">
        <v>29</v>
      </c>
      <c r="J4446" s="155" t="str">
        <f t="shared" si="7"/>
        <v>TT</v>
      </c>
      <c r="K4446" s="22" t="s">
        <v>15657</v>
      </c>
      <c r="L4446" s="56">
        <v>45105</v>
      </c>
      <c r="O4446" s="42"/>
      <c r="P4446" s="40"/>
      <c r="Q4446" s="61"/>
      <c r="R4446" s="61"/>
      <c r="S4446" s="40"/>
      <c r="T4446" s="38"/>
      <c r="U4446" s="38"/>
      <c r="V4446" s="38"/>
      <c r="W4446" s="60"/>
      <c r="AB4446" s="42"/>
      <c r="AC4446" s="35"/>
      <c r="AD4446" s="38"/>
      <c r="AE4446" s="38"/>
      <c r="AF4446" s="38"/>
      <c r="AG4446" s="38"/>
      <c r="AH4446" s="60"/>
    </row>
    <row r="4447" spans="1:34" ht="15.75" customHeight="1">
      <c r="A4447" s="229"/>
      <c r="B4447" s="227" t="s">
        <v>15658</v>
      </c>
      <c r="C4447" s="37" t="s">
        <v>24</v>
      </c>
      <c r="D4447" s="20" t="s">
        <v>15659</v>
      </c>
      <c r="E4447" s="20" t="s">
        <v>15660</v>
      </c>
      <c r="F4447" s="19" t="s">
        <v>27</v>
      </c>
      <c r="G4447" s="19" t="s">
        <v>28</v>
      </c>
      <c r="H4447" s="37"/>
      <c r="I4447" s="88" t="s">
        <v>29</v>
      </c>
      <c r="J4447" s="155" t="str">
        <f t="shared" si="7"/>
        <v>TT</v>
      </c>
      <c r="K4447" s="22" t="s">
        <v>15661</v>
      </c>
      <c r="L4447" s="56">
        <v>45105</v>
      </c>
      <c r="O4447" s="42"/>
      <c r="P4447" s="40"/>
      <c r="Q4447" s="61"/>
      <c r="R4447" s="61"/>
      <c r="S4447" s="40"/>
      <c r="T4447" s="38"/>
      <c r="U4447" s="38"/>
      <c r="V4447" s="38"/>
      <c r="W4447" s="60"/>
      <c r="AB4447" s="42"/>
      <c r="AC4447" s="35"/>
      <c r="AD4447" s="38"/>
      <c r="AE4447" s="38"/>
      <c r="AF4447" s="38"/>
      <c r="AG4447" s="38"/>
      <c r="AH4447" s="60"/>
    </row>
    <row r="4448" spans="1:34" ht="15.75" customHeight="1">
      <c r="A4448" s="230"/>
      <c r="B4448" s="227" t="s">
        <v>15662</v>
      </c>
      <c r="C4448" s="37" t="s">
        <v>46</v>
      </c>
      <c r="D4448" s="20" t="s">
        <v>15663</v>
      </c>
      <c r="E4448" s="20" t="s">
        <v>15664</v>
      </c>
      <c r="F4448" s="37" t="s">
        <v>49</v>
      </c>
      <c r="G4448" s="19" t="s">
        <v>50</v>
      </c>
      <c r="H4448" s="37"/>
      <c r="I4448" s="88" t="s">
        <v>29</v>
      </c>
      <c r="J4448" s="155" t="str">
        <f t="shared" si="7"/>
        <v>TT</v>
      </c>
      <c r="K4448" s="22" t="s">
        <v>15665</v>
      </c>
      <c r="L4448" s="56">
        <v>45105</v>
      </c>
      <c r="O4448" s="42"/>
      <c r="P4448" s="40"/>
      <c r="Q4448" s="61"/>
      <c r="R4448" s="61"/>
      <c r="S4448" s="40"/>
      <c r="T4448" s="38"/>
      <c r="U4448" s="38"/>
      <c r="V4448" s="38"/>
      <c r="W4448" s="60"/>
      <c r="AB4448" s="42"/>
      <c r="AC4448" s="35"/>
      <c r="AD4448" s="38"/>
      <c r="AE4448" s="38"/>
      <c r="AF4448" s="38"/>
      <c r="AG4448" s="38"/>
      <c r="AH4448" s="60"/>
    </row>
    <row r="4449" spans="1:34" ht="15.75" customHeight="1">
      <c r="A4449" s="229"/>
      <c r="B4449" s="227" t="s">
        <v>15666</v>
      </c>
      <c r="C4449" s="143" t="s">
        <v>24</v>
      </c>
      <c r="D4449" s="20" t="s">
        <v>15667</v>
      </c>
      <c r="E4449" s="20" t="s">
        <v>15668</v>
      </c>
      <c r="F4449" s="19" t="s">
        <v>27</v>
      </c>
      <c r="G4449" s="19" t="s">
        <v>28</v>
      </c>
      <c r="H4449" s="19" t="s">
        <v>36</v>
      </c>
      <c r="I4449" s="88" t="s">
        <v>29</v>
      </c>
      <c r="J4449" s="155" t="str">
        <f t="shared" si="7"/>
        <v>TT</v>
      </c>
      <c r="K4449" s="22" t="s">
        <v>15669</v>
      </c>
      <c r="L4449" s="56">
        <v>45105</v>
      </c>
      <c r="O4449" s="42"/>
      <c r="P4449" s="40"/>
      <c r="Q4449" s="61"/>
      <c r="R4449" s="61"/>
      <c r="S4449" s="40"/>
      <c r="T4449" s="38"/>
      <c r="U4449" s="38"/>
      <c r="V4449" s="38"/>
      <c r="W4449" s="60"/>
      <c r="AB4449" s="42"/>
      <c r="AC4449" s="35"/>
      <c r="AD4449" s="38"/>
      <c r="AE4449" s="38"/>
      <c r="AF4449" s="38"/>
      <c r="AG4449" s="38"/>
      <c r="AH4449" s="60"/>
    </row>
    <row r="4450" spans="1:34" ht="15.75" customHeight="1">
      <c r="A4450" s="230"/>
      <c r="B4450" s="227" t="s">
        <v>15670</v>
      </c>
      <c r="C4450" s="37" t="s">
        <v>24</v>
      </c>
      <c r="D4450" s="20" t="s">
        <v>15671</v>
      </c>
      <c r="E4450" s="20" t="s">
        <v>15672</v>
      </c>
      <c r="F4450" s="19" t="s">
        <v>27</v>
      </c>
      <c r="G4450" s="19" t="s">
        <v>28</v>
      </c>
      <c r="H4450" s="37"/>
      <c r="I4450" s="88" t="s">
        <v>29</v>
      </c>
      <c r="J4450" s="155" t="str">
        <f t="shared" si="7"/>
        <v>TT</v>
      </c>
      <c r="K4450" s="22" t="s">
        <v>15673</v>
      </c>
      <c r="L4450" s="56">
        <v>45105</v>
      </c>
      <c r="O4450" s="42"/>
      <c r="P4450" s="40"/>
      <c r="Q4450" s="61"/>
      <c r="R4450" s="61"/>
      <c r="S4450" s="40"/>
      <c r="T4450" s="38"/>
      <c r="U4450" s="38"/>
      <c r="V4450" s="38"/>
      <c r="W4450" s="60"/>
      <c r="AB4450" s="42"/>
      <c r="AC4450" s="35"/>
      <c r="AD4450" s="38"/>
      <c r="AE4450" s="38"/>
      <c r="AF4450" s="38"/>
      <c r="AG4450" s="38"/>
      <c r="AH4450" s="60"/>
    </row>
    <row r="4451" spans="1:34" ht="15.75" customHeight="1">
      <c r="A4451" s="229"/>
      <c r="B4451" s="228" t="s">
        <v>15674</v>
      </c>
      <c r="C4451" s="37" t="s">
        <v>24</v>
      </c>
      <c r="D4451" s="20" t="s">
        <v>15675</v>
      </c>
      <c r="E4451" s="20" t="s">
        <v>15676</v>
      </c>
      <c r="F4451" s="19" t="s">
        <v>27</v>
      </c>
      <c r="G4451" s="19" t="s">
        <v>28</v>
      </c>
      <c r="H4451" s="19" t="s">
        <v>36</v>
      </c>
      <c r="I4451" s="88" t="s">
        <v>29</v>
      </c>
      <c r="J4451" s="155" t="str">
        <f t="shared" si="7"/>
        <v>TT</v>
      </c>
      <c r="K4451" s="22" t="s">
        <v>15677</v>
      </c>
      <c r="L4451" s="56">
        <v>45105</v>
      </c>
      <c r="O4451" s="42"/>
      <c r="P4451" s="40"/>
      <c r="Q4451" s="61"/>
      <c r="R4451" s="61"/>
      <c r="S4451" s="40"/>
      <c r="T4451" s="38"/>
      <c r="U4451" s="38"/>
      <c r="V4451" s="38"/>
      <c r="W4451" s="60"/>
      <c r="AB4451" s="42"/>
      <c r="AC4451" s="35"/>
      <c r="AD4451" s="38"/>
      <c r="AE4451" s="38"/>
      <c r="AF4451" s="38"/>
      <c r="AG4451" s="38"/>
      <c r="AH4451" s="60"/>
    </row>
    <row r="4452" spans="1:34" ht="15.75" customHeight="1">
      <c r="A4452" s="230"/>
      <c r="B4452" s="38"/>
      <c r="C4452" s="37"/>
      <c r="D4452" s="20"/>
      <c r="E4452" s="20"/>
      <c r="F4452" s="37"/>
      <c r="G4452" s="37"/>
      <c r="H4452" s="37"/>
      <c r="I4452" s="37"/>
      <c r="J4452" s="155">
        <f t="shared" si="7"/>
        <v>0</v>
      </c>
      <c r="K4452" s="22"/>
      <c r="L4452" s="39"/>
      <c r="O4452" s="42"/>
      <c r="P4452" s="40"/>
      <c r="Q4452" s="61"/>
      <c r="R4452" s="61"/>
      <c r="S4452" s="40"/>
      <c r="T4452" s="38"/>
      <c r="U4452" s="38"/>
      <c r="V4452" s="38"/>
      <c r="W4452" s="60"/>
      <c r="AB4452" s="42"/>
      <c r="AC4452" s="35"/>
      <c r="AD4452" s="38"/>
      <c r="AE4452" s="38"/>
      <c r="AF4452" s="38"/>
      <c r="AG4452" s="38"/>
      <c r="AH4452" s="60"/>
    </row>
    <row r="4453" spans="1:34" ht="15.75" customHeight="1">
      <c r="A4453" s="35" t="s">
        <v>15678</v>
      </c>
      <c r="B4453" s="159" t="s">
        <v>15679</v>
      </c>
      <c r="C4453" s="37" t="s">
        <v>24</v>
      </c>
      <c r="D4453" s="20" t="s">
        <v>15680</v>
      </c>
      <c r="E4453" s="20" t="s">
        <v>15681</v>
      </c>
      <c r="F4453" s="19" t="s">
        <v>27</v>
      </c>
      <c r="G4453" s="19" t="s">
        <v>28</v>
      </c>
      <c r="H4453" s="37"/>
      <c r="I4453" s="37" t="s">
        <v>29</v>
      </c>
      <c r="J4453" s="155" t="str">
        <f t="shared" si="7"/>
        <v>TT</v>
      </c>
      <c r="K4453" s="22" t="s">
        <v>15682</v>
      </c>
      <c r="L4453" s="56">
        <v>45105</v>
      </c>
      <c r="M4453" s="40"/>
      <c r="O4453" s="42"/>
      <c r="P4453" s="40"/>
      <c r="Q4453" s="61"/>
      <c r="R4453" s="61"/>
      <c r="S4453" s="40"/>
      <c r="T4453" s="38"/>
      <c r="U4453" s="38"/>
      <c r="V4453" s="38"/>
      <c r="W4453" s="60"/>
      <c r="AB4453" s="42"/>
      <c r="AC4453" s="35"/>
      <c r="AD4453" s="38"/>
      <c r="AE4453" s="38"/>
      <c r="AF4453" s="38"/>
      <c r="AG4453" s="38"/>
      <c r="AH4453" s="60"/>
    </row>
    <row r="4454" spans="1:34" ht="15.75" customHeight="1">
      <c r="A4454" s="54" t="s">
        <v>2714</v>
      </c>
      <c r="B4454" s="158" t="s">
        <v>15683</v>
      </c>
      <c r="C4454" s="37" t="s">
        <v>24</v>
      </c>
      <c r="D4454" s="20" t="s">
        <v>15684</v>
      </c>
      <c r="E4454" s="20" t="s">
        <v>15685</v>
      </c>
      <c r="F4454" s="19" t="s">
        <v>27</v>
      </c>
      <c r="G4454" s="19" t="s">
        <v>28</v>
      </c>
      <c r="H4454" s="37"/>
      <c r="I4454" s="37" t="s">
        <v>29</v>
      </c>
      <c r="J4454" s="155" t="str">
        <f t="shared" si="7"/>
        <v>TT</v>
      </c>
      <c r="K4454" s="22" t="s">
        <v>15686</v>
      </c>
      <c r="L4454" s="56">
        <v>45105</v>
      </c>
      <c r="O4454" s="42"/>
      <c r="P4454" s="40"/>
      <c r="Q4454" s="61"/>
      <c r="R4454" s="61"/>
      <c r="S4454" s="40"/>
      <c r="T4454" s="38"/>
      <c r="U4454" s="38"/>
      <c r="V4454" s="38"/>
      <c r="W4454" s="60"/>
      <c r="AB4454" s="42"/>
      <c r="AC4454" s="35"/>
      <c r="AD4454" s="38"/>
      <c r="AE4454" s="38"/>
      <c r="AF4454" s="38"/>
      <c r="AG4454" s="38"/>
      <c r="AH4454" s="60"/>
    </row>
    <row r="4455" spans="1:34" ht="15.75" customHeight="1">
      <c r="A4455" s="114" t="s">
        <v>39</v>
      </c>
      <c r="B4455" s="158" t="s">
        <v>15687</v>
      </c>
      <c r="C4455" s="37" t="s">
        <v>46</v>
      </c>
      <c r="D4455" s="20" t="s">
        <v>15688</v>
      </c>
      <c r="E4455" s="20" t="s">
        <v>15689</v>
      </c>
      <c r="F4455" s="37" t="s">
        <v>49</v>
      </c>
      <c r="G4455" s="19" t="s">
        <v>50</v>
      </c>
      <c r="H4455" s="37"/>
      <c r="I4455" s="37" t="s">
        <v>29</v>
      </c>
      <c r="J4455" s="155" t="str">
        <f t="shared" si="7"/>
        <v>TT</v>
      </c>
      <c r="K4455" s="22" t="s">
        <v>15690</v>
      </c>
      <c r="L4455" s="56">
        <v>45105</v>
      </c>
      <c r="O4455" s="42"/>
      <c r="P4455" s="40"/>
      <c r="Q4455" s="61"/>
      <c r="R4455" s="61"/>
      <c r="S4455" s="40"/>
      <c r="T4455" s="38"/>
      <c r="U4455" s="38"/>
      <c r="V4455" s="38"/>
      <c r="W4455" s="60"/>
      <c r="AB4455" s="42"/>
      <c r="AC4455" s="35"/>
      <c r="AD4455" s="38"/>
      <c r="AE4455" s="38"/>
      <c r="AF4455" s="38"/>
      <c r="AG4455" s="38"/>
      <c r="AH4455" s="60"/>
    </row>
    <row r="4456" spans="1:34" ht="15.75" customHeight="1">
      <c r="A4456" s="38" t="s">
        <v>14696</v>
      </c>
      <c r="B4456" s="159" t="s">
        <v>15691</v>
      </c>
      <c r="C4456" s="37" t="s">
        <v>24</v>
      </c>
      <c r="D4456" s="20" t="s">
        <v>15692</v>
      </c>
      <c r="E4456" s="20" t="s">
        <v>15693</v>
      </c>
      <c r="F4456" s="19" t="s">
        <v>27</v>
      </c>
      <c r="G4456" s="19" t="s">
        <v>28</v>
      </c>
      <c r="H4456" s="37"/>
      <c r="I4456" s="37" t="s">
        <v>29</v>
      </c>
      <c r="J4456" s="155" t="str">
        <f t="shared" si="7"/>
        <v>TT</v>
      </c>
      <c r="K4456" s="22" t="s">
        <v>15694</v>
      </c>
      <c r="L4456" s="56">
        <v>45105</v>
      </c>
      <c r="O4456" s="42"/>
      <c r="P4456" s="40"/>
      <c r="Q4456" s="61"/>
      <c r="R4456" s="61"/>
      <c r="S4456" s="40"/>
      <c r="T4456" s="38"/>
      <c r="U4456" s="38"/>
      <c r="V4456" s="38"/>
      <c r="W4456" s="60"/>
      <c r="AB4456" s="42"/>
      <c r="AC4456" s="35"/>
      <c r="AD4456" s="38"/>
      <c r="AE4456" s="38"/>
      <c r="AF4456" s="38"/>
      <c r="AG4456" s="38"/>
      <c r="AH4456" s="60"/>
    </row>
    <row r="4457" spans="1:34" ht="15.75" customHeight="1">
      <c r="A4457" s="75" t="s">
        <v>15695</v>
      </c>
      <c r="B4457" s="158" t="s">
        <v>15696</v>
      </c>
      <c r="C4457" s="37" t="s">
        <v>87</v>
      </c>
      <c r="D4457" s="20" t="s">
        <v>15697</v>
      </c>
      <c r="E4457" s="20" t="s">
        <v>15698</v>
      </c>
      <c r="F4457" s="19" t="s">
        <v>90</v>
      </c>
      <c r="G4457" s="19" t="s">
        <v>91</v>
      </c>
      <c r="H4457" s="37"/>
      <c r="I4457" s="37" t="s">
        <v>29</v>
      </c>
      <c r="J4457" s="155" t="str">
        <f t="shared" si="7"/>
        <v>TT</v>
      </c>
      <c r="K4457" s="22" t="s">
        <v>15698</v>
      </c>
      <c r="L4457" s="56">
        <v>45105</v>
      </c>
      <c r="O4457" s="42"/>
      <c r="P4457" s="40"/>
      <c r="Q4457" s="61"/>
      <c r="R4457" s="61"/>
      <c r="S4457" s="40"/>
      <c r="T4457" s="38"/>
      <c r="U4457" s="38"/>
      <c r="V4457" s="38"/>
      <c r="W4457" s="60"/>
      <c r="AB4457" s="42"/>
      <c r="AC4457" s="35"/>
      <c r="AD4457" s="38"/>
      <c r="AE4457" s="38"/>
      <c r="AF4457" s="38"/>
      <c r="AG4457" s="38"/>
      <c r="AH4457" s="60"/>
    </row>
    <row r="4458" spans="1:34" ht="15.75" customHeight="1">
      <c r="A4458" s="50" t="s">
        <v>56</v>
      </c>
      <c r="B4458" s="158" t="s">
        <v>15699</v>
      </c>
      <c r="C4458" s="37" t="s">
        <v>24</v>
      </c>
      <c r="D4458" s="20" t="s">
        <v>15700</v>
      </c>
      <c r="E4458" s="20" t="s">
        <v>15701</v>
      </c>
      <c r="F4458" s="19" t="s">
        <v>27</v>
      </c>
      <c r="G4458" s="19" t="s">
        <v>28</v>
      </c>
      <c r="H4458" s="37"/>
      <c r="I4458" s="37" t="s">
        <v>29</v>
      </c>
      <c r="J4458" s="155" t="str">
        <f t="shared" si="7"/>
        <v>TT</v>
      </c>
      <c r="K4458" s="22" t="s">
        <v>15702</v>
      </c>
      <c r="L4458" s="56">
        <v>45105</v>
      </c>
      <c r="O4458" s="42"/>
      <c r="P4458" s="40"/>
      <c r="Q4458" s="61"/>
      <c r="R4458" s="61"/>
      <c r="S4458" s="40"/>
      <c r="T4458" s="38"/>
      <c r="U4458" s="38"/>
      <c r="V4458" s="38"/>
      <c r="W4458" s="60"/>
      <c r="AB4458" s="42"/>
      <c r="AC4458" s="35"/>
      <c r="AD4458" s="38"/>
      <c r="AE4458" s="38"/>
      <c r="AF4458" s="38"/>
      <c r="AG4458" s="38"/>
      <c r="AH4458" s="60"/>
    </row>
    <row r="4459" spans="1:34" ht="15.75" customHeight="1">
      <c r="A4459" s="17">
        <v>29</v>
      </c>
      <c r="B4459" s="158" t="s">
        <v>15703</v>
      </c>
      <c r="C4459" s="37" t="s">
        <v>87</v>
      </c>
      <c r="D4459" s="20" t="s">
        <v>15704</v>
      </c>
      <c r="E4459" s="20" t="s">
        <v>15705</v>
      </c>
      <c r="F4459" s="19" t="s">
        <v>90</v>
      </c>
      <c r="G4459" s="19" t="s">
        <v>91</v>
      </c>
      <c r="H4459" s="37"/>
      <c r="I4459" s="37" t="s">
        <v>29</v>
      </c>
      <c r="J4459" s="155" t="str">
        <f t="shared" si="7"/>
        <v>TT</v>
      </c>
      <c r="K4459" s="22" t="s">
        <v>15706</v>
      </c>
      <c r="L4459" s="56">
        <v>45105</v>
      </c>
      <c r="O4459" s="42"/>
      <c r="P4459" s="40"/>
      <c r="Q4459" s="61"/>
      <c r="R4459" s="61"/>
      <c r="S4459" s="40"/>
      <c r="T4459" s="38"/>
      <c r="U4459" s="38"/>
      <c r="V4459" s="38"/>
      <c r="W4459" s="60"/>
      <c r="AB4459" s="42"/>
      <c r="AC4459" s="35"/>
      <c r="AD4459" s="38"/>
      <c r="AE4459" s="38"/>
      <c r="AF4459" s="38"/>
      <c r="AG4459" s="38"/>
      <c r="AH4459" s="60"/>
    </row>
    <row r="4460" spans="1:34" ht="15.75" customHeight="1">
      <c r="A4460" s="111" t="s">
        <v>64</v>
      </c>
      <c r="B4460" s="158" t="s">
        <v>15707</v>
      </c>
      <c r="C4460" s="37" t="s">
        <v>87</v>
      </c>
      <c r="D4460" s="20" t="s">
        <v>15708</v>
      </c>
      <c r="E4460" s="20" t="s">
        <v>15709</v>
      </c>
      <c r="F4460" s="19" t="s">
        <v>90</v>
      </c>
      <c r="G4460" s="19" t="s">
        <v>91</v>
      </c>
      <c r="H4460" s="37"/>
      <c r="I4460" s="37" t="s">
        <v>29</v>
      </c>
      <c r="J4460" s="155" t="str">
        <f t="shared" si="7"/>
        <v>TT</v>
      </c>
      <c r="K4460" s="22" t="s">
        <v>15710</v>
      </c>
      <c r="L4460" s="56">
        <v>45105</v>
      </c>
      <c r="O4460" s="42"/>
      <c r="P4460" s="40"/>
      <c r="Q4460" s="61"/>
      <c r="R4460" s="61"/>
      <c r="S4460" s="40"/>
      <c r="T4460" s="38"/>
      <c r="U4460" s="38"/>
      <c r="V4460" s="38"/>
      <c r="W4460" s="60"/>
      <c r="AB4460" s="42"/>
      <c r="AC4460" s="35"/>
      <c r="AD4460" s="38"/>
      <c r="AE4460" s="38"/>
      <c r="AF4460" s="38"/>
      <c r="AG4460" s="38"/>
      <c r="AH4460" s="60"/>
    </row>
    <row r="4461" spans="1:34" ht="15.75" customHeight="1">
      <c r="A4461" s="75">
        <v>2.4</v>
      </c>
      <c r="B4461" s="158" t="s">
        <v>15711</v>
      </c>
      <c r="C4461" s="37" t="s">
        <v>87</v>
      </c>
      <c r="D4461" s="20" t="s">
        <v>15712</v>
      </c>
      <c r="E4461" s="20" t="s">
        <v>15713</v>
      </c>
      <c r="F4461" s="19" t="s">
        <v>90</v>
      </c>
      <c r="G4461" s="19" t="s">
        <v>91</v>
      </c>
      <c r="H4461" s="37"/>
      <c r="I4461" s="37" t="s">
        <v>29</v>
      </c>
      <c r="J4461" s="155" t="str">
        <f t="shared" si="7"/>
        <v>TT</v>
      </c>
      <c r="K4461" s="22" t="s">
        <v>15714</v>
      </c>
      <c r="L4461" s="56">
        <v>45105</v>
      </c>
      <c r="O4461" s="42"/>
      <c r="P4461" s="40"/>
      <c r="Q4461" s="61"/>
      <c r="R4461" s="61"/>
      <c r="S4461" s="40"/>
      <c r="T4461" s="38"/>
      <c r="U4461" s="38"/>
      <c r="V4461" s="38"/>
      <c r="W4461" s="60"/>
      <c r="AB4461" s="42"/>
      <c r="AC4461" s="35"/>
      <c r="AD4461" s="38"/>
      <c r="AE4461" s="38"/>
      <c r="AF4461" s="38"/>
      <c r="AG4461" s="38"/>
      <c r="AH4461" s="60"/>
    </row>
    <row r="4462" spans="1:34" ht="15.75" customHeight="1">
      <c r="A4462" s="111" t="s">
        <v>73</v>
      </c>
      <c r="B4462" s="158" t="s">
        <v>15715</v>
      </c>
      <c r="C4462" s="37" t="s">
        <v>46</v>
      </c>
      <c r="D4462" s="20" t="s">
        <v>15716</v>
      </c>
      <c r="E4462" s="20" t="s">
        <v>15717</v>
      </c>
      <c r="F4462" s="37" t="s">
        <v>49</v>
      </c>
      <c r="G4462" s="19" t="s">
        <v>50</v>
      </c>
      <c r="H4462" s="37"/>
      <c r="I4462" s="37" t="s">
        <v>29</v>
      </c>
      <c r="J4462" s="155" t="str">
        <f t="shared" si="7"/>
        <v>TT</v>
      </c>
      <c r="K4462" s="22" t="s">
        <v>15718</v>
      </c>
      <c r="L4462" s="56">
        <v>45105</v>
      </c>
      <c r="O4462" s="42"/>
      <c r="P4462" s="40"/>
      <c r="Q4462" s="61"/>
      <c r="R4462" s="61"/>
      <c r="S4462" s="40"/>
      <c r="T4462" s="38"/>
      <c r="U4462" s="38"/>
      <c r="V4462" s="38"/>
      <c r="W4462" s="60"/>
      <c r="AB4462" s="42"/>
      <c r="AC4462" s="35"/>
      <c r="AD4462" s="38"/>
      <c r="AE4462" s="38"/>
      <c r="AF4462" s="38"/>
      <c r="AG4462" s="38"/>
      <c r="AH4462" s="60"/>
    </row>
    <row r="4463" spans="1:34" ht="15.75" customHeight="1">
      <c r="A4463" s="75">
        <v>3.1</v>
      </c>
      <c r="B4463" s="158" t="s">
        <v>15719</v>
      </c>
      <c r="C4463" s="37" t="s">
        <v>1430</v>
      </c>
      <c r="D4463" s="20" t="s">
        <v>15720</v>
      </c>
      <c r="E4463" s="20" t="s">
        <v>15721</v>
      </c>
      <c r="F4463" s="55" t="s">
        <v>1445</v>
      </c>
      <c r="G4463" s="55" t="s">
        <v>1432</v>
      </c>
      <c r="H4463" s="37"/>
      <c r="I4463" s="37" t="s">
        <v>233</v>
      </c>
      <c r="J4463" s="155" t="str">
        <f t="shared" si="7"/>
        <v>NTT</v>
      </c>
      <c r="K4463" s="22" t="s">
        <v>15722</v>
      </c>
      <c r="L4463" s="56">
        <v>45105</v>
      </c>
      <c r="O4463" s="42"/>
      <c r="P4463" s="40"/>
      <c r="Q4463" s="61"/>
      <c r="R4463" s="61"/>
      <c r="S4463" s="40"/>
      <c r="T4463" s="38"/>
      <c r="U4463" s="38"/>
      <c r="V4463" s="38"/>
      <c r="W4463" s="60"/>
      <c r="AB4463" s="42"/>
      <c r="AC4463" s="35"/>
      <c r="AD4463" s="38"/>
      <c r="AE4463" s="38"/>
      <c r="AF4463" s="38"/>
      <c r="AG4463" s="38"/>
      <c r="AH4463" s="60"/>
    </row>
    <row r="4464" spans="1:34" ht="15.75" customHeight="1">
      <c r="A4464" s="111" t="s">
        <v>82</v>
      </c>
      <c r="B4464" s="158" t="s">
        <v>15723</v>
      </c>
      <c r="C4464" s="37" t="s">
        <v>46</v>
      </c>
      <c r="D4464" s="20" t="s">
        <v>15724</v>
      </c>
      <c r="E4464" s="20" t="s">
        <v>15725</v>
      </c>
      <c r="F4464" s="37" t="s">
        <v>49</v>
      </c>
      <c r="G4464" s="19" t="s">
        <v>50</v>
      </c>
      <c r="H4464" s="37"/>
      <c r="I4464" s="37" t="s">
        <v>29</v>
      </c>
      <c r="J4464" s="155" t="str">
        <f t="shared" si="7"/>
        <v>TT</v>
      </c>
      <c r="K4464" s="22" t="s">
        <v>15726</v>
      </c>
      <c r="L4464" s="56">
        <v>45105</v>
      </c>
      <c r="O4464" s="42"/>
      <c r="P4464" s="40"/>
      <c r="Q4464" s="61"/>
      <c r="R4464" s="61"/>
      <c r="S4464" s="40"/>
      <c r="T4464" s="38"/>
      <c r="U4464" s="38"/>
      <c r="V4464" s="38"/>
      <c r="W4464" s="60"/>
      <c r="AB4464" s="42"/>
      <c r="AC4464" s="35"/>
      <c r="AD4464" s="38"/>
      <c r="AE4464" s="38"/>
      <c r="AF4464" s="38"/>
      <c r="AG4464" s="38"/>
      <c r="AH4464" s="60"/>
    </row>
    <row r="4465" spans="1:34" ht="15.75" customHeight="1">
      <c r="A4465" s="112" t="s">
        <v>15727</v>
      </c>
      <c r="B4465" s="158" t="s">
        <v>15728</v>
      </c>
      <c r="C4465" s="37" t="s">
        <v>1430</v>
      </c>
      <c r="D4465" s="20" t="s">
        <v>15729</v>
      </c>
      <c r="E4465" s="20"/>
      <c r="F4465" s="55" t="s">
        <v>1445</v>
      </c>
      <c r="G4465" s="55" t="s">
        <v>1432</v>
      </c>
      <c r="H4465" s="37"/>
      <c r="I4465" s="37" t="s">
        <v>233</v>
      </c>
      <c r="J4465" s="155" t="str">
        <f t="shared" si="7"/>
        <v>NTT</v>
      </c>
      <c r="K4465" s="22"/>
      <c r="L4465" s="56">
        <v>45105</v>
      </c>
      <c r="O4465" s="42"/>
      <c r="P4465" s="40"/>
      <c r="Q4465" s="61"/>
      <c r="R4465" s="61"/>
      <c r="S4465" s="40"/>
      <c r="T4465" s="38"/>
      <c r="U4465" s="38"/>
      <c r="V4465" s="38"/>
      <c r="W4465" s="60"/>
      <c r="AB4465" s="42"/>
      <c r="AC4465" s="35"/>
      <c r="AD4465" s="38"/>
      <c r="AE4465" s="38"/>
      <c r="AF4465" s="38"/>
      <c r="AG4465" s="38"/>
      <c r="AH4465" s="60"/>
    </row>
    <row r="4466" spans="1:34" ht="15.75" customHeight="1">
      <c r="A4466" s="111" t="s">
        <v>92</v>
      </c>
      <c r="B4466" s="158" t="s">
        <v>15730</v>
      </c>
      <c r="C4466" s="37" t="s">
        <v>24</v>
      </c>
      <c r="D4466" s="20" t="s">
        <v>15731</v>
      </c>
      <c r="E4466" s="20" t="s">
        <v>15732</v>
      </c>
      <c r="F4466" s="19" t="s">
        <v>27</v>
      </c>
      <c r="G4466" s="19" t="s">
        <v>28</v>
      </c>
      <c r="H4466" s="19" t="s">
        <v>36</v>
      </c>
      <c r="I4466" s="37" t="s">
        <v>29</v>
      </c>
      <c r="J4466" s="155" t="str">
        <f t="shared" si="7"/>
        <v>TT</v>
      </c>
      <c r="K4466" s="22" t="s">
        <v>15733</v>
      </c>
      <c r="L4466" s="56">
        <v>45105</v>
      </c>
      <c r="O4466" s="42"/>
      <c r="P4466" s="40"/>
      <c r="Q4466" s="61"/>
      <c r="R4466" s="61"/>
      <c r="S4466" s="40"/>
      <c r="T4466" s="38"/>
      <c r="U4466" s="38"/>
      <c r="V4466" s="38"/>
      <c r="W4466" s="60"/>
      <c r="AB4466" s="42"/>
      <c r="AC4466" s="35"/>
      <c r="AD4466" s="38"/>
      <c r="AE4466" s="38"/>
      <c r="AF4466" s="38"/>
      <c r="AG4466" s="38"/>
      <c r="AH4466" s="60"/>
    </row>
    <row r="4467" spans="1:34" ht="15.75" customHeight="1">
      <c r="A4467" s="17">
        <v>261</v>
      </c>
      <c r="B4467" s="158" t="s">
        <v>15734</v>
      </c>
      <c r="C4467" s="37" t="s">
        <v>87</v>
      </c>
      <c r="D4467" s="20" t="s">
        <v>15735</v>
      </c>
      <c r="E4467" s="20" t="s">
        <v>15736</v>
      </c>
      <c r="F4467" s="19" t="s">
        <v>90</v>
      </c>
      <c r="G4467" s="19" t="s">
        <v>91</v>
      </c>
      <c r="H4467" s="37"/>
      <c r="I4467" s="37" t="s">
        <v>29</v>
      </c>
      <c r="J4467" s="155" t="str">
        <f t="shared" si="7"/>
        <v>TT</v>
      </c>
      <c r="K4467" s="22" t="s">
        <v>15737</v>
      </c>
      <c r="L4467" s="56">
        <v>45105</v>
      </c>
      <c r="O4467" s="42"/>
      <c r="P4467" s="40"/>
      <c r="Q4467" s="61"/>
      <c r="R4467" s="61"/>
      <c r="S4467" s="40"/>
      <c r="T4467" s="38"/>
      <c r="U4467" s="38"/>
      <c r="V4467" s="38"/>
      <c r="W4467" s="60"/>
      <c r="AB4467" s="42"/>
      <c r="AC4467" s="35"/>
      <c r="AD4467" s="38"/>
      <c r="AE4467" s="38"/>
      <c r="AF4467" s="38"/>
      <c r="AG4467" s="38"/>
      <c r="AH4467" s="60"/>
    </row>
    <row r="4468" spans="1:34" ht="15.75" customHeight="1">
      <c r="A4468" s="111" t="s">
        <v>100</v>
      </c>
      <c r="B4468" s="158" t="s">
        <v>15738</v>
      </c>
      <c r="C4468" s="37" t="s">
        <v>228</v>
      </c>
      <c r="D4468" s="20" t="s">
        <v>15739</v>
      </c>
      <c r="E4468" s="20"/>
      <c r="F4468" s="19" t="s">
        <v>231</v>
      </c>
      <c r="G4468" s="19" t="s">
        <v>232</v>
      </c>
      <c r="H4468" s="37"/>
      <c r="I4468" s="37" t="s">
        <v>233</v>
      </c>
      <c r="J4468" s="155" t="str">
        <f t="shared" si="7"/>
        <v>NTT</v>
      </c>
      <c r="K4468" s="22"/>
      <c r="L4468" s="56">
        <v>45105</v>
      </c>
      <c r="O4468" s="42"/>
      <c r="P4468" s="40"/>
      <c r="Q4468" s="61"/>
      <c r="R4468" s="61"/>
      <c r="S4468" s="40"/>
      <c r="T4468" s="38"/>
      <c r="U4468" s="38"/>
      <c r="V4468" s="38"/>
      <c r="W4468" s="60"/>
      <c r="AB4468" s="42"/>
      <c r="AC4468" s="35"/>
      <c r="AD4468" s="38"/>
      <c r="AE4468" s="38"/>
      <c r="AF4468" s="38"/>
      <c r="AG4468" s="38"/>
      <c r="AH4468" s="60"/>
    </row>
    <row r="4469" spans="1:34" ht="15.75" customHeight="1">
      <c r="A4469" s="17">
        <v>160</v>
      </c>
      <c r="B4469" s="158" t="s">
        <v>15740</v>
      </c>
      <c r="C4469" s="37" t="s">
        <v>24</v>
      </c>
      <c r="D4469" s="20" t="s">
        <v>15741</v>
      </c>
      <c r="E4469" s="20" t="s">
        <v>15742</v>
      </c>
      <c r="F4469" s="19" t="s">
        <v>27</v>
      </c>
      <c r="G4469" s="19" t="s">
        <v>28</v>
      </c>
      <c r="H4469" s="19" t="s">
        <v>36</v>
      </c>
      <c r="I4469" s="37" t="s">
        <v>29</v>
      </c>
      <c r="J4469" s="155" t="str">
        <f t="shared" si="7"/>
        <v>TT</v>
      </c>
      <c r="K4469" s="22" t="s">
        <v>15743</v>
      </c>
      <c r="L4469" s="56">
        <v>45105</v>
      </c>
      <c r="O4469" s="42"/>
      <c r="P4469" s="40"/>
      <c r="Q4469" s="61"/>
      <c r="R4469" s="61"/>
      <c r="S4469" s="40"/>
      <c r="T4469" s="38"/>
      <c r="U4469" s="38"/>
      <c r="V4469" s="38"/>
      <c r="W4469" s="60"/>
      <c r="AB4469" s="42"/>
      <c r="AC4469" s="35"/>
      <c r="AD4469" s="38"/>
      <c r="AE4469" s="38"/>
      <c r="AF4469" s="38"/>
      <c r="AG4469" s="38"/>
      <c r="AH4469" s="60"/>
    </row>
    <row r="4470" spans="1:34" ht="15.75" customHeight="1">
      <c r="A4470" s="35"/>
      <c r="B4470" s="158" t="s">
        <v>15744</v>
      </c>
      <c r="C4470" s="37" t="s">
        <v>87</v>
      </c>
      <c r="D4470" s="20" t="s">
        <v>15745</v>
      </c>
      <c r="E4470" s="20" t="s">
        <v>15746</v>
      </c>
      <c r="F4470" s="19" t="s">
        <v>90</v>
      </c>
      <c r="G4470" s="19" t="s">
        <v>91</v>
      </c>
      <c r="H4470" s="37"/>
      <c r="I4470" s="37" t="s">
        <v>29</v>
      </c>
      <c r="J4470" s="155" t="str">
        <f t="shared" si="7"/>
        <v>TT</v>
      </c>
      <c r="K4470" s="22" t="s">
        <v>15747</v>
      </c>
      <c r="L4470" s="56">
        <v>45105</v>
      </c>
      <c r="O4470" s="42"/>
      <c r="P4470" s="40"/>
      <c r="Q4470" s="61"/>
      <c r="R4470" s="61"/>
      <c r="S4470" s="40"/>
      <c r="T4470" s="38"/>
      <c r="U4470" s="38"/>
      <c r="V4470" s="38"/>
      <c r="W4470" s="60"/>
      <c r="AB4470" s="42"/>
      <c r="AC4470" s="35"/>
      <c r="AD4470" s="38"/>
      <c r="AE4470" s="38"/>
      <c r="AF4470" s="38"/>
      <c r="AG4470" s="38"/>
      <c r="AH4470" s="60"/>
    </row>
    <row r="4471" spans="1:34" ht="15.75" customHeight="1">
      <c r="A4471" s="231"/>
      <c r="B4471" s="158" t="s">
        <v>15748</v>
      </c>
      <c r="C4471" s="37" t="s">
        <v>1430</v>
      </c>
      <c r="D4471" s="20" t="s">
        <v>15749</v>
      </c>
      <c r="E4471" s="20" t="s">
        <v>15750</v>
      </c>
      <c r="F4471" s="55" t="s">
        <v>1445</v>
      </c>
      <c r="G4471" s="55" t="s">
        <v>1432</v>
      </c>
      <c r="H4471" s="37"/>
      <c r="I4471" s="37" t="s">
        <v>233</v>
      </c>
      <c r="J4471" s="155" t="str">
        <f t="shared" si="7"/>
        <v>NTT</v>
      </c>
      <c r="K4471" s="22" t="s">
        <v>15751</v>
      </c>
      <c r="L4471" s="56">
        <v>45105</v>
      </c>
      <c r="O4471" s="42"/>
      <c r="P4471" s="40"/>
      <c r="Q4471" s="61"/>
      <c r="R4471" s="61"/>
      <c r="S4471" s="40"/>
      <c r="T4471" s="38"/>
      <c r="U4471" s="38"/>
      <c r="V4471" s="38"/>
      <c r="W4471" s="60"/>
      <c r="AB4471" s="42"/>
      <c r="AC4471" s="35"/>
      <c r="AD4471" s="38"/>
      <c r="AE4471" s="38"/>
      <c r="AF4471" s="38"/>
      <c r="AG4471" s="38"/>
      <c r="AH4471" s="60"/>
    </row>
    <row r="4472" spans="1:34" ht="15.75" customHeight="1">
      <c r="A4472" s="232"/>
      <c r="B4472" s="158" t="s">
        <v>15752</v>
      </c>
      <c r="C4472" s="37" t="s">
        <v>24</v>
      </c>
      <c r="D4472" s="20" t="s">
        <v>15753</v>
      </c>
      <c r="E4472" s="20" t="s">
        <v>15754</v>
      </c>
      <c r="F4472" s="19" t="s">
        <v>27</v>
      </c>
      <c r="G4472" s="19" t="s">
        <v>28</v>
      </c>
      <c r="H4472" s="37"/>
      <c r="I4472" s="37" t="s">
        <v>29</v>
      </c>
      <c r="J4472" s="155" t="str">
        <f t="shared" si="7"/>
        <v>TT</v>
      </c>
      <c r="K4472" s="22" t="s">
        <v>15755</v>
      </c>
      <c r="L4472" s="56">
        <v>45105</v>
      </c>
      <c r="O4472" s="42"/>
      <c r="P4472" s="40"/>
      <c r="Q4472" s="61"/>
      <c r="R4472" s="61"/>
      <c r="S4472" s="40"/>
      <c r="T4472" s="38"/>
      <c r="U4472" s="38"/>
      <c r="V4472" s="38"/>
      <c r="W4472" s="60"/>
      <c r="AB4472" s="42"/>
      <c r="AC4472" s="35"/>
      <c r="AD4472" s="38"/>
      <c r="AE4472" s="38"/>
      <c r="AF4472" s="38"/>
      <c r="AG4472" s="38"/>
      <c r="AH4472" s="60"/>
    </row>
    <row r="4473" spans="1:34" ht="15.75" customHeight="1">
      <c r="A4473" s="232"/>
      <c r="B4473" s="158" t="s">
        <v>15756</v>
      </c>
      <c r="C4473" s="37" t="s">
        <v>87</v>
      </c>
      <c r="D4473" s="20" t="s">
        <v>15757</v>
      </c>
      <c r="E4473" s="20" t="s">
        <v>15758</v>
      </c>
      <c r="F4473" s="19" t="s">
        <v>90</v>
      </c>
      <c r="G4473" s="19" t="s">
        <v>91</v>
      </c>
      <c r="H4473" s="37"/>
      <c r="I4473" s="37" t="s">
        <v>29</v>
      </c>
      <c r="J4473" s="155" t="str">
        <f t="shared" si="7"/>
        <v>TT</v>
      </c>
      <c r="K4473" s="22" t="s">
        <v>15759</v>
      </c>
      <c r="L4473" s="56">
        <v>45105</v>
      </c>
      <c r="O4473" s="42"/>
      <c r="P4473" s="40"/>
      <c r="Q4473" s="61"/>
      <c r="R4473" s="61"/>
      <c r="S4473" s="40"/>
      <c r="T4473" s="38"/>
      <c r="U4473" s="38"/>
      <c r="V4473" s="38"/>
      <c r="W4473" s="60"/>
      <c r="AB4473" s="42"/>
      <c r="AC4473" s="35"/>
      <c r="AD4473" s="38"/>
      <c r="AE4473" s="38"/>
      <c r="AF4473" s="38"/>
      <c r="AG4473" s="38"/>
      <c r="AH4473" s="60"/>
    </row>
    <row r="4474" spans="1:34" ht="15.75" customHeight="1">
      <c r="A4474" s="232"/>
      <c r="B4474" s="158" t="s">
        <v>15760</v>
      </c>
      <c r="C4474" s="37" t="s">
        <v>24</v>
      </c>
      <c r="D4474" s="20" t="s">
        <v>15761</v>
      </c>
      <c r="E4474" s="63" t="s">
        <v>15762</v>
      </c>
      <c r="F4474" s="19" t="s">
        <v>27</v>
      </c>
      <c r="G4474" s="19" t="s">
        <v>28</v>
      </c>
      <c r="H4474" s="37"/>
      <c r="I4474" s="37" t="s">
        <v>29</v>
      </c>
      <c r="J4474" s="155" t="str">
        <f t="shared" si="7"/>
        <v>TT</v>
      </c>
      <c r="K4474" s="61" t="s">
        <v>15763</v>
      </c>
      <c r="L4474" s="56">
        <v>45105</v>
      </c>
      <c r="O4474" s="42"/>
      <c r="P4474" s="40"/>
      <c r="Q4474" s="61"/>
      <c r="R4474" s="61"/>
      <c r="S4474" s="40"/>
      <c r="T4474" s="38"/>
      <c r="U4474" s="38"/>
      <c r="V4474" s="38"/>
      <c r="W4474" s="60"/>
      <c r="AB4474" s="42"/>
      <c r="AC4474" s="35"/>
      <c r="AD4474" s="38"/>
      <c r="AE4474" s="38"/>
      <c r="AF4474" s="38"/>
      <c r="AG4474" s="38"/>
      <c r="AH4474" s="60"/>
    </row>
    <row r="4475" spans="1:34" ht="15.75" customHeight="1">
      <c r="A4475" s="232"/>
      <c r="B4475" s="38"/>
      <c r="C4475" s="37"/>
      <c r="D4475" s="20"/>
      <c r="E4475" s="20"/>
      <c r="F4475" s="37"/>
      <c r="G4475" s="37"/>
      <c r="H4475" s="37"/>
      <c r="I4475" s="19"/>
      <c r="J4475" s="155">
        <f t="shared" si="7"/>
        <v>0</v>
      </c>
      <c r="K4475" s="22"/>
      <c r="L4475" s="39"/>
      <c r="O4475" s="42"/>
      <c r="P4475" s="40"/>
      <c r="Q4475" s="61"/>
      <c r="R4475" s="61"/>
      <c r="S4475" s="40"/>
      <c r="T4475" s="38"/>
      <c r="U4475" s="38"/>
      <c r="V4475" s="38"/>
      <c r="W4475" s="60"/>
      <c r="AB4475" s="42"/>
      <c r="AC4475" s="35"/>
      <c r="AD4475" s="38"/>
      <c r="AE4475" s="38"/>
      <c r="AF4475" s="38"/>
      <c r="AG4475" s="38"/>
      <c r="AH4475" s="60"/>
    </row>
    <row r="4476" spans="1:34" ht="15.75" customHeight="1">
      <c r="A4476" s="35" t="s">
        <v>15764</v>
      </c>
      <c r="B4476" s="158" t="s">
        <v>15765</v>
      </c>
      <c r="C4476" s="143" t="s">
        <v>24</v>
      </c>
      <c r="D4476" s="20" t="s">
        <v>15766</v>
      </c>
      <c r="E4476" s="20" t="s">
        <v>15767</v>
      </c>
      <c r="F4476" s="19" t="s">
        <v>27</v>
      </c>
      <c r="G4476" s="19" t="s">
        <v>28</v>
      </c>
      <c r="H4476" s="143"/>
      <c r="I4476" s="37" t="s">
        <v>29</v>
      </c>
      <c r="J4476" s="155" t="str">
        <f t="shared" si="7"/>
        <v>TT</v>
      </c>
      <c r="K4476" s="22" t="s">
        <v>15768</v>
      </c>
      <c r="L4476" s="56">
        <v>45106</v>
      </c>
      <c r="M4476" s="40"/>
      <c r="O4476" s="42"/>
      <c r="P4476" s="40"/>
      <c r="Q4476" s="61"/>
      <c r="R4476" s="61"/>
      <c r="S4476" s="40"/>
      <c r="T4476" s="38"/>
      <c r="U4476" s="38"/>
      <c r="V4476" s="38"/>
      <c r="W4476" s="60"/>
      <c r="AB4476" s="42"/>
      <c r="AC4476" s="35"/>
      <c r="AD4476" s="38"/>
      <c r="AE4476" s="38"/>
      <c r="AF4476" s="38"/>
      <c r="AG4476" s="38"/>
      <c r="AH4476" s="60"/>
    </row>
    <row r="4477" spans="1:34" ht="15.75" customHeight="1">
      <c r="A4477" s="54" t="s">
        <v>14921</v>
      </c>
      <c r="B4477" s="158" t="s">
        <v>15769</v>
      </c>
      <c r="C4477" s="37" t="s">
        <v>46</v>
      </c>
      <c r="D4477" s="20" t="s">
        <v>15770</v>
      </c>
      <c r="E4477" s="20" t="s">
        <v>15771</v>
      </c>
      <c r="F4477" s="37" t="s">
        <v>49</v>
      </c>
      <c r="G4477" s="19" t="s">
        <v>50</v>
      </c>
      <c r="H4477" s="37"/>
      <c r="I4477" s="37" t="s">
        <v>29</v>
      </c>
      <c r="J4477" s="155" t="str">
        <f t="shared" si="7"/>
        <v>TT</v>
      </c>
      <c r="K4477" s="22" t="s">
        <v>15772</v>
      </c>
      <c r="L4477" s="56">
        <v>45106</v>
      </c>
      <c r="O4477" s="42"/>
      <c r="P4477" s="40"/>
      <c r="Q4477" s="61"/>
      <c r="R4477" s="61"/>
      <c r="S4477" s="40"/>
      <c r="T4477" s="38"/>
      <c r="U4477" s="38"/>
      <c r="V4477" s="38"/>
      <c r="W4477" s="60"/>
      <c r="AB4477" s="42"/>
      <c r="AC4477" s="35"/>
      <c r="AD4477" s="38"/>
      <c r="AE4477" s="38"/>
      <c r="AF4477" s="38"/>
      <c r="AG4477" s="38"/>
      <c r="AH4477" s="60"/>
    </row>
    <row r="4478" spans="1:34" ht="15.75" customHeight="1">
      <c r="A4478" s="114" t="s">
        <v>39</v>
      </c>
      <c r="B4478" s="158" t="s">
        <v>15773</v>
      </c>
      <c r="C4478" s="37" t="s">
        <v>46</v>
      </c>
      <c r="D4478" s="20" t="s">
        <v>15774</v>
      </c>
      <c r="E4478" s="20" t="s">
        <v>15775</v>
      </c>
      <c r="F4478" s="37" t="s">
        <v>49</v>
      </c>
      <c r="G4478" s="19" t="s">
        <v>50</v>
      </c>
      <c r="H4478" s="37"/>
      <c r="I4478" s="37" t="s">
        <v>29</v>
      </c>
      <c r="J4478" s="155" t="str">
        <f t="shared" si="7"/>
        <v>TT</v>
      </c>
      <c r="K4478" s="22" t="s">
        <v>15776</v>
      </c>
      <c r="L4478" s="56">
        <v>45106</v>
      </c>
      <c r="O4478" s="42"/>
      <c r="P4478" s="40"/>
      <c r="Q4478" s="61"/>
      <c r="R4478" s="61"/>
      <c r="S4478" s="40"/>
      <c r="T4478" s="38"/>
      <c r="U4478" s="38"/>
      <c r="V4478" s="38"/>
      <c r="W4478" s="60"/>
      <c r="AB4478" s="42"/>
      <c r="AC4478" s="35"/>
      <c r="AD4478" s="38"/>
      <c r="AE4478" s="38"/>
      <c r="AF4478" s="38"/>
      <c r="AG4478" s="38"/>
      <c r="AH4478" s="60"/>
    </row>
    <row r="4479" spans="1:34" ht="15.75" customHeight="1">
      <c r="A4479" s="38" t="s">
        <v>14696</v>
      </c>
      <c r="B4479" s="158" t="s">
        <v>15777</v>
      </c>
      <c r="C4479" s="37" t="s">
        <v>87</v>
      </c>
      <c r="D4479" s="20" t="s">
        <v>15778</v>
      </c>
      <c r="E4479" s="20" t="s">
        <v>12158</v>
      </c>
      <c r="F4479" s="19" t="s">
        <v>90</v>
      </c>
      <c r="G4479" s="19" t="s">
        <v>91</v>
      </c>
      <c r="H4479" s="37"/>
      <c r="I4479" s="37" t="s">
        <v>29</v>
      </c>
      <c r="J4479" s="155" t="str">
        <f t="shared" si="7"/>
        <v>TT</v>
      </c>
      <c r="K4479" s="22"/>
      <c r="L4479" s="56">
        <v>45106</v>
      </c>
      <c r="O4479" s="42"/>
      <c r="P4479" s="40"/>
      <c r="Q4479" s="61"/>
      <c r="R4479" s="61"/>
      <c r="S4479" s="40"/>
      <c r="T4479" s="38"/>
      <c r="U4479" s="38"/>
      <c r="V4479" s="38"/>
      <c r="W4479" s="60"/>
      <c r="AB4479" s="42"/>
      <c r="AC4479" s="35"/>
      <c r="AD4479" s="38"/>
      <c r="AE4479" s="38"/>
      <c r="AF4479" s="38"/>
      <c r="AG4479" s="38"/>
      <c r="AH4479" s="60"/>
    </row>
    <row r="4480" spans="1:34" ht="15.75" customHeight="1">
      <c r="A4480" s="75" t="s">
        <v>13413</v>
      </c>
      <c r="B4480" s="158" t="s">
        <v>15779</v>
      </c>
      <c r="C4480" s="37" t="s">
        <v>87</v>
      </c>
      <c r="D4480" s="20" t="s">
        <v>15780</v>
      </c>
      <c r="E4480" s="20" t="s">
        <v>15781</v>
      </c>
      <c r="F4480" s="19" t="s">
        <v>90</v>
      </c>
      <c r="G4480" s="19" t="s">
        <v>91</v>
      </c>
      <c r="H4480" s="37"/>
      <c r="I4480" s="37" t="s">
        <v>29</v>
      </c>
      <c r="J4480" s="155" t="str">
        <f t="shared" si="7"/>
        <v>TT</v>
      </c>
      <c r="K4480" s="22" t="s">
        <v>15782</v>
      </c>
      <c r="L4480" s="56">
        <v>45106</v>
      </c>
      <c r="O4480" s="42"/>
      <c r="P4480" s="40"/>
      <c r="Q4480" s="61"/>
      <c r="R4480" s="61"/>
      <c r="S4480" s="40"/>
      <c r="T4480" s="38"/>
      <c r="U4480" s="38"/>
      <c r="V4480" s="38"/>
      <c r="W4480" s="60"/>
      <c r="AB4480" s="42"/>
      <c r="AC4480" s="35"/>
      <c r="AD4480" s="38"/>
      <c r="AE4480" s="38"/>
      <c r="AF4480" s="38"/>
      <c r="AG4480" s="38"/>
      <c r="AH4480" s="60"/>
    </row>
    <row r="4481" spans="1:34" ht="15.75" customHeight="1">
      <c r="A4481" s="50" t="s">
        <v>56</v>
      </c>
      <c r="B4481" s="158" t="s">
        <v>15783</v>
      </c>
      <c r="C4481" s="143" t="s">
        <v>24</v>
      </c>
      <c r="D4481" s="20" t="s">
        <v>15784</v>
      </c>
      <c r="E4481" s="20" t="s">
        <v>15785</v>
      </c>
      <c r="F4481" s="19" t="s">
        <v>27</v>
      </c>
      <c r="G4481" s="19" t="s">
        <v>28</v>
      </c>
      <c r="H4481" s="143"/>
      <c r="I4481" s="37" t="s">
        <v>29</v>
      </c>
      <c r="J4481" s="155" t="str">
        <f t="shared" si="7"/>
        <v>TT</v>
      </c>
      <c r="K4481" s="22" t="s">
        <v>15786</v>
      </c>
      <c r="L4481" s="56">
        <v>45106</v>
      </c>
      <c r="O4481" s="42"/>
      <c r="P4481" s="40"/>
      <c r="Q4481" s="61"/>
      <c r="R4481" s="61"/>
      <c r="S4481" s="40"/>
      <c r="T4481" s="38"/>
      <c r="U4481" s="38"/>
      <c r="V4481" s="38"/>
      <c r="W4481" s="60"/>
      <c r="AB4481" s="42"/>
      <c r="AC4481" s="35"/>
      <c r="AD4481" s="38"/>
      <c r="AE4481" s="38"/>
      <c r="AF4481" s="38"/>
      <c r="AG4481" s="38"/>
      <c r="AH4481" s="60"/>
    </row>
    <row r="4482" spans="1:34" ht="15.75" customHeight="1">
      <c r="A4482" s="17">
        <v>44</v>
      </c>
      <c r="B4482" s="158" t="s">
        <v>15787</v>
      </c>
      <c r="C4482" s="37" t="s">
        <v>46</v>
      </c>
      <c r="D4482" s="20" t="s">
        <v>15788</v>
      </c>
      <c r="E4482" s="20" t="s">
        <v>15789</v>
      </c>
      <c r="F4482" s="37" t="s">
        <v>49</v>
      </c>
      <c r="G4482" s="19" t="s">
        <v>50</v>
      </c>
      <c r="H4482" s="37"/>
      <c r="I4482" s="37" t="s">
        <v>29</v>
      </c>
      <c r="J4482" s="155" t="str">
        <f t="shared" si="7"/>
        <v>TT</v>
      </c>
      <c r="K4482" s="22" t="s">
        <v>15790</v>
      </c>
      <c r="L4482" s="56">
        <v>45106</v>
      </c>
      <c r="O4482" s="42"/>
      <c r="P4482" s="40"/>
      <c r="Q4482" s="61"/>
      <c r="R4482" s="61"/>
      <c r="S4482" s="40"/>
      <c r="T4482" s="38"/>
      <c r="U4482" s="38"/>
      <c r="V4482" s="38"/>
      <c r="W4482" s="60"/>
      <c r="AB4482" s="42"/>
      <c r="AC4482" s="35"/>
      <c r="AD4482" s="38"/>
      <c r="AE4482" s="38"/>
      <c r="AF4482" s="38"/>
      <c r="AG4482" s="38"/>
      <c r="AH4482" s="60"/>
    </row>
    <row r="4483" spans="1:34" ht="15.75" customHeight="1">
      <c r="A4483" s="111" t="s">
        <v>64</v>
      </c>
      <c r="B4483" s="158" t="s">
        <v>15791</v>
      </c>
      <c r="C4483" s="37" t="s">
        <v>46</v>
      </c>
      <c r="D4483" s="20" t="s">
        <v>15792</v>
      </c>
      <c r="E4483" s="20" t="s">
        <v>15793</v>
      </c>
      <c r="F4483" s="37" t="s">
        <v>49</v>
      </c>
      <c r="G4483" s="19" t="s">
        <v>50</v>
      </c>
      <c r="H4483" s="37"/>
      <c r="I4483" s="37" t="s">
        <v>29</v>
      </c>
      <c r="J4483" s="155" t="str">
        <f t="shared" si="7"/>
        <v>TT</v>
      </c>
      <c r="K4483" s="22" t="s">
        <v>15794</v>
      </c>
      <c r="L4483" s="56">
        <v>45106</v>
      </c>
      <c r="O4483" s="42"/>
      <c r="P4483" s="40"/>
      <c r="Q4483" s="61"/>
      <c r="R4483" s="61"/>
      <c r="S4483" s="40"/>
      <c r="T4483" s="38"/>
      <c r="U4483" s="38"/>
      <c r="V4483" s="38"/>
      <c r="W4483" s="60"/>
      <c r="AB4483" s="42"/>
      <c r="AC4483" s="35"/>
      <c r="AD4483" s="38"/>
      <c r="AE4483" s="38"/>
      <c r="AF4483" s="38"/>
      <c r="AG4483" s="38"/>
      <c r="AH4483" s="60"/>
    </row>
    <row r="4484" spans="1:34" ht="15.75" customHeight="1">
      <c r="A4484" s="75">
        <v>2.4</v>
      </c>
      <c r="B4484" s="158" t="s">
        <v>15795</v>
      </c>
      <c r="C4484" s="143" t="s">
        <v>24</v>
      </c>
      <c r="D4484" s="20" t="s">
        <v>15796</v>
      </c>
      <c r="E4484" s="20" t="s">
        <v>15797</v>
      </c>
      <c r="F4484" s="19" t="s">
        <v>27</v>
      </c>
      <c r="G4484" s="19" t="s">
        <v>28</v>
      </c>
      <c r="H4484" s="143"/>
      <c r="I4484" s="37" t="s">
        <v>29</v>
      </c>
      <c r="J4484" s="155" t="str">
        <f t="shared" si="7"/>
        <v>TT</v>
      </c>
      <c r="K4484" s="22" t="s">
        <v>15798</v>
      </c>
      <c r="L4484" s="56">
        <v>45106</v>
      </c>
      <c r="O4484" s="42"/>
      <c r="P4484" s="40"/>
      <c r="Q4484" s="61"/>
      <c r="R4484" s="61"/>
      <c r="S4484" s="40"/>
      <c r="T4484" s="38"/>
      <c r="U4484" s="38"/>
      <c r="V4484" s="38"/>
      <c r="W4484" s="60"/>
      <c r="AB4484" s="42"/>
      <c r="AC4484" s="35"/>
      <c r="AD4484" s="38"/>
      <c r="AE4484" s="38"/>
      <c r="AF4484" s="38"/>
      <c r="AG4484" s="38"/>
      <c r="AH4484" s="60"/>
    </row>
    <row r="4485" spans="1:34" ht="15.75" customHeight="1">
      <c r="A4485" s="111" t="s">
        <v>73</v>
      </c>
      <c r="B4485" s="158" t="s">
        <v>15799</v>
      </c>
      <c r="C4485" s="143" t="s">
        <v>24</v>
      </c>
      <c r="D4485" s="20" t="s">
        <v>15800</v>
      </c>
      <c r="E4485" s="20"/>
      <c r="F4485" s="19" t="s">
        <v>27</v>
      </c>
      <c r="G4485" s="19" t="s">
        <v>28</v>
      </c>
      <c r="H4485" s="143"/>
      <c r="I4485" s="37" t="s">
        <v>29</v>
      </c>
      <c r="J4485" s="155" t="str">
        <f t="shared" si="7"/>
        <v>TT</v>
      </c>
      <c r="K4485" s="22"/>
      <c r="L4485" s="56">
        <v>45106</v>
      </c>
      <c r="O4485" s="42"/>
      <c r="P4485" s="40"/>
      <c r="Q4485" s="61"/>
      <c r="R4485" s="61"/>
      <c r="S4485" s="40"/>
      <c r="T4485" s="38"/>
      <c r="U4485" s="38"/>
      <c r="V4485" s="38"/>
      <c r="W4485" s="60"/>
      <c r="AB4485" s="42"/>
      <c r="AC4485" s="35"/>
      <c r="AD4485" s="38"/>
      <c r="AE4485" s="38"/>
      <c r="AF4485" s="38"/>
      <c r="AG4485" s="38"/>
      <c r="AH4485" s="60"/>
    </row>
    <row r="4486" spans="1:34" ht="15.75" customHeight="1">
      <c r="A4486" s="75">
        <v>2.7</v>
      </c>
      <c r="B4486" s="158" t="s">
        <v>15801</v>
      </c>
      <c r="C4486" s="37" t="s">
        <v>87</v>
      </c>
      <c r="D4486" s="20" t="s">
        <v>15802</v>
      </c>
      <c r="E4486" s="20" t="s">
        <v>15803</v>
      </c>
      <c r="F4486" s="19" t="s">
        <v>90</v>
      </c>
      <c r="G4486" s="19" t="s">
        <v>91</v>
      </c>
      <c r="H4486" s="37"/>
      <c r="I4486" s="37" t="s">
        <v>29</v>
      </c>
      <c r="J4486" s="155" t="str">
        <f t="shared" si="7"/>
        <v>TT</v>
      </c>
      <c r="K4486" s="22" t="s">
        <v>15804</v>
      </c>
      <c r="L4486" s="56">
        <v>45106</v>
      </c>
      <c r="O4486" s="42"/>
      <c r="P4486" s="40"/>
      <c r="Q4486" s="61"/>
      <c r="R4486" s="61"/>
      <c r="S4486" s="40"/>
      <c r="T4486" s="38"/>
      <c r="U4486" s="38"/>
      <c r="V4486" s="38"/>
      <c r="W4486" s="60"/>
      <c r="AB4486" s="42"/>
      <c r="AC4486" s="35"/>
      <c r="AD4486" s="38"/>
      <c r="AE4486" s="38"/>
      <c r="AF4486" s="38"/>
      <c r="AG4486" s="38"/>
      <c r="AH4486" s="60"/>
    </row>
    <row r="4487" spans="1:34" ht="15.75" customHeight="1">
      <c r="A4487" s="111" t="s">
        <v>82</v>
      </c>
      <c r="B4487" s="158" t="s">
        <v>15805</v>
      </c>
      <c r="C4487" s="37" t="s">
        <v>87</v>
      </c>
      <c r="D4487" s="20" t="s">
        <v>15806</v>
      </c>
      <c r="E4487" s="20" t="s">
        <v>15807</v>
      </c>
      <c r="F4487" s="19" t="s">
        <v>90</v>
      </c>
      <c r="G4487" s="19" t="s">
        <v>91</v>
      </c>
      <c r="H4487" s="37"/>
      <c r="I4487" s="37" t="s">
        <v>29</v>
      </c>
      <c r="J4487" s="155" t="str">
        <f t="shared" si="7"/>
        <v>TT</v>
      </c>
      <c r="K4487" s="22" t="s">
        <v>15808</v>
      </c>
      <c r="L4487" s="56">
        <v>45106</v>
      </c>
      <c r="O4487" s="42"/>
      <c r="P4487" s="40"/>
      <c r="Q4487" s="61"/>
      <c r="R4487" s="61"/>
      <c r="S4487" s="40"/>
      <c r="T4487" s="38"/>
      <c r="U4487" s="38"/>
      <c r="V4487" s="38"/>
      <c r="W4487" s="60"/>
      <c r="AB4487" s="42"/>
      <c r="AC4487" s="35"/>
      <c r="AD4487" s="38"/>
      <c r="AE4487" s="38"/>
      <c r="AF4487" s="38"/>
      <c r="AG4487" s="38"/>
      <c r="AH4487" s="60"/>
    </row>
    <row r="4488" spans="1:34" ht="15.75" customHeight="1">
      <c r="A4488" s="112" t="s">
        <v>15809</v>
      </c>
      <c r="B4488" s="158" t="s">
        <v>15810</v>
      </c>
      <c r="C4488" s="143" t="s">
        <v>24</v>
      </c>
      <c r="D4488" s="20" t="s">
        <v>15811</v>
      </c>
      <c r="E4488" s="20" t="s">
        <v>15812</v>
      </c>
      <c r="F4488" s="19" t="s">
        <v>27</v>
      </c>
      <c r="G4488" s="19" t="s">
        <v>28</v>
      </c>
      <c r="H4488" s="19" t="s">
        <v>36</v>
      </c>
      <c r="I4488" s="37" t="s">
        <v>29</v>
      </c>
      <c r="J4488" s="155" t="str">
        <f t="shared" si="7"/>
        <v>TT</v>
      </c>
      <c r="K4488" s="22" t="s">
        <v>15813</v>
      </c>
      <c r="L4488" s="56">
        <v>45106</v>
      </c>
      <c r="O4488" s="42"/>
      <c r="P4488" s="40"/>
      <c r="Q4488" s="61"/>
      <c r="R4488" s="61"/>
      <c r="S4488" s="40"/>
      <c r="T4488" s="38"/>
      <c r="U4488" s="38"/>
      <c r="V4488" s="38"/>
      <c r="W4488" s="60"/>
      <c r="AB4488" s="42"/>
      <c r="AC4488" s="35"/>
      <c r="AD4488" s="38"/>
      <c r="AE4488" s="38"/>
      <c r="AF4488" s="38"/>
      <c r="AG4488" s="38"/>
      <c r="AH4488" s="60"/>
    </row>
    <row r="4489" spans="1:34" ht="15.75" customHeight="1">
      <c r="A4489" s="111" t="s">
        <v>92</v>
      </c>
      <c r="B4489" s="158" t="s">
        <v>15814</v>
      </c>
      <c r="C4489" s="37" t="s">
        <v>87</v>
      </c>
      <c r="D4489" s="20" t="s">
        <v>15815</v>
      </c>
      <c r="E4489" s="20" t="s">
        <v>15816</v>
      </c>
      <c r="F4489" s="19" t="s">
        <v>90</v>
      </c>
      <c r="G4489" s="19" t="s">
        <v>91</v>
      </c>
      <c r="H4489" s="37"/>
      <c r="I4489" s="37" t="s">
        <v>29</v>
      </c>
      <c r="J4489" s="155" t="str">
        <f t="shared" si="7"/>
        <v>TT</v>
      </c>
      <c r="K4489" s="22" t="s">
        <v>15817</v>
      </c>
      <c r="L4489" s="56">
        <v>45106</v>
      </c>
      <c r="O4489" s="42"/>
      <c r="P4489" s="40"/>
      <c r="Q4489" s="61"/>
      <c r="R4489" s="61"/>
      <c r="S4489" s="40"/>
      <c r="T4489" s="38"/>
      <c r="U4489" s="38"/>
      <c r="V4489" s="38"/>
      <c r="W4489" s="60"/>
      <c r="AB4489" s="42"/>
      <c r="AC4489" s="35"/>
      <c r="AD4489" s="38"/>
      <c r="AE4489" s="38"/>
      <c r="AF4489" s="38"/>
      <c r="AG4489" s="38"/>
      <c r="AH4489" s="60"/>
    </row>
    <row r="4490" spans="1:34" ht="15.75" customHeight="1">
      <c r="A4490" s="17">
        <v>212</v>
      </c>
      <c r="B4490" s="158" t="s">
        <v>15818</v>
      </c>
      <c r="C4490" s="37" t="s">
        <v>87</v>
      </c>
      <c r="D4490" s="20" t="s">
        <v>15819</v>
      </c>
      <c r="E4490" s="20" t="s">
        <v>15820</v>
      </c>
      <c r="F4490" s="19" t="s">
        <v>90</v>
      </c>
      <c r="G4490" s="19" t="s">
        <v>91</v>
      </c>
      <c r="H4490" s="37"/>
      <c r="I4490" s="37" t="s">
        <v>29</v>
      </c>
      <c r="J4490" s="155" t="str">
        <f t="shared" si="7"/>
        <v>TT</v>
      </c>
      <c r="K4490" s="22" t="s">
        <v>15821</v>
      </c>
      <c r="L4490" s="56">
        <v>45106</v>
      </c>
      <c r="O4490" s="42"/>
      <c r="P4490" s="40"/>
      <c r="Q4490" s="61"/>
      <c r="R4490" s="61"/>
      <c r="S4490" s="40"/>
      <c r="T4490" s="38"/>
      <c r="U4490" s="38"/>
      <c r="V4490" s="38"/>
      <c r="W4490" s="60"/>
      <c r="AB4490" s="42"/>
      <c r="AC4490" s="35"/>
      <c r="AD4490" s="38"/>
      <c r="AE4490" s="38"/>
      <c r="AF4490" s="38"/>
      <c r="AG4490" s="38"/>
      <c r="AH4490" s="60"/>
    </row>
    <row r="4491" spans="1:34" ht="15.75" customHeight="1">
      <c r="A4491" s="111" t="s">
        <v>100</v>
      </c>
      <c r="B4491" s="158" t="s">
        <v>15822</v>
      </c>
      <c r="C4491" s="143" t="s">
        <v>24</v>
      </c>
      <c r="D4491" s="20" t="s">
        <v>15823</v>
      </c>
      <c r="E4491" s="20"/>
      <c r="F4491" s="19" t="s">
        <v>27</v>
      </c>
      <c r="G4491" s="19" t="s">
        <v>28</v>
      </c>
      <c r="H4491" s="143"/>
      <c r="I4491" s="37" t="s">
        <v>29</v>
      </c>
      <c r="J4491" s="155" t="str">
        <f t="shared" si="7"/>
        <v>TT</v>
      </c>
      <c r="K4491" s="22"/>
      <c r="L4491" s="56">
        <v>45106</v>
      </c>
      <c r="O4491" s="42"/>
      <c r="P4491" s="40"/>
      <c r="Q4491" s="61"/>
      <c r="R4491" s="61"/>
      <c r="S4491" s="40"/>
      <c r="T4491" s="38"/>
      <c r="U4491" s="38"/>
      <c r="V4491" s="38"/>
      <c r="W4491" s="60"/>
      <c r="AB4491" s="42"/>
      <c r="AC4491" s="35"/>
      <c r="AD4491" s="38"/>
      <c r="AE4491" s="38"/>
      <c r="AF4491" s="38"/>
      <c r="AG4491" s="38"/>
      <c r="AH4491" s="60"/>
    </row>
    <row r="4492" spans="1:34" ht="15.75" customHeight="1">
      <c r="A4492" s="17">
        <v>156</v>
      </c>
      <c r="B4492" s="158" t="s">
        <v>15824</v>
      </c>
      <c r="C4492" s="37" t="s">
        <v>46</v>
      </c>
      <c r="D4492" s="20" t="s">
        <v>15825</v>
      </c>
      <c r="E4492" s="20" t="s">
        <v>15826</v>
      </c>
      <c r="F4492" s="37" t="s">
        <v>49</v>
      </c>
      <c r="G4492" s="19" t="s">
        <v>50</v>
      </c>
      <c r="H4492" s="37"/>
      <c r="I4492" s="37" t="s">
        <v>29</v>
      </c>
      <c r="J4492" s="155" t="str">
        <f t="shared" si="7"/>
        <v>TT</v>
      </c>
      <c r="K4492" s="22" t="s">
        <v>15827</v>
      </c>
      <c r="L4492" s="56">
        <v>45106</v>
      </c>
      <c r="O4492" s="42"/>
      <c r="P4492" s="40"/>
      <c r="Q4492" s="61"/>
      <c r="R4492" s="61"/>
      <c r="S4492" s="40"/>
      <c r="T4492" s="38"/>
      <c r="U4492" s="38"/>
      <c r="V4492" s="38"/>
      <c r="W4492" s="60"/>
      <c r="AB4492" s="42"/>
      <c r="AC4492" s="35"/>
      <c r="AD4492" s="38"/>
      <c r="AE4492" s="38"/>
      <c r="AF4492" s="38"/>
      <c r="AG4492" s="38"/>
      <c r="AH4492" s="60"/>
    </row>
    <row r="4493" spans="1:34" ht="15.75" customHeight="1">
      <c r="A4493" s="35"/>
      <c r="B4493" s="158" t="s">
        <v>15828</v>
      </c>
      <c r="C4493" s="143" t="s">
        <v>24</v>
      </c>
      <c r="D4493" s="20" t="s">
        <v>15829</v>
      </c>
      <c r="E4493" s="20" t="s">
        <v>15830</v>
      </c>
      <c r="F4493" s="19" t="s">
        <v>27</v>
      </c>
      <c r="G4493" s="19" t="s">
        <v>28</v>
      </c>
      <c r="H4493" s="143"/>
      <c r="I4493" s="37" t="s">
        <v>29</v>
      </c>
      <c r="J4493" s="155" t="str">
        <f t="shared" si="7"/>
        <v>TT</v>
      </c>
      <c r="K4493" s="22" t="s">
        <v>15831</v>
      </c>
      <c r="L4493" s="56">
        <v>45106</v>
      </c>
      <c r="O4493" s="42"/>
      <c r="P4493" s="40"/>
      <c r="Q4493" s="61"/>
      <c r="R4493" s="61"/>
      <c r="S4493" s="40"/>
      <c r="T4493" s="38"/>
      <c r="U4493" s="38"/>
      <c r="V4493" s="38"/>
      <c r="W4493" s="60"/>
      <c r="AB4493" s="42"/>
      <c r="AC4493" s="35"/>
      <c r="AD4493" s="38"/>
      <c r="AE4493" s="38"/>
      <c r="AF4493" s="38"/>
      <c r="AG4493" s="38"/>
      <c r="AH4493" s="60"/>
    </row>
    <row r="4494" spans="1:34" ht="15.75" customHeight="1">
      <c r="A4494" s="35"/>
      <c r="B4494" s="158" t="s">
        <v>15832</v>
      </c>
      <c r="C4494" s="37" t="s">
        <v>87</v>
      </c>
      <c r="D4494" s="20" t="s">
        <v>15833</v>
      </c>
      <c r="E4494" s="20" t="s">
        <v>15834</v>
      </c>
      <c r="F4494" s="19" t="s">
        <v>90</v>
      </c>
      <c r="G4494" s="19" t="s">
        <v>91</v>
      </c>
      <c r="H4494" s="37"/>
      <c r="I4494" s="37" t="s">
        <v>29</v>
      </c>
      <c r="J4494" s="155" t="str">
        <f t="shared" si="7"/>
        <v>TT</v>
      </c>
      <c r="K4494" s="22" t="s">
        <v>15835</v>
      </c>
      <c r="L4494" s="56">
        <v>45106</v>
      </c>
      <c r="O4494" s="42"/>
      <c r="P4494" s="40"/>
      <c r="Q4494" s="61"/>
      <c r="R4494" s="61"/>
      <c r="S4494" s="40"/>
      <c r="T4494" s="38"/>
      <c r="U4494" s="38"/>
      <c r="V4494" s="38"/>
      <c r="W4494" s="60"/>
      <c r="AB4494" s="42"/>
      <c r="AC4494" s="35"/>
      <c r="AD4494" s="38"/>
      <c r="AE4494" s="38"/>
      <c r="AF4494" s="38"/>
      <c r="AG4494" s="38"/>
      <c r="AH4494" s="60"/>
    </row>
    <row r="4495" spans="1:34" ht="15.75" customHeight="1">
      <c r="A4495" s="233"/>
      <c r="B4495" s="158" t="s">
        <v>15836</v>
      </c>
      <c r="C4495" s="37" t="s">
        <v>87</v>
      </c>
      <c r="D4495" s="20" t="s">
        <v>15837</v>
      </c>
      <c r="E4495" s="20" t="s">
        <v>15838</v>
      </c>
      <c r="F4495" s="19" t="s">
        <v>90</v>
      </c>
      <c r="G4495" s="19" t="s">
        <v>91</v>
      </c>
      <c r="H4495" s="37"/>
      <c r="I4495" s="37" t="s">
        <v>29</v>
      </c>
      <c r="J4495" s="155" t="str">
        <f t="shared" si="7"/>
        <v>TT</v>
      </c>
      <c r="K4495" s="22" t="s">
        <v>15839</v>
      </c>
      <c r="L4495" s="56">
        <v>45106</v>
      </c>
      <c r="O4495" s="42"/>
      <c r="P4495" s="40"/>
      <c r="Q4495" s="61"/>
      <c r="R4495" s="61"/>
      <c r="S4495" s="40"/>
      <c r="T4495" s="38"/>
      <c r="U4495" s="38"/>
      <c r="V4495" s="38"/>
      <c r="W4495" s="60"/>
      <c r="AB4495" s="42"/>
      <c r="AC4495" s="35"/>
      <c r="AD4495" s="38"/>
      <c r="AE4495" s="38"/>
      <c r="AF4495" s="38"/>
      <c r="AG4495" s="38"/>
      <c r="AH4495" s="60"/>
    </row>
    <row r="4496" spans="1:34" ht="15.75" customHeight="1">
      <c r="A4496" s="234"/>
      <c r="B4496" s="158" t="s">
        <v>15840</v>
      </c>
      <c r="C4496" s="37" t="s">
        <v>46</v>
      </c>
      <c r="D4496" s="20" t="s">
        <v>15841</v>
      </c>
      <c r="E4496" s="20" t="s">
        <v>15842</v>
      </c>
      <c r="F4496" s="37" t="s">
        <v>49</v>
      </c>
      <c r="G4496" s="19" t="s">
        <v>50</v>
      </c>
      <c r="H4496" s="37"/>
      <c r="I4496" s="37" t="s">
        <v>29</v>
      </c>
      <c r="J4496" s="155" t="str">
        <f t="shared" si="7"/>
        <v>TT</v>
      </c>
      <c r="K4496" s="22" t="s">
        <v>15843</v>
      </c>
      <c r="L4496" s="56">
        <v>45106</v>
      </c>
      <c r="O4496" s="42"/>
      <c r="P4496" s="40"/>
      <c r="Q4496" s="61"/>
      <c r="R4496" s="61"/>
      <c r="S4496" s="40"/>
      <c r="T4496" s="38"/>
      <c r="U4496" s="38"/>
      <c r="V4496" s="38"/>
      <c r="W4496" s="60"/>
      <c r="AB4496" s="42"/>
      <c r="AC4496" s="35"/>
      <c r="AD4496" s="38"/>
      <c r="AE4496" s="38"/>
      <c r="AF4496" s="38"/>
      <c r="AG4496" s="38"/>
      <c r="AH4496" s="60"/>
    </row>
    <row r="4497" spans="1:34" ht="15.75" customHeight="1">
      <c r="A4497" s="195"/>
      <c r="B4497" s="158" t="s">
        <v>15844</v>
      </c>
      <c r="C4497" s="143" t="s">
        <v>24</v>
      </c>
      <c r="D4497" s="20" t="s">
        <v>15845</v>
      </c>
      <c r="E4497" s="20"/>
      <c r="F4497" s="19" t="s">
        <v>27</v>
      </c>
      <c r="G4497" s="19" t="s">
        <v>28</v>
      </c>
      <c r="H4497" s="143"/>
      <c r="I4497" s="37" t="s">
        <v>29</v>
      </c>
      <c r="J4497" s="155" t="str">
        <f t="shared" si="7"/>
        <v>TT</v>
      </c>
      <c r="K4497" s="22"/>
      <c r="L4497" s="56">
        <v>45106</v>
      </c>
      <c r="O4497" s="42"/>
      <c r="P4497" s="40"/>
      <c r="Q4497" s="61"/>
      <c r="R4497" s="61"/>
      <c r="S4497" s="40"/>
      <c r="T4497" s="38"/>
      <c r="U4497" s="38"/>
      <c r="V4497" s="38"/>
      <c r="W4497" s="60"/>
      <c r="AB4497" s="42"/>
      <c r="AC4497" s="35"/>
      <c r="AD4497" s="38"/>
      <c r="AE4497" s="38"/>
      <c r="AF4497" s="38"/>
      <c r="AG4497" s="38"/>
      <c r="AH4497" s="60"/>
    </row>
    <row r="4498" spans="1:34" ht="15.75" customHeight="1">
      <c r="A4498" s="195"/>
      <c r="B4498" s="159" t="s">
        <v>15846</v>
      </c>
      <c r="C4498" s="143" t="s">
        <v>24</v>
      </c>
      <c r="D4498" s="20" t="s">
        <v>15847</v>
      </c>
      <c r="E4498" s="20" t="s">
        <v>15848</v>
      </c>
      <c r="F4498" s="19" t="s">
        <v>27</v>
      </c>
      <c r="G4498" s="19" t="s">
        <v>28</v>
      </c>
      <c r="H4498" s="37"/>
      <c r="I4498" s="37" t="s">
        <v>29</v>
      </c>
      <c r="J4498" s="155" t="str">
        <f t="shared" si="7"/>
        <v>TT</v>
      </c>
      <c r="K4498" s="22" t="s">
        <v>15849</v>
      </c>
      <c r="L4498" s="56">
        <v>45106</v>
      </c>
      <c r="O4498" s="42"/>
      <c r="P4498" s="40"/>
      <c r="Q4498" s="61"/>
      <c r="R4498" s="61"/>
      <c r="S4498" s="40"/>
      <c r="T4498" s="38"/>
      <c r="U4498" s="38"/>
      <c r="V4498" s="38"/>
      <c r="W4498" s="60"/>
      <c r="AB4498" s="42"/>
      <c r="AC4498" s="35"/>
      <c r="AD4498" s="38"/>
      <c r="AE4498" s="38"/>
      <c r="AF4498" s="38"/>
      <c r="AG4498" s="38"/>
      <c r="AH4498" s="60"/>
    </row>
    <row r="4499" spans="1:34" ht="15.75" customHeight="1">
      <c r="A4499" s="235"/>
      <c r="B4499" s="158" t="s">
        <v>15850</v>
      </c>
      <c r="C4499" s="37" t="s">
        <v>87</v>
      </c>
      <c r="D4499" s="20" t="s">
        <v>15851</v>
      </c>
      <c r="E4499" s="20" t="s">
        <v>15852</v>
      </c>
      <c r="F4499" s="19" t="s">
        <v>90</v>
      </c>
      <c r="G4499" s="19" t="s">
        <v>91</v>
      </c>
      <c r="H4499" s="37"/>
      <c r="I4499" s="37" t="s">
        <v>29</v>
      </c>
      <c r="J4499" s="155" t="str">
        <f t="shared" si="7"/>
        <v>TT</v>
      </c>
      <c r="K4499" s="22" t="s">
        <v>15853</v>
      </c>
      <c r="L4499" s="56">
        <v>45106</v>
      </c>
      <c r="O4499" s="42"/>
      <c r="P4499" s="40"/>
      <c r="Q4499" s="61"/>
      <c r="R4499" s="61"/>
      <c r="S4499" s="40"/>
      <c r="T4499" s="38"/>
      <c r="U4499" s="38"/>
      <c r="V4499" s="38"/>
      <c r="W4499" s="60"/>
      <c r="AB4499" s="42"/>
      <c r="AC4499" s="35"/>
      <c r="AD4499" s="38"/>
      <c r="AE4499" s="38"/>
      <c r="AF4499" s="38"/>
      <c r="AG4499" s="38"/>
      <c r="AH4499" s="60"/>
    </row>
    <row r="4500" spans="1:34" ht="15.75" customHeight="1">
      <c r="A4500" s="236"/>
      <c r="B4500" s="158" t="s">
        <v>15854</v>
      </c>
      <c r="C4500" s="37" t="s">
        <v>46</v>
      </c>
      <c r="D4500" s="20" t="s">
        <v>15855</v>
      </c>
      <c r="E4500" s="20" t="s">
        <v>15856</v>
      </c>
      <c r="F4500" s="37" t="s">
        <v>49</v>
      </c>
      <c r="G4500" s="19" t="s">
        <v>50</v>
      </c>
      <c r="H4500" s="37"/>
      <c r="I4500" s="37" t="s">
        <v>29</v>
      </c>
      <c r="J4500" s="155" t="str">
        <f t="shared" si="7"/>
        <v>TT</v>
      </c>
      <c r="K4500" s="22" t="s">
        <v>15857</v>
      </c>
      <c r="L4500" s="56">
        <v>45106</v>
      </c>
      <c r="O4500" s="42"/>
      <c r="P4500" s="40"/>
      <c r="Q4500" s="61"/>
      <c r="R4500" s="61"/>
      <c r="S4500" s="40"/>
      <c r="T4500" s="38"/>
      <c r="U4500" s="38"/>
      <c r="V4500" s="38"/>
      <c r="W4500" s="60"/>
      <c r="AB4500" s="42"/>
      <c r="AC4500" s="35"/>
      <c r="AD4500" s="38"/>
      <c r="AE4500" s="38"/>
      <c r="AF4500" s="38"/>
      <c r="AG4500" s="38"/>
      <c r="AH4500" s="60"/>
    </row>
    <row r="4501" spans="1:34" ht="15.75" customHeight="1">
      <c r="A4501" s="195"/>
      <c r="B4501" s="158" t="s">
        <v>15858</v>
      </c>
      <c r="C4501" s="37" t="s">
        <v>87</v>
      </c>
      <c r="D4501" s="20" t="s">
        <v>15859</v>
      </c>
      <c r="E4501" s="20" t="s">
        <v>15860</v>
      </c>
      <c r="F4501" s="19" t="s">
        <v>90</v>
      </c>
      <c r="G4501" s="19" t="s">
        <v>91</v>
      </c>
      <c r="H4501" s="37"/>
      <c r="I4501" s="37" t="s">
        <v>29</v>
      </c>
      <c r="J4501" s="155" t="str">
        <f t="shared" si="7"/>
        <v>TT</v>
      </c>
      <c r="K4501" s="22" t="s">
        <v>15861</v>
      </c>
      <c r="L4501" s="56">
        <v>45106</v>
      </c>
      <c r="O4501" s="42"/>
      <c r="P4501" s="40"/>
      <c r="Q4501" s="61"/>
      <c r="R4501" s="61"/>
      <c r="S4501" s="40"/>
      <c r="T4501" s="38"/>
      <c r="U4501" s="38"/>
      <c r="V4501" s="38"/>
      <c r="W4501" s="60"/>
      <c r="AB4501" s="42"/>
      <c r="AC4501" s="35"/>
      <c r="AD4501" s="38"/>
      <c r="AE4501" s="38"/>
      <c r="AF4501" s="38"/>
      <c r="AG4501" s="38"/>
      <c r="AH4501" s="60"/>
    </row>
    <row r="4502" spans="1:34" ht="15.75" customHeight="1">
      <c r="A4502" s="195"/>
      <c r="B4502" s="38"/>
      <c r="C4502" s="37"/>
      <c r="D4502" s="20"/>
      <c r="E4502" s="20"/>
      <c r="F4502" s="37"/>
      <c r="G4502" s="37"/>
      <c r="H4502" s="37"/>
      <c r="I4502" s="37"/>
      <c r="J4502" s="155">
        <f t="shared" si="7"/>
        <v>0</v>
      </c>
      <c r="K4502" s="22"/>
      <c r="L4502" s="39"/>
      <c r="O4502" s="42"/>
      <c r="P4502" s="40"/>
      <c r="Q4502" s="61"/>
      <c r="R4502" s="61"/>
      <c r="S4502" s="40"/>
      <c r="T4502" s="38"/>
      <c r="U4502" s="38"/>
      <c r="V4502" s="38"/>
      <c r="W4502" s="60"/>
      <c r="AB4502" s="42"/>
      <c r="AC4502" s="35"/>
      <c r="AD4502" s="38"/>
      <c r="AE4502" s="38"/>
      <c r="AF4502" s="38"/>
      <c r="AG4502" s="38"/>
      <c r="AH4502" s="60"/>
    </row>
    <row r="4503" spans="1:34" ht="15.75" customHeight="1">
      <c r="A4503" s="35" t="s">
        <v>15862</v>
      </c>
      <c r="B4503" s="158" t="s">
        <v>15863</v>
      </c>
      <c r="C4503" s="37" t="s">
        <v>24</v>
      </c>
      <c r="D4503" s="20" t="s">
        <v>15864</v>
      </c>
      <c r="E4503" s="20" t="s">
        <v>15865</v>
      </c>
      <c r="F4503" s="19" t="s">
        <v>27</v>
      </c>
      <c r="G4503" s="19" t="s">
        <v>28</v>
      </c>
      <c r="H4503" s="37"/>
      <c r="I4503" s="37" t="s">
        <v>29</v>
      </c>
      <c r="J4503" s="155" t="str">
        <f t="shared" si="7"/>
        <v>TT</v>
      </c>
      <c r="K4503" s="22" t="s">
        <v>15866</v>
      </c>
      <c r="L4503" s="56">
        <v>45106</v>
      </c>
      <c r="M4503" s="40"/>
      <c r="O4503" s="42"/>
      <c r="P4503" s="40"/>
      <c r="Q4503" s="61"/>
      <c r="R4503" s="61"/>
      <c r="S4503" s="40"/>
      <c r="T4503" s="38"/>
      <c r="U4503" s="38"/>
      <c r="V4503" s="38"/>
      <c r="W4503" s="60"/>
      <c r="AB4503" s="42"/>
      <c r="AC4503" s="35"/>
      <c r="AD4503" s="38"/>
      <c r="AE4503" s="38"/>
      <c r="AF4503" s="38"/>
      <c r="AG4503" s="38"/>
      <c r="AH4503" s="60"/>
    </row>
    <row r="4504" spans="1:34" ht="15.75" customHeight="1">
      <c r="A4504" s="54" t="s">
        <v>2714</v>
      </c>
      <c r="B4504" s="158" t="s">
        <v>15867</v>
      </c>
      <c r="C4504" s="37" t="s">
        <v>87</v>
      </c>
      <c r="D4504" s="20" t="s">
        <v>15868</v>
      </c>
      <c r="E4504" s="20" t="s">
        <v>15869</v>
      </c>
      <c r="F4504" s="19" t="s">
        <v>90</v>
      </c>
      <c r="G4504" s="19" t="s">
        <v>91</v>
      </c>
      <c r="H4504" s="37"/>
      <c r="I4504" s="37" t="s">
        <v>29</v>
      </c>
      <c r="J4504" s="155" t="str">
        <f t="shared" si="7"/>
        <v>TT</v>
      </c>
      <c r="K4504" s="22" t="s">
        <v>15870</v>
      </c>
      <c r="L4504" s="56">
        <v>45106</v>
      </c>
      <c r="O4504" s="42"/>
      <c r="P4504" s="40"/>
      <c r="Q4504" s="61"/>
      <c r="R4504" s="61"/>
      <c r="S4504" s="40"/>
      <c r="T4504" s="38"/>
      <c r="U4504" s="38"/>
      <c r="V4504" s="38"/>
      <c r="W4504" s="60"/>
      <c r="AB4504" s="42"/>
      <c r="AC4504" s="35"/>
      <c r="AD4504" s="38"/>
      <c r="AE4504" s="38"/>
      <c r="AF4504" s="38"/>
      <c r="AG4504" s="38"/>
      <c r="AH4504" s="60"/>
    </row>
    <row r="4505" spans="1:34" ht="15.75" customHeight="1">
      <c r="A4505" s="114" t="s">
        <v>39</v>
      </c>
      <c r="B4505" s="158" t="s">
        <v>15871</v>
      </c>
      <c r="C4505" s="37" t="s">
        <v>24</v>
      </c>
      <c r="D4505" s="20" t="s">
        <v>15872</v>
      </c>
      <c r="E4505" s="20" t="s">
        <v>15873</v>
      </c>
      <c r="F4505" s="19" t="s">
        <v>27</v>
      </c>
      <c r="G4505" s="19" t="s">
        <v>28</v>
      </c>
      <c r="H4505" s="37"/>
      <c r="I4505" s="37" t="s">
        <v>29</v>
      </c>
      <c r="J4505" s="155" t="str">
        <f t="shared" si="7"/>
        <v>TT</v>
      </c>
      <c r="K4505" s="22" t="s">
        <v>15874</v>
      </c>
      <c r="L4505" s="56">
        <v>45106</v>
      </c>
      <c r="O4505" s="42"/>
      <c r="P4505" s="40"/>
      <c r="Q4505" s="61"/>
      <c r="R4505" s="61"/>
      <c r="S4505" s="40"/>
      <c r="T4505" s="38"/>
      <c r="U4505" s="38"/>
      <c r="V4505" s="38"/>
      <c r="W4505" s="60"/>
      <c r="AB4505" s="42"/>
      <c r="AC4505" s="35"/>
      <c r="AD4505" s="38"/>
      <c r="AE4505" s="38"/>
      <c r="AF4505" s="38"/>
      <c r="AG4505" s="38"/>
      <c r="AH4505" s="60"/>
    </row>
    <row r="4506" spans="1:34" ht="15.75" customHeight="1">
      <c r="A4506" s="38" t="s">
        <v>14696</v>
      </c>
      <c r="B4506" s="158" t="s">
        <v>15875</v>
      </c>
      <c r="C4506" s="37" t="s">
        <v>87</v>
      </c>
      <c r="D4506" s="20" t="s">
        <v>15876</v>
      </c>
      <c r="E4506" s="20"/>
      <c r="F4506" s="19" t="s">
        <v>90</v>
      </c>
      <c r="G4506" s="19" t="s">
        <v>91</v>
      </c>
      <c r="H4506" s="37"/>
      <c r="I4506" s="37" t="s">
        <v>29</v>
      </c>
      <c r="J4506" s="155" t="str">
        <f t="shared" si="7"/>
        <v>TT</v>
      </c>
      <c r="K4506" s="22"/>
      <c r="L4506" s="56">
        <v>45106</v>
      </c>
      <c r="O4506" s="42"/>
      <c r="P4506" s="40"/>
      <c r="Q4506" s="61"/>
      <c r="R4506" s="61"/>
      <c r="S4506" s="40"/>
      <c r="T4506" s="38"/>
      <c r="U4506" s="38"/>
      <c r="V4506" s="38"/>
      <c r="W4506" s="60"/>
      <c r="AB4506" s="42"/>
      <c r="AC4506" s="35"/>
      <c r="AD4506" s="38"/>
      <c r="AE4506" s="38"/>
      <c r="AF4506" s="38"/>
      <c r="AG4506" s="38"/>
      <c r="AH4506" s="60"/>
    </row>
    <row r="4507" spans="1:34" ht="15.75" customHeight="1">
      <c r="A4507" s="75" t="s">
        <v>13076</v>
      </c>
      <c r="B4507" s="159" t="s">
        <v>15877</v>
      </c>
      <c r="C4507" s="37" t="s">
        <v>87</v>
      </c>
      <c r="D4507" s="20" t="s">
        <v>15878</v>
      </c>
      <c r="E4507" s="20" t="s">
        <v>15879</v>
      </c>
      <c r="F4507" s="19" t="s">
        <v>90</v>
      </c>
      <c r="G4507" s="19" t="s">
        <v>91</v>
      </c>
      <c r="H4507" s="37"/>
      <c r="I4507" s="37" t="s">
        <v>29</v>
      </c>
      <c r="J4507" s="155" t="str">
        <f t="shared" si="7"/>
        <v>TT</v>
      </c>
      <c r="K4507" s="22" t="s">
        <v>15880</v>
      </c>
      <c r="L4507" s="56">
        <v>45106</v>
      </c>
      <c r="O4507" s="42"/>
      <c r="P4507" s="40"/>
      <c r="Q4507" s="61"/>
      <c r="R4507" s="61"/>
      <c r="S4507" s="40"/>
      <c r="T4507" s="38"/>
      <c r="U4507" s="38"/>
      <c r="V4507" s="38"/>
      <c r="W4507" s="60"/>
      <c r="AB4507" s="42"/>
      <c r="AC4507" s="35"/>
      <c r="AD4507" s="38"/>
      <c r="AE4507" s="38"/>
      <c r="AF4507" s="38"/>
      <c r="AG4507" s="38"/>
      <c r="AH4507" s="60"/>
    </row>
    <row r="4508" spans="1:34" ht="15.75" customHeight="1">
      <c r="A4508" s="50" t="s">
        <v>56</v>
      </c>
      <c r="B4508" s="158" t="s">
        <v>15881</v>
      </c>
      <c r="C4508" s="37" t="s">
        <v>87</v>
      </c>
      <c r="D4508" s="20" t="s">
        <v>15882</v>
      </c>
      <c r="E4508" s="20" t="s">
        <v>15883</v>
      </c>
      <c r="F4508" s="19" t="s">
        <v>90</v>
      </c>
      <c r="G4508" s="19" t="s">
        <v>91</v>
      </c>
      <c r="H4508" s="37"/>
      <c r="I4508" s="37" t="s">
        <v>29</v>
      </c>
      <c r="J4508" s="155" t="str">
        <f t="shared" si="7"/>
        <v>TT</v>
      </c>
      <c r="K4508" s="22" t="s">
        <v>15884</v>
      </c>
      <c r="L4508" s="56">
        <v>45106</v>
      </c>
      <c r="O4508" s="42"/>
      <c r="P4508" s="40"/>
      <c r="Q4508" s="61"/>
      <c r="R4508" s="61"/>
      <c r="S4508" s="40"/>
      <c r="T4508" s="38"/>
      <c r="U4508" s="38"/>
      <c r="V4508" s="38"/>
      <c r="W4508" s="60"/>
      <c r="AB4508" s="42"/>
      <c r="AC4508" s="35"/>
      <c r="AD4508" s="38"/>
      <c r="AE4508" s="38"/>
      <c r="AF4508" s="38"/>
      <c r="AG4508" s="38"/>
      <c r="AH4508" s="60"/>
    </row>
    <row r="4509" spans="1:34" ht="15.75" customHeight="1">
      <c r="A4509" s="17">
        <v>43</v>
      </c>
      <c r="B4509" s="158" t="s">
        <v>15885</v>
      </c>
      <c r="C4509" s="37" t="s">
        <v>24</v>
      </c>
      <c r="D4509" s="20" t="s">
        <v>15886</v>
      </c>
      <c r="E4509" s="20"/>
      <c r="F4509" s="19" t="s">
        <v>27</v>
      </c>
      <c r="G4509" s="19" t="s">
        <v>28</v>
      </c>
      <c r="H4509" s="37"/>
      <c r="I4509" s="37" t="s">
        <v>29</v>
      </c>
      <c r="J4509" s="155" t="str">
        <f t="shared" si="7"/>
        <v>TT</v>
      </c>
      <c r="K4509" s="22"/>
      <c r="L4509" s="56">
        <v>45106</v>
      </c>
      <c r="O4509" s="42"/>
      <c r="P4509" s="40"/>
      <c r="Q4509" s="61"/>
      <c r="R4509" s="61"/>
      <c r="S4509" s="40"/>
      <c r="T4509" s="38"/>
      <c r="U4509" s="38"/>
      <c r="V4509" s="38"/>
      <c r="W4509" s="60"/>
      <c r="AB4509" s="42"/>
      <c r="AC4509" s="35"/>
      <c r="AD4509" s="38"/>
      <c r="AE4509" s="38"/>
      <c r="AF4509" s="38"/>
      <c r="AG4509" s="38"/>
      <c r="AH4509" s="60"/>
    </row>
    <row r="4510" spans="1:34" ht="15.75" customHeight="1">
      <c r="A4510" s="111" t="s">
        <v>64</v>
      </c>
      <c r="B4510" s="158" t="s">
        <v>15887</v>
      </c>
      <c r="C4510" s="37" t="s">
        <v>87</v>
      </c>
      <c r="D4510" s="20" t="s">
        <v>15888</v>
      </c>
      <c r="E4510" s="20" t="s">
        <v>15889</v>
      </c>
      <c r="F4510" s="19" t="s">
        <v>90</v>
      </c>
      <c r="G4510" s="19" t="s">
        <v>91</v>
      </c>
      <c r="H4510" s="37"/>
      <c r="I4510" s="37" t="s">
        <v>29</v>
      </c>
      <c r="J4510" s="155" t="str">
        <f t="shared" si="7"/>
        <v>TT</v>
      </c>
      <c r="K4510" s="22" t="s">
        <v>15890</v>
      </c>
      <c r="L4510" s="56">
        <v>45106</v>
      </c>
      <c r="O4510" s="42"/>
      <c r="P4510" s="40"/>
      <c r="Q4510" s="61"/>
      <c r="R4510" s="61"/>
      <c r="S4510" s="40"/>
      <c r="T4510" s="38"/>
      <c r="U4510" s="38"/>
      <c r="V4510" s="38"/>
      <c r="W4510" s="60"/>
      <c r="AB4510" s="42"/>
      <c r="AC4510" s="35"/>
      <c r="AD4510" s="38"/>
      <c r="AE4510" s="38"/>
      <c r="AF4510" s="38"/>
      <c r="AG4510" s="38"/>
      <c r="AH4510" s="60"/>
    </row>
    <row r="4511" spans="1:34" ht="15.75" customHeight="1">
      <c r="A4511" s="75">
        <v>2.2999999999999998</v>
      </c>
      <c r="B4511" s="158" t="s">
        <v>15891</v>
      </c>
      <c r="C4511" s="37" t="s">
        <v>24</v>
      </c>
      <c r="D4511" s="20" t="s">
        <v>15892</v>
      </c>
      <c r="E4511" s="20" t="s">
        <v>15893</v>
      </c>
      <c r="F4511" s="19" t="s">
        <v>27</v>
      </c>
      <c r="G4511" s="19" t="s">
        <v>28</v>
      </c>
      <c r="H4511" s="37"/>
      <c r="I4511" s="37" t="s">
        <v>29</v>
      </c>
      <c r="J4511" s="155" t="str">
        <f t="shared" si="7"/>
        <v>TT</v>
      </c>
      <c r="K4511" s="22" t="s">
        <v>15894</v>
      </c>
      <c r="L4511" s="56">
        <v>45106</v>
      </c>
      <c r="O4511" s="42"/>
      <c r="P4511" s="40"/>
      <c r="Q4511" s="61"/>
      <c r="R4511" s="61"/>
      <c r="S4511" s="40"/>
      <c r="T4511" s="38"/>
      <c r="U4511" s="38"/>
      <c r="V4511" s="38"/>
      <c r="W4511" s="60"/>
      <c r="AB4511" s="42"/>
      <c r="AC4511" s="35"/>
      <c r="AD4511" s="38"/>
      <c r="AE4511" s="38"/>
      <c r="AF4511" s="38"/>
      <c r="AG4511" s="38"/>
      <c r="AH4511" s="60"/>
    </row>
    <row r="4512" spans="1:34" ht="15.75" customHeight="1">
      <c r="A4512" s="111" t="s">
        <v>73</v>
      </c>
      <c r="B4512" s="158" t="s">
        <v>15895</v>
      </c>
      <c r="C4512" s="37" t="s">
        <v>1638</v>
      </c>
      <c r="D4512" s="20" t="s">
        <v>15896</v>
      </c>
      <c r="E4512" s="20" t="s">
        <v>15897</v>
      </c>
      <c r="F4512" s="37" t="s">
        <v>1399</v>
      </c>
      <c r="G4512" s="19" t="s">
        <v>1641</v>
      </c>
      <c r="H4512" s="37"/>
      <c r="I4512" s="21" t="s">
        <v>1371</v>
      </c>
      <c r="J4512" s="155" t="str">
        <f t="shared" si="7"/>
        <v>Other</v>
      </c>
      <c r="K4512" s="22" t="s">
        <v>15898</v>
      </c>
      <c r="L4512" s="56">
        <v>45106</v>
      </c>
      <c r="O4512" s="42"/>
      <c r="P4512" s="40"/>
      <c r="Q4512" s="61"/>
      <c r="R4512" s="61"/>
      <c r="S4512" s="40"/>
      <c r="T4512" s="38"/>
      <c r="U4512" s="38"/>
      <c r="V4512" s="38"/>
      <c r="W4512" s="60"/>
      <c r="AB4512" s="42"/>
      <c r="AC4512" s="35"/>
      <c r="AD4512" s="38"/>
      <c r="AE4512" s="38"/>
      <c r="AF4512" s="38"/>
      <c r="AG4512" s="38"/>
      <c r="AH4512" s="60"/>
    </row>
    <row r="4513" spans="1:34" ht="15.75" customHeight="1">
      <c r="A4513" s="75">
        <v>2.8</v>
      </c>
      <c r="B4513" s="158" t="s">
        <v>15899</v>
      </c>
      <c r="C4513" s="37" t="s">
        <v>46</v>
      </c>
      <c r="D4513" s="20" t="s">
        <v>15900</v>
      </c>
      <c r="E4513" s="20" t="s">
        <v>15901</v>
      </c>
      <c r="F4513" s="37" t="s">
        <v>49</v>
      </c>
      <c r="G4513" s="19" t="s">
        <v>50</v>
      </c>
      <c r="H4513" s="37"/>
      <c r="I4513" s="37" t="s">
        <v>29</v>
      </c>
      <c r="J4513" s="155" t="str">
        <f t="shared" si="7"/>
        <v>TT</v>
      </c>
      <c r="K4513" s="22" t="s">
        <v>15902</v>
      </c>
      <c r="L4513" s="56">
        <v>45106</v>
      </c>
      <c r="O4513" s="42"/>
      <c r="P4513" s="40"/>
      <c r="Q4513" s="61"/>
      <c r="R4513" s="61"/>
      <c r="S4513" s="40"/>
      <c r="T4513" s="38"/>
      <c r="U4513" s="38"/>
      <c r="V4513" s="38"/>
      <c r="W4513" s="60"/>
      <c r="AB4513" s="42"/>
      <c r="AC4513" s="35"/>
      <c r="AD4513" s="38"/>
      <c r="AE4513" s="38"/>
      <c r="AF4513" s="38"/>
      <c r="AG4513" s="38"/>
      <c r="AH4513" s="60"/>
    </row>
    <row r="4514" spans="1:34" ht="15.75" customHeight="1">
      <c r="A4514" s="111" t="s">
        <v>82</v>
      </c>
      <c r="B4514" s="158" t="s">
        <v>15903</v>
      </c>
      <c r="C4514" s="37" t="s">
        <v>24</v>
      </c>
      <c r="D4514" s="20" t="s">
        <v>15904</v>
      </c>
      <c r="E4514" s="20" t="s">
        <v>15905</v>
      </c>
      <c r="F4514" s="19" t="s">
        <v>27</v>
      </c>
      <c r="G4514" s="19" t="s">
        <v>28</v>
      </c>
      <c r="H4514" s="37"/>
      <c r="I4514" s="37" t="s">
        <v>29</v>
      </c>
      <c r="J4514" s="155" t="str">
        <f t="shared" si="7"/>
        <v>TT</v>
      </c>
      <c r="K4514" s="22" t="s">
        <v>15906</v>
      </c>
      <c r="L4514" s="56">
        <v>45106</v>
      </c>
      <c r="O4514" s="42"/>
      <c r="P4514" s="40"/>
      <c r="Q4514" s="61"/>
      <c r="R4514" s="61"/>
      <c r="S4514" s="40"/>
      <c r="T4514" s="38"/>
      <c r="U4514" s="38"/>
      <c r="V4514" s="38"/>
      <c r="W4514" s="60"/>
      <c r="AB4514" s="42"/>
      <c r="AC4514" s="35"/>
      <c r="AD4514" s="38"/>
      <c r="AE4514" s="38"/>
      <c r="AF4514" s="38"/>
      <c r="AG4514" s="38"/>
      <c r="AH4514" s="60"/>
    </row>
    <row r="4515" spans="1:34" ht="15.75" customHeight="1">
      <c r="A4515" s="112" t="s">
        <v>15907</v>
      </c>
      <c r="B4515" s="158" t="s">
        <v>15908</v>
      </c>
      <c r="C4515" s="37" t="s">
        <v>24</v>
      </c>
      <c r="D4515" s="20" t="s">
        <v>15909</v>
      </c>
      <c r="E4515" s="20" t="s">
        <v>15910</v>
      </c>
      <c r="F4515" s="19" t="s">
        <v>27</v>
      </c>
      <c r="G4515" s="19" t="s">
        <v>28</v>
      </c>
      <c r="H4515" s="37"/>
      <c r="I4515" s="37" t="s">
        <v>29</v>
      </c>
      <c r="J4515" s="155" t="str">
        <f t="shared" si="7"/>
        <v>TT</v>
      </c>
      <c r="K4515" s="22" t="s">
        <v>15911</v>
      </c>
      <c r="L4515" s="56">
        <v>45106</v>
      </c>
      <c r="O4515" s="42"/>
      <c r="P4515" s="40"/>
      <c r="Q4515" s="61"/>
      <c r="R4515" s="61"/>
      <c r="S4515" s="40"/>
      <c r="T4515" s="38"/>
      <c r="U4515" s="38"/>
      <c r="V4515" s="38"/>
      <c r="W4515" s="60"/>
      <c r="AB4515" s="42"/>
      <c r="AC4515" s="35"/>
      <c r="AD4515" s="38"/>
      <c r="AE4515" s="38"/>
      <c r="AF4515" s="38"/>
      <c r="AG4515" s="38"/>
      <c r="AH4515" s="60"/>
    </row>
    <row r="4516" spans="1:34" ht="15.75" customHeight="1">
      <c r="A4516" s="111" t="s">
        <v>92</v>
      </c>
      <c r="B4516" s="158" t="s">
        <v>15912</v>
      </c>
      <c r="C4516" s="37" t="s">
        <v>24</v>
      </c>
      <c r="D4516" s="20" t="s">
        <v>15913</v>
      </c>
      <c r="E4516" s="20" t="s">
        <v>15914</v>
      </c>
      <c r="F4516" s="19" t="s">
        <v>27</v>
      </c>
      <c r="G4516" s="19" t="s">
        <v>28</v>
      </c>
      <c r="H4516" s="37"/>
      <c r="I4516" s="37" t="s">
        <v>29</v>
      </c>
      <c r="J4516" s="155" t="str">
        <f t="shared" si="7"/>
        <v>TT</v>
      </c>
      <c r="K4516" s="22" t="s">
        <v>15915</v>
      </c>
      <c r="L4516" s="56">
        <v>45106</v>
      </c>
      <c r="O4516" s="42"/>
      <c r="P4516" s="40"/>
      <c r="Q4516" s="61"/>
      <c r="R4516" s="61"/>
      <c r="S4516" s="40"/>
      <c r="T4516" s="38"/>
      <c r="U4516" s="38"/>
      <c r="V4516" s="38"/>
      <c r="W4516" s="60"/>
      <c r="AB4516" s="42"/>
      <c r="AC4516" s="35"/>
      <c r="AD4516" s="38"/>
      <c r="AE4516" s="38"/>
      <c r="AF4516" s="38"/>
      <c r="AG4516" s="38"/>
      <c r="AH4516" s="60"/>
    </row>
    <row r="4517" spans="1:34" ht="15.75" customHeight="1">
      <c r="A4517" s="17">
        <v>422</v>
      </c>
      <c r="B4517" s="158" t="s">
        <v>15916</v>
      </c>
      <c r="C4517" s="37" t="s">
        <v>87</v>
      </c>
      <c r="D4517" s="20" t="s">
        <v>15917</v>
      </c>
      <c r="E4517" s="20" t="s">
        <v>15918</v>
      </c>
      <c r="F4517" s="19" t="s">
        <v>90</v>
      </c>
      <c r="G4517" s="19" t="s">
        <v>91</v>
      </c>
      <c r="H4517" s="37"/>
      <c r="I4517" s="37" t="s">
        <v>29</v>
      </c>
      <c r="J4517" s="155" t="str">
        <f t="shared" si="7"/>
        <v>TT</v>
      </c>
      <c r="K4517" s="22" t="s">
        <v>15919</v>
      </c>
      <c r="L4517" s="56">
        <v>45106</v>
      </c>
      <c r="O4517" s="42"/>
      <c r="P4517" s="40"/>
      <c r="Q4517" s="61"/>
      <c r="R4517" s="61"/>
      <c r="S4517" s="40"/>
      <c r="T4517" s="38"/>
      <c r="U4517" s="38"/>
      <c r="V4517" s="38"/>
      <c r="W4517" s="60"/>
      <c r="AB4517" s="42"/>
      <c r="AC4517" s="35"/>
      <c r="AD4517" s="38"/>
      <c r="AE4517" s="38"/>
      <c r="AF4517" s="38"/>
      <c r="AG4517" s="38"/>
      <c r="AH4517" s="60"/>
    </row>
    <row r="4518" spans="1:34" ht="15.75" customHeight="1">
      <c r="A4518" s="111" t="s">
        <v>100</v>
      </c>
      <c r="B4518" s="158" t="s">
        <v>15920</v>
      </c>
      <c r="C4518" s="37" t="s">
        <v>24</v>
      </c>
      <c r="D4518" s="20" t="s">
        <v>15921</v>
      </c>
      <c r="E4518" s="20" t="s">
        <v>15922</v>
      </c>
      <c r="F4518" s="19" t="s">
        <v>27</v>
      </c>
      <c r="G4518" s="19" t="s">
        <v>28</v>
      </c>
      <c r="H4518" s="37"/>
      <c r="I4518" s="37" t="s">
        <v>29</v>
      </c>
      <c r="J4518" s="155" t="str">
        <f t="shared" si="7"/>
        <v>TT</v>
      </c>
      <c r="K4518" s="22" t="s">
        <v>15923</v>
      </c>
      <c r="L4518" s="56">
        <v>45106</v>
      </c>
      <c r="O4518" s="42"/>
      <c r="P4518" s="40"/>
      <c r="Q4518" s="61"/>
      <c r="R4518" s="61"/>
      <c r="S4518" s="40"/>
      <c r="T4518" s="38"/>
      <c r="U4518" s="38"/>
      <c r="V4518" s="38"/>
      <c r="W4518" s="60"/>
      <c r="AB4518" s="42"/>
      <c r="AC4518" s="35"/>
      <c r="AD4518" s="38"/>
      <c r="AE4518" s="38"/>
      <c r="AF4518" s="38"/>
      <c r="AG4518" s="38"/>
      <c r="AH4518" s="60"/>
    </row>
    <row r="4519" spans="1:34" ht="15.75" customHeight="1">
      <c r="A4519" s="17">
        <v>161</v>
      </c>
      <c r="B4519" s="158" t="s">
        <v>15924</v>
      </c>
      <c r="C4519" s="37" t="s">
        <v>87</v>
      </c>
      <c r="D4519" s="20" t="s">
        <v>15925</v>
      </c>
      <c r="E4519" s="20" t="s">
        <v>15926</v>
      </c>
      <c r="F4519" s="19" t="s">
        <v>90</v>
      </c>
      <c r="G4519" s="19" t="s">
        <v>91</v>
      </c>
      <c r="H4519" s="37"/>
      <c r="I4519" s="37" t="s">
        <v>29</v>
      </c>
      <c r="J4519" s="155" t="str">
        <f t="shared" si="7"/>
        <v>TT</v>
      </c>
      <c r="K4519" s="22" t="s">
        <v>15927</v>
      </c>
      <c r="L4519" s="56">
        <v>45106</v>
      </c>
      <c r="O4519" s="42"/>
      <c r="P4519" s="40"/>
      <c r="Q4519" s="61"/>
      <c r="R4519" s="61"/>
      <c r="S4519" s="40"/>
      <c r="T4519" s="38"/>
      <c r="U4519" s="38"/>
      <c r="V4519" s="38"/>
      <c r="W4519" s="60"/>
      <c r="AB4519" s="42"/>
      <c r="AC4519" s="35"/>
      <c r="AD4519" s="38"/>
      <c r="AE4519" s="38"/>
      <c r="AF4519" s="38"/>
      <c r="AG4519" s="38"/>
      <c r="AH4519" s="60"/>
    </row>
    <row r="4520" spans="1:34" ht="15.75" customHeight="1">
      <c r="A4520" s="35"/>
      <c r="B4520" s="158" t="s">
        <v>15928</v>
      </c>
      <c r="C4520" s="37" t="s">
        <v>24</v>
      </c>
      <c r="D4520" s="20" t="s">
        <v>15929</v>
      </c>
      <c r="E4520" s="20"/>
      <c r="F4520" s="19" t="s">
        <v>27</v>
      </c>
      <c r="G4520" s="19" t="s">
        <v>28</v>
      </c>
      <c r="H4520" s="37"/>
      <c r="I4520" s="37" t="s">
        <v>29</v>
      </c>
      <c r="J4520" s="155" t="str">
        <f t="shared" si="7"/>
        <v>TT</v>
      </c>
      <c r="K4520" s="22"/>
      <c r="L4520" s="56">
        <v>45106</v>
      </c>
      <c r="O4520" s="42"/>
      <c r="P4520" s="40"/>
      <c r="Q4520" s="61"/>
      <c r="R4520" s="61"/>
      <c r="S4520" s="40"/>
      <c r="T4520" s="38"/>
      <c r="U4520" s="38"/>
      <c r="V4520" s="38"/>
      <c r="W4520" s="60"/>
      <c r="AB4520" s="42"/>
      <c r="AC4520" s="35"/>
      <c r="AD4520" s="38"/>
      <c r="AE4520" s="38"/>
      <c r="AF4520" s="38"/>
      <c r="AG4520" s="38"/>
      <c r="AH4520" s="60"/>
    </row>
    <row r="4521" spans="1:34" ht="15.75" customHeight="1">
      <c r="A4521" s="237"/>
      <c r="B4521" s="158" t="s">
        <v>15930</v>
      </c>
      <c r="C4521" s="37" t="s">
        <v>87</v>
      </c>
      <c r="D4521" s="20" t="s">
        <v>15931</v>
      </c>
      <c r="E4521" s="20" t="s">
        <v>15932</v>
      </c>
      <c r="F4521" s="19" t="s">
        <v>90</v>
      </c>
      <c r="G4521" s="19" t="s">
        <v>91</v>
      </c>
      <c r="H4521" s="37"/>
      <c r="I4521" s="37" t="s">
        <v>29</v>
      </c>
      <c r="J4521" s="155" t="str">
        <f t="shared" si="7"/>
        <v>TT</v>
      </c>
      <c r="K4521" s="22" t="s">
        <v>15933</v>
      </c>
      <c r="L4521" s="56">
        <v>45106</v>
      </c>
      <c r="O4521" s="42"/>
      <c r="P4521" s="40"/>
      <c r="Q4521" s="61"/>
      <c r="R4521" s="61"/>
      <c r="S4521" s="40"/>
      <c r="T4521" s="38"/>
      <c r="U4521" s="38"/>
      <c r="V4521" s="38"/>
      <c r="W4521" s="60"/>
      <c r="AB4521" s="42"/>
      <c r="AC4521" s="35"/>
      <c r="AD4521" s="38"/>
      <c r="AE4521" s="38"/>
      <c r="AF4521" s="38"/>
      <c r="AG4521" s="38"/>
      <c r="AH4521" s="60"/>
    </row>
    <row r="4522" spans="1:34" ht="15.75" customHeight="1">
      <c r="A4522" s="237"/>
      <c r="B4522" s="158" t="s">
        <v>15934</v>
      </c>
      <c r="C4522" s="37" t="s">
        <v>24</v>
      </c>
      <c r="D4522" s="20" t="s">
        <v>15935</v>
      </c>
      <c r="E4522" s="20" t="s">
        <v>15936</v>
      </c>
      <c r="F4522" s="19" t="s">
        <v>27</v>
      </c>
      <c r="G4522" s="19" t="s">
        <v>28</v>
      </c>
      <c r="H4522" s="37"/>
      <c r="I4522" s="37" t="s">
        <v>29</v>
      </c>
      <c r="J4522" s="155" t="str">
        <f t="shared" si="7"/>
        <v>TT</v>
      </c>
      <c r="K4522" s="22" t="s">
        <v>15937</v>
      </c>
      <c r="L4522" s="56">
        <v>45106</v>
      </c>
      <c r="O4522" s="42"/>
      <c r="P4522" s="40"/>
      <c r="Q4522" s="61"/>
      <c r="R4522" s="61"/>
      <c r="S4522" s="40"/>
      <c r="T4522" s="38"/>
      <c r="U4522" s="38"/>
      <c r="V4522" s="38"/>
      <c r="W4522" s="60"/>
      <c r="AB4522" s="42"/>
      <c r="AC4522" s="35"/>
      <c r="AD4522" s="38"/>
      <c r="AE4522" s="38"/>
      <c r="AF4522" s="38"/>
      <c r="AG4522" s="38"/>
      <c r="AH4522" s="60"/>
    </row>
    <row r="4523" spans="1:34" ht="15.75" customHeight="1">
      <c r="A4523" s="237"/>
      <c r="B4523" s="158" t="s">
        <v>15938</v>
      </c>
      <c r="C4523" s="37" t="s">
        <v>24</v>
      </c>
      <c r="D4523" s="20" t="s">
        <v>15939</v>
      </c>
      <c r="E4523" s="20" t="s">
        <v>15940</v>
      </c>
      <c r="F4523" s="19" t="s">
        <v>27</v>
      </c>
      <c r="G4523" s="19" t="s">
        <v>28</v>
      </c>
      <c r="H4523" s="37"/>
      <c r="I4523" s="37" t="s">
        <v>29</v>
      </c>
      <c r="J4523" s="155" t="str">
        <f t="shared" si="7"/>
        <v>TT</v>
      </c>
      <c r="K4523" s="22" t="s">
        <v>15941</v>
      </c>
      <c r="L4523" s="56">
        <v>45106</v>
      </c>
      <c r="O4523" s="42"/>
      <c r="P4523" s="40"/>
      <c r="Q4523" s="61"/>
      <c r="R4523" s="61"/>
      <c r="S4523" s="40"/>
      <c r="T4523" s="38"/>
      <c r="U4523" s="38"/>
      <c r="V4523" s="38"/>
      <c r="W4523" s="60"/>
      <c r="AB4523" s="42"/>
      <c r="AC4523" s="35"/>
      <c r="AD4523" s="38"/>
      <c r="AE4523" s="38"/>
      <c r="AF4523" s="38"/>
      <c r="AG4523" s="38"/>
      <c r="AH4523" s="60"/>
    </row>
    <row r="4524" spans="1:34" ht="15.75" customHeight="1">
      <c r="A4524" s="238"/>
      <c r="B4524" s="158" t="s">
        <v>15942</v>
      </c>
      <c r="C4524" s="37" t="s">
        <v>87</v>
      </c>
      <c r="D4524" s="20" t="s">
        <v>15943</v>
      </c>
      <c r="E4524" s="20" t="s">
        <v>15944</v>
      </c>
      <c r="F4524" s="19" t="s">
        <v>90</v>
      </c>
      <c r="G4524" s="19" t="s">
        <v>91</v>
      </c>
      <c r="H4524" s="37"/>
      <c r="I4524" s="37" t="s">
        <v>29</v>
      </c>
      <c r="J4524" s="155" t="str">
        <f t="shared" si="7"/>
        <v>TT</v>
      </c>
      <c r="K4524" s="22" t="s">
        <v>15945</v>
      </c>
      <c r="L4524" s="56">
        <v>45106</v>
      </c>
      <c r="O4524" s="42"/>
      <c r="P4524" s="40"/>
      <c r="Q4524" s="61"/>
      <c r="R4524" s="61"/>
      <c r="S4524" s="40"/>
      <c r="T4524" s="38"/>
      <c r="U4524" s="38"/>
      <c r="V4524" s="38"/>
      <c r="W4524" s="60"/>
      <c r="AB4524" s="42"/>
      <c r="AC4524" s="35"/>
      <c r="AD4524" s="38"/>
      <c r="AE4524" s="38"/>
      <c r="AF4524" s="38"/>
      <c r="AG4524" s="38"/>
      <c r="AH4524" s="60"/>
    </row>
    <row r="4525" spans="1:34" ht="15.75" customHeight="1">
      <c r="A4525" s="238"/>
      <c r="B4525" s="158" t="s">
        <v>15946</v>
      </c>
      <c r="C4525" s="37" t="s">
        <v>24</v>
      </c>
      <c r="D4525" s="20" t="s">
        <v>15947</v>
      </c>
      <c r="E4525" s="20" t="s">
        <v>15948</v>
      </c>
      <c r="F4525" s="19" t="s">
        <v>27</v>
      </c>
      <c r="G4525" s="19" t="s">
        <v>28</v>
      </c>
      <c r="H4525" s="37"/>
      <c r="I4525" s="37" t="s">
        <v>29</v>
      </c>
      <c r="J4525" s="155" t="str">
        <f t="shared" si="7"/>
        <v>TT</v>
      </c>
      <c r="K4525" s="22" t="s">
        <v>15949</v>
      </c>
      <c r="L4525" s="56">
        <v>45106</v>
      </c>
      <c r="O4525" s="42"/>
      <c r="P4525" s="40"/>
      <c r="Q4525" s="61"/>
      <c r="R4525" s="61"/>
      <c r="S4525" s="40"/>
      <c r="T4525" s="38"/>
      <c r="U4525" s="38"/>
      <c r="V4525" s="38"/>
      <c r="W4525" s="60"/>
      <c r="AB4525" s="42"/>
      <c r="AC4525" s="35"/>
      <c r="AD4525" s="38"/>
      <c r="AE4525" s="38"/>
      <c r="AF4525" s="38"/>
      <c r="AG4525" s="38"/>
      <c r="AH4525" s="60"/>
    </row>
    <row r="4526" spans="1:34" ht="15.75" customHeight="1">
      <c r="A4526" s="238"/>
      <c r="B4526" s="158" t="s">
        <v>15950</v>
      </c>
      <c r="C4526" s="37" t="s">
        <v>87</v>
      </c>
      <c r="D4526" s="20" t="s">
        <v>15951</v>
      </c>
      <c r="E4526" s="20" t="s">
        <v>15952</v>
      </c>
      <c r="F4526" s="19" t="s">
        <v>90</v>
      </c>
      <c r="G4526" s="19" t="s">
        <v>91</v>
      </c>
      <c r="H4526" s="37"/>
      <c r="I4526" s="37" t="s">
        <v>29</v>
      </c>
      <c r="J4526" s="155" t="str">
        <f t="shared" si="7"/>
        <v>TT</v>
      </c>
      <c r="K4526" s="22" t="s">
        <v>15953</v>
      </c>
      <c r="L4526" s="56">
        <v>45106</v>
      </c>
      <c r="O4526" s="42"/>
      <c r="P4526" s="40"/>
      <c r="Q4526" s="61"/>
      <c r="R4526" s="61"/>
      <c r="S4526" s="40"/>
      <c r="T4526" s="38"/>
      <c r="U4526" s="38"/>
      <c r="V4526" s="38"/>
      <c r="W4526" s="60"/>
      <c r="AB4526" s="42"/>
      <c r="AC4526" s="35"/>
      <c r="AD4526" s="38"/>
      <c r="AE4526" s="38"/>
      <c r="AF4526" s="38"/>
      <c r="AG4526" s="38"/>
      <c r="AH4526" s="60"/>
    </row>
    <row r="4527" spans="1:34" ht="15.75" customHeight="1">
      <c r="A4527" s="238"/>
      <c r="B4527" s="158" t="s">
        <v>15954</v>
      </c>
      <c r="C4527" s="37" t="s">
        <v>24</v>
      </c>
      <c r="D4527" s="20" t="s">
        <v>15955</v>
      </c>
      <c r="E4527" s="20"/>
      <c r="F4527" s="19" t="s">
        <v>27</v>
      </c>
      <c r="G4527" s="19" t="s">
        <v>28</v>
      </c>
      <c r="H4527" s="37"/>
      <c r="I4527" s="37" t="s">
        <v>29</v>
      </c>
      <c r="J4527" s="155" t="str">
        <f t="shared" si="7"/>
        <v>TT</v>
      </c>
      <c r="K4527" s="22"/>
      <c r="L4527" s="56">
        <v>45106</v>
      </c>
      <c r="O4527" s="42"/>
      <c r="P4527" s="40"/>
      <c r="Q4527" s="61"/>
      <c r="R4527" s="61"/>
      <c r="S4527" s="40"/>
      <c r="T4527" s="38"/>
      <c r="U4527" s="38"/>
      <c r="V4527" s="38"/>
      <c r="W4527" s="60"/>
      <c r="AB4527" s="42"/>
      <c r="AC4527" s="35"/>
      <c r="AD4527" s="38"/>
      <c r="AE4527" s="38"/>
      <c r="AF4527" s="38"/>
      <c r="AG4527" s="38"/>
      <c r="AH4527" s="60"/>
    </row>
    <row r="4528" spans="1:34" ht="15.75" customHeight="1">
      <c r="A4528" s="238"/>
      <c r="B4528" s="158" t="s">
        <v>15956</v>
      </c>
      <c r="C4528" s="37" t="s">
        <v>24</v>
      </c>
      <c r="D4528" s="20" t="s">
        <v>15957</v>
      </c>
      <c r="E4528" s="20" t="s">
        <v>15958</v>
      </c>
      <c r="F4528" s="19" t="s">
        <v>27</v>
      </c>
      <c r="G4528" s="19" t="s">
        <v>28</v>
      </c>
      <c r="H4528" s="37"/>
      <c r="I4528" s="37" t="s">
        <v>29</v>
      </c>
      <c r="J4528" s="155" t="str">
        <f t="shared" si="7"/>
        <v>TT</v>
      </c>
      <c r="K4528" s="22" t="s">
        <v>15959</v>
      </c>
      <c r="L4528" s="56">
        <v>45106</v>
      </c>
      <c r="O4528" s="42"/>
      <c r="P4528" s="40"/>
      <c r="Q4528" s="61"/>
      <c r="R4528" s="61"/>
      <c r="S4528" s="40"/>
      <c r="T4528" s="38"/>
      <c r="U4528" s="38"/>
      <c r="V4528" s="38"/>
      <c r="W4528" s="60"/>
      <c r="AB4528" s="42"/>
      <c r="AC4528" s="35"/>
      <c r="AD4528" s="38"/>
      <c r="AE4528" s="38"/>
      <c r="AF4528" s="38"/>
      <c r="AG4528" s="38"/>
      <c r="AH4528" s="60"/>
    </row>
    <row r="4529" spans="1:34" ht="15.75" customHeight="1">
      <c r="A4529" s="238"/>
      <c r="B4529" s="158" t="s">
        <v>15960</v>
      </c>
      <c r="C4529" s="37" t="s">
        <v>46</v>
      </c>
      <c r="D4529" s="20" t="s">
        <v>15961</v>
      </c>
      <c r="E4529" s="20" t="s">
        <v>15962</v>
      </c>
      <c r="F4529" s="37" t="s">
        <v>49</v>
      </c>
      <c r="G4529" s="19" t="s">
        <v>50</v>
      </c>
      <c r="H4529" s="37"/>
      <c r="I4529" s="37" t="s">
        <v>29</v>
      </c>
      <c r="J4529" s="155" t="str">
        <f t="shared" si="7"/>
        <v>TT</v>
      </c>
      <c r="K4529" s="22" t="s">
        <v>15963</v>
      </c>
      <c r="L4529" s="56">
        <v>45106</v>
      </c>
      <c r="O4529" s="42"/>
      <c r="P4529" s="40"/>
      <c r="Q4529" s="61"/>
      <c r="R4529" s="61"/>
      <c r="S4529" s="40"/>
      <c r="T4529" s="38"/>
      <c r="U4529" s="38"/>
      <c r="V4529" s="38"/>
      <c r="W4529" s="60"/>
      <c r="AB4529" s="42"/>
      <c r="AC4529" s="35"/>
      <c r="AD4529" s="38"/>
      <c r="AE4529" s="38"/>
      <c r="AF4529" s="38"/>
      <c r="AG4529" s="38"/>
      <c r="AH4529" s="60"/>
    </row>
    <row r="4530" spans="1:34" ht="15.75" customHeight="1">
      <c r="A4530" s="238"/>
      <c r="B4530" s="158" t="s">
        <v>15964</v>
      </c>
      <c r="C4530" s="37" t="s">
        <v>87</v>
      </c>
      <c r="D4530" s="20" t="s">
        <v>15965</v>
      </c>
      <c r="E4530" s="20" t="s">
        <v>15966</v>
      </c>
      <c r="F4530" s="19" t="s">
        <v>90</v>
      </c>
      <c r="G4530" s="19" t="s">
        <v>91</v>
      </c>
      <c r="H4530" s="37"/>
      <c r="I4530" s="37" t="s">
        <v>29</v>
      </c>
      <c r="J4530" s="155" t="str">
        <f t="shared" si="7"/>
        <v>TT</v>
      </c>
      <c r="K4530" s="22" t="s">
        <v>15967</v>
      </c>
      <c r="L4530" s="56">
        <v>45106</v>
      </c>
      <c r="O4530" s="42"/>
      <c r="P4530" s="40"/>
      <c r="Q4530" s="61"/>
      <c r="R4530" s="61"/>
      <c r="S4530" s="40"/>
      <c r="T4530" s="38"/>
      <c r="U4530" s="38"/>
      <c r="V4530" s="38"/>
      <c r="W4530" s="60"/>
      <c r="AB4530" s="42"/>
      <c r="AC4530" s="35"/>
      <c r="AD4530" s="38"/>
      <c r="AE4530" s="38"/>
      <c r="AF4530" s="38"/>
      <c r="AG4530" s="38"/>
      <c r="AH4530" s="60"/>
    </row>
    <row r="4531" spans="1:34" ht="15.75" customHeight="1">
      <c r="A4531" s="238"/>
      <c r="B4531" s="159" t="s">
        <v>15968</v>
      </c>
      <c r="C4531" s="37" t="s">
        <v>87</v>
      </c>
      <c r="D4531" s="20" t="s">
        <v>15969</v>
      </c>
      <c r="E4531" s="20"/>
      <c r="F4531" s="19" t="s">
        <v>90</v>
      </c>
      <c r="G4531" s="19" t="s">
        <v>91</v>
      </c>
      <c r="H4531" s="37"/>
      <c r="I4531" s="37" t="s">
        <v>29</v>
      </c>
      <c r="J4531" s="155" t="str">
        <f t="shared" si="7"/>
        <v>TT</v>
      </c>
      <c r="K4531" s="22"/>
      <c r="L4531" s="56">
        <v>45106</v>
      </c>
      <c r="O4531" s="42"/>
      <c r="P4531" s="40"/>
      <c r="Q4531" s="61"/>
      <c r="R4531" s="61"/>
      <c r="S4531" s="40"/>
      <c r="T4531" s="38"/>
      <c r="U4531" s="38"/>
      <c r="V4531" s="38"/>
      <c r="W4531" s="60"/>
      <c r="AB4531" s="42"/>
      <c r="AC4531" s="35"/>
      <c r="AD4531" s="38"/>
      <c r="AE4531" s="38"/>
      <c r="AF4531" s="38"/>
      <c r="AG4531" s="38"/>
      <c r="AH4531" s="60"/>
    </row>
    <row r="4532" spans="1:34" ht="15.75" customHeight="1">
      <c r="A4532" s="238"/>
      <c r="B4532" s="158" t="s">
        <v>15970</v>
      </c>
      <c r="C4532" s="37" t="s">
        <v>46</v>
      </c>
      <c r="D4532" s="20" t="s">
        <v>15971</v>
      </c>
      <c r="E4532" s="20" t="s">
        <v>15972</v>
      </c>
      <c r="F4532" s="37" t="s">
        <v>49</v>
      </c>
      <c r="G4532" s="19" t="s">
        <v>50</v>
      </c>
      <c r="H4532" s="37"/>
      <c r="I4532" s="37" t="s">
        <v>29</v>
      </c>
      <c r="J4532" s="155" t="str">
        <f t="shared" si="7"/>
        <v>TT</v>
      </c>
      <c r="K4532" s="22" t="s">
        <v>15972</v>
      </c>
      <c r="L4532" s="56">
        <v>45106</v>
      </c>
      <c r="O4532" s="42"/>
      <c r="P4532" s="40"/>
      <c r="Q4532" s="61"/>
      <c r="R4532" s="61"/>
      <c r="S4532" s="40"/>
      <c r="T4532" s="38"/>
      <c r="U4532" s="38"/>
      <c r="V4532" s="38"/>
      <c r="W4532" s="60"/>
      <c r="AB4532" s="42"/>
      <c r="AC4532" s="35"/>
      <c r="AD4532" s="38"/>
      <c r="AE4532" s="38"/>
      <c r="AF4532" s="38"/>
      <c r="AG4532" s="38"/>
      <c r="AH4532" s="60"/>
    </row>
    <row r="4533" spans="1:34" ht="15.75" customHeight="1">
      <c r="A4533" s="238"/>
      <c r="B4533" s="158" t="s">
        <v>15973</v>
      </c>
      <c r="C4533" s="37" t="s">
        <v>1430</v>
      </c>
      <c r="D4533" s="20"/>
      <c r="E4533" s="20" t="s">
        <v>15974</v>
      </c>
      <c r="F4533" s="55" t="s">
        <v>1445</v>
      </c>
      <c r="G4533" s="55" t="s">
        <v>1432</v>
      </c>
      <c r="H4533" s="37"/>
      <c r="I4533" s="37" t="s">
        <v>233</v>
      </c>
      <c r="J4533" s="155" t="str">
        <f t="shared" si="7"/>
        <v>NTT</v>
      </c>
      <c r="K4533" s="22" t="s">
        <v>15974</v>
      </c>
      <c r="L4533" s="56">
        <v>45106</v>
      </c>
      <c r="O4533" s="42"/>
      <c r="P4533" s="40"/>
      <c r="Q4533" s="61"/>
      <c r="R4533" s="61"/>
      <c r="S4533" s="40"/>
      <c r="T4533" s="38"/>
      <c r="U4533" s="38"/>
      <c r="V4533" s="38"/>
      <c r="W4533" s="60"/>
      <c r="AB4533" s="42"/>
      <c r="AC4533" s="35"/>
      <c r="AD4533" s="38"/>
      <c r="AE4533" s="38"/>
      <c r="AF4533" s="38"/>
      <c r="AG4533" s="38"/>
      <c r="AH4533" s="60"/>
    </row>
    <row r="4534" spans="1:34" ht="15.75" customHeight="1">
      <c r="A4534" s="238"/>
      <c r="B4534" s="158" t="s">
        <v>15975</v>
      </c>
      <c r="C4534" s="37" t="s">
        <v>1470</v>
      </c>
      <c r="D4534" s="20" t="s">
        <v>15976</v>
      </c>
      <c r="E4534" s="20" t="s">
        <v>15977</v>
      </c>
      <c r="F4534" s="19" t="s">
        <v>3286</v>
      </c>
      <c r="G4534" s="19" t="s">
        <v>1461</v>
      </c>
      <c r="H4534" s="37"/>
      <c r="I4534" s="37" t="s">
        <v>233</v>
      </c>
      <c r="J4534" s="155" t="str">
        <f t="shared" si="7"/>
        <v>NTT</v>
      </c>
      <c r="K4534" s="22" t="s">
        <v>15978</v>
      </c>
      <c r="L4534" s="56">
        <v>45106</v>
      </c>
      <c r="O4534" s="42"/>
      <c r="P4534" s="40"/>
      <c r="Q4534" s="61"/>
      <c r="R4534" s="61"/>
      <c r="S4534" s="40"/>
      <c r="T4534" s="38"/>
      <c r="U4534" s="38"/>
      <c r="V4534" s="38"/>
      <c r="W4534" s="60"/>
      <c r="AB4534" s="42"/>
      <c r="AC4534" s="35"/>
      <c r="AD4534" s="38"/>
      <c r="AE4534" s="38"/>
      <c r="AF4534" s="38"/>
      <c r="AG4534" s="38"/>
      <c r="AH4534" s="60"/>
    </row>
    <row r="4535" spans="1:34" ht="15.75" customHeight="1">
      <c r="A4535" s="238"/>
      <c r="B4535" s="158" t="s">
        <v>15979</v>
      </c>
      <c r="C4535" s="37" t="s">
        <v>1430</v>
      </c>
      <c r="D4535" s="20" t="s">
        <v>15980</v>
      </c>
      <c r="E4535" s="20" t="s">
        <v>15981</v>
      </c>
      <c r="F4535" s="55" t="s">
        <v>1445</v>
      </c>
      <c r="G4535" s="55" t="s">
        <v>1432</v>
      </c>
      <c r="H4535" s="37"/>
      <c r="I4535" s="37" t="s">
        <v>233</v>
      </c>
      <c r="J4535" s="155" t="str">
        <f t="shared" si="7"/>
        <v>NTT</v>
      </c>
      <c r="K4535" s="22" t="s">
        <v>15982</v>
      </c>
      <c r="L4535" s="56">
        <v>45106</v>
      </c>
      <c r="O4535" s="42"/>
      <c r="P4535" s="40"/>
      <c r="Q4535" s="61"/>
      <c r="R4535" s="61"/>
      <c r="S4535" s="40"/>
      <c r="T4535" s="38"/>
      <c r="U4535" s="38"/>
      <c r="V4535" s="38"/>
      <c r="W4535" s="60"/>
      <c r="AB4535" s="42"/>
      <c r="AC4535" s="35"/>
      <c r="AD4535" s="38"/>
      <c r="AE4535" s="38"/>
      <c r="AF4535" s="38"/>
      <c r="AG4535" s="38"/>
      <c r="AH4535" s="60"/>
    </row>
    <row r="4536" spans="1:34" ht="15.75" customHeight="1">
      <c r="A4536" s="238"/>
      <c r="B4536" s="158" t="s">
        <v>15983</v>
      </c>
      <c r="C4536" s="37" t="s">
        <v>1470</v>
      </c>
      <c r="D4536" s="20" t="s">
        <v>15984</v>
      </c>
      <c r="E4536" s="20" t="s">
        <v>15985</v>
      </c>
      <c r="F4536" s="19" t="s">
        <v>3286</v>
      </c>
      <c r="G4536" s="37" t="s">
        <v>1461</v>
      </c>
      <c r="H4536" s="37"/>
      <c r="I4536" s="37" t="s">
        <v>233</v>
      </c>
      <c r="J4536" s="155" t="str">
        <f t="shared" si="7"/>
        <v>NTT</v>
      </c>
      <c r="K4536" s="22" t="s">
        <v>15986</v>
      </c>
      <c r="L4536" s="56">
        <v>45106</v>
      </c>
      <c r="O4536" s="42"/>
      <c r="P4536" s="40"/>
      <c r="Q4536" s="61"/>
      <c r="R4536" s="61"/>
      <c r="S4536" s="40"/>
      <c r="T4536" s="38"/>
      <c r="U4536" s="38"/>
      <c r="V4536" s="38"/>
      <c r="W4536" s="60"/>
      <c r="AB4536" s="42"/>
      <c r="AC4536" s="35"/>
      <c r="AD4536" s="38"/>
      <c r="AE4536" s="38"/>
      <c r="AF4536" s="38"/>
      <c r="AG4536" s="38"/>
      <c r="AH4536" s="60"/>
    </row>
    <row r="4537" spans="1:34" ht="15.75" customHeight="1">
      <c r="A4537" s="238"/>
      <c r="B4537" s="158" t="s">
        <v>15987</v>
      </c>
      <c r="C4537" s="37" t="s">
        <v>1430</v>
      </c>
      <c r="D4537" s="20" t="s">
        <v>15988</v>
      </c>
      <c r="E4537" s="20" t="s">
        <v>15989</v>
      </c>
      <c r="F4537" s="55" t="s">
        <v>1445</v>
      </c>
      <c r="G4537" s="55" t="s">
        <v>1432</v>
      </c>
      <c r="H4537" s="37"/>
      <c r="I4537" s="37" t="s">
        <v>233</v>
      </c>
      <c r="J4537" s="155" t="str">
        <f t="shared" si="7"/>
        <v>NTT</v>
      </c>
      <c r="K4537" s="22" t="s">
        <v>15990</v>
      </c>
      <c r="L4537" s="56">
        <v>45106</v>
      </c>
      <c r="O4537" s="42"/>
      <c r="P4537" s="40"/>
      <c r="Q4537" s="61"/>
      <c r="R4537" s="61"/>
      <c r="S4537" s="40"/>
      <c r="T4537" s="38"/>
      <c r="U4537" s="38"/>
      <c r="V4537" s="38"/>
      <c r="W4537" s="60"/>
      <c r="AB4537" s="42"/>
      <c r="AC4537" s="35"/>
      <c r="AD4537" s="38"/>
      <c r="AE4537" s="38"/>
      <c r="AF4537" s="38"/>
      <c r="AG4537" s="38"/>
      <c r="AH4537" s="60"/>
    </row>
    <row r="4538" spans="1:34" ht="15.75" customHeight="1">
      <c r="A4538" s="238"/>
      <c r="B4538" s="158" t="s">
        <v>15991</v>
      </c>
      <c r="C4538" s="37" t="s">
        <v>1430</v>
      </c>
      <c r="D4538" s="20" t="s">
        <v>15992</v>
      </c>
      <c r="E4538" s="20" t="s">
        <v>15993</v>
      </c>
      <c r="F4538" s="55" t="s">
        <v>1445</v>
      </c>
      <c r="G4538" s="55" t="s">
        <v>1432</v>
      </c>
      <c r="H4538" s="37"/>
      <c r="I4538" s="37" t="s">
        <v>233</v>
      </c>
      <c r="J4538" s="155" t="str">
        <f t="shared" si="7"/>
        <v>NTT</v>
      </c>
      <c r="K4538" s="22" t="s">
        <v>15994</v>
      </c>
      <c r="L4538" s="56">
        <v>45106</v>
      </c>
      <c r="O4538" s="42"/>
      <c r="P4538" s="40"/>
      <c r="Q4538" s="61"/>
      <c r="R4538" s="61"/>
      <c r="S4538" s="40"/>
      <c r="T4538" s="38"/>
      <c r="U4538" s="38"/>
      <c r="V4538" s="38"/>
      <c r="W4538" s="60"/>
      <c r="AB4538" s="42"/>
      <c r="AC4538" s="35"/>
      <c r="AD4538" s="38"/>
      <c r="AE4538" s="38"/>
      <c r="AF4538" s="38"/>
      <c r="AG4538" s="38"/>
      <c r="AH4538" s="60"/>
    </row>
    <row r="4539" spans="1:34" ht="15.75" customHeight="1">
      <c r="A4539" s="238"/>
      <c r="B4539" s="158" t="s">
        <v>3245</v>
      </c>
      <c r="C4539" s="37" t="s">
        <v>1486</v>
      </c>
      <c r="D4539" s="180" t="s">
        <v>15995</v>
      </c>
      <c r="E4539" s="20" t="s">
        <v>15996</v>
      </c>
      <c r="F4539" s="37" t="s">
        <v>1489</v>
      </c>
      <c r="G4539" s="37" t="s">
        <v>1490</v>
      </c>
      <c r="H4539" s="239"/>
      <c r="I4539" s="21" t="s">
        <v>1371</v>
      </c>
      <c r="J4539" s="155" t="str">
        <f t="shared" si="7"/>
        <v>Other</v>
      </c>
      <c r="K4539" s="22" t="s">
        <v>15996</v>
      </c>
      <c r="L4539" s="56">
        <v>45106</v>
      </c>
      <c r="O4539" s="42"/>
      <c r="P4539" s="40"/>
      <c r="Q4539" s="61"/>
      <c r="R4539" s="61"/>
      <c r="S4539" s="40"/>
      <c r="T4539" s="38"/>
      <c r="U4539" s="38"/>
      <c r="V4539" s="38"/>
      <c r="W4539" s="60"/>
      <c r="AB4539" s="42"/>
      <c r="AC4539" s="35"/>
      <c r="AD4539" s="38"/>
      <c r="AE4539" s="38"/>
      <c r="AF4539" s="38"/>
      <c r="AG4539" s="38"/>
      <c r="AH4539" s="60"/>
    </row>
    <row r="4540" spans="1:34" ht="15.75" customHeight="1">
      <c r="A4540" s="238"/>
      <c r="B4540" s="158" t="s">
        <v>15997</v>
      </c>
      <c r="C4540" s="240" t="s">
        <v>1638</v>
      </c>
      <c r="D4540" s="180" t="s">
        <v>15998</v>
      </c>
      <c r="E4540" s="20" t="s">
        <v>15999</v>
      </c>
      <c r="F4540" s="37" t="s">
        <v>1399</v>
      </c>
      <c r="G4540" s="19" t="s">
        <v>1641</v>
      </c>
      <c r="H4540" s="239"/>
      <c r="I4540" s="21" t="s">
        <v>1371</v>
      </c>
      <c r="J4540" s="155" t="str">
        <f t="shared" si="7"/>
        <v>Other</v>
      </c>
      <c r="K4540" s="22" t="s">
        <v>16000</v>
      </c>
      <c r="L4540" s="56">
        <v>45106</v>
      </c>
      <c r="O4540" s="42"/>
      <c r="P4540" s="40"/>
      <c r="Q4540" s="61"/>
      <c r="R4540" s="61"/>
      <c r="S4540" s="40"/>
      <c r="T4540" s="38"/>
      <c r="U4540" s="38"/>
      <c r="V4540" s="38"/>
      <c r="W4540" s="60"/>
      <c r="AB4540" s="42"/>
      <c r="AC4540" s="35"/>
      <c r="AD4540" s="38"/>
      <c r="AE4540" s="38"/>
      <c r="AF4540" s="38"/>
      <c r="AG4540" s="38"/>
      <c r="AH4540" s="60"/>
    </row>
    <row r="4541" spans="1:34" ht="15.75" customHeight="1">
      <c r="A4541" s="238"/>
      <c r="B4541" s="158" t="s">
        <v>2970</v>
      </c>
      <c r="C4541" s="240" t="s">
        <v>1638</v>
      </c>
      <c r="D4541" s="180" t="s">
        <v>16001</v>
      </c>
      <c r="E4541" s="20" t="s">
        <v>16002</v>
      </c>
      <c r="F4541" s="37" t="s">
        <v>1399</v>
      </c>
      <c r="G4541" s="19" t="s">
        <v>1641</v>
      </c>
      <c r="H4541" s="239"/>
      <c r="I4541" s="21" t="s">
        <v>1371</v>
      </c>
      <c r="J4541" s="155" t="str">
        <f t="shared" si="7"/>
        <v>Other</v>
      </c>
      <c r="K4541" s="22" t="s">
        <v>16003</v>
      </c>
      <c r="L4541" s="56">
        <v>45106</v>
      </c>
      <c r="O4541" s="42"/>
      <c r="P4541" s="40"/>
      <c r="Q4541" s="61"/>
      <c r="R4541" s="61"/>
      <c r="S4541" s="40"/>
      <c r="T4541" s="38"/>
      <c r="U4541" s="38"/>
      <c r="V4541" s="38"/>
      <c r="W4541" s="60"/>
      <c r="AB4541" s="42"/>
      <c r="AC4541" s="35"/>
      <c r="AD4541" s="38"/>
      <c r="AE4541" s="38"/>
      <c r="AF4541" s="38"/>
      <c r="AG4541" s="38"/>
      <c r="AH4541" s="60"/>
    </row>
    <row r="4542" spans="1:34" ht="15.75" customHeight="1">
      <c r="A4542" s="238"/>
      <c r="B4542" s="158" t="s">
        <v>16004</v>
      </c>
      <c r="C4542" s="37" t="s">
        <v>1486</v>
      </c>
      <c r="D4542" s="180" t="s">
        <v>16005</v>
      </c>
      <c r="E4542" s="20" t="s">
        <v>16006</v>
      </c>
      <c r="F4542" s="37" t="s">
        <v>1489</v>
      </c>
      <c r="G4542" s="37" t="s">
        <v>1490</v>
      </c>
      <c r="H4542" s="239"/>
      <c r="I4542" s="21" t="s">
        <v>1371</v>
      </c>
      <c r="J4542" s="155" t="str">
        <f t="shared" si="7"/>
        <v>Other</v>
      </c>
      <c r="K4542" s="22" t="s">
        <v>16007</v>
      </c>
      <c r="L4542" s="56">
        <v>45106</v>
      </c>
      <c r="O4542" s="42"/>
      <c r="P4542" s="40"/>
      <c r="Q4542" s="61"/>
      <c r="R4542" s="61"/>
      <c r="S4542" s="40"/>
      <c r="T4542" s="38"/>
      <c r="U4542" s="38"/>
      <c r="V4542" s="38"/>
      <c r="W4542" s="60"/>
      <c r="AB4542" s="42"/>
      <c r="AC4542" s="35"/>
      <c r="AD4542" s="38"/>
      <c r="AE4542" s="38"/>
      <c r="AF4542" s="38"/>
      <c r="AG4542" s="38"/>
      <c r="AH4542" s="60"/>
    </row>
    <row r="4543" spans="1:34" ht="15.75" customHeight="1">
      <c r="A4543" s="238"/>
      <c r="B4543" s="158" t="s">
        <v>3208</v>
      </c>
      <c r="C4543" s="240" t="s">
        <v>1638</v>
      </c>
      <c r="D4543" s="180" t="s">
        <v>16008</v>
      </c>
      <c r="E4543" s="20" t="s">
        <v>16009</v>
      </c>
      <c r="F4543" s="37" t="s">
        <v>1399</v>
      </c>
      <c r="G4543" s="19" t="s">
        <v>1641</v>
      </c>
      <c r="H4543" s="239"/>
      <c r="I4543" s="21" t="s">
        <v>1371</v>
      </c>
      <c r="J4543" s="155" t="str">
        <f t="shared" si="7"/>
        <v>Other</v>
      </c>
      <c r="K4543" s="22" t="s">
        <v>16010</v>
      </c>
      <c r="L4543" s="56">
        <v>45106</v>
      </c>
      <c r="O4543" s="42"/>
      <c r="P4543" s="40"/>
      <c r="Q4543" s="61"/>
      <c r="R4543" s="61"/>
      <c r="S4543" s="40"/>
      <c r="T4543" s="38"/>
      <c r="U4543" s="38"/>
      <c r="V4543" s="38"/>
      <c r="W4543" s="60"/>
      <c r="AB4543" s="42"/>
      <c r="AC4543" s="35"/>
      <c r="AD4543" s="38"/>
      <c r="AE4543" s="38"/>
      <c r="AF4543" s="38"/>
      <c r="AG4543" s="38"/>
      <c r="AH4543" s="60"/>
    </row>
    <row r="4544" spans="1:34" ht="15.75" customHeight="1">
      <c r="A4544" s="238"/>
      <c r="B4544" s="111"/>
      <c r="C4544" s="37"/>
      <c r="D4544" s="20"/>
      <c r="E4544" s="20"/>
      <c r="F4544" s="37"/>
      <c r="G4544" s="37"/>
      <c r="H4544" s="37"/>
      <c r="I4544" s="19"/>
      <c r="J4544" s="155">
        <f t="shared" si="7"/>
        <v>0</v>
      </c>
      <c r="K4544" s="22"/>
      <c r="L4544" s="39"/>
      <c r="O4544" s="42"/>
      <c r="P4544" s="40"/>
      <c r="Q4544" s="61"/>
      <c r="R4544" s="61"/>
      <c r="S4544" s="40"/>
      <c r="T4544" s="38"/>
      <c r="U4544" s="38"/>
      <c r="V4544" s="38"/>
      <c r="W4544" s="60"/>
      <c r="AB4544" s="42"/>
      <c r="AC4544" s="35"/>
      <c r="AD4544" s="38"/>
      <c r="AE4544" s="38"/>
      <c r="AF4544" s="38"/>
      <c r="AG4544" s="38"/>
      <c r="AH4544" s="60"/>
    </row>
    <row r="4545" spans="1:34" ht="15.75" customHeight="1">
      <c r="A4545" s="35" t="s">
        <v>16011</v>
      </c>
      <c r="B4545" s="159" t="s">
        <v>16012</v>
      </c>
      <c r="C4545" s="37" t="s">
        <v>24</v>
      </c>
      <c r="D4545" s="20" t="s">
        <v>16013</v>
      </c>
      <c r="E4545" s="20" t="s">
        <v>16014</v>
      </c>
      <c r="F4545" s="19" t="s">
        <v>27</v>
      </c>
      <c r="G4545" s="19" t="s">
        <v>28</v>
      </c>
      <c r="H4545" s="37"/>
      <c r="I4545" s="37" t="s">
        <v>29</v>
      </c>
      <c r="J4545" s="155" t="str">
        <f t="shared" si="7"/>
        <v>TT</v>
      </c>
      <c r="K4545" s="22" t="s">
        <v>16015</v>
      </c>
      <c r="L4545" s="56">
        <v>45106</v>
      </c>
      <c r="M4545" s="40"/>
      <c r="O4545" s="42"/>
      <c r="P4545" s="40"/>
      <c r="Q4545" s="61"/>
      <c r="R4545" s="61"/>
      <c r="S4545" s="40"/>
      <c r="T4545" s="38"/>
      <c r="U4545" s="38"/>
      <c r="V4545" s="38"/>
      <c r="W4545" s="60"/>
      <c r="AB4545" s="42"/>
      <c r="AC4545" s="35"/>
      <c r="AD4545" s="38"/>
      <c r="AE4545" s="38"/>
      <c r="AF4545" s="38"/>
      <c r="AG4545" s="38"/>
      <c r="AH4545" s="60"/>
    </row>
    <row r="4546" spans="1:34" ht="15.75" customHeight="1">
      <c r="A4546" s="54" t="s">
        <v>2714</v>
      </c>
      <c r="B4546" s="158" t="s">
        <v>16016</v>
      </c>
      <c r="C4546" s="37" t="s">
        <v>24</v>
      </c>
      <c r="D4546" s="20" t="s">
        <v>16017</v>
      </c>
      <c r="E4546" s="20" t="s">
        <v>16018</v>
      </c>
      <c r="F4546" s="19" t="s">
        <v>27</v>
      </c>
      <c r="G4546" s="19" t="s">
        <v>28</v>
      </c>
      <c r="H4546" s="37"/>
      <c r="I4546" s="37" t="s">
        <v>29</v>
      </c>
      <c r="J4546" s="155" t="str">
        <f t="shared" si="7"/>
        <v>TT</v>
      </c>
      <c r="K4546" s="22" t="s">
        <v>16019</v>
      </c>
      <c r="L4546" s="56">
        <v>45106</v>
      </c>
      <c r="O4546" s="42"/>
      <c r="P4546" s="40"/>
      <c r="Q4546" s="61"/>
      <c r="R4546" s="61"/>
      <c r="S4546" s="40"/>
      <c r="T4546" s="38"/>
      <c r="U4546" s="38"/>
      <c r="V4546" s="38"/>
      <c r="W4546" s="60"/>
      <c r="AB4546" s="42"/>
      <c r="AC4546" s="35"/>
      <c r="AD4546" s="38"/>
      <c r="AE4546" s="38"/>
      <c r="AF4546" s="38"/>
      <c r="AG4546" s="38"/>
      <c r="AH4546" s="60"/>
    </row>
    <row r="4547" spans="1:34" ht="15.75" customHeight="1">
      <c r="A4547" s="114" t="s">
        <v>39</v>
      </c>
      <c r="B4547" s="158" t="s">
        <v>16020</v>
      </c>
      <c r="C4547" s="37" t="s">
        <v>46</v>
      </c>
      <c r="D4547" s="20" t="s">
        <v>16021</v>
      </c>
      <c r="E4547" s="20" t="s">
        <v>16022</v>
      </c>
      <c r="F4547" s="37" t="s">
        <v>49</v>
      </c>
      <c r="G4547" s="19" t="s">
        <v>50</v>
      </c>
      <c r="H4547" s="37"/>
      <c r="I4547" s="37" t="s">
        <v>29</v>
      </c>
      <c r="J4547" s="155" t="str">
        <f t="shared" si="7"/>
        <v>TT</v>
      </c>
      <c r="K4547" s="22" t="s">
        <v>16023</v>
      </c>
      <c r="L4547" s="56">
        <v>45106</v>
      </c>
      <c r="O4547" s="42"/>
      <c r="P4547" s="40"/>
      <c r="Q4547" s="61"/>
      <c r="R4547" s="61"/>
      <c r="S4547" s="40"/>
      <c r="T4547" s="38"/>
      <c r="U4547" s="38"/>
      <c r="V4547" s="38"/>
      <c r="W4547" s="60"/>
      <c r="AB4547" s="42"/>
      <c r="AC4547" s="35"/>
      <c r="AD4547" s="38"/>
      <c r="AE4547" s="38"/>
      <c r="AF4547" s="38"/>
      <c r="AG4547" s="38"/>
      <c r="AH4547" s="60"/>
    </row>
    <row r="4548" spans="1:34" ht="15.75" customHeight="1">
      <c r="A4548" s="38" t="s">
        <v>16024</v>
      </c>
      <c r="B4548" s="158" t="s">
        <v>16025</v>
      </c>
      <c r="C4548" s="37" t="s">
        <v>87</v>
      </c>
      <c r="D4548" s="20" t="s">
        <v>16026</v>
      </c>
      <c r="E4548" s="20" t="s">
        <v>16027</v>
      </c>
      <c r="F4548" s="19" t="s">
        <v>90</v>
      </c>
      <c r="G4548" s="19" t="s">
        <v>91</v>
      </c>
      <c r="H4548" s="37"/>
      <c r="I4548" s="37" t="s">
        <v>29</v>
      </c>
      <c r="J4548" s="155" t="str">
        <f t="shared" si="7"/>
        <v>TT</v>
      </c>
      <c r="K4548" s="22" t="s">
        <v>16028</v>
      </c>
      <c r="L4548" s="56">
        <v>45106</v>
      </c>
      <c r="O4548" s="42"/>
      <c r="P4548" s="40"/>
      <c r="Q4548" s="61"/>
      <c r="R4548" s="61"/>
      <c r="S4548" s="40"/>
      <c r="T4548" s="38"/>
      <c r="U4548" s="38"/>
      <c r="V4548" s="38"/>
      <c r="W4548" s="60"/>
      <c r="AB4548" s="42"/>
      <c r="AC4548" s="35"/>
      <c r="AD4548" s="38"/>
      <c r="AE4548" s="38"/>
      <c r="AF4548" s="38"/>
      <c r="AG4548" s="38"/>
      <c r="AH4548" s="60"/>
    </row>
    <row r="4549" spans="1:34" ht="15.75" customHeight="1">
      <c r="A4549" s="75" t="s">
        <v>16029</v>
      </c>
      <c r="B4549" s="158" t="s">
        <v>16030</v>
      </c>
      <c r="C4549" s="37" t="s">
        <v>412</v>
      </c>
      <c r="D4549" s="20" t="s">
        <v>16031</v>
      </c>
      <c r="E4549" s="20"/>
      <c r="F4549" s="19" t="s">
        <v>414</v>
      </c>
      <c r="G4549" s="37" t="s">
        <v>415</v>
      </c>
      <c r="H4549" s="37"/>
      <c r="I4549" s="37" t="s">
        <v>233</v>
      </c>
      <c r="J4549" s="155" t="str">
        <f t="shared" si="7"/>
        <v>NTT</v>
      </c>
      <c r="K4549" s="22"/>
      <c r="L4549" s="56">
        <v>45106</v>
      </c>
      <c r="O4549" s="42"/>
      <c r="P4549" s="40"/>
      <c r="Q4549" s="61"/>
      <c r="R4549" s="61"/>
      <c r="S4549" s="40"/>
      <c r="T4549" s="38"/>
      <c r="U4549" s="38"/>
      <c r="V4549" s="38"/>
      <c r="W4549" s="60"/>
      <c r="AB4549" s="42"/>
      <c r="AC4549" s="35"/>
      <c r="AD4549" s="38"/>
      <c r="AE4549" s="38"/>
      <c r="AF4549" s="38"/>
      <c r="AG4549" s="38"/>
      <c r="AH4549" s="60"/>
    </row>
    <row r="4550" spans="1:34" ht="15.75" customHeight="1">
      <c r="A4550" s="50" t="s">
        <v>56</v>
      </c>
      <c r="B4550" s="158" t="s">
        <v>16032</v>
      </c>
      <c r="C4550" s="37" t="s">
        <v>24</v>
      </c>
      <c r="D4550" s="20" t="s">
        <v>16033</v>
      </c>
      <c r="E4550" s="20" t="s">
        <v>16034</v>
      </c>
      <c r="F4550" s="19" t="s">
        <v>27</v>
      </c>
      <c r="G4550" s="19" t="s">
        <v>28</v>
      </c>
      <c r="H4550" s="37"/>
      <c r="I4550" s="37" t="s">
        <v>29</v>
      </c>
      <c r="J4550" s="155" t="str">
        <f t="shared" si="7"/>
        <v>TT</v>
      </c>
      <c r="K4550" s="22" t="s">
        <v>16035</v>
      </c>
      <c r="L4550" s="56">
        <v>45106</v>
      </c>
      <c r="O4550" s="42"/>
      <c r="P4550" s="40"/>
      <c r="Q4550" s="61"/>
      <c r="R4550" s="61"/>
      <c r="S4550" s="40"/>
      <c r="T4550" s="38"/>
      <c r="U4550" s="38"/>
      <c r="V4550" s="38"/>
      <c r="W4550" s="60"/>
      <c r="AB4550" s="42"/>
      <c r="AC4550" s="35"/>
      <c r="AD4550" s="38"/>
      <c r="AE4550" s="38"/>
      <c r="AF4550" s="38"/>
      <c r="AG4550" s="38"/>
      <c r="AH4550" s="60"/>
    </row>
    <row r="4551" spans="1:34" ht="15.75" customHeight="1">
      <c r="A4551" s="17">
        <v>34</v>
      </c>
      <c r="B4551" s="158" t="s">
        <v>16036</v>
      </c>
      <c r="C4551" s="37" t="s">
        <v>46</v>
      </c>
      <c r="D4551" s="20" t="s">
        <v>16037</v>
      </c>
      <c r="E4551" s="20" t="s">
        <v>16038</v>
      </c>
      <c r="F4551" s="37" t="s">
        <v>49</v>
      </c>
      <c r="G4551" s="19" t="s">
        <v>50</v>
      </c>
      <c r="H4551" s="37"/>
      <c r="I4551" s="37" t="s">
        <v>29</v>
      </c>
      <c r="J4551" s="155" t="str">
        <f t="shared" si="7"/>
        <v>TT</v>
      </c>
      <c r="K4551" s="22" t="s">
        <v>16039</v>
      </c>
      <c r="L4551" s="56">
        <v>45106</v>
      </c>
      <c r="O4551" s="42"/>
      <c r="P4551" s="40"/>
      <c r="Q4551" s="61"/>
      <c r="R4551" s="61"/>
      <c r="S4551" s="40"/>
      <c r="T4551" s="38"/>
      <c r="U4551" s="38"/>
      <c r="V4551" s="38"/>
      <c r="W4551" s="60"/>
      <c r="AB4551" s="42"/>
      <c r="AC4551" s="35"/>
      <c r="AD4551" s="38"/>
      <c r="AE4551" s="38"/>
      <c r="AF4551" s="38"/>
      <c r="AG4551" s="38"/>
      <c r="AH4551" s="60"/>
    </row>
    <row r="4552" spans="1:34" ht="15.75" customHeight="1">
      <c r="A4552" s="111" t="s">
        <v>64</v>
      </c>
      <c r="B4552" s="158" t="s">
        <v>16040</v>
      </c>
      <c r="C4552" s="37" t="s">
        <v>24</v>
      </c>
      <c r="D4552" s="20" t="s">
        <v>16041</v>
      </c>
      <c r="E4552" s="20" t="s">
        <v>16042</v>
      </c>
      <c r="F4552" s="19" t="s">
        <v>27</v>
      </c>
      <c r="G4552" s="19" t="s">
        <v>28</v>
      </c>
      <c r="H4552" s="37"/>
      <c r="I4552" s="37" t="s">
        <v>29</v>
      </c>
      <c r="J4552" s="155" t="str">
        <f t="shared" si="7"/>
        <v>TT</v>
      </c>
      <c r="K4552" s="22" t="s">
        <v>16043</v>
      </c>
      <c r="L4552" s="56">
        <v>45106</v>
      </c>
      <c r="O4552" s="42"/>
      <c r="P4552" s="40"/>
      <c r="Q4552" s="61"/>
      <c r="R4552" s="61"/>
      <c r="S4552" s="40"/>
      <c r="T4552" s="38"/>
      <c r="U4552" s="38"/>
      <c r="V4552" s="38"/>
      <c r="W4552" s="60"/>
      <c r="AB4552" s="42"/>
      <c r="AC4552" s="35"/>
      <c r="AD4552" s="38"/>
      <c r="AE4552" s="38"/>
      <c r="AF4552" s="38"/>
      <c r="AG4552" s="38"/>
      <c r="AH4552" s="60"/>
    </row>
    <row r="4553" spans="1:34" ht="15.75" customHeight="1">
      <c r="A4553" s="75">
        <v>2.4</v>
      </c>
      <c r="B4553" s="158" t="s">
        <v>16044</v>
      </c>
      <c r="C4553" s="37" t="s">
        <v>46</v>
      </c>
      <c r="D4553" s="20" t="s">
        <v>16045</v>
      </c>
      <c r="E4553" s="20" t="s">
        <v>16046</v>
      </c>
      <c r="F4553" s="37" t="s">
        <v>49</v>
      </c>
      <c r="G4553" s="19" t="s">
        <v>50</v>
      </c>
      <c r="H4553" s="37"/>
      <c r="I4553" s="37" t="s">
        <v>29</v>
      </c>
      <c r="J4553" s="155" t="str">
        <f t="shared" si="7"/>
        <v>TT</v>
      </c>
      <c r="K4553" s="22" t="s">
        <v>16047</v>
      </c>
      <c r="L4553" s="56">
        <v>45106</v>
      </c>
      <c r="O4553" s="42"/>
      <c r="P4553" s="40"/>
      <c r="Q4553" s="61"/>
      <c r="R4553" s="61"/>
      <c r="S4553" s="40"/>
      <c r="T4553" s="38"/>
      <c r="U4553" s="38"/>
      <c r="V4553" s="38"/>
      <c r="W4553" s="60"/>
      <c r="AB4553" s="42"/>
      <c r="AC4553" s="35"/>
      <c r="AD4553" s="38"/>
      <c r="AE4553" s="38"/>
      <c r="AF4553" s="38"/>
      <c r="AG4553" s="38"/>
      <c r="AH4553" s="60"/>
    </row>
    <row r="4554" spans="1:34" ht="15.75" customHeight="1">
      <c r="A4554" s="111" t="s">
        <v>73</v>
      </c>
      <c r="B4554" s="158" t="s">
        <v>16048</v>
      </c>
      <c r="C4554" s="37" t="s">
        <v>24</v>
      </c>
      <c r="D4554" s="20" t="s">
        <v>16049</v>
      </c>
      <c r="E4554" s="20" t="s">
        <v>16050</v>
      </c>
      <c r="F4554" s="19" t="s">
        <v>27</v>
      </c>
      <c r="G4554" s="19" t="s">
        <v>28</v>
      </c>
      <c r="H4554" s="37"/>
      <c r="I4554" s="37" t="s">
        <v>29</v>
      </c>
      <c r="J4554" s="155" t="str">
        <f t="shared" si="7"/>
        <v>TT</v>
      </c>
      <c r="K4554" s="22" t="s">
        <v>16051</v>
      </c>
      <c r="L4554" s="56">
        <v>45106</v>
      </c>
      <c r="O4554" s="42"/>
      <c r="P4554" s="40"/>
      <c r="Q4554" s="61"/>
      <c r="R4554" s="61"/>
      <c r="S4554" s="40"/>
      <c r="T4554" s="38"/>
      <c r="U4554" s="38"/>
      <c r="V4554" s="38"/>
      <c r="W4554" s="60"/>
      <c r="AB4554" s="42"/>
      <c r="AC4554" s="35"/>
      <c r="AD4554" s="38"/>
      <c r="AE4554" s="38"/>
      <c r="AF4554" s="38"/>
      <c r="AG4554" s="38"/>
      <c r="AH4554" s="60"/>
    </row>
    <row r="4555" spans="1:34" ht="15.75" customHeight="1">
      <c r="A4555" s="75">
        <v>3</v>
      </c>
      <c r="B4555" s="158" t="s">
        <v>16052</v>
      </c>
      <c r="C4555" s="37" t="s">
        <v>24</v>
      </c>
      <c r="D4555" s="20" t="s">
        <v>16053</v>
      </c>
      <c r="E4555" s="20" t="s">
        <v>16054</v>
      </c>
      <c r="F4555" s="19" t="s">
        <v>27</v>
      </c>
      <c r="G4555" s="19" t="s">
        <v>28</v>
      </c>
      <c r="H4555" s="37"/>
      <c r="I4555" s="37" t="s">
        <v>29</v>
      </c>
      <c r="J4555" s="155" t="str">
        <f t="shared" si="7"/>
        <v>TT</v>
      </c>
      <c r="K4555" s="22" t="s">
        <v>16055</v>
      </c>
      <c r="L4555" s="56">
        <v>45106</v>
      </c>
      <c r="O4555" s="42"/>
      <c r="P4555" s="40"/>
      <c r="Q4555" s="61"/>
      <c r="R4555" s="61"/>
      <c r="S4555" s="40"/>
      <c r="T4555" s="38"/>
      <c r="U4555" s="38"/>
      <c r="V4555" s="38"/>
      <c r="W4555" s="60"/>
      <c r="AB4555" s="42"/>
      <c r="AC4555" s="35"/>
      <c r="AD4555" s="38"/>
      <c r="AE4555" s="38"/>
      <c r="AF4555" s="38"/>
      <c r="AG4555" s="38"/>
      <c r="AH4555" s="60"/>
    </row>
    <row r="4556" spans="1:34" ht="15.75" customHeight="1">
      <c r="A4556" s="111" t="s">
        <v>82</v>
      </c>
      <c r="B4556" s="158" t="s">
        <v>16056</v>
      </c>
      <c r="C4556" s="37" t="s">
        <v>46</v>
      </c>
      <c r="D4556" s="20" t="s">
        <v>16057</v>
      </c>
      <c r="E4556" s="20" t="s">
        <v>16058</v>
      </c>
      <c r="F4556" s="37" t="s">
        <v>49</v>
      </c>
      <c r="G4556" s="19" t="s">
        <v>50</v>
      </c>
      <c r="H4556" s="37"/>
      <c r="I4556" s="37" t="s">
        <v>29</v>
      </c>
      <c r="J4556" s="155" t="str">
        <f t="shared" si="7"/>
        <v>TT</v>
      </c>
      <c r="K4556" s="22" t="s">
        <v>16059</v>
      </c>
      <c r="L4556" s="56">
        <v>45106</v>
      </c>
      <c r="M4556" s="241"/>
      <c r="O4556" s="42"/>
      <c r="P4556" s="40"/>
      <c r="Q4556" s="61"/>
      <c r="R4556" s="61"/>
      <c r="S4556" s="40"/>
      <c r="T4556" s="38"/>
      <c r="U4556" s="38"/>
      <c r="V4556" s="38"/>
      <c r="W4556" s="60"/>
      <c r="AB4556" s="42"/>
      <c r="AC4556" s="35"/>
      <c r="AD4556" s="38"/>
      <c r="AE4556" s="38"/>
      <c r="AF4556" s="38"/>
      <c r="AG4556" s="38"/>
      <c r="AH4556" s="60"/>
    </row>
    <row r="4557" spans="1:34" ht="15.75" customHeight="1">
      <c r="A4557" s="112" t="s">
        <v>16060</v>
      </c>
      <c r="B4557" s="158" t="s">
        <v>16061</v>
      </c>
      <c r="C4557" s="37" t="s">
        <v>46</v>
      </c>
      <c r="D4557" s="20" t="s">
        <v>16062</v>
      </c>
      <c r="E4557" s="20" t="s">
        <v>16063</v>
      </c>
      <c r="F4557" s="37" t="s">
        <v>49</v>
      </c>
      <c r="G4557" s="19" t="s">
        <v>50</v>
      </c>
      <c r="H4557" s="37"/>
      <c r="I4557" s="37" t="s">
        <v>29</v>
      </c>
      <c r="J4557" s="155" t="str">
        <f t="shared" si="7"/>
        <v>TT</v>
      </c>
      <c r="K4557" s="22" t="s">
        <v>16064</v>
      </c>
      <c r="L4557" s="56">
        <v>45106</v>
      </c>
      <c r="O4557" s="42"/>
      <c r="P4557" s="40"/>
      <c r="Q4557" s="61"/>
      <c r="R4557" s="61"/>
      <c r="S4557" s="40"/>
      <c r="T4557" s="38"/>
      <c r="U4557" s="38"/>
      <c r="V4557" s="38"/>
      <c r="W4557" s="60"/>
      <c r="AB4557" s="42"/>
      <c r="AC4557" s="35"/>
      <c r="AD4557" s="38"/>
      <c r="AE4557" s="38"/>
      <c r="AF4557" s="38"/>
      <c r="AG4557" s="38"/>
      <c r="AH4557" s="60"/>
    </row>
    <row r="4558" spans="1:34" ht="15.75" customHeight="1">
      <c r="A4558" s="111" t="s">
        <v>92</v>
      </c>
      <c r="B4558" s="158" t="s">
        <v>16065</v>
      </c>
      <c r="C4558" s="37" t="s">
        <v>87</v>
      </c>
      <c r="D4558" s="20" t="s">
        <v>16066</v>
      </c>
      <c r="E4558" s="20" t="s">
        <v>16067</v>
      </c>
      <c r="F4558" s="19" t="s">
        <v>90</v>
      </c>
      <c r="G4558" s="19" t="s">
        <v>91</v>
      </c>
      <c r="H4558" s="37"/>
      <c r="I4558" s="37" t="s">
        <v>29</v>
      </c>
      <c r="J4558" s="155" t="str">
        <f t="shared" si="7"/>
        <v>TT</v>
      </c>
      <c r="K4558" s="22" t="s">
        <v>16068</v>
      </c>
      <c r="L4558" s="56">
        <v>45106</v>
      </c>
      <c r="O4558" s="42"/>
      <c r="P4558" s="40"/>
      <c r="Q4558" s="61"/>
      <c r="R4558" s="61"/>
      <c r="S4558" s="40"/>
      <c r="T4558" s="38"/>
      <c r="U4558" s="38"/>
      <c r="V4558" s="38"/>
      <c r="W4558" s="60"/>
      <c r="AB4558" s="42"/>
      <c r="AC4558" s="35"/>
      <c r="AD4558" s="38"/>
      <c r="AE4558" s="38"/>
      <c r="AF4558" s="38"/>
      <c r="AG4558" s="38"/>
      <c r="AH4558" s="60"/>
    </row>
    <row r="4559" spans="1:34" ht="15.75" customHeight="1">
      <c r="A4559" s="17">
        <v>132</v>
      </c>
      <c r="B4559" s="158" t="s">
        <v>16069</v>
      </c>
      <c r="C4559" s="37" t="s">
        <v>24</v>
      </c>
      <c r="D4559" s="20" t="s">
        <v>16070</v>
      </c>
      <c r="E4559" s="20" t="s">
        <v>16071</v>
      </c>
      <c r="F4559" s="19" t="s">
        <v>27</v>
      </c>
      <c r="G4559" s="19" t="s">
        <v>28</v>
      </c>
      <c r="H4559" s="37"/>
      <c r="I4559" s="37" t="s">
        <v>29</v>
      </c>
      <c r="J4559" s="155" t="str">
        <f t="shared" si="7"/>
        <v>TT</v>
      </c>
      <c r="K4559" s="22" t="s">
        <v>16072</v>
      </c>
      <c r="L4559" s="56">
        <v>45106</v>
      </c>
      <c r="O4559" s="42"/>
      <c r="P4559" s="40"/>
      <c r="Q4559" s="61"/>
      <c r="R4559" s="61"/>
      <c r="S4559" s="40"/>
      <c r="T4559" s="38"/>
      <c r="U4559" s="38"/>
      <c r="V4559" s="38"/>
      <c r="W4559" s="60"/>
      <c r="AB4559" s="42"/>
      <c r="AC4559" s="35"/>
      <c r="AD4559" s="38"/>
      <c r="AE4559" s="38"/>
      <c r="AF4559" s="38"/>
      <c r="AG4559" s="38"/>
      <c r="AH4559" s="60"/>
    </row>
    <row r="4560" spans="1:34" ht="15.75" customHeight="1">
      <c r="A4560" s="111" t="s">
        <v>100</v>
      </c>
      <c r="B4560" s="158" t="s">
        <v>16073</v>
      </c>
      <c r="C4560" s="37" t="s">
        <v>228</v>
      </c>
      <c r="D4560" s="20" t="s">
        <v>16074</v>
      </c>
      <c r="E4560" s="20"/>
      <c r="F4560" s="19" t="s">
        <v>231</v>
      </c>
      <c r="G4560" s="19" t="s">
        <v>232</v>
      </c>
      <c r="H4560" s="37"/>
      <c r="I4560" s="37" t="s">
        <v>233</v>
      </c>
      <c r="J4560" s="155" t="str">
        <f t="shared" si="7"/>
        <v>NTT</v>
      </c>
      <c r="K4560" s="22"/>
      <c r="L4560" s="56">
        <v>45106</v>
      </c>
      <c r="O4560" s="42"/>
      <c r="P4560" s="40"/>
      <c r="Q4560" s="61"/>
      <c r="R4560" s="61"/>
      <c r="S4560" s="40"/>
      <c r="T4560" s="38"/>
      <c r="U4560" s="38"/>
      <c r="V4560" s="38"/>
      <c r="W4560" s="60"/>
      <c r="AB4560" s="42"/>
      <c r="AC4560" s="35"/>
      <c r="AD4560" s="38"/>
      <c r="AE4560" s="38"/>
      <c r="AF4560" s="38"/>
      <c r="AG4560" s="38"/>
      <c r="AH4560" s="60"/>
    </row>
    <row r="4561" spans="1:34" ht="15.75" customHeight="1">
      <c r="A4561" s="17">
        <v>165</v>
      </c>
      <c r="B4561" s="158" t="s">
        <v>16075</v>
      </c>
      <c r="C4561" s="37" t="s">
        <v>412</v>
      </c>
      <c r="D4561" s="20" t="s">
        <v>16076</v>
      </c>
      <c r="E4561" s="20" t="s">
        <v>16077</v>
      </c>
      <c r="F4561" s="19" t="s">
        <v>414</v>
      </c>
      <c r="G4561" s="19" t="s">
        <v>415</v>
      </c>
      <c r="H4561" s="37"/>
      <c r="I4561" s="37" t="s">
        <v>233</v>
      </c>
      <c r="J4561" s="155" t="str">
        <f t="shared" si="7"/>
        <v>NTT</v>
      </c>
      <c r="K4561" s="22" t="s">
        <v>16078</v>
      </c>
      <c r="L4561" s="56">
        <v>45106</v>
      </c>
      <c r="O4561" s="42"/>
      <c r="P4561" s="40"/>
      <c r="Q4561" s="61"/>
      <c r="R4561" s="61"/>
      <c r="S4561" s="40"/>
      <c r="T4561" s="38"/>
      <c r="U4561" s="38"/>
      <c r="V4561" s="38"/>
      <c r="W4561" s="60"/>
      <c r="AB4561" s="42"/>
      <c r="AC4561" s="35"/>
      <c r="AD4561" s="38"/>
      <c r="AE4561" s="38"/>
      <c r="AF4561" s="38"/>
      <c r="AG4561" s="38"/>
      <c r="AH4561" s="60"/>
    </row>
    <row r="4562" spans="1:34" ht="15.75" customHeight="1">
      <c r="A4562" s="35"/>
      <c r="B4562" s="158" t="s">
        <v>16079</v>
      </c>
      <c r="C4562" s="37" t="s">
        <v>46</v>
      </c>
      <c r="D4562" s="20" t="s">
        <v>16080</v>
      </c>
      <c r="E4562" s="20" t="s">
        <v>16081</v>
      </c>
      <c r="F4562" s="37" t="s">
        <v>49</v>
      </c>
      <c r="G4562" s="19" t="s">
        <v>50</v>
      </c>
      <c r="H4562" s="37"/>
      <c r="I4562" s="37" t="s">
        <v>29</v>
      </c>
      <c r="J4562" s="155" t="str">
        <f t="shared" si="7"/>
        <v>TT</v>
      </c>
      <c r="K4562" s="22" t="s">
        <v>16082</v>
      </c>
      <c r="L4562" s="56">
        <v>45106</v>
      </c>
      <c r="O4562" s="42"/>
      <c r="P4562" s="40"/>
      <c r="Q4562" s="61"/>
      <c r="R4562" s="61"/>
      <c r="S4562" s="40"/>
      <c r="T4562" s="38"/>
      <c r="U4562" s="38"/>
      <c r="V4562" s="38"/>
      <c r="W4562" s="60"/>
      <c r="AB4562" s="42"/>
      <c r="AC4562" s="35"/>
      <c r="AD4562" s="38"/>
      <c r="AE4562" s="38"/>
      <c r="AF4562" s="38"/>
      <c r="AG4562" s="38"/>
      <c r="AH4562" s="60"/>
    </row>
    <row r="4563" spans="1:34" ht="15.75" customHeight="1">
      <c r="A4563" s="242"/>
      <c r="B4563" s="38"/>
      <c r="C4563" s="37"/>
      <c r="D4563" s="20"/>
      <c r="E4563" s="20"/>
      <c r="F4563" s="37"/>
      <c r="G4563" s="37"/>
      <c r="H4563" s="37"/>
      <c r="I4563" s="37"/>
      <c r="J4563" s="155">
        <f t="shared" si="7"/>
        <v>0</v>
      </c>
      <c r="K4563" s="22"/>
      <c r="L4563" s="39"/>
      <c r="O4563" s="42"/>
      <c r="P4563" s="40"/>
      <c r="Q4563" s="61"/>
      <c r="R4563" s="61"/>
      <c r="S4563" s="40"/>
      <c r="T4563" s="38"/>
      <c r="U4563" s="38"/>
      <c r="V4563" s="38"/>
      <c r="W4563" s="60"/>
      <c r="AB4563" s="42"/>
      <c r="AC4563" s="35"/>
      <c r="AD4563" s="38"/>
      <c r="AE4563" s="38"/>
      <c r="AF4563" s="38"/>
      <c r="AG4563" s="38"/>
      <c r="AH4563" s="60"/>
    </row>
    <row r="4564" spans="1:34" ht="15.75" customHeight="1">
      <c r="A4564" s="35" t="s">
        <v>16083</v>
      </c>
      <c r="B4564" s="158" t="s">
        <v>16084</v>
      </c>
      <c r="C4564" s="37" t="s">
        <v>228</v>
      </c>
      <c r="D4564" s="20" t="s">
        <v>16085</v>
      </c>
      <c r="E4564" s="20" t="s">
        <v>16086</v>
      </c>
      <c r="F4564" s="19" t="s">
        <v>231</v>
      </c>
      <c r="G4564" s="19" t="s">
        <v>232</v>
      </c>
      <c r="H4564" s="37" t="s">
        <v>55</v>
      </c>
      <c r="I4564" s="37" t="s">
        <v>233</v>
      </c>
      <c r="J4564" s="155" t="str">
        <f t="shared" si="7"/>
        <v>NTT</v>
      </c>
      <c r="K4564" s="22" t="s">
        <v>16087</v>
      </c>
      <c r="L4564" s="56">
        <v>45106</v>
      </c>
      <c r="M4564" s="40"/>
      <c r="O4564" s="42"/>
      <c r="P4564" s="40"/>
      <c r="Q4564" s="61"/>
      <c r="R4564" s="61"/>
      <c r="S4564" s="40"/>
      <c r="T4564" s="38"/>
      <c r="U4564" s="38"/>
      <c r="V4564" s="38"/>
      <c r="W4564" s="60"/>
      <c r="AB4564" s="42"/>
      <c r="AC4564" s="35"/>
      <c r="AD4564" s="38"/>
      <c r="AE4564" s="38"/>
      <c r="AF4564" s="38"/>
      <c r="AG4564" s="38"/>
      <c r="AH4564" s="60"/>
    </row>
    <row r="4565" spans="1:34" ht="15.75" customHeight="1">
      <c r="A4565" s="54" t="s">
        <v>2714</v>
      </c>
      <c r="B4565" s="158" t="s">
        <v>16088</v>
      </c>
      <c r="C4565" s="143" t="s">
        <v>24</v>
      </c>
      <c r="D4565" s="20" t="s">
        <v>16089</v>
      </c>
      <c r="E4565" s="20" t="s">
        <v>16090</v>
      </c>
      <c r="F4565" s="19" t="s">
        <v>27</v>
      </c>
      <c r="G4565" s="19" t="s">
        <v>28</v>
      </c>
      <c r="H4565" s="37" t="s">
        <v>55</v>
      </c>
      <c r="I4565" s="37" t="s">
        <v>29</v>
      </c>
      <c r="J4565" s="155" t="str">
        <f t="shared" si="7"/>
        <v>TT</v>
      </c>
      <c r="K4565" s="22" t="s">
        <v>16091</v>
      </c>
      <c r="L4565" s="56">
        <v>45106</v>
      </c>
      <c r="O4565" s="42"/>
      <c r="P4565" s="40"/>
      <c r="Q4565" s="61"/>
      <c r="R4565" s="61"/>
      <c r="S4565" s="40"/>
      <c r="T4565" s="38"/>
      <c r="U4565" s="38"/>
      <c r="V4565" s="38"/>
      <c r="W4565" s="60"/>
      <c r="AB4565" s="42"/>
      <c r="AC4565" s="35"/>
      <c r="AD4565" s="38"/>
      <c r="AE4565" s="38"/>
      <c r="AF4565" s="38"/>
      <c r="AG4565" s="38"/>
      <c r="AH4565" s="60"/>
    </row>
    <row r="4566" spans="1:34" ht="15.75" customHeight="1">
      <c r="A4566" s="114" t="s">
        <v>39</v>
      </c>
      <c r="B4566" s="158" t="s">
        <v>16092</v>
      </c>
      <c r="C4566" s="37" t="s">
        <v>228</v>
      </c>
      <c r="D4566" s="20" t="s">
        <v>16093</v>
      </c>
      <c r="E4566" s="20" t="s">
        <v>16094</v>
      </c>
      <c r="F4566" s="19" t="s">
        <v>231</v>
      </c>
      <c r="G4566" s="19" t="s">
        <v>232</v>
      </c>
      <c r="H4566" s="37" t="s">
        <v>55</v>
      </c>
      <c r="I4566" s="37" t="s">
        <v>233</v>
      </c>
      <c r="J4566" s="155" t="str">
        <f t="shared" si="7"/>
        <v>NTT</v>
      </c>
      <c r="K4566" s="22" t="s">
        <v>16095</v>
      </c>
      <c r="L4566" s="56">
        <v>45106</v>
      </c>
      <c r="O4566" s="42"/>
      <c r="P4566" s="40"/>
      <c r="Q4566" s="61"/>
      <c r="R4566" s="61"/>
      <c r="S4566" s="40"/>
      <c r="T4566" s="38"/>
      <c r="U4566" s="38"/>
      <c r="V4566" s="38"/>
      <c r="W4566" s="60"/>
      <c r="AB4566" s="42"/>
      <c r="AC4566" s="35"/>
      <c r="AD4566" s="38"/>
      <c r="AE4566" s="38"/>
      <c r="AF4566" s="38"/>
      <c r="AG4566" s="38"/>
      <c r="AH4566" s="60"/>
    </row>
    <row r="4567" spans="1:34" ht="15.75" customHeight="1">
      <c r="A4567" s="38" t="s">
        <v>16024</v>
      </c>
      <c r="B4567" s="158" t="s">
        <v>16096</v>
      </c>
      <c r="C4567" s="37" t="s">
        <v>228</v>
      </c>
      <c r="D4567" s="20" t="s">
        <v>16097</v>
      </c>
      <c r="E4567" s="20"/>
      <c r="F4567" s="19" t="s">
        <v>231</v>
      </c>
      <c r="G4567" s="19" t="s">
        <v>232</v>
      </c>
      <c r="H4567" s="37" t="s">
        <v>55</v>
      </c>
      <c r="I4567" s="37" t="s">
        <v>233</v>
      </c>
      <c r="J4567" s="155" t="str">
        <f t="shared" si="7"/>
        <v>NTT</v>
      </c>
      <c r="K4567" s="22"/>
      <c r="L4567" s="56">
        <v>45106</v>
      </c>
      <c r="O4567" s="42"/>
      <c r="P4567" s="40"/>
      <c r="Q4567" s="61"/>
      <c r="R4567" s="61"/>
      <c r="S4567" s="40"/>
      <c r="T4567" s="38"/>
      <c r="U4567" s="38"/>
      <c r="V4567" s="38"/>
      <c r="W4567" s="60"/>
      <c r="AB4567" s="42"/>
      <c r="AC4567" s="35"/>
      <c r="AD4567" s="38"/>
      <c r="AE4567" s="38"/>
      <c r="AF4567" s="38"/>
      <c r="AG4567" s="38"/>
      <c r="AH4567" s="60"/>
    </row>
    <row r="4568" spans="1:34" ht="15.75" customHeight="1">
      <c r="A4568" s="75" t="s">
        <v>10670</v>
      </c>
      <c r="B4568" s="158" t="s">
        <v>16098</v>
      </c>
      <c r="C4568" s="37" t="s">
        <v>228</v>
      </c>
      <c r="D4568" s="20" t="s">
        <v>16099</v>
      </c>
      <c r="E4568" s="20" t="s">
        <v>16100</v>
      </c>
      <c r="F4568" s="19" t="s">
        <v>231</v>
      </c>
      <c r="G4568" s="19" t="s">
        <v>232</v>
      </c>
      <c r="H4568" s="37" t="s">
        <v>55</v>
      </c>
      <c r="I4568" s="37" t="s">
        <v>233</v>
      </c>
      <c r="J4568" s="155" t="str">
        <f t="shared" si="7"/>
        <v>NTT</v>
      </c>
      <c r="K4568" s="22" t="s">
        <v>16101</v>
      </c>
      <c r="L4568" s="56">
        <v>45106</v>
      </c>
      <c r="O4568" s="42"/>
      <c r="P4568" s="40"/>
      <c r="Q4568" s="61"/>
      <c r="R4568" s="61"/>
      <c r="S4568" s="40"/>
      <c r="T4568" s="38"/>
      <c r="U4568" s="38"/>
      <c r="V4568" s="38"/>
      <c r="W4568" s="60"/>
      <c r="AB4568" s="42"/>
      <c r="AC4568" s="35"/>
      <c r="AD4568" s="38"/>
      <c r="AE4568" s="38"/>
      <c r="AF4568" s="38"/>
      <c r="AG4568" s="38"/>
      <c r="AH4568" s="60"/>
    </row>
    <row r="4569" spans="1:34" ht="15.75" customHeight="1">
      <c r="A4569" s="50" t="s">
        <v>56</v>
      </c>
      <c r="B4569" s="158" t="s">
        <v>16102</v>
      </c>
      <c r="C4569" s="37" t="s">
        <v>87</v>
      </c>
      <c r="D4569" s="20" t="s">
        <v>16103</v>
      </c>
      <c r="E4569" s="20" t="s">
        <v>16104</v>
      </c>
      <c r="F4569" s="19" t="s">
        <v>90</v>
      </c>
      <c r="G4569" s="19" t="s">
        <v>91</v>
      </c>
      <c r="H4569" s="37" t="s">
        <v>55</v>
      </c>
      <c r="I4569" s="37" t="s">
        <v>29</v>
      </c>
      <c r="J4569" s="155" t="str">
        <f t="shared" si="7"/>
        <v>TT</v>
      </c>
      <c r="K4569" s="22" t="s">
        <v>16105</v>
      </c>
      <c r="L4569" s="56">
        <v>45106</v>
      </c>
      <c r="O4569" s="42"/>
      <c r="P4569" s="40"/>
      <c r="Q4569" s="61"/>
      <c r="R4569" s="61"/>
      <c r="S4569" s="40"/>
      <c r="T4569" s="38"/>
      <c r="U4569" s="38"/>
      <c r="V4569" s="38"/>
      <c r="W4569" s="60"/>
      <c r="AB4569" s="42"/>
      <c r="AC4569" s="35"/>
      <c r="AD4569" s="38"/>
      <c r="AE4569" s="38"/>
      <c r="AF4569" s="38"/>
      <c r="AG4569" s="38"/>
      <c r="AH4569" s="60"/>
    </row>
    <row r="4570" spans="1:34" ht="15.75" customHeight="1">
      <c r="A4570" s="17">
        <v>49</v>
      </c>
      <c r="B4570" s="158" t="s">
        <v>16106</v>
      </c>
      <c r="C4570" s="143" t="s">
        <v>24</v>
      </c>
      <c r="D4570" s="20" t="s">
        <v>16107</v>
      </c>
      <c r="E4570" s="20" t="s">
        <v>16108</v>
      </c>
      <c r="F4570" s="19" t="s">
        <v>27</v>
      </c>
      <c r="G4570" s="19" t="s">
        <v>28</v>
      </c>
      <c r="H4570" s="37" t="s">
        <v>55</v>
      </c>
      <c r="I4570" s="37" t="s">
        <v>29</v>
      </c>
      <c r="J4570" s="155" t="str">
        <f t="shared" si="7"/>
        <v>TT</v>
      </c>
      <c r="K4570" s="22" t="s">
        <v>16109</v>
      </c>
      <c r="L4570" s="56">
        <v>45106</v>
      </c>
      <c r="O4570" s="42"/>
      <c r="P4570" s="40"/>
      <c r="Q4570" s="61"/>
      <c r="R4570" s="61"/>
      <c r="S4570" s="40"/>
      <c r="T4570" s="38"/>
      <c r="U4570" s="38"/>
      <c r="V4570" s="38"/>
      <c r="W4570" s="60"/>
      <c r="AB4570" s="42"/>
      <c r="AC4570" s="35"/>
      <c r="AD4570" s="38"/>
      <c r="AE4570" s="38"/>
      <c r="AF4570" s="38"/>
      <c r="AG4570" s="38"/>
      <c r="AH4570" s="60"/>
    </row>
    <row r="4571" spans="1:34" ht="15.75" customHeight="1">
      <c r="A4571" s="111" t="s">
        <v>64</v>
      </c>
      <c r="B4571" s="158" t="s">
        <v>16110</v>
      </c>
      <c r="C4571" s="143" t="s">
        <v>24</v>
      </c>
      <c r="D4571" s="20" t="s">
        <v>16111</v>
      </c>
      <c r="E4571" s="20" t="s">
        <v>16112</v>
      </c>
      <c r="F4571" s="19" t="s">
        <v>27</v>
      </c>
      <c r="G4571" s="19" t="s">
        <v>28</v>
      </c>
      <c r="H4571" s="37" t="s">
        <v>55</v>
      </c>
      <c r="I4571" s="37" t="s">
        <v>29</v>
      </c>
      <c r="J4571" s="155" t="str">
        <f t="shared" si="7"/>
        <v>TT</v>
      </c>
      <c r="K4571" s="22" t="s">
        <v>16113</v>
      </c>
      <c r="L4571" s="56">
        <v>45106</v>
      </c>
      <c r="O4571" s="42"/>
      <c r="P4571" s="40"/>
      <c r="Q4571" s="61"/>
      <c r="R4571" s="61"/>
      <c r="S4571" s="40"/>
      <c r="T4571" s="38"/>
      <c r="U4571" s="38"/>
      <c r="V4571" s="38"/>
      <c r="W4571" s="60"/>
      <c r="AB4571" s="42"/>
      <c r="AC4571" s="35"/>
      <c r="AD4571" s="38"/>
      <c r="AE4571" s="38"/>
      <c r="AF4571" s="38"/>
      <c r="AG4571" s="38"/>
      <c r="AH4571" s="60"/>
    </row>
    <row r="4572" spans="1:34" ht="15.75" customHeight="1">
      <c r="A4572" s="75">
        <v>2.4</v>
      </c>
      <c r="B4572" s="158" t="s">
        <v>16114</v>
      </c>
      <c r="C4572" s="37" t="s">
        <v>24</v>
      </c>
      <c r="D4572" s="20" t="s">
        <v>16115</v>
      </c>
      <c r="E4572" s="20" t="s">
        <v>16116</v>
      </c>
      <c r="F4572" s="19" t="s">
        <v>27</v>
      </c>
      <c r="G4572" s="19" t="s">
        <v>28</v>
      </c>
      <c r="H4572" s="37" t="s">
        <v>55</v>
      </c>
      <c r="I4572" s="37" t="s">
        <v>29</v>
      </c>
      <c r="J4572" s="155" t="str">
        <f t="shared" si="7"/>
        <v>TT</v>
      </c>
      <c r="K4572" s="22" t="s">
        <v>16117</v>
      </c>
      <c r="L4572" s="56">
        <v>45106</v>
      </c>
      <c r="O4572" s="42"/>
      <c r="P4572" s="40"/>
      <c r="Q4572" s="61"/>
      <c r="R4572" s="61"/>
      <c r="S4572" s="40"/>
      <c r="T4572" s="38"/>
      <c r="U4572" s="38"/>
      <c r="V4572" s="38"/>
      <c r="W4572" s="60"/>
      <c r="AB4572" s="42"/>
      <c r="AC4572" s="35"/>
      <c r="AD4572" s="38"/>
      <c r="AE4572" s="38"/>
      <c r="AF4572" s="38"/>
      <c r="AG4572" s="38"/>
      <c r="AH4572" s="60"/>
    </row>
    <row r="4573" spans="1:34" ht="15.75" customHeight="1">
      <c r="A4573" s="111" t="s">
        <v>73</v>
      </c>
      <c r="B4573" s="158" t="s">
        <v>16118</v>
      </c>
      <c r="C4573" s="37" t="s">
        <v>87</v>
      </c>
      <c r="D4573" s="20" t="s">
        <v>16119</v>
      </c>
      <c r="E4573" s="20" t="s">
        <v>16120</v>
      </c>
      <c r="F4573" s="19" t="s">
        <v>90</v>
      </c>
      <c r="G4573" s="19" t="s">
        <v>91</v>
      </c>
      <c r="H4573" s="37" t="s">
        <v>55</v>
      </c>
      <c r="I4573" s="37" t="s">
        <v>29</v>
      </c>
      <c r="J4573" s="155" t="str">
        <f t="shared" si="7"/>
        <v>TT</v>
      </c>
      <c r="K4573" s="22" t="s">
        <v>16121</v>
      </c>
      <c r="L4573" s="56">
        <v>45106</v>
      </c>
      <c r="O4573" s="42"/>
      <c r="P4573" s="40"/>
      <c r="Q4573" s="61"/>
      <c r="R4573" s="61"/>
      <c r="S4573" s="40"/>
      <c r="T4573" s="38"/>
      <c r="U4573" s="38"/>
      <c r="V4573" s="38"/>
      <c r="W4573" s="60"/>
      <c r="AB4573" s="42"/>
      <c r="AC4573" s="35"/>
      <c r="AD4573" s="38"/>
      <c r="AE4573" s="38"/>
      <c r="AF4573" s="38"/>
      <c r="AG4573" s="38"/>
      <c r="AH4573" s="60"/>
    </row>
    <row r="4574" spans="1:34" ht="15.75" customHeight="1">
      <c r="A4574" s="75">
        <v>3.1</v>
      </c>
      <c r="B4574" s="158" t="s">
        <v>16122</v>
      </c>
      <c r="C4574" s="37" t="s">
        <v>24</v>
      </c>
      <c r="D4574" s="20" t="s">
        <v>16123</v>
      </c>
      <c r="E4574" s="20" t="s">
        <v>16124</v>
      </c>
      <c r="F4574" s="19" t="s">
        <v>27</v>
      </c>
      <c r="G4574" s="19" t="s">
        <v>28</v>
      </c>
      <c r="H4574" s="37" t="s">
        <v>55</v>
      </c>
      <c r="I4574" s="37" t="s">
        <v>29</v>
      </c>
      <c r="J4574" s="155" t="str">
        <f t="shared" si="7"/>
        <v>TT</v>
      </c>
      <c r="K4574" s="22" t="s">
        <v>16125</v>
      </c>
      <c r="L4574" s="56">
        <v>45106</v>
      </c>
      <c r="O4574" s="42"/>
      <c r="P4574" s="40"/>
      <c r="Q4574" s="61"/>
      <c r="R4574" s="61"/>
      <c r="S4574" s="40"/>
      <c r="T4574" s="38"/>
      <c r="U4574" s="38"/>
      <c r="V4574" s="38"/>
      <c r="W4574" s="60"/>
      <c r="AB4574" s="42"/>
      <c r="AC4574" s="35"/>
      <c r="AD4574" s="38"/>
      <c r="AE4574" s="38"/>
      <c r="AF4574" s="38"/>
      <c r="AG4574" s="38"/>
      <c r="AH4574" s="60"/>
    </row>
    <row r="4575" spans="1:34" ht="15.75" customHeight="1">
      <c r="A4575" s="111" t="s">
        <v>82</v>
      </c>
      <c r="B4575" s="158" t="s">
        <v>16126</v>
      </c>
      <c r="C4575" s="37" t="s">
        <v>46</v>
      </c>
      <c r="D4575" s="20" t="s">
        <v>16127</v>
      </c>
      <c r="E4575" s="20" t="s">
        <v>16128</v>
      </c>
      <c r="F4575" s="37" t="s">
        <v>49</v>
      </c>
      <c r="G4575" s="19" t="s">
        <v>50</v>
      </c>
      <c r="H4575" s="37" t="s">
        <v>55</v>
      </c>
      <c r="I4575" s="37" t="s">
        <v>29</v>
      </c>
      <c r="J4575" s="155" t="str">
        <f t="shared" si="7"/>
        <v>TT</v>
      </c>
      <c r="K4575" s="22" t="s">
        <v>16129</v>
      </c>
      <c r="L4575" s="56">
        <v>45106</v>
      </c>
      <c r="O4575" s="42"/>
      <c r="P4575" s="40"/>
      <c r="Q4575" s="61"/>
      <c r="R4575" s="61"/>
      <c r="S4575" s="40"/>
      <c r="T4575" s="38"/>
      <c r="U4575" s="38"/>
      <c r="V4575" s="38"/>
      <c r="W4575" s="60"/>
      <c r="AB4575" s="42"/>
      <c r="AC4575" s="35"/>
      <c r="AD4575" s="38"/>
      <c r="AE4575" s="38"/>
      <c r="AF4575" s="38"/>
      <c r="AG4575" s="38"/>
      <c r="AH4575" s="60"/>
    </row>
    <row r="4576" spans="1:34" ht="15.75" customHeight="1">
      <c r="A4576" s="112" t="s">
        <v>16130</v>
      </c>
      <c r="B4576" s="158" t="s">
        <v>16131</v>
      </c>
      <c r="C4576" s="37" t="s">
        <v>87</v>
      </c>
      <c r="D4576" s="20" t="s">
        <v>16132</v>
      </c>
      <c r="E4576" s="20" t="s">
        <v>16133</v>
      </c>
      <c r="F4576" s="19" t="s">
        <v>90</v>
      </c>
      <c r="G4576" s="19" t="s">
        <v>91</v>
      </c>
      <c r="H4576" s="37" t="s">
        <v>55</v>
      </c>
      <c r="I4576" s="37" t="s">
        <v>29</v>
      </c>
      <c r="J4576" s="155" t="str">
        <f t="shared" si="7"/>
        <v>TT</v>
      </c>
      <c r="K4576" s="22" t="s">
        <v>16134</v>
      </c>
      <c r="L4576" s="56">
        <v>45106</v>
      </c>
      <c r="O4576" s="42"/>
      <c r="P4576" s="40"/>
      <c r="Q4576" s="61"/>
      <c r="R4576" s="61"/>
      <c r="S4576" s="40"/>
      <c r="T4576" s="38"/>
      <c r="U4576" s="38"/>
      <c r="V4576" s="38"/>
      <c r="W4576" s="60"/>
      <c r="AB4576" s="42"/>
      <c r="AC4576" s="35"/>
      <c r="AD4576" s="38"/>
      <c r="AE4576" s="38"/>
      <c r="AF4576" s="38"/>
      <c r="AG4576" s="38"/>
      <c r="AH4576" s="60"/>
    </row>
    <row r="4577" spans="1:34" ht="15.75" customHeight="1">
      <c r="A4577" s="111" t="s">
        <v>92</v>
      </c>
      <c r="B4577" s="158" t="s">
        <v>16135</v>
      </c>
      <c r="C4577" s="37" t="s">
        <v>87</v>
      </c>
      <c r="D4577" s="20" t="s">
        <v>16136</v>
      </c>
      <c r="E4577" s="20" t="s">
        <v>16137</v>
      </c>
      <c r="F4577" s="19" t="s">
        <v>90</v>
      </c>
      <c r="G4577" s="19" t="s">
        <v>91</v>
      </c>
      <c r="H4577" s="37" t="s">
        <v>55</v>
      </c>
      <c r="I4577" s="37" t="s">
        <v>29</v>
      </c>
      <c r="J4577" s="155" t="str">
        <f t="shared" si="7"/>
        <v>TT</v>
      </c>
      <c r="K4577" s="22" t="s">
        <v>16138</v>
      </c>
      <c r="L4577" s="56">
        <v>45106</v>
      </c>
      <c r="O4577" s="42"/>
      <c r="P4577" s="40"/>
      <c r="Q4577" s="61"/>
      <c r="R4577" s="61"/>
      <c r="S4577" s="40"/>
      <c r="T4577" s="38"/>
      <c r="U4577" s="38"/>
      <c r="V4577" s="38"/>
      <c r="W4577" s="60"/>
      <c r="AB4577" s="42"/>
      <c r="AC4577" s="35"/>
      <c r="AD4577" s="38"/>
      <c r="AE4577" s="38"/>
      <c r="AF4577" s="38"/>
      <c r="AG4577" s="38"/>
      <c r="AH4577" s="60"/>
    </row>
    <row r="4578" spans="1:34" ht="15.75" customHeight="1">
      <c r="A4578" s="17">
        <v>499</v>
      </c>
      <c r="B4578" s="158" t="s">
        <v>16139</v>
      </c>
      <c r="C4578" s="37" t="s">
        <v>46</v>
      </c>
      <c r="D4578" s="20" t="s">
        <v>16140</v>
      </c>
      <c r="E4578" s="20" t="s">
        <v>16141</v>
      </c>
      <c r="F4578" s="37" t="s">
        <v>49</v>
      </c>
      <c r="G4578" s="19" t="s">
        <v>50</v>
      </c>
      <c r="H4578" s="37" t="s">
        <v>55</v>
      </c>
      <c r="I4578" s="37" t="s">
        <v>29</v>
      </c>
      <c r="J4578" s="155" t="str">
        <f t="shared" si="7"/>
        <v>TT</v>
      </c>
      <c r="K4578" s="22" t="s">
        <v>16142</v>
      </c>
      <c r="L4578" s="56">
        <v>45106</v>
      </c>
      <c r="O4578" s="42"/>
      <c r="P4578" s="40"/>
      <c r="Q4578" s="61"/>
      <c r="R4578" s="61"/>
      <c r="S4578" s="40"/>
      <c r="T4578" s="38"/>
      <c r="U4578" s="38"/>
      <c r="V4578" s="38"/>
      <c r="W4578" s="60"/>
      <c r="AB4578" s="42"/>
      <c r="AC4578" s="35"/>
      <c r="AD4578" s="38"/>
      <c r="AE4578" s="38"/>
      <c r="AF4578" s="38"/>
      <c r="AG4578" s="38"/>
      <c r="AH4578" s="60"/>
    </row>
    <row r="4579" spans="1:34" ht="15.75" customHeight="1">
      <c r="A4579" s="111" t="s">
        <v>100</v>
      </c>
      <c r="B4579" s="158" t="s">
        <v>16143</v>
      </c>
      <c r="C4579" s="37" t="s">
        <v>24</v>
      </c>
      <c r="D4579" s="20" t="s">
        <v>16144</v>
      </c>
      <c r="E4579" s="20" t="s">
        <v>16145</v>
      </c>
      <c r="F4579" s="19" t="s">
        <v>27</v>
      </c>
      <c r="G4579" s="19" t="s">
        <v>28</v>
      </c>
      <c r="H4579" s="37" t="s">
        <v>55</v>
      </c>
      <c r="I4579" s="37" t="s">
        <v>29</v>
      </c>
      <c r="J4579" s="155" t="str">
        <f t="shared" si="7"/>
        <v>TT</v>
      </c>
      <c r="K4579" s="22" t="s">
        <v>16146</v>
      </c>
      <c r="L4579" s="56">
        <v>45106</v>
      </c>
      <c r="O4579" s="42"/>
      <c r="P4579" s="40"/>
      <c r="Q4579" s="61"/>
      <c r="R4579" s="61"/>
      <c r="S4579" s="40"/>
      <c r="T4579" s="38"/>
      <c r="U4579" s="38"/>
      <c r="V4579" s="38"/>
      <c r="W4579" s="60"/>
      <c r="AB4579" s="42"/>
      <c r="AC4579" s="35"/>
      <c r="AD4579" s="38"/>
      <c r="AE4579" s="38"/>
      <c r="AF4579" s="38"/>
      <c r="AG4579" s="38"/>
      <c r="AH4579" s="60"/>
    </row>
    <row r="4580" spans="1:34" ht="15.75" customHeight="1">
      <c r="A4580" s="17">
        <v>161</v>
      </c>
      <c r="B4580" s="158" t="s">
        <v>16147</v>
      </c>
      <c r="C4580" s="37" t="s">
        <v>87</v>
      </c>
      <c r="D4580" s="20" t="s">
        <v>16148</v>
      </c>
      <c r="E4580" s="20" t="s">
        <v>16149</v>
      </c>
      <c r="F4580" s="19" t="s">
        <v>90</v>
      </c>
      <c r="G4580" s="19" t="s">
        <v>91</v>
      </c>
      <c r="H4580" s="37" t="s">
        <v>55</v>
      </c>
      <c r="I4580" s="37" t="s">
        <v>29</v>
      </c>
      <c r="J4580" s="155" t="str">
        <f t="shared" si="7"/>
        <v>TT</v>
      </c>
      <c r="K4580" s="22" t="s">
        <v>16150</v>
      </c>
      <c r="L4580" s="56">
        <v>45106</v>
      </c>
      <c r="O4580" s="42"/>
      <c r="P4580" s="40"/>
      <c r="Q4580" s="61"/>
      <c r="R4580" s="61"/>
      <c r="S4580" s="40"/>
      <c r="T4580" s="38"/>
      <c r="U4580" s="38"/>
      <c r="V4580" s="38"/>
      <c r="W4580" s="60"/>
      <c r="AB4580" s="42"/>
      <c r="AC4580" s="35"/>
      <c r="AD4580" s="38"/>
      <c r="AE4580" s="38"/>
      <c r="AF4580" s="38"/>
      <c r="AG4580" s="38"/>
      <c r="AH4580" s="60"/>
    </row>
    <row r="4581" spans="1:34" ht="15.75" customHeight="1">
      <c r="A4581" s="35"/>
      <c r="B4581" s="158" t="s">
        <v>16151</v>
      </c>
      <c r="C4581" s="37" t="s">
        <v>87</v>
      </c>
      <c r="D4581" s="20" t="s">
        <v>16152</v>
      </c>
      <c r="E4581" s="20"/>
      <c r="F4581" s="19" t="s">
        <v>90</v>
      </c>
      <c r="G4581" s="19" t="s">
        <v>91</v>
      </c>
      <c r="H4581" s="37" t="s">
        <v>55</v>
      </c>
      <c r="I4581" s="37" t="s">
        <v>29</v>
      </c>
      <c r="J4581" s="155" t="str">
        <f t="shared" si="7"/>
        <v>TT</v>
      </c>
      <c r="K4581" s="22"/>
      <c r="L4581" s="56">
        <v>45106</v>
      </c>
      <c r="O4581" s="42"/>
      <c r="P4581" s="40"/>
      <c r="Q4581" s="61"/>
      <c r="R4581" s="61"/>
      <c r="S4581" s="40"/>
      <c r="T4581" s="38"/>
      <c r="U4581" s="38"/>
      <c r="V4581" s="38"/>
      <c r="W4581" s="60"/>
      <c r="AB4581" s="42"/>
      <c r="AC4581" s="35"/>
      <c r="AD4581" s="38"/>
      <c r="AE4581" s="38"/>
      <c r="AF4581" s="38"/>
      <c r="AG4581" s="38"/>
      <c r="AH4581" s="60"/>
    </row>
    <row r="4582" spans="1:34" ht="15.75" customHeight="1">
      <c r="A4582" s="35"/>
      <c r="B4582" s="158" t="s">
        <v>16153</v>
      </c>
      <c r="C4582" s="37" t="s">
        <v>24</v>
      </c>
      <c r="D4582" s="20" t="s">
        <v>16154</v>
      </c>
      <c r="E4582" s="20" t="s">
        <v>16155</v>
      </c>
      <c r="F4582" s="19" t="s">
        <v>27</v>
      </c>
      <c r="G4582" s="19" t="s">
        <v>28</v>
      </c>
      <c r="H4582" s="37" t="s">
        <v>55</v>
      </c>
      <c r="I4582" s="37" t="s">
        <v>29</v>
      </c>
      <c r="J4582" s="155" t="str">
        <f t="shared" si="7"/>
        <v>TT</v>
      </c>
      <c r="K4582" s="22" t="s">
        <v>16156</v>
      </c>
      <c r="L4582" s="56">
        <v>45106</v>
      </c>
      <c r="O4582" s="42"/>
      <c r="P4582" s="40"/>
      <c r="Q4582" s="61"/>
      <c r="R4582" s="61"/>
      <c r="S4582" s="40"/>
      <c r="T4582" s="38"/>
      <c r="U4582" s="38"/>
      <c r="V4582" s="38"/>
      <c r="W4582" s="60"/>
      <c r="AB4582" s="42"/>
      <c r="AC4582" s="35"/>
      <c r="AD4582" s="38"/>
      <c r="AE4582" s="38"/>
      <c r="AF4582" s="38"/>
      <c r="AG4582" s="38"/>
      <c r="AH4582" s="60"/>
    </row>
    <row r="4583" spans="1:34" ht="15.75" customHeight="1">
      <c r="A4583" s="35"/>
      <c r="B4583" s="158" t="s">
        <v>16157</v>
      </c>
      <c r="C4583" s="37" t="s">
        <v>24</v>
      </c>
      <c r="D4583" s="20" t="s">
        <v>16158</v>
      </c>
      <c r="E4583" s="20" t="s">
        <v>16159</v>
      </c>
      <c r="F4583" s="19" t="s">
        <v>27</v>
      </c>
      <c r="G4583" s="19" t="s">
        <v>28</v>
      </c>
      <c r="H4583" s="19" t="s">
        <v>36</v>
      </c>
      <c r="I4583" s="37" t="s">
        <v>29</v>
      </c>
      <c r="J4583" s="155" t="str">
        <f t="shared" si="7"/>
        <v>TT</v>
      </c>
      <c r="K4583" s="22" t="s">
        <v>16160</v>
      </c>
      <c r="L4583" s="56">
        <v>45106</v>
      </c>
      <c r="O4583" s="42"/>
      <c r="P4583" s="40"/>
      <c r="Q4583" s="61"/>
      <c r="R4583" s="61"/>
      <c r="S4583" s="40"/>
      <c r="T4583" s="38"/>
      <c r="U4583" s="38"/>
      <c r="V4583" s="38"/>
      <c r="W4583" s="60"/>
      <c r="AB4583" s="42"/>
      <c r="AC4583" s="35"/>
      <c r="AD4583" s="38"/>
      <c r="AE4583" s="38"/>
      <c r="AF4583" s="38"/>
      <c r="AG4583" s="38"/>
      <c r="AH4583" s="60"/>
    </row>
    <row r="4584" spans="1:34" ht="15.75" customHeight="1">
      <c r="A4584" s="35"/>
      <c r="B4584" s="158" t="s">
        <v>16161</v>
      </c>
      <c r="C4584" s="37" t="s">
        <v>228</v>
      </c>
      <c r="D4584" s="20" t="s">
        <v>16162</v>
      </c>
      <c r="E4584" s="20" t="s">
        <v>16159</v>
      </c>
      <c r="F4584" s="19" t="s">
        <v>231</v>
      </c>
      <c r="G4584" s="19" t="s">
        <v>232</v>
      </c>
      <c r="H4584" s="37" t="s">
        <v>55</v>
      </c>
      <c r="I4584" s="37" t="s">
        <v>233</v>
      </c>
      <c r="J4584" s="155" t="str">
        <f t="shared" si="7"/>
        <v>NTT</v>
      </c>
      <c r="K4584" s="22" t="s">
        <v>16160</v>
      </c>
      <c r="L4584" s="56">
        <v>45106</v>
      </c>
      <c r="O4584" s="42"/>
      <c r="P4584" s="40"/>
      <c r="Q4584" s="61"/>
      <c r="R4584" s="61"/>
      <c r="S4584" s="40"/>
      <c r="T4584" s="38"/>
      <c r="U4584" s="38"/>
      <c r="V4584" s="38"/>
      <c r="W4584" s="60"/>
      <c r="AB4584" s="42"/>
      <c r="AC4584" s="35"/>
      <c r="AD4584" s="38"/>
      <c r="AE4584" s="38"/>
      <c r="AF4584" s="38"/>
      <c r="AG4584" s="38"/>
      <c r="AH4584" s="60"/>
    </row>
    <row r="4585" spans="1:34" ht="15.75" customHeight="1">
      <c r="A4585" s="35"/>
      <c r="B4585" s="158" t="s">
        <v>16163</v>
      </c>
      <c r="C4585" s="37" t="s">
        <v>228</v>
      </c>
      <c r="D4585" s="20" t="s">
        <v>16164</v>
      </c>
      <c r="E4585" s="20" t="s">
        <v>16165</v>
      </c>
      <c r="F4585" s="19" t="s">
        <v>231</v>
      </c>
      <c r="G4585" s="19" t="s">
        <v>232</v>
      </c>
      <c r="H4585" s="37" t="s">
        <v>55</v>
      </c>
      <c r="I4585" s="37" t="s">
        <v>233</v>
      </c>
      <c r="J4585" s="155" t="str">
        <f t="shared" si="7"/>
        <v>NTT</v>
      </c>
      <c r="K4585" s="22" t="s">
        <v>16166</v>
      </c>
      <c r="L4585" s="56">
        <v>45106</v>
      </c>
      <c r="O4585" s="42"/>
      <c r="P4585" s="40"/>
      <c r="Q4585" s="61"/>
      <c r="R4585" s="61"/>
      <c r="S4585" s="40"/>
      <c r="T4585" s="38"/>
      <c r="U4585" s="38"/>
      <c r="V4585" s="38"/>
      <c r="W4585" s="60"/>
      <c r="AB4585" s="42"/>
      <c r="AC4585" s="35"/>
      <c r="AD4585" s="38"/>
      <c r="AE4585" s="38"/>
      <c r="AF4585" s="38"/>
      <c r="AG4585" s="38"/>
      <c r="AH4585" s="60"/>
    </row>
    <row r="4586" spans="1:34" ht="15.75" customHeight="1">
      <c r="A4586" s="35"/>
      <c r="B4586" s="158" t="s">
        <v>16167</v>
      </c>
      <c r="C4586" s="37" t="s">
        <v>87</v>
      </c>
      <c r="D4586" s="20" t="s">
        <v>16168</v>
      </c>
      <c r="E4586" s="20" t="s">
        <v>16169</v>
      </c>
      <c r="F4586" s="19" t="s">
        <v>90</v>
      </c>
      <c r="G4586" s="19" t="s">
        <v>91</v>
      </c>
      <c r="H4586" s="37" t="s">
        <v>55</v>
      </c>
      <c r="I4586" s="37" t="s">
        <v>29</v>
      </c>
      <c r="J4586" s="155" t="str">
        <f t="shared" si="7"/>
        <v>TT</v>
      </c>
      <c r="K4586" s="22" t="s">
        <v>16170</v>
      </c>
      <c r="L4586" s="56">
        <v>45106</v>
      </c>
      <c r="O4586" s="42"/>
      <c r="P4586" s="40"/>
      <c r="Q4586" s="61"/>
      <c r="R4586" s="61"/>
      <c r="S4586" s="40"/>
      <c r="T4586" s="38"/>
      <c r="U4586" s="38"/>
      <c r="V4586" s="38"/>
      <c r="W4586" s="60"/>
      <c r="AB4586" s="42"/>
      <c r="AC4586" s="35"/>
      <c r="AD4586" s="38"/>
      <c r="AE4586" s="38"/>
      <c r="AF4586" s="38"/>
      <c r="AG4586" s="38"/>
      <c r="AH4586" s="60"/>
    </row>
    <row r="4587" spans="1:34" ht="15.75" customHeight="1">
      <c r="A4587" s="35"/>
      <c r="B4587" s="158" t="s">
        <v>16171</v>
      </c>
      <c r="C4587" s="37" t="s">
        <v>46</v>
      </c>
      <c r="D4587" s="20" t="s">
        <v>16172</v>
      </c>
      <c r="E4587" s="20" t="s">
        <v>16173</v>
      </c>
      <c r="F4587" s="37" t="s">
        <v>49</v>
      </c>
      <c r="G4587" s="19" t="s">
        <v>50</v>
      </c>
      <c r="H4587" s="37" t="s">
        <v>55</v>
      </c>
      <c r="I4587" s="37" t="s">
        <v>29</v>
      </c>
      <c r="J4587" s="155" t="str">
        <f t="shared" si="7"/>
        <v>TT</v>
      </c>
      <c r="K4587" s="22" t="s">
        <v>16174</v>
      </c>
      <c r="L4587" s="56">
        <v>45106</v>
      </c>
      <c r="O4587" s="42"/>
      <c r="P4587" s="40"/>
      <c r="Q4587" s="61"/>
      <c r="R4587" s="61"/>
      <c r="S4587" s="40"/>
      <c r="T4587" s="38"/>
      <c r="U4587" s="38"/>
      <c r="V4587" s="38"/>
      <c r="W4587" s="60"/>
      <c r="AB4587" s="42"/>
      <c r="AC4587" s="35"/>
      <c r="AD4587" s="38"/>
      <c r="AE4587" s="38"/>
      <c r="AF4587" s="38"/>
      <c r="AG4587" s="38"/>
      <c r="AH4587" s="60"/>
    </row>
    <row r="4588" spans="1:34" ht="15.75" customHeight="1">
      <c r="A4588" s="35"/>
      <c r="B4588" s="159" t="s">
        <v>16175</v>
      </c>
      <c r="C4588" s="37" t="s">
        <v>24</v>
      </c>
      <c r="D4588" s="20" t="s">
        <v>16176</v>
      </c>
      <c r="E4588" s="20" t="s">
        <v>16177</v>
      </c>
      <c r="F4588" s="19" t="s">
        <v>27</v>
      </c>
      <c r="G4588" s="19" t="s">
        <v>28</v>
      </c>
      <c r="H4588" s="37" t="s">
        <v>55</v>
      </c>
      <c r="I4588" s="37" t="s">
        <v>29</v>
      </c>
      <c r="J4588" s="155" t="str">
        <f t="shared" si="7"/>
        <v>TT</v>
      </c>
      <c r="K4588" s="22" t="s">
        <v>16178</v>
      </c>
      <c r="L4588" s="56">
        <v>45106</v>
      </c>
      <c r="O4588" s="42"/>
      <c r="P4588" s="40"/>
      <c r="Q4588" s="61"/>
      <c r="R4588" s="61"/>
      <c r="S4588" s="40"/>
      <c r="T4588" s="38"/>
      <c r="U4588" s="38"/>
      <c r="V4588" s="38"/>
      <c r="W4588" s="60"/>
      <c r="AB4588" s="42"/>
      <c r="AC4588" s="35"/>
      <c r="AD4588" s="38"/>
      <c r="AE4588" s="38"/>
      <c r="AF4588" s="38"/>
      <c r="AG4588" s="38"/>
      <c r="AH4588" s="60"/>
    </row>
    <row r="4589" spans="1:34" ht="15.75" customHeight="1">
      <c r="A4589" s="35"/>
      <c r="B4589" s="158" t="s">
        <v>16179</v>
      </c>
      <c r="C4589" s="37" t="s">
        <v>228</v>
      </c>
      <c r="D4589" s="20" t="s">
        <v>16180</v>
      </c>
      <c r="E4589" s="20" t="s">
        <v>16181</v>
      </c>
      <c r="F4589" s="19" t="s">
        <v>231</v>
      </c>
      <c r="G4589" s="19" t="s">
        <v>232</v>
      </c>
      <c r="H4589" s="37" t="s">
        <v>55</v>
      </c>
      <c r="I4589" s="37" t="s">
        <v>233</v>
      </c>
      <c r="J4589" s="155" t="str">
        <f t="shared" si="7"/>
        <v>NTT</v>
      </c>
      <c r="K4589" s="22" t="s">
        <v>16182</v>
      </c>
      <c r="L4589" s="56">
        <v>45106</v>
      </c>
      <c r="O4589" s="42"/>
      <c r="P4589" s="40"/>
      <c r="Q4589" s="61"/>
      <c r="R4589" s="61"/>
      <c r="S4589" s="40"/>
      <c r="T4589" s="38"/>
      <c r="U4589" s="38"/>
      <c r="V4589" s="38"/>
      <c r="W4589" s="60"/>
      <c r="AB4589" s="42"/>
      <c r="AC4589" s="35"/>
      <c r="AD4589" s="38"/>
      <c r="AE4589" s="38"/>
      <c r="AF4589" s="38"/>
      <c r="AG4589" s="38"/>
      <c r="AH4589" s="60"/>
    </row>
    <row r="4590" spans="1:34" ht="15.75" customHeight="1">
      <c r="A4590" s="35"/>
      <c r="B4590" s="158" t="s">
        <v>16183</v>
      </c>
      <c r="C4590" s="37" t="s">
        <v>24</v>
      </c>
      <c r="D4590" s="20" t="s">
        <v>16184</v>
      </c>
      <c r="E4590" s="20" t="s">
        <v>16185</v>
      </c>
      <c r="F4590" s="19" t="s">
        <v>27</v>
      </c>
      <c r="G4590" s="19" t="s">
        <v>28</v>
      </c>
      <c r="H4590" s="37" t="s">
        <v>55</v>
      </c>
      <c r="I4590" s="37" t="s">
        <v>29</v>
      </c>
      <c r="J4590" s="155" t="str">
        <f t="shared" si="7"/>
        <v>TT</v>
      </c>
      <c r="K4590" s="22" t="s">
        <v>16186</v>
      </c>
      <c r="L4590" s="56">
        <v>45106</v>
      </c>
      <c r="O4590" s="42"/>
      <c r="P4590" s="40"/>
      <c r="Q4590" s="61"/>
      <c r="R4590" s="61"/>
      <c r="S4590" s="40"/>
      <c r="T4590" s="38"/>
      <c r="U4590" s="38"/>
      <c r="V4590" s="38"/>
      <c r="W4590" s="60"/>
      <c r="AB4590" s="42"/>
      <c r="AC4590" s="35"/>
      <c r="AD4590" s="38"/>
      <c r="AE4590" s="38"/>
      <c r="AF4590" s="38"/>
      <c r="AG4590" s="38"/>
      <c r="AH4590" s="60"/>
    </row>
    <row r="4591" spans="1:34" ht="15.75" customHeight="1">
      <c r="A4591" s="35"/>
      <c r="B4591" s="158" t="s">
        <v>16187</v>
      </c>
      <c r="C4591" s="37" t="s">
        <v>24</v>
      </c>
      <c r="D4591" s="20" t="s">
        <v>16188</v>
      </c>
      <c r="E4591" s="20" t="s">
        <v>16189</v>
      </c>
      <c r="F4591" s="19" t="s">
        <v>27</v>
      </c>
      <c r="G4591" s="19" t="s">
        <v>28</v>
      </c>
      <c r="H4591" s="37" t="s">
        <v>55</v>
      </c>
      <c r="I4591" s="37" t="s">
        <v>29</v>
      </c>
      <c r="J4591" s="155" t="str">
        <f t="shared" si="7"/>
        <v>TT</v>
      </c>
      <c r="K4591" s="22" t="s">
        <v>16190</v>
      </c>
      <c r="L4591" s="56">
        <v>45106</v>
      </c>
      <c r="O4591" s="42"/>
      <c r="P4591" s="40"/>
      <c r="Q4591" s="61"/>
      <c r="R4591" s="61"/>
      <c r="S4591" s="40"/>
      <c r="T4591" s="38"/>
      <c r="U4591" s="38"/>
      <c r="V4591" s="38"/>
      <c r="W4591" s="60"/>
      <c r="AB4591" s="42"/>
      <c r="AC4591" s="35"/>
      <c r="AD4591" s="38"/>
      <c r="AE4591" s="38"/>
      <c r="AF4591" s="38"/>
      <c r="AG4591" s="38"/>
      <c r="AH4591" s="60"/>
    </row>
    <row r="4592" spans="1:34" ht="15.75" customHeight="1">
      <c r="A4592" s="35"/>
      <c r="B4592" s="158" t="s">
        <v>16191</v>
      </c>
      <c r="C4592" s="37" t="s">
        <v>46</v>
      </c>
      <c r="D4592" s="20" t="s">
        <v>16192</v>
      </c>
      <c r="E4592" s="20" t="s">
        <v>16193</v>
      </c>
      <c r="F4592" s="37" t="s">
        <v>49</v>
      </c>
      <c r="G4592" s="19" t="s">
        <v>50</v>
      </c>
      <c r="H4592" s="37" t="s">
        <v>55</v>
      </c>
      <c r="I4592" s="37" t="s">
        <v>29</v>
      </c>
      <c r="J4592" s="155" t="str">
        <f t="shared" si="7"/>
        <v>TT</v>
      </c>
      <c r="K4592" s="22" t="s">
        <v>16194</v>
      </c>
      <c r="L4592" s="56">
        <v>45106</v>
      </c>
      <c r="O4592" s="42"/>
      <c r="P4592" s="40"/>
      <c r="Q4592" s="61"/>
      <c r="R4592" s="61"/>
      <c r="S4592" s="40"/>
      <c r="T4592" s="38"/>
      <c r="U4592" s="38"/>
      <c r="V4592" s="38"/>
      <c r="W4592" s="60"/>
      <c r="AB4592" s="42"/>
      <c r="AC4592" s="35"/>
      <c r="AD4592" s="38"/>
      <c r="AE4592" s="38"/>
      <c r="AF4592" s="38"/>
      <c r="AG4592" s="38"/>
      <c r="AH4592" s="60"/>
    </row>
    <row r="4593" spans="1:34" ht="15.75" customHeight="1">
      <c r="A4593" s="35"/>
      <c r="B4593" s="158" t="s">
        <v>16195</v>
      </c>
      <c r="C4593" s="37" t="s">
        <v>228</v>
      </c>
      <c r="D4593" s="20" t="s">
        <v>16196</v>
      </c>
      <c r="E4593" s="20"/>
      <c r="F4593" s="19" t="s">
        <v>231</v>
      </c>
      <c r="G4593" s="19" t="s">
        <v>232</v>
      </c>
      <c r="H4593" s="37" t="s">
        <v>55</v>
      </c>
      <c r="I4593" s="37" t="s">
        <v>233</v>
      </c>
      <c r="J4593" s="155" t="str">
        <f t="shared" si="7"/>
        <v>NTT</v>
      </c>
      <c r="K4593" s="22"/>
      <c r="L4593" s="56">
        <v>45106</v>
      </c>
      <c r="O4593" s="42"/>
      <c r="P4593" s="40"/>
      <c r="Q4593" s="61"/>
      <c r="R4593" s="61"/>
      <c r="S4593" s="40"/>
      <c r="T4593" s="38"/>
      <c r="U4593" s="38"/>
      <c r="V4593" s="38"/>
      <c r="W4593" s="60"/>
      <c r="AB4593" s="42"/>
      <c r="AC4593" s="35"/>
      <c r="AD4593" s="38"/>
      <c r="AE4593" s="38"/>
      <c r="AF4593" s="38"/>
      <c r="AG4593" s="38"/>
      <c r="AH4593" s="60"/>
    </row>
    <row r="4594" spans="1:34" ht="15.75" customHeight="1">
      <c r="A4594" s="35"/>
      <c r="B4594" s="158" t="s">
        <v>16197</v>
      </c>
      <c r="C4594" s="37" t="s">
        <v>24</v>
      </c>
      <c r="D4594" s="20" t="s">
        <v>12158</v>
      </c>
      <c r="E4594" s="20"/>
      <c r="F4594" s="19" t="s">
        <v>27</v>
      </c>
      <c r="G4594" s="19" t="s">
        <v>28</v>
      </c>
      <c r="H4594" s="19" t="s">
        <v>36</v>
      </c>
      <c r="I4594" s="37" t="s">
        <v>29</v>
      </c>
      <c r="J4594" s="155" t="str">
        <f t="shared" si="7"/>
        <v>TT</v>
      </c>
      <c r="K4594" s="22"/>
      <c r="L4594" s="56">
        <v>45106</v>
      </c>
      <c r="O4594" s="42"/>
      <c r="P4594" s="40"/>
      <c r="Q4594" s="61"/>
      <c r="R4594" s="61"/>
      <c r="S4594" s="40"/>
      <c r="T4594" s="38"/>
      <c r="U4594" s="38"/>
      <c r="V4594" s="38"/>
      <c r="W4594" s="60"/>
      <c r="AB4594" s="42"/>
      <c r="AC4594" s="35"/>
      <c r="AD4594" s="38"/>
      <c r="AE4594" s="38"/>
      <c r="AF4594" s="38"/>
      <c r="AG4594" s="38"/>
      <c r="AH4594" s="60"/>
    </row>
    <row r="4595" spans="1:34" ht="15.75" customHeight="1">
      <c r="A4595" s="35"/>
      <c r="B4595" s="158" t="s">
        <v>16198</v>
      </c>
      <c r="C4595" s="37" t="s">
        <v>412</v>
      </c>
      <c r="D4595" s="20" t="s">
        <v>16199</v>
      </c>
      <c r="E4595" s="20" t="s">
        <v>16200</v>
      </c>
      <c r="F4595" s="19" t="s">
        <v>414</v>
      </c>
      <c r="G4595" s="37" t="s">
        <v>415</v>
      </c>
      <c r="H4595" s="37" t="s">
        <v>55</v>
      </c>
      <c r="I4595" s="37" t="s">
        <v>233</v>
      </c>
      <c r="J4595" s="155" t="str">
        <f t="shared" si="7"/>
        <v>NTT</v>
      </c>
      <c r="K4595" s="22" t="s">
        <v>16201</v>
      </c>
      <c r="L4595" s="56">
        <v>45106</v>
      </c>
      <c r="O4595" s="42"/>
      <c r="P4595" s="40"/>
      <c r="Q4595" s="61"/>
      <c r="R4595" s="61"/>
      <c r="S4595" s="40"/>
      <c r="T4595" s="38"/>
      <c r="U4595" s="38"/>
      <c r="V4595" s="38"/>
      <c r="W4595" s="60"/>
      <c r="AB4595" s="42"/>
      <c r="AC4595" s="35"/>
      <c r="AD4595" s="38"/>
      <c r="AE4595" s="38"/>
      <c r="AF4595" s="38"/>
      <c r="AG4595" s="38"/>
      <c r="AH4595" s="60"/>
    </row>
    <row r="4596" spans="1:34" ht="15.75" customHeight="1">
      <c r="A4596" s="35"/>
      <c r="B4596" s="158" t="s">
        <v>16202</v>
      </c>
      <c r="C4596" s="37" t="s">
        <v>46</v>
      </c>
      <c r="D4596" s="20" t="s">
        <v>16203</v>
      </c>
      <c r="E4596" s="20" t="s">
        <v>16204</v>
      </c>
      <c r="F4596" s="37" t="s">
        <v>49</v>
      </c>
      <c r="G4596" s="19" t="s">
        <v>50</v>
      </c>
      <c r="H4596" s="37" t="s">
        <v>55</v>
      </c>
      <c r="I4596" s="37" t="s">
        <v>29</v>
      </c>
      <c r="J4596" s="155" t="str">
        <f t="shared" si="7"/>
        <v>TT</v>
      </c>
      <c r="K4596" s="22" t="s">
        <v>16205</v>
      </c>
      <c r="L4596" s="56">
        <v>45106</v>
      </c>
      <c r="O4596" s="42"/>
      <c r="P4596" s="40"/>
      <c r="Q4596" s="61"/>
      <c r="R4596" s="61"/>
      <c r="S4596" s="40"/>
      <c r="T4596" s="38"/>
      <c r="U4596" s="38"/>
      <c r="V4596" s="38"/>
      <c r="W4596" s="60"/>
      <c r="AB4596" s="42"/>
      <c r="AC4596" s="35"/>
      <c r="AD4596" s="38"/>
      <c r="AE4596" s="38"/>
      <c r="AF4596" s="38"/>
      <c r="AG4596" s="38"/>
      <c r="AH4596" s="60"/>
    </row>
    <row r="4597" spans="1:34" ht="15.75" customHeight="1">
      <c r="A4597" s="35"/>
      <c r="B4597" s="243"/>
      <c r="C4597" s="37"/>
      <c r="D4597" s="20"/>
      <c r="E4597" s="20"/>
      <c r="F4597" s="37"/>
      <c r="G4597" s="37"/>
      <c r="H4597" s="37"/>
      <c r="I4597" s="238"/>
      <c r="J4597" s="155">
        <f t="shared" si="7"/>
        <v>0</v>
      </c>
      <c r="K4597" s="22"/>
      <c r="L4597" s="39"/>
      <c r="O4597" s="42"/>
      <c r="P4597" s="40"/>
      <c r="Q4597" s="61"/>
      <c r="R4597" s="61"/>
      <c r="S4597" s="40"/>
      <c r="T4597" s="38"/>
      <c r="U4597" s="38"/>
      <c r="V4597" s="38"/>
      <c r="W4597" s="60"/>
      <c r="AB4597" s="42"/>
      <c r="AC4597" s="35"/>
      <c r="AD4597" s="38"/>
      <c r="AE4597" s="38"/>
      <c r="AF4597" s="38"/>
      <c r="AG4597" s="38"/>
      <c r="AH4597" s="60"/>
    </row>
    <row r="4598" spans="1:34" ht="15.75" customHeight="1">
      <c r="A4598" s="35" t="s">
        <v>16206</v>
      </c>
      <c r="B4598" s="158" t="s">
        <v>16207</v>
      </c>
      <c r="C4598" s="37" t="s">
        <v>46</v>
      </c>
      <c r="D4598" s="20" t="s">
        <v>16208</v>
      </c>
      <c r="E4598" s="20" t="s">
        <v>16209</v>
      </c>
      <c r="F4598" s="37" t="s">
        <v>49</v>
      </c>
      <c r="G4598" s="19" t="s">
        <v>50</v>
      </c>
      <c r="H4598" s="19" t="s">
        <v>36</v>
      </c>
      <c r="I4598" s="37" t="s">
        <v>29</v>
      </c>
      <c r="J4598" s="155" t="str">
        <f t="shared" si="7"/>
        <v>TT</v>
      </c>
      <c r="K4598" s="22" t="s">
        <v>16210</v>
      </c>
      <c r="L4598" s="56">
        <v>45107</v>
      </c>
      <c r="M4598" s="40"/>
      <c r="O4598" s="42"/>
      <c r="P4598" s="40"/>
      <c r="Q4598" s="61"/>
      <c r="R4598" s="61"/>
      <c r="S4598" s="40"/>
      <c r="T4598" s="38"/>
      <c r="U4598" s="38"/>
      <c r="V4598" s="38"/>
      <c r="W4598" s="60"/>
      <c r="AB4598" s="42"/>
      <c r="AC4598" s="35"/>
      <c r="AD4598" s="38"/>
      <c r="AE4598" s="38"/>
      <c r="AF4598" s="38"/>
      <c r="AG4598" s="38"/>
      <c r="AH4598" s="60"/>
    </row>
    <row r="4599" spans="1:34" ht="15.75" customHeight="1">
      <c r="A4599" s="54" t="s">
        <v>16211</v>
      </c>
      <c r="B4599" s="158" t="s">
        <v>16212</v>
      </c>
      <c r="C4599" s="37" t="s">
        <v>228</v>
      </c>
      <c r="D4599" s="20" t="s">
        <v>16213</v>
      </c>
      <c r="E4599" s="20" t="s">
        <v>16214</v>
      </c>
      <c r="F4599" s="19" t="s">
        <v>231</v>
      </c>
      <c r="G4599" s="19" t="s">
        <v>232</v>
      </c>
      <c r="H4599" s="37" t="s">
        <v>55</v>
      </c>
      <c r="I4599" s="37" t="s">
        <v>233</v>
      </c>
      <c r="J4599" s="155" t="str">
        <f t="shared" si="7"/>
        <v>NTT</v>
      </c>
      <c r="K4599" s="22" t="s">
        <v>16215</v>
      </c>
      <c r="L4599" s="56">
        <v>45107</v>
      </c>
      <c r="O4599" s="42"/>
      <c r="P4599" s="40"/>
      <c r="Q4599" s="61"/>
      <c r="R4599" s="61"/>
      <c r="S4599" s="40"/>
      <c r="T4599" s="38"/>
      <c r="U4599" s="38"/>
      <c r="V4599" s="38"/>
      <c r="W4599" s="60"/>
      <c r="AB4599" s="42"/>
      <c r="AC4599" s="35"/>
      <c r="AD4599" s="38"/>
      <c r="AE4599" s="38"/>
      <c r="AF4599" s="38"/>
      <c r="AG4599" s="38"/>
      <c r="AH4599" s="60"/>
    </row>
    <row r="4600" spans="1:34" ht="15.75" customHeight="1">
      <c r="A4600" s="114" t="s">
        <v>39</v>
      </c>
      <c r="B4600" s="158" t="s">
        <v>16216</v>
      </c>
      <c r="C4600" s="37" t="s">
        <v>24</v>
      </c>
      <c r="D4600" s="20" t="s">
        <v>16217</v>
      </c>
      <c r="E4600" s="20" t="s">
        <v>16218</v>
      </c>
      <c r="F4600" s="19" t="s">
        <v>27</v>
      </c>
      <c r="G4600" s="19" t="s">
        <v>28</v>
      </c>
      <c r="H4600" s="37" t="s">
        <v>762</v>
      </c>
      <c r="I4600" s="37" t="s">
        <v>29</v>
      </c>
      <c r="J4600" s="155" t="str">
        <f t="shared" si="7"/>
        <v>TT</v>
      </c>
      <c r="K4600" s="22" t="s">
        <v>16219</v>
      </c>
      <c r="L4600" s="56">
        <v>45107</v>
      </c>
      <c r="O4600" s="42"/>
      <c r="P4600" s="40"/>
      <c r="Q4600" s="61"/>
      <c r="R4600" s="61"/>
      <c r="S4600" s="40"/>
      <c r="T4600" s="38"/>
      <c r="U4600" s="38"/>
      <c r="V4600" s="38"/>
      <c r="W4600" s="60"/>
      <c r="AB4600" s="42"/>
      <c r="AC4600" s="35"/>
      <c r="AD4600" s="38"/>
      <c r="AE4600" s="38"/>
      <c r="AF4600" s="38"/>
      <c r="AG4600" s="38"/>
      <c r="AH4600" s="60"/>
    </row>
    <row r="4601" spans="1:34" ht="15.75" customHeight="1">
      <c r="A4601" s="38" t="s">
        <v>16024</v>
      </c>
      <c r="B4601" s="158" t="s">
        <v>16220</v>
      </c>
      <c r="C4601" s="37" t="s">
        <v>24</v>
      </c>
      <c r="D4601" s="20" t="s">
        <v>16221</v>
      </c>
      <c r="E4601" s="20" t="s">
        <v>16222</v>
      </c>
      <c r="F4601" s="19" t="s">
        <v>27</v>
      </c>
      <c r="G4601" s="19" t="s">
        <v>28</v>
      </c>
      <c r="H4601" s="19" t="s">
        <v>36</v>
      </c>
      <c r="I4601" s="37" t="s">
        <v>29</v>
      </c>
      <c r="J4601" s="155" t="str">
        <f t="shared" si="7"/>
        <v>TT</v>
      </c>
      <c r="K4601" s="22" t="s">
        <v>16223</v>
      </c>
      <c r="L4601" s="56">
        <v>45107</v>
      </c>
      <c r="O4601" s="42"/>
      <c r="P4601" s="40"/>
      <c r="Q4601" s="61"/>
      <c r="R4601" s="61"/>
      <c r="S4601" s="40"/>
      <c r="T4601" s="38"/>
      <c r="U4601" s="38"/>
      <c r="V4601" s="38"/>
      <c r="W4601" s="60"/>
      <c r="AB4601" s="42"/>
      <c r="AC4601" s="35"/>
      <c r="AD4601" s="38"/>
      <c r="AE4601" s="38"/>
      <c r="AF4601" s="38"/>
      <c r="AG4601" s="38"/>
      <c r="AH4601" s="60"/>
    </row>
    <row r="4602" spans="1:34" ht="15.75" customHeight="1">
      <c r="A4602" s="75" t="s">
        <v>12680</v>
      </c>
      <c r="B4602" s="158" t="s">
        <v>16224</v>
      </c>
      <c r="C4602" s="37" t="s">
        <v>87</v>
      </c>
      <c r="D4602" s="20" t="s">
        <v>16225</v>
      </c>
      <c r="E4602" s="20" t="s">
        <v>16226</v>
      </c>
      <c r="F4602" s="19" t="s">
        <v>90</v>
      </c>
      <c r="G4602" s="19" t="s">
        <v>91</v>
      </c>
      <c r="H4602" s="37" t="s">
        <v>55</v>
      </c>
      <c r="I4602" s="37" t="s">
        <v>29</v>
      </c>
      <c r="J4602" s="155" t="str">
        <f t="shared" si="7"/>
        <v>TT</v>
      </c>
      <c r="K4602" s="22" t="s">
        <v>16227</v>
      </c>
      <c r="L4602" s="56">
        <v>45107</v>
      </c>
      <c r="O4602" s="42"/>
      <c r="P4602" s="40"/>
      <c r="Q4602" s="61"/>
      <c r="R4602" s="61"/>
      <c r="S4602" s="40"/>
      <c r="T4602" s="38"/>
      <c r="U4602" s="38"/>
      <c r="V4602" s="38"/>
      <c r="W4602" s="60"/>
      <c r="AB4602" s="42"/>
      <c r="AC4602" s="35"/>
      <c r="AD4602" s="38"/>
      <c r="AE4602" s="38"/>
      <c r="AF4602" s="38"/>
      <c r="AG4602" s="38"/>
      <c r="AH4602" s="60"/>
    </row>
    <row r="4603" spans="1:34" ht="15.75" customHeight="1">
      <c r="A4603" s="50" t="s">
        <v>56</v>
      </c>
      <c r="B4603" s="158" t="s">
        <v>16228</v>
      </c>
      <c r="C4603" s="37" t="s">
        <v>46</v>
      </c>
      <c r="D4603" s="20" t="s">
        <v>16229</v>
      </c>
      <c r="E4603" s="20" t="s">
        <v>16230</v>
      </c>
      <c r="F4603" s="37" t="s">
        <v>49</v>
      </c>
      <c r="G4603" s="19" t="s">
        <v>50</v>
      </c>
      <c r="H4603" s="37" t="s">
        <v>55</v>
      </c>
      <c r="I4603" s="37" t="s">
        <v>29</v>
      </c>
      <c r="J4603" s="155" t="str">
        <f t="shared" si="7"/>
        <v>TT</v>
      </c>
      <c r="K4603" s="22" t="s">
        <v>16231</v>
      </c>
      <c r="L4603" s="56">
        <v>45107</v>
      </c>
      <c r="O4603" s="42"/>
      <c r="P4603" s="40"/>
      <c r="Q4603" s="61"/>
      <c r="R4603" s="61"/>
      <c r="S4603" s="40"/>
      <c r="T4603" s="38"/>
      <c r="U4603" s="38"/>
      <c r="V4603" s="38"/>
      <c r="W4603" s="60"/>
      <c r="AB4603" s="42"/>
      <c r="AC4603" s="35"/>
      <c r="AD4603" s="38"/>
      <c r="AE4603" s="38"/>
      <c r="AF4603" s="38"/>
      <c r="AG4603" s="38"/>
      <c r="AH4603" s="60"/>
    </row>
    <row r="4604" spans="1:34" ht="15.75" customHeight="1">
      <c r="A4604" s="17">
        <v>42</v>
      </c>
      <c r="B4604" s="158" t="s">
        <v>16232</v>
      </c>
      <c r="C4604" s="37" t="s">
        <v>24</v>
      </c>
      <c r="D4604" s="20" t="s">
        <v>16233</v>
      </c>
      <c r="E4604" s="20" t="s">
        <v>16234</v>
      </c>
      <c r="F4604" s="19" t="s">
        <v>27</v>
      </c>
      <c r="G4604" s="19" t="s">
        <v>28</v>
      </c>
      <c r="H4604" s="37" t="s">
        <v>55</v>
      </c>
      <c r="I4604" s="37" t="s">
        <v>29</v>
      </c>
      <c r="J4604" s="155" t="str">
        <f t="shared" si="7"/>
        <v>TT</v>
      </c>
      <c r="K4604" s="22" t="s">
        <v>16235</v>
      </c>
      <c r="L4604" s="56">
        <v>45107</v>
      </c>
      <c r="O4604" s="42"/>
      <c r="P4604" s="40"/>
      <c r="Q4604" s="61"/>
      <c r="R4604" s="61"/>
      <c r="S4604" s="40"/>
      <c r="T4604" s="38"/>
      <c r="U4604" s="38"/>
      <c r="V4604" s="38"/>
      <c r="W4604" s="60"/>
      <c r="AB4604" s="42"/>
      <c r="AC4604" s="35"/>
      <c r="AD4604" s="38"/>
      <c r="AE4604" s="38"/>
      <c r="AF4604" s="38"/>
      <c r="AG4604" s="38"/>
      <c r="AH4604" s="60"/>
    </row>
    <row r="4605" spans="1:34" ht="15.75" customHeight="1">
      <c r="A4605" s="111" t="s">
        <v>64</v>
      </c>
      <c r="B4605" s="158" t="s">
        <v>16236</v>
      </c>
      <c r="C4605" s="37" t="s">
        <v>24</v>
      </c>
      <c r="D4605" s="20" t="s">
        <v>16237</v>
      </c>
      <c r="E4605" s="20" t="s">
        <v>16238</v>
      </c>
      <c r="F4605" s="19" t="s">
        <v>27</v>
      </c>
      <c r="G4605" s="19" t="s">
        <v>28</v>
      </c>
      <c r="H4605" s="37" t="s">
        <v>55</v>
      </c>
      <c r="I4605" s="37" t="s">
        <v>29</v>
      </c>
      <c r="J4605" s="155" t="str">
        <f t="shared" si="7"/>
        <v>TT</v>
      </c>
      <c r="K4605" s="22" t="s">
        <v>16239</v>
      </c>
      <c r="L4605" s="56">
        <v>45107</v>
      </c>
      <c r="O4605" s="42"/>
      <c r="P4605" s="40"/>
      <c r="Q4605" s="61"/>
      <c r="R4605" s="61"/>
      <c r="S4605" s="40"/>
      <c r="T4605" s="38"/>
      <c r="U4605" s="38"/>
      <c r="V4605" s="38"/>
      <c r="W4605" s="60"/>
      <c r="AB4605" s="42"/>
      <c r="AC4605" s="35"/>
      <c r="AD4605" s="38"/>
      <c r="AE4605" s="38"/>
      <c r="AF4605" s="38"/>
      <c r="AG4605" s="38"/>
      <c r="AH4605" s="60"/>
    </row>
    <row r="4606" spans="1:34" ht="15.75" customHeight="1">
      <c r="A4606" s="75">
        <v>2.5</v>
      </c>
      <c r="B4606" s="158" t="s">
        <v>16240</v>
      </c>
      <c r="C4606" s="37" t="s">
        <v>24</v>
      </c>
      <c r="D4606" s="20" t="s">
        <v>16241</v>
      </c>
      <c r="E4606" s="20" t="s">
        <v>16242</v>
      </c>
      <c r="F4606" s="19" t="s">
        <v>27</v>
      </c>
      <c r="G4606" s="19" t="s">
        <v>28</v>
      </c>
      <c r="H4606" s="37" t="s">
        <v>55</v>
      </c>
      <c r="I4606" s="37" t="s">
        <v>29</v>
      </c>
      <c r="J4606" s="155" t="str">
        <f t="shared" si="7"/>
        <v>TT</v>
      </c>
      <c r="K4606" s="22" t="s">
        <v>16243</v>
      </c>
      <c r="L4606" s="56">
        <v>45107</v>
      </c>
      <c r="O4606" s="42"/>
      <c r="P4606" s="40"/>
      <c r="Q4606" s="61"/>
      <c r="R4606" s="61"/>
      <c r="S4606" s="40"/>
      <c r="T4606" s="38"/>
      <c r="U4606" s="38"/>
      <c r="V4606" s="38"/>
      <c r="W4606" s="60"/>
      <c r="AB4606" s="42"/>
      <c r="AC4606" s="35"/>
      <c r="AD4606" s="38"/>
      <c r="AE4606" s="38"/>
      <c r="AF4606" s="38"/>
      <c r="AG4606" s="38"/>
      <c r="AH4606" s="60"/>
    </row>
    <row r="4607" spans="1:34" ht="15.75" customHeight="1">
      <c r="A4607" s="111" t="s">
        <v>73</v>
      </c>
      <c r="B4607" s="158" t="s">
        <v>16244</v>
      </c>
      <c r="C4607" s="37" t="s">
        <v>24</v>
      </c>
      <c r="D4607" s="20" t="s">
        <v>16245</v>
      </c>
      <c r="E4607" s="20" t="s">
        <v>16246</v>
      </c>
      <c r="F4607" s="19" t="s">
        <v>27</v>
      </c>
      <c r="G4607" s="19" t="s">
        <v>28</v>
      </c>
      <c r="H4607" s="19" t="s">
        <v>36</v>
      </c>
      <c r="I4607" s="37" t="s">
        <v>29</v>
      </c>
      <c r="J4607" s="155" t="str">
        <f t="shared" si="7"/>
        <v>TT</v>
      </c>
      <c r="K4607" s="22" t="s">
        <v>16247</v>
      </c>
      <c r="L4607" s="56">
        <v>45107</v>
      </c>
      <c r="O4607" s="42"/>
      <c r="P4607" s="40"/>
      <c r="Q4607" s="61"/>
      <c r="R4607" s="61"/>
      <c r="S4607" s="40"/>
      <c r="T4607" s="38"/>
      <c r="U4607" s="38"/>
      <c r="V4607" s="38"/>
      <c r="W4607" s="60"/>
      <c r="AB4607" s="42"/>
      <c r="AC4607" s="35"/>
      <c r="AD4607" s="38"/>
      <c r="AE4607" s="38"/>
      <c r="AF4607" s="38"/>
      <c r="AG4607" s="38"/>
      <c r="AH4607" s="60"/>
    </row>
    <row r="4608" spans="1:34" ht="15.75" customHeight="1">
      <c r="A4608" s="75">
        <v>3</v>
      </c>
      <c r="B4608" s="158" t="s">
        <v>16248</v>
      </c>
      <c r="C4608" s="37" t="s">
        <v>46</v>
      </c>
      <c r="D4608" s="20" t="s">
        <v>16249</v>
      </c>
      <c r="E4608" s="20" t="s">
        <v>16250</v>
      </c>
      <c r="F4608" s="37" t="s">
        <v>49</v>
      </c>
      <c r="G4608" s="19" t="s">
        <v>50</v>
      </c>
      <c r="H4608" s="37" t="s">
        <v>55</v>
      </c>
      <c r="I4608" s="37" t="s">
        <v>29</v>
      </c>
      <c r="J4608" s="155" t="str">
        <f t="shared" si="7"/>
        <v>TT</v>
      </c>
      <c r="K4608" s="22" t="s">
        <v>16251</v>
      </c>
      <c r="L4608" s="56">
        <v>45107</v>
      </c>
      <c r="O4608" s="42"/>
      <c r="P4608" s="40"/>
      <c r="Q4608" s="61"/>
      <c r="R4608" s="61"/>
      <c r="S4608" s="40"/>
      <c r="T4608" s="38"/>
      <c r="U4608" s="38"/>
      <c r="V4608" s="38"/>
      <c r="W4608" s="60"/>
      <c r="AB4608" s="42"/>
      <c r="AC4608" s="35"/>
      <c r="AD4608" s="38"/>
      <c r="AE4608" s="38"/>
      <c r="AF4608" s="38"/>
      <c r="AG4608" s="38"/>
      <c r="AH4608" s="60"/>
    </row>
    <row r="4609" spans="1:34" ht="15.75" customHeight="1">
      <c r="A4609" s="111" t="s">
        <v>82</v>
      </c>
      <c r="B4609" s="158" t="s">
        <v>16252</v>
      </c>
      <c r="C4609" s="37" t="s">
        <v>24</v>
      </c>
      <c r="D4609" s="20" t="s">
        <v>16253</v>
      </c>
      <c r="E4609" s="20" t="s">
        <v>16254</v>
      </c>
      <c r="F4609" s="19" t="s">
        <v>27</v>
      </c>
      <c r="G4609" s="19" t="s">
        <v>28</v>
      </c>
      <c r="H4609" s="37" t="s">
        <v>55</v>
      </c>
      <c r="I4609" s="37" t="s">
        <v>29</v>
      </c>
      <c r="J4609" s="155" t="str">
        <f t="shared" si="7"/>
        <v>TT</v>
      </c>
      <c r="K4609" s="22" t="s">
        <v>16255</v>
      </c>
      <c r="L4609" s="56">
        <v>45107</v>
      </c>
      <c r="O4609" s="42"/>
      <c r="P4609" s="40"/>
      <c r="Q4609" s="61"/>
      <c r="R4609" s="61"/>
      <c r="S4609" s="40"/>
      <c r="T4609" s="38"/>
      <c r="U4609" s="38"/>
      <c r="V4609" s="38"/>
      <c r="W4609" s="60"/>
      <c r="AB4609" s="42"/>
      <c r="AC4609" s="35"/>
      <c r="AD4609" s="38"/>
      <c r="AE4609" s="38"/>
      <c r="AF4609" s="38"/>
      <c r="AG4609" s="38"/>
      <c r="AH4609" s="60"/>
    </row>
    <row r="4610" spans="1:34" ht="15.75" customHeight="1">
      <c r="A4610" s="112" t="s">
        <v>16256</v>
      </c>
      <c r="B4610" s="158" t="s">
        <v>16257</v>
      </c>
      <c r="C4610" s="37" t="s">
        <v>87</v>
      </c>
      <c r="D4610" s="20" t="s">
        <v>16258</v>
      </c>
      <c r="E4610" s="20" t="s">
        <v>16259</v>
      </c>
      <c r="F4610" s="19" t="s">
        <v>90</v>
      </c>
      <c r="G4610" s="19" t="s">
        <v>91</v>
      </c>
      <c r="H4610" s="37" t="s">
        <v>55</v>
      </c>
      <c r="I4610" s="37" t="s">
        <v>29</v>
      </c>
      <c r="J4610" s="155" t="str">
        <f t="shared" si="7"/>
        <v>TT</v>
      </c>
      <c r="K4610" s="22" t="s">
        <v>16260</v>
      </c>
      <c r="L4610" s="56">
        <v>45107</v>
      </c>
      <c r="O4610" s="42"/>
      <c r="P4610" s="40"/>
      <c r="Q4610" s="61"/>
      <c r="R4610" s="61"/>
      <c r="S4610" s="40"/>
      <c r="T4610" s="38"/>
      <c r="U4610" s="38"/>
      <c r="V4610" s="38"/>
      <c r="W4610" s="60"/>
      <c r="AB4610" s="42"/>
      <c r="AC4610" s="35"/>
      <c r="AD4610" s="38"/>
      <c r="AE4610" s="38"/>
      <c r="AF4610" s="38"/>
      <c r="AG4610" s="38"/>
      <c r="AH4610" s="60"/>
    </row>
    <row r="4611" spans="1:34" ht="15.75" customHeight="1">
      <c r="A4611" s="111" t="s">
        <v>92</v>
      </c>
      <c r="B4611" s="158" t="s">
        <v>16261</v>
      </c>
      <c r="C4611" s="37" t="s">
        <v>24</v>
      </c>
      <c r="D4611" s="20" t="s">
        <v>16262</v>
      </c>
      <c r="E4611" s="20" t="s">
        <v>16263</v>
      </c>
      <c r="F4611" s="19" t="s">
        <v>27</v>
      </c>
      <c r="G4611" s="19" t="s">
        <v>28</v>
      </c>
      <c r="H4611" s="37" t="s">
        <v>55</v>
      </c>
      <c r="I4611" s="37" t="s">
        <v>29</v>
      </c>
      <c r="J4611" s="155" t="str">
        <f t="shared" si="7"/>
        <v>TT</v>
      </c>
      <c r="K4611" s="22" t="s">
        <v>16264</v>
      </c>
      <c r="L4611" s="56">
        <v>45107</v>
      </c>
      <c r="O4611" s="42"/>
      <c r="P4611" s="40"/>
      <c r="Q4611" s="61"/>
      <c r="R4611" s="61"/>
      <c r="S4611" s="40"/>
      <c r="T4611" s="38"/>
      <c r="U4611" s="38"/>
      <c r="V4611" s="38"/>
      <c r="W4611" s="60"/>
      <c r="AB4611" s="42"/>
      <c r="AC4611" s="35"/>
      <c r="AD4611" s="38"/>
      <c r="AE4611" s="38"/>
      <c r="AF4611" s="38"/>
      <c r="AG4611" s="38"/>
      <c r="AH4611" s="60"/>
    </row>
    <row r="4612" spans="1:34" ht="15.75" customHeight="1">
      <c r="A4612" s="17">
        <v>427</v>
      </c>
      <c r="B4612" s="158" t="s">
        <v>16265</v>
      </c>
      <c r="C4612" s="37" t="s">
        <v>24</v>
      </c>
      <c r="D4612" s="20" t="s">
        <v>16266</v>
      </c>
      <c r="E4612" s="20" t="s">
        <v>16267</v>
      </c>
      <c r="F4612" s="19" t="s">
        <v>27</v>
      </c>
      <c r="G4612" s="19" t="s">
        <v>28</v>
      </c>
      <c r="H4612" s="19" t="s">
        <v>36</v>
      </c>
      <c r="I4612" s="37" t="s">
        <v>29</v>
      </c>
      <c r="J4612" s="155" t="str">
        <f t="shared" si="7"/>
        <v>TT</v>
      </c>
      <c r="K4612" s="22" t="s">
        <v>16268</v>
      </c>
      <c r="L4612" s="56">
        <v>45107</v>
      </c>
      <c r="O4612" s="42"/>
      <c r="P4612" s="40"/>
      <c r="Q4612" s="61"/>
      <c r="R4612" s="61"/>
      <c r="S4612" s="40"/>
      <c r="T4612" s="38"/>
      <c r="U4612" s="38"/>
      <c r="V4612" s="38"/>
      <c r="W4612" s="60"/>
      <c r="AB4612" s="42"/>
      <c r="AC4612" s="35"/>
      <c r="AD4612" s="38"/>
      <c r="AE4612" s="38"/>
      <c r="AF4612" s="38"/>
      <c r="AG4612" s="38"/>
      <c r="AH4612" s="60"/>
    </row>
    <row r="4613" spans="1:34" ht="15.75" customHeight="1">
      <c r="A4613" s="111" t="s">
        <v>100</v>
      </c>
      <c r="B4613" s="158" t="s">
        <v>16269</v>
      </c>
      <c r="C4613" s="37" t="s">
        <v>46</v>
      </c>
      <c r="D4613" s="20" t="s">
        <v>16270</v>
      </c>
      <c r="E4613" s="20" t="s">
        <v>16271</v>
      </c>
      <c r="F4613" s="37" t="s">
        <v>49</v>
      </c>
      <c r="G4613" s="19" t="s">
        <v>50</v>
      </c>
      <c r="H4613" s="37" t="s">
        <v>55</v>
      </c>
      <c r="I4613" s="37" t="s">
        <v>29</v>
      </c>
      <c r="J4613" s="155" t="str">
        <f t="shared" si="7"/>
        <v>TT</v>
      </c>
      <c r="K4613" s="22" t="s">
        <v>16272</v>
      </c>
      <c r="L4613" s="56">
        <v>45107</v>
      </c>
      <c r="O4613" s="42"/>
      <c r="P4613" s="40"/>
      <c r="Q4613" s="61"/>
      <c r="R4613" s="61"/>
      <c r="S4613" s="40"/>
      <c r="T4613" s="38"/>
      <c r="U4613" s="38"/>
      <c r="V4613" s="38"/>
      <c r="W4613" s="60"/>
      <c r="AB4613" s="42"/>
      <c r="AC4613" s="35"/>
      <c r="AD4613" s="38"/>
      <c r="AE4613" s="38"/>
      <c r="AF4613" s="38"/>
      <c r="AG4613" s="38"/>
      <c r="AH4613" s="60"/>
    </row>
    <row r="4614" spans="1:34" ht="15.75" customHeight="1">
      <c r="A4614" s="17">
        <v>159</v>
      </c>
      <c r="B4614" s="158" t="s">
        <v>16273</v>
      </c>
      <c r="C4614" s="37" t="s">
        <v>46</v>
      </c>
      <c r="D4614" s="20" t="s">
        <v>16274</v>
      </c>
      <c r="E4614" s="20" t="s">
        <v>16275</v>
      </c>
      <c r="F4614" s="37" t="s">
        <v>49</v>
      </c>
      <c r="G4614" s="19" t="s">
        <v>50</v>
      </c>
      <c r="H4614" s="37" t="s">
        <v>55</v>
      </c>
      <c r="I4614" s="37" t="s">
        <v>29</v>
      </c>
      <c r="J4614" s="155" t="str">
        <f t="shared" si="7"/>
        <v>TT</v>
      </c>
      <c r="K4614" s="22" t="s">
        <v>16276</v>
      </c>
      <c r="L4614" s="56">
        <v>45107</v>
      </c>
      <c r="O4614" s="42"/>
      <c r="P4614" s="40"/>
      <c r="Q4614" s="61"/>
      <c r="R4614" s="61"/>
      <c r="S4614" s="40"/>
      <c r="T4614" s="38"/>
      <c r="U4614" s="38"/>
      <c r="V4614" s="38"/>
      <c r="W4614" s="60"/>
      <c r="AB4614" s="42"/>
      <c r="AC4614" s="35"/>
      <c r="AD4614" s="38"/>
      <c r="AE4614" s="38"/>
      <c r="AF4614" s="38"/>
      <c r="AG4614" s="38"/>
      <c r="AH4614" s="60"/>
    </row>
    <row r="4615" spans="1:34" ht="15.75" customHeight="1">
      <c r="A4615" s="35"/>
      <c r="B4615" s="158" t="s">
        <v>16277</v>
      </c>
      <c r="C4615" s="37" t="s">
        <v>24</v>
      </c>
      <c r="D4615" s="20" t="s">
        <v>16278</v>
      </c>
      <c r="E4615" s="20" t="s">
        <v>16279</v>
      </c>
      <c r="F4615" s="19" t="s">
        <v>27</v>
      </c>
      <c r="G4615" s="19" t="s">
        <v>28</v>
      </c>
      <c r="H4615" s="19" t="s">
        <v>36</v>
      </c>
      <c r="I4615" s="37" t="s">
        <v>29</v>
      </c>
      <c r="J4615" s="155" t="str">
        <f t="shared" si="7"/>
        <v>TT</v>
      </c>
      <c r="K4615" s="22" t="s">
        <v>16280</v>
      </c>
      <c r="L4615" s="56">
        <v>45107</v>
      </c>
      <c r="O4615" s="42"/>
      <c r="P4615" s="40"/>
      <c r="Q4615" s="61"/>
      <c r="R4615" s="61"/>
      <c r="S4615" s="40"/>
      <c r="T4615" s="38"/>
      <c r="U4615" s="38"/>
      <c r="V4615" s="38"/>
      <c r="W4615" s="60"/>
      <c r="AB4615" s="42"/>
      <c r="AC4615" s="35"/>
      <c r="AD4615" s="38"/>
      <c r="AE4615" s="38"/>
      <c r="AF4615" s="38"/>
      <c r="AG4615" s="38"/>
      <c r="AH4615" s="60"/>
    </row>
    <row r="4616" spans="1:34" ht="15.75" customHeight="1">
      <c r="A4616" s="35"/>
      <c r="B4616" s="158" t="s">
        <v>16281</v>
      </c>
      <c r="C4616" s="37" t="s">
        <v>412</v>
      </c>
      <c r="D4616" s="20" t="s">
        <v>16282</v>
      </c>
      <c r="E4616" s="20"/>
      <c r="F4616" s="19" t="s">
        <v>414</v>
      </c>
      <c r="G4616" s="19" t="s">
        <v>415</v>
      </c>
      <c r="H4616" s="37" t="s">
        <v>55</v>
      </c>
      <c r="I4616" s="37" t="s">
        <v>233</v>
      </c>
      <c r="J4616" s="155" t="str">
        <f t="shared" si="7"/>
        <v>NTT</v>
      </c>
      <c r="K4616" s="22"/>
      <c r="L4616" s="56">
        <v>45107</v>
      </c>
      <c r="O4616" s="42"/>
      <c r="P4616" s="40"/>
      <c r="Q4616" s="61"/>
      <c r="R4616" s="61"/>
      <c r="S4616" s="40"/>
      <c r="T4616" s="38"/>
      <c r="U4616" s="38"/>
      <c r="V4616" s="38"/>
      <c r="W4616" s="60"/>
      <c r="AB4616" s="42"/>
      <c r="AC4616" s="35"/>
      <c r="AD4616" s="38"/>
      <c r="AE4616" s="38"/>
      <c r="AF4616" s="38"/>
      <c r="AG4616" s="38"/>
      <c r="AH4616" s="60"/>
    </row>
    <row r="4617" spans="1:34" ht="15.75" customHeight="1">
      <c r="A4617" s="35"/>
      <c r="B4617" s="158" t="s">
        <v>16283</v>
      </c>
      <c r="C4617" s="37" t="s">
        <v>87</v>
      </c>
      <c r="D4617" s="20" t="s">
        <v>16284</v>
      </c>
      <c r="E4617" s="20" t="s">
        <v>16285</v>
      </c>
      <c r="F4617" s="19" t="s">
        <v>90</v>
      </c>
      <c r="G4617" s="19" t="s">
        <v>91</v>
      </c>
      <c r="H4617" s="37" t="s">
        <v>55</v>
      </c>
      <c r="I4617" s="37" t="s">
        <v>29</v>
      </c>
      <c r="J4617" s="155" t="str">
        <f t="shared" si="7"/>
        <v>TT</v>
      </c>
      <c r="K4617" s="22" t="s">
        <v>16286</v>
      </c>
      <c r="L4617" s="56">
        <v>45107</v>
      </c>
      <c r="O4617" s="42"/>
      <c r="P4617" s="40"/>
      <c r="Q4617" s="61"/>
      <c r="R4617" s="61"/>
      <c r="S4617" s="40"/>
      <c r="T4617" s="38"/>
      <c r="U4617" s="38"/>
      <c r="V4617" s="38"/>
      <c r="W4617" s="60"/>
      <c r="AB4617" s="42"/>
      <c r="AC4617" s="35"/>
      <c r="AD4617" s="38"/>
      <c r="AE4617" s="38"/>
      <c r="AF4617" s="38"/>
      <c r="AG4617" s="38"/>
      <c r="AH4617" s="60"/>
    </row>
    <row r="4618" spans="1:34" ht="15.75" customHeight="1">
      <c r="A4618" s="35"/>
      <c r="B4618" s="158" t="s">
        <v>16287</v>
      </c>
      <c r="C4618" s="37" t="s">
        <v>46</v>
      </c>
      <c r="D4618" s="20" t="s">
        <v>16288</v>
      </c>
      <c r="E4618" s="20" t="s">
        <v>16289</v>
      </c>
      <c r="F4618" s="37" t="s">
        <v>49</v>
      </c>
      <c r="G4618" s="19" t="s">
        <v>50</v>
      </c>
      <c r="H4618" s="37" t="s">
        <v>55</v>
      </c>
      <c r="I4618" s="37" t="s">
        <v>29</v>
      </c>
      <c r="J4618" s="155" t="str">
        <f t="shared" si="7"/>
        <v>TT</v>
      </c>
      <c r="K4618" s="22" t="s">
        <v>16290</v>
      </c>
      <c r="L4618" s="56">
        <v>45107</v>
      </c>
      <c r="O4618" s="42"/>
      <c r="P4618" s="40"/>
      <c r="Q4618" s="61"/>
      <c r="R4618" s="61"/>
      <c r="S4618" s="40"/>
      <c r="T4618" s="38"/>
      <c r="U4618" s="38"/>
      <c r="V4618" s="38"/>
      <c r="W4618" s="60"/>
      <c r="AB4618" s="42"/>
      <c r="AC4618" s="35"/>
      <c r="AD4618" s="38"/>
      <c r="AE4618" s="38"/>
      <c r="AF4618" s="38"/>
      <c r="AG4618" s="38"/>
      <c r="AH4618" s="60"/>
    </row>
    <row r="4619" spans="1:34" ht="15.75" customHeight="1">
      <c r="A4619" s="35"/>
      <c r="B4619" s="158" t="s">
        <v>16291</v>
      </c>
      <c r="C4619" s="37" t="s">
        <v>24</v>
      </c>
      <c r="D4619" s="20" t="s">
        <v>16292</v>
      </c>
      <c r="E4619" s="20" t="s">
        <v>16293</v>
      </c>
      <c r="F4619" s="19" t="s">
        <v>27</v>
      </c>
      <c r="G4619" s="19" t="s">
        <v>28</v>
      </c>
      <c r="H4619" s="37" t="s">
        <v>55</v>
      </c>
      <c r="I4619" s="37" t="s">
        <v>29</v>
      </c>
      <c r="J4619" s="155" t="str">
        <f t="shared" si="7"/>
        <v>TT</v>
      </c>
      <c r="K4619" s="22" t="s">
        <v>16294</v>
      </c>
      <c r="L4619" s="56">
        <v>45107</v>
      </c>
      <c r="O4619" s="42"/>
      <c r="P4619" s="40"/>
      <c r="Q4619" s="61"/>
      <c r="R4619" s="61"/>
      <c r="S4619" s="40"/>
      <c r="T4619" s="38"/>
      <c r="U4619" s="38"/>
      <c r="V4619" s="38"/>
      <c r="W4619" s="60"/>
      <c r="AB4619" s="42"/>
      <c r="AC4619" s="35"/>
      <c r="AD4619" s="38"/>
      <c r="AE4619" s="38"/>
      <c r="AF4619" s="38"/>
      <c r="AG4619" s="38"/>
      <c r="AH4619" s="60"/>
    </row>
    <row r="4620" spans="1:34" ht="15.75" customHeight="1">
      <c r="A4620" s="35"/>
      <c r="B4620" s="158" t="s">
        <v>16295</v>
      </c>
      <c r="C4620" s="37" t="s">
        <v>412</v>
      </c>
      <c r="D4620" s="20" t="s">
        <v>16296</v>
      </c>
      <c r="E4620" s="20"/>
      <c r="F4620" s="19" t="s">
        <v>414</v>
      </c>
      <c r="G4620" s="37" t="s">
        <v>415</v>
      </c>
      <c r="H4620" s="37" t="s">
        <v>55</v>
      </c>
      <c r="I4620" s="37" t="s">
        <v>233</v>
      </c>
      <c r="J4620" s="155" t="str">
        <f t="shared" si="7"/>
        <v>NTT</v>
      </c>
      <c r="K4620" s="22"/>
      <c r="L4620" s="56">
        <v>45107</v>
      </c>
      <c r="O4620" s="42"/>
      <c r="P4620" s="40"/>
      <c r="Q4620" s="61"/>
      <c r="R4620" s="61"/>
      <c r="S4620" s="40"/>
      <c r="T4620" s="38"/>
      <c r="U4620" s="38"/>
      <c r="V4620" s="38"/>
      <c r="W4620" s="60"/>
      <c r="AB4620" s="42"/>
      <c r="AC4620" s="35"/>
      <c r="AD4620" s="38"/>
      <c r="AE4620" s="38"/>
      <c r="AF4620" s="38"/>
      <c r="AG4620" s="38"/>
      <c r="AH4620" s="60"/>
    </row>
    <row r="4621" spans="1:34" ht="15.75" customHeight="1">
      <c r="A4621" s="35"/>
      <c r="B4621" s="158" t="s">
        <v>16297</v>
      </c>
      <c r="C4621" s="37" t="s">
        <v>24</v>
      </c>
      <c r="D4621" s="20" t="s">
        <v>16298</v>
      </c>
      <c r="E4621" s="20" t="s">
        <v>16299</v>
      </c>
      <c r="F4621" s="19" t="s">
        <v>27</v>
      </c>
      <c r="G4621" s="19" t="s">
        <v>28</v>
      </c>
      <c r="H4621" s="37" t="s">
        <v>55</v>
      </c>
      <c r="I4621" s="37" t="s">
        <v>29</v>
      </c>
      <c r="J4621" s="155" t="str">
        <f t="shared" si="7"/>
        <v>TT</v>
      </c>
      <c r="K4621" s="22" t="s">
        <v>16300</v>
      </c>
      <c r="L4621" s="56">
        <v>45107</v>
      </c>
      <c r="O4621" s="42"/>
      <c r="P4621" s="40"/>
      <c r="Q4621" s="61"/>
      <c r="R4621" s="61"/>
      <c r="S4621" s="40"/>
      <c r="T4621" s="38"/>
      <c r="U4621" s="38"/>
      <c r="V4621" s="38"/>
      <c r="W4621" s="60"/>
      <c r="AB4621" s="42"/>
      <c r="AC4621" s="35"/>
      <c r="AD4621" s="38"/>
      <c r="AE4621" s="38"/>
      <c r="AF4621" s="38"/>
      <c r="AG4621" s="38"/>
      <c r="AH4621" s="60"/>
    </row>
    <row r="4622" spans="1:34" ht="15.75" customHeight="1">
      <c r="A4622" s="35"/>
      <c r="B4622" s="158" t="s">
        <v>16301</v>
      </c>
      <c r="C4622" s="37" t="s">
        <v>87</v>
      </c>
      <c r="D4622" s="20" t="s">
        <v>16302</v>
      </c>
      <c r="E4622" s="20" t="s">
        <v>16303</v>
      </c>
      <c r="F4622" s="19" t="s">
        <v>90</v>
      </c>
      <c r="G4622" s="19" t="s">
        <v>91</v>
      </c>
      <c r="H4622" s="37" t="s">
        <v>55</v>
      </c>
      <c r="I4622" s="37" t="s">
        <v>29</v>
      </c>
      <c r="J4622" s="155" t="str">
        <f t="shared" si="7"/>
        <v>TT</v>
      </c>
      <c r="K4622" s="22" t="s">
        <v>16304</v>
      </c>
      <c r="L4622" s="56">
        <v>45107</v>
      </c>
      <c r="O4622" s="42"/>
      <c r="P4622" s="40"/>
      <c r="Q4622" s="61"/>
      <c r="R4622" s="61"/>
      <c r="S4622" s="40"/>
      <c r="T4622" s="38"/>
      <c r="U4622" s="38"/>
      <c r="V4622" s="38"/>
      <c r="W4622" s="60"/>
      <c r="AB4622" s="42"/>
      <c r="AC4622" s="35"/>
      <c r="AD4622" s="38"/>
      <c r="AE4622" s="38"/>
      <c r="AF4622" s="38"/>
      <c r="AG4622" s="38"/>
      <c r="AH4622" s="60"/>
    </row>
    <row r="4623" spans="1:34" ht="15.75" customHeight="1">
      <c r="A4623" s="35"/>
      <c r="B4623" s="158" t="s">
        <v>16305</v>
      </c>
      <c r="C4623" s="37" t="s">
        <v>24</v>
      </c>
      <c r="D4623" s="20" t="s">
        <v>16306</v>
      </c>
      <c r="E4623" s="20" t="s">
        <v>16307</v>
      </c>
      <c r="F4623" s="19" t="s">
        <v>27</v>
      </c>
      <c r="G4623" s="19" t="s">
        <v>28</v>
      </c>
      <c r="H4623" s="37" t="s">
        <v>55</v>
      </c>
      <c r="I4623" s="37" t="s">
        <v>29</v>
      </c>
      <c r="J4623" s="155" t="str">
        <f t="shared" si="7"/>
        <v>TT</v>
      </c>
      <c r="K4623" s="22" t="s">
        <v>16308</v>
      </c>
      <c r="L4623" s="56">
        <v>45107</v>
      </c>
      <c r="O4623" s="42"/>
      <c r="P4623" s="40"/>
      <c r="Q4623" s="61"/>
      <c r="R4623" s="61"/>
      <c r="S4623" s="40"/>
      <c r="T4623" s="38"/>
      <c r="U4623" s="38"/>
      <c r="V4623" s="38"/>
      <c r="W4623" s="60"/>
      <c r="AB4623" s="42"/>
      <c r="AC4623" s="35"/>
      <c r="AD4623" s="38"/>
      <c r="AE4623" s="38"/>
      <c r="AF4623" s="38"/>
      <c r="AG4623" s="38"/>
      <c r="AH4623" s="60"/>
    </row>
    <row r="4624" spans="1:34" ht="15.75" customHeight="1">
      <c r="A4624" s="35"/>
      <c r="B4624" s="158" t="s">
        <v>16240</v>
      </c>
      <c r="C4624" s="37" t="s">
        <v>24</v>
      </c>
      <c r="D4624" s="20" t="s">
        <v>16241</v>
      </c>
      <c r="E4624" s="61" t="s">
        <v>16309</v>
      </c>
      <c r="F4624" s="19" t="s">
        <v>27</v>
      </c>
      <c r="G4624" s="19" t="s">
        <v>28</v>
      </c>
      <c r="H4624" s="37" t="s">
        <v>55</v>
      </c>
      <c r="I4624" s="37" t="s">
        <v>29</v>
      </c>
      <c r="J4624" s="155" t="str">
        <f t="shared" si="7"/>
        <v>TT</v>
      </c>
      <c r="K4624" s="61" t="s">
        <v>16310</v>
      </c>
      <c r="L4624" s="56">
        <v>45107</v>
      </c>
      <c r="O4624" s="42"/>
      <c r="P4624" s="40"/>
      <c r="Q4624" s="61"/>
      <c r="R4624" s="61"/>
      <c r="S4624" s="40"/>
      <c r="T4624" s="38"/>
      <c r="U4624" s="38"/>
      <c r="V4624" s="38"/>
      <c r="W4624" s="60"/>
      <c r="AB4624" s="42"/>
      <c r="AC4624" s="35"/>
      <c r="AD4624" s="38"/>
      <c r="AE4624" s="38"/>
      <c r="AF4624" s="38"/>
      <c r="AG4624" s="38"/>
      <c r="AH4624" s="60"/>
    </row>
    <row r="4625" spans="1:34" ht="15.75" customHeight="1">
      <c r="A4625" s="35"/>
      <c r="B4625" s="38"/>
      <c r="C4625" s="19"/>
      <c r="D4625" s="20"/>
      <c r="E4625" s="20"/>
      <c r="F4625" s="19"/>
      <c r="G4625" s="19"/>
      <c r="H4625" s="19"/>
      <c r="I4625" s="21"/>
      <c r="J4625" s="155">
        <f t="shared" si="7"/>
        <v>0</v>
      </c>
      <c r="K4625" s="22"/>
      <c r="L4625" s="39"/>
      <c r="O4625" s="42"/>
      <c r="P4625" s="40"/>
      <c r="Q4625" s="61"/>
      <c r="R4625" s="61"/>
      <c r="S4625" s="40"/>
      <c r="T4625" s="38"/>
      <c r="U4625" s="38"/>
      <c r="V4625" s="38"/>
      <c r="W4625" s="60"/>
      <c r="AB4625" s="42"/>
      <c r="AC4625" s="35"/>
      <c r="AD4625" s="38"/>
      <c r="AE4625" s="38"/>
      <c r="AF4625" s="38"/>
      <c r="AG4625" s="38"/>
      <c r="AH4625" s="60"/>
    </row>
    <row r="4626" spans="1:34" ht="15.75" customHeight="1">
      <c r="A4626" s="244" t="s">
        <v>16311</v>
      </c>
      <c r="B4626" s="158" t="s">
        <v>16312</v>
      </c>
      <c r="C4626" s="37" t="s">
        <v>24</v>
      </c>
      <c r="D4626" s="20" t="s">
        <v>16313</v>
      </c>
      <c r="E4626" s="20" t="s">
        <v>16314</v>
      </c>
      <c r="F4626" s="19" t="s">
        <v>27</v>
      </c>
      <c r="G4626" s="19" t="s">
        <v>28</v>
      </c>
      <c r="H4626" s="37" t="s">
        <v>55</v>
      </c>
      <c r="I4626" s="37" t="s">
        <v>29</v>
      </c>
      <c r="J4626" s="155" t="str">
        <f t="shared" si="7"/>
        <v>TT</v>
      </c>
      <c r="K4626" s="22" t="s">
        <v>16315</v>
      </c>
      <c r="L4626" s="56">
        <v>45107</v>
      </c>
      <c r="M4626" s="40"/>
      <c r="O4626" s="42"/>
      <c r="P4626" s="40"/>
      <c r="Q4626" s="61"/>
      <c r="R4626" s="61"/>
      <c r="S4626" s="40"/>
      <c r="T4626" s="38"/>
      <c r="U4626" s="38"/>
      <c r="V4626" s="38"/>
      <c r="W4626" s="60"/>
      <c r="AB4626" s="42"/>
      <c r="AC4626" s="35"/>
      <c r="AD4626" s="38"/>
      <c r="AE4626" s="38"/>
      <c r="AF4626" s="38"/>
      <c r="AG4626" s="38"/>
      <c r="AH4626" s="60"/>
    </row>
    <row r="4627" spans="1:34" ht="15.75" customHeight="1">
      <c r="A4627" s="54" t="s">
        <v>2714</v>
      </c>
      <c r="B4627" s="158" t="s">
        <v>16316</v>
      </c>
      <c r="C4627" s="37" t="s">
        <v>46</v>
      </c>
      <c r="D4627" s="20" t="s">
        <v>16317</v>
      </c>
      <c r="E4627" s="20" t="s">
        <v>16318</v>
      </c>
      <c r="F4627" s="37" t="s">
        <v>49</v>
      </c>
      <c r="G4627" s="19" t="s">
        <v>50</v>
      </c>
      <c r="H4627" s="37" t="s">
        <v>55</v>
      </c>
      <c r="I4627" s="37" t="s">
        <v>29</v>
      </c>
      <c r="J4627" s="155" t="str">
        <f t="shared" si="7"/>
        <v>TT</v>
      </c>
      <c r="K4627" s="22" t="s">
        <v>16319</v>
      </c>
      <c r="L4627" s="56">
        <v>45107</v>
      </c>
      <c r="O4627" s="42"/>
      <c r="P4627" s="40"/>
      <c r="Q4627" s="61"/>
      <c r="R4627" s="61"/>
      <c r="S4627" s="40"/>
      <c r="T4627" s="38"/>
      <c r="U4627" s="38"/>
      <c r="V4627" s="38"/>
      <c r="W4627" s="60"/>
      <c r="AB4627" s="42"/>
      <c r="AC4627" s="35"/>
      <c r="AD4627" s="38"/>
      <c r="AE4627" s="38"/>
      <c r="AF4627" s="38"/>
      <c r="AG4627" s="38"/>
      <c r="AH4627" s="60"/>
    </row>
    <row r="4628" spans="1:34" ht="15.75" customHeight="1">
      <c r="A4628" s="114" t="s">
        <v>39</v>
      </c>
      <c r="B4628" s="158" t="s">
        <v>16320</v>
      </c>
      <c r="C4628" s="37" t="s">
        <v>87</v>
      </c>
      <c r="D4628" s="20" t="s">
        <v>16321</v>
      </c>
      <c r="E4628" s="20" t="s">
        <v>16322</v>
      </c>
      <c r="F4628" s="19" t="s">
        <v>90</v>
      </c>
      <c r="G4628" s="19" t="s">
        <v>91</v>
      </c>
      <c r="H4628" s="37" t="s">
        <v>55</v>
      </c>
      <c r="I4628" s="37" t="s">
        <v>29</v>
      </c>
      <c r="J4628" s="155" t="str">
        <f t="shared" si="7"/>
        <v>TT</v>
      </c>
      <c r="K4628" s="22" t="s">
        <v>16323</v>
      </c>
      <c r="L4628" s="56">
        <v>45107</v>
      </c>
      <c r="O4628" s="42"/>
      <c r="P4628" s="40"/>
      <c r="Q4628" s="61"/>
      <c r="R4628" s="61"/>
      <c r="S4628" s="40"/>
      <c r="T4628" s="38"/>
      <c r="U4628" s="38"/>
      <c r="V4628" s="38"/>
      <c r="W4628" s="60"/>
      <c r="AB4628" s="42"/>
      <c r="AC4628" s="35"/>
      <c r="AD4628" s="38"/>
      <c r="AE4628" s="38"/>
      <c r="AF4628" s="38"/>
      <c r="AG4628" s="38"/>
      <c r="AH4628" s="60"/>
    </row>
    <row r="4629" spans="1:34" ht="15.75" customHeight="1">
      <c r="A4629" s="38" t="s">
        <v>16024</v>
      </c>
      <c r="B4629" s="158" t="s">
        <v>16324</v>
      </c>
      <c r="C4629" s="37" t="s">
        <v>1430</v>
      </c>
      <c r="D4629" s="20" t="s">
        <v>16325</v>
      </c>
      <c r="E4629" s="20" t="s">
        <v>16326</v>
      </c>
      <c r="F4629" s="55" t="s">
        <v>1445</v>
      </c>
      <c r="G4629" s="55" t="s">
        <v>1432</v>
      </c>
      <c r="H4629" s="37" t="s">
        <v>55</v>
      </c>
      <c r="I4629" s="37" t="s">
        <v>233</v>
      </c>
      <c r="J4629" s="155" t="str">
        <f t="shared" si="7"/>
        <v>NTT</v>
      </c>
      <c r="K4629" s="22" t="s">
        <v>16327</v>
      </c>
      <c r="L4629" s="56">
        <v>45107</v>
      </c>
      <c r="O4629" s="42"/>
      <c r="P4629" s="40"/>
      <c r="Q4629" s="61"/>
      <c r="R4629" s="61"/>
      <c r="S4629" s="40"/>
      <c r="T4629" s="38"/>
      <c r="U4629" s="38"/>
      <c r="V4629" s="38"/>
      <c r="W4629" s="60"/>
      <c r="AB4629" s="42"/>
      <c r="AC4629" s="35"/>
      <c r="AD4629" s="38"/>
      <c r="AE4629" s="38"/>
      <c r="AF4629" s="38"/>
      <c r="AG4629" s="38"/>
      <c r="AH4629" s="60"/>
    </row>
    <row r="4630" spans="1:34" ht="15.75" customHeight="1">
      <c r="A4630" s="75" t="s">
        <v>10768</v>
      </c>
      <c r="B4630" s="158" t="s">
        <v>16328</v>
      </c>
      <c r="C4630" s="143" t="s">
        <v>87</v>
      </c>
      <c r="D4630" s="20" t="s">
        <v>16329</v>
      </c>
      <c r="E4630" s="20" t="s">
        <v>16330</v>
      </c>
      <c r="F4630" s="19" t="s">
        <v>90</v>
      </c>
      <c r="G4630" s="19" t="s">
        <v>91</v>
      </c>
      <c r="H4630" s="37" t="s">
        <v>55</v>
      </c>
      <c r="I4630" s="37" t="s">
        <v>29</v>
      </c>
      <c r="J4630" s="155" t="str">
        <f t="shared" si="7"/>
        <v>TT</v>
      </c>
      <c r="K4630" s="22" t="s">
        <v>16331</v>
      </c>
      <c r="L4630" s="56">
        <v>45107</v>
      </c>
      <c r="O4630" s="42"/>
      <c r="P4630" s="40"/>
      <c r="Q4630" s="61"/>
      <c r="R4630" s="61"/>
      <c r="S4630" s="40"/>
      <c r="T4630" s="38"/>
      <c r="U4630" s="38"/>
      <c r="V4630" s="38"/>
      <c r="W4630" s="60"/>
      <c r="AB4630" s="42"/>
      <c r="AC4630" s="35"/>
      <c r="AD4630" s="38"/>
      <c r="AE4630" s="38"/>
      <c r="AF4630" s="38"/>
      <c r="AG4630" s="38"/>
      <c r="AH4630" s="60"/>
    </row>
    <row r="4631" spans="1:34" ht="15.75" customHeight="1">
      <c r="A4631" s="50" t="s">
        <v>56</v>
      </c>
      <c r="B4631" s="158" t="s">
        <v>16332</v>
      </c>
      <c r="C4631" s="37" t="s">
        <v>412</v>
      </c>
      <c r="D4631" s="20" t="s">
        <v>16333</v>
      </c>
      <c r="E4631" s="20"/>
      <c r="F4631" s="19" t="s">
        <v>414</v>
      </c>
      <c r="G4631" s="19" t="s">
        <v>415</v>
      </c>
      <c r="H4631" s="37" t="s">
        <v>55</v>
      </c>
      <c r="I4631" s="37" t="s">
        <v>233</v>
      </c>
      <c r="J4631" s="155" t="str">
        <f t="shared" si="7"/>
        <v>NTT</v>
      </c>
      <c r="K4631" s="22"/>
      <c r="L4631" s="56">
        <v>45107</v>
      </c>
      <c r="O4631" s="42"/>
      <c r="P4631" s="40"/>
      <c r="Q4631" s="61"/>
      <c r="R4631" s="61"/>
      <c r="S4631" s="40"/>
      <c r="T4631" s="38"/>
      <c r="U4631" s="38"/>
      <c r="V4631" s="38"/>
      <c r="W4631" s="60"/>
      <c r="AB4631" s="42"/>
      <c r="AC4631" s="35"/>
      <c r="AD4631" s="38"/>
      <c r="AE4631" s="38"/>
      <c r="AF4631" s="38"/>
      <c r="AG4631" s="38"/>
      <c r="AH4631" s="60"/>
    </row>
    <row r="4632" spans="1:34" ht="15.75" customHeight="1">
      <c r="A4632" s="17">
        <v>51</v>
      </c>
      <c r="B4632" s="158" t="s">
        <v>16334</v>
      </c>
      <c r="C4632" s="37" t="s">
        <v>46</v>
      </c>
      <c r="D4632" s="20" t="s">
        <v>16335</v>
      </c>
      <c r="E4632" s="20" t="s">
        <v>16336</v>
      </c>
      <c r="F4632" s="37" t="s">
        <v>49</v>
      </c>
      <c r="G4632" s="19" t="s">
        <v>50</v>
      </c>
      <c r="H4632" s="37" t="s">
        <v>55</v>
      </c>
      <c r="I4632" s="37" t="s">
        <v>29</v>
      </c>
      <c r="J4632" s="155" t="str">
        <f t="shared" si="7"/>
        <v>TT</v>
      </c>
      <c r="K4632" s="22" t="s">
        <v>16337</v>
      </c>
      <c r="L4632" s="56">
        <v>45107</v>
      </c>
      <c r="O4632" s="42"/>
      <c r="P4632" s="40"/>
      <c r="Q4632" s="61"/>
      <c r="R4632" s="61"/>
      <c r="S4632" s="40"/>
      <c r="T4632" s="38"/>
      <c r="U4632" s="38"/>
      <c r="V4632" s="38"/>
      <c r="W4632" s="60"/>
      <c r="AB4632" s="42"/>
      <c r="AC4632" s="35"/>
      <c r="AD4632" s="38"/>
      <c r="AE4632" s="38"/>
      <c r="AF4632" s="38"/>
      <c r="AG4632" s="38"/>
      <c r="AH4632" s="60"/>
    </row>
    <row r="4633" spans="1:34" ht="15.75" customHeight="1">
      <c r="A4633" s="111" t="s">
        <v>64</v>
      </c>
      <c r="B4633" s="38" t="s">
        <v>16338</v>
      </c>
      <c r="C4633" s="37" t="s">
        <v>412</v>
      </c>
      <c r="D4633" s="20" t="s">
        <v>12158</v>
      </c>
      <c r="E4633" s="20"/>
      <c r="F4633" s="19" t="s">
        <v>414</v>
      </c>
      <c r="G4633" s="37" t="s">
        <v>415</v>
      </c>
      <c r="H4633" s="37" t="s">
        <v>55</v>
      </c>
      <c r="I4633" s="37" t="s">
        <v>233</v>
      </c>
      <c r="J4633" s="155" t="str">
        <f t="shared" si="7"/>
        <v>NTT</v>
      </c>
      <c r="K4633" s="22"/>
      <c r="L4633" s="56">
        <v>45107</v>
      </c>
      <c r="O4633" s="42"/>
      <c r="P4633" s="40"/>
      <c r="Q4633" s="61"/>
      <c r="R4633" s="61"/>
      <c r="S4633" s="40"/>
      <c r="T4633" s="38"/>
      <c r="U4633" s="38"/>
      <c r="V4633" s="38"/>
      <c r="W4633" s="60"/>
      <c r="AB4633" s="42"/>
      <c r="AC4633" s="35"/>
      <c r="AD4633" s="38"/>
      <c r="AE4633" s="38"/>
      <c r="AF4633" s="38"/>
      <c r="AG4633" s="38"/>
      <c r="AH4633" s="60"/>
    </row>
    <row r="4634" spans="1:34" ht="15.75" customHeight="1">
      <c r="A4634" s="75">
        <v>2.2999999999999998</v>
      </c>
      <c r="B4634" s="159" t="s">
        <v>16339</v>
      </c>
      <c r="C4634" s="37" t="s">
        <v>24</v>
      </c>
      <c r="D4634" s="20" t="s">
        <v>16340</v>
      </c>
      <c r="E4634" s="20" t="s">
        <v>16341</v>
      </c>
      <c r="F4634" s="19" t="s">
        <v>27</v>
      </c>
      <c r="G4634" s="19" t="s">
        <v>28</v>
      </c>
      <c r="H4634" s="37" t="s">
        <v>55</v>
      </c>
      <c r="I4634" s="37" t="s">
        <v>29</v>
      </c>
      <c r="J4634" s="155" t="str">
        <f t="shared" si="7"/>
        <v>TT</v>
      </c>
      <c r="K4634" s="22" t="s">
        <v>16342</v>
      </c>
      <c r="L4634" s="56">
        <v>45107</v>
      </c>
      <c r="O4634" s="42"/>
      <c r="P4634" s="40"/>
      <c r="Q4634" s="61"/>
      <c r="R4634" s="61"/>
      <c r="S4634" s="40"/>
      <c r="T4634" s="38"/>
      <c r="U4634" s="38"/>
      <c r="V4634" s="38"/>
      <c r="W4634" s="60"/>
      <c r="AB4634" s="42"/>
      <c r="AC4634" s="35"/>
      <c r="AD4634" s="38"/>
      <c r="AE4634" s="38"/>
      <c r="AF4634" s="38"/>
      <c r="AG4634" s="38"/>
      <c r="AH4634" s="60"/>
    </row>
    <row r="4635" spans="1:34" ht="15.75" customHeight="1">
      <c r="A4635" s="111" t="s">
        <v>73</v>
      </c>
      <c r="B4635" s="158" t="s">
        <v>16343</v>
      </c>
      <c r="C4635" s="37" t="s">
        <v>412</v>
      </c>
      <c r="D4635" s="20" t="s">
        <v>16344</v>
      </c>
      <c r="E4635" s="20" t="s">
        <v>16345</v>
      </c>
      <c r="F4635" s="19" t="s">
        <v>414</v>
      </c>
      <c r="G4635" s="19" t="s">
        <v>415</v>
      </c>
      <c r="H4635" s="37" t="s">
        <v>55</v>
      </c>
      <c r="I4635" s="37" t="s">
        <v>233</v>
      </c>
      <c r="J4635" s="155" t="str">
        <f t="shared" si="7"/>
        <v>NTT</v>
      </c>
      <c r="K4635" s="22" t="s">
        <v>16346</v>
      </c>
      <c r="L4635" s="56">
        <v>45107</v>
      </c>
      <c r="O4635" s="42"/>
      <c r="P4635" s="40"/>
      <c r="Q4635" s="61"/>
      <c r="R4635" s="61"/>
      <c r="S4635" s="40"/>
      <c r="T4635" s="38"/>
      <c r="U4635" s="38"/>
      <c r="V4635" s="38"/>
      <c r="W4635" s="60"/>
      <c r="AB4635" s="42"/>
      <c r="AC4635" s="35"/>
      <c r="AD4635" s="38"/>
      <c r="AE4635" s="38"/>
      <c r="AF4635" s="38"/>
      <c r="AG4635" s="38"/>
      <c r="AH4635" s="60"/>
    </row>
    <row r="4636" spans="1:34" ht="15.75" customHeight="1">
      <c r="A4636" s="75">
        <v>2.8</v>
      </c>
      <c r="B4636" s="158" t="s">
        <v>16347</v>
      </c>
      <c r="C4636" s="37" t="s">
        <v>412</v>
      </c>
      <c r="D4636" s="20" t="s">
        <v>16348</v>
      </c>
      <c r="E4636" s="20" t="s">
        <v>16349</v>
      </c>
      <c r="F4636" s="19" t="s">
        <v>414</v>
      </c>
      <c r="G4636" s="37" t="s">
        <v>415</v>
      </c>
      <c r="H4636" s="37" t="s">
        <v>55</v>
      </c>
      <c r="I4636" s="37" t="s">
        <v>233</v>
      </c>
      <c r="J4636" s="155" t="str">
        <f t="shared" si="7"/>
        <v>NTT</v>
      </c>
      <c r="K4636" s="22" t="s">
        <v>16350</v>
      </c>
      <c r="L4636" s="56">
        <v>45107</v>
      </c>
      <c r="O4636" s="42"/>
      <c r="P4636" s="40"/>
      <c r="Q4636" s="61"/>
      <c r="R4636" s="61"/>
      <c r="S4636" s="40"/>
      <c r="T4636" s="38"/>
      <c r="U4636" s="38"/>
      <c r="V4636" s="38"/>
      <c r="W4636" s="60"/>
      <c r="AB4636" s="42"/>
      <c r="AC4636" s="35"/>
      <c r="AD4636" s="38"/>
      <c r="AE4636" s="38"/>
      <c r="AF4636" s="38"/>
      <c r="AG4636" s="38"/>
      <c r="AH4636" s="60"/>
    </row>
    <row r="4637" spans="1:34" ht="15.75" customHeight="1">
      <c r="A4637" s="111" t="s">
        <v>82</v>
      </c>
      <c r="B4637" s="158" t="s">
        <v>16351</v>
      </c>
      <c r="C4637" s="37" t="s">
        <v>87</v>
      </c>
      <c r="D4637" s="20" t="s">
        <v>16352</v>
      </c>
      <c r="E4637" s="20" t="s">
        <v>16353</v>
      </c>
      <c r="F4637" s="19" t="s">
        <v>90</v>
      </c>
      <c r="G4637" s="19" t="s">
        <v>91</v>
      </c>
      <c r="H4637" s="37" t="s">
        <v>55</v>
      </c>
      <c r="I4637" s="37" t="s">
        <v>29</v>
      </c>
      <c r="J4637" s="155" t="str">
        <f t="shared" si="7"/>
        <v>TT</v>
      </c>
      <c r="K4637" s="22" t="s">
        <v>16354</v>
      </c>
      <c r="L4637" s="56">
        <v>45107</v>
      </c>
      <c r="O4637" s="42"/>
      <c r="P4637" s="40"/>
      <c r="Q4637" s="61"/>
      <c r="R4637" s="61"/>
      <c r="S4637" s="40"/>
      <c r="T4637" s="38"/>
      <c r="U4637" s="38"/>
      <c r="V4637" s="38"/>
      <c r="W4637" s="60"/>
      <c r="AB4637" s="42"/>
      <c r="AC4637" s="35"/>
      <c r="AD4637" s="38"/>
      <c r="AE4637" s="38"/>
      <c r="AF4637" s="38"/>
      <c r="AG4637" s="38"/>
      <c r="AH4637" s="60"/>
    </row>
    <row r="4638" spans="1:34" ht="15.75" customHeight="1">
      <c r="A4638" s="112" t="s">
        <v>16355</v>
      </c>
      <c r="B4638" s="158" t="s">
        <v>16356</v>
      </c>
      <c r="C4638" s="37" t="s">
        <v>46</v>
      </c>
      <c r="D4638" s="20" t="s">
        <v>16357</v>
      </c>
      <c r="E4638" s="20" t="s">
        <v>16358</v>
      </c>
      <c r="F4638" s="37" t="s">
        <v>49</v>
      </c>
      <c r="G4638" s="19" t="s">
        <v>50</v>
      </c>
      <c r="H4638" s="37" t="s">
        <v>55</v>
      </c>
      <c r="I4638" s="37" t="s">
        <v>29</v>
      </c>
      <c r="J4638" s="155" t="str">
        <f t="shared" si="7"/>
        <v>TT</v>
      </c>
      <c r="K4638" s="22" t="s">
        <v>16359</v>
      </c>
      <c r="L4638" s="56">
        <v>45107</v>
      </c>
      <c r="O4638" s="42"/>
      <c r="P4638" s="40"/>
      <c r="Q4638" s="61"/>
      <c r="R4638" s="61"/>
      <c r="S4638" s="40"/>
      <c r="T4638" s="38"/>
      <c r="U4638" s="38"/>
      <c r="V4638" s="38"/>
      <c r="W4638" s="60"/>
      <c r="AB4638" s="42"/>
      <c r="AC4638" s="35"/>
      <c r="AD4638" s="38"/>
      <c r="AE4638" s="38"/>
      <c r="AF4638" s="38"/>
      <c r="AG4638" s="38"/>
      <c r="AH4638" s="60"/>
    </row>
    <row r="4639" spans="1:34" ht="15.75" customHeight="1">
      <c r="A4639" s="111" t="s">
        <v>92</v>
      </c>
      <c r="B4639" s="158" t="s">
        <v>16360</v>
      </c>
      <c r="C4639" s="37" t="s">
        <v>1470</v>
      </c>
      <c r="D4639" s="20" t="s">
        <v>16361</v>
      </c>
      <c r="E4639" s="20" t="s">
        <v>16362</v>
      </c>
      <c r="F4639" s="19" t="s">
        <v>3286</v>
      </c>
      <c r="G4639" s="19" t="s">
        <v>1461</v>
      </c>
      <c r="H4639" s="37" t="s">
        <v>55</v>
      </c>
      <c r="I4639" s="37" t="s">
        <v>233</v>
      </c>
      <c r="J4639" s="155" t="str">
        <f t="shared" si="7"/>
        <v>NTT</v>
      </c>
      <c r="K4639" s="22" t="s">
        <v>16363</v>
      </c>
      <c r="L4639" s="56">
        <v>45107</v>
      </c>
      <c r="O4639" s="42"/>
      <c r="P4639" s="40"/>
      <c r="Q4639" s="61"/>
      <c r="R4639" s="61"/>
      <c r="S4639" s="40"/>
      <c r="T4639" s="38"/>
      <c r="U4639" s="38"/>
      <c r="V4639" s="38"/>
      <c r="W4639" s="60"/>
      <c r="AB4639" s="42"/>
      <c r="AC4639" s="35"/>
      <c r="AD4639" s="38"/>
      <c r="AE4639" s="38"/>
      <c r="AF4639" s="38"/>
      <c r="AG4639" s="38"/>
      <c r="AH4639" s="60"/>
    </row>
    <row r="4640" spans="1:34" ht="15.75" customHeight="1">
      <c r="A4640" s="17">
        <v>334</v>
      </c>
      <c r="B4640" s="158" t="s">
        <v>16364</v>
      </c>
      <c r="C4640" s="37" t="s">
        <v>46</v>
      </c>
      <c r="D4640" s="20" t="s">
        <v>16365</v>
      </c>
      <c r="E4640" s="20" t="s">
        <v>16366</v>
      </c>
      <c r="F4640" s="37" t="s">
        <v>49</v>
      </c>
      <c r="G4640" s="19" t="s">
        <v>50</v>
      </c>
      <c r="H4640" s="37" t="s">
        <v>55</v>
      </c>
      <c r="I4640" s="37" t="s">
        <v>29</v>
      </c>
      <c r="J4640" s="155" t="str">
        <f t="shared" si="7"/>
        <v>TT</v>
      </c>
      <c r="K4640" s="22" t="s">
        <v>16367</v>
      </c>
      <c r="L4640" s="56">
        <v>45107</v>
      </c>
      <c r="O4640" s="42"/>
      <c r="P4640" s="40"/>
      <c r="Q4640" s="61"/>
      <c r="R4640" s="61"/>
      <c r="S4640" s="40"/>
      <c r="T4640" s="38"/>
      <c r="U4640" s="38"/>
      <c r="V4640" s="38"/>
      <c r="W4640" s="60"/>
      <c r="AB4640" s="42"/>
      <c r="AC4640" s="35"/>
      <c r="AD4640" s="38"/>
      <c r="AE4640" s="38"/>
      <c r="AF4640" s="38"/>
      <c r="AG4640" s="38"/>
      <c r="AH4640" s="60"/>
    </row>
    <row r="4641" spans="1:34" ht="15.75" customHeight="1">
      <c r="A4641" s="111" t="s">
        <v>100</v>
      </c>
      <c r="B4641" s="158" t="s">
        <v>16368</v>
      </c>
      <c r="C4641" s="37" t="s">
        <v>412</v>
      </c>
      <c r="D4641" s="20" t="s">
        <v>16369</v>
      </c>
      <c r="E4641" s="20" t="s">
        <v>16370</v>
      </c>
      <c r="F4641" s="19" t="s">
        <v>414</v>
      </c>
      <c r="G4641" s="19" t="s">
        <v>415</v>
      </c>
      <c r="H4641" s="37" t="s">
        <v>55</v>
      </c>
      <c r="I4641" s="37" t="s">
        <v>233</v>
      </c>
      <c r="J4641" s="155" t="str">
        <f t="shared" si="7"/>
        <v>NTT</v>
      </c>
      <c r="K4641" s="22" t="s">
        <v>16371</v>
      </c>
      <c r="L4641" s="56">
        <v>45107</v>
      </c>
      <c r="O4641" s="42"/>
      <c r="P4641" s="40"/>
      <c r="Q4641" s="61"/>
      <c r="R4641" s="61"/>
      <c r="S4641" s="40"/>
      <c r="T4641" s="38"/>
      <c r="U4641" s="38"/>
      <c r="V4641" s="38"/>
      <c r="W4641" s="60"/>
      <c r="AB4641" s="42"/>
      <c r="AC4641" s="35"/>
      <c r="AD4641" s="38"/>
      <c r="AE4641" s="38"/>
      <c r="AF4641" s="38"/>
      <c r="AG4641" s="38"/>
      <c r="AH4641" s="60"/>
    </row>
    <row r="4642" spans="1:34" ht="15.75" customHeight="1">
      <c r="A4642" s="17">
        <v>159</v>
      </c>
      <c r="B4642" s="158" t="s">
        <v>16372</v>
      </c>
      <c r="C4642" s="37" t="s">
        <v>46</v>
      </c>
      <c r="D4642" s="20" t="s">
        <v>16373</v>
      </c>
      <c r="E4642" s="20" t="s">
        <v>16374</v>
      </c>
      <c r="F4642" s="37" t="s">
        <v>49</v>
      </c>
      <c r="G4642" s="19" t="s">
        <v>50</v>
      </c>
      <c r="H4642" s="37" t="s">
        <v>55</v>
      </c>
      <c r="I4642" s="37" t="s">
        <v>29</v>
      </c>
      <c r="J4642" s="155" t="str">
        <f t="shared" si="7"/>
        <v>TT</v>
      </c>
      <c r="K4642" s="22" t="s">
        <v>16375</v>
      </c>
      <c r="L4642" s="56">
        <v>45107</v>
      </c>
      <c r="O4642" s="42"/>
      <c r="P4642" s="40"/>
      <c r="Q4642" s="61"/>
      <c r="R4642" s="61"/>
      <c r="S4642" s="40"/>
      <c r="T4642" s="38"/>
      <c r="U4642" s="38"/>
      <c r="V4642" s="38"/>
      <c r="W4642" s="60"/>
      <c r="AB4642" s="42"/>
      <c r="AC4642" s="35"/>
      <c r="AD4642" s="38"/>
      <c r="AE4642" s="38"/>
      <c r="AF4642" s="38"/>
      <c r="AG4642" s="38"/>
      <c r="AH4642" s="60"/>
    </row>
    <row r="4643" spans="1:34" ht="15.75" customHeight="1">
      <c r="A4643" s="245"/>
      <c r="B4643" s="158" t="s">
        <v>16376</v>
      </c>
      <c r="C4643" s="37" t="s">
        <v>87</v>
      </c>
      <c r="D4643" s="20" t="s">
        <v>16377</v>
      </c>
      <c r="E4643" s="20" t="s">
        <v>16378</v>
      </c>
      <c r="F4643" s="19" t="s">
        <v>90</v>
      </c>
      <c r="G4643" s="19" t="s">
        <v>91</v>
      </c>
      <c r="H4643" s="37" t="s">
        <v>55</v>
      </c>
      <c r="I4643" s="37" t="s">
        <v>29</v>
      </c>
      <c r="J4643" s="155" t="str">
        <f t="shared" si="7"/>
        <v>TT</v>
      </c>
      <c r="K4643" s="22" t="s">
        <v>16379</v>
      </c>
      <c r="L4643" s="56">
        <v>45107</v>
      </c>
      <c r="O4643" s="42"/>
      <c r="P4643" s="40"/>
      <c r="Q4643" s="61"/>
      <c r="R4643" s="61"/>
      <c r="S4643" s="40"/>
      <c r="T4643" s="38"/>
      <c r="U4643" s="38"/>
      <c r="V4643" s="38"/>
      <c r="W4643" s="60"/>
      <c r="AB4643" s="42"/>
      <c r="AC4643" s="35"/>
      <c r="AD4643" s="38"/>
      <c r="AE4643" s="38"/>
      <c r="AF4643" s="38"/>
      <c r="AG4643" s="38"/>
      <c r="AH4643" s="60"/>
    </row>
    <row r="4644" spans="1:34" ht="15.75" customHeight="1">
      <c r="A4644" s="245"/>
      <c r="B4644" s="158" t="s">
        <v>16380</v>
      </c>
      <c r="C4644" s="37" t="s">
        <v>1470</v>
      </c>
      <c r="D4644" s="20" t="s">
        <v>16381</v>
      </c>
      <c r="E4644" s="20" t="s">
        <v>16382</v>
      </c>
      <c r="F4644" s="19" t="s">
        <v>3286</v>
      </c>
      <c r="G4644" s="37" t="s">
        <v>1461</v>
      </c>
      <c r="H4644" s="37" t="s">
        <v>55</v>
      </c>
      <c r="I4644" s="37" t="s">
        <v>233</v>
      </c>
      <c r="J4644" s="155" t="str">
        <f t="shared" si="7"/>
        <v>NTT</v>
      </c>
      <c r="K4644" s="22" t="s">
        <v>16383</v>
      </c>
      <c r="L4644" s="56">
        <v>45107</v>
      </c>
      <c r="O4644" s="42"/>
      <c r="P4644" s="40"/>
      <c r="Q4644" s="61"/>
      <c r="R4644" s="61"/>
      <c r="S4644" s="40"/>
      <c r="T4644" s="38"/>
      <c r="U4644" s="38"/>
      <c r="V4644" s="38"/>
      <c r="W4644" s="60"/>
      <c r="AB4644" s="42"/>
      <c r="AC4644" s="35"/>
      <c r="AD4644" s="38"/>
      <c r="AE4644" s="38"/>
      <c r="AF4644" s="38"/>
      <c r="AG4644" s="38"/>
      <c r="AH4644" s="60"/>
    </row>
    <row r="4645" spans="1:34" ht="15.75" customHeight="1">
      <c r="A4645" s="245"/>
      <c r="B4645" s="158" t="s">
        <v>16384</v>
      </c>
      <c r="C4645" s="37" t="s">
        <v>412</v>
      </c>
      <c r="D4645" s="20" t="s">
        <v>16385</v>
      </c>
      <c r="E4645" s="20" t="s">
        <v>16386</v>
      </c>
      <c r="F4645" s="19" t="s">
        <v>414</v>
      </c>
      <c r="G4645" s="37" t="s">
        <v>415</v>
      </c>
      <c r="H4645" s="37" t="s">
        <v>55</v>
      </c>
      <c r="I4645" s="37" t="s">
        <v>233</v>
      </c>
      <c r="J4645" s="155" t="str">
        <f t="shared" si="7"/>
        <v>NTT</v>
      </c>
      <c r="K4645" s="22" t="s">
        <v>16387</v>
      </c>
      <c r="L4645" s="56">
        <v>45107</v>
      </c>
      <c r="O4645" s="42"/>
      <c r="P4645" s="40"/>
      <c r="Q4645" s="61"/>
      <c r="R4645" s="61"/>
      <c r="S4645" s="40"/>
      <c r="T4645" s="38"/>
      <c r="U4645" s="38"/>
      <c r="V4645" s="38"/>
      <c r="W4645" s="60"/>
      <c r="AB4645" s="42"/>
      <c r="AC4645" s="35"/>
      <c r="AD4645" s="38"/>
      <c r="AE4645" s="38"/>
      <c r="AF4645" s="38"/>
      <c r="AG4645" s="38"/>
      <c r="AH4645" s="60"/>
    </row>
    <row r="4646" spans="1:34" ht="15.75" customHeight="1">
      <c r="A4646" s="245"/>
      <c r="B4646" s="158" t="s">
        <v>16388</v>
      </c>
      <c r="C4646" s="37" t="s">
        <v>87</v>
      </c>
      <c r="D4646" s="20" t="s">
        <v>16389</v>
      </c>
      <c r="E4646" s="20" t="s">
        <v>16390</v>
      </c>
      <c r="F4646" s="19" t="s">
        <v>90</v>
      </c>
      <c r="G4646" s="19" t="s">
        <v>91</v>
      </c>
      <c r="H4646" s="37" t="s">
        <v>55</v>
      </c>
      <c r="I4646" s="37" t="s">
        <v>29</v>
      </c>
      <c r="J4646" s="155" t="str">
        <f t="shared" si="7"/>
        <v>TT</v>
      </c>
      <c r="K4646" s="22" t="s">
        <v>16391</v>
      </c>
      <c r="L4646" s="56">
        <v>45107</v>
      </c>
      <c r="O4646" s="42"/>
      <c r="P4646" s="40"/>
      <c r="Q4646" s="61"/>
      <c r="R4646" s="61"/>
      <c r="S4646" s="40"/>
      <c r="T4646" s="38"/>
      <c r="U4646" s="38"/>
      <c r="V4646" s="38"/>
      <c r="W4646" s="60"/>
      <c r="AB4646" s="42"/>
      <c r="AC4646" s="35"/>
      <c r="AD4646" s="38"/>
      <c r="AE4646" s="38"/>
      <c r="AF4646" s="38"/>
      <c r="AG4646" s="38"/>
      <c r="AH4646" s="60"/>
    </row>
    <row r="4647" spans="1:34" ht="15.75" customHeight="1">
      <c r="A4647" s="245"/>
      <c r="B4647" s="158" t="s">
        <v>16392</v>
      </c>
      <c r="C4647" s="37" t="s">
        <v>46</v>
      </c>
      <c r="D4647" s="20" t="s">
        <v>16393</v>
      </c>
      <c r="E4647" s="20" t="s">
        <v>16394</v>
      </c>
      <c r="F4647" s="37" t="s">
        <v>49</v>
      </c>
      <c r="G4647" s="19" t="s">
        <v>50</v>
      </c>
      <c r="H4647" s="37" t="s">
        <v>55</v>
      </c>
      <c r="I4647" s="37" t="s">
        <v>29</v>
      </c>
      <c r="J4647" s="155" t="str">
        <f t="shared" si="7"/>
        <v>TT</v>
      </c>
      <c r="K4647" s="22" t="s">
        <v>16395</v>
      </c>
      <c r="L4647" s="56">
        <v>45107</v>
      </c>
      <c r="O4647" s="42"/>
      <c r="P4647" s="40"/>
      <c r="Q4647" s="61"/>
      <c r="R4647" s="61"/>
      <c r="S4647" s="40"/>
      <c r="T4647" s="38"/>
      <c r="U4647" s="38"/>
      <c r="V4647" s="38"/>
      <c r="W4647" s="60"/>
      <c r="AB4647" s="42"/>
      <c r="AC4647" s="35"/>
      <c r="AD4647" s="38"/>
      <c r="AE4647" s="38"/>
      <c r="AF4647" s="38"/>
      <c r="AG4647" s="38"/>
      <c r="AH4647" s="60"/>
    </row>
    <row r="4648" spans="1:34" ht="15.75" customHeight="1">
      <c r="A4648" s="245"/>
      <c r="B4648" s="38"/>
      <c r="C4648" s="37"/>
      <c r="D4648" s="20"/>
      <c r="E4648" s="20"/>
      <c r="F4648" s="37"/>
      <c r="G4648" s="37"/>
      <c r="H4648" s="37"/>
      <c r="I4648" s="19"/>
      <c r="J4648" s="155">
        <f t="shared" si="7"/>
        <v>0</v>
      </c>
      <c r="K4648" s="22"/>
      <c r="L4648" s="39"/>
      <c r="O4648" s="42"/>
      <c r="P4648" s="40"/>
      <c r="Q4648" s="61"/>
      <c r="R4648" s="61"/>
      <c r="S4648" s="40"/>
      <c r="T4648" s="38"/>
      <c r="U4648" s="38"/>
      <c r="V4648" s="38"/>
      <c r="W4648" s="60"/>
      <c r="AB4648" s="42"/>
      <c r="AC4648" s="35"/>
      <c r="AD4648" s="38"/>
      <c r="AE4648" s="38"/>
      <c r="AF4648" s="38"/>
      <c r="AG4648" s="38"/>
      <c r="AH4648" s="60"/>
    </row>
    <row r="4649" spans="1:34" ht="15.75" customHeight="1">
      <c r="A4649" s="35" t="s">
        <v>16396</v>
      </c>
      <c r="B4649" s="158" t="s">
        <v>16397</v>
      </c>
      <c r="C4649" s="143" t="s">
        <v>24</v>
      </c>
      <c r="D4649" s="20" t="s">
        <v>16398</v>
      </c>
      <c r="E4649" s="20" t="s">
        <v>16399</v>
      </c>
      <c r="F4649" s="19" t="s">
        <v>27</v>
      </c>
      <c r="G4649" s="19" t="s">
        <v>28</v>
      </c>
      <c r="H4649" s="37" t="s">
        <v>55</v>
      </c>
      <c r="I4649" s="37" t="s">
        <v>29</v>
      </c>
      <c r="J4649" s="155" t="str">
        <f t="shared" si="7"/>
        <v>TT</v>
      </c>
      <c r="K4649" s="22" t="s">
        <v>16400</v>
      </c>
      <c r="L4649" s="56">
        <v>45107</v>
      </c>
      <c r="M4649" s="40"/>
      <c r="O4649" s="42"/>
      <c r="P4649" s="40"/>
      <c r="Q4649" s="61"/>
      <c r="R4649" s="61"/>
      <c r="S4649" s="40"/>
      <c r="T4649" s="38"/>
      <c r="U4649" s="38"/>
      <c r="V4649" s="38"/>
      <c r="W4649" s="60"/>
      <c r="AB4649" s="42"/>
      <c r="AC4649" s="35"/>
      <c r="AD4649" s="38"/>
      <c r="AE4649" s="38"/>
      <c r="AF4649" s="38"/>
      <c r="AG4649" s="38"/>
      <c r="AH4649" s="60"/>
    </row>
    <row r="4650" spans="1:34" ht="15.75" customHeight="1">
      <c r="A4650" s="54" t="s">
        <v>2714</v>
      </c>
      <c r="B4650" s="158" t="s">
        <v>16401</v>
      </c>
      <c r="C4650" s="37" t="s">
        <v>412</v>
      </c>
      <c r="D4650" s="20" t="s">
        <v>16402</v>
      </c>
      <c r="E4650" s="20"/>
      <c r="F4650" s="19" t="s">
        <v>414</v>
      </c>
      <c r="G4650" s="19" t="s">
        <v>415</v>
      </c>
      <c r="H4650" s="37" t="s">
        <v>55</v>
      </c>
      <c r="I4650" s="37" t="s">
        <v>233</v>
      </c>
      <c r="J4650" s="155" t="str">
        <f t="shared" si="7"/>
        <v>NTT</v>
      </c>
      <c r="K4650" s="22"/>
      <c r="L4650" s="56">
        <v>45107</v>
      </c>
      <c r="O4650" s="42"/>
      <c r="P4650" s="40"/>
      <c r="Q4650" s="61"/>
      <c r="R4650" s="61"/>
      <c r="S4650" s="40"/>
      <c r="T4650" s="38"/>
      <c r="U4650" s="38"/>
      <c r="V4650" s="38"/>
      <c r="W4650" s="60"/>
      <c r="AB4650" s="42"/>
      <c r="AC4650" s="35"/>
      <c r="AD4650" s="38"/>
      <c r="AE4650" s="38"/>
      <c r="AF4650" s="38"/>
      <c r="AG4650" s="38"/>
      <c r="AH4650" s="60"/>
    </row>
    <row r="4651" spans="1:34" ht="15.75" customHeight="1">
      <c r="A4651" s="114" t="s">
        <v>39</v>
      </c>
      <c r="B4651" s="158" t="s">
        <v>16403</v>
      </c>
      <c r="C4651" s="37" t="s">
        <v>24</v>
      </c>
      <c r="D4651" s="20" t="s">
        <v>16404</v>
      </c>
      <c r="E4651" s="20" t="s">
        <v>16405</v>
      </c>
      <c r="F4651" s="19" t="s">
        <v>27</v>
      </c>
      <c r="G4651" s="19" t="s">
        <v>28</v>
      </c>
      <c r="H4651" s="37" t="s">
        <v>55</v>
      </c>
      <c r="I4651" s="37" t="s">
        <v>29</v>
      </c>
      <c r="J4651" s="155" t="str">
        <f t="shared" si="7"/>
        <v>TT</v>
      </c>
      <c r="K4651" s="22" t="s">
        <v>16406</v>
      </c>
      <c r="L4651" s="56">
        <v>45107</v>
      </c>
      <c r="O4651" s="42"/>
      <c r="P4651" s="40"/>
      <c r="Q4651" s="61"/>
      <c r="R4651" s="61"/>
      <c r="S4651" s="40"/>
      <c r="T4651" s="38"/>
      <c r="U4651" s="38"/>
      <c r="V4651" s="38"/>
      <c r="W4651" s="60"/>
      <c r="AB4651" s="42"/>
      <c r="AC4651" s="35"/>
      <c r="AD4651" s="38"/>
      <c r="AE4651" s="38"/>
      <c r="AF4651" s="38"/>
      <c r="AG4651" s="38"/>
      <c r="AH4651" s="60"/>
    </row>
    <row r="4652" spans="1:34" ht="15.75" customHeight="1">
      <c r="A4652" s="38" t="s">
        <v>16024</v>
      </c>
      <c r="B4652" s="158" t="s">
        <v>16407</v>
      </c>
      <c r="C4652" s="37" t="s">
        <v>228</v>
      </c>
      <c r="D4652" s="20" t="s">
        <v>16408</v>
      </c>
      <c r="E4652" s="20" t="s">
        <v>16409</v>
      </c>
      <c r="F4652" s="19" t="s">
        <v>231</v>
      </c>
      <c r="G4652" s="19" t="s">
        <v>232</v>
      </c>
      <c r="H4652" s="37" t="s">
        <v>55</v>
      </c>
      <c r="I4652" s="37" t="s">
        <v>233</v>
      </c>
      <c r="J4652" s="155" t="str">
        <f t="shared" si="7"/>
        <v>NTT</v>
      </c>
      <c r="K4652" s="22" t="s">
        <v>16410</v>
      </c>
      <c r="L4652" s="56">
        <v>45107</v>
      </c>
      <c r="O4652" s="42"/>
      <c r="P4652" s="40"/>
      <c r="Q4652" s="61"/>
      <c r="R4652" s="61"/>
      <c r="S4652" s="40"/>
      <c r="T4652" s="38"/>
      <c r="U4652" s="38"/>
      <c r="V4652" s="38"/>
      <c r="W4652" s="60"/>
      <c r="AB4652" s="42"/>
      <c r="AC4652" s="35"/>
      <c r="AD4652" s="38"/>
      <c r="AE4652" s="38"/>
      <c r="AF4652" s="38"/>
      <c r="AG4652" s="38"/>
      <c r="AH4652" s="60"/>
    </row>
    <row r="4653" spans="1:34" ht="15.75" customHeight="1">
      <c r="A4653" s="75" t="s">
        <v>16029</v>
      </c>
      <c r="B4653" s="158" t="s">
        <v>16411</v>
      </c>
      <c r="C4653" s="37" t="s">
        <v>24</v>
      </c>
      <c r="D4653" s="20" t="s">
        <v>16412</v>
      </c>
      <c r="E4653" s="20" t="s">
        <v>16413</v>
      </c>
      <c r="F4653" s="19" t="s">
        <v>27</v>
      </c>
      <c r="G4653" s="19" t="s">
        <v>28</v>
      </c>
      <c r="H4653" s="37" t="s">
        <v>813</v>
      </c>
      <c r="I4653" s="37" t="s">
        <v>29</v>
      </c>
      <c r="J4653" s="155" t="str">
        <f t="shared" si="7"/>
        <v>TT</v>
      </c>
      <c r="K4653" s="22" t="s">
        <v>16414</v>
      </c>
      <c r="L4653" s="56">
        <v>45107</v>
      </c>
      <c r="O4653" s="42"/>
      <c r="P4653" s="40"/>
      <c r="Q4653" s="61"/>
      <c r="R4653" s="61"/>
      <c r="S4653" s="40"/>
      <c r="T4653" s="38"/>
      <c r="U4653" s="38"/>
      <c r="V4653" s="38"/>
      <c r="W4653" s="60"/>
      <c r="AB4653" s="42"/>
      <c r="AC4653" s="35"/>
      <c r="AD4653" s="38"/>
      <c r="AE4653" s="38"/>
      <c r="AF4653" s="38"/>
      <c r="AG4653" s="38"/>
      <c r="AH4653" s="60"/>
    </row>
    <row r="4654" spans="1:34" ht="15.75" customHeight="1">
      <c r="A4654" s="50" t="s">
        <v>56</v>
      </c>
      <c r="B4654" s="158" t="s">
        <v>16415</v>
      </c>
      <c r="C4654" s="37" t="s">
        <v>24</v>
      </c>
      <c r="D4654" s="20" t="s">
        <v>16416</v>
      </c>
      <c r="E4654" s="20" t="s">
        <v>16417</v>
      </c>
      <c r="F4654" s="19" t="s">
        <v>27</v>
      </c>
      <c r="G4654" s="19" t="s">
        <v>28</v>
      </c>
      <c r="H4654" s="37" t="s">
        <v>55</v>
      </c>
      <c r="I4654" s="37" t="s">
        <v>29</v>
      </c>
      <c r="J4654" s="155" t="str">
        <f t="shared" si="7"/>
        <v>TT</v>
      </c>
      <c r="K4654" s="22" t="s">
        <v>16418</v>
      </c>
      <c r="L4654" s="56">
        <v>45107</v>
      </c>
      <c r="O4654" s="42"/>
      <c r="P4654" s="40"/>
      <c r="Q4654" s="61"/>
      <c r="R4654" s="61"/>
      <c r="S4654" s="40"/>
      <c r="T4654" s="38"/>
      <c r="U4654" s="38"/>
      <c r="V4654" s="38"/>
      <c r="W4654" s="60"/>
      <c r="AB4654" s="42"/>
      <c r="AC4654" s="35"/>
      <c r="AD4654" s="38"/>
      <c r="AE4654" s="38"/>
      <c r="AF4654" s="38"/>
      <c r="AG4654" s="38"/>
      <c r="AH4654" s="60"/>
    </row>
    <row r="4655" spans="1:34" ht="15.75" customHeight="1">
      <c r="A4655" s="17">
        <v>34</v>
      </c>
      <c r="B4655" s="158" t="s">
        <v>16419</v>
      </c>
      <c r="C4655" s="37" t="s">
        <v>24</v>
      </c>
      <c r="D4655" s="20" t="s">
        <v>16420</v>
      </c>
      <c r="E4655" s="20" t="s">
        <v>16421</v>
      </c>
      <c r="F4655" s="19" t="s">
        <v>27</v>
      </c>
      <c r="G4655" s="19" t="s">
        <v>28</v>
      </c>
      <c r="H4655" s="37" t="s">
        <v>55</v>
      </c>
      <c r="I4655" s="37" t="s">
        <v>29</v>
      </c>
      <c r="J4655" s="155" t="str">
        <f t="shared" si="7"/>
        <v>TT</v>
      </c>
      <c r="K4655" s="22" t="s">
        <v>16422</v>
      </c>
      <c r="L4655" s="56">
        <v>45107</v>
      </c>
      <c r="O4655" s="42"/>
      <c r="P4655" s="40"/>
      <c r="Q4655" s="61"/>
      <c r="R4655" s="61"/>
      <c r="S4655" s="40"/>
      <c r="T4655" s="38"/>
      <c r="U4655" s="38"/>
      <c r="V4655" s="38"/>
      <c r="W4655" s="60"/>
      <c r="AB4655" s="42"/>
      <c r="AC4655" s="35"/>
      <c r="AD4655" s="38"/>
      <c r="AE4655" s="38"/>
      <c r="AF4655" s="38"/>
      <c r="AG4655" s="38"/>
      <c r="AH4655" s="60"/>
    </row>
    <row r="4656" spans="1:34" ht="15.75" customHeight="1">
      <c r="A4656" s="111" t="s">
        <v>64</v>
      </c>
      <c r="B4656" s="158" t="s">
        <v>16423</v>
      </c>
      <c r="C4656" s="143" t="s">
        <v>24</v>
      </c>
      <c r="D4656" s="20" t="s">
        <v>16424</v>
      </c>
      <c r="E4656" s="20"/>
      <c r="F4656" s="19" t="s">
        <v>27</v>
      </c>
      <c r="G4656" s="19" t="s">
        <v>28</v>
      </c>
      <c r="H4656" s="37" t="s">
        <v>55</v>
      </c>
      <c r="I4656" s="37" t="s">
        <v>29</v>
      </c>
      <c r="J4656" s="155" t="str">
        <f t="shared" si="7"/>
        <v>TT</v>
      </c>
      <c r="K4656" s="22"/>
      <c r="L4656" s="56">
        <v>45107</v>
      </c>
      <c r="O4656" s="42"/>
      <c r="P4656" s="40"/>
      <c r="Q4656" s="61"/>
      <c r="R4656" s="61"/>
      <c r="S4656" s="40"/>
      <c r="T4656" s="38"/>
      <c r="U4656" s="38"/>
      <c r="V4656" s="38"/>
      <c r="W4656" s="60"/>
      <c r="AB4656" s="42"/>
      <c r="AC4656" s="35"/>
      <c r="AD4656" s="38"/>
      <c r="AE4656" s="38"/>
      <c r="AF4656" s="38"/>
      <c r="AG4656" s="38"/>
      <c r="AH4656" s="60"/>
    </row>
    <row r="4657" spans="1:34" ht="15.75" customHeight="1">
      <c r="A4657" s="75">
        <v>2.2999999999999998</v>
      </c>
      <c r="B4657" s="158" t="s">
        <v>16425</v>
      </c>
      <c r="C4657" s="37" t="s">
        <v>87</v>
      </c>
      <c r="D4657" s="20" t="s">
        <v>16426</v>
      </c>
      <c r="E4657" s="20" t="s">
        <v>16427</v>
      </c>
      <c r="F4657" s="19" t="s">
        <v>90</v>
      </c>
      <c r="G4657" s="19" t="s">
        <v>91</v>
      </c>
      <c r="H4657" s="37" t="s">
        <v>55</v>
      </c>
      <c r="I4657" s="37" t="s">
        <v>29</v>
      </c>
      <c r="J4657" s="155" t="str">
        <f t="shared" si="7"/>
        <v>TT</v>
      </c>
      <c r="K4657" s="22" t="s">
        <v>16428</v>
      </c>
      <c r="L4657" s="56">
        <v>45107</v>
      </c>
      <c r="O4657" s="42"/>
      <c r="P4657" s="40"/>
      <c r="Q4657" s="61"/>
      <c r="R4657" s="61"/>
      <c r="S4657" s="40"/>
      <c r="T4657" s="38"/>
      <c r="U4657" s="38"/>
      <c r="V4657" s="38"/>
      <c r="W4657" s="60"/>
      <c r="AB4657" s="42"/>
      <c r="AC4657" s="35"/>
      <c r="AD4657" s="38"/>
      <c r="AE4657" s="38"/>
      <c r="AF4657" s="38"/>
      <c r="AG4657" s="38"/>
      <c r="AH4657" s="60"/>
    </row>
    <row r="4658" spans="1:34" ht="15.75" customHeight="1">
      <c r="A4658" s="111" t="s">
        <v>73</v>
      </c>
      <c r="B4658" s="158" t="s">
        <v>16429</v>
      </c>
      <c r="C4658" s="143" t="s">
        <v>24</v>
      </c>
      <c r="D4658" s="20" t="s">
        <v>16430</v>
      </c>
      <c r="E4658" s="20" t="s">
        <v>16431</v>
      </c>
      <c r="F4658" s="19" t="s">
        <v>27</v>
      </c>
      <c r="G4658" s="19" t="s">
        <v>28</v>
      </c>
      <c r="H4658" s="37" t="s">
        <v>55</v>
      </c>
      <c r="I4658" s="37" t="s">
        <v>29</v>
      </c>
      <c r="J4658" s="155" t="str">
        <f t="shared" si="7"/>
        <v>TT</v>
      </c>
      <c r="K4658" s="22" t="s">
        <v>16432</v>
      </c>
      <c r="L4658" s="56">
        <v>45107</v>
      </c>
      <c r="O4658" s="42"/>
      <c r="P4658" s="40"/>
      <c r="Q4658" s="61"/>
      <c r="R4658" s="61"/>
      <c r="S4658" s="40"/>
      <c r="T4658" s="38"/>
      <c r="U4658" s="38"/>
      <c r="V4658" s="38"/>
      <c r="W4658" s="60"/>
      <c r="AB4658" s="42"/>
      <c r="AC4658" s="35"/>
      <c r="AD4658" s="38"/>
      <c r="AE4658" s="38"/>
      <c r="AF4658" s="38"/>
      <c r="AG4658" s="38"/>
      <c r="AH4658" s="60"/>
    </row>
    <row r="4659" spans="1:34" ht="15.75" customHeight="1">
      <c r="A4659" s="75">
        <v>2.9</v>
      </c>
      <c r="B4659" s="158" t="s">
        <v>16433</v>
      </c>
      <c r="C4659" s="37" t="s">
        <v>24</v>
      </c>
      <c r="D4659" s="20" t="s">
        <v>16434</v>
      </c>
      <c r="E4659" s="20" t="s">
        <v>16435</v>
      </c>
      <c r="F4659" s="19" t="s">
        <v>27</v>
      </c>
      <c r="G4659" s="19" t="s">
        <v>28</v>
      </c>
      <c r="H4659" s="37" t="s">
        <v>55</v>
      </c>
      <c r="I4659" s="37" t="s">
        <v>29</v>
      </c>
      <c r="J4659" s="155" t="str">
        <f t="shared" si="7"/>
        <v>TT</v>
      </c>
      <c r="K4659" s="22" t="s">
        <v>16436</v>
      </c>
      <c r="L4659" s="56">
        <v>45107</v>
      </c>
      <c r="O4659" s="42"/>
      <c r="P4659" s="40"/>
      <c r="Q4659" s="61"/>
      <c r="R4659" s="61"/>
      <c r="S4659" s="40"/>
      <c r="T4659" s="38"/>
      <c r="U4659" s="38"/>
      <c r="V4659" s="38"/>
      <c r="W4659" s="60"/>
      <c r="AB4659" s="42"/>
      <c r="AC4659" s="35"/>
      <c r="AD4659" s="38"/>
      <c r="AE4659" s="38"/>
      <c r="AF4659" s="38"/>
      <c r="AG4659" s="38"/>
      <c r="AH4659" s="60"/>
    </row>
    <row r="4660" spans="1:34" ht="15.75" customHeight="1">
      <c r="A4660" s="111" t="s">
        <v>82</v>
      </c>
      <c r="B4660" s="158" t="s">
        <v>16437</v>
      </c>
      <c r="C4660" s="37" t="s">
        <v>87</v>
      </c>
      <c r="D4660" s="20" t="s">
        <v>16438</v>
      </c>
      <c r="E4660" s="20" t="s">
        <v>16439</v>
      </c>
      <c r="F4660" s="19" t="s">
        <v>90</v>
      </c>
      <c r="G4660" s="19" t="s">
        <v>91</v>
      </c>
      <c r="H4660" s="37" t="s">
        <v>55</v>
      </c>
      <c r="I4660" s="37" t="s">
        <v>29</v>
      </c>
      <c r="J4660" s="155" t="str">
        <f t="shared" si="7"/>
        <v>TT</v>
      </c>
      <c r="K4660" s="22" t="s">
        <v>16440</v>
      </c>
      <c r="L4660" s="56">
        <v>45107</v>
      </c>
      <c r="O4660" s="42"/>
      <c r="P4660" s="40"/>
      <c r="Q4660" s="61"/>
      <c r="R4660" s="61"/>
      <c r="S4660" s="40"/>
      <c r="T4660" s="38"/>
      <c r="U4660" s="38"/>
      <c r="V4660" s="38"/>
      <c r="W4660" s="60"/>
      <c r="AB4660" s="42"/>
      <c r="AC4660" s="35"/>
      <c r="AD4660" s="38"/>
      <c r="AE4660" s="38"/>
      <c r="AF4660" s="38"/>
      <c r="AG4660" s="38"/>
      <c r="AH4660" s="60"/>
    </row>
    <row r="4661" spans="1:34" ht="15.75" customHeight="1">
      <c r="A4661" s="112" t="s">
        <v>16441</v>
      </c>
      <c r="B4661" s="158" t="s">
        <v>16442</v>
      </c>
      <c r="C4661" s="37" t="s">
        <v>24</v>
      </c>
      <c r="D4661" s="20" t="s">
        <v>16443</v>
      </c>
      <c r="E4661" s="20" t="s">
        <v>16444</v>
      </c>
      <c r="F4661" s="19" t="s">
        <v>27</v>
      </c>
      <c r="G4661" s="19" t="s">
        <v>28</v>
      </c>
      <c r="H4661" s="37" t="s">
        <v>55</v>
      </c>
      <c r="I4661" s="37" t="s">
        <v>29</v>
      </c>
      <c r="J4661" s="155" t="str">
        <f t="shared" si="7"/>
        <v>TT</v>
      </c>
      <c r="K4661" s="22" t="s">
        <v>16445</v>
      </c>
      <c r="L4661" s="56">
        <v>45107</v>
      </c>
      <c r="O4661" s="42"/>
      <c r="P4661" s="40"/>
      <c r="Q4661" s="61"/>
      <c r="R4661" s="61"/>
      <c r="S4661" s="40"/>
      <c r="T4661" s="38"/>
      <c r="U4661" s="38"/>
      <c r="V4661" s="38"/>
      <c r="W4661" s="60"/>
      <c r="AB4661" s="42"/>
      <c r="AC4661" s="35"/>
      <c r="AD4661" s="38"/>
      <c r="AE4661" s="38"/>
      <c r="AF4661" s="38"/>
      <c r="AG4661" s="38"/>
      <c r="AH4661" s="60"/>
    </row>
    <row r="4662" spans="1:34" ht="15.75" customHeight="1">
      <c r="A4662" s="111" t="s">
        <v>92</v>
      </c>
      <c r="B4662" s="158" t="s">
        <v>16446</v>
      </c>
      <c r="C4662" s="37" t="s">
        <v>1430</v>
      </c>
      <c r="D4662" s="20" t="s">
        <v>16447</v>
      </c>
      <c r="E4662" s="20" t="s">
        <v>16448</v>
      </c>
      <c r="F4662" s="55" t="s">
        <v>1445</v>
      </c>
      <c r="G4662" s="55" t="s">
        <v>1432</v>
      </c>
      <c r="H4662" s="37" t="s">
        <v>55</v>
      </c>
      <c r="I4662" s="37" t="s">
        <v>233</v>
      </c>
      <c r="J4662" s="155" t="str">
        <f t="shared" si="7"/>
        <v>NTT</v>
      </c>
      <c r="K4662" s="22" t="s">
        <v>16449</v>
      </c>
      <c r="L4662" s="56">
        <v>45107</v>
      </c>
      <c r="O4662" s="42"/>
      <c r="P4662" s="40"/>
      <c r="Q4662" s="61"/>
      <c r="R4662" s="61"/>
      <c r="S4662" s="40"/>
      <c r="T4662" s="38"/>
      <c r="U4662" s="38"/>
      <c r="V4662" s="38"/>
      <c r="W4662" s="60"/>
      <c r="AB4662" s="42"/>
      <c r="AC4662" s="35"/>
      <c r="AD4662" s="38"/>
      <c r="AE4662" s="38"/>
      <c r="AF4662" s="38"/>
      <c r="AG4662" s="38"/>
      <c r="AH4662" s="60"/>
    </row>
    <row r="4663" spans="1:34" ht="15.75" customHeight="1">
      <c r="A4663" s="17">
        <v>246</v>
      </c>
      <c r="B4663" s="158" t="s">
        <v>16450</v>
      </c>
      <c r="C4663" s="37" t="s">
        <v>87</v>
      </c>
      <c r="D4663" s="20" t="s">
        <v>16451</v>
      </c>
      <c r="E4663" s="20" t="s">
        <v>16452</v>
      </c>
      <c r="F4663" s="19" t="s">
        <v>90</v>
      </c>
      <c r="G4663" s="19" t="s">
        <v>91</v>
      </c>
      <c r="H4663" s="37" t="s">
        <v>55</v>
      </c>
      <c r="I4663" s="37" t="s">
        <v>29</v>
      </c>
      <c r="J4663" s="155" t="str">
        <f t="shared" si="7"/>
        <v>TT</v>
      </c>
      <c r="K4663" s="22" t="s">
        <v>16453</v>
      </c>
      <c r="L4663" s="56">
        <v>45107</v>
      </c>
      <c r="O4663" s="42"/>
      <c r="P4663" s="40"/>
      <c r="Q4663" s="61"/>
      <c r="R4663" s="61"/>
      <c r="S4663" s="40"/>
      <c r="T4663" s="38"/>
      <c r="U4663" s="38"/>
      <c r="V4663" s="38"/>
      <c r="W4663" s="60"/>
      <c r="AB4663" s="42"/>
      <c r="AC4663" s="35"/>
      <c r="AD4663" s="38"/>
      <c r="AE4663" s="38"/>
      <c r="AF4663" s="38"/>
      <c r="AG4663" s="38"/>
      <c r="AH4663" s="60"/>
    </row>
    <row r="4664" spans="1:34" ht="15.75" customHeight="1">
      <c r="A4664" s="111" t="s">
        <v>100</v>
      </c>
      <c r="B4664" s="38"/>
      <c r="C4664" s="37"/>
      <c r="D4664" s="20"/>
      <c r="E4664" s="20"/>
      <c r="F4664" s="37"/>
      <c r="G4664" s="37"/>
      <c r="H4664" s="37"/>
      <c r="I4664" s="19"/>
      <c r="J4664" s="155">
        <f t="shared" si="7"/>
        <v>0</v>
      </c>
      <c r="K4664" s="22"/>
      <c r="L4664" s="39"/>
      <c r="O4664" s="42"/>
      <c r="P4664" s="40"/>
      <c r="Q4664" s="61"/>
      <c r="R4664" s="61"/>
      <c r="S4664" s="40"/>
      <c r="T4664" s="38"/>
      <c r="U4664" s="38"/>
      <c r="V4664" s="38"/>
      <c r="W4664" s="60"/>
      <c r="AB4664" s="42"/>
      <c r="AC4664" s="35"/>
      <c r="AD4664" s="38"/>
      <c r="AE4664" s="38"/>
      <c r="AF4664" s="38"/>
      <c r="AG4664" s="38"/>
      <c r="AH4664" s="60"/>
    </row>
    <row r="4665" spans="1:34" ht="15.75" customHeight="1">
      <c r="A4665" s="17">
        <v>162</v>
      </c>
      <c r="B4665" s="38"/>
      <c r="C4665" s="19"/>
      <c r="D4665" s="20"/>
      <c r="E4665" s="20"/>
      <c r="F4665" s="19"/>
      <c r="G4665" s="19"/>
      <c r="H4665" s="19"/>
      <c r="I4665" s="19"/>
      <c r="J4665" s="155">
        <f t="shared" si="7"/>
        <v>0</v>
      </c>
      <c r="K4665" s="22"/>
      <c r="L4665" s="39"/>
      <c r="O4665" s="42"/>
      <c r="P4665" s="40"/>
      <c r="Q4665" s="61"/>
      <c r="R4665" s="61"/>
      <c r="S4665" s="40"/>
      <c r="T4665" s="38"/>
      <c r="U4665" s="38"/>
      <c r="V4665" s="38"/>
      <c r="W4665" s="60"/>
      <c r="AB4665" s="42"/>
      <c r="AC4665" s="35"/>
      <c r="AD4665" s="38"/>
      <c r="AE4665" s="38"/>
      <c r="AF4665" s="38"/>
      <c r="AG4665" s="38"/>
      <c r="AH4665" s="60"/>
    </row>
    <row r="4666" spans="1:34" ht="15.75" customHeight="1">
      <c r="A4666" s="246"/>
      <c r="B4666" s="38"/>
      <c r="C4666" s="37"/>
      <c r="D4666" s="20"/>
      <c r="E4666" s="20"/>
      <c r="F4666" s="37"/>
      <c r="G4666" s="37"/>
      <c r="H4666" s="37"/>
      <c r="I4666" s="19"/>
      <c r="J4666" s="155">
        <f t="shared" si="7"/>
        <v>0</v>
      </c>
      <c r="K4666" s="22"/>
      <c r="L4666" s="39"/>
      <c r="O4666" s="42"/>
      <c r="P4666" s="40"/>
      <c r="Q4666" s="61"/>
      <c r="R4666" s="61"/>
      <c r="S4666" s="40"/>
      <c r="T4666" s="38"/>
      <c r="U4666" s="38"/>
      <c r="V4666" s="38"/>
      <c r="W4666" s="60"/>
      <c r="AB4666" s="42"/>
      <c r="AC4666" s="35"/>
      <c r="AD4666" s="38"/>
      <c r="AE4666" s="38"/>
      <c r="AF4666" s="38"/>
      <c r="AG4666" s="38"/>
      <c r="AH4666" s="60"/>
    </row>
    <row r="4667" spans="1:34" ht="15.75" customHeight="1">
      <c r="A4667" s="35" t="s">
        <v>16454</v>
      </c>
      <c r="B4667" s="158" t="s">
        <v>16455</v>
      </c>
      <c r="C4667" s="37" t="s">
        <v>87</v>
      </c>
      <c r="D4667" s="20" t="s">
        <v>16456</v>
      </c>
      <c r="E4667" s="20" t="s">
        <v>16457</v>
      </c>
      <c r="F4667" s="19" t="s">
        <v>90</v>
      </c>
      <c r="G4667" s="19" t="s">
        <v>91</v>
      </c>
      <c r="H4667" s="37" t="s">
        <v>55</v>
      </c>
      <c r="I4667" s="37" t="s">
        <v>29</v>
      </c>
      <c r="J4667" s="155" t="str">
        <f t="shared" si="7"/>
        <v>TT</v>
      </c>
      <c r="K4667" s="22" t="s">
        <v>16458</v>
      </c>
      <c r="L4667" s="56">
        <v>45107</v>
      </c>
      <c r="M4667" s="40"/>
      <c r="O4667" s="42"/>
      <c r="P4667" s="40"/>
      <c r="Q4667" s="61"/>
      <c r="R4667" s="61"/>
      <c r="S4667" s="40"/>
      <c r="T4667" s="38"/>
      <c r="U4667" s="38"/>
      <c r="V4667" s="38"/>
      <c r="W4667" s="60"/>
      <c r="AB4667" s="42"/>
      <c r="AC4667" s="35"/>
      <c r="AD4667" s="38"/>
      <c r="AE4667" s="38"/>
      <c r="AF4667" s="38"/>
      <c r="AG4667" s="38"/>
      <c r="AH4667" s="60"/>
    </row>
    <row r="4668" spans="1:34" ht="15.75" customHeight="1">
      <c r="A4668" s="54" t="s">
        <v>2714</v>
      </c>
      <c r="B4668" s="158" t="s">
        <v>16459</v>
      </c>
      <c r="C4668" s="37" t="s">
        <v>87</v>
      </c>
      <c r="D4668" s="20" t="s">
        <v>16460</v>
      </c>
      <c r="E4668" s="20" t="s">
        <v>16461</v>
      </c>
      <c r="F4668" s="19" t="s">
        <v>90</v>
      </c>
      <c r="G4668" s="19" t="s">
        <v>91</v>
      </c>
      <c r="H4668" s="37" t="s">
        <v>55</v>
      </c>
      <c r="I4668" s="37" t="s">
        <v>29</v>
      </c>
      <c r="J4668" s="155" t="str">
        <f t="shared" si="7"/>
        <v>TT</v>
      </c>
      <c r="K4668" s="22" t="s">
        <v>16462</v>
      </c>
      <c r="L4668" s="56">
        <v>45107</v>
      </c>
      <c r="O4668" s="42"/>
      <c r="P4668" s="40"/>
      <c r="Q4668" s="61"/>
      <c r="R4668" s="61"/>
      <c r="S4668" s="40"/>
      <c r="T4668" s="38"/>
      <c r="U4668" s="38"/>
      <c r="V4668" s="38"/>
      <c r="W4668" s="60"/>
      <c r="AB4668" s="42"/>
      <c r="AC4668" s="35"/>
      <c r="AD4668" s="38"/>
      <c r="AE4668" s="38"/>
      <c r="AF4668" s="38"/>
      <c r="AG4668" s="38"/>
      <c r="AH4668" s="60"/>
    </row>
    <row r="4669" spans="1:34" ht="15.75" customHeight="1">
      <c r="A4669" s="114" t="s">
        <v>39</v>
      </c>
      <c r="B4669" s="158" t="s">
        <v>16463</v>
      </c>
      <c r="C4669" s="37" t="s">
        <v>24</v>
      </c>
      <c r="D4669" s="20" t="s">
        <v>16464</v>
      </c>
      <c r="E4669" s="20" t="s">
        <v>16465</v>
      </c>
      <c r="F4669" s="19" t="s">
        <v>27</v>
      </c>
      <c r="G4669" s="19" t="s">
        <v>28</v>
      </c>
      <c r="H4669" s="37" t="s">
        <v>55</v>
      </c>
      <c r="I4669" s="37" t="s">
        <v>29</v>
      </c>
      <c r="J4669" s="155" t="str">
        <f t="shared" si="7"/>
        <v>TT</v>
      </c>
      <c r="K4669" s="22" t="s">
        <v>16466</v>
      </c>
      <c r="L4669" s="56">
        <v>45107</v>
      </c>
      <c r="O4669" s="42"/>
      <c r="P4669" s="40"/>
      <c r="Q4669" s="61"/>
      <c r="R4669" s="61"/>
      <c r="S4669" s="40"/>
      <c r="T4669" s="38"/>
      <c r="U4669" s="38"/>
      <c r="V4669" s="38"/>
      <c r="W4669" s="60"/>
      <c r="AB4669" s="42"/>
      <c r="AC4669" s="35"/>
      <c r="AD4669" s="38"/>
      <c r="AE4669" s="38"/>
      <c r="AF4669" s="38"/>
      <c r="AG4669" s="38"/>
      <c r="AH4669" s="60"/>
    </row>
    <row r="4670" spans="1:34" ht="15.75" customHeight="1">
      <c r="A4670" s="38" t="s">
        <v>16024</v>
      </c>
      <c r="B4670" s="158" t="s">
        <v>16467</v>
      </c>
      <c r="C4670" s="37" t="s">
        <v>87</v>
      </c>
      <c r="D4670" s="20" t="s">
        <v>16468</v>
      </c>
      <c r="E4670" s="20" t="s">
        <v>16469</v>
      </c>
      <c r="F4670" s="19" t="s">
        <v>90</v>
      </c>
      <c r="G4670" s="19" t="s">
        <v>91</v>
      </c>
      <c r="H4670" s="37" t="s">
        <v>55</v>
      </c>
      <c r="I4670" s="37" t="s">
        <v>29</v>
      </c>
      <c r="J4670" s="155" t="str">
        <f t="shared" si="7"/>
        <v>TT</v>
      </c>
      <c r="K4670" s="22" t="s">
        <v>16470</v>
      </c>
      <c r="L4670" s="56">
        <v>45107</v>
      </c>
      <c r="O4670" s="42"/>
      <c r="P4670" s="40"/>
      <c r="Q4670" s="61"/>
      <c r="R4670" s="61"/>
      <c r="S4670" s="40"/>
      <c r="T4670" s="38"/>
      <c r="U4670" s="38"/>
      <c r="V4670" s="38"/>
      <c r="W4670" s="60"/>
      <c r="AB4670" s="42"/>
      <c r="AC4670" s="35"/>
      <c r="AD4670" s="38"/>
      <c r="AE4670" s="38"/>
      <c r="AF4670" s="38"/>
      <c r="AG4670" s="38"/>
      <c r="AH4670" s="60"/>
    </row>
    <row r="4671" spans="1:34" ht="15.75" customHeight="1">
      <c r="A4671" s="75" t="s">
        <v>12558</v>
      </c>
      <c r="B4671" s="158" t="s">
        <v>16471</v>
      </c>
      <c r="C4671" s="37" t="s">
        <v>46</v>
      </c>
      <c r="D4671" s="20" t="s">
        <v>16472</v>
      </c>
      <c r="E4671" s="20" t="s">
        <v>16473</v>
      </c>
      <c r="F4671" s="37" t="s">
        <v>49</v>
      </c>
      <c r="G4671" s="19" t="s">
        <v>50</v>
      </c>
      <c r="H4671" s="37" t="s">
        <v>55</v>
      </c>
      <c r="I4671" s="37" t="s">
        <v>29</v>
      </c>
      <c r="J4671" s="155" t="str">
        <f t="shared" si="7"/>
        <v>TT</v>
      </c>
      <c r="K4671" s="22" t="s">
        <v>16474</v>
      </c>
      <c r="L4671" s="56">
        <v>45107</v>
      </c>
      <c r="O4671" s="42"/>
      <c r="P4671" s="40"/>
      <c r="Q4671" s="61"/>
      <c r="R4671" s="61"/>
      <c r="S4671" s="40"/>
      <c r="T4671" s="38"/>
      <c r="U4671" s="38"/>
      <c r="V4671" s="38"/>
      <c r="W4671" s="60"/>
      <c r="AB4671" s="42"/>
      <c r="AC4671" s="35"/>
      <c r="AD4671" s="38"/>
      <c r="AE4671" s="38"/>
      <c r="AF4671" s="38"/>
      <c r="AG4671" s="38"/>
      <c r="AH4671" s="60"/>
    </row>
    <row r="4672" spans="1:34" ht="15.75" customHeight="1">
      <c r="A4672" s="50" t="s">
        <v>56</v>
      </c>
      <c r="B4672" s="158" t="s">
        <v>16475</v>
      </c>
      <c r="C4672" s="37" t="s">
        <v>46</v>
      </c>
      <c r="D4672" s="20" t="s">
        <v>16476</v>
      </c>
      <c r="E4672" s="20" t="s">
        <v>16477</v>
      </c>
      <c r="F4672" s="37" t="s">
        <v>49</v>
      </c>
      <c r="G4672" s="19" t="s">
        <v>50</v>
      </c>
      <c r="H4672" s="37" t="s">
        <v>55</v>
      </c>
      <c r="I4672" s="37" t="s">
        <v>29</v>
      </c>
      <c r="J4672" s="155" t="str">
        <f t="shared" si="7"/>
        <v>TT</v>
      </c>
      <c r="K4672" s="22" t="s">
        <v>16478</v>
      </c>
      <c r="L4672" s="56">
        <v>45107</v>
      </c>
      <c r="O4672" s="42"/>
      <c r="P4672" s="40"/>
      <c r="Q4672" s="61"/>
      <c r="R4672" s="61"/>
      <c r="S4672" s="40"/>
      <c r="T4672" s="38"/>
      <c r="U4672" s="38"/>
      <c r="V4672" s="38"/>
      <c r="W4672" s="60"/>
      <c r="AB4672" s="42"/>
      <c r="AC4672" s="35"/>
      <c r="AD4672" s="38"/>
      <c r="AE4672" s="38"/>
      <c r="AF4672" s="38"/>
      <c r="AG4672" s="38"/>
      <c r="AH4672" s="60"/>
    </row>
    <row r="4673" spans="1:34" ht="15.75" customHeight="1">
      <c r="A4673" s="17">
        <v>41</v>
      </c>
      <c r="B4673" s="158" t="s">
        <v>16479</v>
      </c>
      <c r="C4673" s="37" t="s">
        <v>24</v>
      </c>
      <c r="D4673" s="20" t="s">
        <v>16480</v>
      </c>
      <c r="E4673" s="20" t="s">
        <v>16481</v>
      </c>
      <c r="F4673" s="19" t="s">
        <v>27</v>
      </c>
      <c r="G4673" s="19" t="s">
        <v>28</v>
      </c>
      <c r="H4673" s="37" t="s">
        <v>55</v>
      </c>
      <c r="I4673" s="37" t="s">
        <v>29</v>
      </c>
      <c r="J4673" s="155" t="str">
        <f t="shared" si="7"/>
        <v>TT</v>
      </c>
      <c r="K4673" s="22" t="s">
        <v>16482</v>
      </c>
      <c r="L4673" s="56">
        <v>45107</v>
      </c>
      <c r="O4673" s="42"/>
      <c r="P4673" s="40"/>
      <c r="Q4673" s="61"/>
      <c r="R4673" s="61"/>
      <c r="S4673" s="40"/>
      <c r="T4673" s="38"/>
      <c r="U4673" s="38"/>
      <c r="V4673" s="38"/>
      <c r="W4673" s="60"/>
      <c r="AB4673" s="42"/>
      <c r="AC4673" s="35"/>
      <c r="AD4673" s="38"/>
      <c r="AE4673" s="38"/>
      <c r="AF4673" s="38"/>
      <c r="AG4673" s="38"/>
      <c r="AH4673" s="60"/>
    </row>
    <row r="4674" spans="1:34" ht="15.75" customHeight="1">
      <c r="A4674" s="111" t="s">
        <v>64</v>
      </c>
      <c r="B4674" s="158" t="s">
        <v>16483</v>
      </c>
      <c r="C4674" s="37" t="s">
        <v>24</v>
      </c>
      <c r="D4674" s="20" t="s">
        <v>16484</v>
      </c>
      <c r="E4674" s="20"/>
      <c r="F4674" s="19" t="s">
        <v>27</v>
      </c>
      <c r="G4674" s="19" t="s">
        <v>28</v>
      </c>
      <c r="H4674" s="37" t="s">
        <v>55</v>
      </c>
      <c r="I4674" s="37" t="s">
        <v>29</v>
      </c>
      <c r="J4674" s="155" t="str">
        <f t="shared" si="7"/>
        <v>TT</v>
      </c>
      <c r="K4674" s="22"/>
      <c r="L4674" s="56">
        <v>45107</v>
      </c>
      <c r="O4674" s="42"/>
      <c r="P4674" s="40"/>
      <c r="Q4674" s="61"/>
      <c r="R4674" s="61"/>
      <c r="S4674" s="40"/>
      <c r="T4674" s="38"/>
      <c r="U4674" s="38"/>
      <c r="V4674" s="38"/>
      <c r="W4674" s="60"/>
      <c r="AB4674" s="42"/>
      <c r="AC4674" s="35"/>
      <c r="AD4674" s="38"/>
      <c r="AE4674" s="38"/>
      <c r="AF4674" s="38"/>
      <c r="AG4674" s="38"/>
      <c r="AH4674" s="60"/>
    </row>
    <row r="4675" spans="1:34" ht="15.75" customHeight="1">
      <c r="A4675" s="75">
        <v>2.2000000000000002</v>
      </c>
      <c r="B4675" s="158" t="s">
        <v>16485</v>
      </c>
      <c r="C4675" s="37" t="s">
        <v>87</v>
      </c>
      <c r="D4675" s="20" t="s">
        <v>16486</v>
      </c>
      <c r="E4675" s="20" t="s">
        <v>16487</v>
      </c>
      <c r="F4675" s="19" t="s">
        <v>90</v>
      </c>
      <c r="G4675" s="19" t="s">
        <v>91</v>
      </c>
      <c r="H4675" s="37" t="s">
        <v>55</v>
      </c>
      <c r="I4675" s="37" t="s">
        <v>29</v>
      </c>
      <c r="J4675" s="155" t="str">
        <f t="shared" si="7"/>
        <v>TT</v>
      </c>
      <c r="K4675" s="22" t="s">
        <v>16488</v>
      </c>
      <c r="L4675" s="56">
        <v>45107</v>
      </c>
      <c r="O4675" s="42"/>
      <c r="P4675" s="40"/>
      <c r="Q4675" s="61"/>
      <c r="R4675" s="61"/>
      <c r="S4675" s="40"/>
      <c r="T4675" s="38"/>
      <c r="U4675" s="38"/>
      <c r="V4675" s="38"/>
      <c r="W4675" s="60"/>
      <c r="AB4675" s="42"/>
      <c r="AC4675" s="35"/>
      <c r="AD4675" s="38"/>
      <c r="AE4675" s="38"/>
      <c r="AF4675" s="38"/>
      <c r="AG4675" s="38"/>
      <c r="AH4675" s="60"/>
    </row>
    <row r="4676" spans="1:34" ht="15.75" customHeight="1">
      <c r="A4676" s="111" t="s">
        <v>73</v>
      </c>
      <c r="B4676" s="158" t="s">
        <v>16489</v>
      </c>
      <c r="C4676" s="37" t="s">
        <v>1430</v>
      </c>
      <c r="D4676" s="20" t="s">
        <v>16490</v>
      </c>
      <c r="E4676" s="20"/>
      <c r="F4676" s="55" t="s">
        <v>1445</v>
      </c>
      <c r="G4676" s="55" t="s">
        <v>1432</v>
      </c>
      <c r="H4676" s="37" t="s">
        <v>55</v>
      </c>
      <c r="I4676" s="37" t="s">
        <v>233</v>
      </c>
      <c r="J4676" s="155" t="str">
        <f t="shared" si="7"/>
        <v>NTT</v>
      </c>
      <c r="K4676" s="22"/>
      <c r="L4676" s="56">
        <v>45107</v>
      </c>
      <c r="O4676" s="42"/>
      <c r="P4676" s="40"/>
      <c r="Q4676" s="61"/>
      <c r="R4676" s="61"/>
      <c r="S4676" s="40"/>
      <c r="T4676" s="38"/>
      <c r="U4676" s="38"/>
      <c r="V4676" s="38"/>
      <c r="W4676" s="60"/>
      <c r="AB4676" s="42"/>
      <c r="AC4676" s="35"/>
      <c r="AD4676" s="38"/>
      <c r="AE4676" s="38"/>
      <c r="AF4676" s="38"/>
      <c r="AG4676" s="38"/>
      <c r="AH4676" s="60"/>
    </row>
    <row r="4677" spans="1:34" ht="15.75" customHeight="1">
      <c r="A4677" s="75">
        <v>2.6</v>
      </c>
      <c r="B4677" s="158" t="s">
        <v>16491</v>
      </c>
      <c r="C4677" s="37" t="s">
        <v>1430</v>
      </c>
      <c r="D4677" s="20" t="s">
        <v>16492</v>
      </c>
      <c r="E4677" s="20"/>
      <c r="F4677" s="55" t="s">
        <v>1445</v>
      </c>
      <c r="G4677" s="55" t="s">
        <v>1432</v>
      </c>
      <c r="H4677" s="37" t="s">
        <v>55</v>
      </c>
      <c r="I4677" s="37" t="s">
        <v>233</v>
      </c>
      <c r="J4677" s="155" t="str">
        <f t="shared" si="7"/>
        <v>NTT</v>
      </c>
      <c r="K4677" s="22"/>
      <c r="L4677" s="56">
        <v>45107</v>
      </c>
      <c r="O4677" s="42"/>
      <c r="P4677" s="40"/>
      <c r="Q4677" s="61"/>
      <c r="R4677" s="61"/>
      <c r="S4677" s="40"/>
      <c r="T4677" s="38"/>
      <c r="U4677" s="38"/>
      <c r="V4677" s="38"/>
      <c r="W4677" s="60"/>
      <c r="AB4677" s="42"/>
      <c r="AC4677" s="35"/>
      <c r="AD4677" s="38"/>
      <c r="AE4677" s="38"/>
      <c r="AF4677" s="38"/>
      <c r="AG4677" s="38"/>
      <c r="AH4677" s="60"/>
    </row>
    <row r="4678" spans="1:34" ht="15.75" customHeight="1">
      <c r="A4678" s="111" t="s">
        <v>82</v>
      </c>
      <c r="B4678" s="158" t="s">
        <v>16493</v>
      </c>
      <c r="C4678" s="37" t="s">
        <v>87</v>
      </c>
      <c r="D4678" s="20" t="s">
        <v>16494</v>
      </c>
      <c r="E4678" s="20" t="s">
        <v>16495</v>
      </c>
      <c r="F4678" s="19" t="s">
        <v>90</v>
      </c>
      <c r="G4678" s="19" t="s">
        <v>91</v>
      </c>
      <c r="H4678" s="37" t="s">
        <v>55</v>
      </c>
      <c r="I4678" s="37" t="s">
        <v>29</v>
      </c>
      <c r="J4678" s="155" t="str">
        <f t="shared" si="7"/>
        <v>TT</v>
      </c>
      <c r="K4678" s="22" t="s">
        <v>16496</v>
      </c>
      <c r="L4678" s="56">
        <v>45107</v>
      </c>
      <c r="O4678" s="42"/>
      <c r="P4678" s="40"/>
      <c r="Q4678" s="61"/>
      <c r="R4678" s="61"/>
      <c r="S4678" s="40"/>
      <c r="T4678" s="38"/>
      <c r="U4678" s="38"/>
      <c r="V4678" s="38"/>
      <c r="W4678" s="60"/>
      <c r="AB4678" s="42"/>
      <c r="AC4678" s="35"/>
      <c r="AD4678" s="38"/>
      <c r="AE4678" s="38"/>
      <c r="AF4678" s="38"/>
      <c r="AG4678" s="38"/>
      <c r="AH4678" s="60"/>
    </row>
    <row r="4679" spans="1:34" ht="15.75" customHeight="1">
      <c r="A4679" s="112" t="s">
        <v>16497</v>
      </c>
      <c r="B4679" s="158" t="s">
        <v>16498</v>
      </c>
      <c r="C4679" s="37" t="s">
        <v>24</v>
      </c>
      <c r="D4679" s="20" t="s">
        <v>16499</v>
      </c>
      <c r="E4679" s="20" t="s">
        <v>16500</v>
      </c>
      <c r="F4679" s="19" t="s">
        <v>27</v>
      </c>
      <c r="G4679" s="19" t="s">
        <v>28</v>
      </c>
      <c r="H4679" s="37" t="s">
        <v>55</v>
      </c>
      <c r="I4679" s="37" t="s">
        <v>29</v>
      </c>
      <c r="J4679" s="155" t="str">
        <f t="shared" si="7"/>
        <v>TT</v>
      </c>
      <c r="K4679" s="22" t="s">
        <v>16501</v>
      </c>
      <c r="L4679" s="56">
        <v>45107</v>
      </c>
      <c r="O4679" s="42"/>
      <c r="P4679" s="40"/>
      <c r="Q4679" s="61"/>
      <c r="R4679" s="61"/>
      <c r="S4679" s="40"/>
      <c r="T4679" s="38"/>
      <c r="U4679" s="38"/>
      <c r="V4679" s="38"/>
      <c r="W4679" s="60"/>
      <c r="AB4679" s="42"/>
      <c r="AC4679" s="35"/>
      <c r="AD4679" s="38"/>
      <c r="AE4679" s="38"/>
      <c r="AF4679" s="38"/>
      <c r="AG4679" s="38"/>
      <c r="AH4679" s="60"/>
    </row>
    <row r="4680" spans="1:34" ht="15.75" customHeight="1">
      <c r="A4680" s="111" t="s">
        <v>92</v>
      </c>
      <c r="B4680" s="159" t="s">
        <v>16502</v>
      </c>
      <c r="C4680" s="37" t="s">
        <v>24</v>
      </c>
      <c r="D4680" s="20" t="s">
        <v>16503</v>
      </c>
      <c r="E4680" s="20" t="s">
        <v>16504</v>
      </c>
      <c r="F4680" s="19" t="s">
        <v>27</v>
      </c>
      <c r="G4680" s="19" t="s">
        <v>28</v>
      </c>
      <c r="H4680" s="37" t="s">
        <v>55</v>
      </c>
      <c r="I4680" s="37" t="s">
        <v>29</v>
      </c>
      <c r="J4680" s="155" t="str">
        <f t="shared" si="7"/>
        <v>TT</v>
      </c>
      <c r="K4680" s="22" t="s">
        <v>16505</v>
      </c>
      <c r="L4680" s="56">
        <v>45107</v>
      </c>
      <c r="O4680" s="42"/>
      <c r="P4680" s="40"/>
      <c r="Q4680" s="61"/>
      <c r="R4680" s="61"/>
      <c r="S4680" s="40"/>
      <c r="T4680" s="38"/>
      <c r="U4680" s="38"/>
      <c r="V4680" s="38"/>
      <c r="W4680" s="60"/>
      <c r="AB4680" s="42"/>
      <c r="AC4680" s="35"/>
      <c r="AD4680" s="38"/>
      <c r="AE4680" s="38"/>
      <c r="AF4680" s="38"/>
      <c r="AG4680" s="38"/>
      <c r="AH4680" s="60"/>
    </row>
    <row r="4681" spans="1:34" ht="15.75" customHeight="1">
      <c r="A4681" s="17">
        <v>243</v>
      </c>
      <c r="B4681" s="158" t="s">
        <v>16506</v>
      </c>
      <c r="C4681" s="37" t="s">
        <v>46</v>
      </c>
      <c r="D4681" s="20" t="s">
        <v>16507</v>
      </c>
      <c r="E4681" s="20" t="s">
        <v>16508</v>
      </c>
      <c r="F4681" s="37" t="s">
        <v>49</v>
      </c>
      <c r="G4681" s="19" t="s">
        <v>50</v>
      </c>
      <c r="H4681" s="37" t="s">
        <v>55</v>
      </c>
      <c r="I4681" s="37" t="s">
        <v>29</v>
      </c>
      <c r="J4681" s="155" t="str">
        <f t="shared" ref="J4681:J4778" si="8">IF(G4681="R","NA",I4681)</f>
        <v>TT</v>
      </c>
      <c r="K4681" s="22" t="s">
        <v>16509</v>
      </c>
      <c r="L4681" s="56">
        <v>45107</v>
      </c>
      <c r="O4681" s="42"/>
      <c r="P4681" s="40"/>
      <c r="Q4681" s="61"/>
      <c r="R4681" s="61"/>
      <c r="S4681" s="40"/>
      <c r="T4681" s="38"/>
      <c r="U4681" s="38"/>
      <c r="V4681" s="38"/>
      <c r="W4681" s="60"/>
      <c r="AB4681" s="42"/>
      <c r="AC4681" s="35"/>
      <c r="AD4681" s="38"/>
      <c r="AE4681" s="38"/>
      <c r="AF4681" s="38"/>
      <c r="AG4681" s="38"/>
      <c r="AH4681" s="60"/>
    </row>
    <row r="4682" spans="1:34" ht="15.75" customHeight="1">
      <c r="A4682" s="111" t="s">
        <v>100</v>
      </c>
      <c r="B4682" s="158" t="s">
        <v>16510</v>
      </c>
      <c r="C4682" s="37" t="s">
        <v>46</v>
      </c>
      <c r="D4682" s="20" t="s">
        <v>16511</v>
      </c>
      <c r="E4682" s="20" t="s">
        <v>16512</v>
      </c>
      <c r="F4682" s="37" t="s">
        <v>49</v>
      </c>
      <c r="G4682" s="19" t="s">
        <v>50</v>
      </c>
      <c r="H4682" s="37" t="s">
        <v>55</v>
      </c>
      <c r="I4682" s="37" t="s">
        <v>29</v>
      </c>
      <c r="J4682" s="155" t="str">
        <f t="shared" si="8"/>
        <v>TT</v>
      </c>
      <c r="K4682" s="22" t="s">
        <v>16513</v>
      </c>
      <c r="L4682" s="56">
        <v>45107</v>
      </c>
      <c r="O4682" s="42"/>
      <c r="P4682" s="40"/>
      <c r="Q4682" s="61"/>
      <c r="R4682" s="61"/>
      <c r="S4682" s="40"/>
      <c r="T4682" s="38"/>
      <c r="U4682" s="38"/>
      <c r="V4682" s="38"/>
      <c r="W4682" s="60"/>
      <c r="AB4682" s="42"/>
      <c r="AC4682" s="35"/>
      <c r="AD4682" s="38"/>
      <c r="AE4682" s="38"/>
      <c r="AF4682" s="38"/>
      <c r="AG4682" s="38"/>
      <c r="AH4682" s="60"/>
    </row>
    <row r="4683" spans="1:34" ht="15.75" customHeight="1">
      <c r="A4683" s="17">
        <v>159</v>
      </c>
      <c r="B4683" s="158" t="s">
        <v>16514</v>
      </c>
      <c r="C4683" s="37" t="s">
        <v>24</v>
      </c>
      <c r="D4683" s="20" t="s">
        <v>16515</v>
      </c>
      <c r="E4683" s="20" t="s">
        <v>16516</v>
      </c>
      <c r="F4683" s="19" t="s">
        <v>27</v>
      </c>
      <c r="G4683" s="19" t="s">
        <v>28</v>
      </c>
      <c r="H4683" s="37" t="s">
        <v>55</v>
      </c>
      <c r="I4683" s="37" t="s">
        <v>29</v>
      </c>
      <c r="J4683" s="155" t="str">
        <f t="shared" si="8"/>
        <v>TT</v>
      </c>
      <c r="K4683" s="22" t="s">
        <v>16517</v>
      </c>
      <c r="L4683" s="56">
        <v>45107</v>
      </c>
      <c r="O4683" s="42"/>
      <c r="P4683" s="40"/>
      <c r="Q4683" s="61"/>
      <c r="R4683" s="61"/>
      <c r="S4683" s="40"/>
      <c r="T4683" s="38"/>
      <c r="U4683" s="38"/>
      <c r="V4683" s="38"/>
      <c r="W4683" s="60"/>
      <c r="AB4683" s="42"/>
      <c r="AC4683" s="35"/>
      <c r="AD4683" s="38"/>
      <c r="AE4683" s="38"/>
      <c r="AF4683" s="38"/>
      <c r="AG4683" s="38"/>
      <c r="AH4683" s="60"/>
    </row>
    <row r="4684" spans="1:34" ht="15.75" customHeight="1">
      <c r="A4684" s="35"/>
      <c r="B4684" s="158" t="s">
        <v>16518</v>
      </c>
      <c r="C4684" s="37" t="s">
        <v>24</v>
      </c>
      <c r="D4684" s="20" t="s">
        <v>16519</v>
      </c>
      <c r="E4684" s="20" t="s">
        <v>16520</v>
      </c>
      <c r="F4684" s="19" t="s">
        <v>27</v>
      </c>
      <c r="G4684" s="19" t="s">
        <v>28</v>
      </c>
      <c r="H4684" s="37" t="s">
        <v>55</v>
      </c>
      <c r="I4684" s="37" t="s">
        <v>29</v>
      </c>
      <c r="J4684" s="155" t="str">
        <f t="shared" si="8"/>
        <v>TT</v>
      </c>
      <c r="K4684" s="22" t="s">
        <v>16521</v>
      </c>
      <c r="L4684" s="56">
        <v>45107</v>
      </c>
      <c r="O4684" s="42"/>
      <c r="P4684" s="40"/>
      <c r="Q4684" s="61"/>
      <c r="R4684" s="61"/>
      <c r="S4684" s="40"/>
      <c r="T4684" s="38"/>
      <c r="U4684" s="38"/>
      <c r="V4684" s="38"/>
      <c r="W4684" s="60"/>
      <c r="AB4684" s="42"/>
      <c r="AC4684" s="35"/>
      <c r="AD4684" s="38"/>
      <c r="AE4684" s="38"/>
      <c r="AF4684" s="38"/>
      <c r="AG4684" s="38"/>
      <c r="AH4684" s="60"/>
    </row>
    <row r="4685" spans="1:34" ht="15.75" customHeight="1">
      <c r="A4685" s="247"/>
      <c r="B4685" s="38"/>
      <c r="C4685" s="37"/>
      <c r="D4685" s="20"/>
      <c r="E4685" s="20"/>
      <c r="F4685" s="37"/>
      <c r="G4685" s="37"/>
      <c r="H4685" s="37"/>
      <c r="I4685" s="37"/>
      <c r="J4685" s="155">
        <f t="shared" si="8"/>
        <v>0</v>
      </c>
      <c r="K4685" s="22"/>
      <c r="L4685" s="39"/>
      <c r="O4685" s="42"/>
      <c r="P4685" s="40"/>
      <c r="Q4685" s="61"/>
      <c r="R4685" s="61"/>
      <c r="S4685" s="40"/>
      <c r="T4685" s="38"/>
      <c r="U4685" s="38"/>
      <c r="V4685" s="38"/>
      <c r="W4685" s="60"/>
      <c r="AB4685" s="42"/>
      <c r="AC4685" s="35"/>
      <c r="AD4685" s="38"/>
      <c r="AE4685" s="38"/>
      <c r="AF4685" s="38"/>
      <c r="AG4685" s="38"/>
      <c r="AH4685" s="60"/>
    </row>
    <row r="4686" spans="1:34" ht="15.75" customHeight="1">
      <c r="A4686" s="35" t="s">
        <v>16522</v>
      </c>
      <c r="B4686" s="78" t="s">
        <v>16523</v>
      </c>
      <c r="C4686" s="37" t="s">
        <v>87</v>
      </c>
      <c r="D4686" s="180" t="s">
        <v>16524</v>
      </c>
      <c r="E4686" s="20" t="s">
        <v>16525</v>
      </c>
      <c r="F4686" s="19" t="s">
        <v>90</v>
      </c>
      <c r="G4686" s="19" t="s">
        <v>91</v>
      </c>
      <c r="H4686" s="37" t="s">
        <v>55</v>
      </c>
      <c r="I4686" s="37" t="s">
        <v>29</v>
      </c>
      <c r="J4686" s="155" t="str">
        <f t="shared" si="8"/>
        <v>TT</v>
      </c>
      <c r="K4686" s="22" t="s">
        <v>16526</v>
      </c>
      <c r="L4686" s="56">
        <v>45107</v>
      </c>
      <c r="M4686" s="40"/>
      <c r="O4686" s="42"/>
      <c r="P4686" s="40"/>
      <c r="Q4686" s="61"/>
      <c r="R4686" s="61"/>
      <c r="S4686" s="40"/>
      <c r="T4686" s="38"/>
      <c r="U4686" s="38"/>
      <c r="V4686" s="38"/>
      <c r="W4686" s="60"/>
      <c r="AB4686" s="42"/>
      <c r="AC4686" s="35"/>
      <c r="AD4686" s="38"/>
      <c r="AE4686" s="38"/>
      <c r="AF4686" s="38"/>
      <c r="AG4686" s="38"/>
      <c r="AH4686" s="60"/>
    </row>
    <row r="4687" spans="1:34" ht="15.75" customHeight="1">
      <c r="A4687" s="54" t="s">
        <v>2714</v>
      </c>
      <c r="B4687" s="158" t="s">
        <v>16527</v>
      </c>
      <c r="C4687" s="37" t="s">
        <v>87</v>
      </c>
      <c r="D4687" s="180" t="s">
        <v>16528</v>
      </c>
      <c r="E4687" s="20" t="s">
        <v>16529</v>
      </c>
      <c r="F4687" s="19" t="s">
        <v>90</v>
      </c>
      <c r="G4687" s="19" t="s">
        <v>91</v>
      </c>
      <c r="H4687" s="37" t="s">
        <v>55</v>
      </c>
      <c r="I4687" s="19" t="s">
        <v>29</v>
      </c>
      <c r="J4687" s="155" t="str">
        <f t="shared" si="8"/>
        <v>TT</v>
      </c>
      <c r="K4687" s="22" t="s">
        <v>16530</v>
      </c>
      <c r="L4687" s="56">
        <v>45107</v>
      </c>
      <c r="O4687" s="42"/>
      <c r="P4687" s="40"/>
      <c r="Q4687" s="61"/>
      <c r="R4687" s="61"/>
      <c r="S4687" s="40"/>
      <c r="T4687" s="38"/>
      <c r="U4687" s="38"/>
      <c r="V4687" s="38"/>
      <c r="W4687" s="60"/>
      <c r="AB4687" s="42"/>
      <c r="AC4687" s="35"/>
      <c r="AD4687" s="38"/>
      <c r="AE4687" s="38"/>
      <c r="AF4687" s="38"/>
      <c r="AG4687" s="38"/>
      <c r="AH4687" s="60"/>
    </row>
    <row r="4688" spans="1:34" ht="15.75" customHeight="1">
      <c r="A4688" s="114" t="s">
        <v>39</v>
      </c>
      <c r="B4688" s="158" t="s">
        <v>16531</v>
      </c>
      <c r="C4688" s="37" t="s">
        <v>46</v>
      </c>
      <c r="D4688" s="20" t="s">
        <v>16532</v>
      </c>
      <c r="E4688" s="20" t="s">
        <v>16533</v>
      </c>
      <c r="F4688" s="37" t="s">
        <v>49</v>
      </c>
      <c r="G4688" s="19" t="s">
        <v>50</v>
      </c>
      <c r="H4688" s="37" t="s">
        <v>55</v>
      </c>
      <c r="I4688" s="19" t="s">
        <v>29</v>
      </c>
      <c r="J4688" s="155" t="str">
        <f t="shared" si="8"/>
        <v>TT</v>
      </c>
      <c r="K4688" s="22" t="s">
        <v>16534</v>
      </c>
      <c r="L4688" s="56">
        <v>45107</v>
      </c>
      <c r="O4688" s="42"/>
      <c r="P4688" s="40"/>
      <c r="Q4688" s="61"/>
      <c r="R4688" s="61"/>
      <c r="S4688" s="40"/>
      <c r="T4688" s="38"/>
      <c r="U4688" s="38"/>
      <c r="V4688" s="38"/>
      <c r="W4688" s="60"/>
      <c r="AB4688" s="42"/>
      <c r="AC4688" s="35"/>
      <c r="AD4688" s="38"/>
      <c r="AE4688" s="38"/>
      <c r="AF4688" s="38"/>
      <c r="AG4688" s="38"/>
      <c r="AH4688" s="60"/>
    </row>
    <row r="4689" spans="1:34" ht="15.75" customHeight="1">
      <c r="A4689" s="38" t="s">
        <v>16024</v>
      </c>
      <c r="B4689" s="158" t="s">
        <v>16535</v>
      </c>
      <c r="C4689" s="37" t="s">
        <v>24</v>
      </c>
      <c r="D4689" s="20" t="s">
        <v>16536</v>
      </c>
      <c r="E4689" s="20" t="s">
        <v>16537</v>
      </c>
      <c r="F4689" s="19" t="s">
        <v>27</v>
      </c>
      <c r="G4689" s="19" t="s">
        <v>28</v>
      </c>
      <c r="H4689" s="37" t="s">
        <v>55</v>
      </c>
      <c r="I4689" s="19" t="s">
        <v>29</v>
      </c>
      <c r="J4689" s="155" t="str">
        <f t="shared" si="8"/>
        <v>TT</v>
      </c>
      <c r="K4689" s="22" t="s">
        <v>16538</v>
      </c>
      <c r="L4689" s="56">
        <v>45107</v>
      </c>
      <c r="O4689" s="42"/>
      <c r="P4689" s="40"/>
      <c r="Q4689" s="61"/>
      <c r="R4689" s="61"/>
      <c r="S4689" s="40"/>
      <c r="T4689" s="38"/>
      <c r="U4689" s="38"/>
      <c r="V4689" s="38"/>
      <c r="W4689" s="60"/>
      <c r="AB4689" s="42"/>
      <c r="AC4689" s="35"/>
      <c r="AD4689" s="38"/>
      <c r="AE4689" s="38"/>
      <c r="AF4689" s="38"/>
      <c r="AG4689" s="38"/>
      <c r="AH4689" s="60"/>
    </row>
    <row r="4690" spans="1:34" ht="15.75" customHeight="1">
      <c r="A4690" s="75" t="s">
        <v>4283</v>
      </c>
      <c r="B4690" s="158" t="s">
        <v>16539</v>
      </c>
      <c r="C4690" s="37" t="s">
        <v>24</v>
      </c>
      <c r="D4690" s="180" t="s">
        <v>16540</v>
      </c>
      <c r="E4690" s="20" t="s">
        <v>16541</v>
      </c>
      <c r="F4690" s="19" t="s">
        <v>27</v>
      </c>
      <c r="G4690" s="19" t="s">
        <v>28</v>
      </c>
      <c r="H4690" s="37" t="s">
        <v>55</v>
      </c>
      <c r="I4690" s="19" t="s">
        <v>29</v>
      </c>
      <c r="J4690" s="155" t="str">
        <f t="shared" si="8"/>
        <v>TT</v>
      </c>
      <c r="K4690" s="22" t="s">
        <v>16542</v>
      </c>
      <c r="L4690" s="56">
        <v>45107</v>
      </c>
      <c r="O4690" s="42"/>
      <c r="P4690" s="40"/>
      <c r="Q4690" s="61"/>
      <c r="R4690" s="61"/>
      <c r="S4690" s="40"/>
      <c r="T4690" s="38"/>
      <c r="U4690" s="38"/>
      <c r="V4690" s="38"/>
      <c r="W4690" s="60"/>
      <c r="AB4690" s="42"/>
      <c r="AC4690" s="35"/>
      <c r="AD4690" s="38"/>
      <c r="AE4690" s="38"/>
      <c r="AF4690" s="38"/>
      <c r="AG4690" s="38"/>
      <c r="AH4690" s="60"/>
    </row>
    <row r="4691" spans="1:34" ht="15.75" customHeight="1">
      <c r="A4691" s="50" t="s">
        <v>56</v>
      </c>
      <c r="B4691" s="158" t="s">
        <v>16543</v>
      </c>
      <c r="C4691" s="37" t="s">
        <v>46</v>
      </c>
      <c r="D4691" s="180" t="s">
        <v>16544</v>
      </c>
      <c r="E4691" s="20" t="s">
        <v>16545</v>
      </c>
      <c r="F4691" s="37" t="s">
        <v>49</v>
      </c>
      <c r="G4691" s="19" t="s">
        <v>50</v>
      </c>
      <c r="H4691" s="37" t="s">
        <v>55</v>
      </c>
      <c r="I4691" s="19" t="s">
        <v>29</v>
      </c>
      <c r="J4691" s="155" t="str">
        <f t="shared" si="8"/>
        <v>TT</v>
      </c>
      <c r="K4691" s="22" t="s">
        <v>16546</v>
      </c>
      <c r="L4691" s="56">
        <v>45107</v>
      </c>
      <c r="O4691" s="42"/>
      <c r="P4691" s="40"/>
      <c r="Q4691" s="61"/>
      <c r="R4691" s="61"/>
      <c r="S4691" s="40"/>
      <c r="T4691" s="38"/>
      <c r="U4691" s="38"/>
      <c r="V4691" s="38"/>
      <c r="W4691" s="60"/>
      <c r="AB4691" s="42"/>
      <c r="AC4691" s="35"/>
      <c r="AD4691" s="38"/>
      <c r="AE4691" s="38"/>
      <c r="AF4691" s="38"/>
      <c r="AG4691" s="38"/>
      <c r="AH4691" s="60"/>
    </row>
    <row r="4692" spans="1:34" ht="15.75" customHeight="1">
      <c r="A4692" s="17">
        <v>67</v>
      </c>
      <c r="B4692" s="158" t="s">
        <v>16547</v>
      </c>
      <c r="C4692" s="37" t="s">
        <v>87</v>
      </c>
      <c r="D4692" s="180" t="s">
        <v>16548</v>
      </c>
      <c r="E4692" s="20" t="s">
        <v>16549</v>
      </c>
      <c r="F4692" s="19" t="s">
        <v>90</v>
      </c>
      <c r="G4692" s="19" t="s">
        <v>91</v>
      </c>
      <c r="H4692" s="37" t="s">
        <v>55</v>
      </c>
      <c r="I4692" s="19" t="s">
        <v>29</v>
      </c>
      <c r="J4692" s="155" t="str">
        <f t="shared" si="8"/>
        <v>TT</v>
      </c>
      <c r="K4692" s="22" t="s">
        <v>16550</v>
      </c>
      <c r="L4692" s="56">
        <v>45107</v>
      </c>
      <c r="O4692" s="42"/>
      <c r="P4692" s="40"/>
      <c r="Q4692" s="61"/>
      <c r="R4692" s="61"/>
      <c r="S4692" s="40"/>
      <c r="T4692" s="38"/>
      <c r="U4692" s="38"/>
      <c r="V4692" s="38"/>
      <c r="W4692" s="60"/>
      <c r="AB4692" s="42"/>
      <c r="AC4692" s="35"/>
      <c r="AD4692" s="38"/>
      <c r="AE4692" s="38"/>
      <c r="AF4692" s="38"/>
      <c r="AG4692" s="38"/>
      <c r="AH4692" s="60"/>
    </row>
    <row r="4693" spans="1:34" ht="15.75" customHeight="1">
      <c r="A4693" s="111" t="s">
        <v>64</v>
      </c>
      <c r="B4693" s="158" t="s">
        <v>16551</v>
      </c>
      <c r="C4693" s="37" t="s">
        <v>46</v>
      </c>
      <c r="D4693" s="180" t="s">
        <v>16552</v>
      </c>
      <c r="E4693" s="20" t="s">
        <v>16553</v>
      </c>
      <c r="F4693" s="37" t="s">
        <v>49</v>
      </c>
      <c r="G4693" s="19" t="s">
        <v>50</v>
      </c>
      <c r="H4693" s="37" t="s">
        <v>55</v>
      </c>
      <c r="I4693" s="19" t="s">
        <v>29</v>
      </c>
      <c r="J4693" s="155" t="str">
        <f t="shared" si="8"/>
        <v>TT</v>
      </c>
      <c r="K4693" s="22" t="s">
        <v>16554</v>
      </c>
      <c r="L4693" s="56">
        <v>45107</v>
      </c>
      <c r="O4693" s="42"/>
      <c r="P4693" s="40"/>
      <c r="Q4693" s="61"/>
      <c r="R4693" s="61"/>
      <c r="S4693" s="40"/>
      <c r="T4693" s="38"/>
      <c r="U4693" s="38"/>
      <c r="V4693" s="38"/>
      <c r="W4693" s="60"/>
      <c r="AB4693" s="42"/>
      <c r="AC4693" s="35"/>
      <c r="AD4693" s="38"/>
      <c r="AE4693" s="38"/>
      <c r="AF4693" s="38"/>
      <c r="AG4693" s="38"/>
      <c r="AH4693" s="60"/>
    </row>
    <row r="4694" spans="1:34" ht="15.75" customHeight="1">
      <c r="A4694" s="75">
        <v>2.2999999999999998</v>
      </c>
      <c r="B4694" s="158" t="s">
        <v>16555</v>
      </c>
      <c r="C4694" s="37" t="s">
        <v>46</v>
      </c>
      <c r="D4694" s="180" t="s">
        <v>16556</v>
      </c>
      <c r="E4694" s="20" t="s">
        <v>16557</v>
      </c>
      <c r="F4694" s="37" t="s">
        <v>49</v>
      </c>
      <c r="G4694" s="19" t="s">
        <v>50</v>
      </c>
      <c r="H4694" s="37" t="s">
        <v>55</v>
      </c>
      <c r="I4694" s="19" t="s">
        <v>29</v>
      </c>
      <c r="J4694" s="155" t="str">
        <f t="shared" si="8"/>
        <v>TT</v>
      </c>
      <c r="K4694" s="22" t="s">
        <v>16558</v>
      </c>
      <c r="L4694" s="56">
        <v>45107</v>
      </c>
      <c r="O4694" s="42"/>
      <c r="P4694" s="40"/>
      <c r="Q4694" s="61"/>
      <c r="R4694" s="61"/>
      <c r="S4694" s="40"/>
      <c r="T4694" s="38"/>
      <c r="U4694" s="38"/>
      <c r="V4694" s="38"/>
      <c r="W4694" s="60"/>
      <c r="AB4694" s="42"/>
      <c r="AC4694" s="35"/>
      <c r="AD4694" s="38"/>
      <c r="AE4694" s="38"/>
      <c r="AF4694" s="38"/>
      <c r="AG4694" s="38"/>
      <c r="AH4694" s="60"/>
    </row>
    <row r="4695" spans="1:34" ht="15.75" customHeight="1">
      <c r="A4695" s="111" t="s">
        <v>73</v>
      </c>
      <c r="B4695" s="158" t="s">
        <v>16559</v>
      </c>
      <c r="C4695" s="37" t="s">
        <v>24</v>
      </c>
      <c r="D4695" s="180" t="s">
        <v>16560</v>
      </c>
      <c r="E4695" s="20" t="s">
        <v>16561</v>
      </c>
      <c r="F4695" s="19" t="s">
        <v>27</v>
      </c>
      <c r="G4695" s="19" t="s">
        <v>28</v>
      </c>
      <c r="H4695" s="37" t="s">
        <v>55</v>
      </c>
      <c r="I4695" s="19" t="s">
        <v>29</v>
      </c>
      <c r="J4695" s="155" t="str">
        <f t="shared" si="8"/>
        <v>TT</v>
      </c>
      <c r="K4695" s="22" t="s">
        <v>16562</v>
      </c>
      <c r="L4695" s="56">
        <v>45107</v>
      </c>
      <c r="O4695" s="42"/>
      <c r="P4695" s="40"/>
      <c r="Q4695" s="61"/>
      <c r="R4695" s="61"/>
      <c r="S4695" s="40"/>
      <c r="T4695" s="38"/>
      <c r="U4695" s="38"/>
      <c r="V4695" s="38"/>
      <c r="W4695" s="60"/>
      <c r="AB4695" s="42"/>
      <c r="AC4695" s="35"/>
      <c r="AD4695" s="38"/>
      <c r="AE4695" s="38"/>
      <c r="AF4695" s="38"/>
      <c r="AG4695" s="38"/>
      <c r="AH4695" s="60"/>
    </row>
    <row r="4696" spans="1:34" ht="15.75" customHeight="1">
      <c r="A4696" s="75">
        <v>3</v>
      </c>
      <c r="B4696" s="158" t="s">
        <v>16563</v>
      </c>
      <c r="C4696" s="37" t="s">
        <v>24</v>
      </c>
      <c r="D4696" s="180" t="s">
        <v>16564</v>
      </c>
      <c r="E4696" s="20" t="s">
        <v>16565</v>
      </c>
      <c r="F4696" s="19" t="s">
        <v>27</v>
      </c>
      <c r="G4696" s="19" t="s">
        <v>28</v>
      </c>
      <c r="H4696" s="37" t="s">
        <v>55</v>
      </c>
      <c r="I4696" s="19" t="s">
        <v>29</v>
      </c>
      <c r="J4696" s="155" t="str">
        <f t="shared" si="8"/>
        <v>TT</v>
      </c>
      <c r="K4696" s="22" t="s">
        <v>16566</v>
      </c>
      <c r="L4696" s="56">
        <v>45107</v>
      </c>
      <c r="O4696" s="42"/>
      <c r="P4696" s="40"/>
      <c r="Q4696" s="61"/>
      <c r="R4696" s="61"/>
      <c r="S4696" s="40"/>
      <c r="T4696" s="38"/>
      <c r="U4696" s="38"/>
      <c r="V4696" s="38"/>
      <c r="W4696" s="60"/>
      <c r="AB4696" s="42"/>
      <c r="AC4696" s="35"/>
      <c r="AD4696" s="38"/>
      <c r="AE4696" s="38"/>
      <c r="AF4696" s="38"/>
      <c r="AG4696" s="38"/>
      <c r="AH4696" s="60"/>
    </row>
    <row r="4697" spans="1:34" ht="15.75" customHeight="1">
      <c r="A4697" s="111" t="s">
        <v>82</v>
      </c>
      <c r="B4697" s="158" t="s">
        <v>16567</v>
      </c>
      <c r="C4697" s="37" t="s">
        <v>412</v>
      </c>
      <c r="D4697" s="180" t="s">
        <v>16568</v>
      </c>
      <c r="E4697" s="20" t="s">
        <v>16569</v>
      </c>
      <c r="F4697" s="19" t="s">
        <v>414</v>
      </c>
      <c r="G4697" s="37" t="s">
        <v>415</v>
      </c>
      <c r="H4697" s="37" t="s">
        <v>55</v>
      </c>
      <c r="I4697" s="19" t="s">
        <v>233</v>
      </c>
      <c r="J4697" s="155" t="str">
        <f t="shared" si="8"/>
        <v>NTT</v>
      </c>
      <c r="K4697" s="22" t="s">
        <v>16570</v>
      </c>
      <c r="L4697" s="56">
        <v>45107</v>
      </c>
      <c r="O4697" s="42"/>
      <c r="P4697" s="40"/>
      <c r="Q4697" s="61"/>
      <c r="R4697" s="61"/>
      <c r="S4697" s="40"/>
      <c r="T4697" s="38"/>
      <c r="U4697" s="38"/>
      <c r="V4697" s="38"/>
      <c r="W4697" s="60"/>
      <c r="AB4697" s="42"/>
      <c r="AC4697" s="35"/>
      <c r="AD4697" s="38"/>
      <c r="AE4697" s="38"/>
      <c r="AF4697" s="38"/>
      <c r="AG4697" s="38"/>
      <c r="AH4697" s="60"/>
    </row>
    <row r="4698" spans="1:34" ht="15.75" customHeight="1">
      <c r="A4698" s="112" t="s">
        <v>16571</v>
      </c>
      <c r="B4698" s="158" t="s">
        <v>16572</v>
      </c>
      <c r="C4698" s="37" t="s">
        <v>412</v>
      </c>
      <c r="D4698" s="180" t="s">
        <v>16573</v>
      </c>
      <c r="E4698" s="20" t="s">
        <v>16574</v>
      </c>
      <c r="F4698" s="19" t="s">
        <v>414</v>
      </c>
      <c r="G4698" s="19" t="s">
        <v>415</v>
      </c>
      <c r="H4698" s="37" t="s">
        <v>55</v>
      </c>
      <c r="I4698" s="19" t="s">
        <v>233</v>
      </c>
      <c r="J4698" s="155" t="str">
        <f t="shared" si="8"/>
        <v>NTT</v>
      </c>
      <c r="K4698" s="22" t="s">
        <v>16575</v>
      </c>
      <c r="L4698" s="56">
        <v>45107</v>
      </c>
      <c r="O4698" s="42"/>
      <c r="P4698" s="40"/>
      <c r="Q4698" s="61"/>
      <c r="R4698" s="61"/>
      <c r="S4698" s="40"/>
      <c r="T4698" s="38"/>
      <c r="U4698" s="38"/>
      <c r="V4698" s="38"/>
      <c r="W4698" s="60"/>
      <c r="AB4698" s="42"/>
      <c r="AC4698" s="35"/>
      <c r="AD4698" s="38"/>
      <c r="AE4698" s="38"/>
      <c r="AF4698" s="38"/>
      <c r="AG4698" s="38"/>
      <c r="AH4698" s="60"/>
    </row>
    <row r="4699" spans="1:34" ht="15.75" customHeight="1">
      <c r="A4699" s="111" t="s">
        <v>92</v>
      </c>
      <c r="B4699" s="158" t="s">
        <v>16576</v>
      </c>
      <c r="C4699" s="37" t="s">
        <v>24</v>
      </c>
      <c r="D4699" s="180" t="s">
        <v>16577</v>
      </c>
      <c r="E4699" s="20" t="s">
        <v>16578</v>
      </c>
      <c r="F4699" s="19" t="s">
        <v>27</v>
      </c>
      <c r="G4699" s="19" t="s">
        <v>28</v>
      </c>
      <c r="H4699" s="37" t="s">
        <v>55</v>
      </c>
      <c r="I4699" s="19" t="s">
        <v>29</v>
      </c>
      <c r="J4699" s="155" t="str">
        <f t="shared" si="8"/>
        <v>TT</v>
      </c>
      <c r="K4699" s="22" t="s">
        <v>16579</v>
      </c>
      <c r="L4699" s="56">
        <v>45107</v>
      </c>
      <c r="O4699" s="42"/>
      <c r="P4699" s="40"/>
      <c r="Q4699" s="61"/>
      <c r="R4699" s="61"/>
      <c r="S4699" s="40"/>
      <c r="T4699" s="38"/>
      <c r="U4699" s="38"/>
      <c r="V4699" s="38"/>
      <c r="W4699" s="60"/>
      <c r="AB4699" s="42"/>
      <c r="AC4699" s="35"/>
      <c r="AD4699" s="38"/>
      <c r="AE4699" s="38"/>
      <c r="AF4699" s="38"/>
      <c r="AG4699" s="38"/>
      <c r="AH4699" s="60"/>
    </row>
    <row r="4700" spans="1:34" ht="15.75" customHeight="1">
      <c r="A4700" s="17">
        <v>1116</v>
      </c>
      <c r="B4700" s="158" t="s">
        <v>16580</v>
      </c>
      <c r="C4700" s="37" t="s">
        <v>87</v>
      </c>
      <c r="D4700" s="180" t="s">
        <v>16581</v>
      </c>
      <c r="E4700" s="20" t="s">
        <v>16582</v>
      </c>
      <c r="F4700" s="19" t="s">
        <v>90</v>
      </c>
      <c r="G4700" s="19" t="s">
        <v>91</v>
      </c>
      <c r="H4700" s="37" t="s">
        <v>55</v>
      </c>
      <c r="I4700" s="19" t="s">
        <v>29</v>
      </c>
      <c r="J4700" s="155" t="str">
        <f t="shared" si="8"/>
        <v>TT</v>
      </c>
      <c r="K4700" s="22" t="s">
        <v>16583</v>
      </c>
      <c r="L4700" s="56">
        <v>45107</v>
      </c>
      <c r="O4700" s="42"/>
      <c r="P4700" s="40"/>
      <c r="Q4700" s="61"/>
      <c r="R4700" s="61"/>
      <c r="S4700" s="40"/>
      <c r="T4700" s="38"/>
      <c r="U4700" s="38"/>
      <c r="V4700" s="38"/>
      <c r="W4700" s="60"/>
      <c r="AB4700" s="42"/>
      <c r="AC4700" s="35"/>
      <c r="AD4700" s="38"/>
      <c r="AE4700" s="38"/>
      <c r="AF4700" s="38"/>
      <c r="AG4700" s="38"/>
      <c r="AH4700" s="60"/>
    </row>
    <row r="4701" spans="1:34" ht="15.75" customHeight="1">
      <c r="A4701" s="111" t="s">
        <v>100</v>
      </c>
      <c r="B4701" s="158" t="s">
        <v>16584</v>
      </c>
      <c r="C4701" s="37" t="s">
        <v>46</v>
      </c>
      <c r="D4701" s="180" t="s">
        <v>16585</v>
      </c>
      <c r="E4701" s="20" t="s">
        <v>16586</v>
      </c>
      <c r="F4701" s="37" t="s">
        <v>49</v>
      </c>
      <c r="G4701" s="19" t="s">
        <v>50</v>
      </c>
      <c r="H4701" s="37" t="s">
        <v>55</v>
      </c>
      <c r="I4701" s="19" t="s">
        <v>29</v>
      </c>
      <c r="J4701" s="155" t="str">
        <f t="shared" si="8"/>
        <v>TT</v>
      </c>
      <c r="K4701" s="22" t="s">
        <v>16587</v>
      </c>
      <c r="L4701" s="56">
        <v>45107</v>
      </c>
      <c r="O4701" s="42"/>
      <c r="P4701" s="40"/>
      <c r="Q4701" s="61"/>
      <c r="R4701" s="61"/>
      <c r="S4701" s="40"/>
      <c r="T4701" s="38"/>
      <c r="U4701" s="38"/>
      <c r="V4701" s="38"/>
      <c r="W4701" s="60"/>
      <c r="AB4701" s="42"/>
      <c r="AC4701" s="35"/>
      <c r="AD4701" s="38"/>
      <c r="AE4701" s="38"/>
      <c r="AF4701" s="38"/>
      <c r="AG4701" s="38"/>
      <c r="AH4701" s="60"/>
    </row>
    <row r="4702" spans="1:34" ht="15.75" customHeight="1">
      <c r="A4702" s="17">
        <v>162</v>
      </c>
      <c r="B4702" s="158" t="s">
        <v>16588</v>
      </c>
      <c r="C4702" s="37" t="s">
        <v>46</v>
      </c>
      <c r="D4702" s="180" t="s">
        <v>16589</v>
      </c>
      <c r="E4702" s="20" t="s">
        <v>16590</v>
      </c>
      <c r="F4702" s="37" t="s">
        <v>49</v>
      </c>
      <c r="G4702" s="19" t="s">
        <v>50</v>
      </c>
      <c r="H4702" s="37" t="s">
        <v>55</v>
      </c>
      <c r="I4702" s="19" t="s">
        <v>29</v>
      </c>
      <c r="J4702" s="155" t="str">
        <f t="shared" si="8"/>
        <v>TT</v>
      </c>
      <c r="K4702" s="22" t="s">
        <v>16591</v>
      </c>
      <c r="L4702" s="56">
        <v>45107</v>
      </c>
      <c r="O4702" s="42"/>
      <c r="P4702" s="40"/>
      <c r="Q4702" s="61"/>
      <c r="R4702" s="61"/>
      <c r="S4702" s="40"/>
      <c r="T4702" s="38"/>
      <c r="U4702" s="38"/>
      <c r="V4702" s="38"/>
      <c r="W4702" s="60"/>
      <c r="AB4702" s="42"/>
      <c r="AC4702" s="35"/>
      <c r="AD4702" s="38"/>
      <c r="AE4702" s="38"/>
      <c r="AF4702" s="38"/>
      <c r="AG4702" s="38"/>
      <c r="AH4702" s="60"/>
    </row>
    <row r="4703" spans="1:34" ht="15.75" customHeight="1">
      <c r="A4703" s="35"/>
      <c r="B4703" s="158" t="s">
        <v>16592</v>
      </c>
      <c r="C4703" s="37" t="s">
        <v>412</v>
      </c>
      <c r="D4703" s="180" t="s">
        <v>16593</v>
      </c>
      <c r="E4703" s="20"/>
      <c r="F4703" s="19" t="s">
        <v>414</v>
      </c>
      <c r="G4703" s="37" t="s">
        <v>415</v>
      </c>
      <c r="H4703" s="37" t="s">
        <v>55</v>
      </c>
      <c r="I4703" s="19" t="s">
        <v>233</v>
      </c>
      <c r="J4703" s="155" t="str">
        <f t="shared" si="8"/>
        <v>NTT</v>
      </c>
      <c r="K4703" s="22"/>
      <c r="L4703" s="56">
        <v>45107</v>
      </c>
      <c r="O4703" s="42"/>
      <c r="P4703" s="40"/>
      <c r="Q4703" s="61"/>
      <c r="R4703" s="61"/>
      <c r="S4703" s="40"/>
      <c r="T4703" s="38"/>
      <c r="U4703" s="38"/>
      <c r="V4703" s="38"/>
      <c r="W4703" s="60"/>
      <c r="AB4703" s="42"/>
      <c r="AC4703" s="35"/>
      <c r="AD4703" s="38"/>
      <c r="AE4703" s="38"/>
      <c r="AF4703" s="38"/>
      <c r="AG4703" s="38"/>
      <c r="AH4703" s="60"/>
    </row>
    <row r="4704" spans="1:34" ht="15.75" customHeight="1">
      <c r="A4704" s="87"/>
      <c r="B4704" s="158" t="s">
        <v>16594</v>
      </c>
      <c r="C4704" s="37" t="s">
        <v>24</v>
      </c>
      <c r="D4704" s="180" t="s">
        <v>16595</v>
      </c>
      <c r="E4704" s="20" t="s">
        <v>16596</v>
      </c>
      <c r="F4704" s="19" t="s">
        <v>27</v>
      </c>
      <c r="G4704" s="19" t="s">
        <v>28</v>
      </c>
      <c r="H4704" s="37" t="s">
        <v>55</v>
      </c>
      <c r="I4704" s="19" t="s">
        <v>29</v>
      </c>
      <c r="J4704" s="155" t="str">
        <f t="shared" si="8"/>
        <v>TT</v>
      </c>
      <c r="K4704" s="22" t="s">
        <v>16597</v>
      </c>
      <c r="L4704" s="56">
        <v>45107</v>
      </c>
      <c r="O4704" s="42"/>
      <c r="P4704" s="40"/>
      <c r="Q4704" s="61"/>
      <c r="R4704" s="61"/>
      <c r="S4704" s="40"/>
      <c r="T4704" s="38"/>
      <c r="U4704" s="38"/>
      <c r="V4704" s="38"/>
      <c r="W4704" s="60"/>
      <c r="AB4704" s="42"/>
      <c r="AC4704" s="35"/>
      <c r="AD4704" s="38"/>
      <c r="AE4704" s="38"/>
      <c r="AF4704" s="38"/>
      <c r="AG4704" s="38"/>
      <c r="AH4704" s="60"/>
    </row>
    <row r="4705" spans="1:34" ht="15.75" customHeight="1">
      <c r="A4705" s="87"/>
      <c r="B4705" s="158" t="s">
        <v>16598</v>
      </c>
      <c r="C4705" s="37" t="s">
        <v>46</v>
      </c>
      <c r="D4705" s="180" t="s">
        <v>16599</v>
      </c>
      <c r="E4705" s="20" t="s">
        <v>16600</v>
      </c>
      <c r="F4705" s="37" t="s">
        <v>49</v>
      </c>
      <c r="G4705" s="19" t="s">
        <v>50</v>
      </c>
      <c r="H4705" s="37" t="s">
        <v>55</v>
      </c>
      <c r="I4705" s="19" t="s">
        <v>29</v>
      </c>
      <c r="J4705" s="155" t="str">
        <f t="shared" si="8"/>
        <v>TT</v>
      </c>
      <c r="K4705" s="22" t="s">
        <v>16601</v>
      </c>
      <c r="L4705" s="56">
        <v>45107</v>
      </c>
      <c r="O4705" s="42"/>
      <c r="P4705" s="40"/>
      <c r="Q4705" s="61"/>
      <c r="R4705" s="61"/>
      <c r="S4705" s="40"/>
      <c r="T4705" s="38"/>
      <c r="U4705" s="38"/>
      <c r="V4705" s="38"/>
      <c r="W4705" s="60"/>
      <c r="AB4705" s="42"/>
      <c r="AC4705" s="35"/>
      <c r="AD4705" s="38"/>
      <c r="AE4705" s="38"/>
      <c r="AF4705" s="38"/>
      <c r="AG4705" s="38"/>
      <c r="AH4705" s="60"/>
    </row>
    <row r="4706" spans="1:34" ht="15.75" customHeight="1">
      <c r="A4706" s="87"/>
      <c r="B4706" s="158" t="s">
        <v>16602</v>
      </c>
      <c r="C4706" s="37" t="s">
        <v>46</v>
      </c>
      <c r="D4706" s="180" t="s">
        <v>16603</v>
      </c>
      <c r="E4706" s="20" t="s">
        <v>16604</v>
      </c>
      <c r="F4706" s="37" t="s">
        <v>49</v>
      </c>
      <c r="G4706" s="19" t="s">
        <v>50</v>
      </c>
      <c r="H4706" s="37" t="s">
        <v>55</v>
      </c>
      <c r="I4706" s="19" t="s">
        <v>29</v>
      </c>
      <c r="J4706" s="155" t="str">
        <f t="shared" si="8"/>
        <v>TT</v>
      </c>
      <c r="K4706" s="22" t="s">
        <v>16605</v>
      </c>
      <c r="L4706" s="56">
        <v>45107</v>
      </c>
      <c r="O4706" s="42"/>
      <c r="P4706" s="40"/>
      <c r="Q4706" s="61"/>
      <c r="R4706" s="61"/>
      <c r="S4706" s="40"/>
      <c r="T4706" s="38"/>
      <c r="U4706" s="38"/>
      <c r="V4706" s="38"/>
      <c r="W4706" s="60"/>
      <c r="AB4706" s="42"/>
      <c r="AC4706" s="35"/>
      <c r="AD4706" s="38"/>
      <c r="AE4706" s="38"/>
      <c r="AF4706" s="38"/>
      <c r="AG4706" s="38"/>
      <c r="AH4706" s="60"/>
    </row>
    <row r="4707" spans="1:34" ht="15.75" customHeight="1">
      <c r="A4707" s="248"/>
      <c r="B4707" s="158" t="s">
        <v>16606</v>
      </c>
      <c r="C4707" s="37" t="s">
        <v>412</v>
      </c>
      <c r="D4707" s="180" t="s">
        <v>16607</v>
      </c>
      <c r="E4707" s="20" t="s">
        <v>16608</v>
      </c>
      <c r="F4707" s="19" t="s">
        <v>414</v>
      </c>
      <c r="G4707" s="19" t="s">
        <v>415</v>
      </c>
      <c r="H4707" s="37" t="s">
        <v>55</v>
      </c>
      <c r="I4707" s="19" t="s">
        <v>233</v>
      </c>
      <c r="J4707" s="155" t="str">
        <f t="shared" si="8"/>
        <v>NTT</v>
      </c>
      <c r="K4707" s="22" t="s">
        <v>16609</v>
      </c>
      <c r="L4707" s="56">
        <v>45107</v>
      </c>
      <c r="O4707" s="42"/>
      <c r="P4707" s="40"/>
      <c r="Q4707" s="61"/>
      <c r="R4707" s="61"/>
      <c r="S4707" s="40"/>
      <c r="T4707" s="38"/>
      <c r="U4707" s="38"/>
      <c r="V4707" s="38"/>
      <c r="W4707" s="60"/>
      <c r="AB4707" s="42"/>
      <c r="AC4707" s="35"/>
      <c r="AD4707" s="38"/>
      <c r="AE4707" s="38"/>
      <c r="AF4707" s="38"/>
      <c r="AG4707" s="38"/>
      <c r="AH4707" s="60"/>
    </row>
    <row r="4708" spans="1:34" ht="15.75" customHeight="1">
      <c r="A4708" s="87"/>
      <c r="B4708" s="158" t="s">
        <v>16610</v>
      </c>
      <c r="C4708" s="37" t="s">
        <v>46</v>
      </c>
      <c r="D4708" s="180" t="s">
        <v>16611</v>
      </c>
      <c r="E4708" s="20" t="s">
        <v>16612</v>
      </c>
      <c r="F4708" s="37" t="s">
        <v>49</v>
      </c>
      <c r="G4708" s="19" t="s">
        <v>50</v>
      </c>
      <c r="H4708" s="37" t="s">
        <v>55</v>
      </c>
      <c r="I4708" s="19" t="s">
        <v>29</v>
      </c>
      <c r="J4708" s="155" t="str">
        <f t="shared" si="8"/>
        <v>TT</v>
      </c>
      <c r="K4708" s="22" t="s">
        <v>16613</v>
      </c>
      <c r="L4708" s="56">
        <v>45107</v>
      </c>
      <c r="O4708" s="42"/>
      <c r="P4708" s="40"/>
      <c r="Q4708" s="61"/>
      <c r="R4708" s="61"/>
      <c r="S4708" s="40"/>
      <c r="T4708" s="38"/>
      <c r="U4708" s="38"/>
      <c r="V4708" s="38"/>
      <c r="W4708" s="60"/>
      <c r="AB4708" s="42"/>
      <c r="AC4708" s="35"/>
      <c r="AD4708" s="38"/>
      <c r="AE4708" s="38"/>
      <c r="AF4708" s="38"/>
      <c r="AG4708" s="38"/>
      <c r="AH4708" s="60"/>
    </row>
    <row r="4709" spans="1:34" ht="15.75" customHeight="1">
      <c r="A4709" s="87"/>
      <c r="B4709" s="159" t="s">
        <v>16614</v>
      </c>
      <c r="C4709" s="37" t="s">
        <v>24</v>
      </c>
      <c r="D4709" s="20" t="s">
        <v>16615</v>
      </c>
      <c r="E4709" s="20" t="s">
        <v>16616</v>
      </c>
      <c r="F4709" s="19" t="s">
        <v>27</v>
      </c>
      <c r="G4709" s="19" t="s">
        <v>28</v>
      </c>
      <c r="H4709" s="37" t="s">
        <v>55</v>
      </c>
      <c r="I4709" s="19" t="s">
        <v>29</v>
      </c>
      <c r="J4709" s="155" t="str">
        <f t="shared" si="8"/>
        <v>TT</v>
      </c>
      <c r="K4709" s="22" t="s">
        <v>16617</v>
      </c>
      <c r="L4709" s="56">
        <v>45107</v>
      </c>
      <c r="O4709" s="42"/>
      <c r="P4709" s="40"/>
      <c r="Q4709" s="61"/>
      <c r="R4709" s="61"/>
      <c r="S4709" s="40"/>
      <c r="T4709" s="38"/>
      <c r="U4709" s="38"/>
      <c r="V4709" s="38"/>
      <c r="W4709" s="60"/>
      <c r="AB4709" s="42"/>
      <c r="AC4709" s="35"/>
      <c r="AD4709" s="38"/>
      <c r="AE4709" s="38"/>
      <c r="AF4709" s="38"/>
      <c r="AG4709" s="38"/>
      <c r="AH4709" s="60"/>
    </row>
    <row r="4710" spans="1:34" ht="15.75" customHeight="1">
      <c r="A4710" s="248"/>
      <c r="B4710" s="38"/>
      <c r="C4710" s="37"/>
      <c r="D4710" s="20"/>
      <c r="E4710" s="20"/>
      <c r="F4710" s="37"/>
      <c r="G4710" s="37"/>
      <c r="H4710" s="37"/>
      <c r="I4710" s="19"/>
      <c r="J4710" s="155">
        <f t="shared" si="8"/>
        <v>0</v>
      </c>
      <c r="K4710" s="22"/>
      <c r="L4710" s="39"/>
      <c r="O4710" s="42"/>
      <c r="P4710" s="40"/>
      <c r="Q4710" s="61"/>
      <c r="R4710" s="61"/>
      <c r="S4710" s="40"/>
      <c r="T4710" s="38"/>
      <c r="U4710" s="38"/>
      <c r="V4710" s="38"/>
      <c r="W4710" s="60"/>
      <c r="AB4710" s="42"/>
      <c r="AC4710" s="35"/>
      <c r="AD4710" s="38"/>
      <c r="AE4710" s="38"/>
      <c r="AF4710" s="38"/>
      <c r="AG4710" s="38"/>
      <c r="AH4710" s="60"/>
    </row>
    <row r="4711" spans="1:34" ht="15.75" customHeight="1">
      <c r="A4711" s="35" t="s">
        <v>16618</v>
      </c>
      <c r="B4711" s="158" t="s">
        <v>16619</v>
      </c>
      <c r="C4711" s="37" t="s">
        <v>24</v>
      </c>
      <c r="D4711" s="20" t="s">
        <v>16620</v>
      </c>
      <c r="E4711" s="20" t="s">
        <v>16621</v>
      </c>
      <c r="F4711" s="19" t="s">
        <v>27</v>
      </c>
      <c r="G4711" s="19" t="s">
        <v>28</v>
      </c>
      <c r="H4711" s="37" t="s">
        <v>55</v>
      </c>
      <c r="I4711" s="19" t="s">
        <v>29</v>
      </c>
      <c r="J4711" s="155" t="str">
        <f t="shared" si="8"/>
        <v>TT</v>
      </c>
      <c r="K4711" s="22" t="s">
        <v>16622</v>
      </c>
      <c r="L4711" s="56">
        <v>45107</v>
      </c>
      <c r="M4711" s="40"/>
      <c r="O4711" s="42"/>
      <c r="P4711" s="40"/>
      <c r="Q4711" s="61"/>
      <c r="R4711" s="61"/>
      <c r="S4711" s="40"/>
      <c r="T4711" s="38"/>
      <c r="U4711" s="38"/>
      <c r="V4711" s="38"/>
      <c r="W4711" s="60"/>
      <c r="AB4711" s="42"/>
      <c r="AC4711" s="35"/>
      <c r="AD4711" s="38"/>
      <c r="AE4711" s="38"/>
      <c r="AF4711" s="38"/>
      <c r="AG4711" s="38"/>
      <c r="AH4711" s="60"/>
    </row>
    <row r="4712" spans="1:34" ht="15.75" customHeight="1">
      <c r="A4712" s="54" t="s">
        <v>7532</v>
      </c>
      <c r="B4712" s="158" t="s">
        <v>16623</v>
      </c>
      <c r="C4712" s="37" t="s">
        <v>87</v>
      </c>
      <c r="D4712" s="20" t="s">
        <v>16624</v>
      </c>
      <c r="E4712" s="20" t="s">
        <v>16625</v>
      </c>
      <c r="F4712" s="19" t="s">
        <v>90</v>
      </c>
      <c r="G4712" s="19" t="s">
        <v>91</v>
      </c>
      <c r="H4712" s="37" t="s">
        <v>55</v>
      </c>
      <c r="I4712" s="19" t="s">
        <v>29</v>
      </c>
      <c r="J4712" s="155" t="str">
        <f t="shared" si="8"/>
        <v>TT</v>
      </c>
      <c r="K4712" s="22" t="s">
        <v>16626</v>
      </c>
      <c r="L4712" s="56">
        <v>45107</v>
      </c>
      <c r="O4712" s="42"/>
      <c r="P4712" s="40"/>
      <c r="Q4712" s="61"/>
      <c r="R4712" s="61"/>
      <c r="S4712" s="40"/>
      <c r="T4712" s="38"/>
      <c r="U4712" s="38"/>
      <c r="V4712" s="38"/>
      <c r="W4712" s="60"/>
      <c r="AB4712" s="42"/>
      <c r="AC4712" s="35"/>
      <c r="AD4712" s="38"/>
      <c r="AE4712" s="38"/>
      <c r="AF4712" s="38"/>
      <c r="AG4712" s="38"/>
      <c r="AH4712" s="60"/>
    </row>
    <row r="4713" spans="1:34" ht="15.75" customHeight="1">
      <c r="A4713" s="114" t="s">
        <v>39</v>
      </c>
      <c r="B4713" s="158" t="s">
        <v>16627</v>
      </c>
      <c r="C4713" s="37" t="s">
        <v>24</v>
      </c>
      <c r="D4713" s="20" t="s">
        <v>16628</v>
      </c>
      <c r="E4713" s="20" t="s">
        <v>16629</v>
      </c>
      <c r="F4713" s="19" t="s">
        <v>27</v>
      </c>
      <c r="G4713" s="19" t="s">
        <v>28</v>
      </c>
      <c r="H4713" s="37" t="s">
        <v>55</v>
      </c>
      <c r="I4713" s="19" t="s">
        <v>29</v>
      </c>
      <c r="J4713" s="155" t="str">
        <f t="shared" si="8"/>
        <v>TT</v>
      </c>
      <c r="K4713" s="22" t="s">
        <v>16630</v>
      </c>
      <c r="L4713" s="56">
        <v>45107</v>
      </c>
      <c r="O4713" s="42"/>
      <c r="P4713" s="40"/>
      <c r="Q4713" s="61"/>
      <c r="R4713" s="61"/>
      <c r="S4713" s="40"/>
      <c r="T4713" s="38"/>
      <c r="U4713" s="38"/>
      <c r="V4713" s="38"/>
      <c r="W4713" s="60"/>
      <c r="AB4713" s="42"/>
      <c r="AC4713" s="35"/>
      <c r="AD4713" s="38"/>
      <c r="AE4713" s="38"/>
      <c r="AF4713" s="38"/>
      <c r="AG4713" s="38"/>
      <c r="AH4713" s="60"/>
    </row>
    <row r="4714" spans="1:34" ht="15.75" customHeight="1">
      <c r="A4714" s="38" t="s">
        <v>16024</v>
      </c>
      <c r="B4714" s="158" t="s">
        <v>16631</v>
      </c>
      <c r="C4714" s="37" t="s">
        <v>87</v>
      </c>
      <c r="D4714" s="20" t="s">
        <v>16632</v>
      </c>
      <c r="E4714" s="20" t="s">
        <v>16633</v>
      </c>
      <c r="F4714" s="19" t="s">
        <v>90</v>
      </c>
      <c r="G4714" s="19" t="s">
        <v>91</v>
      </c>
      <c r="H4714" s="37" t="s">
        <v>55</v>
      </c>
      <c r="I4714" s="19" t="s">
        <v>29</v>
      </c>
      <c r="J4714" s="155" t="str">
        <f t="shared" si="8"/>
        <v>TT</v>
      </c>
      <c r="K4714" s="22" t="s">
        <v>16634</v>
      </c>
      <c r="L4714" s="56">
        <v>45107</v>
      </c>
      <c r="O4714" s="42"/>
      <c r="P4714" s="40"/>
      <c r="Q4714" s="61"/>
      <c r="R4714" s="61"/>
      <c r="S4714" s="40"/>
      <c r="T4714" s="38"/>
      <c r="U4714" s="38"/>
      <c r="V4714" s="38"/>
      <c r="W4714" s="60"/>
      <c r="AB4714" s="42"/>
      <c r="AC4714" s="35"/>
      <c r="AD4714" s="38"/>
      <c r="AE4714" s="38"/>
      <c r="AF4714" s="38"/>
      <c r="AG4714" s="38"/>
      <c r="AH4714" s="60"/>
    </row>
    <row r="4715" spans="1:34" ht="15.75" customHeight="1">
      <c r="A4715" s="75" t="s">
        <v>16635</v>
      </c>
      <c r="B4715" s="158" t="s">
        <v>16636</v>
      </c>
      <c r="C4715" s="37" t="s">
        <v>24</v>
      </c>
      <c r="D4715" s="20" t="s">
        <v>16637</v>
      </c>
      <c r="E4715" s="20" t="s">
        <v>16638</v>
      </c>
      <c r="F4715" s="19" t="s">
        <v>27</v>
      </c>
      <c r="G4715" s="19" t="s">
        <v>28</v>
      </c>
      <c r="H4715" s="37" t="s">
        <v>55</v>
      </c>
      <c r="I4715" s="19" t="s">
        <v>29</v>
      </c>
      <c r="J4715" s="155" t="str">
        <f t="shared" si="8"/>
        <v>TT</v>
      </c>
      <c r="K4715" s="22" t="s">
        <v>16639</v>
      </c>
      <c r="L4715" s="56">
        <v>45107</v>
      </c>
      <c r="O4715" s="42"/>
      <c r="P4715" s="40"/>
      <c r="Q4715" s="61"/>
      <c r="R4715" s="61"/>
      <c r="S4715" s="40"/>
      <c r="T4715" s="38"/>
      <c r="U4715" s="38"/>
      <c r="V4715" s="38"/>
      <c r="W4715" s="60"/>
      <c r="AB4715" s="42"/>
      <c r="AC4715" s="35"/>
      <c r="AD4715" s="38"/>
      <c r="AE4715" s="38"/>
      <c r="AF4715" s="38"/>
      <c r="AG4715" s="38"/>
      <c r="AH4715" s="60"/>
    </row>
    <row r="4716" spans="1:34" ht="15.75" customHeight="1">
      <c r="A4716" s="50" t="s">
        <v>56</v>
      </c>
      <c r="B4716" s="158" t="s">
        <v>16640</v>
      </c>
      <c r="C4716" s="37" t="s">
        <v>46</v>
      </c>
      <c r="D4716" s="20" t="s">
        <v>16641</v>
      </c>
      <c r="E4716" s="20" t="s">
        <v>16642</v>
      </c>
      <c r="F4716" s="37" t="s">
        <v>49</v>
      </c>
      <c r="G4716" s="19" t="s">
        <v>50</v>
      </c>
      <c r="H4716" s="37" t="s">
        <v>55</v>
      </c>
      <c r="I4716" s="19" t="s">
        <v>29</v>
      </c>
      <c r="J4716" s="155" t="str">
        <f t="shared" si="8"/>
        <v>TT</v>
      </c>
      <c r="K4716" s="22" t="s">
        <v>16643</v>
      </c>
      <c r="L4716" s="56">
        <v>45107</v>
      </c>
      <c r="O4716" s="42"/>
      <c r="P4716" s="40"/>
      <c r="Q4716" s="61"/>
      <c r="R4716" s="61"/>
      <c r="S4716" s="40"/>
      <c r="T4716" s="38"/>
      <c r="U4716" s="38"/>
      <c r="V4716" s="38"/>
      <c r="W4716" s="60"/>
      <c r="AB4716" s="42"/>
      <c r="AC4716" s="35"/>
      <c r="AD4716" s="38"/>
      <c r="AE4716" s="38"/>
      <c r="AF4716" s="38"/>
      <c r="AG4716" s="38"/>
      <c r="AH4716" s="60"/>
    </row>
    <row r="4717" spans="1:34" ht="15.75" customHeight="1">
      <c r="A4717" s="17">
        <v>39</v>
      </c>
      <c r="B4717" s="158" t="s">
        <v>16644</v>
      </c>
      <c r="C4717" s="37" t="s">
        <v>87</v>
      </c>
      <c r="D4717" s="20" t="s">
        <v>16645</v>
      </c>
      <c r="E4717" s="20" t="s">
        <v>16646</v>
      </c>
      <c r="F4717" s="19" t="s">
        <v>90</v>
      </c>
      <c r="G4717" s="19" t="s">
        <v>91</v>
      </c>
      <c r="H4717" s="37" t="s">
        <v>55</v>
      </c>
      <c r="I4717" s="19" t="s">
        <v>29</v>
      </c>
      <c r="J4717" s="155" t="str">
        <f t="shared" si="8"/>
        <v>TT</v>
      </c>
      <c r="K4717" s="22" t="s">
        <v>16647</v>
      </c>
      <c r="L4717" s="56">
        <v>45107</v>
      </c>
      <c r="O4717" s="42"/>
      <c r="P4717" s="40"/>
      <c r="Q4717" s="61"/>
      <c r="R4717" s="61"/>
      <c r="S4717" s="40"/>
      <c r="T4717" s="38"/>
      <c r="U4717" s="38"/>
      <c r="V4717" s="38"/>
      <c r="W4717" s="60"/>
      <c r="AB4717" s="42"/>
      <c r="AC4717" s="35"/>
      <c r="AD4717" s="38"/>
      <c r="AE4717" s="38"/>
      <c r="AF4717" s="38"/>
      <c r="AG4717" s="38"/>
      <c r="AH4717" s="60"/>
    </row>
    <row r="4718" spans="1:34" ht="15.75" customHeight="1">
      <c r="A4718" s="111" t="s">
        <v>64</v>
      </c>
      <c r="B4718" s="158" t="s">
        <v>16648</v>
      </c>
      <c r="C4718" s="37" t="s">
        <v>24</v>
      </c>
      <c r="D4718" s="20" t="s">
        <v>16649</v>
      </c>
      <c r="E4718" s="20" t="s">
        <v>16650</v>
      </c>
      <c r="F4718" s="19" t="s">
        <v>27</v>
      </c>
      <c r="G4718" s="19" t="s">
        <v>28</v>
      </c>
      <c r="H4718" s="37" t="s">
        <v>55</v>
      </c>
      <c r="I4718" s="19" t="s">
        <v>29</v>
      </c>
      <c r="J4718" s="155" t="str">
        <f t="shared" si="8"/>
        <v>TT</v>
      </c>
      <c r="K4718" s="22" t="s">
        <v>16651</v>
      </c>
      <c r="L4718" s="56">
        <v>45107</v>
      </c>
      <c r="O4718" s="42"/>
      <c r="P4718" s="40"/>
      <c r="Q4718" s="61"/>
      <c r="R4718" s="61"/>
      <c r="S4718" s="40"/>
      <c r="T4718" s="38"/>
      <c r="U4718" s="38"/>
      <c r="V4718" s="38"/>
      <c r="W4718" s="60"/>
      <c r="AB4718" s="42"/>
      <c r="AC4718" s="35"/>
      <c r="AD4718" s="38"/>
      <c r="AE4718" s="38"/>
      <c r="AF4718" s="38"/>
      <c r="AG4718" s="38"/>
      <c r="AH4718" s="60"/>
    </row>
    <row r="4719" spans="1:34" ht="15.75" customHeight="1">
      <c r="A4719" s="75">
        <v>2.2999999999999998</v>
      </c>
      <c r="B4719" s="158" t="s">
        <v>16652</v>
      </c>
      <c r="C4719" s="37" t="s">
        <v>24</v>
      </c>
      <c r="D4719" s="20" t="s">
        <v>16653</v>
      </c>
      <c r="E4719" s="20" t="s">
        <v>16654</v>
      </c>
      <c r="F4719" s="19" t="s">
        <v>27</v>
      </c>
      <c r="G4719" s="19" t="s">
        <v>28</v>
      </c>
      <c r="H4719" s="37" t="s">
        <v>55</v>
      </c>
      <c r="I4719" s="19" t="s">
        <v>29</v>
      </c>
      <c r="J4719" s="155" t="str">
        <f t="shared" si="8"/>
        <v>TT</v>
      </c>
      <c r="K4719" s="22" t="s">
        <v>16655</v>
      </c>
      <c r="L4719" s="56">
        <v>45107</v>
      </c>
      <c r="O4719" s="42"/>
      <c r="P4719" s="40"/>
      <c r="Q4719" s="61"/>
      <c r="R4719" s="61"/>
      <c r="S4719" s="40"/>
      <c r="T4719" s="38"/>
      <c r="U4719" s="38"/>
      <c r="V4719" s="38"/>
      <c r="W4719" s="60"/>
      <c r="AB4719" s="42"/>
      <c r="AC4719" s="35"/>
      <c r="AD4719" s="38"/>
      <c r="AE4719" s="38"/>
      <c r="AF4719" s="38"/>
      <c r="AG4719" s="38"/>
      <c r="AH4719" s="60"/>
    </row>
    <row r="4720" spans="1:34" ht="15.75" customHeight="1">
      <c r="A4720" s="111" t="s">
        <v>73</v>
      </c>
      <c r="B4720" s="158" t="s">
        <v>16656</v>
      </c>
      <c r="C4720" s="37" t="s">
        <v>46</v>
      </c>
      <c r="D4720" s="20" t="s">
        <v>16657</v>
      </c>
      <c r="E4720" s="20"/>
      <c r="F4720" s="37" t="s">
        <v>49</v>
      </c>
      <c r="G4720" s="19" t="s">
        <v>50</v>
      </c>
      <c r="H4720" s="37" t="s">
        <v>55</v>
      </c>
      <c r="I4720" s="19" t="s">
        <v>29</v>
      </c>
      <c r="J4720" s="155" t="str">
        <f t="shared" si="8"/>
        <v>TT</v>
      </c>
      <c r="K4720" s="22"/>
      <c r="L4720" s="56">
        <v>45107</v>
      </c>
      <c r="O4720" s="42"/>
      <c r="P4720" s="40"/>
      <c r="Q4720" s="61"/>
      <c r="R4720" s="61"/>
      <c r="S4720" s="40"/>
      <c r="T4720" s="38"/>
      <c r="U4720" s="38"/>
      <c r="V4720" s="38"/>
      <c r="W4720" s="60"/>
      <c r="AB4720" s="42"/>
      <c r="AC4720" s="35"/>
      <c r="AD4720" s="38"/>
      <c r="AE4720" s="38"/>
      <c r="AF4720" s="38"/>
      <c r="AG4720" s="38"/>
      <c r="AH4720" s="60"/>
    </row>
    <row r="4721" spans="1:34" ht="15.75" customHeight="1">
      <c r="A4721" s="75">
        <v>3.1</v>
      </c>
      <c r="B4721" s="158"/>
      <c r="C4721" s="37"/>
      <c r="D4721" s="20"/>
      <c r="E4721" s="20"/>
      <c r="F4721" s="37"/>
      <c r="G4721" s="37"/>
      <c r="H4721" s="37"/>
      <c r="I4721" s="19" t="str">
        <f t="shared" ref="I4721:I4727" si="9">PROPER(F4721)</f>
        <v/>
      </c>
      <c r="J4721" s="155" t="str">
        <f t="shared" si="8"/>
        <v/>
      </c>
      <c r="K4721" s="22"/>
      <c r="L4721" s="39"/>
      <c r="O4721" s="42"/>
      <c r="P4721" s="40"/>
      <c r="Q4721" s="61"/>
      <c r="R4721" s="61"/>
      <c r="S4721" s="40"/>
      <c r="T4721" s="38"/>
      <c r="U4721" s="38"/>
      <c r="V4721" s="38"/>
      <c r="W4721" s="60"/>
      <c r="AB4721" s="42"/>
      <c r="AC4721" s="35"/>
      <c r="AD4721" s="38"/>
      <c r="AE4721" s="38"/>
      <c r="AF4721" s="38"/>
      <c r="AG4721" s="38"/>
      <c r="AH4721" s="60"/>
    </row>
    <row r="4722" spans="1:34" ht="15.75" customHeight="1">
      <c r="A4722" s="111" t="s">
        <v>82</v>
      </c>
      <c r="B4722" s="158"/>
      <c r="C4722" s="37"/>
      <c r="D4722" s="20"/>
      <c r="E4722" s="20"/>
      <c r="F4722" s="37"/>
      <c r="G4722" s="37"/>
      <c r="H4722" s="37"/>
      <c r="I4722" s="19" t="str">
        <f t="shared" si="9"/>
        <v/>
      </c>
      <c r="J4722" s="155" t="str">
        <f t="shared" si="8"/>
        <v/>
      </c>
      <c r="K4722" s="22"/>
      <c r="L4722" s="39"/>
      <c r="O4722" s="42"/>
      <c r="P4722" s="40"/>
      <c r="Q4722" s="61"/>
      <c r="R4722" s="61"/>
      <c r="S4722" s="40"/>
      <c r="T4722" s="38"/>
      <c r="U4722" s="38"/>
      <c r="V4722" s="38"/>
      <c r="W4722" s="60"/>
      <c r="AB4722" s="42"/>
      <c r="AC4722" s="35"/>
      <c r="AD4722" s="38"/>
      <c r="AE4722" s="38"/>
      <c r="AF4722" s="38"/>
      <c r="AG4722" s="38"/>
      <c r="AH4722" s="60"/>
    </row>
    <row r="4723" spans="1:34" ht="15.75" customHeight="1">
      <c r="A4723" s="112" t="s">
        <v>16658</v>
      </c>
      <c r="B4723" s="158"/>
      <c r="C4723" s="37"/>
      <c r="D4723" s="20"/>
      <c r="E4723" s="20"/>
      <c r="F4723" s="37"/>
      <c r="G4723" s="37"/>
      <c r="H4723" s="37"/>
      <c r="I4723" s="19" t="str">
        <f t="shared" si="9"/>
        <v/>
      </c>
      <c r="J4723" s="155" t="str">
        <f t="shared" si="8"/>
        <v/>
      </c>
      <c r="K4723" s="22"/>
      <c r="L4723" s="39"/>
      <c r="O4723" s="42"/>
      <c r="P4723" s="40"/>
      <c r="Q4723" s="61"/>
      <c r="R4723" s="61"/>
      <c r="S4723" s="40"/>
      <c r="T4723" s="38"/>
      <c r="U4723" s="38"/>
      <c r="V4723" s="38"/>
      <c r="W4723" s="60"/>
      <c r="AB4723" s="42"/>
      <c r="AC4723" s="35"/>
      <c r="AD4723" s="38"/>
      <c r="AE4723" s="38"/>
      <c r="AF4723" s="38"/>
      <c r="AG4723" s="38"/>
      <c r="AH4723" s="60"/>
    </row>
    <row r="4724" spans="1:34" ht="15.75" customHeight="1">
      <c r="A4724" s="111" t="s">
        <v>92</v>
      </c>
      <c r="B4724" s="158"/>
      <c r="C4724" s="37"/>
      <c r="D4724" s="20"/>
      <c r="E4724" s="20"/>
      <c r="F4724" s="37"/>
      <c r="G4724" s="37"/>
      <c r="H4724" s="37"/>
      <c r="I4724" s="19" t="str">
        <f t="shared" si="9"/>
        <v/>
      </c>
      <c r="J4724" s="155" t="str">
        <f t="shared" si="8"/>
        <v/>
      </c>
      <c r="K4724" s="22"/>
      <c r="L4724" s="39"/>
      <c r="O4724" s="42"/>
      <c r="P4724" s="40"/>
      <c r="Q4724" s="61"/>
      <c r="R4724" s="61"/>
      <c r="S4724" s="40"/>
      <c r="T4724" s="38"/>
      <c r="U4724" s="38"/>
      <c r="V4724" s="38"/>
      <c r="W4724" s="60"/>
      <c r="AB4724" s="42"/>
      <c r="AC4724" s="35"/>
      <c r="AD4724" s="38"/>
      <c r="AE4724" s="38"/>
      <c r="AF4724" s="38"/>
      <c r="AG4724" s="38"/>
      <c r="AH4724" s="60"/>
    </row>
    <row r="4725" spans="1:34" ht="15.75" customHeight="1">
      <c r="A4725" s="17">
        <v>215</v>
      </c>
      <c r="B4725" s="158"/>
      <c r="C4725" s="37"/>
      <c r="D4725" s="20"/>
      <c r="E4725" s="20"/>
      <c r="F4725" s="37"/>
      <c r="G4725" s="37"/>
      <c r="H4725" s="37"/>
      <c r="I4725" s="19" t="str">
        <f t="shared" si="9"/>
        <v/>
      </c>
      <c r="J4725" s="155" t="str">
        <f t="shared" si="8"/>
        <v/>
      </c>
      <c r="K4725" s="22"/>
      <c r="L4725" s="39"/>
      <c r="O4725" s="42"/>
      <c r="P4725" s="40"/>
      <c r="Q4725" s="61"/>
      <c r="R4725" s="61"/>
      <c r="S4725" s="40"/>
      <c r="T4725" s="38"/>
      <c r="U4725" s="38"/>
      <c r="V4725" s="38"/>
      <c r="W4725" s="60"/>
      <c r="AB4725" s="42"/>
      <c r="AC4725" s="35"/>
      <c r="AD4725" s="38"/>
      <c r="AE4725" s="38"/>
      <c r="AF4725" s="38"/>
      <c r="AG4725" s="38"/>
      <c r="AH4725" s="60"/>
    </row>
    <row r="4726" spans="1:34" ht="15.75" customHeight="1">
      <c r="A4726" s="111" t="s">
        <v>100</v>
      </c>
      <c r="B4726" s="38"/>
      <c r="C4726" s="19"/>
      <c r="D4726" s="20"/>
      <c r="E4726" s="20"/>
      <c r="F4726" s="19"/>
      <c r="G4726" s="19"/>
      <c r="H4726" s="19"/>
      <c r="I4726" s="19" t="str">
        <f t="shared" si="9"/>
        <v/>
      </c>
      <c r="J4726" s="155" t="str">
        <f t="shared" si="8"/>
        <v/>
      </c>
      <c r="K4726" s="22"/>
      <c r="L4726" s="39"/>
      <c r="O4726" s="42"/>
      <c r="P4726" s="40"/>
      <c r="Q4726" s="61"/>
      <c r="R4726" s="61"/>
      <c r="S4726" s="40"/>
      <c r="T4726" s="38"/>
      <c r="U4726" s="38"/>
      <c r="V4726" s="38"/>
      <c r="W4726" s="60"/>
      <c r="AB4726" s="42"/>
      <c r="AC4726" s="35"/>
      <c r="AD4726" s="38"/>
      <c r="AE4726" s="38"/>
      <c r="AF4726" s="38"/>
      <c r="AG4726" s="38"/>
      <c r="AH4726" s="60"/>
    </row>
    <row r="4727" spans="1:34" ht="15.75" customHeight="1">
      <c r="A4727" s="17">
        <v>159</v>
      </c>
      <c r="B4727" s="38"/>
      <c r="C4727" s="19"/>
      <c r="D4727" s="20"/>
      <c r="E4727" s="20"/>
      <c r="F4727" s="19"/>
      <c r="G4727" s="19"/>
      <c r="H4727" s="19"/>
      <c r="I4727" s="19" t="str">
        <f t="shared" si="9"/>
        <v/>
      </c>
      <c r="J4727" s="155" t="str">
        <f t="shared" si="8"/>
        <v/>
      </c>
      <c r="K4727" s="22"/>
      <c r="L4727" s="39"/>
      <c r="O4727" s="42"/>
      <c r="P4727" s="40"/>
      <c r="Q4727" s="61"/>
      <c r="R4727" s="61"/>
      <c r="S4727" s="40"/>
      <c r="T4727" s="38"/>
      <c r="U4727" s="38"/>
      <c r="V4727" s="38"/>
      <c r="W4727" s="60"/>
      <c r="AB4727" s="42"/>
      <c r="AC4727" s="35"/>
      <c r="AD4727" s="38"/>
      <c r="AE4727" s="38"/>
      <c r="AF4727" s="38"/>
      <c r="AG4727" s="38"/>
      <c r="AH4727" s="60"/>
    </row>
    <row r="4728" spans="1:34" ht="15.75" customHeight="1">
      <c r="A4728" s="35"/>
      <c r="B4728" s="38"/>
      <c r="C4728" s="19"/>
      <c r="D4728" s="20"/>
      <c r="E4728" s="20"/>
      <c r="F4728" s="19"/>
      <c r="G4728" s="19"/>
      <c r="H4728" s="19"/>
      <c r="I4728" s="19"/>
      <c r="J4728" s="155">
        <f t="shared" si="8"/>
        <v>0</v>
      </c>
      <c r="K4728" s="22"/>
      <c r="L4728" s="39"/>
      <c r="O4728" s="42"/>
      <c r="P4728" s="40"/>
      <c r="Q4728" s="61"/>
      <c r="R4728" s="61"/>
      <c r="S4728" s="40"/>
      <c r="T4728" s="38"/>
      <c r="U4728" s="38"/>
      <c r="V4728" s="38"/>
      <c r="W4728" s="60"/>
      <c r="AB4728" s="42"/>
      <c r="AC4728" s="35"/>
      <c r="AD4728" s="38"/>
      <c r="AE4728" s="38"/>
      <c r="AF4728" s="38"/>
      <c r="AG4728" s="38"/>
      <c r="AH4728" s="60"/>
    </row>
    <row r="4729" spans="1:34" ht="15.75" customHeight="1">
      <c r="A4729" s="35" t="s">
        <v>16659</v>
      </c>
      <c r="B4729" s="158" t="s">
        <v>16660</v>
      </c>
      <c r="C4729" s="37" t="s">
        <v>46</v>
      </c>
      <c r="D4729" s="20" t="s">
        <v>16661</v>
      </c>
      <c r="E4729" s="20" t="s">
        <v>16662</v>
      </c>
      <c r="F4729" s="37" t="s">
        <v>49</v>
      </c>
      <c r="G4729" s="19" t="s">
        <v>50</v>
      </c>
      <c r="H4729" s="37" t="s">
        <v>55</v>
      </c>
      <c r="I4729" s="37" t="s">
        <v>29</v>
      </c>
      <c r="J4729" s="155" t="str">
        <f t="shared" si="8"/>
        <v>TT</v>
      </c>
      <c r="K4729" s="22" t="s">
        <v>16663</v>
      </c>
      <c r="L4729" s="56">
        <v>45107</v>
      </c>
      <c r="M4729" s="40"/>
      <c r="O4729" s="42"/>
      <c r="P4729" s="40"/>
      <c r="Q4729" s="61"/>
      <c r="R4729" s="61"/>
      <c r="S4729" s="40"/>
      <c r="T4729" s="38"/>
      <c r="U4729" s="38"/>
      <c r="V4729" s="38"/>
      <c r="W4729" s="60"/>
      <c r="AB4729" s="42"/>
      <c r="AC4729" s="35"/>
      <c r="AD4729" s="38"/>
      <c r="AE4729" s="38"/>
      <c r="AF4729" s="38"/>
      <c r="AG4729" s="38"/>
      <c r="AH4729" s="60"/>
    </row>
    <row r="4730" spans="1:34" ht="15.75" customHeight="1">
      <c r="A4730" s="54" t="s">
        <v>2714</v>
      </c>
      <c r="B4730" s="158" t="s">
        <v>16664</v>
      </c>
      <c r="C4730" s="37" t="s">
        <v>46</v>
      </c>
      <c r="D4730" s="223" t="s">
        <v>16665</v>
      </c>
      <c r="E4730" s="20" t="s">
        <v>16666</v>
      </c>
      <c r="F4730" s="37" t="s">
        <v>49</v>
      </c>
      <c r="G4730" s="19" t="s">
        <v>50</v>
      </c>
      <c r="H4730" s="37" t="s">
        <v>55</v>
      </c>
      <c r="I4730" s="37" t="s">
        <v>29</v>
      </c>
      <c r="J4730" s="155" t="str">
        <f t="shared" si="8"/>
        <v>TT</v>
      </c>
      <c r="K4730" s="22" t="s">
        <v>16667</v>
      </c>
      <c r="L4730" s="56">
        <v>45107</v>
      </c>
      <c r="O4730" s="42"/>
      <c r="P4730" s="40"/>
      <c r="Q4730" s="61"/>
      <c r="R4730" s="61"/>
      <c r="S4730" s="40"/>
      <c r="T4730" s="38"/>
      <c r="U4730" s="38"/>
      <c r="V4730" s="38"/>
      <c r="W4730" s="60"/>
      <c r="AB4730" s="42"/>
      <c r="AC4730" s="35"/>
      <c r="AD4730" s="38"/>
      <c r="AE4730" s="38"/>
      <c r="AF4730" s="38"/>
      <c r="AG4730" s="38"/>
      <c r="AH4730" s="60"/>
    </row>
    <row r="4731" spans="1:34" ht="15.75" customHeight="1">
      <c r="A4731" s="114" t="s">
        <v>39</v>
      </c>
      <c r="B4731" s="158" t="s">
        <v>16668</v>
      </c>
      <c r="C4731" s="37" t="s">
        <v>46</v>
      </c>
      <c r="D4731" s="223" t="s">
        <v>16669</v>
      </c>
      <c r="E4731" s="20"/>
      <c r="F4731" s="37" t="s">
        <v>49</v>
      </c>
      <c r="G4731" s="19" t="s">
        <v>50</v>
      </c>
      <c r="H4731" s="37" t="s">
        <v>55</v>
      </c>
      <c r="I4731" s="37" t="s">
        <v>29</v>
      </c>
      <c r="J4731" s="155" t="str">
        <f t="shared" si="8"/>
        <v>TT</v>
      </c>
      <c r="K4731" s="22"/>
      <c r="L4731" s="56">
        <v>45107</v>
      </c>
      <c r="O4731" s="42"/>
      <c r="P4731" s="40"/>
      <c r="Q4731" s="61"/>
      <c r="R4731" s="61"/>
      <c r="S4731" s="40"/>
      <c r="T4731" s="38"/>
      <c r="U4731" s="38"/>
      <c r="V4731" s="38"/>
      <c r="W4731" s="60"/>
      <c r="AB4731" s="42"/>
      <c r="AC4731" s="35"/>
      <c r="AD4731" s="38"/>
      <c r="AE4731" s="38"/>
      <c r="AF4731" s="38"/>
      <c r="AG4731" s="38"/>
      <c r="AH4731" s="60"/>
    </row>
    <row r="4732" spans="1:34" ht="15.75" customHeight="1">
      <c r="A4732" s="38" t="s">
        <v>16024</v>
      </c>
      <c r="B4732" s="158" t="s">
        <v>16670</v>
      </c>
      <c r="C4732" s="37" t="s">
        <v>46</v>
      </c>
      <c r="D4732" s="223" t="s">
        <v>16671</v>
      </c>
      <c r="E4732" s="20" t="s">
        <v>16672</v>
      </c>
      <c r="F4732" s="37" t="s">
        <v>49</v>
      </c>
      <c r="G4732" s="19" t="s">
        <v>50</v>
      </c>
      <c r="H4732" s="37" t="s">
        <v>55</v>
      </c>
      <c r="I4732" s="37" t="s">
        <v>29</v>
      </c>
      <c r="J4732" s="155" t="str">
        <f t="shared" si="8"/>
        <v>TT</v>
      </c>
      <c r="K4732" s="22" t="s">
        <v>16673</v>
      </c>
      <c r="L4732" s="56">
        <v>45107</v>
      </c>
      <c r="O4732" s="42"/>
      <c r="P4732" s="40"/>
      <c r="Q4732" s="61"/>
      <c r="R4732" s="61"/>
      <c r="S4732" s="40"/>
      <c r="T4732" s="38"/>
      <c r="U4732" s="38"/>
      <c r="V4732" s="38"/>
      <c r="W4732" s="60"/>
      <c r="AB4732" s="42"/>
      <c r="AC4732" s="35"/>
      <c r="AD4732" s="38"/>
      <c r="AE4732" s="38"/>
      <c r="AF4732" s="38"/>
      <c r="AG4732" s="38"/>
      <c r="AH4732" s="60"/>
    </row>
    <row r="4733" spans="1:34" ht="15.75" customHeight="1">
      <c r="A4733" s="75" t="s">
        <v>13312</v>
      </c>
      <c r="B4733" s="158" t="s">
        <v>16674</v>
      </c>
      <c r="C4733" s="37" t="s">
        <v>24</v>
      </c>
      <c r="D4733" s="223" t="s">
        <v>16675</v>
      </c>
      <c r="E4733" s="20" t="s">
        <v>16676</v>
      </c>
      <c r="F4733" s="19" t="s">
        <v>27</v>
      </c>
      <c r="G4733" s="19" t="s">
        <v>28</v>
      </c>
      <c r="H4733" s="37" t="s">
        <v>55</v>
      </c>
      <c r="I4733" s="37" t="s">
        <v>29</v>
      </c>
      <c r="J4733" s="155" t="str">
        <f t="shared" si="8"/>
        <v>TT</v>
      </c>
      <c r="K4733" s="22" t="s">
        <v>16677</v>
      </c>
      <c r="L4733" s="56">
        <v>45107</v>
      </c>
      <c r="O4733" s="42"/>
      <c r="P4733" s="40"/>
      <c r="Q4733" s="61"/>
      <c r="R4733" s="61"/>
      <c r="S4733" s="40"/>
      <c r="T4733" s="38"/>
      <c r="U4733" s="38"/>
      <c r="V4733" s="38"/>
      <c r="W4733" s="60"/>
      <c r="AB4733" s="42"/>
      <c r="AC4733" s="35"/>
      <c r="AD4733" s="38"/>
      <c r="AE4733" s="38"/>
      <c r="AF4733" s="38"/>
      <c r="AG4733" s="38"/>
      <c r="AH4733" s="60"/>
    </row>
    <row r="4734" spans="1:34" ht="15.75" customHeight="1">
      <c r="A4734" s="50" t="s">
        <v>56</v>
      </c>
      <c r="B4734" s="158" t="s">
        <v>16678</v>
      </c>
      <c r="C4734" s="37" t="s">
        <v>46</v>
      </c>
      <c r="D4734" s="223" t="s">
        <v>16679</v>
      </c>
      <c r="E4734" s="20" t="s">
        <v>16680</v>
      </c>
      <c r="F4734" s="37" t="s">
        <v>49</v>
      </c>
      <c r="G4734" s="19" t="s">
        <v>50</v>
      </c>
      <c r="H4734" s="37" t="s">
        <v>55</v>
      </c>
      <c r="I4734" s="37" t="s">
        <v>29</v>
      </c>
      <c r="J4734" s="155" t="str">
        <f t="shared" si="8"/>
        <v>TT</v>
      </c>
      <c r="K4734" s="22" t="s">
        <v>16681</v>
      </c>
      <c r="L4734" s="56">
        <v>45107</v>
      </c>
      <c r="O4734" s="42"/>
      <c r="P4734" s="40"/>
      <c r="Q4734" s="61"/>
      <c r="R4734" s="61"/>
      <c r="S4734" s="40"/>
      <c r="T4734" s="38"/>
      <c r="U4734" s="38"/>
      <c r="V4734" s="38"/>
      <c r="W4734" s="60"/>
      <c r="AB4734" s="42"/>
      <c r="AC4734" s="35"/>
      <c r="AD4734" s="38"/>
      <c r="AE4734" s="38"/>
      <c r="AF4734" s="38"/>
      <c r="AG4734" s="38"/>
      <c r="AH4734" s="60"/>
    </row>
    <row r="4735" spans="1:34" ht="15.75" customHeight="1">
      <c r="A4735" s="17">
        <v>50</v>
      </c>
      <c r="B4735" s="158" t="s">
        <v>16682</v>
      </c>
      <c r="C4735" s="37" t="s">
        <v>46</v>
      </c>
      <c r="D4735" s="223" t="s">
        <v>16683</v>
      </c>
      <c r="E4735" s="20" t="s">
        <v>16684</v>
      </c>
      <c r="F4735" s="37" t="s">
        <v>49</v>
      </c>
      <c r="G4735" s="19" t="s">
        <v>50</v>
      </c>
      <c r="H4735" s="37" t="s">
        <v>55</v>
      </c>
      <c r="I4735" s="37" t="s">
        <v>29</v>
      </c>
      <c r="J4735" s="155" t="str">
        <f t="shared" si="8"/>
        <v>TT</v>
      </c>
      <c r="K4735" s="22" t="s">
        <v>16685</v>
      </c>
      <c r="L4735" s="56">
        <v>45107</v>
      </c>
      <c r="O4735" s="42"/>
      <c r="P4735" s="40"/>
      <c r="Q4735" s="61"/>
      <c r="R4735" s="61"/>
      <c r="S4735" s="40"/>
      <c r="T4735" s="38"/>
      <c r="U4735" s="38"/>
      <c r="V4735" s="38"/>
      <c r="W4735" s="60"/>
      <c r="AB4735" s="42"/>
      <c r="AC4735" s="35"/>
      <c r="AD4735" s="38"/>
      <c r="AE4735" s="38"/>
      <c r="AF4735" s="38"/>
      <c r="AG4735" s="38"/>
      <c r="AH4735" s="60"/>
    </row>
    <row r="4736" spans="1:34" ht="15.75" customHeight="1">
      <c r="A4736" s="111" t="s">
        <v>64</v>
      </c>
      <c r="B4736" s="158" t="s">
        <v>16686</v>
      </c>
      <c r="C4736" s="37" t="s">
        <v>412</v>
      </c>
      <c r="D4736" s="223" t="s">
        <v>16687</v>
      </c>
      <c r="E4736" s="20" t="s">
        <v>16688</v>
      </c>
      <c r="F4736" s="19" t="s">
        <v>414</v>
      </c>
      <c r="G4736" s="37" t="s">
        <v>415</v>
      </c>
      <c r="H4736" s="37" t="s">
        <v>55</v>
      </c>
      <c r="I4736" s="37" t="s">
        <v>233</v>
      </c>
      <c r="J4736" s="155" t="str">
        <f t="shared" si="8"/>
        <v>NTT</v>
      </c>
      <c r="K4736" s="22" t="s">
        <v>16689</v>
      </c>
      <c r="L4736" s="56">
        <v>45107</v>
      </c>
      <c r="O4736" s="42"/>
      <c r="P4736" s="40"/>
      <c r="Q4736" s="61"/>
      <c r="R4736" s="61"/>
      <c r="S4736" s="40"/>
      <c r="T4736" s="38"/>
      <c r="U4736" s="38"/>
      <c r="V4736" s="38"/>
      <c r="W4736" s="60"/>
      <c r="AB4736" s="42"/>
      <c r="AC4736" s="35"/>
      <c r="AD4736" s="38"/>
      <c r="AE4736" s="38"/>
      <c r="AF4736" s="38"/>
      <c r="AG4736" s="38"/>
      <c r="AH4736" s="60"/>
    </row>
    <row r="4737" spans="1:34" ht="15.75" customHeight="1">
      <c r="A4737" s="75">
        <v>2.5</v>
      </c>
      <c r="B4737" s="158" t="s">
        <v>16690</v>
      </c>
      <c r="C4737" s="37" t="s">
        <v>87</v>
      </c>
      <c r="D4737" s="223" t="s">
        <v>16691</v>
      </c>
      <c r="E4737" s="20" t="s">
        <v>16692</v>
      </c>
      <c r="F4737" s="19" t="s">
        <v>90</v>
      </c>
      <c r="G4737" s="19" t="s">
        <v>91</v>
      </c>
      <c r="H4737" s="37" t="s">
        <v>55</v>
      </c>
      <c r="I4737" s="37" t="s">
        <v>29</v>
      </c>
      <c r="J4737" s="155" t="str">
        <f t="shared" si="8"/>
        <v>TT</v>
      </c>
      <c r="K4737" s="22" t="s">
        <v>16693</v>
      </c>
      <c r="L4737" s="56">
        <v>45107</v>
      </c>
      <c r="O4737" s="42"/>
      <c r="P4737" s="40"/>
      <c r="Q4737" s="61"/>
      <c r="R4737" s="61"/>
      <c r="S4737" s="40"/>
      <c r="T4737" s="38"/>
      <c r="U4737" s="38"/>
      <c r="V4737" s="38"/>
      <c r="W4737" s="60"/>
      <c r="AB4737" s="42"/>
      <c r="AC4737" s="35"/>
      <c r="AD4737" s="38"/>
      <c r="AE4737" s="38"/>
      <c r="AF4737" s="38"/>
      <c r="AG4737" s="38"/>
      <c r="AH4737" s="60"/>
    </row>
    <row r="4738" spans="1:34" ht="15.75" customHeight="1">
      <c r="A4738" s="111" t="s">
        <v>73</v>
      </c>
      <c r="B4738" s="158" t="s">
        <v>16694</v>
      </c>
      <c r="C4738" s="37" t="s">
        <v>24</v>
      </c>
      <c r="D4738" s="223" t="s">
        <v>16695</v>
      </c>
      <c r="E4738" s="20" t="s">
        <v>16696</v>
      </c>
      <c r="F4738" s="19" t="s">
        <v>27</v>
      </c>
      <c r="G4738" s="19" t="s">
        <v>28</v>
      </c>
      <c r="H4738" s="37" t="s">
        <v>55</v>
      </c>
      <c r="I4738" s="37" t="s">
        <v>29</v>
      </c>
      <c r="J4738" s="155" t="str">
        <f t="shared" si="8"/>
        <v>TT</v>
      </c>
      <c r="K4738" s="22" t="s">
        <v>16697</v>
      </c>
      <c r="L4738" s="56">
        <v>45107</v>
      </c>
      <c r="O4738" s="42"/>
      <c r="P4738" s="40"/>
      <c r="Q4738" s="61"/>
      <c r="R4738" s="61"/>
      <c r="S4738" s="40"/>
      <c r="T4738" s="38"/>
      <c r="U4738" s="38"/>
      <c r="V4738" s="38"/>
      <c r="W4738" s="60"/>
      <c r="AB4738" s="42"/>
      <c r="AC4738" s="35"/>
      <c r="AD4738" s="38"/>
      <c r="AE4738" s="38"/>
      <c r="AF4738" s="38"/>
      <c r="AG4738" s="38"/>
      <c r="AH4738" s="60"/>
    </row>
    <row r="4739" spans="1:34" ht="15.75" customHeight="1">
      <c r="A4739" s="75">
        <v>2.9</v>
      </c>
      <c r="B4739" s="159" t="s">
        <v>16698</v>
      </c>
      <c r="C4739" s="37" t="s">
        <v>24</v>
      </c>
      <c r="D4739" s="223" t="s">
        <v>16699</v>
      </c>
      <c r="E4739" s="20" t="s">
        <v>16700</v>
      </c>
      <c r="F4739" s="19" t="s">
        <v>27</v>
      </c>
      <c r="G4739" s="19" t="s">
        <v>28</v>
      </c>
      <c r="H4739" s="37" t="s">
        <v>55</v>
      </c>
      <c r="I4739" s="37" t="s">
        <v>29</v>
      </c>
      <c r="J4739" s="155" t="str">
        <f t="shared" si="8"/>
        <v>TT</v>
      </c>
      <c r="K4739" s="22" t="s">
        <v>16701</v>
      </c>
      <c r="L4739" s="56">
        <v>45107</v>
      </c>
      <c r="O4739" s="42"/>
      <c r="P4739" s="40"/>
      <c r="Q4739" s="61"/>
      <c r="R4739" s="61"/>
      <c r="S4739" s="40"/>
      <c r="T4739" s="38"/>
      <c r="U4739" s="38"/>
      <c r="V4739" s="38"/>
      <c r="W4739" s="60"/>
      <c r="AB4739" s="42"/>
      <c r="AC4739" s="35"/>
      <c r="AD4739" s="38"/>
      <c r="AE4739" s="38"/>
      <c r="AF4739" s="38"/>
      <c r="AG4739" s="38"/>
      <c r="AH4739" s="60"/>
    </row>
    <row r="4740" spans="1:34" ht="15.75" customHeight="1">
      <c r="A4740" s="111" t="s">
        <v>82</v>
      </c>
      <c r="B4740" s="158" t="s">
        <v>16702</v>
      </c>
      <c r="C4740" s="37" t="s">
        <v>24</v>
      </c>
      <c r="D4740" s="223" t="s">
        <v>16703</v>
      </c>
      <c r="E4740" s="20" t="s">
        <v>16704</v>
      </c>
      <c r="F4740" s="19" t="s">
        <v>27</v>
      </c>
      <c r="G4740" s="19" t="s">
        <v>28</v>
      </c>
      <c r="H4740" s="37" t="s">
        <v>55</v>
      </c>
      <c r="I4740" s="37" t="s">
        <v>29</v>
      </c>
      <c r="J4740" s="155" t="str">
        <f t="shared" si="8"/>
        <v>TT</v>
      </c>
      <c r="K4740" s="22" t="s">
        <v>16705</v>
      </c>
      <c r="L4740" s="56">
        <v>45107</v>
      </c>
      <c r="O4740" s="42"/>
      <c r="P4740" s="40"/>
      <c r="Q4740" s="61"/>
      <c r="R4740" s="61"/>
      <c r="S4740" s="40"/>
      <c r="T4740" s="38"/>
      <c r="U4740" s="38"/>
      <c r="V4740" s="38"/>
      <c r="W4740" s="60"/>
      <c r="AB4740" s="42"/>
      <c r="AC4740" s="35"/>
      <c r="AD4740" s="38"/>
      <c r="AE4740" s="38"/>
      <c r="AF4740" s="38"/>
      <c r="AG4740" s="38"/>
      <c r="AH4740" s="60"/>
    </row>
    <row r="4741" spans="1:34" ht="15.75" customHeight="1">
      <c r="A4741" s="112" t="s">
        <v>16706</v>
      </c>
      <c r="B4741" s="158" t="s">
        <v>16707</v>
      </c>
      <c r="C4741" s="37" t="s">
        <v>24</v>
      </c>
      <c r="D4741" s="223" t="s">
        <v>16708</v>
      </c>
      <c r="E4741" s="20" t="s">
        <v>16709</v>
      </c>
      <c r="F4741" s="19" t="s">
        <v>27</v>
      </c>
      <c r="G4741" s="19" t="s">
        <v>28</v>
      </c>
      <c r="H4741" s="37" t="s">
        <v>55</v>
      </c>
      <c r="I4741" s="37" t="s">
        <v>29</v>
      </c>
      <c r="J4741" s="155" t="str">
        <f t="shared" si="8"/>
        <v>TT</v>
      </c>
      <c r="K4741" s="22" t="s">
        <v>16710</v>
      </c>
      <c r="L4741" s="56">
        <v>45107</v>
      </c>
      <c r="O4741" s="42"/>
      <c r="P4741" s="40"/>
      <c r="Q4741" s="61"/>
      <c r="R4741" s="61"/>
      <c r="S4741" s="40"/>
      <c r="T4741" s="38"/>
      <c r="U4741" s="38"/>
      <c r="V4741" s="38"/>
      <c r="W4741" s="60"/>
      <c r="AB4741" s="42"/>
      <c r="AC4741" s="35"/>
      <c r="AD4741" s="38"/>
      <c r="AE4741" s="38"/>
      <c r="AF4741" s="38"/>
      <c r="AG4741" s="38"/>
      <c r="AH4741" s="60"/>
    </row>
    <row r="4742" spans="1:34" ht="15.75" customHeight="1">
      <c r="A4742" s="111" t="s">
        <v>92</v>
      </c>
      <c r="B4742" s="158" t="s">
        <v>16711</v>
      </c>
      <c r="C4742" s="37" t="s">
        <v>46</v>
      </c>
      <c r="D4742" s="223" t="s">
        <v>16712</v>
      </c>
      <c r="E4742" s="20" t="s">
        <v>16713</v>
      </c>
      <c r="F4742" s="37" t="s">
        <v>49</v>
      </c>
      <c r="G4742" s="19" t="s">
        <v>50</v>
      </c>
      <c r="H4742" s="37" t="s">
        <v>55</v>
      </c>
      <c r="I4742" s="37" t="s">
        <v>29</v>
      </c>
      <c r="J4742" s="155" t="str">
        <f t="shared" si="8"/>
        <v>TT</v>
      </c>
      <c r="K4742" s="22" t="s">
        <v>16714</v>
      </c>
      <c r="L4742" s="56">
        <v>45107</v>
      </c>
      <c r="O4742" s="42"/>
      <c r="P4742" s="40"/>
      <c r="Q4742" s="61"/>
      <c r="R4742" s="61"/>
      <c r="S4742" s="40"/>
      <c r="T4742" s="38"/>
      <c r="U4742" s="38"/>
      <c r="V4742" s="38"/>
      <c r="W4742" s="60"/>
      <c r="AB4742" s="42"/>
      <c r="AC4742" s="35"/>
      <c r="AD4742" s="38"/>
      <c r="AE4742" s="38"/>
      <c r="AF4742" s="38"/>
      <c r="AG4742" s="38"/>
      <c r="AH4742" s="60"/>
    </row>
    <row r="4743" spans="1:34" ht="15.75" customHeight="1">
      <c r="A4743" s="17">
        <v>774</v>
      </c>
      <c r="B4743" s="38"/>
      <c r="C4743" s="37"/>
      <c r="D4743" s="20"/>
      <c r="E4743" s="20"/>
      <c r="F4743" s="37"/>
      <c r="G4743" s="37"/>
      <c r="H4743" s="37"/>
      <c r="I4743" s="19"/>
      <c r="J4743" s="155">
        <f t="shared" si="8"/>
        <v>0</v>
      </c>
      <c r="K4743" s="22"/>
      <c r="L4743" s="39"/>
      <c r="O4743" s="42"/>
      <c r="P4743" s="40"/>
      <c r="Q4743" s="61"/>
      <c r="R4743" s="61"/>
      <c r="S4743" s="40"/>
      <c r="T4743" s="38"/>
      <c r="U4743" s="38"/>
      <c r="V4743" s="38"/>
      <c r="W4743" s="60"/>
      <c r="AB4743" s="42"/>
      <c r="AC4743" s="35"/>
      <c r="AD4743" s="38"/>
      <c r="AE4743" s="38"/>
      <c r="AF4743" s="38"/>
      <c r="AG4743" s="38"/>
      <c r="AH4743" s="60"/>
    </row>
    <row r="4744" spans="1:34" ht="15.75" customHeight="1">
      <c r="A4744" s="111" t="s">
        <v>100</v>
      </c>
      <c r="B4744" s="38"/>
      <c r="C4744" s="37"/>
      <c r="D4744" s="20"/>
      <c r="E4744" s="20"/>
      <c r="F4744" s="37"/>
      <c r="G4744" s="37"/>
      <c r="H4744" s="37"/>
      <c r="I4744" s="19"/>
      <c r="J4744" s="155">
        <f t="shared" si="8"/>
        <v>0</v>
      </c>
      <c r="K4744" s="22"/>
      <c r="L4744" s="39"/>
      <c r="O4744" s="42"/>
      <c r="P4744" s="40"/>
      <c r="Q4744" s="61"/>
      <c r="R4744" s="61"/>
      <c r="S4744" s="40"/>
      <c r="T4744" s="38"/>
      <c r="U4744" s="38"/>
      <c r="V4744" s="38"/>
      <c r="W4744" s="60"/>
      <c r="AB4744" s="42"/>
      <c r="AC4744" s="35"/>
      <c r="AD4744" s="38"/>
      <c r="AE4744" s="38"/>
      <c r="AF4744" s="38"/>
      <c r="AG4744" s="38"/>
      <c r="AH4744" s="60"/>
    </row>
    <row r="4745" spans="1:34" ht="15.75" customHeight="1">
      <c r="A4745" s="17">
        <v>155</v>
      </c>
      <c r="B4745" s="38"/>
      <c r="C4745" s="37"/>
      <c r="D4745" s="20"/>
      <c r="E4745" s="20"/>
      <c r="F4745" s="37"/>
      <c r="G4745" s="37"/>
      <c r="H4745" s="37"/>
      <c r="I4745" s="19"/>
      <c r="J4745" s="155">
        <f t="shared" si="8"/>
        <v>0</v>
      </c>
      <c r="K4745" s="22"/>
      <c r="L4745" s="39"/>
      <c r="O4745" s="42"/>
      <c r="P4745" s="40"/>
      <c r="Q4745" s="61"/>
      <c r="R4745" s="61"/>
      <c r="S4745" s="40"/>
      <c r="T4745" s="38"/>
      <c r="U4745" s="38"/>
      <c r="V4745" s="38"/>
      <c r="W4745" s="60"/>
      <c r="AB4745" s="42"/>
      <c r="AC4745" s="35"/>
      <c r="AD4745" s="38"/>
      <c r="AE4745" s="38"/>
      <c r="AF4745" s="38"/>
      <c r="AG4745" s="38"/>
      <c r="AH4745" s="60"/>
    </row>
    <row r="4746" spans="1:34" ht="15.75" customHeight="1">
      <c r="A4746" s="249"/>
      <c r="B4746" s="38"/>
      <c r="C4746" s="37"/>
      <c r="D4746" s="20"/>
      <c r="E4746" s="20"/>
      <c r="F4746" s="37"/>
      <c r="G4746" s="37"/>
      <c r="H4746" s="37"/>
      <c r="I4746" s="19"/>
      <c r="J4746" s="155">
        <f t="shared" si="8"/>
        <v>0</v>
      </c>
      <c r="K4746" s="22"/>
      <c r="L4746" s="39"/>
      <c r="O4746" s="42"/>
      <c r="P4746" s="40"/>
      <c r="Q4746" s="61"/>
      <c r="R4746" s="61"/>
      <c r="S4746" s="40"/>
      <c r="T4746" s="38"/>
      <c r="U4746" s="38"/>
      <c r="V4746" s="38"/>
      <c r="W4746" s="60"/>
      <c r="AB4746" s="42"/>
      <c r="AC4746" s="35"/>
      <c r="AD4746" s="38"/>
      <c r="AE4746" s="38"/>
      <c r="AF4746" s="38"/>
      <c r="AG4746" s="38"/>
      <c r="AH4746" s="60"/>
    </row>
    <row r="4747" spans="1:34" ht="15.75" customHeight="1">
      <c r="A4747" s="54" t="s">
        <v>16715</v>
      </c>
      <c r="B4747" s="78" t="s">
        <v>16716</v>
      </c>
      <c r="C4747" s="37" t="s">
        <v>24</v>
      </c>
      <c r="D4747" s="20" t="s">
        <v>16717</v>
      </c>
      <c r="E4747" s="20" t="s">
        <v>16718</v>
      </c>
      <c r="F4747" s="19" t="s">
        <v>27</v>
      </c>
      <c r="G4747" s="19" t="s">
        <v>28</v>
      </c>
      <c r="H4747" s="37"/>
      <c r="I4747" s="37" t="s">
        <v>29</v>
      </c>
      <c r="J4747" s="155" t="str">
        <f t="shared" si="8"/>
        <v>TT</v>
      </c>
      <c r="K4747" s="22" t="s">
        <v>16719</v>
      </c>
      <c r="L4747" s="56">
        <v>45107</v>
      </c>
      <c r="M4747" s="40"/>
      <c r="O4747" s="42"/>
      <c r="P4747" s="40"/>
      <c r="Q4747" s="61"/>
      <c r="R4747" s="61"/>
      <c r="S4747" s="40"/>
      <c r="T4747" s="38"/>
      <c r="U4747" s="38"/>
      <c r="V4747" s="38"/>
      <c r="W4747" s="60"/>
      <c r="AB4747" s="42"/>
      <c r="AC4747" s="35"/>
      <c r="AD4747" s="38"/>
      <c r="AE4747" s="38"/>
      <c r="AF4747" s="38"/>
      <c r="AG4747" s="38"/>
      <c r="AH4747" s="60"/>
    </row>
    <row r="4748" spans="1:34" ht="15.75" customHeight="1">
      <c r="A4748" s="54" t="s">
        <v>2628</v>
      </c>
      <c r="B4748" s="158" t="s">
        <v>16720</v>
      </c>
      <c r="C4748" s="37" t="s">
        <v>87</v>
      </c>
      <c r="D4748" s="20" t="s">
        <v>16721</v>
      </c>
      <c r="E4748" s="20" t="s">
        <v>16722</v>
      </c>
      <c r="F4748" s="19" t="s">
        <v>90</v>
      </c>
      <c r="G4748" s="19" t="s">
        <v>91</v>
      </c>
      <c r="H4748" s="37"/>
      <c r="I4748" s="37" t="s">
        <v>29</v>
      </c>
      <c r="J4748" s="155" t="str">
        <f t="shared" si="8"/>
        <v>TT</v>
      </c>
      <c r="K4748" s="22" t="s">
        <v>16723</v>
      </c>
      <c r="L4748" s="56">
        <v>45107</v>
      </c>
      <c r="O4748" s="42"/>
      <c r="P4748" s="40"/>
      <c r="Q4748" s="61"/>
      <c r="R4748" s="61"/>
      <c r="S4748" s="40"/>
      <c r="T4748" s="38"/>
      <c r="U4748" s="38"/>
      <c r="V4748" s="38"/>
      <c r="W4748" s="60"/>
      <c r="AB4748" s="42"/>
      <c r="AC4748" s="35"/>
      <c r="AD4748" s="38"/>
      <c r="AE4748" s="38"/>
      <c r="AF4748" s="38"/>
      <c r="AG4748" s="38"/>
      <c r="AH4748" s="60"/>
    </row>
    <row r="4749" spans="1:34" ht="15.75" customHeight="1">
      <c r="A4749" s="114" t="s">
        <v>39</v>
      </c>
      <c r="B4749" s="158" t="s">
        <v>16724</v>
      </c>
      <c r="C4749" s="37" t="s">
        <v>87</v>
      </c>
      <c r="D4749" s="20" t="s">
        <v>16725</v>
      </c>
      <c r="E4749" s="20" t="s">
        <v>16726</v>
      </c>
      <c r="F4749" s="19" t="s">
        <v>90</v>
      </c>
      <c r="G4749" s="19" t="s">
        <v>91</v>
      </c>
      <c r="H4749" s="37"/>
      <c r="I4749" s="37" t="s">
        <v>29</v>
      </c>
      <c r="J4749" s="155" t="str">
        <f t="shared" si="8"/>
        <v>TT</v>
      </c>
      <c r="K4749" s="22" t="s">
        <v>16727</v>
      </c>
      <c r="L4749" s="56">
        <v>45107</v>
      </c>
      <c r="O4749" s="42"/>
      <c r="P4749" s="40"/>
      <c r="Q4749" s="61"/>
      <c r="R4749" s="61"/>
      <c r="S4749" s="40"/>
      <c r="T4749" s="38"/>
      <c r="U4749" s="38"/>
      <c r="V4749" s="38"/>
      <c r="W4749" s="60"/>
      <c r="AB4749" s="42"/>
      <c r="AC4749" s="35"/>
      <c r="AD4749" s="38"/>
      <c r="AE4749" s="38"/>
      <c r="AF4749" s="38"/>
      <c r="AG4749" s="38"/>
      <c r="AH4749" s="60"/>
    </row>
    <row r="4750" spans="1:34" ht="15.75" customHeight="1">
      <c r="A4750" s="38" t="s">
        <v>16024</v>
      </c>
      <c r="B4750" s="158" t="s">
        <v>16728</v>
      </c>
      <c r="C4750" s="37" t="s">
        <v>46</v>
      </c>
      <c r="D4750" s="20" t="s">
        <v>16729</v>
      </c>
      <c r="E4750" s="20" t="s">
        <v>16730</v>
      </c>
      <c r="F4750" s="37" t="s">
        <v>49</v>
      </c>
      <c r="G4750" s="19" t="s">
        <v>50</v>
      </c>
      <c r="H4750" s="37"/>
      <c r="I4750" s="37" t="s">
        <v>29</v>
      </c>
      <c r="J4750" s="155" t="str">
        <f t="shared" si="8"/>
        <v>TT</v>
      </c>
      <c r="K4750" s="22" t="s">
        <v>16731</v>
      </c>
      <c r="L4750" s="56">
        <v>45107</v>
      </c>
      <c r="O4750" s="42"/>
      <c r="P4750" s="40"/>
      <c r="Q4750" s="61"/>
      <c r="R4750" s="61"/>
      <c r="S4750" s="40"/>
      <c r="T4750" s="38"/>
      <c r="U4750" s="38"/>
      <c r="V4750" s="38"/>
      <c r="W4750" s="60"/>
      <c r="AB4750" s="42"/>
      <c r="AC4750" s="35"/>
      <c r="AD4750" s="38"/>
      <c r="AE4750" s="38"/>
      <c r="AF4750" s="38"/>
      <c r="AG4750" s="38"/>
      <c r="AH4750" s="60"/>
    </row>
    <row r="4751" spans="1:34" ht="15.75" customHeight="1">
      <c r="A4751" s="75" t="s">
        <v>11857</v>
      </c>
      <c r="B4751" s="158" t="s">
        <v>2107</v>
      </c>
      <c r="C4751" s="37" t="s">
        <v>46</v>
      </c>
      <c r="D4751" s="20" t="s">
        <v>16732</v>
      </c>
      <c r="E4751" s="20" t="s">
        <v>16733</v>
      </c>
      <c r="F4751" s="37" t="s">
        <v>49</v>
      </c>
      <c r="G4751" s="19" t="s">
        <v>50</v>
      </c>
      <c r="H4751" s="37"/>
      <c r="I4751" s="37" t="s">
        <v>29</v>
      </c>
      <c r="J4751" s="155" t="str">
        <f t="shared" si="8"/>
        <v>TT</v>
      </c>
      <c r="K4751" s="22" t="s">
        <v>16734</v>
      </c>
      <c r="L4751" s="56">
        <v>45107</v>
      </c>
      <c r="O4751" s="42"/>
      <c r="P4751" s="40"/>
      <c r="Q4751" s="61"/>
      <c r="R4751" s="61"/>
      <c r="S4751" s="40"/>
      <c r="T4751" s="38"/>
      <c r="U4751" s="38"/>
      <c r="V4751" s="38"/>
      <c r="W4751" s="60"/>
      <c r="AB4751" s="42"/>
      <c r="AC4751" s="35"/>
      <c r="AD4751" s="38"/>
      <c r="AE4751" s="38"/>
      <c r="AF4751" s="38"/>
      <c r="AG4751" s="38"/>
      <c r="AH4751" s="60"/>
    </row>
    <row r="4752" spans="1:34" ht="15.75" customHeight="1">
      <c r="A4752" s="50" t="s">
        <v>56</v>
      </c>
      <c r="B4752" s="158" t="s">
        <v>16735</v>
      </c>
      <c r="C4752" s="37" t="s">
        <v>24</v>
      </c>
      <c r="D4752" s="20" t="s">
        <v>16736</v>
      </c>
      <c r="E4752" s="20" t="s">
        <v>16737</v>
      </c>
      <c r="F4752" s="19" t="s">
        <v>27</v>
      </c>
      <c r="G4752" s="19" t="s">
        <v>28</v>
      </c>
      <c r="H4752" s="19" t="s">
        <v>36</v>
      </c>
      <c r="I4752" s="37" t="s">
        <v>29</v>
      </c>
      <c r="J4752" s="155" t="str">
        <f t="shared" si="8"/>
        <v>TT</v>
      </c>
      <c r="K4752" s="22" t="s">
        <v>16738</v>
      </c>
      <c r="L4752" s="56">
        <v>45107</v>
      </c>
      <c r="O4752" s="42"/>
      <c r="P4752" s="40"/>
      <c r="Q4752" s="61"/>
      <c r="R4752" s="61"/>
      <c r="S4752" s="40"/>
      <c r="T4752" s="38"/>
      <c r="U4752" s="38"/>
      <c r="V4752" s="38"/>
      <c r="W4752" s="60"/>
      <c r="AB4752" s="42"/>
      <c r="AC4752" s="35"/>
      <c r="AD4752" s="38"/>
      <c r="AE4752" s="38"/>
      <c r="AF4752" s="38"/>
      <c r="AG4752" s="38"/>
      <c r="AH4752" s="60"/>
    </row>
    <row r="4753" spans="1:34" ht="15.75" customHeight="1">
      <c r="A4753" s="17">
        <v>45</v>
      </c>
      <c r="B4753" s="158" t="s">
        <v>16739</v>
      </c>
      <c r="C4753" s="37" t="s">
        <v>87</v>
      </c>
      <c r="D4753" s="20" t="s">
        <v>16740</v>
      </c>
      <c r="E4753" s="20" t="s">
        <v>16741</v>
      </c>
      <c r="F4753" s="19" t="s">
        <v>90</v>
      </c>
      <c r="G4753" s="19" t="s">
        <v>91</v>
      </c>
      <c r="H4753" s="37"/>
      <c r="I4753" s="37" t="s">
        <v>29</v>
      </c>
      <c r="J4753" s="155" t="str">
        <f t="shared" si="8"/>
        <v>TT</v>
      </c>
      <c r="K4753" s="22" t="s">
        <v>16742</v>
      </c>
      <c r="L4753" s="56">
        <v>45107</v>
      </c>
      <c r="O4753" s="42"/>
      <c r="P4753" s="40"/>
      <c r="Q4753" s="61"/>
      <c r="R4753" s="61"/>
      <c r="S4753" s="40"/>
      <c r="T4753" s="38"/>
      <c r="U4753" s="38"/>
      <c r="V4753" s="38"/>
      <c r="W4753" s="60"/>
      <c r="AB4753" s="42"/>
      <c r="AC4753" s="35"/>
      <c r="AD4753" s="38"/>
      <c r="AE4753" s="38"/>
      <c r="AF4753" s="38"/>
      <c r="AG4753" s="38"/>
      <c r="AH4753" s="60"/>
    </row>
    <row r="4754" spans="1:34" ht="15.75" customHeight="1">
      <c r="A4754" s="111" t="s">
        <v>64</v>
      </c>
      <c r="B4754" s="158" t="s">
        <v>16743</v>
      </c>
      <c r="C4754" s="37" t="s">
        <v>87</v>
      </c>
      <c r="D4754" s="20" t="s">
        <v>16744</v>
      </c>
      <c r="E4754" s="20" t="s">
        <v>16745</v>
      </c>
      <c r="F4754" s="19" t="s">
        <v>90</v>
      </c>
      <c r="G4754" s="19" t="s">
        <v>91</v>
      </c>
      <c r="H4754" s="37"/>
      <c r="I4754" s="37" t="s">
        <v>29</v>
      </c>
      <c r="J4754" s="155" t="str">
        <f t="shared" si="8"/>
        <v>TT</v>
      </c>
      <c r="K4754" s="22" t="s">
        <v>16746</v>
      </c>
      <c r="L4754" s="56">
        <v>45107</v>
      </c>
      <c r="O4754" s="42"/>
      <c r="P4754" s="40"/>
      <c r="Q4754" s="61"/>
      <c r="R4754" s="61"/>
      <c r="S4754" s="40"/>
      <c r="T4754" s="38"/>
      <c r="U4754" s="38"/>
      <c r="V4754" s="38"/>
      <c r="W4754" s="60"/>
      <c r="AB4754" s="42"/>
      <c r="AC4754" s="35"/>
      <c r="AD4754" s="38"/>
      <c r="AE4754" s="38"/>
      <c r="AF4754" s="38"/>
      <c r="AG4754" s="38"/>
      <c r="AH4754" s="60"/>
    </row>
    <row r="4755" spans="1:34" ht="15.75" customHeight="1">
      <c r="A4755" s="75">
        <v>2.5</v>
      </c>
      <c r="B4755" s="158" t="s">
        <v>16747</v>
      </c>
      <c r="C4755" s="37" t="s">
        <v>46</v>
      </c>
      <c r="D4755" s="20" t="s">
        <v>16748</v>
      </c>
      <c r="E4755" s="20" t="s">
        <v>16749</v>
      </c>
      <c r="F4755" s="37" t="s">
        <v>49</v>
      </c>
      <c r="G4755" s="19" t="s">
        <v>50</v>
      </c>
      <c r="H4755" s="37"/>
      <c r="I4755" s="37" t="s">
        <v>29</v>
      </c>
      <c r="J4755" s="155" t="str">
        <f t="shared" si="8"/>
        <v>TT</v>
      </c>
      <c r="K4755" s="22" t="s">
        <v>16750</v>
      </c>
      <c r="L4755" s="56">
        <v>45107</v>
      </c>
      <c r="O4755" s="42"/>
      <c r="P4755" s="40"/>
      <c r="Q4755" s="61"/>
      <c r="R4755" s="61"/>
      <c r="S4755" s="40"/>
      <c r="T4755" s="38"/>
      <c r="U4755" s="38"/>
      <c r="V4755" s="38"/>
      <c r="W4755" s="60"/>
      <c r="AB4755" s="42"/>
      <c r="AC4755" s="35"/>
      <c r="AD4755" s="38"/>
      <c r="AE4755" s="38"/>
      <c r="AF4755" s="38"/>
      <c r="AG4755" s="38"/>
      <c r="AH4755" s="60"/>
    </row>
    <row r="4756" spans="1:34" ht="15.75" customHeight="1">
      <c r="A4756" s="111" t="s">
        <v>73</v>
      </c>
      <c r="B4756" s="158" t="s">
        <v>16751</v>
      </c>
      <c r="C4756" s="37" t="s">
        <v>1366</v>
      </c>
      <c r="D4756" s="20" t="s">
        <v>16752</v>
      </c>
      <c r="E4756" s="20" t="s">
        <v>16753</v>
      </c>
      <c r="F4756" s="55" t="s">
        <v>1369</v>
      </c>
      <c r="G4756" s="55" t="s">
        <v>1370</v>
      </c>
      <c r="H4756" s="19" t="s">
        <v>36</v>
      </c>
      <c r="I4756" s="37" t="s">
        <v>29</v>
      </c>
      <c r="J4756" s="155" t="str">
        <f t="shared" si="8"/>
        <v>TT</v>
      </c>
      <c r="K4756" s="22" t="s">
        <v>16754</v>
      </c>
      <c r="L4756" s="56">
        <v>45107</v>
      </c>
      <c r="O4756" s="42"/>
      <c r="P4756" s="40"/>
      <c r="Q4756" s="61"/>
      <c r="R4756" s="61"/>
      <c r="S4756" s="40"/>
      <c r="T4756" s="38"/>
      <c r="U4756" s="38"/>
      <c r="V4756" s="38"/>
      <c r="W4756" s="60"/>
      <c r="AB4756" s="42"/>
      <c r="AC4756" s="35"/>
      <c r="AD4756" s="38"/>
      <c r="AE4756" s="38"/>
      <c r="AF4756" s="38"/>
      <c r="AG4756" s="38"/>
      <c r="AH4756" s="60"/>
    </row>
    <row r="4757" spans="1:34" ht="15.75" customHeight="1">
      <c r="A4757" s="75">
        <v>3.2</v>
      </c>
      <c r="B4757" s="158" t="s">
        <v>16755</v>
      </c>
      <c r="C4757" s="37" t="s">
        <v>87</v>
      </c>
      <c r="D4757" s="20" t="s">
        <v>16756</v>
      </c>
      <c r="E4757" s="20" t="s">
        <v>16757</v>
      </c>
      <c r="F4757" s="19" t="s">
        <v>90</v>
      </c>
      <c r="G4757" s="19" t="s">
        <v>91</v>
      </c>
      <c r="H4757" s="37"/>
      <c r="I4757" s="37" t="s">
        <v>29</v>
      </c>
      <c r="J4757" s="155" t="str">
        <f t="shared" si="8"/>
        <v>TT</v>
      </c>
      <c r="K4757" s="22" t="s">
        <v>16758</v>
      </c>
      <c r="L4757" s="56">
        <v>45107</v>
      </c>
      <c r="O4757" s="42"/>
      <c r="P4757" s="40"/>
      <c r="Q4757" s="61"/>
      <c r="R4757" s="61"/>
      <c r="S4757" s="40"/>
      <c r="T4757" s="38"/>
      <c r="U4757" s="38"/>
      <c r="V4757" s="38"/>
      <c r="W4757" s="60"/>
      <c r="AB4757" s="42"/>
      <c r="AC4757" s="35"/>
      <c r="AD4757" s="38"/>
      <c r="AE4757" s="38"/>
      <c r="AF4757" s="38"/>
      <c r="AG4757" s="38"/>
      <c r="AH4757" s="60"/>
    </row>
    <row r="4758" spans="1:34" ht="15.75" customHeight="1">
      <c r="A4758" s="111" t="s">
        <v>82</v>
      </c>
      <c r="B4758" s="158" t="s">
        <v>16759</v>
      </c>
      <c r="C4758" s="37" t="s">
        <v>46</v>
      </c>
      <c r="D4758" s="20" t="s">
        <v>16760</v>
      </c>
      <c r="E4758" s="20" t="s">
        <v>16761</v>
      </c>
      <c r="F4758" s="37" t="s">
        <v>49</v>
      </c>
      <c r="G4758" s="19" t="s">
        <v>50</v>
      </c>
      <c r="H4758" s="37"/>
      <c r="I4758" s="37" t="s">
        <v>29</v>
      </c>
      <c r="J4758" s="155" t="str">
        <f t="shared" si="8"/>
        <v>TT</v>
      </c>
      <c r="K4758" s="22" t="s">
        <v>16762</v>
      </c>
      <c r="L4758" s="56">
        <v>45107</v>
      </c>
      <c r="O4758" s="42"/>
      <c r="P4758" s="40"/>
      <c r="Q4758" s="61"/>
      <c r="R4758" s="61"/>
      <c r="S4758" s="40"/>
      <c r="T4758" s="38"/>
      <c r="U4758" s="38"/>
      <c r="V4758" s="38"/>
      <c r="W4758" s="60"/>
      <c r="AB4758" s="42"/>
      <c r="AC4758" s="35"/>
      <c r="AD4758" s="38"/>
      <c r="AE4758" s="38"/>
      <c r="AF4758" s="38"/>
      <c r="AG4758" s="38"/>
      <c r="AH4758" s="60"/>
    </row>
    <row r="4759" spans="1:34" ht="15.75" customHeight="1">
      <c r="A4759" s="112" t="s">
        <v>16763</v>
      </c>
      <c r="B4759" s="38" t="s">
        <v>16764</v>
      </c>
      <c r="C4759" s="37" t="s">
        <v>46</v>
      </c>
      <c r="D4759" s="20" t="s">
        <v>16765</v>
      </c>
      <c r="E4759" s="20" t="s">
        <v>16766</v>
      </c>
      <c r="F4759" s="37" t="s">
        <v>49</v>
      </c>
      <c r="G4759" s="19" t="s">
        <v>50</v>
      </c>
      <c r="H4759" s="37"/>
      <c r="I4759" s="37" t="s">
        <v>29</v>
      </c>
      <c r="J4759" s="155" t="str">
        <f t="shared" si="8"/>
        <v>TT</v>
      </c>
      <c r="K4759" s="22" t="s">
        <v>16767</v>
      </c>
      <c r="L4759" s="56">
        <v>45107</v>
      </c>
      <c r="O4759" s="42"/>
      <c r="P4759" s="40"/>
      <c r="Q4759" s="61"/>
      <c r="R4759" s="61"/>
      <c r="S4759" s="40"/>
      <c r="T4759" s="38"/>
      <c r="U4759" s="38"/>
      <c r="V4759" s="38"/>
      <c r="W4759" s="60"/>
      <c r="AB4759" s="42"/>
      <c r="AC4759" s="35"/>
      <c r="AD4759" s="38"/>
      <c r="AE4759" s="38"/>
      <c r="AF4759" s="38"/>
      <c r="AG4759" s="38"/>
      <c r="AH4759" s="60"/>
    </row>
    <row r="4760" spans="1:34" ht="15.75" customHeight="1">
      <c r="A4760" s="111" t="s">
        <v>92</v>
      </c>
      <c r="B4760" s="158" t="s">
        <v>16768</v>
      </c>
      <c r="C4760" s="37" t="s">
        <v>46</v>
      </c>
      <c r="D4760" s="20" t="s">
        <v>16769</v>
      </c>
      <c r="E4760" s="20" t="s">
        <v>16770</v>
      </c>
      <c r="F4760" s="37" t="s">
        <v>49</v>
      </c>
      <c r="G4760" s="19" t="s">
        <v>50</v>
      </c>
      <c r="H4760" s="37"/>
      <c r="I4760" s="37" t="s">
        <v>29</v>
      </c>
      <c r="J4760" s="155" t="str">
        <f t="shared" si="8"/>
        <v>TT</v>
      </c>
      <c r="K4760" s="22" t="s">
        <v>16771</v>
      </c>
      <c r="L4760" s="56">
        <v>45107</v>
      </c>
      <c r="O4760" s="42"/>
      <c r="P4760" s="40"/>
      <c r="Q4760" s="61"/>
      <c r="R4760" s="61"/>
      <c r="S4760" s="40"/>
      <c r="T4760" s="38"/>
      <c r="U4760" s="38"/>
      <c r="V4760" s="38"/>
      <c r="W4760" s="60"/>
      <c r="AB4760" s="42"/>
      <c r="AC4760" s="35"/>
      <c r="AD4760" s="38"/>
      <c r="AE4760" s="38"/>
      <c r="AF4760" s="38"/>
      <c r="AG4760" s="38"/>
      <c r="AH4760" s="60"/>
    </row>
    <row r="4761" spans="1:34" ht="15.75" customHeight="1">
      <c r="A4761" s="17">
        <v>518</v>
      </c>
      <c r="B4761" s="158" t="s">
        <v>16772</v>
      </c>
      <c r="C4761" s="37" t="s">
        <v>24</v>
      </c>
      <c r="D4761" s="20" t="s">
        <v>16773</v>
      </c>
      <c r="E4761" s="20" t="s">
        <v>16774</v>
      </c>
      <c r="F4761" s="19" t="s">
        <v>27</v>
      </c>
      <c r="G4761" s="19" t="s">
        <v>28</v>
      </c>
      <c r="H4761" s="37"/>
      <c r="I4761" s="37" t="s">
        <v>29</v>
      </c>
      <c r="J4761" s="155" t="str">
        <f t="shared" si="8"/>
        <v>TT</v>
      </c>
      <c r="K4761" s="22" t="s">
        <v>16775</v>
      </c>
      <c r="L4761" s="56">
        <v>45107</v>
      </c>
      <c r="O4761" s="42"/>
      <c r="P4761" s="40"/>
      <c r="Q4761" s="61"/>
      <c r="R4761" s="61"/>
      <c r="S4761" s="40"/>
      <c r="T4761" s="38"/>
      <c r="U4761" s="38"/>
      <c r="V4761" s="38"/>
      <c r="W4761" s="60"/>
      <c r="AB4761" s="42"/>
      <c r="AC4761" s="35"/>
      <c r="AD4761" s="38"/>
      <c r="AE4761" s="38"/>
      <c r="AF4761" s="38"/>
      <c r="AG4761" s="38"/>
      <c r="AH4761" s="60"/>
    </row>
    <row r="4762" spans="1:34" ht="15.75" customHeight="1">
      <c r="A4762" s="111" t="s">
        <v>100</v>
      </c>
      <c r="B4762" s="158" t="s">
        <v>16776</v>
      </c>
      <c r="C4762" s="37" t="s">
        <v>87</v>
      </c>
      <c r="D4762" s="20" t="s">
        <v>16777</v>
      </c>
      <c r="E4762" s="20" t="s">
        <v>16778</v>
      </c>
      <c r="F4762" s="19" t="s">
        <v>90</v>
      </c>
      <c r="G4762" s="19" t="s">
        <v>91</v>
      </c>
      <c r="H4762" s="37"/>
      <c r="I4762" s="37" t="s">
        <v>29</v>
      </c>
      <c r="J4762" s="155" t="str">
        <f t="shared" si="8"/>
        <v>TT</v>
      </c>
      <c r="K4762" s="22" t="s">
        <v>16779</v>
      </c>
      <c r="L4762" s="56">
        <v>45107</v>
      </c>
      <c r="O4762" s="42"/>
      <c r="P4762" s="40"/>
      <c r="Q4762" s="61"/>
      <c r="R4762" s="61"/>
      <c r="S4762" s="40"/>
      <c r="T4762" s="38"/>
      <c r="U4762" s="38"/>
      <c r="V4762" s="38"/>
      <c r="W4762" s="60"/>
      <c r="AB4762" s="42"/>
      <c r="AC4762" s="35"/>
      <c r="AD4762" s="38"/>
      <c r="AE4762" s="38"/>
      <c r="AF4762" s="38"/>
      <c r="AG4762" s="38"/>
      <c r="AH4762" s="60"/>
    </row>
    <row r="4763" spans="1:34" ht="15.75" customHeight="1">
      <c r="A4763" s="17">
        <v>159</v>
      </c>
      <c r="B4763" s="158" t="s">
        <v>16780</v>
      </c>
      <c r="C4763" s="37" t="s">
        <v>87</v>
      </c>
      <c r="D4763" s="20" t="s">
        <v>16781</v>
      </c>
      <c r="E4763" s="20" t="s">
        <v>16782</v>
      </c>
      <c r="F4763" s="19" t="s">
        <v>90</v>
      </c>
      <c r="G4763" s="19" t="s">
        <v>91</v>
      </c>
      <c r="H4763" s="19" t="s">
        <v>36</v>
      </c>
      <c r="I4763" s="37" t="s">
        <v>29</v>
      </c>
      <c r="J4763" s="155" t="str">
        <f t="shared" si="8"/>
        <v>TT</v>
      </c>
      <c r="K4763" s="22" t="s">
        <v>16783</v>
      </c>
      <c r="L4763" s="56">
        <v>45107</v>
      </c>
      <c r="O4763" s="42"/>
      <c r="P4763" s="40"/>
      <c r="Q4763" s="61"/>
      <c r="R4763" s="61"/>
      <c r="S4763" s="40"/>
      <c r="T4763" s="38"/>
      <c r="U4763" s="38"/>
      <c r="V4763" s="38"/>
      <c r="W4763" s="60"/>
      <c r="AB4763" s="42"/>
      <c r="AC4763" s="35"/>
      <c r="AD4763" s="38"/>
      <c r="AE4763" s="38"/>
      <c r="AF4763" s="38"/>
      <c r="AG4763" s="38"/>
      <c r="AH4763" s="60"/>
    </row>
    <row r="4764" spans="1:34" ht="15.75" customHeight="1">
      <c r="A4764" s="35"/>
      <c r="B4764" s="158" t="s">
        <v>16784</v>
      </c>
      <c r="C4764" s="37" t="s">
        <v>87</v>
      </c>
      <c r="D4764" s="20" t="s">
        <v>16785</v>
      </c>
      <c r="E4764" s="20" t="s">
        <v>16786</v>
      </c>
      <c r="F4764" s="19" t="s">
        <v>90</v>
      </c>
      <c r="G4764" s="19" t="s">
        <v>91</v>
      </c>
      <c r="H4764" s="37"/>
      <c r="I4764" s="37" t="s">
        <v>29</v>
      </c>
      <c r="J4764" s="155" t="str">
        <f t="shared" si="8"/>
        <v>TT</v>
      </c>
      <c r="K4764" s="22" t="s">
        <v>16787</v>
      </c>
      <c r="L4764" s="56">
        <v>45107</v>
      </c>
      <c r="O4764" s="42"/>
      <c r="P4764" s="40"/>
      <c r="Q4764" s="61"/>
      <c r="R4764" s="61"/>
      <c r="S4764" s="40"/>
      <c r="T4764" s="38"/>
      <c r="U4764" s="38"/>
      <c r="V4764" s="38"/>
      <c r="W4764" s="60"/>
      <c r="AB4764" s="42"/>
      <c r="AC4764" s="35"/>
      <c r="AD4764" s="38"/>
      <c r="AE4764" s="38"/>
      <c r="AF4764" s="38"/>
      <c r="AG4764" s="38"/>
      <c r="AH4764" s="60"/>
    </row>
    <row r="4765" spans="1:34" ht="15.75" customHeight="1">
      <c r="A4765" s="35"/>
      <c r="B4765" s="158" t="s">
        <v>16788</v>
      </c>
      <c r="C4765" s="37" t="s">
        <v>24</v>
      </c>
      <c r="D4765" s="20" t="s">
        <v>16789</v>
      </c>
      <c r="E4765" s="20" t="s">
        <v>16790</v>
      </c>
      <c r="F4765" s="19" t="s">
        <v>27</v>
      </c>
      <c r="G4765" s="19" t="s">
        <v>28</v>
      </c>
      <c r="H4765" s="37"/>
      <c r="I4765" s="37" t="s">
        <v>29</v>
      </c>
      <c r="J4765" s="155" t="str">
        <f t="shared" si="8"/>
        <v>TT</v>
      </c>
      <c r="K4765" s="22" t="s">
        <v>16791</v>
      </c>
      <c r="L4765" s="56">
        <v>45107</v>
      </c>
      <c r="O4765" s="42"/>
      <c r="P4765" s="40"/>
      <c r="Q4765" s="61"/>
      <c r="R4765" s="61"/>
      <c r="S4765" s="40"/>
      <c r="T4765" s="38"/>
      <c r="U4765" s="38"/>
      <c r="V4765" s="38"/>
      <c r="W4765" s="60"/>
      <c r="AB4765" s="42"/>
      <c r="AC4765" s="35"/>
      <c r="AD4765" s="38"/>
      <c r="AE4765" s="38"/>
      <c r="AF4765" s="38"/>
      <c r="AG4765" s="38"/>
      <c r="AH4765" s="60"/>
    </row>
    <row r="4766" spans="1:34" ht="15.75" customHeight="1">
      <c r="A4766" s="35"/>
      <c r="B4766" s="158" t="s">
        <v>16792</v>
      </c>
      <c r="C4766" s="37" t="s">
        <v>46</v>
      </c>
      <c r="D4766" s="20" t="s">
        <v>16793</v>
      </c>
      <c r="E4766" s="20" t="s">
        <v>16794</v>
      </c>
      <c r="F4766" s="37" t="s">
        <v>49</v>
      </c>
      <c r="G4766" s="19" t="s">
        <v>50</v>
      </c>
      <c r="H4766" s="37"/>
      <c r="I4766" s="37" t="s">
        <v>29</v>
      </c>
      <c r="J4766" s="155" t="str">
        <f t="shared" si="8"/>
        <v>TT</v>
      </c>
      <c r="K4766" s="22" t="s">
        <v>16795</v>
      </c>
      <c r="L4766" s="56">
        <v>45107</v>
      </c>
      <c r="P4766" s="40"/>
      <c r="Q4766" s="61"/>
      <c r="R4766" s="61"/>
      <c r="S4766" s="40"/>
      <c r="T4766" s="38"/>
      <c r="U4766" s="38"/>
      <c r="V4766" s="38"/>
      <c r="W4766" s="60"/>
      <c r="AB4766" s="42"/>
      <c r="AC4766" s="35"/>
      <c r="AD4766" s="38"/>
      <c r="AE4766" s="38"/>
      <c r="AF4766" s="38"/>
      <c r="AG4766" s="38"/>
      <c r="AH4766" s="60"/>
    </row>
    <row r="4767" spans="1:34" ht="15.75" customHeight="1">
      <c r="A4767" s="35"/>
      <c r="B4767" s="158" t="s">
        <v>16796</v>
      </c>
      <c r="C4767" s="37" t="s">
        <v>24</v>
      </c>
      <c r="D4767" s="20" t="s">
        <v>16797</v>
      </c>
      <c r="E4767" s="20" t="s">
        <v>16798</v>
      </c>
      <c r="F4767" s="19" t="s">
        <v>27</v>
      </c>
      <c r="G4767" s="19" t="s">
        <v>28</v>
      </c>
      <c r="H4767" s="37"/>
      <c r="I4767" s="37" t="s">
        <v>29</v>
      </c>
      <c r="J4767" s="155" t="str">
        <f t="shared" si="8"/>
        <v>TT</v>
      </c>
      <c r="K4767" s="22" t="s">
        <v>16799</v>
      </c>
      <c r="L4767" s="56">
        <v>45107</v>
      </c>
      <c r="M4767" s="40"/>
      <c r="P4767" s="40"/>
      <c r="Q4767" s="61"/>
      <c r="R4767" s="61"/>
      <c r="S4767" s="40"/>
      <c r="T4767" s="38"/>
      <c r="U4767" s="38"/>
      <c r="V4767" s="38"/>
      <c r="W4767" s="60"/>
      <c r="AB4767" s="42"/>
      <c r="AC4767" s="35"/>
      <c r="AD4767" s="38"/>
      <c r="AE4767" s="38"/>
      <c r="AF4767" s="38"/>
      <c r="AG4767" s="38"/>
      <c r="AH4767" s="60"/>
    </row>
    <row r="4768" spans="1:34" ht="15.75" customHeight="1">
      <c r="A4768" s="35"/>
      <c r="B4768" s="158" t="s">
        <v>16800</v>
      </c>
      <c r="C4768" s="37" t="s">
        <v>46</v>
      </c>
      <c r="D4768" s="20" t="s">
        <v>16801</v>
      </c>
      <c r="E4768" s="20" t="s">
        <v>16802</v>
      </c>
      <c r="F4768" s="37" t="s">
        <v>49</v>
      </c>
      <c r="G4768" s="19" t="s">
        <v>50</v>
      </c>
      <c r="H4768" s="37"/>
      <c r="I4768" s="37" t="s">
        <v>29</v>
      </c>
      <c r="J4768" s="155" t="str">
        <f t="shared" si="8"/>
        <v>TT</v>
      </c>
      <c r="K4768" s="22" t="s">
        <v>16803</v>
      </c>
      <c r="L4768" s="56">
        <v>45107</v>
      </c>
      <c r="M4768" s="40"/>
      <c r="P4768" s="40"/>
      <c r="Q4768" s="61"/>
      <c r="R4768" s="61"/>
      <c r="S4768" s="40"/>
      <c r="T4768" s="38"/>
      <c r="U4768" s="38"/>
      <c r="V4768" s="38"/>
      <c r="W4768" s="60"/>
      <c r="AB4768" s="42"/>
      <c r="AC4768" s="35"/>
      <c r="AD4768" s="38"/>
      <c r="AE4768" s="38"/>
      <c r="AF4768" s="38"/>
      <c r="AG4768" s="38"/>
      <c r="AH4768" s="60"/>
    </row>
    <row r="4769" spans="1:34" ht="15.75" customHeight="1">
      <c r="A4769" s="35"/>
      <c r="B4769" s="158" t="s">
        <v>16804</v>
      </c>
      <c r="C4769" s="37" t="s">
        <v>87</v>
      </c>
      <c r="D4769" s="20" t="s">
        <v>16805</v>
      </c>
      <c r="E4769" s="20" t="s">
        <v>16806</v>
      </c>
      <c r="F4769" s="19" t="s">
        <v>90</v>
      </c>
      <c r="G4769" s="19" t="s">
        <v>91</v>
      </c>
      <c r="H4769" s="37"/>
      <c r="I4769" s="37" t="s">
        <v>29</v>
      </c>
      <c r="J4769" s="155" t="str">
        <f t="shared" si="8"/>
        <v>TT</v>
      </c>
      <c r="K4769" s="22" t="s">
        <v>16807</v>
      </c>
      <c r="L4769" s="56">
        <v>45107</v>
      </c>
      <c r="M4769" s="40"/>
      <c r="P4769" s="40"/>
      <c r="Q4769" s="61"/>
      <c r="R4769" s="61"/>
      <c r="S4769" s="40"/>
      <c r="T4769" s="38"/>
      <c r="U4769" s="38"/>
      <c r="V4769" s="38"/>
      <c r="W4769" s="60"/>
      <c r="AB4769" s="42"/>
      <c r="AC4769" s="35"/>
      <c r="AD4769" s="38"/>
      <c r="AE4769" s="38"/>
      <c r="AF4769" s="38"/>
      <c r="AG4769" s="38"/>
      <c r="AH4769" s="60"/>
    </row>
    <row r="4770" spans="1:34" ht="15.75" customHeight="1">
      <c r="A4770" s="35"/>
      <c r="B4770" s="158" t="s">
        <v>16808</v>
      </c>
      <c r="C4770" s="143" t="s">
        <v>24</v>
      </c>
      <c r="D4770" s="20" t="s">
        <v>16809</v>
      </c>
      <c r="E4770" s="20" t="s">
        <v>16810</v>
      </c>
      <c r="F4770" s="19" t="s">
        <v>27</v>
      </c>
      <c r="G4770" s="19" t="s">
        <v>28</v>
      </c>
      <c r="H4770" s="19" t="s">
        <v>36</v>
      </c>
      <c r="I4770" s="37" t="s">
        <v>29</v>
      </c>
      <c r="J4770" s="155" t="str">
        <f t="shared" si="8"/>
        <v>TT</v>
      </c>
      <c r="K4770" s="22" t="s">
        <v>16811</v>
      </c>
      <c r="L4770" s="56">
        <v>45107</v>
      </c>
      <c r="M4770" s="40"/>
      <c r="P4770" s="40"/>
      <c r="Q4770" s="61"/>
      <c r="R4770" s="61"/>
      <c r="S4770" s="40"/>
      <c r="T4770" s="38"/>
      <c r="U4770" s="38"/>
      <c r="V4770" s="38"/>
      <c r="W4770" s="60"/>
      <c r="AB4770" s="42"/>
      <c r="AC4770" s="35"/>
      <c r="AD4770" s="38"/>
      <c r="AE4770" s="38"/>
      <c r="AF4770" s="38"/>
      <c r="AG4770" s="38"/>
      <c r="AH4770" s="60"/>
    </row>
    <row r="4771" spans="1:34" ht="15.75" customHeight="1">
      <c r="A4771" s="35"/>
      <c r="B4771" s="158" t="s">
        <v>16812</v>
      </c>
      <c r="C4771" s="37" t="s">
        <v>24</v>
      </c>
      <c r="D4771" s="20" t="s">
        <v>16813</v>
      </c>
      <c r="E4771" s="20" t="s">
        <v>16814</v>
      </c>
      <c r="F4771" s="19" t="s">
        <v>27</v>
      </c>
      <c r="G4771" s="19" t="s">
        <v>28</v>
      </c>
      <c r="H4771" s="19" t="s">
        <v>36</v>
      </c>
      <c r="I4771" s="37" t="s">
        <v>29</v>
      </c>
      <c r="J4771" s="155" t="str">
        <f t="shared" si="8"/>
        <v>TT</v>
      </c>
      <c r="K4771" s="22" t="s">
        <v>16815</v>
      </c>
      <c r="L4771" s="56">
        <v>45107</v>
      </c>
      <c r="P4771" s="40"/>
      <c r="Q4771" s="61"/>
      <c r="R4771" s="61"/>
      <c r="S4771" s="40"/>
      <c r="T4771" s="38"/>
      <c r="U4771" s="38"/>
      <c r="V4771" s="38"/>
      <c r="W4771" s="60"/>
      <c r="AB4771" s="42"/>
      <c r="AC4771" s="35"/>
      <c r="AD4771" s="38"/>
      <c r="AE4771" s="38"/>
      <c r="AF4771" s="38"/>
      <c r="AG4771" s="38"/>
      <c r="AH4771" s="60"/>
    </row>
    <row r="4772" spans="1:34" ht="15.75" customHeight="1">
      <c r="A4772" s="35"/>
      <c r="B4772" s="158" t="s">
        <v>16816</v>
      </c>
      <c r="C4772" s="37" t="s">
        <v>24</v>
      </c>
      <c r="D4772" s="20" t="s">
        <v>16817</v>
      </c>
      <c r="E4772" s="20" t="s">
        <v>16818</v>
      </c>
      <c r="F4772" s="19" t="s">
        <v>27</v>
      </c>
      <c r="G4772" s="19" t="s">
        <v>28</v>
      </c>
      <c r="H4772" s="37"/>
      <c r="I4772" s="37" t="s">
        <v>29</v>
      </c>
      <c r="J4772" s="155" t="str">
        <f t="shared" si="8"/>
        <v>TT</v>
      </c>
      <c r="K4772" s="22" t="s">
        <v>16819</v>
      </c>
      <c r="L4772" s="56">
        <v>45107</v>
      </c>
      <c r="M4772" s="40"/>
      <c r="P4772" s="40"/>
      <c r="Q4772" s="61"/>
      <c r="R4772" s="61"/>
      <c r="S4772" s="40"/>
      <c r="T4772" s="38"/>
      <c r="U4772" s="38"/>
      <c r="V4772" s="38"/>
      <c r="W4772" s="60"/>
      <c r="AB4772" s="42"/>
      <c r="AC4772" s="35"/>
      <c r="AD4772" s="38"/>
      <c r="AE4772" s="38"/>
      <c r="AF4772" s="38"/>
      <c r="AG4772" s="38"/>
      <c r="AH4772" s="60"/>
    </row>
    <row r="4773" spans="1:34" ht="15.75" customHeight="1">
      <c r="A4773" s="35"/>
      <c r="B4773" s="158" t="s">
        <v>16820</v>
      </c>
      <c r="C4773" s="37" t="s">
        <v>46</v>
      </c>
      <c r="D4773" s="20" t="s">
        <v>16821</v>
      </c>
      <c r="E4773" s="20" t="s">
        <v>16822</v>
      </c>
      <c r="F4773" s="37" t="s">
        <v>49</v>
      </c>
      <c r="G4773" s="19" t="s">
        <v>50</v>
      </c>
      <c r="H4773" s="37"/>
      <c r="I4773" s="37" t="s">
        <v>29</v>
      </c>
      <c r="J4773" s="155" t="str">
        <f t="shared" si="8"/>
        <v>TT</v>
      </c>
      <c r="K4773" s="22" t="s">
        <v>16823</v>
      </c>
      <c r="L4773" s="56">
        <v>45107</v>
      </c>
      <c r="M4773" s="40"/>
      <c r="P4773" s="40"/>
      <c r="Q4773" s="61"/>
      <c r="R4773" s="61"/>
      <c r="S4773" s="40"/>
      <c r="T4773" s="38"/>
      <c r="U4773" s="38"/>
      <c r="V4773" s="38"/>
      <c r="W4773" s="60"/>
      <c r="AB4773" s="42"/>
      <c r="AC4773" s="35"/>
      <c r="AD4773" s="38"/>
      <c r="AE4773" s="38"/>
      <c r="AF4773" s="38"/>
      <c r="AG4773" s="38"/>
      <c r="AH4773" s="60"/>
    </row>
    <row r="4774" spans="1:34" ht="15.75" customHeight="1">
      <c r="A4774" s="35"/>
      <c r="B4774" s="158" t="s">
        <v>16824</v>
      </c>
      <c r="C4774" s="37" t="s">
        <v>24</v>
      </c>
      <c r="D4774" s="20" t="s">
        <v>16825</v>
      </c>
      <c r="E4774" s="20" t="s">
        <v>16826</v>
      </c>
      <c r="F4774" s="19" t="s">
        <v>27</v>
      </c>
      <c r="G4774" s="19" t="s">
        <v>28</v>
      </c>
      <c r="H4774" s="37"/>
      <c r="I4774" s="37" t="s">
        <v>29</v>
      </c>
      <c r="J4774" s="155" t="str">
        <f t="shared" si="8"/>
        <v>TT</v>
      </c>
      <c r="K4774" s="22" t="s">
        <v>16827</v>
      </c>
      <c r="L4774" s="56">
        <v>45107</v>
      </c>
      <c r="M4774" s="40"/>
      <c r="P4774" s="40"/>
      <c r="Q4774" s="61"/>
      <c r="R4774" s="61"/>
      <c r="S4774" s="40"/>
      <c r="T4774" s="38"/>
      <c r="U4774" s="38"/>
      <c r="V4774" s="38"/>
      <c r="W4774" s="60"/>
      <c r="AB4774" s="42"/>
      <c r="AC4774" s="35"/>
      <c r="AD4774" s="38"/>
      <c r="AE4774" s="38"/>
      <c r="AF4774" s="38"/>
      <c r="AG4774" s="38"/>
      <c r="AH4774" s="60"/>
    </row>
    <row r="4775" spans="1:34" ht="15.75" customHeight="1">
      <c r="A4775" s="35"/>
      <c r="B4775" s="158" t="s">
        <v>16828</v>
      </c>
      <c r="C4775" s="37" t="s">
        <v>46</v>
      </c>
      <c r="D4775" s="20" t="s">
        <v>16829</v>
      </c>
      <c r="E4775" s="20" t="s">
        <v>16830</v>
      </c>
      <c r="F4775" s="37" t="s">
        <v>49</v>
      </c>
      <c r="G4775" s="19" t="s">
        <v>50</v>
      </c>
      <c r="H4775" s="37"/>
      <c r="I4775" s="37" t="s">
        <v>29</v>
      </c>
      <c r="J4775" s="155" t="str">
        <f t="shared" si="8"/>
        <v>TT</v>
      </c>
      <c r="K4775" s="22" t="s">
        <v>16831</v>
      </c>
      <c r="L4775" s="56">
        <v>45107</v>
      </c>
      <c r="M4775" s="40"/>
      <c r="P4775" s="40"/>
      <c r="Q4775" s="61"/>
      <c r="R4775" s="61"/>
      <c r="S4775" s="40"/>
      <c r="T4775" s="38"/>
      <c r="U4775" s="38"/>
      <c r="V4775" s="38"/>
      <c r="W4775" s="60"/>
      <c r="AB4775" s="42"/>
      <c r="AC4775" s="35"/>
      <c r="AD4775" s="38"/>
      <c r="AE4775" s="38"/>
      <c r="AF4775" s="38"/>
      <c r="AG4775" s="38"/>
      <c r="AH4775" s="60"/>
    </row>
    <row r="4776" spans="1:34" ht="15.75" customHeight="1">
      <c r="A4776" s="35"/>
      <c r="B4776" s="158" t="s">
        <v>16832</v>
      </c>
      <c r="C4776" s="37" t="s">
        <v>46</v>
      </c>
      <c r="D4776" s="20" t="s">
        <v>16833</v>
      </c>
      <c r="E4776" s="20" t="s">
        <v>16834</v>
      </c>
      <c r="F4776" s="37" t="s">
        <v>49</v>
      </c>
      <c r="G4776" s="19" t="s">
        <v>50</v>
      </c>
      <c r="H4776" s="37"/>
      <c r="I4776" s="37" t="s">
        <v>29</v>
      </c>
      <c r="J4776" s="155" t="str">
        <f t="shared" si="8"/>
        <v>TT</v>
      </c>
      <c r="K4776" s="22" t="s">
        <v>16835</v>
      </c>
      <c r="L4776" s="56">
        <v>45107</v>
      </c>
      <c r="M4776" s="40"/>
      <c r="P4776" s="40"/>
      <c r="Q4776" s="61"/>
      <c r="R4776" s="61"/>
      <c r="S4776" s="40"/>
      <c r="T4776" s="38"/>
      <c r="U4776" s="38"/>
      <c r="V4776" s="38"/>
      <c r="W4776" s="60"/>
      <c r="AB4776" s="42"/>
      <c r="AC4776" s="35"/>
      <c r="AD4776" s="38"/>
      <c r="AE4776" s="38"/>
      <c r="AF4776" s="38"/>
      <c r="AG4776" s="38"/>
      <c r="AH4776" s="60"/>
    </row>
    <row r="4777" spans="1:34" ht="15.75" customHeight="1">
      <c r="A4777" s="35"/>
      <c r="B4777" s="158" t="s">
        <v>16836</v>
      </c>
      <c r="C4777" s="37" t="s">
        <v>46</v>
      </c>
      <c r="D4777" s="20" t="s">
        <v>16837</v>
      </c>
      <c r="E4777" s="20" t="s">
        <v>16838</v>
      </c>
      <c r="F4777" s="37" t="s">
        <v>49</v>
      </c>
      <c r="G4777" s="19" t="s">
        <v>50</v>
      </c>
      <c r="H4777" s="37"/>
      <c r="I4777" s="37" t="s">
        <v>29</v>
      </c>
      <c r="J4777" s="155" t="str">
        <f t="shared" si="8"/>
        <v>TT</v>
      </c>
      <c r="K4777" s="22" t="s">
        <v>16839</v>
      </c>
      <c r="L4777" s="56">
        <v>45107</v>
      </c>
      <c r="M4777" s="40"/>
      <c r="P4777" s="40"/>
      <c r="Q4777" s="61"/>
      <c r="R4777" s="61"/>
      <c r="S4777" s="40"/>
      <c r="T4777" s="38"/>
      <c r="U4777" s="38"/>
      <c r="V4777" s="38"/>
      <c r="W4777" s="60"/>
      <c r="AB4777" s="42"/>
      <c r="AC4777" s="35"/>
      <c r="AD4777" s="38"/>
      <c r="AE4777" s="38"/>
      <c r="AF4777" s="38"/>
      <c r="AG4777" s="38"/>
      <c r="AH4777" s="60"/>
    </row>
    <row r="4778" spans="1:34" ht="15.75" customHeight="1">
      <c r="A4778" s="35"/>
      <c r="B4778" s="38"/>
      <c r="C4778" s="37"/>
      <c r="D4778" s="20"/>
      <c r="E4778" s="20"/>
      <c r="F4778" s="37"/>
      <c r="G4778" s="37"/>
      <c r="H4778" s="37"/>
      <c r="I4778" s="37"/>
      <c r="J4778" s="155">
        <f t="shared" si="8"/>
        <v>0</v>
      </c>
      <c r="K4778" s="22"/>
      <c r="L4778" s="113"/>
      <c r="M4778" s="40"/>
      <c r="P4778" s="40"/>
      <c r="Q4778" s="61"/>
      <c r="R4778" s="61"/>
      <c r="S4778" s="40"/>
      <c r="T4778" s="38"/>
      <c r="U4778" s="38"/>
      <c r="V4778" s="38"/>
      <c r="W4778" s="60"/>
      <c r="AB4778" s="42"/>
      <c r="AC4778" s="35"/>
      <c r="AD4778" s="38"/>
      <c r="AE4778" s="38"/>
      <c r="AF4778" s="38"/>
      <c r="AG4778" s="38"/>
      <c r="AH4778" s="60"/>
    </row>
    <row r="4779" spans="1:34" ht="15.75" customHeight="1">
      <c r="A4779" s="35" t="s">
        <v>16840</v>
      </c>
      <c r="B4779" s="41"/>
      <c r="C4779" s="188"/>
      <c r="D4779" s="107"/>
      <c r="E4779" s="107"/>
      <c r="F4779" s="188"/>
      <c r="G4779" s="188"/>
      <c r="H4779" s="188"/>
      <c r="I4779" s="188"/>
      <c r="J4779" s="188"/>
      <c r="K4779" s="109"/>
      <c r="L4779" s="110"/>
      <c r="M4779" s="40"/>
      <c r="P4779" s="40"/>
      <c r="Q4779" s="61"/>
      <c r="R4779" s="61"/>
      <c r="S4779" s="40"/>
      <c r="T4779" s="38"/>
      <c r="U4779" s="38"/>
      <c r="V4779" s="38"/>
      <c r="W4779" s="60"/>
      <c r="AB4779" s="42"/>
      <c r="AC4779" s="35"/>
      <c r="AD4779" s="38"/>
      <c r="AE4779" s="38"/>
      <c r="AF4779" s="38"/>
      <c r="AG4779" s="38"/>
      <c r="AH4779" s="60"/>
    </row>
    <row r="4780" spans="1:34" ht="15.75" customHeight="1">
      <c r="A4780" s="54" t="s">
        <v>16841</v>
      </c>
      <c r="B4780" s="41"/>
      <c r="C4780" s="188"/>
      <c r="D4780" s="107"/>
      <c r="E4780" s="107"/>
      <c r="F4780" s="188"/>
      <c r="G4780" s="188"/>
      <c r="H4780" s="188"/>
      <c r="I4780" s="188"/>
      <c r="J4780" s="188"/>
      <c r="K4780" s="109"/>
      <c r="L4780" s="110"/>
      <c r="M4780" s="40"/>
      <c r="P4780" s="40"/>
      <c r="Q4780" s="61"/>
      <c r="R4780" s="61"/>
      <c r="S4780" s="40"/>
      <c r="T4780" s="38"/>
      <c r="U4780" s="38"/>
      <c r="V4780" s="38"/>
      <c r="W4780" s="60"/>
      <c r="AB4780" s="42"/>
      <c r="AC4780" s="35"/>
      <c r="AD4780" s="38"/>
      <c r="AE4780" s="38"/>
      <c r="AF4780" s="38"/>
      <c r="AG4780" s="38"/>
      <c r="AH4780" s="60"/>
    </row>
    <row r="4781" spans="1:34" ht="15.75" customHeight="1">
      <c r="A4781" s="114" t="s">
        <v>39</v>
      </c>
      <c r="B4781" s="41"/>
      <c r="C4781" s="188"/>
      <c r="D4781" s="107"/>
      <c r="E4781" s="107"/>
      <c r="F4781" s="188"/>
      <c r="G4781" s="188"/>
      <c r="H4781" s="188"/>
      <c r="I4781" s="188"/>
      <c r="J4781" s="188"/>
      <c r="K4781" s="109"/>
      <c r="L4781" s="110"/>
      <c r="P4781" s="40"/>
      <c r="Q4781" s="61"/>
      <c r="R4781" s="61"/>
      <c r="S4781" s="40"/>
      <c r="T4781" s="38"/>
      <c r="U4781" s="38"/>
      <c r="V4781" s="38"/>
      <c r="W4781" s="60"/>
      <c r="AB4781" s="42"/>
      <c r="AC4781" s="35"/>
      <c r="AD4781" s="38"/>
      <c r="AE4781" s="38"/>
      <c r="AF4781" s="38"/>
      <c r="AG4781" s="38"/>
      <c r="AH4781" s="60"/>
    </row>
    <row r="4782" spans="1:34" ht="15.75" customHeight="1">
      <c r="A4782" s="38" t="s">
        <v>16024</v>
      </c>
      <c r="B4782" s="41"/>
      <c r="C4782" s="188"/>
      <c r="D4782" s="107"/>
      <c r="E4782" s="107"/>
      <c r="F4782" s="188"/>
      <c r="G4782" s="188"/>
      <c r="H4782" s="188"/>
      <c r="I4782" s="188"/>
      <c r="J4782" s="188"/>
      <c r="K4782" s="109"/>
      <c r="L4782" s="110"/>
      <c r="M4782" s="40"/>
      <c r="P4782" s="40"/>
      <c r="Q4782" s="61"/>
      <c r="R4782" s="61"/>
      <c r="S4782" s="40"/>
      <c r="T4782" s="38"/>
      <c r="U4782" s="38"/>
      <c r="V4782" s="38"/>
      <c r="W4782" s="60"/>
      <c r="AB4782" s="42"/>
      <c r="AC4782" s="35"/>
      <c r="AD4782" s="38"/>
      <c r="AE4782" s="38"/>
      <c r="AF4782" s="38"/>
      <c r="AG4782" s="38"/>
      <c r="AH4782" s="60"/>
    </row>
    <row r="4783" spans="1:34" ht="15.75" customHeight="1">
      <c r="A4783" s="75" t="s">
        <v>16842</v>
      </c>
      <c r="B4783" s="41"/>
      <c r="C4783" s="188"/>
      <c r="D4783" s="107"/>
      <c r="E4783" s="107"/>
      <c r="F4783" s="188"/>
      <c r="G4783" s="188"/>
      <c r="H4783" s="188"/>
      <c r="I4783" s="188"/>
      <c r="J4783" s="188"/>
      <c r="K4783" s="109"/>
      <c r="L4783" s="110"/>
      <c r="P4783" s="40"/>
      <c r="Q4783" s="61"/>
      <c r="R4783" s="61"/>
      <c r="S4783" s="40"/>
      <c r="T4783" s="38"/>
      <c r="U4783" s="38"/>
      <c r="V4783" s="38"/>
      <c r="W4783" s="60"/>
      <c r="AB4783" s="42"/>
      <c r="AC4783" s="35"/>
      <c r="AD4783" s="38"/>
      <c r="AE4783" s="38"/>
      <c r="AF4783" s="38"/>
      <c r="AG4783" s="38"/>
      <c r="AH4783" s="60"/>
    </row>
    <row r="4784" spans="1:34" ht="15.75" customHeight="1">
      <c r="A4784" s="50" t="s">
        <v>56</v>
      </c>
      <c r="B4784" s="41"/>
      <c r="C4784" s="188"/>
      <c r="D4784" s="107"/>
      <c r="E4784" s="107"/>
      <c r="F4784" s="188"/>
      <c r="G4784" s="188"/>
      <c r="H4784" s="188"/>
      <c r="I4784" s="188"/>
      <c r="J4784" s="188"/>
      <c r="K4784" s="109"/>
      <c r="L4784" s="110"/>
      <c r="M4784" s="40"/>
      <c r="P4784" s="40"/>
      <c r="Q4784" s="61"/>
      <c r="R4784" s="61"/>
      <c r="S4784" s="40"/>
      <c r="T4784" s="38"/>
      <c r="U4784" s="38"/>
      <c r="V4784" s="38"/>
      <c r="W4784" s="60"/>
      <c r="AB4784" s="42"/>
      <c r="AC4784" s="35"/>
      <c r="AD4784" s="38"/>
      <c r="AE4784" s="38"/>
      <c r="AF4784" s="38"/>
      <c r="AG4784" s="38"/>
      <c r="AH4784" s="60"/>
    </row>
    <row r="4785" spans="1:34" ht="15.75" customHeight="1">
      <c r="A4785" s="17">
        <v>36</v>
      </c>
      <c r="B4785" s="41"/>
      <c r="C4785" s="188"/>
      <c r="D4785" s="107"/>
      <c r="E4785" s="107"/>
      <c r="F4785" s="188"/>
      <c r="G4785" s="188"/>
      <c r="H4785" s="188"/>
      <c r="I4785" s="188"/>
      <c r="J4785" s="188"/>
      <c r="K4785" s="109"/>
      <c r="L4785" s="110"/>
      <c r="M4785" s="40"/>
      <c r="P4785" s="40"/>
      <c r="Q4785" s="61"/>
      <c r="R4785" s="61"/>
      <c r="S4785" s="40"/>
      <c r="T4785" s="38"/>
      <c r="U4785" s="38"/>
      <c r="V4785" s="38"/>
      <c r="W4785" s="60"/>
      <c r="AB4785" s="42"/>
      <c r="AC4785" s="35"/>
      <c r="AD4785" s="38"/>
      <c r="AE4785" s="38"/>
      <c r="AF4785" s="38"/>
      <c r="AG4785" s="38"/>
      <c r="AH4785" s="60"/>
    </row>
    <row r="4786" spans="1:34" ht="15.75" customHeight="1">
      <c r="A4786" s="111" t="s">
        <v>64</v>
      </c>
      <c r="B4786" s="41"/>
      <c r="C4786" s="188"/>
      <c r="D4786" s="107"/>
      <c r="E4786" s="107"/>
      <c r="F4786" s="188"/>
      <c r="G4786" s="188"/>
      <c r="H4786" s="188"/>
      <c r="I4786" s="188"/>
      <c r="J4786" s="188"/>
      <c r="K4786" s="109"/>
      <c r="L4786" s="110"/>
      <c r="M4786" s="40"/>
      <c r="P4786" s="40"/>
      <c r="Q4786" s="61"/>
      <c r="R4786" s="61"/>
      <c r="S4786" s="40"/>
      <c r="T4786" s="38"/>
      <c r="U4786" s="38"/>
      <c r="V4786" s="38"/>
      <c r="W4786" s="60"/>
      <c r="AB4786" s="42"/>
      <c r="AC4786" s="35"/>
      <c r="AD4786" s="38"/>
      <c r="AE4786" s="38"/>
      <c r="AF4786" s="38"/>
      <c r="AG4786" s="38"/>
      <c r="AH4786" s="60"/>
    </row>
    <row r="4787" spans="1:34" ht="15.75" customHeight="1">
      <c r="A4787" s="75">
        <v>2.2999999999999998</v>
      </c>
      <c r="B4787" s="41"/>
      <c r="C4787" s="188"/>
      <c r="D4787" s="107"/>
      <c r="E4787" s="107"/>
      <c r="F4787" s="188"/>
      <c r="G4787" s="188"/>
      <c r="H4787" s="188"/>
      <c r="I4787" s="188"/>
      <c r="J4787" s="188"/>
      <c r="K4787" s="109"/>
      <c r="L4787" s="110"/>
      <c r="M4787" s="40"/>
      <c r="P4787" s="40"/>
      <c r="Q4787" s="61"/>
      <c r="R4787" s="61"/>
      <c r="S4787" s="40"/>
      <c r="T4787" s="38"/>
      <c r="U4787" s="38"/>
      <c r="V4787" s="38"/>
      <c r="W4787" s="60"/>
      <c r="AB4787" s="42"/>
      <c r="AC4787" s="35"/>
      <c r="AD4787" s="38"/>
      <c r="AE4787" s="38"/>
      <c r="AF4787" s="38"/>
      <c r="AG4787" s="38"/>
      <c r="AH4787" s="60"/>
    </row>
    <row r="4788" spans="1:34" ht="15.75" customHeight="1">
      <c r="A4788" s="111" t="s">
        <v>73</v>
      </c>
      <c r="B4788" s="41"/>
      <c r="C4788" s="188"/>
      <c r="D4788" s="107"/>
      <c r="E4788" s="107"/>
      <c r="F4788" s="188"/>
      <c r="G4788" s="188"/>
      <c r="H4788" s="188"/>
      <c r="I4788" s="188"/>
      <c r="J4788" s="188"/>
      <c r="K4788" s="109"/>
      <c r="L4788" s="110"/>
      <c r="M4788" s="40"/>
      <c r="P4788" s="40"/>
      <c r="Q4788" s="61"/>
      <c r="R4788" s="61"/>
      <c r="S4788" s="40"/>
      <c r="T4788" s="38"/>
      <c r="U4788" s="38"/>
      <c r="V4788" s="38"/>
      <c r="W4788" s="60"/>
      <c r="AB4788" s="42"/>
      <c r="AC4788" s="35"/>
      <c r="AD4788" s="38"/>
      <c r="AE4788" s="38"/>
      <c r="AF4788" s="38"/>
      <c r="AG4788" s="38"/>
      <c r="AH4788" s="60"/>
    </row>
    <row r="4789" spans="1:34" ht="15.75" customHeight="1">
      <c r="A4789" s="75">
        <v>2.7</v>
      </c>
      <c r="B4789" s="41"/>
      <c r="C4789" s="188"/>
      <c r="D4789" s="107"/>
      <c r="E4789" s="107"/>
      <c r="F4789" s="188"/>
      <c r="G4789" s="188"/>
      <c r="H4789" s="188"/>
      <c r="I4789" s="188"/>
      <c r="J4789" s="188"/>
      <c r="K4789" s="109"/>
      <c r="L4789" s="110"/>
      <c r="M4789" s="40"/>
      <c r="P4789" s="40"/>
      <c r="Q4789" s="61"/>
      <c r="R4789" s="61"/>
      <c r="S4789" s="40"/>
      <c r="T4789" s="38"/>
      <c r="U4789" s="38"/>
      <c r="V4789" s="38"/>
      <c r="W4789" s="60"/>
      <c r="AB4789" s="42"/>
      <c r="AC4789" s="35"/>
      <c r="AD4789" s="38"/>
      <c r="AE4789" s="38"/>
      <c r="AF4789" s="38"/>
      <c r="AG4789" s="38"/>
      <c r="AH4789" s="60"/>
    </row>
    <row r="4790" spans="1:34" ht="15.75" customHeight="1">
      <c r="A4790" s="111" t="s">
        <v>82</v>
      </c>
      <c r="B4790" s="41"/>
      <c r="C4790" s="188"/>
      <c r="D4790" s="107"/>
      <c r="E4790" s="107"/>
      <c r="F4790" s="188"/>
      <c r="G4790" s="188"/>
      <c r="H4790" s="188"/>
      <c r="I4790" s="188"/>
      <c r="J4790" s="188"/>
      <c r="K4790" s="109"/>
      <c r="L4790" s="110"/>
      <c r="M4790" s="40"/>
      <c r="P4790" s="40"/>
      <c r="Q4790" s="61"/>
      <c r="R4790" s="61"/>
      <c r="S4790" s="40"/>
      <c r="T4790" s="38"/>
      <c r="U4790" s="38"/>
      <c r="V4790" s="38"/>
      <c r="W4790" s="60"/>
      <c r="AB4790" s="42"/>
      <c r="AC4790" s="35"/>
      <c r="AD4790" s="38"/>
      <c r="AE4790" s="38"/>
      <c r="AF4790" s="38"/>
      <c r="AG4790" s="38"/>
      <c r="AH4790" s="60"/>
    </row>
    <row r="4791" spans="1:34" ht="15.75" customHeight="1">
      <c r="A4791" s="112" t="s">
        <v>16843</v>
      </c>
      <c r="B4791" s="41"/>
      <c r="C4791" s="188"/>
      <c r="D4791" s="107"/>
      <c r="E4791" s="107"/>
      <c r="F4791" s="188"/>
      <c r="G4791" s="188"/>
      <c r="H4791" s="188"/>
      <c r="I4791" s="188"/>
      <c r="J4791" s="188"/>
      <c r="K4791" s="109"/>
      <c r="L4791" s="110"/>
      <c r="M4791" s="40"/>
      <c r="P4791" s="40"/>
      <c r="Q4791" s="61"/>
      <c r="R4791" s="61"/>
      <c r="S4791" s="40"/>
      <c r="T4791" s="38"/>
      <c r="U4791" s="38"/>
      <c r="V4791" s="38"/>
      <c r="W4791" s="60"/>
      <c r="AB4791" s="42"/>
      <c r="AC4791" s="35"/>
      <c r="AD4791" s="38"/>
      <c r="AE4791" s="38"/>
      <c r="AF4791" s="38"/>
      <c r="AG4791" s="38"/>
      <c r="AH4791" s="60"/>
    </row>
    <row r="4792" spans="1:34" ht="15.75" customHeight="1">
      <c r="A4792" s="111" t="s">
        <v>92</v>
      </c>
      <c r="B4792" s="41"/>
      <c r="C4792" s="188"/>
      <c r="D4792" s="107"/>
      <c r="E4792" s="107"/>
      <c r="F4792" s="188"/>
      <c r="G4792" s="188"/>
      <c r="H4792" s="188"/>
      <c r="I4792" s="188"/>
      <c r="J4792" s="188"/>
      <c r="K4792" s="109"/>
      <c r="L4792" s="110"/>
      <c r="M4792" s="40"/>
      <c r="P4792" s="40"/>
      <c r="Q4792" s="61"/>
      <c r="R4792" s="61"/>
      <c r="S4792" s="40"/>
      <c r="T4792" s="38"/>
      <c r="U4792" s="38"/>
      <c r="V4792" s="38"/>
      <c r="W4792" s="60"/>
      <c r="AB4792" s="42"/>
      <c r="AC4792" s="35"/>
      <c r="AD4792" s="38"/>
      <c r="AE4792" s="38"/>
      <c r="AF4792" s="38"/>
      <c r="AG4792" s="38"/>
      <c r="AH4792" s="60"/>
    </row>
    <row r="4793" spans="1:34" ht="15.75" customHeight="1">
      <c r="A4793" s="17">
        <v>163</v>
      </c>
      <c r="B4793" s="41"/>
      <c r="C4793" s="188"/>
      <c r="D4793" s="107"/>
      <c r="E4793" s="107"/>
      <c r="F4793" s="188"/>
      <c r="G4793" s="188"/>
      <c r="H4793" s="188"/>
      <c r="I4793" s="188"/>
      <c r="J4793" s="188"/>
      <c r="K4793" s="109"/>
      <c r="L4793" s="110"/>
      <c r="M4793" s="40"/>
      <c r="P4793" s="40"/>
      <c r="Q4793" s="61"/>
      <c r="R4793" s="61"/>
      <c r="S4793" s="40"/>
      <c r="T4793" s="38"/>
      <c r="U4793" s="38"/>
      <c r="V4793" s="38"/>
      <c r="W4793" s="60"/>
      <c r="AB4793" s="42"/>
      <c r="AC4793" s="35"/>
      <c r="AD4793" s="38"/>
      <c r="AE4793" s="38"/>
      <c r="AF4793" s="38"/>
      <c r="AG4793" s="38"/>
      <c r="AH4793" s="60"/>
    </row>
    <row r="4794" spans="1:34" ht="15.75" customHeight="1">
      <c r="A4794" s="111" t="s">
        <v>100</v>
      </c>
      <c r="B4794" s="41"/>
      <c r="C4794" s="188"/>
      <c r="D4794" s="107"/>
      <c r="E4794" s="107"/>
      <c r="F4794" s="188"/>
      <c r="G4794" s="188"/>
      <c r="H4794" s="188"/>
      <c r="I4794" s="188"/>
      <c r="J4794" s="188"/>
      <c r="K4794" s="109"/>
      <c r="L4794" s="110"/>
      <c r="M4794" s="40"/>
      <c r="P4794" s="40"/>
      <c r="Q4794" s="61"/>
      <c r="R4794" s="61"/>
      <c r="S4794" s="40"/>
      <c r="T4794" s="38"/>
      <c r="U4794" s="38"/>
      <c r="V4794" s="38"/>
      <c r="W4794" s="60"/>
      <c r="AB4794" s="42"/>
      <c r="AC4794" s="35"/>
      <c r="AD4794" s="38"/>
      <c r="AE4794" s="38"/>
      <c r="AF4794" s="38"/>
      <c r="AG4794" s="38"/>
      <c r="AH4794" s="60"/>
    </row>
    <row r="4795" spans="1:34" ht="15.75" customHeight="1">
      <c r="A4795" s="17">
        <v>159</v>
      </c>
      <c r="B4795" s="41"/>
      <c r="C4795" s="188"/>
      <c r="D4795" s="107"/>
      <c r="E4795" s="107"/>
      <c r="F4795" s="188"/>
      <c r="G4795" s="188"/>
      <c r="H4795" s="188"/>
      <c r="I4795" s="188"/>
      <c r="J4795" s="188"/>
      <c r="K4795" s="109"/>
      <c r="L4795" s="110"/>
      <c r="M4795" s="40"/>
      <c r="P4795" s="40"/>
      <c r="Q4795" s="61"/>
      <c r="R4795" s="61"/>
      <c r="S4795" s="40"/>
      <c r="T4795" s="38"/>
      <c r="U4795" s="38"/>
      <c r="V4795" s="38"/>
      <c r="W4795" s="60"/>
      <c r="AB4795" s="42"/>
      <c r="AC4795" s="35"/>
      <c r="AD4795" s="38"/>
      <c r="AE4795" s="38"/>
      <c r="AF4795" s="38"/>
      <c r="AG4795" s="38"/>
      <c r="AH4795" s="60"/>
    </row>
    <row r="4796" spans="1:34" ht="15.75" customHeight="1">
      <c r="A4796" s="35"/>
      <c r="B4796" s="38"/>
      <c r="C4796" s="37"/>
      <c r="D4796" s="20"/>
      <c r="E4796" s="20"/>
      <c r="F4796" s="37"/>
      <c r="G4796" s="37"/>
      <c r="H4796" s="37"/>
      <c r="I4796" s="37"/>
      <c r="J4796" s="155">
        <f t="shared" ref="J4796:J5050" si="10">IF(G4796="R","NA",I4796)</f>
        <v>0</v>
      </c>
      <c r="K4796" s="22"/>
      <c r="L4796" s="113"/>
      <c r="M4796" s="40"/>
      <c r="P4796" s="40"/>
      <c r="Q4796" s="61"/>
      <c r="R4796" s="61"/>
      <c r="S4796" s="40"/>
      <c r="T4796" s="38"/>
      <c r="U4796" s="38"/>
      <c r="V4796" s="38"/>
      <c r="W4796" s="60"/>
      <c r="AB4796" s="42"/>
      <c r="AC4796" s="35"/>
      <c r="AD4796" s="38"/>
      <c r="AE4796" s="38"/>
      <c r="AF4796" s="38"/>
      <c r="AG4796" s="38"/>
      <c r="AH4796" s="60"/>
    </row>
    <row r="4797" spans="1:34" ht="15.75" customHeight="1">
      <c r="A4797" s="54" t="s">
        <v>16844</v>
      </c>
      <c r="B4797" s="158" t="s">
        <v>16845</v>
      </c>
      <c r="C4797" s="37" t="s">
        <v>412</v>
      </c>
      <c r="D4797" s="20" t="s">
        <v>16846</v>
      </c>
      <c r="E4797" s="20" t="s">
        <v>16847</v>
      </c>
      <c r="F4797" s="19" t="s">
        <v>414</v>
      </c>
      <c r="G4797" s="19" t="s">
        <v>415</v>
      </c>
      <c r="H4797" s="37" t="s">
        <v>55</v>
      </c>
      <c r="I4797" s="37" t="s">
        <v>233</v>
      </c>
      <c r="J4797" s="155" t="str">
        <f t="shared" si="10"/>
        <v>NTT</v>
      </c>
      <c r="K4797" s="22" t="s">
        <v>16848</v>
      </c>
      <c r="L4797" s="56">
        <v>45131</v>
      </c>
      <c r="M4797" s="40"/>
      <c r="O4797" s="42"/>
      <c r="P4797" s="40"/>
      <c r="Q4797" s="61"/>
      <c r="R4797" s="61"/>
      <c r="S4797" s="40"/>
      <c r="T4797" s="38"/>
      <c r="U4797" s="38"/>
      <c r="V4797" s="38"/>
      <c r="W4797" s="60"/>
      <c r="AB4797" s="42"/>
      <c r="AC4797" s="35"/>
      <c r="AD4797" s="38"/>
      <c r="AE4797" s="38"/>
      <c r="AF4797" s="38"/>
      <c r="AG4797" s="38"/>
      <c r="AH4797" s="60"/>
    </row>
    <row r="4798" spans="1:34" ht="15.75" customHeight="1">
      <c r="A4798" s="54" t="s">
        <v>3888</v>
      </c>
      <c r="B4798" s="158" t="s">
        <v>16849</v>
      </c>
      <c r="C4798" s="37" t="s">
        <v>87</v>
      </c>
      <c r="D4798" s="20" t="s">
        <v>16850</v>
      </c>
      <c r="E4798" s="20" t="s">
        <v>16851</v>
      </c>
      <c r="F4798" s="19" t="s">
        <v>90</v>
      </c>
      <c r="G4798" s="19" t="s">
        <v>91</v>
      </c>
      <c r="H4798" s="37" t="s">
        <v>55</v>
      </c>
      <c r="I4798" s="37" t="s">
        <v>29</v>
      </c>
      <c r="J4798" s="155" t="str">
        <f t="shared" si="10"/>
        <v>TT</v>
      </c>
      <c r="K4798" s="22" t="s">
        <v>16852</v>
      </c>
      <c r="L4798" s="56">
        <v>45131</v>
      </c>
      <c r="O4798" s="42"/>
      <c r="P4798" s="40"/>
      <c r="Q4798" s="61"/>
      <c r="R4798" s="61"/>
      <c r="S4798" s="40"/>
      <c r="T4798" s="38"/>
      <c r="U4798" s="38"/>
      <c r="V4798" s="38"/>
      <c r="W4798" s="60"/>
      <c r="AB4798" s="42"/>
      <c r="AC4798" s="35"/>
      <c r="AD4798" s="38"/>
      <c r="AE4798" s="38"/>
      <c r="AF4798" s="38"/>
      <c r="AG4798" s="38"/>
      <c r="AH4798" s="60"/>
    </row>
    <row r="4799" spans="1:34" ht="15.75" customHeight="1">
      <c r="A4799" s="114" t="s">
        <v>39</v>
      </c>
      <c r="B4799" s="158" t="s">
        <v>16853</v>
      </c>
      <c r="C4799" s="37" t="s">
        <v>24</v>
      </c>
      <c r="D4799" s="20" t="s">
        <v>16854</v>
      </c>
      <c r="E4799" s="20" t="s">
        <v>16855</v>
      </c>
      <c r="F4799" s="19" t="s">
        <v>27</v>
      </c>
      <c r="G4799" s="19" t="s">
        <v>28</v>
      </c>
      <c r="H4799" s="37" t="s">
        <v>55</v>
      </c>
      <c r="I4799" s="37" t="s">
        <v>29</v>
      </c>
      <c r="J4799" s="155" t="str">
        <f t="shared" si="10"/>
        <v>TT</v>
      </c>
      <c r="K4799" s="22" t="s">
        <v>16856</v>
      </c>
      <c r="L4799" s="56">
        <v>45131</v>
      </c>
      <c r="O4799" s="42"/>
      <c r="P4799" s="40"/>
      <c r="Q4799" s="61"/>
      <c r="R4799" s="61"/>
      <c r="S4799" s="40"/>
      <c r="T4799" s="38"/>
      <c r="U4799" s="38"/>
      <c r="V4799" s="38"/>
      <c r="W4799" s="60"/>
      <c r="AB4799" s="42"/>
      <c r="AC4799" s="35"/>
      <c r="AD4799" s="38"/>
      <c r="AE4799" s="38"/>
      <c r="AF4799" s="38"/>
      <c r="AG4799" s="38"/>
      <c r="AH4799" s="60"/>
    </row>
    <row r="4800" spans="1:34" ht="15.75" customHeight="1">
      <c r="A4800" s="38" t="s">
        <v>16024</v>
      </c>
      <c r="B4800" s="158" t="s">
        <v>16857</v>
      </c>
      <c r="C4800" s="37" t="s">
        <v>46</v>
      </c>
      <c r="D4800" s="20" t="s">
        <v>16858</v>
      </c>
      <c r="E4800" s="20" t="s">
        <v>16859</v>
      </c>
      <c r="F4800" s="37" t="s">
        <v>49</v>
      </c>
      <c r="G4800" s="19" t="s">
        <v>50</v>
      </c>
      <c r="H4800" s="37" t="s">
        <v>55</v>
      </c>
      <c r="I4800" s="37" t="s">
        <v>29</v>
      </c>
      <c r="J4800" s="155" t="str">
        <f t="shared" si="10"/>
        <v>TT</v>
      </c>
      <c r="K4800" s="22" t="s">
        <v>16859</v>
      </c>
      <c r="L4800" s="56">
        <v>45131</v>
      </c>
      <c r="O4800" s="42"/>
      <c r="P4800" s="40"/>
      <c r="Q4800" s="61"/>
      <c r="R4800" s="61"/>
      <c r="S4800" s="40"/>
      <c r="T4800" s="38"/>
      <c r="U4800" s="38"/>
      <c r="V4800" s="38"/>
      <c r="W4800" s="60"/>
      <c r="AB4800" s="42"/>
      <c r="AC4800" s="35"/>
      <c r="AD4800" s="38"/>
      <c r="AE4800" s="38"/>
      <c r="AF4800" s="38"/>
      <c r="AG4800" s="38"/>
      <c r="AH4800" s="60"/>
    </row>
    <row r="4801" spans="1:34" ht="15.75" customHeight="1">
      <c r="A4801" s="75" t="s">
        <v>16860</v>
      </c>
      <c r="B4801" s="158" t="s">
        <v>16861</v>
      </c>
      <c r="C4801" s="37" t="s">
        <v>87</v>
      </c>
      <c r="D4801" s="20" t="s">
        <v>16862</v>
      </c>
      <c r="E4801" s="20" t="s">
        <v>16863</v>
      </c>
      <c r="F4801" s="19" t="s">
        <v>90</v>
      </c>
      <c r="G4801" s="19" t="s">
        <v>91</v>
      </c>
      <c r="H4801" s="37" t="s">
        <v>55</v>
      </c>
      <c r="I4801" s="37" t="s">
        <v>29</v>
      </c>
      <c r="J4801" s="155" t="str">
        <f t="shared" si="10"/>
        <v>TT</v>
      </c>
      <c r="K4801" s="22" t="s">
        <v>16863</v>
      </c>
      <c r="L4801" s="56">
        <v>45131</v>
      </c>
      <c r="O4801" s="42"/>
      <c r="P4801" s="40"/>
      <c r="Q4801" s="61"/>
      <c r="R4801" s="61"/>
      <c r="S4801" s="40"/>
      <c r="T4801" s="38"/>
      <c r="U4801" s="38"/>
      <c r="V4801" s="38"/>
      <c r="W4801" s="60"/>
      <c r="AB4801" s="42"/>
      <c r="AC4801" s="35"/>
      <c r="AD4801" s="38"/>
      <c r="AE4801" s="38"/>
      <c r="AF4801" s="38"/>
      <c r="AG4801" s="38"/>
      <c r="AH4801" s="60"/>
    </row>
    <row r="4802" spans="1:34" ht="15.75" customHeight="1">
      <c r="A4802" s="50" t="s">
        <v>56</v>
      </c>
      <c r="B4802" s="158" t="s">
        <v>16864</v>
      </c>
      <c r="C4802" s="37" t="s">
        <v>24</v>
      </c>
      <c r="D4802" s="20" t="s">
        <v>16865</v>
      </c>
      <c r="E4802" s="20" t="s">
        <v>16866</v>
      </c>
      <c r="F4802" s="19" t="s">
        <v>27</v>
      </c>
      <c r="G4802" s="19" t="s">
        <v>28</v>
      </c>
      <c r="H4802" s="37" t="s">
        <v>55</v>
      </c>
      <c r="I4802" s="37" t="s">
        <v>29</v>
      </c>
      <c r="J4802" s="155" t="str">
        <f t="shared" si="10"/>
        <v>TT</v>
      </c>
      <c r="K4802" s="22" t="s">
        <v>16867</v>
      </c>
      <c r="L4802" s="56">
        <v>45131</v>
      </c>
      <c r="O4802" s="42"/>
      <c r="P4802" s="40"/>
      <c r="Q4802" s="61"/>
      <c r="R4802" s="61"/>
      <c r="S4802" s="40"/>
      <c r="T4802" s="38"/>
      <c r="U4802" s="38"/>
      <c r="V4802" s="38"/>
      <c r="W4802" s="60"/>
      <c r="AB4802" s="42"/>
      <c r="AC4802" s="35"/>
      <c r="AD4802" s="38"/>
      <c r="AE4802" s="38"/>
      <c r="AF4802" s="38"/>
      <c r="AG4802" s="38"/>
      <c r="AH4802" s="60"/>
    </row>
    <row r="4803" spans="1:34" ht="15.75" customHeight="1">
      <c r="A4803" s="17">
        <v>40</v>
      </c>
      <c r="B4803" s="158" t="s">
        <v>16868</v>
      </c>
      <c r="C4803" s="37" t="s">
        <v>24</v>
      </c>
      <c r="D4803" s="20" t="s">
        <v>16869</v>
      </c>
      <c r="E4803" s="20" t="s">
        <v>16870</v>
      </c>
      <c r="F4803" s="19" t="s">
        <v>27</v>
      </c>
      <c r="G4803" s="19" t="s">
        <v>28</v>
      </c>
      <c r="H4803" s="37" t="s">
        <v>55</v>
      </c>
      <c r="I4803" s="37" t="s">
        <v>29</v>
      </c>
      <c r="J4803" s="155" t="str">
        <f t="shared" si="10"/>
        <v>TT</v>
      </c>
      <c r="K4803" s="22" t="s">
        <v>16870</v>
      </c>
      <c r="L4803" s="56">
        <v>45131</v>
      </c>
      <c r="O4803" s="42"/>
      <c r="P4803" s="40"/>
      <c r="Q4803" s="61"/>
      <c r="R4803" s="61"/>
      <c r="S4803" s="40"/>
      <c r="T4803" s="38"/>
      <c r="U4803" s="38"/>
      <c r="V4803" s="38"/>
      <c r="W4803" s="60"/>
      <c r="AB4803" s="42"/>
      <c r="AC4803" s="35"/>
      <c r="AD4803" s="38"/>
      <c r="AE4803" s="38"/>
      <c r="AF4803" s="38"/>
      <c r="AG4803" s="38"/>
      <c r="AH4803" s="60"/>
    </row>
    <row r="4804" spans="1:34" ht="15.75" customHeight="1">
      <c r="A4804" s="111" t="s">
        <v>64</v>
      </c>
      <c r="B4804" s="158" t="s">
        <v>16871</v>
      </c>
      <c r="C4804" s="37" t="s">
        <v>412</v>
      </c>
      <c r="D4804" s="20" t="s">
        <v>16872</v>
      </c>
      <c r="E4804" s="20" t="s">
        <v>16873</v>
      </c>
      <c r="F4804" s="19" t="s">
        <v>414</v>
      </c>
      <c r="G4804" s="37" t="s">
        <v>415</v>
      </c>
      <c r="H4804" s="37" t="s">
        <v>55</v>
      </c>
      <c r="I4804" s="37" t="s">
        <v>233</v>
      </c>
      <c r="J4804" s="155" t="str">
        <f t="shared" si="10"/>
        <v>NTT</v>
      </c>
      <c r="K4804" s="22" t="s">
        <v>16873</v>
      </c>
      <c r="L4804" s="56">
        <v>45131</v>
      </c>
      <c r="O4804" s="42"/>
      <c r="P4804" s="40"/>
      <c r="Q4804" s="61"/>
      <c r="R4804" s="61"/>
      <c r="S4804" s="40"/>
      <c r="T4804" s="38"/>
      <c r="U4804" s="38"/>
      <c r="V4804" s="38"/>
      <c r="W4804" s="60"/>
      <c r="AB4804" s="42"/>
      <c r="AC4804" s="35"/>
      <c r="AD4804" s="38"/>
      <c r="AE4804" s="38"/>
      <c r="AF4804" s="38"/>
      <c r="AG4804" s="38"/>
      <c r="AH4804" s="60"/>
    </row>
    <row r="4805" spans="1:34" ht="15.75" customHeight="1">
      <c r="A4805" s="75">
        <v>2.2999999999999998</v>
      </c>
      <c r="B4805" s="158" t="s">
        <v>16874</v>
      </c>
      <c r="C4805" s="37" t="s">
        <v>46</v>
      </c>
      <c r="D4805" s="20" t="s">
        <v>16875</v>
      </c>
      <c r="E4805" s="20" t="s">
        <v>16876</v>
      </c>
      <c r="F4805" s="37" t="s">
        <v>49</v>
      </c>
      <c r="G4805" s="19" t="s">
        <v>50</v>
      </c>
      <c r="H4805" s="37" t="s">
        <v>55</v>
      </c>
      <c r="I4805" s="37" t="s">
        <v>29</v>
      </c>
      <c r="J4805" s="155" t="str">
        <f t="shared" si="10"/>
        <v>TT</v>
      </c>
      <c r="K4805" s="22" t="s">
        <v>16877</v>
      </c>
      <c r="L4805" s="56">
        <v>45131</v>
      </c>
      <c r="O4805" s="42"/>
      <c r="P4805" s="40"/>
      <c r="Q4805" s="61"/>
      <c r="R4805" s="61"/>
      <c r="S4805" s="40"/>
      <c r="T4805" s="38"/>
      <c r="U4805" s="38"/>
      <c r="V4805" s="38"/>
      <c r="W4805" s="60"/>
      <c r="AB4805" s="42"/>
      <c r="AC4805" s="35"/>
      <c r="AD4805" s="38"/>
      <c r="AE4805" s="38"/>
      <c r="AF4805" s="38"/>
      <c r="AG4805" s="38"/>
      <c r="AH4805" s="60"/>
    </row>
    <row r="4806" spans="1:34" ht="15.75" customHeight="1">
      <c r="A4806" s="111" t="s">
        <v>73</v>
      </c>
      <c r="B4806" s="158" t="s">
        <v>16878</v>
      </c>
      <c r="C4806" s="37" t="s">
        <v>1638</v>
      </c>
      <c r="D4806" s="20" t="s">
        <v>16879</v>
      </c>
      <c r="E4806" s="20" t="s">
        <v>16880</v>
      </c>
      <c r="F4806" s="37" t="s">
        <v>1399</v>
      </c>
      <c r="G4806" s="19" t="s">
        <v>1641</v>
      </c>
      <c r="H4806" s="37" t="s">
        <v>55</v>
      </c>
      <c r="I4806" s="21" t="s">
        <v>1371</v>
      </c>
      <c r="J4806" s="155" t="str">
        <f t="shared" si="10"/>
        <v>Other</v>
      </c>
      <c r="K4806" s="22" t="s">
        <v>16880</v>
      </c>
      <c r="L4806" s="56">
        <v>45131</v>
      </c>
      <c r="O4806" s="42"/>
      <c r="P4806" s="40"/>
      <c r="Q4806" s="61"/>
      <c r="R4806" s="61"/>
      <c r="S4806" s="40"/>
      <c r="T4806" s="38"/>
      <c r="U4806" s="38"/>
      <c r="V4806" s="38"/>
      <c r="W4806" s="60"/>
      <c r="AB4806" s="42"/>
      <c r="AC4806" s="35"/>
      <c r="AD4806" s="38"/>
      <c r="AE4806" s="38"/>
      <c r="AF4806" s="38"/>
      <c r="AG4806" s="38"/>
      <c r="AH4806" s="60"/>
    </row>
    <row r="4807" spans="1:34" ht="15.75" customHeight="1">
      <c r="A4807" s="75">
        <v>2.6</v>
      </c>
      <c r="B4807" s="158" t="s">
        <v>16881</v>
      </c>
      <c r="C4807" s="37" t="s">
        <v>412</v>
      </c>
      <c r="D4807" s="20" t="s">
        <v>16882</v>
      </c>
      <c r="E4807" s="20" t="s">
        <v>16883</v>
      </c>
      <c r="F4807" s="19" t="s">
        <v>414</v>
      </c>
      <c r="G4807" s="19" t="s">
        <v>415</v>
      </c>
      <c r="H4807" s="37" t="s">
        <v>55</v>
      </c>
      <c r="I4807" s="37" t="s">
        <v>233</v>
      </c>
      <c r="J4807" s="155" t="str">
        <f t="shared" si="10"/>
        <v>NTT</v>
      </c>
      <c r="K4807" s="22" t="s">
        <v>16884</v>
      </c>
      <c r="L4807" s="56">
        <v>45131</v>
      </c>
      <c r="O4807" s="42"/>
      <c r="P4807" s="40"/>
      <c r="Q4807" s="61"/>
      <c r="R4807" s="61"/>
      <c r="S4807" s="40"/>
      <c r="T4807" s="38"/>
      <c r="U4807" s="38"/>
      <c r="V4807" s="38"/>
      <c r="W4807" s="60"/>
      <c r="AB4807" s="42"/>
      <c r="AC4807" s="35"/>
      <c r="AD4807" s="38"/>
      <c r="AE4807" s="38"/>
      <c r="AF4807" s="38"/>
      <c r="AG4807" s="38"/>
      <c r="AH4807" s="60"/>
    </row>
    <row r="4808" spans="1:34" ht="15.75" customHeight="1">
      <c r="A4808" s="111" t="s">
        <v>82</v>
      </c>
      <c r="B4808" s="158" t="s">
        <v>16885</v>
      </c>
      <c r="C4808" s="37" t="s">
        <v>24</v>
      </c>
      <c r="D4808" s="20" t="s">
        <v>16886</v>
      </c>
      <c r="E4808" s="20" t="s">
        <v>16887</v>
      </c>
      <c r="F4808" s="19" t="s">
        <v>27</v>
      </c>
      <c r="G4808" s="19" t="s">
        <v>28</v>
      </c>
      <c r="H4808" s="37" t="s">
        <v>55</v>
      </c>
      <c r="I4808" s="37" t="s">
        <v>29</v>
      </c>
      <c r="J4808" s="155" t="str">
        <f t="shared" si="10"/>
        <v>TT</v>
      </c>
      <c r="K4808" s="22" t="s">
        <v>16888</v>
      </c>
      <c r="L4808" s="56">
        <v>45131</v>
      </c>
      <c r="O4808" s="42"/>
      <c r="P4808" s="40"/>
      <c r="Q4808" s="61"/>
      <c r="R4808" s="61"/>
      <c r="S4808" s="40"/>
      <c r="T4808" s="38"/>
      <c r="U4808" s="38"/>
      <c r="V4808" s="38"/>
      <c r="W4808" s="60"/>
      <c r="AB4808" s="42"/>
      <c r="AC4808" s="35"/>
      <c r="AD4808" s="38"/>
      <c r="AE4808" s="38"/>
      <c r="AF4808" s="38"/>
      <c r="AG4808" s="38"/>
      <c r="AH4808" s="60"/>
    </row>
    <row r="4809" spans="1:34" ht="15.75" customHeight="1">
      <c r="A4809" s="112" t="s">
        <v>16889</v>
      </c>
      <c r="B4809" s="158" t="s">
        <v>16890</v>
      </c>
      <c r="C4809" s="37" t="s">
        <v>24</v>
      </c>
      <c r="D4809" s="20" t="s">
        <v>16891</v>
      </c>
      <c r="E4809" s="20" t="s">
        <v>16892</v>
      </c>
      <c r="F4809" s="19" t="s">
        <v>27</v>
      </c>
      <c r="G4809" s="19" t="s">
        <v>28</v>
      </c>
      <c r="H4809" s="37" t="s">
        <v>55</v>
      </c>
      <c r="I4809" s="37" t="s">
        <v>29</v>
      </c>
      <c r="J4809" s="155" t="str">
        <f t="shared" si="10"/>
        <v>TT</v>
      </c>
      <c r="K4809" s="22" t="s">
        <v>16893</v>
      </c>
      <c r="L4809" s="56">
        <v>45131</v>
      </c>
      <c r="O4809" s="42"/>
      <c r="P4809" s="40"/>
      <c r="Q4809" s="61"/>
      <c r="R4809" s="61"/>
      <c r="S4809" s="40"/>
      <c r="T4809" s="38"/>
      <c r="U4809" s="38"/>
      <c r="V4809" s="38"/>
      <c r="W4809" s="60"/>
      <c r="AB4809" s="42"/>
      <c r="AC4809" s="35"/>
      <c r="AD4809" s="38"/>
      <c r="AE4809" s="38"/>
      <c r="AF4809" s="38"/>
      <c r="AG4809" s="38"/>
      <c r="AH4809" s="60"/>
    </row>
    <row r="4810" spans="1:34" ht="15.75" customHeight="1">
      <c r="A4810" s="111" t="s">
        <v>92</v>
      </c>
      <c r="B4810" s="38"/>
      <c r="C4810" s="37"/>
      <c r="D4810" s="20"/>
      <c r="E4810" s="20"/>
      <c r="F4810" s="37"/>
      <c r="G4810" s="37"/>
      <c r="H4810" s="37"/>
      <c r="I4810" s="37"/>
      <c r="J4810" s="155">
        <f t="shared" si="10"/>
        <v>0</v>
      </c>
      <c r="K4810" s="22"/>
      <c r="L4810" s="39"/>
      <c r="O4810" s="42"/>
      <c r="P4810" s="40"/>
      <c r="Q4810" s="61"/>
      <c r="R4810" s="61"/>
      <c r="S4810" s="40"/>
      <c r="T4810" s="38"/>
      <c r="U4810" s="38"/>
      <c r="V4810" s="38"/>
      <c r="W4810" s="60"/>
      <c r="AB4810" s="42"/>
      <c r="AC4810" s="35"/>
      <c r="AD4810" s="38"/>
      <c r="AE4810" s="38"/>
      <c r="AF4810" s="38"/>
      <c r="AG4810" s="38"/>
      <c r="AH4810" s="60"/>
    </row>
    <row r="4811" spans="1:34" ht="15.75" customHeight="1">
      <c r="A4811" s="17">
        <v>169</v>
      </c>
      <c r="B4811" s="38"/>
      <c r="C4811" s="37"/>
      <c r="D4811" s="20"/>
      <c r="E4811" s="20"/>
      <c r="F4811" s="37"/>
      <c r="G4811" s="37"/>
      <c r="H4811" s="37"/>
      <c r="I4811" s="37"/>
      <c r="J4811" s="155">
        <f t="shared" si="10"/>
        <v>0</v>
      </c>
      <c r="K4811" s="22"/>
      <c r="L4811" s="39"/>
      <c r="O4811" s="42"/>
      <c r="P4811" s="40"/>
      <c r="Q4811" s="61"/>
      <c r="R4811" s="61"/>
      <c r="S4811" s="40"/>
      <c r="T4811" s="38"/>
      <c r="U4811" s="38"/>
      <c r="V4811" s="38"/>
      <c r="W4811" s="60"/>
      <c r="AB4811" s="42"/>
      <c r="AC4811" s="35"/>
      <c r="AD4811" s="38"/>
      <c r="AE4811" s="38"/>
      <c r="AF4811" s="38"/>
      <c r="AG4811" s="38"/>
      <c r="AH4811" s="60"/>
    </row>
    <row r="4812" spans="1:34" ht="15.75" customHeight="1">
      <c r="A4812" s="111" t="s">
        <v>100</v>
      </c>
      <c r="B4812" s="38"/>
      <c r="C4812" s="19"/>
      <c r="D4812" s="20"/>
      <c r="E4812" s="20"/>
      <c r="F4812" s="19"/>
      <c r="G4812" s="19"/>
      <c r="H4812" s="19"/>
      <c r="I4812" s="21"/>
      <c r="J4812" s="155">
        <f t="shared" si="10"/>
        <v>0</v>
      </c>
      <c r="K4812" s="22"/>
      <c r="L4812" s="39"/>
      <c r="O4812" s="42"/>
      <c r="P4812" s="40"/>
      <c r="Q4812" s="61"/>
      <c r="R4812" s="61"/>
      <c r="S4812" s="40"/>
      <c r="T4812" s="38"/>
      <c r="U4812" s="38"/>
      <c r="V4812" s="38"/>
      <c r="W4812" s="60"/>
      <c r="AB4812" s="42"/>
      <c r="AC4812" s="35"/>
      <c r="AD4812" s="38"/>
      <c r="AE4812" s="38"/>
      <c r="AF4812" s="38"/>
      <c r="AG4812" s="38"/>
      <c r="AH4812" s="60"/>
    </row>
    <row r="4813" spans="1:34" ht="15.75" customHeight="1">
      <c r="A4813" s="17">
        <v>161</v>
      </c>
      <c r="B4813" s="38"/>
      <c r="C4813" s="19"/>
      <c r="D4813" s="20"/>
      <c r="E4813" s="20"/>
      <c r="F4813" s="19"/>
      <c r="G4813" s="19"/>
      <c r="H4813" s="19"/>
      <c r="I4813" s="21"/>
      <c r="J4813" s="155">
        <f t="shared" si="10"/>
        <v>0</v>
      </c>
      <c r="K4813" s="22"/>
      <c r="L4813" s="39"/>
      <c r="O4813" s="42"/>
      <c r="P4813" s="40"/>
      <c r="Q4813" s="61"/>
      <c r="R4813" s="61"/>
      <c r="S4813" s="40"/>
      <c r="T4813" s="38"/>
      <c r="U4813" s="38"/>
      <c r="V4813" s="38"/>
      <c r="W4813" s="60"/>
      <c r="AB4813" s="42"/>
      <c r="AC4813" s="35"/>
      <c r="AD4813" s="38"/>
      <c r="AE4813" s="38"/>
      <c r="AF4813" s="38"/>
      <c r="AG4813" s="38"/>
      <c r="AH4813" s="60"/>
    </row>
    <row r="4814" spans="1:34" ht="15.75" customHeight="1">
      <c r="A4814" s="35"/>
      <c r="B4814" s="38"/>
      <c r="C4814" s="19"/>
      <c r="D4814" s="20"/>
      <c r="E4814" s="20"/>
      <c r="F4814" s="19"/>
      <c r="G4814" s="19"/>
      <c r="H4814" s="19"/>
      <c r="I4814" s="21"/>
      <c r="J4814" s="155">
        <f t="shared" si="10"/>
        <v>0</v>
      </c>
      <c r="K4814" s="22"/>
      <c r="L4814" s="39"/>
      <c r="O4814" s="42"/>
      <c r="P4814" s="40"/>
      <c r="Q4814" s="61"/>
      <c r="R4814" s="61"/>
      <c r="S4814" s="40"/>
      <c r="T4814" s="38"/>
      <c r="U4814" s="38"/>
      <c r="V4814" s="38"/>
      <c r="W4814" s="60"/>
      <c r="AB4814" s="42"/>
      <c r="AC4814" s="35"/>
      <c r="AD4814" s="38"/>
      <c r="AE4814" s="38"/>
      <c r="AF4814" s="38"/>
      <c r="AG4814" s="38"/>
      <c r="AH4814" s="60"/>
    </row>
    <row r="4815" spans="1:34" ht="15.75" customHeight="1">
      <c r="A4815" s="35" t="s">
        <v>16894</v>
      </c>
      <c r="B4815" s="158" t="s">
        <v>16895</v>
      </c>
      <c r="C4815" s="37" t="s">
        <v>412</v>
      </c>
      <c r="D4815" s="20" t="s">
        <v>16896</v>
      </c>
      <c r="E4815" s="20"/>
      <c r="F4815" s="19" t="s">
        <v>414</v>
      </c>
      <c r="G4815" s="37" t="s">
        <v>415</v>
      </c>
      <c r="H4815" s="37"/>
      <c r="I4815" s="37" t="s">
        <v>233</v>
      </c>
      <c r="J4815" s="155" t="str">
        <f t="shared" si="10"/>
        <v>NTT</v>
      </c>
      <c r="K4815" s="22"/>
      <c r="L4815" s="56">
        <v>45131</v>
      </c>
      <c r="M4815" s="40"/>
      <c r="O4815" s="42"/>
      <c r="P4815" s="40"/>
      <c r="Q4815" s="61"/>
      <c r="R4815" s="61"/>
      <c r="S4815" s="40"/>
      <c r="T4815" s="38"/>
      <c r="U4815" s="38"/>
      <c r="V4815" s="38"/>
      <c r="W4815" s="60"/>
      <c r="AB4815" s="42"/>
      <c r="AC4815" s="35"/>
      <c r="AD4815" s="38"/>
      <c r="AE4815" s="38"/>
      <c r="AF4815" s="38"/>
      <c r="AG4815" s="38"/>
      <c r="AH4815" s="60"/>
    </row>
    <row r="4816" spans="1:34" ht="15.75" customHeight="1">
      <c r="A4816" s="54" t="s">
        <v>2714</v>
      </c>
      <c r="B4816" s="158" t="s">
        <v>16897</v>
      </c>
      <c r="C4816" s="37" t="s">
        <v>24</v>
      </c>
      <c r="D4816" s="20" t="s">
        <v>16898</v>
      </c>
      <c r="E4816" s="20" t="s">
        <v>16899</v>
      </c>
      <c r="F4816" s="19" t="s">
        <v>27</v>
      </c>
      <c r="G4816" s="19" t="s">
        <v>28</v>
      </c>
      <c r="H4816" s="37"/>
      <c r="I4816" s="37" t="s">
        <v>29</v>
      </c>
      <c r="J4816" s="155" t="str">
        <f t="shared" si="10"/>
        <v>TT</v>
      </c>
      <c r="K4816" s="22" t="s">
        <v>16900</v>
      </c>
      <c r="L4816" s="56">
        <v>45131</v>
      </c>
      <c r="O4816" s="42"/>
      <c r="P4816" s="40"/>
      <c r="Q4816" s="61"/>
      <c r="R4816" s="61"/>
      <c r="S4816" s="40"/>
      <c r="T4816" s="38"/>
      <c r="U4816" s="38"/>
      <c r="V4816" s="38"/>
      <c r="W4816" s="60"/>
      <c r="AB4816" s="42"/>
      <c r="AC4816" s="35"/>
      <c r="AD4816" s="38"/>
      <c r="AE4816" s="38"/>
      <c r="AF4816" s="38"/>
      <c r="AG4816" s="38"/>
      <c r="AH4816" s="60"/>
    </row>
    <row r="4817" spans="1:34" ht="15.75" customHeight="1">
      <c r="A4817" s="114" t="s">
        <v>39</v>
      </c>
      <c r="B4817" s="158" t="s">
        <v>16901</v>
      </c>
      <c r="C4817" s="37" t="s">
        <v>24</v>
      </c>
      <c r="D4817" s="20" t="s">
        <v>16902</v>
      </c>
      <c r="E4817" s="20" t="s">
        <v>16903</v>
      </c>
      <c r="F4817" s="19" t="s">
        <v>27</v>
      </c>
      <c r="G4817" s="19" t="s">
        <v>28</v>
      </c>
      <c r="H4817" s="37"/>
      <c r="I4817" s="37" t="s">
        <v>29</v>
      </c>
      <c r="J4817" s="155" t="str">
        <f t="shared" si="10"/>
        <v>TT</v>
      </c>
      <c r="K4817" s="22" t="s">
        <v>16904</v>
      </c>
      <c r="L4817" s="56">
        <v>45131</v>
      </c>
      <c r="O4817" s="42"/>
      <c r="P4817" s="40"/>
      <c r="Q4817" s="61"/>
      <c r="R4817" s="61"/>
      <c r="S4817" s="40"/>
      <c r="T4817" s="38"/>
      <c r="U4817" s="38"/>
      <c r="V4817" s="38"/>
      <c r="W4817" s="60"/>
      <c r="AB4817" s="42"/>
      <c r="AC4817" s="35"/>
      <c r="AD4817" s="38"/>
      <c r="AE4817" s="38"/>
      <c r="AF4817" s="38"/>
      <c r="AG4817" s="38"/>
      <c r="AH4817" s="60"/>
    </row>
    <row r="4818" spans="1:34" ht="15.75" customHeight="1">
      <c r="A4818" s="38" t="s">
        <v>16024</v>
      </c>
      <c r="B4818" s="158" t="s">
        <v>16905</v>
      </c>
      <c r="C4818" s="37" t="s">
        <v>87</v>
      </c>
      <c r="D4818" s="20" t="s">
        <v>16906</v>
      </c>
      <c r="E4818" s="20" t="s">
        <v>16907</v>
      </c>
      <c r="F4818" s="19" t="s">
        <v>90</v>
      </c>
      <c r="G4818" s="19" t="s">
        <v>91</v>
      </c>
      <c r="H4818" s="37"/>
      <c r="I4818" s="37" t="s">
        <v>29</v>
      </c>
      <c r="J4818" s="155" t="str">
        <f t="shared" si="10"/>
        <v>TT</v>
      </c>
      <c r="K4818" s="22" t="s">
        <v>16908</v>
      </c>
      <c r="L4818" s="56">
        <v>45131</v>
      </c>
      <c r="O4818" s="42"/>
      <c r="P4818" s="40"/>
      <c r="Q4818" s="61"/>
      <c r="R4818" s="61"/>
      <c r="S4818" s="40"/>
      <c r="T4818" s="38"/>
      <c r="U4818" s="38"/>
      <c r="V4818" s="38"/>
      <c r="W4818" s="60"/>
      <c r="AB4818" s="42"/>
      <c r="AC4818" s="35"/>
      <c r="AD4818" s="38"/>
      <c r="AE4818" s="38"/>
      <c r="AF4818" s="38"/>
      <c r="AG4818" s="38"/>
      <c r="AH4818" s="60"/>
    </row>
    <row r="4819" spans="1:34" ht="15.75" customHeight="1">
      <c r="A4819" s="75" t="s">
        <v>16909</v>
      </c>
      <c r="B4819" s="158" t="s">
        <v>16910</v>
      </c>
      <c r="C4819" s="37" t="s">
        <v>87</v>
      </c>
      <c r="D4819" s="20" t="s">
        <v>16911</v>
      </c>
      <c r="E4819" s="20" t="s">
        <v>16912</v>
      </c>
      <c r="F4819" s="19" t="s">
        <v>90</v>
      </c>
      <c r="G4819" s="19" t="s">
        <v>91</v>
      </c>
      <c r="H4819" s="37"/>
      <c r="I4819" s="37" t="s">
        <v>29</v>
      </c>
      <c r="J4819" s="155" t="str">
        <f t="shared" si="10"/>
        <v>TT</v>
      </c>
      <c r="K4819" s="22" t="s">
        <v>16913</v>
      </c>
      <c r="L4819" s="56">
        <v>45131</v>
      </c>
      <c r="O4819" s="42"/>
      <c r="P4819" s="40"/>
      <c r="Q4819" s="61"/>
      <c r="R4819" s="61"/>
      <c r="S4819" s="40"/>
      <c r="T4819" s="38"/>
      <c r="U4819" s="38"/>
      <c r="V4819" s="38"/>
      <c r="W4819" s="60"/>
      <c r="AB4819" s="42"/>
      <c r="AC4819" s="35"/>
      <c r="AD4819" s="38"/>
      <c r="AE4819" s="38"/>
      <c r="AF4819" s="38"/>
      <c r="AG4819" s="38"/>
      <c r="AH4819" s="60"/>
    </row>
    <row r="4820" spans="1:34" ht="15.75" customHeight="1">
      <c r="A4820" s="50" t="s">
        <v>56</v>
      </c>
      <c r="B4820" s="158" t="s">
        <v>16914</v>
      </c>
      <c r="C4820" s="37" t="s">
        <v>87</v>
      </c>
      <c r="D4820" s="20" t="s">
        <v>16915</v>
      </c>
      <c r="E4820" s="20" t="s">
        <v>16916</v>
      </c>
      <c r="F4820" s="19" t="s">
        <v>90</v>
      </c>
      <c r="G4820" s="19" t="s">
        <v>91</v>
      </c>
      <c r="H4820" s="19" t="s">
        <v>36</v>
      </c>
      <c r="I4820" s="37" t="s">
        <v>29</v>
      </c>
      <c r="J4820" s="155" t="str">
        <f t="shared" si="10"/>
        <v>TT</v>
      </c>
      <c r="K4820" s="22" t="s">
        <v>16917</v>
      </c>
      <c r="L4820" s="56">
        <v>45131</v>
      </c>
      <c r="O4820" s="42"/>
      <c r="P4820" s="40"/>
      <c r="Q4820" s="61"/>
      <c r="R4820" s="61"/>
      <c r="S4820" s="40"/>
      <c r="T4820" s="38"/>
      <c r="U4820" s="38"/>
      <c r="V4820" s="38"/>
      <c r="W4820" s="60"/>
      <c r="AB4820" s="42"/>
      <c r="AC4820" s="35"/>
      <c r="AD4820" s="38"/>
      <c r="AE4820" s="38"/>
      <c r="AF4820" s="38"/>
      <c r="AG4820" s="38"/>
      <c r="AH4820" s="60"/>
    </row>
    <row r="4821" spans="1:34" ht="15.75" customHeight="1">
      <c r="A4821" s="17">
        <v>27</v>
      </c>
      <c r="B4821" s="158" t="s">
        <v>16918</v>
      </c>
      <c r="C4821" s="37" t="s">
        <v>46</v>
      </c>
      <c r="D4821" s="20" t="s">
        <v>16919</v>
      </c>
      <c r="E4821" s="20" t="s">
        <v>16920</v>
      </c>
      <c r="F4821" s="37" t="s">
        <v>49</v>
      </c>
      <c r="G4821" s="19" t="s">
        <v>50</v>
      </c>
      <c r="H4821" s="37"/>
      <c r="I4821" s="37" t="s">
        <v>29</v>
      </c>
      <c r="J4821" s="155" t="str">
        <f t="shared" si="10"/>
        <v>TT</v>
      </c>
      <c r="K4821" s="22" t="s">
        <v>16921</v>
      </c>
      <c r="L4821" s="56">
        <v>45131</v>
      </c>
      <c r="O4821" s="42"/>
      <c r="P4821" s="40"/>
      <c r="Q4821" s="61"/>
      <c r="R4821" s="61"/>
      <c r="S4821" s="40"/>
      <c r="T4821" s="38"/>
      <c r="U4821" s="38"/>
      <c r="V4821" s="38"/>
      <c r="W4821" s="60"/>
      <c r="AB4821" s="42"/>
      <c r="AC4821" s="35"/>
      <c r="AD4821" s="38"/>
      <c r="AE4821" s="38"/>
      <c r="AF4821" s="38"/>
      <c r="AG4821" s="38"/>
      <c r="AH4821" s="60"/>
    </row>
    <row r="4822" spans="1:34" ht="15.75" customHeight="1">
      <c r="A4822" s="111" t="s">
        <v>64</v>
      </c>
      <c r="B4822" s="158" t="s">
        <v>16922</v>
      </c>
      <c r="C4822" s="37" t="s">
        <v>24</v>
      </c>
      <c r="D4822" s="20" t="s">
        <v>16923</v>
      </c>
      <c r="E4822" s="20" t="s">
        <v>16924</v>
      </c>
      <c r="F4822" s="19" t="s">
        <v>27</v>
      </c>
      <c r="G4822" s="19" t="s">
        <v>28</v>
      </c>
      <c r="H4822" s="37"/>
      <c r="I4822" s="37" t="s">
        <v>29</v>
      </c>
      <c r="J4822" s="155" t="str">
        <f t="shared" si="10"/>
        <v>TT</v>
      </c>
      <c r="K4822" s="22" t="s">
        <v>16925</v>
      </c>
      <c r="L4822" s="56">
        <v>45131</v>
      </c>
      <c r="O4822" s="42"/>
      <c r="P4822" s="40"/>
      <c r="Q4822" s="61"/>
      <c r="R4822" s="61"/>
      <c r="S4822" s="40"/>
      <c r="T4822" s="38"/>
      <c r="U4822" s="38"/>
      <c r="V4822" s="38"/>
      <c r="W4822" s="60"/>
      <c r="AB4822" s="42"/>
      <c r="AC4822" s="35"/>
      <c r="AD4822" s="38"/>
      <c r="AE4822" s="38"/>
      <c r="AF4822" s="38"/>
      <c r="AG4822" s="38"/>
      <c r="AH4822" s="60"/>
    </row>
    <row r="4823" spans="1:34" ht="15.75" customHeight="1">
      <c r="A4823" s="75">
        <v>2.2999999999999998</v>
      </c>
      <c r="B4823" s="158" t="s">
        <v>16926</v>
      </c>
      <c r="C4823" s="37" t="s">
        <v>24</v>
      </c>
      <c r="D4823" s="20" t="s">
        <v>16927</v>
      </c>
      <c r="E4823" s="20" t="s">
        <v>16928</v>
      </c>
      <c r="F4823" s="19" t="s">
        <v>27</v>
      </c>
      <c r="G4823" s="19" t="s">
        <v>28</v>
      </c>
      <c r="H4823" s="37"/>
      <c r="I4823" s="37" t="s">
        <v>29</v>
      </c>
      <c r="J4823" s="155" t="str">
        <f t="shared" si="10"/>
        <v>TT</v>
      </c>
      <c r="K4823" s="22" t="s">
        <v>16929</v>
      </c>
      <c r="L4823" s="56">
        <v>45131</v>
      </c>
      <c r="O4823" s="42"/>
      <c r="P4823" s="40"/>
      <c r="Q4823" s="61"/>
      <c r="R4823" s="61"/>
      <c r="S4823" s="40"/>
      <c r="T4823" s="38"/>
      <c r="U4823" s="38"/>
      <c r="V4823" s="38"/>
      <c r="W4823" s="60"/>
      <c r="AB4823" s="42"/>
      <c r="AC4823" s="35"/>
      <c r="AD4823" s="38"/>
      <c r="AE4823" s="38"/>
      <c r="AF4823" s="38"/>
      <c r="AG4823" s="38"/>
      <c r="AH4823" s="60"/>
    </row>
    <row r="4824" spans="1:34" ht="15.75" customHeight="1">
      <c r="A4824" s="111" t="s">
        <v>73</v>
      </c>
      <c r="B4824" s="159" t="s">
        <v>16930</v>
      </c>
      <c r="C4824" s="37" t="s">
        <v>24</v>
      </c>
      <c r="D4824" s="20" t="s">
        <v>16931</v>
      </c>
      <c r="E4824" s="20" t="s">
        <v>16932</v>
      </c>
      <c r="F4824" s="19" t="s">
        <v>27</v>
      </c>
      <c r="G4824" s="19" t="s">
        <v>28</v>
      </c>
      <c r="H4824" s="37" t="s">
        <v>762</v>
      </c>
      <c r="I4824" s="37" t="s">
        <v>29</v>
      </c>
      <c r="J4824" s="155" t="str">
        <f t="shared" si="10"/>
        <v>TT</v>
      </c>
      <c r="K4824" s="22" t="s">
        <v>16933</v>
      </c>
      <c r="L4824" s="56">
        <v>45131</v>
      </c>
      <c r="O4824" s="42"/>
      <c r="P4824" s="40"/>
      <c r="Q4824" s="61"/>
      <c r="R4824" s="61"/>
      <c r="S4824" s="40"/>
      <c r="T4824" s="38"/>
      <c r="U4824" s="38"/>
      <c r="V4824" s="38"/>
      <c r="W4824" s="60"/>
      <c r="AB4824" s="42"/>
      <c r="AC4824" s="35"/>
      <c r="AD4824" s="38"/>
      <c r="AE4824" s="38"/>
      <c r="AF4824" s="38"/>
      <c r="AG4824" s="38"/>
      <c r="AH4824" s="60"/>
    </row>
    <row r="4825" spans="1:34" ht="15.75" customHeight="1">
      <c r="A4825" s="75">
        <v>2.7</v>
      </c>
      <c r="B4825" s="158" t="s">
        <v>16934</v>
      </c>
      <c r="C4825" s="37" t="s">
        <v>87</v>
      </c>
      <c r="D4825" s="20" t="s">
        <v>16935</v>
      </c>
      <c r="E4825" s="20" t="s">
        <v>16936</v>
      </c>
      <c r="F4825" s="19" t="s">
        <v>90</v>
      </c>
      <c r="G4825" s="19" t="s">
        <v>91</v>
      </c>
      <c r="H4825" s="37"/>
      <c r="I4825" s="37" t="s">
        <v>29</v>
      </c>
      <c r="J4825" s="155" t="str">
        <f t="shared" si="10"/>
        <v>TT</v>
      </c>
      <c r="K4825" s="22" t="s">
        <v>16937</v>
      </c>
      <c r="L4825" s="56">
        <v>45131</v>
      </c>
      <c r="O4825" s="42"/>
      <c r="P4825" s="40"/>
      <c r="Q4825" s="61"/>
      <c r="R4825" s="61"/>
      <c r="S4825" s="40"/>
      <c r="T4825" s="38"/>
      <c r="U4825" s="38"/>
      <c r="V4825" s="38"/>
      <c r="W4825" s="60"/>
      <c r="AB4825" s="42"/>
      <c r="AC4825" s="35"/>
      <c r="AD4825" s="38"/>
      <c r="AE4825" s="38"/>
      <c r="AF4825" s="38"/>
      <c r="AG4825" s="38"/>
      <c r="AH4825" s="60"/>
    </row>
    <row r="4826" spans="1:34" ht="15.75" customHeight="1">
      <c r="A4826" s="111" t="s">
        <v>82</v>
      </c>
      <c r="B4826" s="158" t="s">
        <v>16938</v>
      </c>
      <c r="C4826" s="37" t="s">
        <v>24</v>
      </c>
      <c r="D4826" s="20" t="s">
        <v>16939</v>
      </c>
      <c r="E4826" s="20" t="s">
        <v>16940</v>
      </c>
      <c r="F4826" s="19" t="s">
        <v>27</v>
      </c>
      <c r="G4826" s="19" t="s">
        <v>28</v>
      </c>
      <c r="H4826" s="37"/>
      <c r="I4826" s="37" t="s">
        <v>29</v>
      </c>
      <c r="J4826" s="155" t="str">
        <f t="shared" si="10"/>
        <v>TT</v>
      </c>
      <c r="K4826" s="22" t="s">
        <v>16941</v>
      </c>
      <c r="L4826" s="56">
        <v>45131</v>
      </c>
      <c r="O4826" s="42"/>
      <c r="P4826" s="40"/>
      <c r="Q4826" s="61"/>
      <c r="R4826" s="61"/>
      <c r="S4826" s="40"/>
      <c r="T4826" s="38"/>
      <c r="U4826" s="38"/>
      <c r="V4826" s="38"/>
      <c r="W4826" s="60"/>
      <c r="AB4826" s="42"/>
      <c r="AC4826" s="35"/>
      <c r="AD4826" s="38"/>
      <c r="AE4826" s="38"/>
      <c r="AF4826" s="38"/>
      <c r="AG4826" s="38"/>
      <c r="AH4826" s="60"/>
    </row>
    <row r="4827" spans="1:34" ht="15.75" customHeight="1">
      <c r="A4827" s="112" t="s">
        <v>16942</v>
      </c>
      <c r="B4827" s="158" t="s">
        <v>16943</v>
      </c>
      <c r="C4827" s="37" t="s">
        <v>87</v>
      </c>
      <c r="D4827" s="20" t="s">
        <v>16944</v>
      </c>
      <c r="E4827" s="20" t="s">
        <v>16945</v>
      </c>
      <c r="F4827" s="19" t="s">
        <v>90</v>
      </c>
      <c r="G4827" s="19" t="s">
        <v>91</v>
      </c>
      <c r="H4827" s="37"/>
      <c r="I4827" s="37" t="s">
        <v>29</v>
      </c>
      <c r="J4827" s="155" t="str">
        <f t="shared" si="10"/>
        <v>TT</v>
      </c>
      <c r="K4827" s="22" t="s">
        <v>16946</v>
      </c>
      <c r="L4827" s="56">
        <v>45131</v>
      </c>
      <c r="O4827" s="42"/>
      <c r="P4827" s="40"/>
      <c r="Q4827" s="61"/>
      <c r="R4827" s="61"/>
      <c r="S4827" s="40"/>
      <c r="T4827" s="38"/>
      <c r="U4827" s="38"/>
      <c r="V4827" s="38"/>
      <c r="W4827" s="60"/>
      <c r="AB4827" s="42"/>
      <c r="AC4827" s="35"/>
      <c r="AD4827" s="38"/>
      <c r="AE4827" s="38"/>
      <c r="AF4827" s="38"/>
      <c r="AG4827" s="38"/>
      <c r="AH4827" s="60"/>
    </row>
    <row r="4828" spans="1:34" ht="15.75" customHeight="1">
      <c r="A4828" s="111" t="s">
        <v>92</v>
      </c>
      <c r="B4828" s="158" t="s">
        <v>16947</v>
      </c>
      <c r="C4828" s="37" t="s">
        <v>24</v>
      </c>
      <c r="D4828" s="20" t="s">
        <v>16948</v>
      </c>
      <c r="E4828" s="20" t="s">
        <v>16949</v>
      </c>
      <c r="F4828" s="19" t="s">
        <v>27</v>
      </c>
      <c r="G4828" s="19" t="s">
        <v>28</v>
      </c>
      <c r="H4828" s="37" t="s">
        <v>813</v>
      </c>
      <c r="I4828" s="37" t="s">
        <v>29</v>
      </c>
      <c r="J4828" s="155" t="str">
        <f t="shared" si="10"/>
        <v>TT</v>
      </c>
      <c r="K4828" s="22" t="s">
        <v>16950</v>
      </c>
      <c r="L4828" s="56">
        <v>45131</v>
      </c>
      <c r="O4828" s="42"/>
      <c r="P4828" s="40"/>
      <c r="Q4828" s="61"/>
      <c r="R4828" s="61"/>
      <c r="S4828" s="40"/>
      <c r="T4828" s="38"/>
      <c r="U4828" s="38"/>
      <c r="V4828" s="38"/>
      <c r="W4828" s="60"/>
      <c r="AB4828" s="42"/>
      <c r="AC4828" s="35"/>
      <c r="AD4828" s="38"/>
      <c r="AE4828" s="38"/>
      <c r="AF4828" s="38"/>
      <c r="AG4828" s="38"/>
      <c r="AH4828" s="60"/>
    </row>
    <row r="4829" spans="1:34" ht="15.75" customHeight="1">
      <c r="A4829" s="17">
        <v>375</v>
      </c>
      <c r="B4829" s="158" t="s">
        <v>16951</v>
      </c>
      <c r="C4829" s="37" t="s">
        <v>87</v>
      </c>
      <c r="D4829" s="20" t="s">
        <v>16952</v>
      </c>
      <c r="E4829" s="20" t="s">
        <v>16953</v>
      </c>
      <c r="F4829" s="19" t="s">
        <v>90</v>
      </c>
      <c r="G4829" s="19" t="s">
        <v>91</v>
      </c>
      <c r="H4829" s="37"/>
      <c r="I4829" s="37" t="s">
        <v>29</v>
      </c>
      <c r="J4829" s="155" t="str">
        <f t="shared" si="10"/>
        <v>TT</v>
      </c>
      <c r="K4829" s="22" t="s">
        <v>16954</v>
      </c>
      <c r="L4829" s="56">
        <v>45131</v>
      </c>
      <c r="O4829" s="42"/>
      <c r="P4829" s="40"/>
      <c r="Q4829" s="61"/>
      <c r="R4829" s="61"/>
      <c r="S4829" s="40"/>
      <c r="T4829" s="38"/>
      <c r="U4829" s="38"/>
      <c r="V4829" s="38"/>
      <c r="W4829" s="60"/>
      <c r="AB4829" s="42"/>
      <c r="AC4829" s="35"/>
      <c r="AD4829" s="38"/>
      <c r="AE4829" s="38"/>
      <c r="AF4829" s="38"/>
      <c r="AG4829" s="38"/>
      <c r="AH4829" s="60"/>
    </row>
    <row r="4830" spans="1:34" ht="15.75" customHeight="1">
      <c r="A4830" s="111" t="s">
        <v>100</v>
      </c>
      <c r="B4830" s="158" t="s">
        <v>16955</v>
      </c>
      <c r="C4830" s="37" t="s">
        <v>87</v>
      </c>
      <c r="D4830" s="20" t="s">
        <v>16956</v>
      </c>
      <c r="E4830" s="20" t="s">
        <v>16957</v>
      </c>
      <c r="F4830" s="19" t="s">
        <v>90</v>
      </c>
      <c r="G4830" s="19" t="s">
        <v>91</v>
      </c>
      <c r="H4830" s="19" t="s">
        <v>36</v>
      </c>
      <c r="I4830" s="37" t="s">
        <v>29</v>
      </c>
      <c r="J4830" s="155" t="str">
        <f t="shared" si="10"/>
        <v>TT</v>
      </c>
      <c r="K4830" s="22" t="s">
        <v>16958</v>
      </c>
      <c r="L4830" s="56">
        <v>45131</v>
      </c>
      <c r="O4830" s="42"/>
      <c r="P4830" s="40"/>
      <c r="Q4830" s="61"/>
      <c r="R4830" s="61"/>
      <c r="S4830" s="40"/>
      <c r="T4830" s="38"/>
      <c r="U4830" s="38"/>
      <c r="V4830" s="38"/>
      <c r="W4830" s="60"/>
      <c r="AB4830" s="42"/>
      <c r="AC4830" s="35"/>
      <c r="AD4830" s="38"/>
      <c r="AE4830" s="38"/>
      <c r="AF4830" s="38"/>
      <c r="AG4830" s="38"/>
      <c r="AH4830" s="60"/>
    </row>
    <row r="4831" spans="1:34" ht="15.75" customHeight="1">
      <c r="A4831" s="17">
        <v>161</v>
      </c>
      <c r="B4831" s="158" t="s">
        <v>16959</v>
      </c>
      <c r="C4831" s="37" t="s">
        <v>24</v>
      </c>
      <c r="D4831" s="20" t="s">
        <v>16960</v>
      </c>
      <c r="E4831" s="20" t="s">
        <v>16961</v>
      </c>
      <c r="F4831" s="19" t="s">
        <v>27</v>
      </c>
      <c r="G4831" s="19" t="s">
        <v>28</v>
      </c>
      <c r="H4831" s="37"/>
      <c r="I4831" s="37" t="s">
        <v>29</v>
      </c>
      <c r="J4831" s="155" t="str">
        <f t="shared" si="10"/>
        <v>TT</v>
      </c>
      <c r="K4831" s="22" t="s">
        <v>16962</v>
      </c>
      <c r="L4831" s="56">
        <v>45131</v>
      </c>
      <c r="O4831" s="42"/>
      <c r="P4831" s="40"/>
      <c r="Q4831" s="61"/>
      <c r="R4831" s="61"/>
      <c r="S4831" s="40"/>
      <c r="T4831" s="38"/>
      <c r="U4831" s="38"/>
      <c r="V4831" s="38"/>
      <c r="W4831" s="60"/>
      <c r="AB4831" s="42"/>
      <c r="AC4831" s="35"/>
      <c r="AD4831" s="38"/>
      <c r="AE4831" s="38"/>
      <c r="AF4831" s="38"/>
      <c r="AG4831" s="38"/>
      <c r="AH4831" s="60"/>
    </row>
    <row r="4832" spans="1:34" ht="15.75" customHeight="1">
      <c r="A4832" s="250"/>
      <c r="B4832" s="158" t="s">
        <v>16963</v>
      </c>
      <c r="C4832" s="37" t="s">
        <v>87</v>
      </c>
      <c r="D4832" s="20" t="s">
        <v>16964</v>
      </c>
      <c r="E4832" s="20" t="s">
        <v>16965</v>
      </c>
      <c r="F4832" s="19" t="s">
        <v>90</v>
      </c>
      <c r="G4832" s="19" t="s">
        <v>91</v>
      </c>
      <c r="H4832" s="37"/>
      <c r="I4832" s="37" t="s">
        <v>29</v>
      </c>
      <c r="J4832" s="155" t="str">
        <f t="shared" si="10"/>
        <v>TT</v>
      </c>
      <c r="K4832" s="22" t="s">
        <v>16966</v>
      </c>
      <c r="L4832" s="56">
        <v>45131</v>
      </c>
      <c r="O4832" s="42"/>
      <c r="P4832" s="40"/>
      <c r="Q4832" s="61"/>
      <c r="R4832" s="61"/>
      <c r="S4832" s="40"/>
      <c r="T4832" s="38"/>
      <c r="U4832" s="38"/>
      <c r="V4832" s="38"/>
      <c r="W4832" s="60"/>
      <c r="AB4832" s="42"/>
      <c r="AC4832" s="35"/>
      <c r="AD4832" s="38"/>
      <c r="AE4832" s="38"/>
      <c r="AF4832" s="38"/>
      <c r="AG4832" s="38"/>
      <c r="AH4832" s="60"/>
    </row>
    <row r="4833" spans="1:34" ht="15.75" customHeight="1">
      <c r="A4833" s="251"/>
      <c r="B4833" s="158" t="s">
        <v>16967</v>
      </c>
      <c r="C4833" s="37" t="s">
        <v>228</v>
      </c>
      <c r="D4833" s="20" t="s">
        <v>16968</v>
      </c>
      <c r="E4833" s="20"/>
      <c r="F4833" s="19" t="s">
        <v>231</v>
      </c>
      <c r="G4833" s="19" t="s">
        <v>232</v>
      </c>
      <c r="H4833" s="37"/>
      <c r="I4833" s="37" t="s">
        <v>233</v>
      </c>
      <c r="J4833" s="155" t="str">
        <f t="shared" si="10"/>
        <v>NTT</v>
      </c>
      <c r="K4833" s="22"/>
      <c r="L4833" s="56">
        <v>45131</v>
      </c>
      <c r="O4833" s="42"/>
      <c r="P4833" s="40"/>
      <c r="Q4833" s="61"/>
      <c r="R4833" s="61"/>
      <c r="S4833" s="40"/>
      <c r="T4833" s="38"/>
      <c r="U4833" s="38"/>
      <c r="V4833" s="38"/>
      <c r="W4833" s="60"/>
      <c r="AB4833" s="42"/>
      <c r="AC4833" s="35"/>
      <c r="AD4833" s="38"/>
      <c r="AE4833" s="38"/>
      <c r="AF4833" s="38"/>
      <c r="AG4833" s="38"/>
      <c r="AH4833" s="60"/>
    </row>
    <row r="4834" spans="1:34" ht="15.75" customHeight="1">
      <c r="A4834" s="251"/>
      <c r="B4834" s="38"/>
      <c r="C4834" s="37"/>
      <c r="D4834" s="20"/>
      <c r="E4834" s="20"/>
      <c r="F4834" s="37"/>
      <c r="G4834" s="37"/>
      <c r="H4834" s="37"/>
      <c r="I4834" s="19"/>
      <c r="J4834" s="155">
        <f t="shared" si="10"/>
        <v>0</v>
      </c>
      <c r="K4834" s="22"/>
      <c r="L4834" s="39"/>
      <c r="O4834" s="42"/>
      <c r="P4834" s="40"/>
      <c r="Q4834" s="61"/>
      <c r="R4834" s="61"/>
      <c r="S4834" s="40"/>
      <c r="T4834" s="38"/>
      <c r="U4834" s="38"/>
      <c r="V4834" s="38"/>
      <c r="W4834" s="60"/>
      <c r="AB4834" s="42"/>
      <c r="AC4834" s="35"/>
      <c r="AD4834" s="38"/>
      <c r="AE4834" s="38"/>
      <c r="AF4834" s="38"/>
      <c r="AG4834" s="38"/>
      <c r="AH4834" s="60"/>
    </row>
    <row r="4835" spans="1:34" ht="15.75" customHeight="1">
      <c r="A4835" s="35" t="s">
        <v>16969</v>
      </c>
      <c r="B4835" s="159" t="s">
        <v>16970</v>
      </c>
      <c r="C4835" s="37" t="s">
        <v>24</v>
      </c>
      <c r="D4835" s="20" t="s">
        <v>16971</v>
      </c>
      <c r="E4835" s="20" t="s">
        <v>16972</v>
      </c>
      <c r="F4835" s="19" t="s">
        <v>27</v>
      </c>
      <c r="G4835" s="19" t="s">
        <v>28</v>
      </c>
      <c r="H4835" s="19" t="s">
        <v>36</v>
      </c>
      <c r="I4835" s="19" t="s">
        <v>29</v>
      </c>
      <c r="J4835" s="155" t="str">
        <f t="shared" si="10"/>
        <v>TT</v>
      </c>
      <c r="K4835" s="22" t="s">
        <v>16972</v>
      </c>
      <c r="L4835" s="56">
        <v>45131</v>
      </c>
      <c r="M4835" s="40"/>
      <c r="O4835" s="42"/>
      <c r="P4835" s="40"/>
      <c r="Q4835" s="61"/>
      <c r="R4835" s="61"/>
      <c r="S4835" s="40"/>
      <c r="T4835" s="38"/>
      <c r="U4835" s="38"/>
      <c r="V4835" s="38"/>
      <c r="W4835" s="60"/>
      <c r="AB4835" s="42"/>
      <c r="AC4835" s="35"/>
      <c r="AD4835" s="38"/>
      <c r="AE4835" s="38"/>
      <c r="AF4835" s="38"/>
      <c r="AG4835" s="38"/>
      <c r="AH4835" s="60"/>
    </row>
    <row r="4836" spans="1:34" ht="15.75" customHeight="1">
      <c r="A4836" s="54" t="s">
        <v>2714</v>
      </c>
      <c r="B4836" s="158" t="s">
        <v>16973</v>
      </c>
      <c r="C4836" s="37" t="s">
        <v>87</v>
      </c>
      <c r="D4836" s="20" t="s">
        <v>16974</v>
      </c>
      <c r="E4836" s="20" t="s">
        <v>16975</v>
      </c>
      <c r="F4836" s="19" t="s">
        <v>90</v>
      </c>
      <c r="G4836" s="19" t="s">
        <v>91</v>
      </c>
      <c r="H4836" s="37" t="s">
        <v>55</v>
      </c>
      <c r="I4836" s="19" t="s">
        <v>29</v>
      </c>
      <c r="J4836" s="155" t="str">
        <f t="shared" si="10"/>
        <v>TT</v>
      </c>
      <c r="K4836" s="22" t="s">
        <v>16975</v>
      </c>
      <c r="L4836" s="56">
        <v>45131</v>
      </c>
      <c r="O4836" s="42"/>
      <c r="P4836" s="40"/>
      <c r="Q4836" s="61"/>
      <c r="R4836" s="61"/>
      <c r="S4836" s="40"/>
      <c r="T4836" s="38"/>
      <c r="U4836" s="38"/>
      <c r="V4836" s="38"/>
      <c r="W4836" s="60"/>
      <c r="AB4836" s="42"/>
      <c r="AC4836" s="35"/>
      <c r="AD4836" s="38"/>
      <c r="AE4836" s="38"/>
      <c r="AF4836" s="38"/>
      <c r="AG4836" s="38"/>
      <c r="AH4836" s="60"/>
    </row>
    <row r="4837" spans="1:34" ht="15.75" customHeight="1">
      <c r="A4837" s="114" t="s">
        <v>39</v>
      </c>
      <c r="B4837" s="158" t="s">
        <v>16976</v>
      </c>
      <c r="C4837" s="37" t="s">
        <v>46</v>
      </c>
      <c r="D4837" s="20" t="s">
        <v>16977</v>
      </c>
      <c r="E4837" s="20" t="s">
        <v>16978</v>
      </c>
      <c r="F4837" s="37" t="s">
        <v>49</v>
      </c>
      <c r="G4837" s="19" t="s">
        <v>50</v>
      </c>
      <c r="H4837" s="37" t="s">
        <v>55</v>
      </c>
      <c r="I4837" s="19" t="s">
        <v>29</v>
      </c>
      <c r="J4837" s="155" t="str">
        <f t="shared" si="10"/>
        <v>TT</v>
      </c>
      <c r="K4837" s="22" t="s">
        <v>16978</v>
      </c>
      <c r="L4837" s="56">
        <v>45131</v>
      </c>
      <c r="O4837" s="42"/>
      <c r="P4837" s="40"/>
      <c r="Q4837" s="61"/>
      <c r="R4837" s="61"/>
      <c r="S4837" s="40"/>
      <c r="T4837" s="38"/>
      <c r="U4837" s="38"/>
      <c r="V4837" s="38"/>
      <c r="W4837" s="60"/>
      <c r="AB4837" s="42"/>
      <c r="AC4837" s="35"/>
      <c r="AD4837" s="38"/>
      <c r="AE4837" s="38"/>
      <c r="AF4837" s="38"/>
      <c r="AG4837" s="38"/>
      <c r="AH4837" s="60"/>
    </row>
    <row r="4838" spans="1:34" ht="15.75" customHeight="1">
      <c r="A4838" s="38" t="s">
        <v>16979</v>
      </c>
      <c r="B4838" s="158" t="s">
        <v>16980</v>
      </c>
      <c r="C4838" s="37" t="s">
        <v>24</v>
      </c>
      <c r="D4838" s="20" t="s">
        <v>16981</v>
      </c>
      <c r="E4838" s="20" t="s">
        <v>16982</v>
      </c>
      <c r="F4838" s="19" t="s">
        <v>27</v>
      </c>
      <c r="G4838" s="19" t="s">
        <v>28</v>
      </c>
      <c r="H4838" s="37" t="s">
        <v>55</v>
      </c>
      <c r="I4838" s="19" t="s">
        <v>29</v>
      </c>
      <c r="J4838" s="155" t="str">
        <f t="shared" si="10"/>
        <v>TT</v>
      </c>
      <c r="K4838" s="22" t="s">
        <v>16982</v>
      </c>
      <c r="L4838" s="56">
        <v>45131</v>
      </c>
      <c r="O4838" s="42"/>
      <c r="P4838" s="40"/>
      <c r="Q4838" s="61"/>
      <c r="R4838" s="61"/>
      <c r="S4838" s="40"/>
      <c r="T4838" s="38"/>
      <c r="U4838" s="38"/>
      <c r="V4838" s="38"/>
      <c r="W4838" s="60"/>
      <c r="AB4838" s="42"/>
      <c r="AC4838" s="35"/>
      <c r="AD4838" s="38"/>
      <c r="AE4838" s="38"/>
      <c r="AF4838" s="38"/>
      <c r="AG4838" s="38"/>
      <c r="AH4838" s="60"/>
    </row>
    <row r="4839" spans="1:34" ht="15.75" customHeight="1">
      <c r="A4839" s="75" t="s">
        <v>13413</v>
      </c>
      <c r="B4839" s="158" t="s">
        <v>16983</v>
      </c>
      <c r="C4839" s="37" t="s">
        <v>24</v>
      </c>
      <c r="D4839" s="20" t="s">
        <v>16984</v>
      </c>
      <c r="E4839" s="20" t="s">
        <v>16985</v>
      </c>
      <c r="F4839" s="19" t="s">
        <v>27</v>
      </c>
      <c r="G4839" s="19" t="s">
        <v>28</v>
      </c>
      <c r="H4839" s="37" t="s">
        <v>55</v>
      </c>
      <c r="I4839" s="19" t="s">
        <v>29</v>
      </c>
      <c r="J4839" s="155" t="str">
        <f t="shared" si="10"/>
        <v>TT</v>
      </c>
      <c r="K4839" s="22" t="s">
        <v>16985</v>
      </c>
      <c r="L4839" s="56">
        <v>45131</v>
      </c>
      <c r="O4839" s="42"/>
      <c r="P4839" s="40"/>
      <c r="Q4839" s="61"/>
      <c r="R4839" s="61"/>
      <c r="S4839" s="40"/>
      <c r="T4839" s="38"/>
      <c r="U4839" s="38"/>
      <c r="V4839" s="38"/>
      <c r="W4839" s="60"/>
      <c r="AB4839" s="42"/>
      <c r="AC4839" s="35"/>
      <c r="AD4839" s="38"/>
      <c r="AE4839" s="38"/>
      <c r="AF4839" s="38"/>
      <c r="AG4839" s="38"/>
      <c r="AH4839" s="60"/>
    </row>
    <row r="4840" spans="1:34" ht="15.75" customHeight="1">
      <c r="A4840" s="50" t="s">
        <v>56</v>
      </c>
      <c r="B4840" s="158" t="s">
        <v>16986</v>
      </c>
      <c r="C4840" s="37" t="s">
        <v>24</v>
      </c>
      <c r="D4840" s="20" t="s">
        <v>16987</v>
      </c>
      <c r="E4840" s="20" t="s">
        <v>16988</v>
      </c>
      <c r="F4840" s="19" t="s">
        <v>27</v>
      </c>
      <c r="G4840" s="19" t="s">
        <v>28</v>
      </c>
      <c r="H4840" s="37" t="s">
        <v>55</v>
      </c>
      <c r="I4840" s="19" t="s">
        <v>29</v>
      </c>
      <c r="J4840" s="155" t="str">
        <f t="shared" si="10"/>
        <v>TT</v>
      </c>
      <c r="K4840" s="22" t="s">
        <v>16988</v>
      </c>
      <c r="L4840" s="56">
        <v>45131</v>
      </c>
      <c r="O4840" s="42"/>
      <c r="P4840" s="40"/>
      <c r="Q4840" s="61"/>
      <c r="R4840" s="61"/>
      <c r="S4840" s="40"/>
      <c r="T4840" s="38"/>
      <c r="U4840" s="38"/>
      <c r="V4840" s="38"/>
      <c r="W4840" s="60"/>
      <c r="AB4840" s="42"/>
      <c r="AC4840" s="35"/>
      <c r="AD4840" s="38"/>
      <c r="AE4840" s="38"/>
      <c r="AF4840" s="38"/>
      <c r="AG4840" s="38"/>
      <c r="AH4840" s="60"/>
    </row>
    <row r="4841" spans="1:34" ht="15.75" customHeight="1">
      <c r="A4841" s="17">
        <v>44</v>
      </c>
      <c r="B4841" s="158" t="s">
        <v>16989</v>
      </c>
      <c r="C4841" s="37" t="s">
        <v>87</v>
      </c>
      <c r="D4841" s="20" t="s">
        <v>16990</v>
      </c>
      <c r="E4841" s="20" t="s">
        <v>16991</v>
      </c>
      <c r="F4841" s="19" t="s">
        <v>90</v>
      </c>
      <c r="G4841" s="19" t="s">
        <v>91</v>
      </c>
      <c r="H4841" s="37" t="s">
        <v>55</v>
      </c>
      <c r="I4841" s="19" t="s">
        <v>29</v>
      </c>
      <c r="J4841" s="155" t="str">
        <f t="shared" si="10"/>
        <v>TT</v>
      </c>
      <c r="K4841" s="22" t="s">
        <v>16991</v>
      </c>
      <c r="L4841" s="56">
        <v>45131</v>
      </c>
      <c r="O4841" s="42"/>
      <c r="P4841" s="40"/>
      <c r="Q4841" s="61"/>
      <c r="R4841" s="61"/>
      <c r="S4841" s="40"/>
      <c r="T4841" s="38"/>
      <c r="U4841" s="38"/>
      <c r="V4841" s="38"/>
      <c r="W4841" s="60"/>
      <c r="AB4841" s="42"/>
      <c r="AC4841" s="35"/>
      <c r="AD4841" s="38"/>
      <c r="AE4841" s="38"/>
      <c r="AF4841" s="38"/>
      <c r="AG4841" s="38"/>
      <c r="AH4841" s="60"/>
    </row>
    <row r="4842" spans="1:34" ht="15.75" customHeight="1">
      <c r="A4842" s="111" t="s">
        <v>64</v>
      </c>
      <c r="B4842" s="158" t="s">
        <v>16992</v>
      </c>
      <c r="C4842" s="37" t="s">
        <v>87</v>
      </c>
      <c r="D4842" s="20" t="s">
        <v>16993</v>
      </c>
      <c r="E4842" s="20" t="s">
        <v>16994</v>
      </c>
      <c r="F4842" s="19" t="s">
        <v>90</v>
      </c>
      <c r="G4842" s="19" t="s">
        <v>91</v>
      </c>
      <c r="H4842" s="37" t="s">
        <v>55</v>
      </c>
      <c r="I4842" s="19" t="s">
        <v>29</v>
      </c>
      <c r="J4842" s="155" t="str">
        <f t="shared" si="10"/>
        <v>TT</v>
      </c>
      <c r="K4842" s="22" t="s">
        <v>16994</v>
      </c>
      <c r="L4842" s="56">
        <v>45131</v>
      </c>
      <c r="O4842" s="42"/>
      <c r="P4842" s="40"/>
      <c r="Q4842" s="61"/>
      <c r="R4842" s="61"/>
      <c r="S4842" s="40"/>
      <c r="T4842" s="38"/>
      <c r="U4842" s="38"/>
      <c r="V4842" s="38"/>
      <c r="W4842" s="60"/>
      <c r="AB4842" s="42"/>
      <c r="AC4842" s="35"/>
      <c r="AD4842" s="38"/>
      <c r="AE4842" s="38"/>
      <c r="AF4842" s="38"/>
      <c r="AG4842" s="38"/>
      <c r="AH4842" s="60"/>
    </row>
    <row r="4843" spans="1:34" ht="15.75" customHeight="1">
      <c r="A4843" s="75">
        <v>2.4</v>
      </c>
      <c r="B4843" s="158" t="s">
        <v>16995</v>
      </c>
      <c r="C4843" s="37" t="s">
        <v>46</v>
      </c>
      <c r="D4843" s="20" t="s">
        <v>16996</v>
      </c>
      <c r="E4843" s="20" t="s">
        <v>16997</v>
      </c>
      <c r="F4843" s="37" t="s">
        <v>49</v>
      </c>
      <c r="G4843" s="19" t="s">
        <v>50</v>
      </c>
      <c r="H4843" s="37" t="s">
        <v>55</v>
      </c>
      <c r="I4843" s="19" t="s">
        <v>29</v>
      </c>
      <c r="J4843" s="155" t="str">
        <f t="shared" si="10"/>
        <v>TT</v>
      </c>
      <c r="K4843" s="22" t="s">
        <v>16997</v>
      </c>
      <c r="L4843" s="56">
        <v>45131</v>
      </c>
      <c r="O4843" s="42"/>
      <c r="P4843" s="40"/>
      <c r="Q4843" s="61"/>
      <c r="R4843" s="61"/>
      <c r="S4843" s="40"/>
      <c r="T4843" s="38"/>
      <c r="U4843" s="38"/>
      <c r="V4843" s="38"/>
      <c r="W4843" s="60"/>
      <c r="AB4843" s="42"/>
      <c r="AC4843" s="35"/>
      <c r="AD4843" s="38"/>
      <c r="AE4843" s="38"/>
      <c r="AF4843" s="38"/>
      <c r="AG4843" s="38"/>
      <c r="AH4843" s="60"/>
    </row>
    <row r="4844" spans="1:34" ht="15.75" customHeight="1">
      <c r="A4844" s="111" t="s">
        <v>73</v>
      </c>
      <c r="B4844" s="158" t="s">
        <v>16998</v>
      </c>
      <c r="C4844" s="37" t="s">
        <v>87</v>
      </c>
      <c r="D4844" s="20" t="s">
        <v>16999</v>
      </c>
      <c r="E4844" s="20" t="s">
        <v>17000</v>
      </c>
      <c r="F4844" s="19" t="s">
        <v>90</v>
      </c>
      <c r="G4844" s="19" t="s">
        <v>91</v>
      </c>
      <c r="H4844" s="37" t="s">
        <v>55</v>
      </c>
      <c r="I4844" s="19" t="s">
        <v>29</v>
      </c>
      <c r="J4844" s="155" t="str">
        <f t="shared" si="10"/>
        <v>TT</v>
      </c>
      <c r="K4844" s="22" t="s">
        <v>17000</v>
      </c>
      <c r="L4844" s="56">
        <v>45131</v>
      </c>
      <c r="O4844" s="42"/>
      <c r="P4844" s="40"/>
      <c r="Q4844" s="61"/>
      <c r="R4844" s="61"/>
      <c r="S4844" s="40"/>
      <c r="T4844" s="38"/>
      <c r="U4844" s="38"/>
      <c r="V4844" s="38"/>
      <c r="W4844" s="60"/>
      <c r="AB4844" s="42"/>
      <c r="AC4844" s="35"/>
      <c r="AD4844" s="38"/>
      <c r="AE4844" s="38"/>
      <c r="AF4844" s="38"/>
      <c r="AG4844" s="38"/>
      <c r="AH4844" s="60"/>
    </row>
    <row r="4845" spans="1:34" ht="15.75" customHeight="1">
      <c r="A4845" s="75" t="s">
        <v>82</v>
      </c>
      <c r="B4845" s="158" t="s">
        <v>17001</v>
      </c>
      <c r="C4845" s="37" t="s">
        <v>24</v>
      </c>
      <c r="D4845" s="20" t="s">
        <v>17002</v>
      </c>
      <c r="E4845" s="20" t="s">
        <v>17003</v>
      </c>
      <c r="F4845" s="19" t="s">
        <v>27</v>
      </c>
      <c r="G4845" s="19" t="s">
        <v>28</v>
      </c>
      <c r="H4845" s="37" t="s">
        <v>55</v>
      </c>
      <c r="I4845" s="19" t="s">
        <v>29</v>
      </c>
      <c r="J4845" s="155" t="str">
        <f t="shared" si="10"/>
        <v>TT</v>
      </c>
      <c r="K4845" s="22" t="s">
        <v>17003</v>
      </c>
      <c r="L4845" s="56">
        <v>45131</v>
      </c>
      <c r="O4845" s="42"/>
      <c r="P4845" s="40"/>
      <c r="Q4845" s="61"/>
      <c r="R4845" s="61"/>
      <c r="S4845" s="40"/>
      <c r="T4845" s="38"/>
      <c r="U4845" s="38"/>
      <c r="V4845" s="38"/>
      <c r="W4845" s="60"/>
      <c r="AB4845" s="42"/>
      <c r="AC4845" s="35"/>
      <c r="AD4845" s="38"/>
      <c r="AE4845" s="38"/>
      <c r="AF4845" s="38"/>
      <c r="AG4845" s="38"/>
      <c r="AH4845" s="60"/>
    </row>
    <row r="4846" spans="1:34" ht="15.75" customHeight="1">
      <c r="A4846" s="111" t="s">
        <v>17004</v>
      </c>
      <c r="B4846" s="158" t="s">
        <v>17005</v>
      </c>
      <c r="C4846" s="37" t="s">
        <v>87</v>
      </c>
      <c r="D4846" s="20" t="s">
        <v>17006</v>
      </c>
      <c r="E4846" s="20" t="s">
        <v>17007</v>
      </c>
      <c r="F4846" s="19" t="s">
        <v>90</v>
      </c>
      <c r="G4846" s="19" t="s">
        <v>91</v>
      </c>
      <c r="H4846" s="37" t="s">
        <v>55</v>
      </c>
      <c r="I4846" s="19" t="s">
        <v>29</v>
      </c>
      <c r="J4846" s="155" t="str">
        <f t="shared" si="10"/>
        <v>TT</v>
      </c>
      <c r="K4846" s="22" t="s">
        <v>17007</v>
      </c>
      <c r="L4846" s="56">
        <v>45131</v>
      </c>
      <c r="O4846" s="42"/>
      <c r="P4846" s="40"/>
      <c r="Q4846" s="61"/>
      <c r="R4846" s="61"/>
      <c r="S4846" s="40"/>
      <c r="T4846" s="38"/>
      <c r="U4846" s="38"/>
      <c r="V4846" s="38"/>
      <c r="W4846" s="60"/>
      <c r="AB4846" s="42"/>
      <c r="AC4846" s="35"/>
      <c r="AD4846" s="38"/>
      <c r="AE4846" s="38"/>
      <c r="AF4846" s="38"/>
      <c r="AG4846" s="38"/>
      <c r="AH4846" s="60"/>
    </row>
    <row r="4847" spans="1:34" ht="15.75" customHeight="1">
      <c r="A4847" s="112" t="s">
        <v>17008</v>
      </c>
      <c r="B4847" s="158" t="s">
        <v>17009</v>
      </c>
      <c r="C4847" s="37" t="s">
        <v>87</v>
      </c>
      <c r="D4847" s="20" t="s">
        <v>17010</v>
      </c>
      <c r="E4847" s="20" t="s">
        <v>17011</v>
      </c>
      <c r="F4847" s="19" t="s">
        <v>90</v>
      </c>
      <c r="G4847" s="19" t="s">
        <v>91</v>
      </c>
      <c r="H4847" s="37" t="s">
        <v>55</v>
      </c>
      <c r="I4847" s="19" t="s">
        <v>29</v>
      </c>
      <c r="J4847" s="155" t="str">
        <f t="shared" si="10"/>
        <v>TT</v>
      </c>
      <c r="K4847" s="22" t="s">
        <v>17011</v>
      </c>
      <c r="L4847" s="56">
        <v>45131</v>
      </c>
      <c r="O4847" s="42"/>
      <c r="P4847" s="40"/>
      <c r="Q4847" s="61"/>
      <c r="R4847" s="61"/>
      <c r="S4847" s="40"/>
      <c r="T4847" s="38"/>
      <c r="U4847" s="38"/>
      <c r="V4847" s="38"/>
      <c r="W4847" s="60"/>
      <c r="AB4847" s="42"/>
      <c r="AC4847" s="35"/>
      <c r="AD4847" s="38"/>
      <c r="AE4847" s="38"/>
      <c r="AF4847" s="38"/>
      <c r="AG4847" s="38"/>
      <c r="AH4847" s="60"/>
    </row>
    <row r="4848" spans="1:34" ht="15.75" customHeight="1">
      <c r="A4848" s="111" t="s">
        <v>92</v>
      </c>
      <c r="B4848" s="38"/>
      <c r="C4848" s="37"/>
      <c r="D4848" s="20"/>
      <c r="E4848" s="20"/>
      <c r="F4848" s="37"/>
      <c r="G4848" s="37"/>
      <c r="H4848" s="37"/>
      <c r="I4848" s="19"/>
      <c r="J4848" s="155">
        <f t="shared" si="10"/>
        <v>0</v>
      </c>
      <c r="K4848" s="22"/>
      <c r="L4848" s="39"/>
      <c r="O4848" s="42"/>
      <c r="P4848" s="40"/>
      <c r="Q4848" s="61"/>
      <c r="R4848" s="61"/>
      <c r="S4848" s="40"/>
      <c r="T4848" s="38"/>
      <c r="U4848" s="38"/>
      <c r="V4848" s="38"/>
      <c r="W4848" s="60"/>
      <c r="AB4848" s="42"/>
      <c r="AC4848" s="35"/>
      <c r="AD4848" s="38"/>
      <c r="AE4848" s="38"/>
      <c r="AF4848" s="38"/>
      <c r="AG4848" s="38"/>
      <c r="AH4848" s="60"/>
    </row>
    <row r="4849" spans="1:34" ht="15.75" customHeight="1">
      <c r="A4849" s="17">
        <v>243</v>
      </c>
      <c r="B4849" s="38"/>
      <c r="C4849" s="37"/>
      <c r="D4849" s="20"/>
      <c r="E4849" s="20"/>
      <c r="F4849" s="37"/>
      <c r="G4849" s="37"/>
      <c r="H4849" s="37"/>
      <c r="I4849" s="19"/>
      <c r="J4849" s="155">
        <f t="shared" si="10"/>
        <v>0</v>
      </c>
      <c r="K4849" s="22"/>
      <c r="L4849" s="39"/>
      <c r="O4849" s="42"/>
      <c r="P4849" s="40"/>
      <c r="Q4849" s="61"/>
      <c r="R4849" s="61"/>
      <c r="S4849" s="40"/>
      <c r="T4849" s="38"/>
      <c r="U4849" s="38"/>
      <c r="V4849" s="38"/>
      <c r="W4849" s="60"/>
      <c r="AB4849" s="42"/>
      <c r="AC4849" s="35"/>
      <c r="AD4849" s="38"/>
      <c r="AE4849" s="38"/>
      <c r="AF4849" s="38"/>
      <c r="AG4849" s="38"/>
      <c r="AH4849" s="60"/>
    </row>
    <row r="4850" spans="1:34" ht="15.75" customHeight="1">
      <c r="A4850" s="111" t="s">
        <v>100</v>
      </c>
      <c r="B4850" s="38"/>
      <c r="C4850" s="37"/>
      <c r="D4850" s="20"/>
      <c r="E4850" s="20"/>
      <c r="F4850" s="37"/>
      <c r="G4850" s="37"/>
      <c r="H4850" s="37"/>
      <c r="I4850" s="19"/>
      <c r="J4850" s="155">
        <f t="shared" si="10"/>
        <v>0</v>
      </c>
      <c r="K4850" s="22"/>
      <c r="L4850" s="39"/>
      <c r="O4850" s="42"/>
      <c r="P4850" s="40"/>
      <c r="Q4850" s="61"/>
      <c r="R4850" s="61"/>
      <c r="S4850" s="40"/>
      <c r="T4850" s="38"/>
      <c r="U4850" s="38"/>
      <c r="V4850" s="38"/>
      <c r="W4850" s="60"/>
      <c r="AB4850" s="42"/>
      <c r="AC4850" s="35"/>
      <c r="AD4850" s="38"/>
      <c r="AE4850" s="38"/>
      <c r="AF4850" s="38"/>
      <c r="AG4850" s="38"/>
      <c r="AH4850" s="60"/>
    </row>
    <row r="4851" spans="1:34" ht="15.75" customHeight="1">
      <c r="A4851" s="17">
        <v>163</v>
      </c>
      <c r="B4851" s="38"/>
      <c r="C4851" s="19"/>
      <c r="D4851" s="20"/>
      <c r="E4851" s="20"/>
      <c r="F4851" s="19"/>
      <c r="G4851" s="19"/>
      <c r="H4851" s="19"/>
      <c r="I4851" s="19"/>
      <c r="J4851" s="155">
        <f t="shared" si="10"/>
        <v>0</v>
      </c>
      <c r="K4851" s="22"/>
      <c r="L4851" s="39"/>
      <c r="O4851" s="42"/>
      <c r="P4851" s="40"/>
      <c r="Q4851" s="61"/>
      <c r="R4851" s="61"/>
      <c r="S4851" s="40"/>
      <c r="T4851" s="38"/>
      <c r="U4851" s="38"/>
      <c r="V4851" s="38"/>
      <c r="W4851" s="60"/>
      <c r="AB4851" s="42"/>
      <c r="AC4851" s="35"/>
      <c r="AD4851" s="38"/>
      <c r="AE4851" s="38"/>
      <c r="AF4851" s="38"/>
      <c r="AG4851" s="38"/>
      <c r="AH4851" s="60"/>
    </row>
    <row r="4852" spans="1:34" ht="15.75" customHeight="1">
      <c r="A4852" s="35"/>
      <c r="B4852" s="38"/>
      <c r="C4852" s="19"/>
      <c r="D4852" s="20"/>
      <c r="E4852" s="20"/>
      <c r="F4852" s="19"/>
      <c r="G4852" s="19"/>
      <c r="H4852" s="19"/>
      <c r="I4852" s="19"/>
      <c r="J4852" s="155">
        <f t="shared" si="10"/>
        <v>0</v>
      </c>
      <c r="K4852" s="22"/>
      <c r="L4852" s="39"/>
      <c r="O4852" s="42"/>
      <c r="P4852" s="40"/>
      <c r="Q4852" s="61"/>
      <c r="R4852" s="61"/>
      <c r="S4852" s="40"/>
      <c r="T4852" s="38"/>
      <c r="U4852" s="38"/>
      <c r="V4852" s="38"/>
      <c r="W4852" s="60"/>
      <c r="AB4852" s="42"/>
      <c r="AC4852" s="35"/>
      <c r="AD4852" s="38"/>
      <c r="AE4852" s="38"/>
      <c r="AF4852" s="38"/>
      <c r="AG4852" s="38"/>
      <c r="AH4852" s="60"/>
    </row>
    <row r="4853" spans="1:34" ht="15.75" customHeight="1">
      <c r="A4853" s="35" t="s">
        <v>17012</v>
      </c>
      <c r="B4853" s="81" t="s">
        <v>17013</v>
      </c>
      <c r="C4853" s="37" t="s">
        <v>24</v>
      </c>
      <c r="D4853" s="20" t="s">
        <v>17014</v>
      </c>
      <c r="E4853" s="20"/>
      <c r="F4853" s="19" t="s">
        <v>27</v>
      </c>
      <c r="G4853" s="19" t="s">
        <v>28</v>
      </c>
      <c r="H4853" s="37" t="s">
        <v>55</v>
      </c>
      <c r="I4853" s="37" t="s">
        <v>29</v>
      </c>
      <c r="J4853" s="155" t="str">
        <f t="shared" si="10"/>
        <v>TT</v>
      </c>
      <c r="K4853" s="22"/>
      <c r="L4853" s="56">
        <v>45131</v>
      </c>
      <c r="M4853" s="40"/>
      <c r="O4853" s="42"/>
      <c r="P4853" s="40"/>
      <c r="Q4853" s="61"/>
      <c r="R4853" s="61"/>
      <c r="S4853" s="40"/>
      <c r="T4853" s="38"/>
      <c r="U4853" s="38"/>
      <c r="V4853" s="38"/>
      <c r="W4853" s="60"/>
      <c r="AB4853" s="42"/>
      <c r="AC4853" s="35"/>
      <c r="AD4853" s="38"/>
      <c r="AE4853" s="38"/>
      <c r="AF4853" s="38"/>
      <c r="AG4853" s="38"/>
      <c r="AH4853" s="60"/>
    </row>
    <row r="4854" spans="1:34" ht="15.75" customHeight="1">
      <c r="A4854" s="54" t="s">
        <v>3888</v>
      </c>
      <c r="B4854" s="158" t="s">
        <v>17015</v>
      </c>
      <c r="C4854" s="37" t="s">
        <v>46</v>
      </c>
      <c r="D4854" s="20" t="s">
        <v>17016</v>
      </c>
      <c r="E4854" s="20" t="s">
        <v>17017</v>
      </c>
      <c r="F4854" s="37" t="s">
        <v>49</v>
      </c>
      <c r="G4854" s="19" t="s">
        <v>50</v>
      </c>
      <c r="H4854" s="37" t="s">
        <v>55</v>
      </c>
      <c r="I4854" s="37" t="s">
        <v>29</v>
      </c>
      <c r="J4854" s="155" t="str">
        <f t="shared" si="10"/>
        <v>TT</v>
      </c>
      <c r="K4854" s="22" t="s">
        <v>17018</v>
      </c>
      <c r="L4854" s="56">
        <v>45131</v>
      </c>
      <c r="O4854" s="42"/>
      <c r="P4854" s="40"/>
      <c r="Q4854" s="61"/>
      <c r="R4854" s="61"/>
      <c r="S4854" s="40"/>
      <c r="T4854" s="38"/>
      <c r="U4854" s="38"/>
      <c r="V4854" s="38"/>
      <c r="W4854" s="60"/>
      <c r="AB4854" s="42"/>
      <c r="AC4854" s="35"/>
      <c r="AD4854" s="38"/>
      <c r="AE4854" s="38"/>
      <c r="AF4854" s="38"/>
      <c r="AG4854" s="38"/>
      <c r="AH4854" s="60"/>
    </row>
    <row r="4855" spans="1:34" ht="15.75" customHeight="1">
      <c r="A4855" s="114" t="s">
        <v>39</v>
      </c>
      <c r="B4855" s="158" t="s">
        <v>17019</v>
      </c>
      <c r="C4855" s="37" t="s">
        <v>24</v>
      </c>
      <c r="D4855" s="20" t="s">
        <v>17020</v>
      </c>
      <c r="E4855" s="20" t="s">
        <v>17021</v>
      </c>
      <c r="F4855" s="19" t="s">
        <v>27</v>
      </c>
      <c r="G4855" s="19" t="s">
        <v>28</v>
      </c>
      <c r="H4855" s="37" t="s">
        <v>55</v>
      </c>
      <c r="I4855" s="37" t="s">
        <v>29</v>
      </c>
      <c r="J4855" s="155" t="str">
        <f t="shared" si="10"/>
        <v>TT</v>
      </c>
      <c r="K4855" s="22" t="s">
        <v>17022</v>
      </c>
      <c r="L4855" s="56">
        <v>45131</v>
      </c>
      <c r="O4855" s="42"/>
      <c r="P4855" s="40"/>
      <c r="Q4855" s="61"/>
      <c r="R4855" s="61"/>
      <c r="S4855" s="40"/>
      <c r="T4855" s="38"/>
      <c r="U4855" s="38"/>
      <c r="V4855" s="38"/>
      <c r="W4855" s="60"/>
      <c r="AB4855" s="42"/>
      <c r="AC4855" s="35"/>
      <c r="AD4855" s="38"/>
      <c r="AE4855" s="38"/>
      <c r="AF4855" s="38"/>
      <c r="AG4855" s="38"/>
      <c r="AH4855" s="60"/>
    </row>
    <row r="4856" spans="1:34" ht="15.75" customHeight="1">
      <c r="A4856" s="38" t="s">
        <v>16979</v>
      </c>
      <c r="B4856" s="158" t="s">
        <v>17023</v>
      </c>
      <c r="C4856" s="37" t="s">
        <v>24</v>
      </c>
      <c r="D4856" s="20" t="s">
        <v>17024</v>
      </c>
      <c r="E4856" s="20" t="s">
        <v>17025</v>
      </c>
      <c r="F4856" s="19" t="s">
        <v>27</v>
      </c>
      <c r="G4856" s="19" t="s">
        <v>28</v>
      </c>
      <c r="H4856" s="37" t="s">
        <v>55</v>
      </c>
      <c r="I4856" s="37" t="s">
        <v>29</v>
      </c>
      <c r="J4856" s="155" t="str">
        <f t="shared" si="10"/>
        <v>TT</v>
      </c>
      <c r="K4856" s="22" t="s">
        <v>17026</v>
      </c>
      <c r="L4856" s="56">
        <v>45131</v>
      </c>
      <c r="O4856" s="42"/>
      <c r="P4856" s="40"/>
      <c r="Q4856" s="61"/>
      <c r="R4856" s="61"/>
      <c r="S4856" s="40"/>
      <c r="T4856" s="38"/>
      <c r="U4856" s="38"/>
      <c r="V4856" s="38"/>
      <c r="W4856" s="60"/>
      <c r="AB4856" s="42"/>
      <c r="AC4856" s="35"/>
      <c r="AD4856" s="38"/>
      <c r="AE4856" s="38"/>
      <c r="AF4856" s="38"/>
      <c r="AG4856" s="38"/>
      <c r="AH4856" s="60"/>
    </row>
    <row r="4857" spans="1:34" ht="15.75" customHeight="1">
      <c r="A4857" s="75" t="s">
        <v>17027</v>
      </c>
      <c r="B4857" s="158" t="s">
        <v>17028</v>
      </c>
      <c r="C4857" s="37" t="s">
        <v>24</v>
      </c>
      <c r="D4857" s="20" t="s">
        <v>17029</v>
      </c>
      <c r="E4857" s="20"/>
      <c r="F4857" s="19" t="s">
        <v>27</v>
      </c>
      <c r="G4857" s="19" t="s">
        <v>28</v>
      </c>
      <c r="H4857" s="37" t="s">
        <v>55</v>
      </c>
      <c r="I4857" s="37" t="s">
        <v>29</v>
      </c>
      <c r="J4857" s="155" t="str">
        <f t="shared" si="10"/>
        <v>TT</v>
      </c>
      <c r="K4857" s="22"/>
      <c r="L4857" s="56">
        <v>45131</v>
      </c>
      <c r="O4857" s="42"/>
      <c r="P4857" s="40"/>
      <c r="Q4857" s="61"/>
      <c r="R4857" s="61"/>
      <c r="S4857" s="40"/>
      <c r="T4857" s="38"/>
      <c r="U4857" s="38"/>
      <c r="V4857" s="38"/>
      <c r="W4857" s="60"/>
      <c r="AB4857" s="42"/>
      <c r="AC4857" s="35"/>
      <c r="AD4857" s="38"/>
      <c r="AE4857" s="38"/>
      <c r="AF4857" s="38"/>
      <c r="AG4857" s="38"/>
      <c r="AH4857" s="60"/>
    </row>
    <row r="4858" spans="1:34" ht="15.75" customHeight="1">
      <c r="A4858" s="50" t="s">
        <v>56</v>
      </c>
      <c r="B4858" s="158" t="s">
        <v>17030</v>
      </c>
      <c r="C4858" s="37" t="s">
        <v>24</v>
      </c>
      <c r="D4858" s="20" t="s">
        <v>17031</v>
      </c>
      <c r="E4858" s="20" t="s">
        <v>17032</v>
      </c>
      <c r="F4858" s="19" t="s">
        <v>27</v>
      </c>
      <c r="G4858" s="19" t="s">
        <v>28</v>
      </c>
      <c r="H4858" s="37" t="s">
        <v>55</v>
      </c>
      <c r="I4858" s="37" t="s">
        <v>29</v>
      </c>
      <c r="J4858" s="155" t="str">
        <f t="shared" si="10"/>
        <v>TT</v>
      </c>
      <c r="K4858" s="22" t="s">
        <v>17033</v>
      </c>
      <c r="L4858" s="56">
        <v>45131</v>
      </c>
      <c r="O4858" s="42"/>
      <c r="P4858" s="40"/>
      <c r="Q4858" s="61"/>
      <c r="R4858" s="61"/>
      <c r="S4858" s="40"/>
      <c r="T4858" s="38"/>
      <c r="U4858" s="38"/>
      <c r="V4858" s="38"/>
      <c r="W4858" s="60"/>
      <c r="AB4858" s="42"/>
      <c r="AC4858" s="35"/>
      <c r="AD4858" s="38"/>
      <c r="AE4858" s="38"/>
      <c r="AF4858" s="38"/>
      <c r="AG4858" s="38"/>
      <c r="AH4858" s="60"/>
    </row>
    <row r="4859" spans="1:34" ht="15.75" customHeight="1">
      <c r="A4859" s="17">
        <v>37</v>
      </c>
      <c r="B4859" s="158" t="s">
        <v>17034</v>
      </c>
      <c r="C4859" s="37" t="s">
        <v>24</v>
      </c>
      <c r="D4859" s="20" t="s">
        <v>17035</v>
      </c>
      <c r="E4859" s="20" t="s">
        <v>17036</v>
      </c>
      <c r="F4859" s="19" t="s">
        <v>27</v>
      </c>
      <c r="G4859" s="19" t="s">
        <v>28</v>
      </c>
      <c r="H4859" s="37" t="s">
        <v>55</v>
      </c>
      <c r="I4859" s="37" t="s">
        <v>29</v>
      </c>
      <c r="J4859" s="155" t="str">
        <f t="shared" si="10"/>
        <v>TT</v>
      </c>
      <c r="K4859" s="22" t="s">
        <v>17037</v>
      </c>
      <c r="L4859" s="56">
        <v>45131</v>
      </c>
      <c r="O4859" s="42"/>
      <c r="P4859" s="40"/>
      <c r="Q4859" s="61"/>
      <c r="R4859" s="61"/>
      <c r="S4859" s="40"/>
      <c r="T4859" s="38"/>
      <c r="U4859" s="38"/>
      <c r="V4859" s="38"/>
      <c r="W4859" s="60"/>
      <c r="AB4859" s="42"/>
      <c r="AC4859" s="35"/>
      <c r="AD4859" s="38"/>
      <c r="AE4859" s="38"/>
      <c r="AF4859" s="38"/>
      <c r="AG4859" s="38"/>
      <c r="AH4859" s="60"/>
    </row>
    <row r="4860" spans="1:34" ht="15.75" customHeight="1">
      <c r="A4860" s="111" t="s">
        <v>64</v>
      </c>
      <c r="B4860" s="158" t="s">
        <v>17038</v>
      </c>
      <c r="C4860" s="37" t="s">
        <v>24</v>
      </c>
      <c r="D4860" s="20" t="s">
        <v>17039</v>
      </c>
      <c r="E4860" s="20"/>
      <c r="F4860" s="19" t="s">
        <v>27</v>
      </c>
      <c r="G4860" s="19" t="s">
        <v>28</v>
      </c>
      <c r="H4860" s="37" t="s">
        <v>55</v>
      </c>
      <c r="I4860" s="37" t="s">
        <v>29</v>
      </c>
      <c r="J4860" s="155" t="str">
        <f t="shared" si="10"/>
        <v>TT</v>
      </c>
      <c r="K4860" s="22"/>
      <c r="L4860" s="56">
        <v>45131</v>
      </c>
      <c r="O4860" s="42"/>
      <c r="P4860" s="40"/>
      <c r="Q4860" s="61"/>
      <c r="R4860" s="61"/>
      <c r="S4860" s="40"/>
      <c r="T4860" s="38"/>
      <c r="U4860" s="38"/>
      <c r="V4860" s="38"/>
      <c r="W4860" s="60"/>
      <c r="AB4860" s="42"/>
      <c r="AC4860" s="35"/>
      <c r="AD4860" s="38"/>
      <c r="AE4860" s="38"/>
      <c r="AF4860" s="38"/>
      <c r="AG4860" s="38"/>
      <c r="AH4860" s="60"/>
    </row>
    <row r="4861" spans="1:34" ht="15.75" customHeight="1">
      <c r="A4861" s="75">
        <v>2.4</v>
      </c>
      <c r="B4861" s="158" t="s">
        <v>17040</v>
      </c>
      <c r="C4861" s="37" t="s">
        <v>24</v>
      </c>
      <c r="D4861" s="20" t="s">
        <v>17041</v>
      </c>
      <c r="E4861" s="20"/>
      <c r="F4861" s="19" t="s">
        <v>27</v>
      </c>
      <c r="G4861" s="19" t="s">
        <v>28</v>
      </c>
      <c r="H4861" s="37" t="s">
        <v>55</v>
      </c>
      <c r="I4861" s="37" t="s">
        <v>29</v>
      </c>
      <c r="J4861" s="155" t="str">
        <f t="shared" si="10"/>
        <v>TT</v>
      </c>
      <c r="K4861" s="22"/>
      <c r="L4861" s="56">
        <v>45131</v>
      </c>
      <c r="O4861" s="42"/>
      <c r="P4861" s="40"/>
      <c r="Q4861" s="61"/>
      <c r="R4861" s="61"/>
      <c r="S4861" s="40"/>
      <c r="T4861" s="38"/>
      <c r="U4861" s="38"/>
      <c r="V4861" s="38"/>
      <c r="W4861" s="60"/>
      <c r="AB4861" s="42"/>
      <c r="AC4861" s="35"/>
      <c r="AD4861" s="38"/>
      <c r="AE4861" s="38"/>
      <c r="AF4861" s="38"/>
      <c r="AG4861" s="38"/>
      <c r="AH4861" s="60"/>
    </row>
    <row r="4862" spans="1:34" ht="15.75" customHeight="1">
      <c r="A4862" s="111" t="s">
        <v>73</v>
      </c>
      <c r="B4862" s="38"/>
      <c r="C4862" s="19"/>
      <c r="D4862" s="20"/>
      <c r="E4862" s="20"/>
      <c r="F4862" s="19"/>
      <c r="G4862" s="19"/>
      <c r="H4862" s="19"/>
      <c r="I4862" s="19"/>
      <c r="J4862" s="155">
        <f t="shared" si="10"/>
        <v>0</v>
      </c>
      <c r="K4862" s="22"/>
      <c r="L4862" s="39"/>
      <c r="O4862" s="42"/>
      <c r="P4862" s="40"/>
      <c r="Q4862" s="61"/>
      <c r="R4862" s="61"/>
      <c r="S4862" s="40"/>
      <c r="T4862" s="38"/>
      <c r="U4862" s="38"/>
      <c r="V4862" s="38"/>
      <c r="W4862" s="60"/>
      <c r="AB4862" s="42"/>
      <c r="AC4862" s="35"/>
      <c r="AD4862" s="38"/>
      <c r="AE4862" s="38"/>
      <c r="AF4862" s="38"/>
      <c r="AG4862" s="38"/>
      <c r="AH4862" s="60"/>
    </row>
    <row r="4863" spans="1:34" ht="15.75" customHeight="1">
      <c r="A4863" s="75">
        <v>3.1</v>
      </c>
      <c r="B4863" s="38"/>
      <c r="C4863" s="19"/>
      <c r="D4863" s="20"/>
      <c r="E4863" s="20"/>
      <c r="F4863" s="19"/>
      <c r="G4863" s="19"/>
      <c r="H4863" s="19"/>
      <c r="I4863" s="19"/>
      <c r="J4863" s="155">
        <f t="shared" si="10"/>
        <v>0</v>
      </c>
      <c r="K4863" s="22"/>
      <c r="L4863" s="39"/>
      <c r="O4863" s="42"/>
      <c r="P4863" s="40"/>
      <c r="Q4863" s="61"/>
      <c r="R4863" s="61"/>
      <c r="S4863" s="40"/>
      <c r="T4863" s="38"/>
      <c r="U4863" s="38"/>
      <c r="V4863" s="38"/>
      <c r="W4863" s="60"/>
      <c r="AB4863" s="42"/>
      <c r="AC4863" s="35"/>
      <c r="AD4863" s="38"/>
      <c r="AE4863" s="38"/>
      <c r="AF4863" s="38"/>
      <c r="AG4863" s="38"/>
      <c r="AH4863" s="60"/>
    </row>
    <row r="4864" spans="1:34" ht="15.75" customHeight="1">
      <c r="A4864" s="111" t="s">
        <v>82</v>
      </c>
      <c r="B4864" s="38"/>
      <c r="C4864" s="19"/>
      <c r="D4864" s="20"/>
      <c r="E4864" s="20"/>
      <c r="F4864" s="19"/>
      <c r="G4864" s="19"/>
      <c r="H4864" s="19"/>
      <c r="I4864" s="19"/>
      <c r="J4864" s="155">
        <f t="shared" si="10"/>
        <v>0</v>
      </c>
      <c r="K4864" s="22"/>
      <c r="L4864" s="39"/>
      <c r="O4864" s="42"/>
      <c r="P4864" s="40"/>
      <c r="Q4864" s="61"/>
      <c r="R4864" s="61"/>
      <c r="S4864" s="40"/>
      <c r="T4864" s="38"/>
      <c r="U4864" s="38"/>
      <c r="V4864" s="38"/>
      <c r="W4864" s="60"/>
      <c r="AB4864" s="42"/>
      <c r="AC4864" s="35"/>
      <c r="AD4864" s="38"/>
      <c r="AE4864" s="38"/>
      <c r="AF4864" s="38"/>
      <c r="AG4864" s="38"/>
      <c r="AH4864" s="60"/>
    </row>
    <row r="4865" spans="1:34" ht="15.75" customHeight="1">
      <c r="A4865" s="112" t="s">
        <v>17042</v>
      </c>
      <c r="B4865" s="38"/>
      <c r="C4865" s="19"/>
      <c r="D4865" s="20"/>
      <c r="E4865" s="20"/>
      <c r="F4865" s="19"/>
      <c r="G4865" s="19"/>
      <c r="H4865" s="19"/>
      <c r="I4865" s="19"/>
      <c r="J4865" s="155">
        <f t="shared" si="10"/>
        <v>0</v>
      </c>
      <c r="K4865" s="22"/>
      <c r="L4865" s="39"/>
      <c r="O4865" s="42"/>
      <c r="P4865" s="40"/>
      <c r="Q4865" s="61"/>
      <c r="R4865" s="61"/>
      <c r="S4865" s="40"/>
      <c r="T4865" s="38"/>
      <c r="U4865" s="38"/>
      <c r="V4865" s="38"/>
      <c r="W4865" s="60"/>
      <c r="AB4865" s="42"/>
      <c r="AC4865" s="35"/>
      <c r="AD4865" s="38"/>
      <c r="AE4865" s="38"/>
      <c r="AF4865" s="38"/>
      <c r="AG4865" s="38"/>
      <c r="AH4865" s="60"/>
    </row>
    <row r="4866" spans="1:34" ht="15.75" customHeight="1">
      <c r="A4866" s="111" t="s">
        <v>92</v>
      </c>
      <c r="B4866" s="38"/>
      <c r="C4866" s="19"/>
      <c r="D4866" s="20"/>
      <c r="E4866" s="20"/>
      <c r="F4866" s="19"/>
      <c r="G4866" s="19"/>
      <c r="H4866" s="19"/>
      <c r="I4866" s="19"/>
      <c r="J4866" s="155">
        <f t="shared" si="10"/>
        <v>0</v>
      </c>
      <c r="K4866" s="22"/>
      <c r="L4866" s="39"/>
      <c r="O4866" s="42"/>
      <c r="P4866" s="40"/>
      <c r="Q4866" s="61"/>
      <c r="R4866" s="61"/>
      <c r="S4866" s="40"/>
      <c r="T4866" s="38"/>
      <c r="U4866" s="38"/>
      <c r="V4866" s="38"/>
      <c r="W4866" s="60"/>
      <c r="AB4866" s="42"/>
      <c r="AC4866" s="35"/>
      <c r="AD4866" s="38"/>
      <c r="AE4866" s="38"/>
      <c r="AF4866" s="38"/>
      <c r="AG4866" s="38"/>
      <c r="AH4866" s="60"/>
    </row>
    <row r="4867" spans="1:34" ht="15.75" customHeight="1">
      <c r="A4867" s="17">
        <v>70</v>
      </c>
      <c r="B4867" s="38"/>
      <c r="C4867" s="19"/>
      <c r="D4867" s="20"/>
      <c r="E4867" s="20"/>
      <c r="F4867" s="19"/>
      <c r="G4867" s="19"/>
      <c r="H4867" s="19"/>
      <c r="I4867" s="19"/>
      <c r="J4867" s="155">
        <f t="shared" si="10"/>
        <v>0</v>
      </c>
      <c r="K4867" s="22"/>
      <c r="L4867" s="39"/>
      <c r="O4867" s="42"/>
      <c r="P4867" s="40"/>
      <c r="Q4867" s="61"/>
      <c r="R4867" s="61"/>
      <c r="S4867" s="40"/>
      <c r="T4867" s="38"/>
      <c r="U4867" s="38"/>
      <c r="V4867" s="38"/>
      <c r="W4867" s="60"/>
      <c r="AB4867" s="42"/>
      <c r="AC4867" s="35"/>
      <c r="AD4867" s="38"/>
      <c r="AE4867" s="38"/>
      <c r="AF4867" s="38"/>
      <c r="AG4867" s="38"/>
      <c r="AH4867" s="60"/>
    </row>
    <row r="4868" spans="1:34" ht="15.75" customHeight="1">
      <c r="A4868" s="111" t="s">
        <v>100</v>
      </c>
      <c r="B4868" s="38"/>
      <c r="C4868" s="19"/>
      <c r="D4868" s="20"/>
      <c r="E4868" s="20"/>
      <c r="F4868" s="19"/>
      <c r="G4868" s="19"/>
      <c r="H4868" s="19"/>
      <c r="I4868" s="19"/>
      <c r="J4868" s="155">
        <f t="shared" si="10"/>
        <v>0</v>
      </c>
      <c r="K4868" s="22"/>
      <c r="L4868" s="39"/>
      <c r="O4868" s="42"/>
      <c r="P4868" s="40"/>
      <c r="Q4868" s="61"/>
      <c r="R4868" s="61"/>
      <c r="S4868" s="40"/>
      <c r="T4868" s="38"/>
      <c r="U4868" s="38"/>
      <c r="V4868" s="38"/>
      <c r="W4868" s="60"/>
      <c r="AB4868" s="42"/>
      <c r="AC4868" s="35"/>
      <c r="AD4868" s="38"/>
      <c r="AE4868" s="38"/>
      <c r="AF4868" s="38"/>
      <c r="AG4868" s="38"/>
      <c r="AH4868" s="60"/>
    </row>
    <row r="4869" spans="1:34" ht="15.75" customHeight="1">
      <c r="A4869" s="17" t="s">
        <v>55</v>
      </c>
      <c r="B4869" s="38"/>
      <c r="C4869" s="19"/>
      <c r="D4869" s="20"/>
      <c r="E4869" s="20"/>
      <c r="F4869" s="19"/>
      <c r="G4869" s="19"/>
      <c r="H4869" s="19"/>
      <c r="I4869" s="21"/>
      <c r="J4869" s="155">
        <f t="shared" si="10"/>
        <v>0</v>
      </c>
      <c r="K4869" s="22"/>
      <c r="L4869" s="39"/>
      <c r="O4869" s="42"/>
      <c r="P4869" s="40"/>
      <c r="Q4869" s="61"/>
      <c r="R4869" s="61"/>
      <c r="S4869" s="40"/>
      <c r="T4869" s="38"/>
      <c r="U4869" s="38"/>
      <c r="V4869" s="38"/>
      <c r="W4869" s="60"/>
      <c r="AB4869" s="42"/>
      <c r="AC4869" s="35"/>
      <c r="AD4869" s="38"/>
      <c r="AE4869" s="38"/>
      <c r="AF4869" s="38"/>
      <c r="AG4869" s="38"/>
      <c r="AH4869" s="60"/>
    </row>
    <row r="4870" spans="1:34" ht="15.75" customHeight="1">
      <c r="A4870" s="35"/>
      <c r="B4870" s="38"/>
      <c r="C4870" s="19"/>
      <c r="D4870" s="20"/>
      <c r="E4870" s="20"/>
      <c r="F4870" s="19"/>
      <c r="G4870" s="19"/>
      <c r="H4870" s="19"/>
      <c r="I4870" s="21"/>
      <c r="J4870" s="155">
        <f t="shared" si="10"/>
        <v>0</v>
      </c>
      <c r="K4870" s="22"/>
      <c r="L4870" s="39"/>
      <c r="O4870" s="42"/>
      <c r="P4870" s="40"/>
      <c r="Q4870" s="61"/>
      <c r="R4870" s="61"/>
      <c r="S4870" s="40"/>
      <c r="T4870" s="38"/>
      <c r="U4870" s="38"/>
      <c r="V4870" s="38"/>
      <c r="W4870" s="60"/>
      <c r="AB4870" s="42"/>
      <c r="AC4870" s="35"/>
      <c r="AD4870" s="38"/>
      <c r="AE4870" s="38"/>
      <c r="AF4870" s="38"/>
      <c r="AG4870" s="38"/>
      <c r="AH4870" s="60"/>
    </row>
    <row r="4871" spans="1:34" ht="15.75" customHeight="1">
      <c r="A4871" s="54" t="s">
        <v>17043</v>
      </c>
      <c r="B4871" s="81" t="s">
        <v>17044</v>
      </c>
      <c r="C4871" s="37" t="s">
        <v>24</v>
      </c>
      <c r="D4871" s="20" t="s">
        <v>17045</v>
      </c>
      <c r="E4871" s="20" t="s">
        <v>17046</v>
      </c>
      <c r="F4871" s="19" t="s">
        <v>27</v>
      </c>
      <c r="G4871" s="19" t="s">
        <v>28</v>
      </c>
      <c r="H4871" s="19" t="s">
        <v>36</v>
      </c>
      <c r="I4871" s="37" t="s">
        <v>29</v>
      </c>
      <c r="J4871" s="155" t="str">
        <f t="shared" si="10"/>
        <v>TT</v>
      </c>
      <c r="K4871" s="22" t="s">
        <v>17047</v>
      </c>
      <c r="L4871" s="56">
        <v>45131</v>
      </c>
      <c r="M4871" s="40"/>
      <c r="P4871" s="40"/>
      <c r="Q4871" s="61"/>
      <c r="R4871" s="61"/>
      <c r="S4871" s="40"/>
      <c r="T4871" s="38"/>
      <c r="U4871" s="38"/>
      <c r="V4871" s="38"/>
      <c r="W4871" s="60"/>
      <c r="AB4871" s="42"/>
      <c r="AC4871" s="35"/>
      <c r="AD4871" s="38"/>
      <c r="AE4871" s="38"/>
      <c r="AF4871" s="38"/>
      <c r="AG4871" s="38"/>
      <c r="AH4871" s="60"/>
    </row>
    <row r="4872" spans="1:34" ht="15.75" customHeight="1">
      <c r="A4872" s="54" t="s">
        <v>2628</v>
      </c>
      <c r="B4872" s="81" t="s">
        <v>17048</v>
      </c>
      <c r="C4872" s="37" t="s">
        <v>24</v>
      </c>
      <c r="D4872" s="252" t="s">
        <v>17049</v>
      </c>
      <c r="E4872" s="20" t="s">
        <v>17050</v>
      </c>
      <c r="F4872" s="19" t="s">
        <v>27</v>
      </c>
      <c r="G4872" s="19" t="s">
        <v>28</v>
      </c>
      <c r="H4872" s="37"/>
      <c r="I4872" s="37" t="s">
        <v>29</v>
      </c>
      <c r="J4872" s="155" t="str">
        <f t="shared" si="10"/>
        <v>TT</v>
      </c>
      <c r="K4872" s="22" t="s">
        <v>17051</v>
      </c>
      <c r="L4872" s="56">
        <v>45131</v>
      </c>
      <c r="P4872" s="40"/>
      <c r="Q4872" s="61"/>
      <c r="R4872" s="61"/>
      <c r="S4872" s="40"/>
      <c r="T4872" s="38"/>
      <c r="U4872" s="38"/>
      <c r="V4872" s="38"/>
      <c r="W4872" s="60"/>
      <c r="AB4872" s="42"/>
      <c r="AC4872" s="35"/>
      <c r="AD4872" s="38"/>
      <c r="AE4872" s="38"/>
      <c r="AF4872" s="38"/>
      <c r="AG4872" s="38"/>
      <c r="AH4872" s="60"/>
    </row>
    <row r="4873" spans="1:34" ht="15.75" customHeight="1">
      <c r="A4873" s="114" t="s">
        <v>39</v>
      </c>
      <c r="B4873" s="78" t="s">
        <v>17052</v>
      </c>
      <c r="C4873" s="37" t="s">
        <v>24</v>
      </c>
      <c r="D4873" s="253" t="s">
        <v>17053</v>
      </c>
      <c r="E4873" s="20" t="s">
        <v>17054</v>
      </c>
      <c r="F4873" s="19" t="s">
        <v>27</v>
      </c>
      <c r="G4873" s="19" t="s">
        <v>28</v>
      </c>
      <c r="H4873" s="37"/>
      <c r="I4873" s="37" t="s">
        <v>29</v>
      </c>
      <c r="J4873" s="155" t="str">
        <f t="shared" si="10"/>
        <v>TT</v>
      </c>
      <c r="K4873" s="22" t="s">
        <v>17055</v>
      </c>
      <c r="L4873" s="56">
        <v>45131</v>
      </c>
      <c r="P4873" s="40"/>
      <c r="Q4873" s="61"/>
      <c r="R4873" s="61"/>
      <c r="S4873" s="40"/>
      <c r="T4873" s="38"/>
      <c r="U4873" s="38"/>
      <c r="V4873" s="38"/>
      <c r="W4873" s="60"/>
      <c r="AB4873" s="42"/>
      <c r="AC4873" s="35"/>
      <c r="AD4873" s="38"/>
      <c r="AE4873" s="38"/>
      <c r="AF4873" s="38"/>
      <c r="AG4873" s="38"/>
      <c r="AH4873" s="60"/>
    </row>
    <row r="4874" spans="1:34" ht="15.75" customHeight="1">
      <c r="A4874" s="38" t="s">
        <v>16979</v>
      </c>
      <c r="B4874" s="78" t="s">
        <v>17056</v>
      </c>
      <c r="C4874" s="37" t="s">
        <v>24</v>
      </c>
      <c r="D4874" s="20" t="s">
        <v>17057</v>
      </c>
      <c r="E4874" s="20" t="s">
        <v>17058</v>
      </c>
      <c r="F4874" s="19" t="s">
        <v>27</v>
      </c>
      <c r="G4874" s="19" t="s">
        <v>28</v>
      </c>
      <c r="H4874" s="19" t="s">
        <v>36</v>
      </c>
      <c r="I4874" s="37" t="s">
        <v>29</v>
      </c>
      <c r="J4874" s="155" t="str">
        <f t="shared" si="10"/>
        <v>TT</v>
      </c>
      <c r="K4874" s="22" t="s">
        <v>17059</v>
      </c>
      <c r="L4874" s="56">
        <v>45131</v>
      </c>
      <c r="P4874" s="40"/>
      <c r="Q4874" s="61"/>
      <c r="R4874" s="61"/>
      <c r="S4874" s="40"/>
      <c r="T4874" s="38"/>
      <c r="U4874" s="38"/>
      <c r="V4874" s="38"/>
      <c r="W4874" s="60"/>
      <c r="AB4874" s="42"/>
      <c r="AC4874" s="35"/>
      <c r="AD4874" s="38"/>
      <c r="AE4874" s="38"/>
      <c r="AF4874" s="38"/>
      <c r="AG4874" s="38"/>
      <c r="AH4874" s="60"/>
    </row>
    <row r="4875" spans="1:34" ht="15.75" customHeight="1">
      <c r="A4875" s="75" t="s">
        <v>16860</v>
      </c>
      <c r="B4875" s="78" t="s">
        <v>17060</v>
      </c>
      <c r="C4875" s="37" t="s">
        <v>87</v>
      </c>
      <c r="D4875" s="20" t="s">
        <v>17061</v>
      </c>
      <c r="E4875" s="20" t="s">
        <v>17062</v>
      </c>
      <c r="F4875" s="19" t="s">
        <v>90</v>
      </c>
      <c r="G4875" s="19" t="s">
        <v>91</v>
      </c>
      <c r="H4875" s="37"/>
      <c r="I4875" s="37" t="s">
        <v>29</v>
      </c>
      <c r="J4875" s="155" t="str">
        <f t="shared" si="10"/>
        <v>TT</v>
      </c>
      <c r="K4875" s="22" t="s">
        <v>17063</v>
      </c>
      <c r="L4875" s="56">
        <v>45131</v>
      </c>
      <c r="P4875" s="40"/>
      <c r="Q4875" s="61"/>
      <c r="R4875" s="61"/>
      <c r="S4875" s="40"/>
      <c r="T4875" s="38"/>
      <c r="U4875" s="38"/>
      <c r="V4875" s="38"/>
      <c r="W4875" s="60"/>
      <c r="AB4875" s="42"/>
      <c r="AC4875" s="35"/>
      <c r="AD4875" s="38"/>
      <c r="AE4875" s="38"/>
      <c r="AF4875" s="38"/>
      <c r="AG4875" s="38"/>
      <c r="AH4875" s="60"/>
    </row>
    <row r="4876" spans="1:34" ht="15.75" customHeight="1">
      <c r="A4876" s="50" t="s">
        <v>56</v>
      </c>
      <c r="B4876" s="78" t="s">
        <v>17064</v>
      </c>
      <c r="C4876" s="37" t="s">
        <v>87</v>
      </c>
      <c r="D4876" s="20" t="s">
        <v>17065</v>
      </c>
      <c r="E4876" s="20" t="s">
        <v>17066</v>
      </c>
      <c r="F4876" s="19" t="s">
        <v>90</v>
      </c>
      <c r="G4876" s="19" t="s">
        <v>91</v>
      </c>
      <c r="H4876" s="37"/>
      <c r="I4876" s="37" t="s">
        <v>29</v>
      </c>
      <c r="J4876" s="155" t="str">
        <f t="shared" si="10"/>
        <v>TT</v>
      </c>
      <c r="K4876" s="22" t="s">
        <v>17067</v>
      </c>
      <c r="L4876" s="56">
        <v>45131</v>
      </c>
      <c r="P4876" s="40"/>
      <c r="Q4876" s="61"/>
      <c r="R4876" s="61"/>
      <c r="S4876" s="40"/>
      <c r="T4876" s="38"/>
      <c r="U4876" s="38"/>
      <c r="V4876" s="38"/>
      <c r="W4876" s="60"/>
      <c r="AB4876" s="42"/>
      <c r="AC4876" s="35"/>
      <c r="AD4876" s="38"/>
      <c r="AE4876" s="38"/>
      <c r="AF4876" s="38"/>
      <c r="AG4876" s="38"/>
      <c r="AH4876" s="60"/>
    </row>
    <row r="4877" spans="1:34" ht="15.75" customHeight="1">
      <c r="A4877" s="17">
        <v>40</v>
      </c>
      <c r="B4877" s="78" t="s">
        <v>17068</v>
      </c>
      <c r="C4877" s="37" t="s">
        <v>87</v>
      </c>
      <c r="D4877" s="20" t="s">
        <v>17069</v>
      </c>
      <c r="E4877" s="20" t="s">
        <v>17070</v>
      </c>
      <c r="F4877" s="19" t="s">
        <v>90</v>
      </c>
      <c r="G4877" s="19" t="s">
        <v>91</v>
      </c>
      <c r="H4877" s="37"/>
      <c r="I4877" s="37" t="s">
        <v>29</v>
      </c>
      <c r="J4877" s="155" t="str">
        <f t="shared" si="10"/>
        <v>TT</v>
      </c>
      <c r="K4877" s="22" t="s">
        <v>17071</v>
      </c>
      <c r="L4877" s="56">
        <v>45131</v>
      </c>
      <c r="P4877" s="40"/>
      <c r="Q4877" s="61"/>
      <c r="R4877" s="61"/>
      <c r="S4877" s="40"/>
      <c r="T4877" s="38"/>
      <c r="U4877" s="38"/>
      <c r="V4877" s="38"/>
      <c r="W4877" s="60"/>
      <c r="AB4877" s="42"/>
      <c r="AC4877" s="35"/>
      <c r="AD4877" s="38"/>
      <c r="AE4877" s="38"/>
      <c r="AF4877" s="38"/>
      <c r="AG4877" s="38"/>
      <c r="AH4877" s="60"/>
    </row>
    <row r="4878" spans="1:34" ht="15.75" customHeight="1">
      <c r="A4878" s="111" t="s">
        <v>64</v>
      </c>
      <c r="B4878" s="78" t="s">
        <v>17072</v>
      </c>
      <c r="C4878" s="37" t="s">
        <v>87</v>
      </c>
      <c r="D4878" s="20" t="s">
        <v>17073</v>
      </c>
      <c r="E4878" s="20" t="s">
        <v>17074</v>
      </c>
      <c r="F4878" s="19" t="s">
        <v>90</v>
      </c>
      <c r="G4878" s="19" t="s">
        <v>91</v>
      </c>
      <c r="H4878" s="19" t="s">
        <v>36</v>
      </c>
      <c r="I4878" s="37" t="s">
        <v>29</v>
      </c>
      <c r="J4878" s="155" t="str">
        <f t="shared" si="10"/>
        <v>TT</v>
      </c>
      <c r="K4878" s="22" t="s">
        <v>17075</v>
      </c>
      <c r="L4878" s="56">
        <v>45131</v>
      </c>
      <c r="P4878" s="40"/>
      <c r="Q4878" s="61"/>
      <c r="R4878" s="61"/>
      <c r="S4878" s="40"/>
      <c r="T4878" s="38"/>
      <c r="U4878" s="38"/>
      <c r="V4878" s="38"/>
      <c r="W4878" s="60"/>
      <c r="AB4878" s="42"/>
      <c r="AC4878" s="35"/>
      <c r="AD4878" s="38"/>
      <c r="AE4878" s="38"/>
      <c r="AF4878" s="38"/>
      <c r="AG4878" s="38"/>
      <c r="AH4878" s="60"/>
    </row>
    <row r="4879" spans="1:34" ht="15.75" customHeight="1">
      <c r="A4879" s="75">
        <v>2.2000000000000002</v>
      </c>
      <c r="B4879" s="78" t="s">
        <v>17076</v>
      </c>
      <c r="C4879" s="37" t="s">
        <v>87</v>
      </c>
      <c r="D4879" s="20" t="s">
        <v>17077</v>
      </c>
      <c r="E4879" s="20" t="s">
        <v>17078</v>
      </c>
      <c r="F4879" s="19" t="s">
        <v>90</v>
      </c>
      <c r="G4879" s="19" t="s">
        <v>91</v>
      </c>
      <c r="H4879" s="37"/>
      <c r="I4879" s="37" t="s">
        <v>29</v>
      </c>
      <c r="J4879" s="155" t="str">
        <f t="shared" si="10"/>
        <v>TT</v>
      </c>
      <c r="K4879" s="22" t="s">
        <v>17079</v>
      </c>
      <c r="L4879" s="56">
        <v>45131</v>
      </c>
      <c r="P4879" s="40"/>
      <c r="Q4879" s="61"/>
      <c r="R4879" s="61"/>
      <c r="S4879" s="40"/>
      <c r="T4879" s="38"/>
      <c r="U4879" s="38"/>
      <c r="V4879" s="38"/>
      <c r="W4879" s="60"/>
      <c r="AB4879" s="42"/>
      <c r="AC4879" s="35"/>
      <c r="AD4879" s="38"/>
      <c r="AE4879" s="38"/>
      <c r="AF4879" s="38"/>
      <c r="AG4879" s="38"/>
      <c r="AH4879" s="60"/>
    </row>
    <row r="4880" spans="1:34" ht="15.75" customHeight="1">
      <c r="A4880" s="111" t="s">
        <v>73</v>
      </c>
      <c r="B4880" s="78" t="s">
        <v>17080</v>
      </c>
      <c r="C4880" s="37" t="s">
        <v>87</v>
      </c>
      <c r="D4880" s="20" t="s">
        <v>17081</v>
      </c>
      <c r="E4880" s="20" t="s">
        <v>17082</v>
      </c>
      <c r="F4880" s="19" t="s">
        <v>90</v>
      </c>
      <c r="G4880" s="19" t="s">
        <v>91</v>
      </c>
      <c r="H4880" s="37"/>
      <c r="I4880" s="37" t="s">
        <v>29</v>
      </c>
      <c r="J4880" s="155" t="str">
        <f t="shared" si="10"/>
        <v>TT</v>
      </c>
      <c r="K4880" s="22" t="s">
        <v>17083</v>
      </c>
      <c r="L4880" s="56">
        <v>45131</v>
      </c>
      <c r="P4880" s="40"/>
      <c r="Q4880" s="61"/>
      <c r="R4880" s="61"/>
      <c r="S4880" s="40"/>
      <c r="T4880" s="38"/>
      <c r="U4880" s="38"/>
      <c r="V4880" s="38"/>
      <c r="W4880" s="60"/>
      <c r="AB4880" s="42"/>
      <c r="AC4880" s="35"/>
      <c r="AD4880" s="38"/>
      <c r="AE4880" s="38"/>
      <c r="AF4880" s="38"/>
      <c r="AG4880" s="38"/>
      <c r="AH4880" s="60"/>
    </row>
    <row r="4881" spans="1:34" ht="15.75" customHeight="1">
      <c r="A4881" s="75">
        <v>2.6</v>
      </c>
      <c r="B4881" s="78" t="s">
        <v>17084</v>
      </c>
      <c r="C4881" s="37" t="s">
        <v>87</v>
      </c>
      <c r="D4881" s="20" t="s">
        <v>17085</v>
      </c>
      <c r="E4881" s="20" t="s">
        <v>17086</v>
      </c>
      <c r="F4881" s="19" t="s">
        <v>90</v>
      </c>
      <c r="G4881" s="19" t="s">
        <v>91</v>
      </c>
      <c r="H4881" s="37"/>
      <c r="I4881" s="37" t="s">
        <v>29</v>
      </c>
      <c r="J4881" s="155" t="str">
        <f t="shared" si="10"/>
        <v>TT</v>
      </c>
      <c r="K4881" s="22" t="s">
        <v>17087</v>
      </c>
      <c r="L4881" s="56">
        <v>45131</v>
      </c>
      <c r="P4881" s="40"/>
      <c r="Q4881" s="61"/>
      <c r="R4881" s="61"/>
      <c r="S4881" s="40"/>
      <c r="T4881" s="38"/>
      <c r="U4881" s="38"/>
      <c r="V4881" s="38"/>
      <c r="W4881" s="60"/>
      <c r="AB4881" s="42"/>
      <c r="AC4881" s="35"/>
      <c r="AD4881" s="38"/>
      <c r="AE4881" s="38"/>
      <c r="AF4881" s="38"/>
      <c r="AG4881" s="38"/>
      <c r="AH4881" s="60"/>
    </row>
    <row r="4882" spans="1:34" ht="15.75" customHeight="1">
      <c r="A4882" s="111" t="s">
        <v>82</v>
      </c>
      <c r="B4882" s="78" t="s">
        <v>17088</v>
      </c>
      <c r="C4882" s="37" t="s">
        <v>87</v>
      </c>
      <c r="D4882" s="20" t="s">
        <v>17089</v>
      </c>
      <c r="E4882" s="20" t="s">
        <v>17090</v>
      </c>
      <c r="F4882" s="19" t="s">
        <v>90</v>
      </c>
      <c r="G4882" s="19" t="s">
        <v>91</v>
      </c>
      <c r="H4882" s="19" t="s">
        <v>36</v>
      </c>
      <c r="I4882" s="37" t="s">
        <v>29</v>
      </c>
      <c r="J4882" s="155" t="str">
        <f t="shared" si="10"/>
        <v>TT</v>
      </c>
      <c r="K4882" s="22" t="s">
        <v>17091</v>
      </c>
      <c r="L4882" s="56">
        <v>45131</v>
      </c>
      <c r="P4882" s="40"/>
      <c r="Q4882" s="61"/>
      <c r="R4882" s="61"/>
      <c r="S4882" s="40"/>
      <c r="T4882" s="38"/>
      <c r="U4882" s="38"/>
      <c r="V4882" s="38"/>
      <c r="W4882" s="60"/>
      <c r="AB4882" s="42"/>
      <c r="AC4882" s="35"/>
      <c r="AD4882" s="38"/>
      <c r="AE4882" s="38"/>
      <c r="AF4882" s="38"/>
      <c r="AG4882" s="38"/>
      <c r="AH4882" s="60"/>
    </row>
    <row r="4883" spans="1:34" ht="15.75" customHeight="1">
      <c r="A4883" s="112" t="s">
        <v>17092</v>
      </c>
      <c r="B4883" s="78" t="s">
        <v>17093</v>
      </c>
      <c r="C4883" s="37" t="s">
        <v>87</v>
      </c>
      <c r="D4883" s="20" t="s">
        <v>17094</v>
      </c>
      <c r="E4883" s="20" t="s">
        <v>17095</v>
      </c>
      <c r="F4883" s="19" t="s">
        <v>90</v>
      </c>
      <c r="G4883" s="19" t="s">
        <v>91</v>
      </c>
      <c r="H4883" s="37"/>
      <c r="I4883" s="37" t="s">
        <v>29</v>
      </c>
      <c r="J4883" s="155" t="str">
        <f t="shared" si="10"/>
        <v>TT</v>
      </c>
      <c r="K4883" s="22" t="s">
        <v>17096</v>
      </c>
      <c r="L4883" s="56">
        <v>45131</v>
      </c>
      <c r="P4883" s="40"/>
      <c r="Q4883" s="61"/>
      <c r="R4883" s="61"/>
      <c r="S4883" s="40"/>
      <c r="T4883" s="38"/>
      <c r="U4883" s="38"/>
      <c r="V4883" s="38"/>
      <c r="W4883" s="60"/>
      <c r="AB4883" s="42"/>
      <c r="AC4883" s="35"/>
      <c r="AD4883" s="38"/>
      <c r="AE4883" s="38"/>
      <c r="AF4883" s="38"/>
      <c r="AG4883" s="38"/>
      <c r="AH4883" s="60"/>
    </row>
    <row r="4884" spans="1:34" ht="15.75" customHeight="1">
      <c r="A4884" s="111" t="s">
        <v>92</v>
      </c>
      <c r="B4884" s="78" t="s">
        <v>17097</v>
      </c>
      <c r="C4884" s="37" t="s">
        <v>46</v>
      </c>
      <c r="D4884" s="20" t="s">
        <v>17098</v>
      </c>
      <c r="E4884" s="20" t="s">
        <v>17099</v>
      </c>
      <c r="F4884" s="37" t="s">
        <v>49</v>
      </c>
      <c r="G4884" s="19" t="s">
        <v>50</v>
      </c>
      <c r="H4884" s="37"/>
      <c r="I4884" s="37" t="s">
        <v>29</v>
      </c>
      <c r="J4884" s="155" t="str">
        <f t="shared" si="10"/>
        <v>TT</v>
      </c>
      <c r="K4884" s="22" t="s">
        <v>17100</v>
      </c>
      <c r="L4884" s="56">
        <v>45131</v>
      </c>
      <c r="P4884" s="40"/>
      <c r="Q4884" s="61"/>
      <c r="R4884" s="61"/>
      <c r="S4884" s="40"/>
      <c r="T4884" s="38"/>
      <c r="U4884" s="38"/>
      <c r="V4884" s="38"/>
      <c r="W4884" s="60"/>
      <c r="AB4884" s="42"/>
      <c r="AC4884" s="35"/>
      <c r="AD4884" s="38"/>
      <c r="AE4884" s="38"/>
      <c r="AF4884" s="38"/>
      <c r="AG4884" s="38"/>
      <c r="AH4884" s="60"/>
    </row>
    <row r="4885" spans="1:34" ht="15.75" customHeight="1">
      <c r="A4885" s="17">
        <v>288</v>
      </c>
      <c r="B4885" s="78" t="s">
        <v>17101</v>
      </c>
      <c r="C4885" s="37" t="s">
        <v>46</v>
      </c>
      <c r="D4885" s="20" t="s">
        <v>17102</v>
      </c>
      <c r="E4885" s="20" t="s">
        <v>17103</v>
      </c>
      <c r="F4885" s="37" t="s">
        <v>49</v>
      </c>
      <c r="G4885" s="19" t="s">
        <v>50</v>
      </c>
      <c r="H4885" s="37"/>
      <c r="I4885" s="37" t="s">
        <v>29</v>
      </c>
      <c r="J4885" s="155" t="str">
        <f t="shared" si="10"/>
        <v>TT</v>
      </c>
      <c r="K4885" s="22" t="s">
        <v>17104</v>
      </c>
      <c r="L4885" s="56">
        <v>45131</v>
      </c>
      <c r="P4885" s="40"/>
      <c r="Q4885" s="61"/>
      <c r="R4885" s="61"/>
      <c r="S4885" s="40"/>
      <c r="T4885" s="38"/>
      <c r="U4885" s="38"/>
      <c r="V4885" s="38"/>
      <c r="W4885" s="60"/>
      <c r="AB4885" s="42"/>
      <c r="AC4885" s="35"/>
      <c r="AD4885" s="38"/>
      <c r="AE4885" s="38"/>
      <c r="AF4885" s="38"/>
      <c r="AG4885" s="38"/>
      <c r="AH4885" s="60"/>
    </row>
    <row r="4886" spans="1:34" ht="15.75" customHeight="1">
      <c r="A4886" s="111" t="s">
        <v>100</v>
      </c>
      <c r="B4886" s="78" t="s">
        <v>17105</v>
      </c>
      <c r="C4886" s="37" t="s">
        <v>46</v>
      </c>
      <c r="D4886" s="20" t="s">
        <v>17106</v>
      </c>
      <c r="E4886" s="20" t="s">
        <v>17107</v>
      </c>
      <c r="F4886" s="37" t="s">
        <v>49</v>
      </c>
      <c r="G4886" s="19" t="s">
        <v>50</v>
      </c>
      <c r="H4886" s="37"/>
      <c r="I4886" s="37" t="s">
        <v>29</v>
      </c>
      <c r="J4886" s="155" t="str">
        <f t="shared" si="10"/>
        <v>TT</v>
      </c>
      <c r="K4886" s="22" t="s">
        <v>17108</v>
      </c>
      <c r="L4886" s="56">
        <v>45131</v>
      </c>
      <c r="P4886" s="40"/>
      <c r="Q4886" s="61"/>
      <c r="R4886" s="61"/>
      <c r="S4886" s="40"/>
      <c r="T4886" s="38"/>
      <c r="U4886" s="38"/>
      <c r="V4886" s="38"/>
      <c r="W4886" s="60"/>
      <c r="AB4886" s="42"/>
      <c r="AC4886" s="35"/>
      <c r="AD4886" s="38"/>
      <c r="AE4886" s="38"/>
      <c r="AF4886" s="38"/>
      <c r="AG4886" s="38"/>
      <c r="AH4886" s="60"/>
    </row>
    <row r="4887" spans="1:34" ht="15.75" customHeight="1">
      <c r="A4887" s="17">
        <v>159</v>
      </c>
      <c r="B4887" s="78" t="s">
        <v>17109</v>
      </c>
      <c r="C4887" s="37" t="s">
        <v>46</v>
      </c>
      <c r="D4887" s="20" t="s">
        <v>17110</v>
      </c>
      <c r="E4887" s="20" t="s">
        <v>17111</v>
      </c>
      <c r="F4887" s="37" t="s">
        <v>49</v>
      </c>
      <c r="G4887" s="19" t="s">
        <v>50</v>
      </c>
      <c r="H4887" s="37"/>
      <c r="I4887" s="37" t="s">
        <v>29</v>
      </c>
      <c r="J4887" s="155" t="str">
        <f t="shared" si="10"/>
        <v>TT</v>
      </c>
      <c r="K4887" s="22" t="s">
        <v>17112</v>
      </c>
      <c r="L4887" s="56">
        <v>45131</v>
      </c>
      <c r="P4887" s="40"/>
      <c r="Q4887" s="61"/>
      <c r="R4887" s="61"/>
      <c r="S4887" s="40"/>
      <c r="T4887" s="38"/>
      <c r="U4887" s="38"/>
      <c r="V4887" s="38"/>
      <c r="W4887" s="60"/>
      <c r="AB4887" s="42"/>
      <c r="AC4887" s="35"/>
      <c r="AD4887" s="38"/>
      <c r="AE4887" s="38"/>
      <c r="AF4887" s="38"/>
      <c r="AG4887" s="38"/>
      <c r="AH4887" s="60"/>
    </row>
    <row r="4888" spans="1:34" ht="15.75" customHeight="1">
      <c r="A4888" s="35"/>
      <c r="B4888" s="78" t="s">
        <v>17113</v>
      </c>
      <c r="C4888" s="37" t="s">
        <v>46</v>
      </c>
      <c r="D4888" s="20" t="s">
        <v>17114</v>
      </c>
      <c r="E4888" s="20" t="s">
        <v>17115</v>
      </c>
      <c r="F4888" s="37" t="s">
        <v>49</v>
      </c>
      <c r="G4888" s="19" t="s">
        <v>50</v>
      </c>
      <c r="H4888" s="37"/>
      <c r="I4888" s="37" t="s">
        <v>29</v>
      </c>
      <c r="J4888" s="155" t="str">
        <f t="shared" si="10"/>
        <v>TT</v>
      </c>
      <c r="K4888" s="22" t="s">
        <v>17116</v>
      </c>
      <c r="L4888" s="56">
        <v>45131</v>
      </c>
      <c r="P4888" s="40"/>
      <c r="Q4888" s="61"/>
      <c r="R4888" s="61"/>
      <c r="S4888" s="40"/>
      <c r="T4888" s="38"/>
      <c r="U4888" s="38"/>
      <c r="V4888" s="38"/>
      <c r="W4888" s="60"/>
      <c r="AB4888" s="42"/>
      <c r="AC4888" s="35"/>
      <c r="AD4888" s="38"/>
      <c r="AE4888" s="38"/>
      <c r="AF4888" s="38"/>
      <c r="AG4888" s="38"/>
      <c r="AH4888" s="60"/>
    </row>
    <row r="4889" spans="1:34" ht="15.75" customHeight="1">
      <c r="A4889" s="35"/>
      <c r="B4889" s="38"/>
      <c r="C4889" s="37"/>
      <c r="D4889" s="20"/>
      <c r="E4889" s="20"/>
      <c r="F4889" s="37"/>
      <c r="G4889" s="37"/>
      <c r="H4889" s="37"/>
      <c r="I4889" s="37"/>
      <c r="J4889" s="155">
        <f t="shared" si="10"/>
        <v>0</v>
      </c>
      <c r="K4889" s="22"/>
      <c r="L4889" s="39"/>
      <c r="P4889" s="40"/>
      <c r="Q4889" s="61"/>
      <c r="R4889" s="61"/>
      <c r="S4889" s="40"/>
      <c r="T4889" s="38"/>
      <c r="U4889" s="38"/>
      <c r="V4889" s="38"/>
      <c r="W4889" s="60"/>
      <c r="AB4889" s="42"/>
      <c r="AC4889" s="35"/>
      <c r="AD4889" s="38"/>
      <c r="AE4889" s="38"/>
      <c r="AF4889" s="38"/>
      <c r="AG4889" s="38"/>
      <c r="AH4889" s="60"/>
    </row>
    <row r="4890" spans="1:34" ht="15.75" customHeight="1">
      <c r="A4890" s="35" t="s">
        <v>17117</v>
      </c>
      <c r="B4890" s="81" t="s">
        <v>17118</v>
      </c>
      <c r="C4890" s="37" t="s">
        <v>24</v>
      </c>
      <c r="D4890" s="20" t="s">
        <v>17119</v>
      </c>
      <c r="E4890" s="20" t="s">
        <v>17120</v>
      </c>
      <c r="F4890" s="19" t="s">
        <v>27</v>
      </c>
      <c r="G4890" s="19" t="s">
        <v>28</v>
      </c>
      <c r="H4890" s="37" t="s">
        <v>55</v>
      </c>
      <c r="I4890" s="37" t="s">
        <v>29</v>
      </c>
      <c r="J4890" s="155" t="str">
        <f t="shared" si="10"/>
        <v>TT</v>
      </c>
      <c r="K4890" s="22" t="s">
        <v>17121</v>
      </c>
      <c r="L4890" s="56">
        <v>45131</v>
      </c>
      <c r="M4890" s="40"/>
      <c r="P4890" s="40"/>
      <c r="Q4890" s="61"/>
      <c r="R4890" s="61"/>
      <c r="S4890" s="40"/>
      <c r="T4890" s="38"/>
      <c r="U4890" s="38"/>
      <c r="V4890" s="38"/>
      <c r="W4890" s="60"/>
      <c r="AB4890" s="42"/>
      <c r="AC4890" s="35"/>
      <c r="AD4890" s="38"/>
      <c r="AE4890" s="38"/>
      <c r="AF4890" s="38"/>
      <c r="AG4890" s="38"/>
      <c r="AH4890" s="60"/>
    </row>
    <row r="4891" spans="1:34" ht="15.75" customHeight="1">
      <c r="A4891" s="54" t="s">
        <v>2714</v>
      </c>
      <c r="B4891" s="78" t="s">
        <v>17122</v>
      </c>
      <c r="C4891" s="37" t="s">
        <v>87</v>
      </c>
      <c r="D4891" s="20" t="s">
        <v>17123</v>
      </c>
      <c r="E4891" s="20"/>
      <c r="F4891" s="19" t="s">
        <v>90</v>
      </c>
      <c r="G4891" s="19" t="s">
        <v>91</v>
      </c>
      <c r="H4891" s="37" t="s">
        <v>55</v>
      </c>
      <c r="I4891" s="37" t="s">
        <v>29</v>
      </c>
      <c r="J4891" s="155" t="str">
        <f t="shared" si="10"/>
        <v>TT</v>
      </c>
      <c r="K4891" s="22"/>
      <c r="L4891" s="56">
        <v>45131</v>
      </c>
      <c r="P4891" s="40"/>
      <c r="Q4891" s="61"/>
      <c r="R4891" s="61"/>
      <c r="S4891" s="40"/>
      <c r="T4891" s="38"/>
      <c r="U4891" s="38"/>
      <c r="V4891" s="38"/>
      <c r="W4891" s="60"/>
      <c r="AB4891" s="42"/>
      <c r="AC4891" s="35"/>
      <c r="AD4891" s="38"/>
      <c r="AE4891" s="38"/>
      <c r="AF4891" s="38"/>
      <c r="AG4891" s="38"/>
      <c r="AH4891" s="60"/>
    </row>
    <row r="4892" spans="1:34" ht="15.75" customHeight="1">
      <c r="A4892" s="114" t="s">
        <v>39</v>
      </c>
      <c r="B4892" s="78" t="s">
        <v>17124</v>
      </c>
      <c r="C4892" s="37" t="s">
        <v>87</v>
      </c>
      <c r="D4892" s="20" t="s">
        <v>17125</v>
      </c>
      <c r="E4892" s="20" t="s">
        <v>17126</v>
      </c>
      <c r="F4892" s="19" t="s">
        <v>90</v>
      </c>
      <c r="G4892" s="19" t="s">
        <v>91</v>
      </c>
      <c r="H4892" s="37" t="s">
        <v>55</v>
      </c>
      <c r="I4892" s="37" t="s">
        <v>29</v>
      </c>
      <c r="J4892" s="155" t="str">
        <f t="shared" si="10"/>
        <v>TT</v>
      </c>
      <c r="K4892" s="22" t="s">
        <v>17127</v>
      </c>
      <c r="L4892" s="56">
        <v>45131</v>
      </c>
      <c r="P4892" s="40"/>
      <c r="Q4892" s="61"/>
      <c r="R4892" s="61"/>
      <c r="S4892" s="40"/>
      <c r="T4892" s="38"/>
      <c r="U4892" s="38"/>
      <c r="V4892" s="38"/>
      <c r="W4892" s="60"/>
      <c r="AB4892" s="42"/>
      <c r="AC4892" s="35"/>
      <c r="AD4892" s="38"/>
      <c r="AE4892" s="38"/>
      <c r="AF4892" s="38"/>
      <c r="AG4892" s="38"/>
      <c r="AH4892" s="60"/>
    </row>
    <row r="4893" spans="1:34" ht="15.75" customHeight="1">
      <c r="A4893" s="38" t="s">
        <v>16979</v>
      </c>
      <c r="B4893" s="78" t="s">
        <v>17128</v>
      </c>
      <c r="C4893" s="37" t="s">
        <v>46</v>
      </c>
      <c r="D4893" s="20" t="s">
        <v>17129</v>
      </c>
      <c r="E4893" s="20" t="s">
        <v>17130</v>
      </c>
      <c r="F4893" s="37" t="s">
        <v>49</v>
      </c>
      <c r="G4893" s="19" t="s">
        <v>50</v>
      </c>
      <c r="H4893" s="37" t="s">
        <v>55</v>
      </c>
      <c r="I4893" s="37" t="s">
        <v>29</v>
      </c>
      <c r="J4893" s="155" t="str">
        <f t="shared" si="10"/>
        <v>TT</v>
      </c>
      <c r="K4893" s="22" t="s">
        <v>17131</v>
      </c>
      <c r="L4893" s="56">
        <v>45131</v>
      </c>
      <c r="P4893" s="40"/>
      <c r="Q4893" s="61"/>
      <c r="R4893" s="61"/>
      <c r="S4893" s="40"/>
      <c r="T4893" s="38"/>
      <c r="U4893" s="38"/>
      <c r="V4893" s="38"/>
      <c r="W4893" s="60"/>
      <c r="AB4893" s="42"/>
      <c r="AC4893" s="35"/>
      <c r="AD4893" s="38"/>
      <c r="AE4893" s="38"/>
      <c r="AF4893" s="38"/>
      <c r="AG4893" s="38"/>
      <c r="AH4893" s="60"/>
    </row>
    <row r="4894" spans="1:34" ht="15.75" customHeight="1">
      <c r="A4894" s="75" t="s">
        <v>17027</v>
      </c>
      <c r="B4894" s="78" t="s">
        <v>17132</v>
      </c>
      <c r="C4894" s="37" t="s">
        <v>46</v>
      </c>
      <c r="D4894" s="20" t="s">
        <v>17133</v>
      </c>
      <c r="E4894" s="20" t="s">
        <v>17134</v>
      </c>
      <c r="F4894" s="37" t="s">
        <v>49</v>
      </c>
      <c r="G4894" s="19" t="s">
        <v>50</v>
      </c>
      <c r="H4894" s="37" t="s">
        <v>55</v>
      </c>
      <c r="I4894" s="37" t="s">
        <v>29</v>
      </c>
      <c r="J4894" s="155" t="str">
        <f t="shared" si="10"/>
        <v>TT</v>
      </c>
      <c r="K4894" s="22" t="s">
        <v>17135</v>
      </c>
      <c r="L4894" s="56">
        <v>45131</v>
      </c>
      <c r="P4894" s="40"/>
      <c r="Q4894" s="61"/>
      <c r="R4894" s="61"/>
      <c r="S4894" s="40"/>
      <c r="T4894" s="38"/>
      <c r="U4894" s="38"/>
      <c r="V4894" s="38"/>
      <c r="W4894" s="60"/>
      <c r="AB4894" s="42"/>
      <c r="AC4894" s="35"/>
      <c r="AD4894" s="38"/>
      <c r="AE4894" s="38"/>
      <c r="AF4894" s="38"/>
      <c r="AG4894" s="38"/>
      <c r="AH4894" s="60"/>
    </row>
    <row r="4895" spans="1:34" ht="15.75" customHeight="1">
      <c r="A4895" s="50" t="s">
        <v>56</v>
      </c>
      <c r="B4895" s="78" t="s">
        <v>17136</v>
      </c>
      <c r="C4895" s="37" t="s">
        <v>46</v>
      </c>
      <c r="D4895" s="20" t="s">
        <v>17137</v>
      </c>
      <c r="E4895" s="20" t="s">
        <v>17138</v>
      </c>
      <c r="F4895" s="37" t="s">
        <v>49</v>
      </c>
      <c r="G4895" s="19" t="s">
        <v>50</v>
      </c>
      <c r="H4895" s="37" t="s">
        <v>55</v>
      </c>
      <c r="I4895" s="37" t="s">
        <v>29</v>
      </c>
      <c r="J4895" s="155" t="str">
        <f t="shared" si="10"/>
        <v>TT</v>
      </c>
      <c r="K4895" s="22" t="s">
        <v>17139</v>
      </c>
      <c r="L4895" s="56">
        <v>45131</v>
      </c>
      <c r="P4895" s="40"/>
      <c r="Q4895" s="61"/>
      <c r="R4895" s="61"/>
      <c r="S4895" s="40"/>
      <c r="T4895" s="38"/>
      <c r="U4895" s="38"/>
      <c r="V4895" s="38"/>
      <c r="W4895" s="60"/>
      <c r="AB4895" s="42"/>
      <c r="AC4895" s="35"/>
      <c r="AD4895" s="38"/>
      <c r="AE4895" s="38"/>
      <c r="AF4895" s="38"/>
      <c r="AG4895" s="38"/>
      <c r="AH4895" s="60"/>
    </row>
    <row r="4896" spans="1:34" ht="15.75" customHeight="1">
      <c r="A4896" s="17">
        <v>37</v>
      </c>
      <c r="B4896" s="78" t="s">
        <v>17140</v>
      </c>
      <c r="C4896" s="37" t="s">
        <v>412</v>
      </c>
      <c r="D4896" s="20" t="s">
        <v>17141</v>
      </c>
      <c r="E4896" s="20"/>
      <c r="F4896" s="19" t="s">
        <v>414</v>
      </c>
      <c r="G4896" s="19" t="s">
        <v>415</v>
      </c>
      <c r="H4896" s="37" t="s">
        <v>55</v>
      </c>
      <c r="I4896" s="37" t="s">
        <v>233</v>
      </c>
      <c r="J4896" s="155" t="str">
        <f t="shared" si="10"/>
        <v>NTT</v>
      </c>
      <c r="K4896" s="22"/>
      <c r="L4896" s="56">
        <v>45131</v>
      </c>
      <c r="P4896" s="40"/>
      <c r="Q4896" s="61"/>
      <c r="R4896" s="61"/>
      <c r="S4896" s="40"/>
      <c r="T4896" s="38"/>
      <c r="U4896" s="38"/>
      <c r="V4896" s="38"/>
      <c r="W4896" s="60"/>
      <c r="AB4896" s="42"/>
      <c r="AC4896" s="35"/>
      <c r="AD4896" s="38"/>
      <c r="AE4896" s="38"/>
      <c r="AF4896" s="38"/>
      <c r="AG4896" s="38"/>
      <c r="AH4896" s="60"/>
    </row>
    <row r="4897" spans="1:34" ht="15.75" customHeight="1">
      <c r="A4897" s="111" t="s">
        <v>64</v>
      </c>
      <c r="B4897" s="78" t="s">
        <v>17142</v>
      </c>
      <c r="C4897" s="37" t="s">
        <v>412</v>
      </c>
      <c r="D4897" s="20" t="s">
        <v>17143</v>
      </c>
      <c r="E4897" s="20" t="s">
        <v>17144</v>
      </c>
      <c r="F4897" s="19" t="s">
        <v>414</v>
      </c>
      <c r="G4897" s="37" t="s">
        <v>415</v>
      </c>
      <c r="H4897" s="37" t="s">
        <v>55</v>
      </c>
      <c r="I4897" s="37" t="s">
        <v>233</v>
      </c>
      <c r="J4897" s="155" t="str">
        <f t="shared" si="10"/>
        <v>NTT</v>
      </c>
      <c r="K4897" s="22" t="s">
        <v>17145</v>
      </c>
      <c r="L4897" s="56">
        <v>45131</v>
      </c>
      <c r="P4897" s="40"/>
      <c r="Q4897" s="61"/>
      <c r="R4897" s="61"/>
      <c r="S4897" s="40"/>
      <c r="T4897" s="38"/>
      <c r="U4897" s="38"/>
      <c r="V4897" s="38"/>
      <c r="W4897" s="60"/>
      <c r="AB4897" s="42"/>
      <c r="AC4897" s="35"/>
      <c r="AD4897" s="38"/>
      <c r="AE4897" s="38"/>
      <c r="AF4897" s="38"/>
      <c r="AG4897" s="38"/>
      <c r="AH4897" s="60"/>
    </row>
    <row r="4898" spans="1:34" ht="15.75" customHeight="1">
      <c r="A4898" s="75">
        <v>2.2000000000000002</v>
      </c>
      <c r="B4898" s="78" t="s">
        <v>17146</v>
      </c>
      <c r="C4898" s="37" t="s">
        <v>46</v>
      </c>
      <c r="D4898" s="20" t="s">
        <v>17147</v>
      </c>
      <c r="E4898" s="20" t="s">
        <v>17148</v>
      </c>
      <c r="F4898" s="37" t="s">
        <v>49</v>
      </c>
      <c r="G4898" s="19" t="s">
        <v>50</v>
      </c>
      <c r="H4898" s="37" t="s">
        <v>55</v>
      </c>
      <c r="I4898" s="37" t="s">
        <v>29</v>
      </c>
      <c r="J4898" s="155" t="str">
        <f t="shared" si="10"/>
        <v>TT</v>
      </c>
      <c r="K4898" s="22" t="s">
        <v>17149</v>
      </c>
      <c r="L4898" s="56">
        <v>45131</v>
      </c>
      <c r="P4898" s="40"/>
      <c r="Q4898" s="61"/>
      <c r="R4898" s="61"/>
      <c r="S4898" s="40"/>
      <c r="T4898" s="38"/>
      <c r="U4898" s="38"/>
      <c r="V4898" s="38"/>
      <c r="W4898" s="60"/>
      <c r="AB4898" s="42"/>
      <c r="AC4898" s="35"/>
      <c r="AD4898" s="38"/>
      <c r="AE4898" s="38"/>
      <c r="AF4898" s="38"/>
      <c r="AG4898" s="38"/>
      <c r="AH4898" s="60"/>
    </row>
    <row r="4899" spans="1:34" ht="15.75" customHeight="1">
      <c r="A4899" s="111" t="s">
        <v>73</v>
      </c>
      <c r="B4899" s="78" t="s">
        <v>17150</v>
      </c>
      <c r="C4899" s="37" t="s">
        <v>412</v>
      </c>
      <c r="D4899" s="20" t="s">
        <v>17151</v>
      </c>
      <c r="E4899" s="20"/>
      <c r="F4899" s="19" t="s">
        <v>414</v>
      </c>
      <c r="G4899" s="19" t="s">
        <v>415</v>
      </c>
      <c r="H4899" s="37" t="s">
        <v>55</v>
      </c>
      <c r="I4899" s="37" t="s">
        <v>233</v>
      </c>
      <c r="J4899" s="155" t="str">
        <f t="shared" si="10"/>
        <v>NTT</v>
      </c>
      <c r="K4899" s="22"/>
      <c r="L4899" s="56">
        <v>45131</v>
      </c>
      <c r="P4899" s="40"/>
      <c r="Q4899" s="61"/>
      <c r="R4899" s="61"/>
      <c r="S4899" s="40"/>
      <c r="T4899" s="38"/>
      <c r="U4899" s="38"/>
      <c r="V4899" s="38"/>
      <c r="W4899" s="60"/>
      <c r="AB4899" s="42"/>
      <c r="AC4899" s="35"/>
      <c r="AD4899" s="38"/>
      <c r="AE4899" s="38"/>
      <c r="AF4899" s="38"/>
      <c r="AG4899" s="38"/>
      <c r="AH4899" s="60"/>
    </row>
    <row r="4900" spans="1:34" ht="15.75" customHeight="1">
      <c r="A4900" s="75">
        <v>2.9</v>
      </c>
      <c r="B4900" s="78" t="s">
        <v>17152</v>
      </c>
      <c r="C4900" s="37" t="s">
        <v>412</v>
      </c>
      <c r="D4900" s="20" t="s">
        <v>17153</v>
      </c>
      <c r="E4900" s="20"/>
      <c r="F4900" s="19" t="s">
        <v>414</v>
      </c>
      <c r="G4900" s="37" t="s">
        <v>415</v>
      </c>
      <c r="H4900" s="37" t="s">
        <v>55</v>
      </c>
      <c r="I4900" s="37" t="s">
        <v>233</v>
      </c>
      <c r="J4900" s="155" t="str">
        <f t="shared" si="10"/>
        <v>NTT</v>
      </c>
      <c r="K4900" s="22"/>
      <c r="L4900" s="56">
        <v>45131</v>
      </c>
      <c r="P4900" s="40"/>
      <c r="Q4900" s="61"/>
      <c r="R4900" s="61"/>
      <c r="S4900" s="40"/>
      <c r="T4900" s="38"/>
      <c r="U4900" s="38"/>
      <c r="V4900" s="38"/>
      <c r="W4900" s="60"/>
      <c r="AB4900" s="42"/>
      <c r="AC4900" s="35"/>
      <c r="AD4900" s="38"/>
      <c r="AE4900" s="38"/>
      <c r="AF4900" s="38"/>
      <c r="AG4900" s="38"/>
      <c r="AH4900" s="60"/>
    </row>
    <row r="4901" spans="1:34" ht="15.75" customHeight="1">
      <c r="A4901" s="111" t="s">
        <v>82</v>
      </c>
      <c r="B4901" s="78" t="s">
        <v>17154</v>
      </c>
      <c r="C4901" s="37" t="s">
        <v>412</v>
      </c>
      <c r="D4901" s="20" t="s">
        <v>17155</v>
      </c>
      <c r="E4901" s="20"/>
      <c r="F4901" s="19" t="s">
        <v>414</v>
      </c>
      <c r="G4901" s="19" t="s">
        <v>415</v>
      </c>
      <c r="H4901" s="37" t="s">
        <v>55</v>
      </c>
      <c r="I4901" s="37" t="s">
        <v>233</v>
      </c>
      <c r="J4901" s="155" t="str">
        <f t="shared" si="10"/>
        <v>NTT</v>
      </c>
      <c r="K4901" s="22"/>
      <c r="L4901" s="56">
        <v>45131</v>
      </c>
      <c r="P4901" s="40"/>
      <c r="Q4901" s="61"/>
      <c r="R4901" s="61"/>
      <c r="S4901" s="40"/>
      <c r="T4901" s="38"/>
      <c r="U4901" s="38"/>
      <c r="V4901" s="38"/>
      <c r="W4901" s="60"/>
      <c r="AB4901" s="42"/>
      <c r="AC4901" s="35"/>
      <c r="AD4901" s="38"/>
      <c r="AE4901" s="38"/>
      <c r="AF4901" s="38"/>
      <c r="AG4901" s="38"/>
      <c r="AH4901" s="60"/>
    </row>
    <row r="4902" spans="1:34" ht="15.75" customHeight="1">
      <c r="A4902" s="112" t="s">
        <v>17156</v>
      </c>
      <c r="B4902" s="78" t="s">
        <v>17157</v>
      </c>
      <c r="C4902" s="37" t="s">
        <v>412</v>
      </c>
      <c r="D4902" s="20" t="s">
        <v>17158</v>
      </c>
      <c r="E4902" s="20" t="s">
        <v>17159</v>
      </c>
      <c r="F4902" s="19" t="s">
        <v>414</v>
      </c>
      <c r="G4902" s="37" t="s">
        <v>415</v>
      </c>
      <c r="H4902" s="37" t="s">
        <v>55</v>
      </c>
      <c r="I4902" s="37" t="s">
        <v>233</v>
      </c>
      <c r="J4902" s="155" t="str">
        <f t="shared" si="10"/>
        <v>NTT</v>
      </c>
      <c r="K4902" s="22" t="s">
        <v>17160</v>
      </c>
      <c r="L4902" s="56">
        <v>45131</v>
      </c>
      <c r="P4902" s="40"/>
      <c r="Q4902" s="61"/>
      <c r="R4902" s="61"/>
      <c r="S4902" s="40"/>
      <c r="T4902" s="38"/>
      <c r="U4902" s="38"/>
      <c r="V4902" s="38"/>
      <c r="W4902" s="60"/>
      <c r="AB4902" s="42"/>
      <c r="AC4902" s="35"/>
      <c r="AD4902" s="38"/>
      <c r="AE4902" s="38"/>
      <c r="AF4902" s="38"/>
      <c r="AG4902" s="38"/>
      <c r="AH4902" s="60"/>
    </row>
    <row r="4903" spans="1:34" ht="15.75" customHeight="1">
      <c r="A4903" s="111" t="s">
        <v>92</v>
      </c>
      <c r="B4903" s="78" t="s">
        <v>17161</v>
      </c>
      <c r="C4903" s="37" t="s">
        <v>412</v>
      </c>
      <c r="D4903" s="20" t="s">
        <v>17162</v>
      </c>
      <c r="E4903" s="20"/>
      <c r="F4903" s="19" t="s">
        <v>414</v>
      </c>
      <c r="G4903" s="19" t="s">
        <v>415</v>
      </c>
      <c r="H4903" s="37" t="s">
        <v>55</v>
      </c>
      <c r="I4903" s="37" t="s">
        <v>233</v>
      </c>
      <c r="J4903" s="155" t="str">
        <f t="shared" si="10"/>
        <v>NTT</v>
      </c>
      <c r="K4903" s="22"/>
      <c r="L4903" s="56">
        <v>45131</v>
      </c>
      <c r="P4903" s="40"/>
      <c r="Q4903" s="61"/>
      <c r="R4903" s="61"/>
      <c r="S4903" s="40"/>
      <c r="T4903" s="38"/>
      <c r="U4903" s="38"/>
      <c r="V4903" s="38"/>
      <c r="W4903" s="60"/>
      <c r="AB4903" s="42"/>
      <c r="AC4903" s="35"/>
      <c r="AD4903" s="38"/>
      <c r="AE4903" s="38"/>
      <c r="AF4903" s="38"/>
      <c r="AG4903" s="38"/>
      <c r="AH4903" s="60"/>
    </row>
    <row r="4904" spans="1:34" ht="15.75" customHeight="1">
      <c r="A4904" s="17">
        <v>150</v>
      </c>
      <c r="B4904" s="78" t="s">
        <v>17163</v>
      </c>
      <c r="C4904" s="37" t="s">
        <v>412</v>
      </c>
      <c r="D4904" s="20" t="s">
        <v>17164</v>
      </c>
      <c r="E4904" s="20"/>
      <c r="F4904" s="19" t="s">
        <v>414</v>
      </c>
      <c r="G4904" s="37" t="s">
        <v>415</v>
      </c>
      <c r="H4904" s="37" t="s">
        <v>55</v>
      </c>
      <c r="I4904" s="37" t="s">
        <v>233</v>
      </c>
      <c r="J4904" s="155" t="str">
        <f t="shared" si="10"/>
        <v>NTT</v>
      </c>
      <c r="K4904" s="22"/>
      <c r="L4904" s="56">
        <v>45131</v>
      </c>
      <c r="P4904" s="40"/>
      <c r="Q4904" s="61"/>
      <c r="R4904" s="61"/>
      <c r="S4904" s="40"/>
      <c r="T4904" s="38"/>
      <c r="U4904" s="38"/>
      <c r="V4904" s="38"/>
      <c r="W4904" s="60"/>
      <c r="AB4904" s="42"/>
      <c r="AC4904" s="35"/>
      <c r="AD4904" s="38"/>
      <c r="AE4904" s="38"/>
      <c r="AF4904" s="38"/>
      <c r="AG4904" s="38"/>
      <c r="AH4904" s="60"/>
    </row>
    <row r="4905" spans="1:34" ht="15.75" customHeight="1">
      <c r="A4905" s="111" t="s">
        <v>100</v>
      </c>
      <c r="B4905" s="78" t="s">
        <v>17165</v>
      </c>
      <c r="C4905" s="37" t="s">
        <v>87</v>
      </c>
      <c r="D4905" s="20" t="s">
        <v>17166</v>
      </c>
      <c r="E4905" s="20"/>
      <c r="F4905" s="19" t="s">
        <v>90</v>
      </c>
      <c r="G4905" s="19" t="s">
        <v>91</v>
      </c>
      <c r="H4905" s="37" t="s">
        <v>55</v>
      </c>
      <c r="I4905" s="37" t="s">
        <v>29</v>
      </c>
      <c r="J4905" s="155" t="str">
        <f t="shared" si="10"/>
        <v>TT</v>
      </c>
      <c r="K4905" s="22"/>
      <c r="L4905" s="56">
        <v>45131</v>
      </c>
      <c r="P4905" s="40"/>
      <c r="Q4905" s="61"/>
      <c r="R4905" s="61"/>
      <c r="S4905" s="40"/>
      <c r="T4905" s="38"/>
      <c r="U4905" s="38"/>
      <c r="V4905" s="38"/>
      <c r="W4905" s="60"/>
      <c r="AB4905" s="42"/>
      <c r="AC4905" s="35"/>
      <c r="AD4905" s="38"/>
      <c r="AE4905" s="38"/>
      <c r="AF4905" s="38"/>
      <c r="AG4905" s="38"/>
      <c r="AH4905" s="60"/>
    </row>
    <row r="4906" spans="1:34" ht="15.75" customHeight="1">
      <c r="A4906" s="17" t="s">
        <v>55</v>
      </c>
      <c r="B4906" s="78" t="s">
        <v>17167</v>
      </c>
      <c r="C4906" s="37" t="s">
        <v>87</v>
      </c>
      <c r="D4906" s="20" t="s">
        <v>17168</v>
      </c>
      <c r="E4906" s="20" t="s">
        <v>17169</v>
      </c>
      <c r="F4906" s="19" t="s">
        <v>90</v>
      </c>
      <c r="G4906" s="19" t="s">
        <v>91</v>
      </c>
      <c r="H4906" s="37" t="s">
        <v>55</v>
      </c>
      <c r="I4906" s="37" t="s">
        <v>29</v>
      </c>
      <c r="J4906" s="155" t="str">
        <f t="shared" si="10"/>
        <v>TT</v>
      </c>
      <c r="K4906" s="22" t="s">
        <v>17170</v>
      </c>
      <c r="L4906" s="56">
        <v>45131</v>
      </c>
      <c r="P4906" s="40"/>
      <c r="Q4906" s="61"/>
      <c r="R4906" s="61"/>
      <c r="S4906" s="40"/>
      <c r="T4906" s="38"/>
      <c r="U4906" s="38"/>
      <c r="V4906" s="38"/>
      <c r="W4906" s="60"/>
      <c r="AB4906" s="42"/>
      <c r="AC4906" s="35"/>
      <c r="AD4906" s="38"/>
      <c r="AE4906" s="38"/>
      <c r="AF4906" s="38"/>
      <c r="AG4906" s="38"/>
      <c r="AH4906" s="60"/>
    </row>
    <row r="4907" spans="1:34" ht="15.75" customHeight="1">
      <c r="A4907" s="254"/>
      <c r="B4907" s="78" t="s">
        <v>17171</v>
      </c>
      <c r="C4907" s="37" t="s">
        <v>87</v>
      </c>
      <c r="D4907" s="20" t="s">
        <v>17172</v>
      </c>
      <c r="E4907" s="20" t="s">
        <v>17173</v>
      </c>
      <c r="F4907" s="19" t="s">
        <v>90</v>
      </c>
      <c r="G4907" s="19" t="s">
        <v>91</v>
      </c>
      <c r="H4907" s="37" t="s">
        <v>55</v>
      </c>
      <c r="I4907" s="37" t="s">
        <v>29</v>
      </c>
      <c r="J4907" s="155" t="str">
        <f t="shared" si="10"/>
        <v>TT</v>
      </c>
      <c r="K4907" s="22" t="s">
        <v>17174</v>
      </c>
      <c r="L4907" s="56">
        <v>45131</v>
      </c>
      <c r="P4907" s="40"/>
      <c r="Q4907" s="61"/>
      <c r="R4907" s="61"/>
      <c r="S4907" s="40"/>
      <c r="T4907" s="38"/>
      <c r="U4907" s="38"/>
      <c r="V4907" s="38"/>
      <c r="W4907" s="60"/>
      <c r="AB4907" s="42"/>
      <c r="AC4907" s="35"/>
      <c r="AD4907" s="38"/>
      <c r="AE4907" s="38"/>
      <c r="AF4907" s="38"/>
      <c r="AG4907" s="38"/>
      <c r="AH4907" s="60"/>
    </row>
    <row r="4908" spans="1:34" ht="15.75" customHeight="1">
      <c r="A4908" s="254"/>
      <c r="B4908" s="38"/>
      <c r="C4908" s="37"/>
      <c r="D4908" s="20"/>
      <c r="E4908" s="20"/>
      <c r="F4908" s="37"/>
      <c r="G4908" s="37"/>
      <c r="H4908" s="37"/>
      <c r="I4908" s="37"/>
      <c r="J4908" s="155">
        <f t="shared" si="10"/>
        <v>0</v>
      </c>
      <c r="K4908" s="22"/>
      <c r="L4908" s="39"/>
      <c r="P4908" s="40"/>
      <c r="Q4908" s="61"/>
      <c r="R4908" s="61"/>
      <c r="S4908" s="40"/>
      <c r="T4908" s="38"/>
      <c r="U4908" s="38"/>
      <c r="V4908" s="38"/>
      <c r="W4908" s="60"/>
      <c r="AB4908" s="42"/>
      <c r="AC4908" s="35"/>
      <c r="AD4908" s="38"/>
      <c r="AE4908" s="38"/>
      <c r="AF4908" s="38"/>
      <c r="AG4908" s="38"/>
      <c r="AH4908" s="60"/>
    </row>
    <row r="4909" spans="1:34" ht="15.75" customHeight="1">
      <c r="A4909" s="35" t="s">
        <v>17175</v>
      </c>
      <c r="B4909" s="38" t="s">
        <v>17176</v>
      </c>
      <c r="C4909" s="37" t="s">
        <v>24</v>
      </c>
      <c r="D4909" s="20" t="s">
        <v>17177</v>
      </c>
      <c r="E4909" s="20" t="s">
        <v>17178</v>
      </c>
      <c r="F4909" s="19" t="s">
        <v>27</v>
      </c>
      <c r="G4909" s="19" t="s">
        <v>28</v>
      </c>
      <c r="H4909" s="37" t="s">
        <v>55</v>
      </c>
      <c r="I4909" s="37" t="s">
        <v>29</v>
      </c>
      <c r="J4909" s="155" t="str">
        <f t="shared" si="10"/>
        <v>TT</v>
      </c>
      <c r="K4909" s="22" t="s">
        <v>17179</v>
      </c>
      <c r="L4909" s="56">
        <v>45131</v>
      </c>
      <c r="M4909" s="40"/>
      <c r="P4909" s="40"/>
      <c r="Q4909" s="61"/>
      <c r="R4909" s="61"/>
      <c r="S4909" s="40"/>
      <c r="T4909" s="38"/>
      <c r="U4909" s="38"/>
      <c r="V4909" s="38"/>
      <c r="W4909" s="60"/>
      <c r="AB4909" s="42"/>
      <c r="AC4909" s="35"/>
      <c r="AD4909" s="38"/>
      <c r="AE4909" s="38"/>
      <c r="AF4909" s="38"/>
      <c r="AG4909" s="38"/>
      <c r="AH4909" s="60"/>
    </row>
    <row r="4910" spans="1:34" ht="15.75" customHeight="1">
      <c r="A4910" s="54" t="s">
        <v>2714</v>
      </c>
      <c r="B4910" s="38" t="s">
        <v>17180</v>
      </c>
      <c r="C4910" s="37" t="s">
        <v>24</v>
      </c>
      <c r="D4910" s="20" t="s">
        <v>17181</v>
      </c>
      <c r="E4910" s="20" t="s">
        <v>17182</v>
      </c>
      <c r="F4910" s="19" t="s">
        <v>27</v>
      </c>
      <c r="G4910" s="19" t="s">
        <v>28</v>
      </c>
      <c r="H4910" s="37" t="s">
        <v>55</v>
      </c>
      <c r="I4910" s="37" t="s">
        <v>29</v>
      </c>
      <c r="J4910" s="155" t="str">
        <f t="shared" si="10"/>
        <v>TT</v>
      </c>
      <c r="K4910" s="22" t="s">
        <v>17183</v>
      </c>
      <c r="L4910" s="56">
        <v>45131</v>
      </c>
      <c r="P4910" s="40"/>
      <c r="Q4910" s="61"/>
      <c r="R4910" s="61"/>
      <c r="S4910" s="40"/>
      <c r="T4910" s="38"/>
      <c r="U4910" s="38"/>
      <c r="V4910" s="38"/>
      <c r="W4910" s="60"/>
      <c r="AB4910" s="42"/>
      <c r="AC4910" s="35"/>
      <c r="AD4910" s="38"/>
      <c r="AE4910" s="38"/>
      <c r="AF4910" s="38"/>
      <c r="AG4910" s="38"/>
      <c r="AH4910" s="60"/>
    </row>
    <row r="4911" spans="1:34" ht="15.75" customHeight="1">
      <c r="A4911" s="114" t="s">
        <v>39</v>
      </c>
      <c r="B4911" s="38" t="s">
        <v>17184</v>
      </c>
      <c r="C4911" s="37" t="s">
        <v>87</v>
      </c>
      <c r="D4911" s="20" t="s">
        <v>17185</v>
      </c>
      <c r="E4911" s="20" t="s">
        <v>17186</v>
      </c>
      <c r="F4911" s="19" t="s">
        <v>90</v>
      </c>
      <c r="G4911" s="19" t="s">
        <v>91</v>
      </c>
      <c r="H4911" s="37" t="s">
        <v>55</v>
      </c>
      <c r="I4911" s="37" t="s">
        <v>29</v>
      </c>
      <c r="J4911" s="155" t="str">
        <f t="shared" si="10"/>
        <v>TT</v>
      </c>
      <c r="K4911" s="22" t="s">
        <v>17187</v>
      </c>
      <c r="L4911" s="56">
        <v>45131</v>
      </c>
      <c r="P4911" s="40"/>
      <c r="Q4911" s="61"/>
      <c r="R4911" s="61"/>
      <c r="S4911" s="40"/>
      <c r="T4911" s="38"/>
      <c r="U4911" s="38"/>
      <c r="V4911" s="38"/>
      <c r="W4911" s="60"/>
      <c r="AB4911" s="42"/>
      <c r="AC4911" s="35"/>
      <c r="AD4911" s="38"/>
      <c r="AE4911" s="38"/>
      <c r="AF4911" s="38"/>
      <c r="AG4911" s="38"/>
      <c r="AH4911" s="60"/>
    </row>
    <row r="4912" spans="1:34" ht="15.75" customHeight="1">
      <c r="A4912" s="38" t="s">
        <v>16979</v>
      </c>
      <c r="B4912" s="38" t="s">
        <v>17188</v>
      </c>
      <c r="C4912" s="37" t="s">
        <v>87</v>
      </c>
      <c r="D4912" s="20" t="s">
        <v>17189</v>
      </c>
      <c r="E4912" s="20" t="s">
        <v>17190</v>
      </c>
      <c r="F4912" s="19" t="s">
        <v>90</v>
      </c>
      <c r="G4912" s="19" t="s">
        <v>91</v>
      </c>
      <c r="H4912" s="37" t="s">
        <v>55</v>
      </c>
      <c r="I4912" s="37" t="s">
        <v>29</v>
      </c>
      <c r="J4912" s="155" t="str">
        <f t="shared" si="10"/>
        <v>TT</v>
      </c>
      <c r="K4912" s="22" t="s">
        <v>17191</v>
      </c>
      <c r="L4912" s="56">
        <v>45131</v>
      </c>
      <c r="P4912" s="40"/>
      <c r="Q4912" s="61"/>
      <c r="R4912" s="61"/>
      <c r="S4912" s="40"/>
      <c r="T4912" s="38"/>
      <c r="U4912" s="38"/>
      <c r="V4912" s="38"/>
      <c r="W4912" s="60"/>
      <c r="AB4912" s="42"/>
      <c r="AC4912" s="35"/>
      <c r="AD4912" s="38"/>
      <c r="AE4912" s="38"/>
      <c r="AF4912" s="38"/>
      <c r="AG4912" s="38"/>
      <c r="AH4912" s="60"/>
    </row>
    <row r="4913" spans="1:34" ht="15.75" customHeight="1">
      <c r="A4913" s="75" t="s">
        <v>17192</v>
      </c>
      <c r="B4913" s="38" t="s">
        <v>17193</v>
      </c>
      <c r="C4913" s="37" t="s">
        <v>24</v>
      </c>
      <c r="D4913" s="20" t="s">
        <v>17194</v>
      </c>
      <c r="E4913" s="20"/>
      <c r="F4913" s="19" t="s">
        <v>27</v>
      </c>
      <c r="G4913" s="19" t="s">
        <v>28</v>
      </c>
      <c r="H4913" s="37" t="s">
        <v>55</v>
      </c>
      <c r="I4913" s="37" t="s">
        <v>29</v>
      </c>
      <c r="J4913" s="155" t="str">
        <f t="shared" si="10"/>
        <v>TT</v>
      </c>
      <c r="K4913" s="22"/>
      <c r="L4913" s="56">
        <v>45131</v>
      </c>
      <c r="P4913" s="40"/>
      <c r="Q4913" s="61"/>
      <c r="R4913" s="61"/>
      <c r="S4913" s="40"/>
      <c r="T4913" s="38"/>
      <c r="U4913" s="38"/>
      <c r="V4913" s="38"/>
      <c r="W4913" s="60"/>
      <c r="AB4913" s="42"/>
      <c r="AC4913" s="35"/>
      <c r="AD4913" s="38"/>
      <c r="AE4913" s="38"/>
      <c r="AF4913" s="38"/>
      <c r="AG4913" s="38"/>
      <c r="AH4913" s="60"/>
    </row>
    <row r="4914" spans="1:34" ht="15.75" customHeight="1">
      <c r="A4914" s="50" t="s">
        <v>56</v>
      </c>
      <c r="B4914" s="38" t="s">
        <v>17195</v>
      </c>
      <c r="C4914" s="37" t="s">
        <v>24</v>
      </c>
      <c r="D4914" s="20" t="s">
        <v>17196</v>
      </c>
      <c r="E4914" s="20" t="s">
        <v>17197</v>
      </c>
      <c r="F4914" s="19" t="s">
        <v>27</v>
      </c>
      <c r="G4914" s="19" t="s">
        <v>28</v>
      </c>
      <c r="H4914" s="37" t="s">
        <v>55</v>
      </c>
      <c r="I4914" s="37" t="s">
        <v>29</v>
      </c>
      <c r="J4914" s="155" t="str">
        <f t="shared" si="10"/>
        <v>TT</v>
      </c>
      <c r="K4914" s="22" t="s">
        <v>17198</v>
      </c>
      <c r="L4914" s="56">
        <v>45131</v>
      </c>
      <c r="P4914" s="40"/>
      <c r="Q4914" s="61"/>
      <c r="R4914" s="61"/>
      <c r="S4914" s="40"/>
      <c r="T4914" s="38"/>
      <c r="U4914" s="38"/>
      <c r="V4914" s="38"/>
      <c r="W4914" s="60"/>
      <c r="AB4914" s="42"/>
      <c r="AC4914" s="35"/>
      <c r="AD4914" s="38"/>
      <c r="AE4914" s="38"/>
      <c r="AF4914" s="38"/>
      <c r="AG4914" s="38"/>
      <c r="AH4914" s="60"/>
    </row>
    <row r="4915" spans="1:34" ht="15.75" customHeight="1">
      <c r="A4915" s="17">
        <v>35</v>
      </c>
      <c r="B4915" s="38" t="s">
        <v>17199</v>
      </c>
      <c r="C4915" s="37" t="s">
        <v>46</v>
      </c>
      <c r="D4915" s="20" t="s">
        <v>17200</v>
      </c>
      <c r="E4915" s="20" t="s">
        <v>17201</v>
      </c>
      <c r="F4915" s="37" t="s">
        <v>49</v>
      </c>
      <c r="G4915" s="19" t="s">
        <v>50</v>
      </c>
      <c r="H4915" s="37" t="s">
        <v>55</v>
      </c>
      <c r="I4915" s="37" t="s">
        <v>29</v>
      </c>
      <c r="J4915" s="155" t="str">
        <f t="shared" si="10"/>
        <v>TT</v>
      </c>
      <c r="K4915" s="22" t="s">
        <v>17202</v>
      </c>
      <c r="L4915" s="56">
        <v>45131</v>
      </c>
      <c r="P4915" s="40"/>
      <c r="Q4915" s="61"/>
      <c r="R4915" s="61"/>
      <c r="S4915" s="40"/>
      <c r="T4915" s="38"/>
      <c r="U4915" s="38"/>
      <c r="V4915" s="38"/>
      <c r="W4915" s="60"/>
      <c r="AB4915" s="42"/>
      <c r="AC4915" s="35"/>
      <c r="AD4915" s="38"/>
      <c r="AE4915" s="38"/>
      <c r="AF4915" s="38"/>
      <c r="AG4915" s="38"/>
      <c r="AH4915" s="60"/>
    </row>
    <row r="4916" spans="1:34" ht="15.75" customHeight="1">
      <c r="A4916" s="111" t="s">
        <v>64</v>
      </c>
      <c r="B4916" s="38" t="s">
        <v>17203</v>
      </c>
      <c r="C4916" s="37" t="s">
        <v>24</v>
      </c>
      <c r="D4916" s="20" t="s">
        <v>17204</v>
      </c>
      <c r="E4916" s="20" t="s">
        <v>17205</v>
      </c>
      <c r="F4916" s="19" t="s">
        <v>27</v>
      </c>
      <c r="G4916" s="19" t="s">
        <v>28</v>
      </c>
      <c r="H4916" s="37" t="s">
        <v>55</v>
      </c>
      <c r="I4916" s="37" t="s">
        <v>29</v>
      </c>
      <c r="J4916" s="155" t="str">
        <f t="shared" si="10"/>
        <v>TT</v>
      </c>
      <c r="K4916" s="22" t="s">
        <v>17206</v>
      </c>
      <c r="L4916" s="56">
        <v>45131</v>
      </c>
      <c r="P4916" s="40"/>
      <c r="Q4916" s="61"/>
      <c r="R4916" s="61"/>
      <c r="S4916" s="40"/>
      <c r="T4916" s="38"/>
      <c r="U4916" s="38"/>
      <c r="V4916" s="38"/>
      <c r="W4916" s="60"/>
      <c r="AB4916" s="42"/>
      <c r="AC4916" s="35"/>
      <c r="AD4916" s="38"/>
      <c r="AE4916" s="38"/>
      <c r="AF4916" s="38"/>
      <c r="AG4916" s="38"/>
      <c r="AH4916" s="60"/>
    </row>
    <row r="4917" spans="1:34" ht="15.75" customHeight="1">
      <c r="A4917" s="75">
        <v>2.2000000000000002</v>
      </c>
      <c r="B4917" s="38" t="s">
        <v>17207</v>
      </c>
      <c r="C4917" s="37" t="s">
        <v>87</v>
      </c>
      <c r="D4917" s="20" t="s">
        <v>17208</v>
      </c>
      <c r="E4917" s="20" t="s">
        <v>17209</v>
      </c>
      <c r="F4917" s="19" t="s">
        <v>90</v>
      </c>
      <c r="G4917" s="19" t="s">
        <v>91</v>
      </c>
      <c r="H4917" s="37" t="s">
        <v>55</v>
      </c>
      <c r="I4917" s="37" t="s">
        <v>29</v>
      </c>
      <c r="J4917" s="155" t="str">
        <f t="shared" si="10"/>
        <v>TT</v>
      </c>
      <c r="K4917" s="22" t="s">
        <v>17210</v>
      </c>
      <c r="L4917" s="56">
        <v>45131</v>
      </c>
      <c r="P4917" s="40"/>
      <c r="Q4917" s="61"/>
      <c r="R4917" s="61"/>
      <c r="S4917" s="40"/>
      <c r="T4917" s="38"/>
      <c r="U4917" s="38"/>
      <c r="V4917" s="38"/>
      <c r="W4917" s="60"/>
      <c r="AB4917" s="42"/>
      <c r="AC4917" s="35"/>
      <c r="AD4917" s="38"/>
      <c r="AE4917" s="38"/>
      <c r="AF4917" s="38"/>
      <c r="AG4917" s="38"/>
      <c r="AH4917" s="60"/>
    </row>
    <row r="4918" spans="1:34" ht="15.75" customHeight="1">
      <c r="A4918" s="111" t="s">
        <v>73</v>
      </c>
      <c r="B4918" s="38" t="s">
        <v>17211</v>
      </c>
      <c r="C4918" s="37" t="s">
        <v>87</v>
      </c>
      <c r="D4918" s="20" t="s">
        <v>17212</v>
      </c>
      <c r="E4918" s="20" t="s">
        <v>17213</v>
      </c>
      <c r="F4918" s="19" t="s">
        <v>90</v>
      </c>
      <c r="G4918" s="19" t="s">
        <v>91</v>
      </c>
      <c r="H4918" s="37" t="s">
        <v>55</v>
      </c>
      <c r="I4918" s="37" t="s">
        <v>29</v>
      </c>
      <c r="J4918" s="155" t="str">
        <f t="shared" si="10"/>
        <v>TT</v>
      </c>
      <c r="K4918" s="22" t="s">
        <v>17214</v>
      </c>
      <c r="L4918" s="56">
        <v>45131</v>
      </c>
      <c r="P4918" s="40"/>
      <c r="Q4918" s="61"/>
      <c r="R4918" s="61"/>
      <c r="S4918" s="40"/>
      <c r="T4918" s="38"/>
      <c r="U4918" s="38"/>
      <c r="V4918" s="38"/>
      <c r="W4918" s="60"/>
      <c r="AB4918" s="42"/>
      <c r="AC4918" s="35"/>
      <c r="AD4918" s="38"/>
      <c r="AE4918" s="38"/>
      <c r="AF4918" s="38"/>
      <c r="AG4918" s="38"/>
      <c r="AH4918" s="60"/>
    </row>
    <row r="4919" spans="1:34" ht="15.75" customHeight="1">
      <c r="A4919" s="75">
        <v>2.8</v>
      </c>
      <c r="B4919" s="38" t="s">
        <v>17215</v>
      </c>
      <c r="C4919" s="37" t="s">
        <v>87</v>
      </c>
      <c r="D4919" s="20" t="s">
        <v>17216</v>
      </c>
      <c r="E4919" s="20" t="s">
        <v>17217</v>
      </c>
      <c r="F4919" s="19" t="s">
        <v>90</v>
      </c>
      <c r="G4919" s="19" t="s">
        <v>91</v>
      </c>
      <c r="H4919" s="37" t="s">
        <v>55</v>
      </c>
      <c r="I4919" s="37" t="s">
        <v>29</v>
      </c>
      <c r="J4919" s="155" t="str">
        <f t="shared" si="10"/>
        <v>TT</v>
      </c>
      <c r="K4919" s="22" t="s">
        <v>17218</v>
      </c>
      <c r="L4919" s="56">
        <v>45131</v>
      </c>
      <c r="P4919" s="40"/>
      <c r="Q4919" s="61"/>
      <c r="R4919" s="61"/>
      <c r="S4919" s="40"/>
      <c r="T4919" s="38"/>
      <c r="U4919" s="38"/>
      <c r="V4919" s="38"/>
      <c r="W4919" s="60"/>
      <c r="AB4919" s="42"/>
      <c r="AC4919" s="35"/>
      <c r="AD4919" s="38"/>
      <c r="AE4919" s="38"/>
      <c r="AF4919" s="38"/>
      <c r="AG4919" s="38"/>
      <c r="AH4919" s="60"/>
    </row>
    <row r="4920" spans="1:34" ht="15.75" customHeight="1">
      <c r="A4920" s="111" t="s">
        <v>82</v>
      </c>
      <c r="B4920" s="38" t="s">
        <v>17219</v>
      </c>
      <c r="C4920" s="37" t="s">
        <v>87</v>
      </c>
      <c r="D4920" s="20" t="s">
        <v>17220</v>
      </c>
      <c r="E4920" s="20" t="s">
        <v>17221</v>
      </c>
      <c r="F4920" s="19" t="s">
        <v>90</v>
      </c>
      <c r="G4920" s="19" t="s">
        <v>91</v>
      </c>
      <c r="H4920" s="37" t="s">
        <v>55</v>
      </c>
      <c r="I4920" s="37" t="s">
        <v>29</v>
      </c>
      <c r="J4920" s="155" t="str">
        <f t="shared" si="10"/>
        <v>TT</v>
      </c>
      <c r="K4920" s="22" t="s">
        <v>17222</v>
      </c>
      <c r="L4920" s="56">
        <v>45131</v>
      </c>
      <c r="P4920" s="40"/>
      <c r="Q4920" s="61"/>
      <c r="R4920" s="61"/>
      <c r="S4920" s="40"/>
      <c r="T4920" s="38"/>
      <c r="U4920" s="38"/>
      <c r="V4920" s="38"/>
      <c r="W4920" s="60"/>
      <c r="AB4920" s="42"/>
      <c r="AC4920" s="35"/>
      <c r="AD4920" s="38"/>
      <c r="AE4920" s="38"/>
      <c r="AF4920" s="38"/>
      <c r="AG4920" s="38"/>
      <c r="AH4920" s="60"/>
    </row>
    <row r="4921" spans="1:34" ht="15.75" customHeight="1">
      <c r="A4921" s="112" t="s">
        <v>17223</v>
      </c>
      <c r="B4921" s="38" t="s">
        <v>17224</v>
      </c>
      <c r="C4921" s="37" t="s">
        <v>87</v>
      </c>
      <c r="D4921" s="20" t="s">
        <v>17225</v>
      </c>
      <c r="E4921" s="20" t="s">
        <v>17226</v>
      </c>
      <c r="F4921" s="19" t="s">
        <v>90</v>
      </c>
      <c r="G4921" s="19" t="s">
        <v>91</v>
      </c>
      <c r="H4921" s="37" t="s">
        <v>55</v>
      </c>
      <c r="I4921" s="37" t="s">
        <v>29</v>
      </c>
      <c r="J4921" s="155" t="str">
        <f t="shared" si="10"/>
        <v>TT</v>
      </c>
      <c r="K4921" s="22" t="s">
        <v>17227</v>
      </c>
      <c r="L4921" s="56">
        <v>45131</v>
      </c>
      <c r="P4921" s="40"/>
      <c r="Q4921" s="61"/>
      <c r="R4921" s="61"/>
      <c r="S4921" s="40"/>
      <c r="T4921" s="38"/>
      <c r="U4921" s="38"/>
      <c r="V4921" s="38"/>
      <c r="W4921" s="60"/>
      <c r="AB4921" s="42"/>
      <c r="AC4921" s="35"/>
      <c r="AD4921" s="38"/>
      <c r="AE4921" s="38"/>
      <c r="AF4921" s="38"/>
      <c r="AG4921" s="38"/>
      <c r="AH4921" s="60"/>
    </row>
    <row r="4922" spans="1:34" ht="15.75" customHeight="1">
      <c r="A4922" s="111" t="s">
        <v>92</v>
      </c>
      <c r="B4922" s="38" t="s">
        <v>17228</v>
      </c>
      <c r="C4922" s="37" t="s">
        <v>46</v>
      </c>
      <c r="D4922" s="20" t="s">
        <v>17229</v>
      </c>
      <c r="E4922" s="20" t="s">
        <v>17230</v>
      </c>
      <c r="F4922" s="37" t="s">
        <v>49</v>
      </c>
      <c r="G4922" s="19" t="s">
        <v>50</v>
      </c>
      <c r="H4922" s="37" t="s">
        <v>55</v>
      </c>
      <c r="I4922" s="37" t="s">
        <v>29</v>
      </c>
      <c r="J4922" s="155" t="str">
        <f t="shared" si="10"/>
        <v>TT</v>
      </c>
      <c r="K4922" s="22" t="s">
        <v>17231</v>
      </c>
      <c r="L4922" s="56">
        <v>45131</v>
      </c>
      <c r="P4922" s="40"/>
      <c r="Q4922" s="61"/>
      <c r="R4922" s="61"/>
      <c r="S4922" s="40"/>
      <c r="T4922" s="38"/>
      <c r="U4922" s="38"/>
      <c r="V4922" s="38"/>
      <c r="W4922" s="60"/>
      <c r="AB4922" s="42"/>
      <c r="AC4922" s="35"/>
      <c r="AD4922" s="38"/>
      <c r="AE4922" s="38"/>
      <c r="AF4922" s="38"/>
      <c r="AG4922" s="38"/>
      <c r="AH4922" s="60"/>
    </row>
    <row r="4923" spans="1:34" ht="15.75" customHeight="1">
      <c r="A4923" s="17">
        <v>196</v>
      </c>
      <c r="B4923" s="38"/>
      <c r="C4923" s="37"/>
      <c r="D4923" s="20"/>
      <c r="E4923" s="20"/>
      <c r="F4923" s="37"/>
      <c r="G4923" s="37"/>
      <c r="H4923" s="37"/>
      <c r="I4923" s="37"/>
      <c r="J4923" s="155">
        <f t="shared" si="10"/>
        <v>0</v>
      </c>
      <c r="K4923" s="22"/>
      <c r="L4923" s="39"/>
      <c r="P4923" s="40"/>
      <c r="Q4923" s="61"/>
      <c r="R4923" s="61"/>
      <c r="S4923" s="40"/>
      <c r="T4923" s="38"/>
      <c r="U4923" s="38"/>
      <c r="V4923" s="38"/>
      <c r="W4923" s="60"/>
      <c r="AB4923" s="42"/>
      <c r="AC4923" s="35"/>
      <c r="AD4923" s="38"/>
      <c r="AE4923" s="38"/>
      <c r="AF4923" s="38"/>
      <c r="AG4923" s="38"/>
      <c r="AH4923" s="60"/>
    </row>
    <row r="4924" spans="1:34" ht="15.75" customHeight="1">
      <c r="A4924" s="111" t="s">
        <v>100</v>
      </c>
      <c r="B4924" s="38"/>
      <c r="C4924" s="37"/>
      <c r="D4924" s="20"/>
      <c r="E4924" s="20"/>
      <c r="F4924" s="37"/>
      <c r="G4924" s="37"/>
      <c r="H4924" s="37"/>
      <c r="I4924" s="37"/>
      <c r="J4924" s="155">
        <f t="shared" si="10"/>
        <v>0</v>
      </c>
      <c r="K4924" s="22"/>
      <c r="L4924" s="39"/>
      <c r="P4924" s="40"/>
      <c r="Q4924" s="61"/>
      <c r="R4924" s="61"/>
      <c r="S4924" s="40"/>
      <c r="T4924" s="38"/>
      <c r="U4924" s="38"/>
      <c r="V4924" s="38"/>
      <c r="W4924" s="60"/>
      <c r="AB4924" s="42"/>
      <c r="AC4924" s="35"/>
      <c r="AD4924" s="38"/>
      <c r="AE4924" s="38"/>
      <c r="AF4924" s="38"/>
      <c r="AG4924" s="38"/>
      <c r="AH4924" s="60"/>
    </row>
    <row r="4925" spans="1:34" ht="15.75" customHeight="1">
      <c r="A4925" s="17">
        <v>160</v>
      </c>
      <c r="B4925" s="38"/>
      <c r="C4925" s="37"/>
      <c r="D4925" s="20"/>
      <c r="E4925" s="20"/>
      <c r="F4925" s="37"/>
      <c r="G4925" s="37"/>
      <c r="H4925" s="37"/>
      <c r="I4925" s="37"/>
      <c r="J4925" s="155">
        <f t="shared" si="10"/>
        <v>0</v>
      </c>
      <c r="K4925" s="22"/>
      <c r="L4925" s="39"/>
      <c r="P4925" s="40"/>
      <c r="Q4925" s="61"/>
      <c r="R4925" s="61"/>
      <c r="S4925" s="40"/>
      <c r="T4925" s="38"/>
      <c r="U4925" s="38"/>
      <c r="V4925" s="38"/>
      <c r="W4925" s="60"/>
      <c r="AB4925" s="42"/>
      <c r="AC4925" s="35"/>
      <c r="AD4925" s="38"/>
      <c r="AE4925" s="38"/>
      <c r="AF4925" s="38"/>
      <c r="AG4925" s="38"/>
      <c r="AH4925" s="60"/>
    </row>
    <row r="4926" spans="1:34" ht="15.75" customHeight="1">
      <c r="A4926" s="35"/>
      <c r="B4926" s="38"/>
      <c r="C4926" s="37"/>
      <c r="D4926" s="20"/>
      <c r="E4926" s="20"/>
      <c r="F4926" s="37"/>
      <c r="G4926" s="37"/>
      <c r="H4926" s="37"/>
      <c r="I4926" s="37"/>
      <c r="J4926" s="155">
        <f t="shared" si="10"/>
        <v>0</v>
      </c>
      <c r="K4926" s="22"/>
      <c r="L4926" s="56">
        <v>45131</v>
      </c>
      <c r="M4926" s="40"/>
      <c r="P4926" s="40"/>
      <c r="Q4926" s="61"/>
      <c r="R4926" s="61"/>
      <c r="S4926" s="40"/>
      <c r="T4926" s="38"/>
      <c r="U4926" s="38"/>
      <c r="V4926" s="38"/>
      <c r="W4926" s="60"/>
      <c r="AB4926" s="42"/>
      <c r="AC4926" s="35"/>
      <c r="AD4926" s="38"/>
      <c r="AE4926" s="38"/>
      <c r="AF4926" s="38"/>
      <c r="AG4926" s="38"/>
      <c r="AH4926" s="60"/>
    </row>
    <row r="4927" spans="1:34" ht="15.75" customHeight="1">
      <c r="A4927" s="35" t="s">
        <v>17232</v>
      </c>
      <c r="B4927" s="78" t="s">
        <v>17233</v>
      </c>
      <c r="C4927" s="37" t="s">
        <v>1430</v>
      </c>
      <c r="D4927" s="20" t="s">
        <v>17234</v>
      </c>
      <c r="E4927" s="20"/>
      <c r="F4927" s="55" t="s">
        <v>1445</v>
      </c>
      <c r="G4927" s="55" t="s">
        <v>1432</v>
      </c>
      <c r="H4927" s="37"/>
      <c r="I4927" s="37" t="s">
        <v>233</v>
      </c>
      <c r="J4927" s="155" t="str">
        <f t="shared" si="10"/>
        <v>NTT</v>
      </c>
      <c r="K4927" s="22"/>
      <c r="L4927" s="56">
        <v>45131</v>
      </c>
      <c r="P4927" s="40"/>
      <c r="Q4927" s="61"/>
      <c r="R4927" s="61"/>
      <c r="S4927" s="40"/>
      <c r="T4927" s="38"/>
      <c r="U4927" s="38"/>
      <c r="V4927" s="38"/>
      <c r="W4927" s="60"/>
      <c r="AB4927" s="42"/>
      <c r="AC4927" s="35"/>
      <c r="AD4927" s="38"/>
      <c r="AE4927" s="38"/>
      <c r="AF4927" s="38"/>
      <c r="AG4927" s="38"/>
      <c r="AH4927" s="60"/>
    </row>
    <row r="4928" spans="1:34" ht="15.75" customHeight="1">
      <c r="A4928" s="54" t="s">
        <v>2714</v>
      </c>
      <c r="B4928" s="78" t="s">
        <v>17235</v>
      </c>
      <c r="C4928" s="37" t="s">
        <v>412</v>
      </c>
      <c r="D4928" s="20" t="s">
        <v>17236</v>
      </c>
      <c r="E4928" s="20"/>
      <c r="F4928" s="19" t="s">
        <v>414</v>
      </c>
      <c r="G4928" s="19" t="s">
        <v>415</v>
      </c>
      <c r="H4928" s="37"/>
      <c r="I4928" s="37" t="s">
        <v>233</v>
      </c>
      <c r="J4928" s="155" t="str">
        <f t="shared" si="10"/>
        <v>NTT</v>
      </c>
      <c r="K4928" s="22"/>
      <c r="L4928" s="56">
        <v>45131</v>
      </c>
      <c r="P4928" s="40"/>
      <c r="Q4928" s="61"/>
      <c r="R4928" s="61"/>
      <c r="S4928" s="40"/>
      <c r="T4928" s="38"/>
      <c r="U4928" s="38"/>
      <c r="V4928" s="38"/>
      <c r="W4928" s="60"/>
      <c r="AB4928" s="42"/>
      <c r="AC4928" s="35"/>
      <c r="AD4928" s="38"/>
      <c r="AE4928" s="38"/>
      <c r="AF4928" s="38"/>
      <c r="AG4928" s="38"/>
      <c r="AH4928" s="60"/>
    </row>
    <row r="4929" spans="1:34" ht="15.75" customHeight="1">
      <c r="A4929" s="114" t="s">
        <v>39</v>
      </c>
      <c r="B4929" s="78" t="s">
        <v>17237</v>
      </c>
      <c r="C4929" s="37" t="s">
        <v>46</v>
      </c>
      <c r="D4929" s="20" t="s">
        <v>17238</v>
      </c>
      <c r="E4929" s="20"/>
      <c r="F4929" s="37" t="s">
        <v>49</v>
      </c>
      <c r="G4929" s="19" t="s">
        <v>50</v>
      </c>
      <c r="H4929" s="37"/>
      <c r="I4929" s="37" t="s">
        <v>29</v>
      </c>
      <c r="J4929" s="155" t="str">
        <f t="shared" si="10"/>
        <v>TT</v>
      </c>
      <c r="K4929" s="22"/>
      <c r="L4929" s="56">
        <v>45131</v>
      </c>
      <c r="P4929" s="40"/>
      <c r="Q4929" s="61"/>
      <c r="R4929" s="61"/>
      <c r="S4929" s="40"/>
      <c r="T4929" s="38"/>
      <c r="U4929" s="38"/>
      <c r="V4929" s="38"/>
      <c r="W4929" s="60"/>
      <c r="AB4929" s="42"/>
      <c r="AC4929" s="35"/>
      <c r="AD4929" s="38"/>
      <c r="AE4929" s="38"/>
      <c r="AF4929" s="38"/>
      <c r="AG4929" s="38"/>
      <c r="AH4929" s="60"/>
    </row>
    <row r="4930" spans="1:34" ht="15.75" customHeight="1">
      <c r="A4930" s="38" t="s">
        <v>16979</v>
      </c>
      <c r="B4930" s="78" t="s">
        <v>17239</v>
      </c>
      <c r="C4930" s="37" t="s">
        <v>1430</v>
      </c>
      <c r="D4930" s="20" t="s">
        <v>17240</v>
      </c>
      <c r="E4930" s="20"/>
      <c r="F4930" s="55" t="s">
        <v>1445</v>
      </c>
      <c r="G4930" s="55" t="s">
        <v>1432</v>
      </c>
      <c r="H4930" s="37"/>
      <c r="I4930" s="37" t="s">
        <v>233</v>
      </c>
      <c r="J4930" s="155" t="str">
        <f t="shared" si="10"/>
        <v>NTT</v>
      </c>
      <c r="K4930" s="22"/>
      <c r="L4930" s="56">
        <v>45131</v>
      </c>
      <c r="P4930" s="40"/>
      <c r="Q4930" s="61"/>
      <c r="R4930" s="61"/>
      <c r="S4930" s="40"/>
      <c r="T4930" s="38"/>
      <c r="U4930" s="38"/>
      <c r="V4930" s="38"/>
      <c r="W4930" s="60"/>
      <c r="AB4930" s="42"/>
      <c r="AC4930" s="35"/>
      <c r="AD4930" s="38"/>
      <c r="AE4930" s="38"/>
      <c r="AF4930" s="38"/>
      <c r="AG4930" s="38"/>
      <c r="AH4930" s="60"/>
    </row>
    <row r="4931" spans="1:34" ht="15.75" customHeight="1">
      <c r="A4931" s="75" t="s">
        <v>11020</v>
      </c>
      <c r="B4931" s="78" t="s">
        <v>17241</v>
      </c>
      <c r="C4931" s="37" t="s">
        <v>412</v>
      </c>
      <c r="D4931" s="20" t="s">
        <v>17242</v>
      </c>
      <c r="E4931" s="20"/>
      <c r="F4931" s="19" t="s">
        <v>414</v>
      </c>
      <c r="G4931" s="37" t="s">
        <v>415</v>
      </c>
      <c r="H4931" s="37"/>
      <c r="I4931" s="37" t="s">
        <v>233</v>
      </c>
      <c r="J4931" s="155" t="str">
        <f t="shared" si="10"/>
        <v>NTT</v>
      </c>
      <c r="K4931" s="22"/>
      <c r="L4931" s="56">
        <v>45131</v>
      </c>
      <c r="P4931" s="40"/>
      <c r="Q4931" s="61"/>
      <c r="R4931" s="61"/>
      <c r="S4931" s="40"/>
      <c r="T4931" s="38"/>
      <c r="U4931" s="38"/>
      <c r="V4931" s="38"/>
      <c r="W4931" s="60"/>
      <c r="AB4931" s="42"/>
      <c r="AC4931" s="35"/>
      <c r="AD4931" s="38"/>
      <c r="AE4931" s="38"/>
      <c r="AF4931" s="38"/>
      <c r="AG4931" s="38"/>
      <c r="AH4931" s="60"/>
    </row>
    <row r="4932" spans="1:34" ht="15.75" customHeight="1">
      <c r="A4932" s="50" t="s">
        <v>56</v>
      </c>
      <c r="B4932" s="78" t="s">
        <v>17243</v>
      </c>
      <c r="C4932" s="37" t="s">
        <v>46</v>
      </c>
      <c r="D4932" s="20" t="s">
        <v>17244</v>
      </c>
      <c r="E4932" s="20" t="s">
        <v>17245</v>
      </c>
      <c r="F4932" s="37" t="s">
        <v>49</v>
      </c>
      <c r="G4932" s="19" t="s">
        <v>50</v>
      </c>
      <c r="H4932" s="37"/>
      <c r="I4932" s="37" t="s">
        <v>29</v>
      </c>
      <c r="J4932" s="155" t="str">
        <f t="shared" si="10"/>
        <v>TT</v>
      </c>
      <c r="K4932" s="22" t="s">
        <v>17246</v>
      </c>
      <c r="L4932" s="56">
        <v>45131</v>
      </c>
      <c r="P4932" s="40"/>
      <c r="Q4932" s="61"/>
      <c r="R4932" s="61"/>
      <c r="S4932" s="40"/>
      <c r="T4932" s="38"/>
      <c r="U4932" s="38"/>
      <c r="V4932" s="38"/>
      <c r="W4932" s="60"/>
      <c r="AB4932" s="42"/>
      <c r="AC4932" s="35"/>
      <c r="AD4932" s="38"/>
      <c r="AE4932" s="38"/>
      <c r="AF4932" s="38"/>
      <c r="AG4932" s="38"/>
      <c r="AH4932" s="60"/>
    </row>
    <row r="4933" spans="1:34" ht="15.75" customHeight="1">
      <c r="A4933" s="17">
        <v>46</v>
      </c>
      <c r="B4933" s="78" t="s">
        <v>17247</v>
      </c>
      <c r="C4933" s="37" t="s">
        <v>87</v>
      </c>
      <c r="D4933" s="20" t="s">
        <v>17248</v>
      </c>
      <c r="E4933" s="20" t="s">
        <v>17249</v>
      </c>
      <c r="F4933" s="19" t="s">
        <v>90</v>
      </c>
      <c r="G4933" s="19" t="s">
        <v>91</v>
      </c>
      <c r="H4933" s="37"/>
      <c r="I4933" s="37" t="s">
        <v>29</v>
      </c>
      <c r="J4933" s="155" t="str">
        <f t="shared" si="10"/>
        <v>TT</v>
      </c>
      <c r="K4933" s="22" t="s">
        <v>17250</v>
      </c>
      <c r="L4933" s="56">
        <v>45131</v>
      </c>
      <c r="P4933" s="40"/>
      <c r="Q4933" s="61"/>
      <c r="R4933" s="61"/>
      <c r="S4933" s="40"/>
      <c r="T4933" s="38"/>
      <c r="U4933" s="38"/>
      <c r="V4933" s="38"/>
      <c r="W4933" s="60"/>
      <c r="AB4933" s="42"/>
      <c r="AC4933" s="35"/>
      <c r="AD4933" s="38"/>
      <c r="AE4933" s="38"/>
      <c r="AF4933" s="38"/>
      <c r="AG4933" s="38"/>
      <c r="AH4933" s="60"/>
    </row>
    <row r="4934" spans="1:34" ht="15.75" customHeight="1">
      <c r="A4934" s="111" t="s">
        <v>64</v>
      </c>
      <c r="B4934" s="78" t="s">
        <v>17251</v>
      </c>
      <c r="C4934" s="37" t="s">
        <v>87</v>
      </c>
      <c r="D4934" s="20" t="s">
        <v>17252</v>
      </c>
      <c r="E4934" s="20" t="s">
        <v>17253</v>
      </c>
      <c r="F4934" s="19" t="s">
        <v>90</v>
      </c>
      <c r="G4934" s="19" t="s">
        <v>91</v>
      </c>
      <c r="H4934" s="37"/>
      <c r="I4934" s="37" t="s">
        <v>29</v>
      </c>
      <c r="J4934" s="155" t="str">
        <f t="shared" si="10"/>
        <v>TT</v>
      </c>
      <c r="K4934" s="22" t="s">
        <v>17254</v>
      </c>
      <c r="L4934" s="56">
        <v>45131</v>
      </c>
      <c r="P4934" s="40"/>
      <c r="Q4934" s="61"/>
      <c r="R4934" s="61"/>
      <c r="S4934" s="40"/>
      <c r="T4934" s="38"/>
      <c r="U4934" s="38"/>
      <c r="V4934" s="38"/>
      <c r="W4934" s="60"/>
      <c r="AB4934" s="42"/>
      <c r="AC4934" s="35"/>
      <c r="AD4934" s="38"/>
      <c r="AE4934" s="38"/>
      <c r="AF4934" s="38"/>
      <c r="AG4934" s="38"/>
      <c r="AH4934" s="60"/>
    </row>
    <row r="4935" spans="1:34" ht="15.75" customHeight="1">
      <c r="A4935" s="75">
        <v>2.2999999999999998</v>
      </c>
      <c r="B4935" s="78" t="s">
        <v>17255</v>
      </c>
      <c r="C4935" s="37" t="s">
        <v>87</v>
      </c>
      <c r="D4935" s="20" t="s">
        <v>17256</v>
      </c>
      <c r="E4935" s="20" t="s">
        <v>17257</v>
      </c>
      <c r="F4935" s="19" t="s">
        <v>90</v>
      </c>
      <c r="G4935" s="19" t="s">
        <v>91</v>
      </c>
      <c r="H4935" s="37"/>
      <c r="I4935" s="37" t="s">
        <v>29</v>
      </c>
      <c r="J4935" s="155" t="str">
        <f t="shared" si="10"/>
        <v>TT</v>
      </c>
      <c r="K4935" s="22" t="s">
        <v>17258</v>
      </c>
      <c r="L4935" s="56">
        <v>45131</v>
      </c>
      <c r="P4935" s="40"/>
      <c r="Q4935" s="61"/>
      <c r="R4935" s="61"/>
      <c r="S4935" s="40"/>
      <c r="T4935" s="38"/>
      <c r="U4935" s="38"/>
      <c r="V4935" s="38"/>
      <c r="W4935" s="60"/>
      <c r="AB4935" s="42"/>
      <c r="AC4935" s="35"/>
      <c r="AD4935" s="38"/>
      <c r="AE4935" s="38"/>
      <c r="AF4935" s="38"/>
      <c r="AG4935" s="38"/>
      <c r="AH4935" s="60"/>
    </row>
    <row r="4936" spans="1:34" ht="15.75" customHeight="1">
      <c r="A4936" s="111" t="s">
        <v>73</v>
      </c>
      <c r="B4936" s="78" t="s">
        <v>17259</v>
      </c>
      <c r="C4936" s="37" t="s">
        <v>24</v>
      </c>
      <c r="D4936" s="20" t="s">
        <v>17260</v>
      </c>
      <c r="E4936" s="20"/>
      <c r="F4936" s="19" t="s">
        <v>27</v>
      </c>
      <c r="G4936" s="19" t="s">
        <v>28</v>
      </c>
      <c r="H4936" s="37"/>
      <c r="I4936" s="37" t="s">
        <v>29</v>
      </c>
      <c r="J4936" s="155" t="str">
        <f t="shared" si="10"/>
        <v>TT</v>
      </c>
      <c r="K4936" s="22"/>
      <c r="L4936" s="56">
        <v>45131</v>
      </c>
      <c r="P4936" s="40"/>
      <c r="Q4936" s="61"/>
      <c r="R4936" s="61"/>
      <c r="S4936" s="40"/>
      <c r="T4936" s="38"/>
      <c r="U4936" s="38"/>
      <c r="V4936" s="38"/>
      <c r="W4936" s="60"/>
      <c r="AB4936" s="42"/>
      <c r="AC4936" s="35"/>
      <c r="AD4936" s="38"/>
      <c r="AE4936" s="38"/>
      <c r="AF4936" s="38"/>
      <c r="AG4936" s="38"/>
      <c r="AH4936" s="60"/>
    </row>
    <row r="4937" spans="1:34" ht="15.75" customHeight="1">
      <c r="A4937" s="75">
        <v>2.7</v>
      </c>
      <c r="B4937" s="78" t="s">
        <v>17261</v>
      </c>
      <c r="C4937" s="37" t="s">
        <v>46</v>
      </c>
      <c r="D4937" s="20" t="s">
        <v>17262</v>
      </c>
      <c r="E4937" s="20"/>
      <c r="F4937" s="37" t="s">
        <v>49</v>
      </c>
      <c r="G4937" s="19" t="s">
        <v>50</v>
      </c>
      <c r="H4937" s="37"/>
      <c r="I4937" s="37" t="s">
        <v>29</v>
      </c>
      <c r="J4937" s="155" t="str">
        <f t="shared" si="10"/>
        <v>TT</v>
      </c>
      <c r="K4937" s="22"/>
      <c r="L4937" s="56">
        <v>45131</v>
      </c>
      <c r="P4937" s="40"/>
      <c r="Q4937" s="61"/>
      <c r="R4937" s="61"/>
      <c r="S4937" s="40"/>
      <c r="T4937" s="38"/>
      <c r="U4937" s="38"/>
      <c r="V4937" s="38"/>
      <c r="W4937" s="60"/>
      <c r="AB4937" s="42"/>
      <c r="AC4937" s="35"/>
      <c r="AD4937" s="38"/>
      <c r="AE4937" s="38"/>
      <c r="AF4937" s="38"/>
      <c r="AG4937" s="38"/>
      <c r="AH4937" s="60"/>
    </row>
    <row r="4938" spans="1:34" ht="15.75" customHeight="1">
      <c r="A4938" s="111" t="s">
        <v>82</v>
      </c>
      <c r="B4938" s="78" t="s">
        <v>17263</v>
      </c>
      <c r="C4938" s="37" t="s">
        <v>87</v>
      </c>
      <c r="D4938" s="20" t="s">
        <v>17264</v>
      </c>
      <c r="E4938" s="20" t="s">
        <v>17265</v>
      </c>
      <c r="F4938" s="19" t="s">
        <v>90</v>
      </c>
      <c r="G4938" s="19" t="s">
        <v>91</v>
      </c>
      <c r="H4938" s="37"/>
      <c r="I4938" s="37" t="s">
        <v>29</v>
      </c>
      <c r="J4938" s="155" t="str">
        <f t="shared" si="10"/>
        <v>TT</v>
      </c>
      <c r="K4938" s="22" t="s">
        <v>17266</v>
      </c>
      <c r="L4938" s="56">
        <v>45131</v>
      </c>
      <c r="P4938" s="40"/>
      <c r="Q4938" s="61"/>
      <c r="R4938" s="61"/>
      <c r="S4938" s="40"/>
      <c r="T4938" s="38"/>
      <c r="U4938" s="38"/>
      <c r="V4938" s="38"/>
      <c r="W4938" s="60"/>
      <c r="AB4938" s="42"/>
      <c r="AC4938" s="35"/>
      <c r="AD4938" s="38"/>
      <c r="AE4938" s="38"/>
      <c r="AF4938" s="38"/>
      <c r="AG4938" s="38"/>
      <c r="AH4938" s="60"/>
    </row>
    <row r="4939" spans="1:34" ht="15.75" customHeight="1">
      <c r="A4939" s="112" t="s">
        <v>17267</v>
      </c>
      <c r="B4939" s="78" t="s">
        <v>17268</v>
      </c>
      <c r="C4939" s="37" t="s">
        <v>87</v>
      </c>
      <c r="D4939" s="20" t="s">
        <v>17269</v>
      </c>
      <c r="E4939" s="20" t="s">
        <v>17270</v>
      </c>
      <c r="F4939" s="19" t="s">
        <v>90</v>
      </c>
      <c r="G4939" s="19" t="s">
        <v>91</v>
      </c>
      <c r="H4939" s="37"/>
      <c r="I4939" s="37" t="s">
        <v>29</v>
      </c>
      <c r="J4939" s="155" t="str">
        <f t="shared" si="10"/>
        <v>TT</v>
      </c>
      <c r="K4939" s="22" t="s">
        <v>17271</v>
      </c>
      <c r="L4939" s="56">
        <v>45131</v>
      </c>
      <c r="P4939" s="40"/>
      <c r="Q4939" s="61"/>
      <c r="R4939" s="61"/>
      <c r="S4939" s="40"/>
      <c r="T4939" s="38"/>
      <c r="U4939" s="38"/>
      <c r="V4939" s="38"/>
      <c r="W4939" s="60"/>
      <c r="AB4939" s="42"/>
      <c r="AC4939" s="35"/>
      <c r="AD4939" s="38"/>
      <c r="AE4939" s="38"/>
      <c r="AF4939" s="38"/>
      <c r="AG4939" s="38"/>
      <c r="AH4939" s="60"/>
    </row>
    <row r="4940" spans="1:34" ht="15.75" customHeight="1">
      <c r="A4940" s="111" t="s">
        <v>92</v>
      </c>
      <c r="B4940" s="78" t="s">
        <v>17272</v>
      </c>
      <c r="C4940" s="37" t="s">
        <v>87</v>
      </c>
      <c r="D4940" s="20" t="s">
        <v>17273</v>
      </c>
      <c r="E4940" s="20" t="s">
        <v>17274</v>
      </c>
      <c r="F4940" s="19" t="s">
        <v>90</v>
      </c>
      <c r="G4940" s="19" t="s">
        <v>91</v>
      </c>
      <c r="H4940" s="37"/>
      <c r="I4940" s="37" t="s">
        <v>29</v>
      </c>
      <c r="J4940" s="155" t="str">
        <f t="shared" si="10"/>
        <v>TT</v>
      </c>
      <c r="K4940" s="22" t="s">
        <v>17275</v>
      </c>
      <c r="L4940" s="56">
        <v>45131</v>
      </c>
      <c r="P4940" s="40"/>
      <c r="Q4940" s="61"/>
      <c r="R4940" s="61"/>
      <c r="S4940" s="40"/>
      <c r="T4940" s="38"/>
      <c r="U4940" s="38"/>
      <c r="V4940" s="38"/>
      <c r="W4940" s="60"/>
      <c r="AB4940" s="42"/>
      <c r="AC4940" s="35"/>
      <c r="AD4940" s="38"/>
      <c r="AE4940" s="38"/>
      <c r="AF4940" s="38"/>
      <c r="AG4940" s="38"/>
      <c r="AH4940" s="60"/>
    </row>
    <row r="4941" spans="1:34" ht="15.75" customHeight="1">
      <c r="A4941" s="17">
        <v>214</v>
      </c>
      <c r="B4941" s="81" t="s">
        <v>17276</v>
      </c>
      <c r="C4941" s="37" t="s">
        <v>24</v>
      </c>
      <c r="D4941" s="20" t="s">
        <v>17277</v>
      </c>
      <c r="E4941" s="20" t="s">
        <v>17278</v>
      </c>
      <c r="F4941" s="19" t="s">
        <v>27</v>
      </c>
      <c r="G4941" s="19" t="s">
        <v>28</v>
      </c>
      <c r="H4941" s="37"/>
      <c r="I4941" s="37" t="s">
        <v>29</v>
      </c>
      <c r="J4941" s="155" t="str">
        <f t="shared" si="10"/>
        <v>TT</v>
      </c>
      <c r="K4941" s="22" t="s">
        <v>17279</v>
      </c>
      <c r="L4941" s="56">
        <v>45131</v>
      </c>
      <c r="P4941" s="40"/>
      <c r="Q4941" s="61"/>
      <c r="R4941" s="61"/>
      <c r="S4941" s="40"/>
      <c r="T4941" s="38"/>
      <c r="U4941" s="38"/>
      <c r="V4941" s="38"/>
      <c r="W4941" s="60"/>
      <c r="AB4941" s="42"/>
      <c r="AC4941" s="35"/>
      <c r="AD4941" s="38"/>
      <c r="AE4941" s="38"/>
      <c r="AF4941" s="38"/>
      <c r="AG4941" s="38"/>
      <c r="AH4941" s="60"/>
    </row>
    <row r="4942" spans="1:34" ht="15.75" customHeight="1">
      <c r="A4942" s="111" t="s">
        <v>100</v>
      </c>
      <c r="B4942" s="78" t="s">
        <v>17280</v>
      </c>
      <c r="C4942" s="37" t="s">
        <v>412</v>
      </c>
      <c r="D4942" s="20" t="s">
        <v>17281</v>
      </c>
      <c r="E4942" s="20"/>
      <c r="F4942" s="19" t="s">
        <v>414</v>
      </c>
      <c r="G4942" s="19" t="s">
        <v>415</v>
      </c>
      <c r="H4942" s="37"/>
      <c r="I4942" s="37" t="s">
        <v>233</v>
      </c>
      <c r="J4942" s="155" t="str">
        <f t="shared" si="10"/>
        <v>NTT</v>
      </c>
      <c r="K4942" s="22"/>
      <c r="L4942" s="56">
        <v>45131</v>
      </c>
      <c r="P4942" s="40"/>
      <c r="Q4942" s="61"/>
      <c r="R4942" s="61"/>
      <c r="S4942" s="40"/>
      <c r="T4942" s="38"/>
      <c r="U4942" s="38"/>
      <c r="V4942" s="38"/>
      <c r="W4942" s="60"/>
      <c r="AB4942" s="42"/>
      <c r="AC4942" s="35"/>
      <c r="AD4942" s="38"/>
      <c r="AE4942" s="38"/>
      <c r="AF4942" s="38"/>
      <c r="AG4942" s="38"/>
      <c r="AH4942" s="60"/>
    </row>
    <row r="4943" spans="1:34" ht="15.75" customHeight="1">
      <c r="A4943" s="17">
        <v>158</v>
      </c>
      <c r="B4943" s="78" t="s">
        <v>17282</v>
      </c>
      <c r="C4943" s="37" t="s">
        <v>87</v>
      </c>
      <c r="D4943" s="20" t="s">
        <v>17283</v>
      </c>
      <c r="E4943" s="20" t="s">
        <v>17284</v>
      </c>
      <c r="F4943" s="19" t="s">
        <v>90</v>
      </c>
      <c r="G4943" s="19" t="s">
        <v>91</v>
      </c>
      <c r="H4943" s="37"/>
      <c r="I4943" s="37" t="s">
        <v>29</v>
      </c>
      <c r="J4943" s="155" t="str">
        <f t="shared" si="10"/>
        <v>TT</v>
      </c>
      <c r="K4943" s="22" t="s">
        <v>17285</v>
      </c>
      <c r="L4943" s="56">
        <v>45131</v>
      </c>
      <c r="P4943" s="40"/>
      <c r="Q4943" s="61"/>
      <c r="R4943" s="61"/>
      <c r="S4943" s="40"/>
      <c r="T4943" s="38"/>
      <c r="U4943" s="38"/>
      <c r="V4943" s="38"/>
      <c r="W4943" s="60"/>
      <c r="AB4943" s="42"/>
      <c r="AC4943" s="35"/>
      <c r="AD4943" s="38"/>
      <c r="AE4943" s="38"/>
      <c r="AF4943" s="38"/>
      <c r="AG4943" s="38"/>
      <c r="AH4943" s="60"/>
    </row>
    <row r="4944" spans="1:34" ht="15.75" customHeight="1">
      <c r="A4944" s="35"/>
      <c r="B4944" s="78" t="s">
        <v>17286</v>
      </c>
      <c r="C4944" s="37" t="s">
        <v>46</v>
      </c>
      <c r="D4944" s="20" t="s">
        <v>17287</v>
      </c>
      <c r="E4944" s="20" t="s">
        <v>17288</v>
      </c>
      <c r="F4944" s="37" t="s">
        <v>49</v>
      </c>
      <c r="G4944" s="19" t="s">
        <v>50</v>
      </c>
      <c r="H4944" s="37"/>
      <c r="I4944" s="37" t="s">
        <v>29</v>
      </c>
      <c r="J4944" s="155" t="str">
        <f t="shared" si="10"/>
        <v>TT</v>
      </c>
      <c r="K4944" s="22" t="s">
        <v>17289</v>
      </c>
      <c r="L4944" s="56">
        <v>45131</v>
      </c>
      <c r="P4944" s="40"/>
      <c r="Q4944" s="61"/>
      <c r="R4944" s="61"/>
      <c r="S4944" s="40"/>
      <c r="T4944" s="38"/>
      <c r="U4944" s="38"/>
      <c r="V4944" s="38"/>
      <c r="W4944" s="60"/>
      <c r="AB4944" s="42"/>
      <c r="AC4944" s="35"/>
      <c r="AD4944" s="38"/>
      <c r="AE4944" s="38"/>
      <c r="AF4944" s="38"/>
      <c r="AG4944" s="38"/>
      <c r="AH4944" s="60"/>
    </row>
    <row r="4945" spans="1:34" ht="15.75" customHeight="1">
      <c r="A4945" s="255"/>
      <c r="B4945" s="81" t="s">
        <v>17290</v>
      </c>
      <c r="C4945" s="37" t="s">
        <v>24</v>
      </c>
      <c r="D4945" s="20" t="s">
        <v>17291</v>
      </c>
      <c r="E4945" s="20" t="s">
        <v>17292</v>
      </c>
      <c r="F4945" s="19" t="s">
        <v>27</v>
      </c>
      <c r="G4945" s="19" t="s">
        <v>28</v>
      </c>
      <c r="H4945" s="37"/>
      <c r="I4945" s="37" t="s">
        <v>29</v>
      </c>
      <c r="J4945" s="155" t="str">
        <f t="shared" si="10"/>
        <v>TT</v>
      </c>
      <c r="K4945" s="22" t="s">
        <v>17293</v>
      </c>
      <c r="L4945" s="56">
        <v>45131</v>
      </c>
      <c r="P4945" s="40"/>
      <c r="Q4945" s="61"/>
      <c r="R4945" s="61"/>
      <c r="S4945" s="40"/>
      <c r="T4945" s="38"/>
      <c r="U4945" s="38"/>
      <c r="V4945" s="38"/>
      <c r="W4945" s="60"/>
      <c r="AB4945" s="42"/>
      <c r="AC4945" s="35"/>
      <c r="AD4945" s="38"/>
      <c r="AE4945" s="38"/>
      <c r="AF4945" s="38"/>
      <c r="AG4945" s="38"/>
      <c r="AH4945" s="60"/>
    </row>
    <row r="4946" spans="1:34" ht="15.75" customHeight="1">
      <c r="A4946" s="255"/>
      <c r="B4946" s="78" t="s">
        <v>17294</v>
      </c>
      <c r="C4946" s="37" t="s">
        <v>24</v>
      </c>
      <c r="D4946" s="20" t="s">
        <v>17295</v>
      </c>
      <c r="E4946" s="20" t="s">
        <v>17296</v>
      </c>
      <c r="F4946" s="19" t="s">
        <v>27</v>
      </c>
      <c r="G4946" s="19" t="s">
        <v>28</v>
      </c>
      <c r="H4946" s="37"/>
      <c r="I4946" s="37" t="s">
        <v>29</v>
      </c>
      <c r="J4946" s="155" t="str">
        <f t="shared" si="10"/>
        <v>TT</v>
      </c>
      <c r="K4946" s="22" t="s">
        <v>17297</v>
      </c>
      <c r="L4946" s="56">
        <v>45131</v>
      </c>
      <c r="P4946" s="40"/>
      <c r="Q4946" s="61"/>
      <c r="R4946" s="61"/>
      <c r="S4946" s="40"/>
      <c r="T4946" s="38"/>
      <c r="U4946" s="38"/>
      <c r="V4946" s="38"/>
      <c r="W4946" s="60"/>
      <c r="AB4946" s="42"/>
      <c r="AC4946" s="35"/>
      <c r="AD4946" s="38"/>
      <c r="AE4946" s="38"/>
      <c r="AF4946" s="38"/>
      <c r="AG4946" s="38"/>
      <c r="AH4946" s="60"/>
    </row>
    <row r="4947" spans="1:34" ht="15.75" customHeight="1">
      <c r="A4947" s="255"/>
      <c r="B4947" s="78" t="s">
        <v>17298</v>
      </c>
      <c r="C4947" s="37" t="s">
        <v>87</v>
      </c>
      <c r="D4947" s="20" t="s">
        <v>17299</v>
      </c>
      <c r="E4947" s="20" t="s">
        <v>17300</v>
      </c>
      <c r="F4947" s="19" t="s">
        <v>90</v>
      </c>
      <c r="G4947" s="19" t="s">
        <v>91</v>
      </c>
      <c r="H4947" s="37"/>
      <c r="I4947" s="37" t="s">
        <v>29</v>
      </c>
      <c r="J4947" s="155" t="str">
        <f t="shared" si="10"/>
        <v>TT</v>
      </c>
      <c r="K4947" s="22" t="s">
        <v>17301</v>
      </c>
      <c r="L4947" s="56">
        <v>45131</v>
      </c>
      <c r="P4947" s="40"/>
      <c r="Q4947" s="61"/>
      <c r="R4947" s="61"/>
      <c r="S4947" s="40"/>
      <c r="T4947" s="38"/>
      <c r="U4947" s="38"/>
      <c r="V4947" s="38"/>
      <c r="W4947" s="60"/>
      <c r="AB4947" s="42"/>
      <c r="AC4947" s="35"/>
      <c r="AD4947" s="38"/>
      <c r="AE4947" s="38"/>
      <c r="AF4947" s="38"/>
      <c r="AG4947" s="38"/>
      <c r="AH4947" s="60"/>
    </row>
    <row r="4948" spans="1:34" ht="15.75" customHeight="1">
      <c r="A4948" s="255"/>
      <c r="B4948" s="78" t="s">
        <v>17302</v>
      </c>
      <c r="C4948" s="37" t="s">
        <v>87</v>
      </c>
      <c r="D4948" s="20" t="s">
        <v>17303</v>
      </c>
      <c r="E4948" s="20" t="s">
        <v>17304</v>
      </c>
      <c r="F4948" s="19" t="s">
        <v>90</v>
      </c>
      <c r="G4948" s="19" t="s">
        <v>91</v>
      </c>
      <c r="H4948" s="37"/>
      <c r="I4948" s="37" t="s">
        <v>29</v>
      </c>
      <c r="J4948" s="155" t="str">
        <f t="shared" si="10"/>
        <v>TT</v>
      </c>
      <c r="K4948" s="22" t="s">
        <v>17305</v>
      </c>
      <c r="L4948" s="56">
        <v>45131</v>
      </c>
      <c r="P4948" s="40"/>
      <c r="Q4948" s="61"/>
      <c r="R4948" s="61"/>
      <c r="S4948" s="40"/>
      <c r="T4948" s="38"/>
      <c r="U4948" s="38"/>
      <c r="V4948" s="38"/>
      <c r="W4948" s="60"/>
      <c r="AB4948" s="42"/>
      <c r="AC4948" s="35"/>
      <c r="AD4948" s="38"/>
      <c r="AE4948" s="38"/>
      <c r="AF4948" s="38"/>
      <c r="AG4948" s="38"/>
      <c r="AH4948" s="60"/>
    </row>
    <row r="4949" spans="1:34" ht="15.75" customHeight="1">
      <c r="A4949" s="255"/>
      <c r="B4949" s="78" t="s">
        <v>17306</v>
      </c>
      <c r="C4949" s="37" t="s">
        <v>24</v>
      </c>
      <c r="D4949" s="20" t="s">
        <v>17307</v>
      </c>
      <c r="E4949" s="20" t="s">
        <v>17308</v>
      </c>
      <c r="F4949" s="19" t="s">
        <v>27</v>
      </c>
      <c r="G4949" s="19" t="s">
        <v>28</v>
      </c>
      <c r="H4949" s="37" t="s">
        <v>813</v>
      </c>
      <c r="I4949" s="37" t="s">
        <v>29</v>
      </c>
      <c r="J4949" s="155" t="str">
        <f t="shared" si="10"/>
        <v>TT</v>
      </c>
      <c r="K4949" s="22" t="s">
        <v>17309</v>
      </c>
      <c r="L4949" s="56">
        <v>45131</v>
      </c>
      <c r="P4949" s="40"/>
      <c r="Q4949" s="61"/>
      <c r="R4949" s="61"/>
      <c r="S4949" s="40"/>
      <c r="T4949" s="38"/>
      <c r="U4949" s="38"/>
      <c r="V4949" s="38"/>
      <c r="W4949" s="60"/>
      <c r="AB4949" s="42"/>
      <c r="AC4949" s="35"/>
      <c r="AD4949" s="38"/>
      <c r="AE4949" s="38"/>
      <c r="AF4949" s="38"/>
      <c r="AG4949" s="38"/>
      <c r="AH4949" s="60"/>
    </row>
    <row r="4950" spans="1:34" ht="15.75" customHeight="1">
      <c r="A4950" s="255"/>
      <c r="B4950" s="38"/>
      <c r="C4950" s="37"/>
      <c r="D4950" s="20"/>
      <c r="E4950" s="20"/>
      <c r="F4950" s="37"/>
      <c r="G4950" s="37"/>
      <c r="H4950" s="37"/>
      <c r="I4950" s="37"/>
      <c r="J4950" s="155">
        <f t="shared" si="10"/>
        <v>0</v>
      </c>
      <c r="K4950" s="22"/>
      <c r="L4950" s="39"/>
      <c r="P4950" s="40"/>
      <c r="Q4950" s="61"/>
      <c r="R4950" s="61"/>
      <c r="S4950" s="40"/>
      <c r="T4950" s="38"/>
      <c r="U4950" s="38"/>
      <c r="V4950" s="38"/>
      <c r="W4950" s="60"/>
      <c r="AB4950" s="42"/>
      <c r="AC4950" s="35"/>
      <c r="AD4950" s="38"/>
      <c r="AE4950" s="38"/>
      <c r="AF4950" s="38"/>
      <c r="AG4950" s="38"/>
      <c r="AH4950" s="60"/>
    </row>
    <row r="4951" spans="1:34" ht="15.75" customHeight="1">
      <c r="A4951" s="35" t="s">
        <v>17310</v>
      </c>
      <c r="B4951" s="78" t="s">
        <v>17311</v>
      </c>
      <c r="C4951" s="37" t="s">
        <v>46</v>
      </c>
      <c r="D4951" s="20" t="s">
        <v>17312</v>
      </c>
      <c r="E4951" s="204" t="s">
        <v>17313</v>
      </c>
      <c r="F4951" s="37" t="s">
        <v>49</v>
      </c>
      <c r="G4951" s="19" t="s">
        <v>50</v>
      </c>
      <c r="H4951" s="37" t="s">
        <v>55</v>
      </c>
      <c r="I4951" s="37" t="s">
        <v>29</v>
      </c>
      <c r="J4951" s="155" t="str">
        <f t="shared" si="10"/>
        <v>TT</v>
      </c>
      <c r="K4951" s="256" t="s">
        <v>17313</v>
      </c>
      <c r="L4951" s="56">
        <v>45132</v>
      </c>
      <c r="M4951" s="40"/>
      <c r="P4951" s="40"/>
      <c r="Q4951" s="61"/>
      <c r="R4951" s="61"/>
      <c r="S4951" s="40"/>
      <c r="T4951" s="38"/>
      <c r="U4951" s="38"/>
      <c r="V4951" s="38"/>
      <c r="W4951" s="60"/>
      <c r="AB4951" s="42"/>
      <c r="AC4951" s="35"/>
      <c r="AD4951" s="38"/>
      <c r="AE4951" s="38"/>
      <c r="AF4951" s="38"/>
      <c r="AG4951" s="38"/>
      <c r="AH4951" s="60"/>
    </row>
    <row r="4952" spans="1:34" ht="15.75" customHeight="1">
      <c r="A4952" s="54" t="s">
        <v>17314</v>
      </c>
      <c r="B4952" s="78" t="s">
        <v>17315</v>
      </c>
      <c r="C4952" s="37" t="s">
        <v>46</v>
      </c>
      <c r="D4952" s="20" t="s">
        <v>17316</v>
      </c>
      <c r="E4952" s="20"/>
      <c r="F4952" s="37" t="s">
        <v>49</v>
      </c>
      <c r="G4952" s="19" t="s">
        <v>50</v>
      </c>
      <c r="H4952" s="37" t="s">
        <v>55</v>
      </c>
      <c r="I4952" s="37" t="s">
        <v>29</v>
      </c>
      <c r="J4952" s="155" t="str">
        <f t="shared" si="10"/>
        <v>TT</v>
      </c>
      <c r="K4952" s="22"/>
      <c r="L4952" s="56">
        <v>45132</v>
      </c>
      <c r="P4952" s="40"/>
      <c r="Q4952" s="61"/>
      <c r="R4952" s="61"/>
      <c r="S4952" s="40"/>
      <c r="T4952" s="38"/>
      <c r="U4952" s="38"/>
      <c r="V4952" s="38"/>
      <c r="W4952" s="60"/>
      <c r="AB4952" s="42"/>
      <c r="AC4952" s="35"/>
      <c r="AD4952" s="38"/>
      <c r="AE4952" s="38"/>
      <c r="AF4952" s="38"/>
      <c r="AG4952" s="38"/>
      <c r="AH4952" s="60"/>
    </row>
    <row r="4953" spans="1:34" ht="15.75" customHeight="1">
      <c r="A4953" s="114" t="s">
        <v>39</v>
      </c>
      <c r="B4953" s="78" t="s">
        <v>17317</v>
      </c>
      <c r="C4953" s="37" t="s">
        <v>87</v>
      </c>
      <c r="D4953" s="20" t="s">
        <v>17318</v>
      </c>
      <c r="E4953" s="20" t="s">
        <v>17319</v>
      </c>
      <c r="F4953" s="19" t="s">
        <v>90</v>
      </c>
      <c r="G4953" s="19" t="s">
        <v>91</v>
      </c>
      <c r="H4953" s="37" t="s">
        <v>55</v>
      </c>
      <c r="I4953" s="37" t="s">
        <v>29</v>
      </c>
      <c r="J4953" s="155" t="str">
        <f t="shared" si="10"/>
        <v>TT</v>
      </c>
      <c r="K4953" s="22" t="s">
        <v>17320</v>
      </c>
      <c r="L4953" s="56">
        <v>45132</v>
      </c>
      <c r="P4953" s="40"/>
      <c r="Q4953" s="61"/>
      <c r="R4953" s="61"/>
      <c r="S4953" s="40"/>
      <c r="T4953" s="38"/>
      <c r="U4953" s="38"/>
      <c r="V4953" s="38"/>
      <c r="W4953" s="60"/>
      <c r="AB4953" s="42"/>
      <c r="AC4953" s="35"/>
      <c r="AD4953" s="38"/>
      <c r="AE4953" s="38"/>
      <c r="AF4953" s="38"/>
      <c r="AG4953" s="38"/>
      <c r="AH4953" s="60"/>
    </row>
    <row r="4954" spans="1:34" ht="15.75" customHeight="1">
      <c r="A4954" s="38" t="s">
        <v>16979</v>
      </c>
      <c r="B4954" s="81" t="s">
        <v>17321</v>
      </c>
      <c r="C4954" s="37" t="s">
        <v>87</v>
      </c>
      <c r="D4954" s="20" t="s">
        <v>17322</v>
      </c>
      <c r="E4954" s="20" t="s">
        <v>17323</v>
      </c>
      <c r="F4954" s="19" t="s">
        <v>90</v>
      </c>
      <c r="G4954" s="19" t="s">
        <v>91</v>
      </c>
      <c r="H4954" s="37" t="s">
        <v>55</v>
      </c>
      <c r="I4954" s="37" t="s">
        <v>29</v>
      </c>
      <c r="J4954" s="155" t="str">
        <f t="shared" si="10"/>
        <v>TT</v>
      </c>
      <c r="K4954" s="22" t="s">
        <v>17324</v>
      </c>
      <c r="L4954" s="56">
        <v>45132</v>
      </c>
      <c r="P4954" s="40"/>
      <c r="Q4954" s="61"/>
      <c r="R4954" s="61"/>
      <c r="S4954" s="40"/>
      <c r="T4954" s="38"/>
      <c r="U4954" s="38"/>
      <c r="V4954" s="38"/>
      <c r="W4954" s="60"/>
      <c r="AB4954" s="42"/>
      <c r="AC4954" s="35"/>
      <c r="AD4954" s="38"/>
      <c r="AE4954" s="38"/>
      <c r="AF4954" s="38"/>
      <c r="AG4954" s="38"/>
      <c r="AH4954" s="60"/>
    </row>
    <row r="4955" spans="1:34" ht="15.75" customHeight="1">
      <c r="A4955" s="75" t="s">
        <v>17325</v>
      </c>
      <c r="B4955" s="78" t="s">
        <v>17326</v>
      </c>
      <c r="C4955" s="37" t="s">
        <v>87</v>
      </c>
      <c r="D4955" s="20" t="s">
        <v>17327</v>
      </c>
      <c r="E4955" s="20" t="s">
        <v>17328</v>
      </c>
      <c r="F4955" s="19" t="s">
        <v>90</v>
      </c>
      <c r="G4955" s="19" t="s">
        <v>91</v>
      </c>
      <c r="H4955" s="37" t="s">
        <v>55</v>
      </c>
      <c r="I4955" s="37" t="s">
        <v>29</v>
      </c>
      <c r="J4955" s="155" t="str">
        <f t="shared" si="10"/>
        <v>TT</v>
      </c>
      <c r="K4955" s="22" t="s">
        <v>17329</v>
      </c>
      <c r="L4955" s="56">
        <v>45132</v>
      </c>
      <c r="P4955" s="40"/>
      <c r="Q4955" s="61"/>
      <c r="R4955" s="61"/>
      <c r="S4955" s="40"/>
      <c r="T4955" s="38"/>
      <c r="U4955" s="38"/>
      <c r="V4955" s="38"/>
      <c r="W4955" s="60"/>
      <c r="AB4955" s="42"/>
      <c r="AC4955" s="35"/>
      <c r="AD4955" s="38"/>
      <c r="AE4955" s="38"/>
      <c r="AF4955" s="38"/>
      <c r="AG4955" s="38"/>
      <c r="AH4955" s="60"/>
    </row>
    <row r="4956" spans="1:34" ht="15.75" customHeight="1">
      <c r="A4956" s="50" t="s">
        <v>56</v>
      </c>
      <c r="B4956" s="78" t="s">
        <v>17330</v>
      </c>
      <c r="C4956" s="37" t="s">
        <v>87</v>
      </c>
      <c r="D4956" s="20" t="s">
        <v>17331</v>
      </c>
      <c r="E4956" s="20" t="s">
        <v>17332</v>
      </c>
      <c r="F4956" s="19" t="s">
        <v>90</v>
      </c>
      <c r="G4956" s="19" t="s">
        <v>91</v>
      </c>
      <c r="H4956" s="37" t="s">
        <v>55</v>
      </c>
      <c r="I4956" s="37" t="s">
        <v>29</v>
      </c>
      <c r="J4956" s="155" t="str">
        <f t="shared" si="10"/>
        <v>TT</v>
      </c>
      <c r="K4956" s="22" t="s">
        <v>17333</v>
      </c>
      <c r="L4956" s="56">
        <v>45132</v>
      </c>
      <c r="P4956" s="40"/>
      <c r="Q4956" s="61"/>
      <c r="R4956" s="61"/>
      <c r="S4956" s="40"/>
      <c r="T4956" s="38"/>
      <c r="U4956" s="38"/>
      <c r="V4956" s="38"/>
      <c r="W4956" s="60"/>
      <c r="AB4956" s="42"/>
      <c r="AC4956" s="35"/>
      <c r="AD4956" s="38"/>
      <c r="AE4956" s="38"/>
      <c r="AF4956" s="38"/>
      <c r="AG4956" s="38"/>
      <c r="AH4956" s="60"/>
    </row>
    <row r="4957" spans="1:34" ht="15.75" customHeight="1">
      <c r="A4957" s="17">
        <v>26</v>
      </c>
      <c r="B4957" s="78" t="s">
        <v>17334</v>
      </c>
      <c r="C4957" s="37" t="s">
        <v>46</v>
      </c>
      <c r="D4957" s="20" t="s">
        <v>17335</v>
      </c>
      <c r="E4957" s="20" t="s">
        <v>17336</v>
      </c>
      <c r="F4957" s="37" t="s">
        <v>49</v>
      </c>
      <c r="G4957" s="19" t="s">
        <v>50</v>
      </c>
      <c r="H4957" s="37" t="s">
        <v>55</v>
      </c>
      <c r="I4957" s="37" t="s">
        <v>29</v>
      </c>
      <c r="J4957" s="155" t="str">
        <f t="shared" si="10"/>
        <v>TT</v>
      </c>
      <c r="K4957" s="22" t="s">
        <v>17337</v>
      </c>
      <c r="L4957" s="56">
        <v>45132</v>
      </c>
      <c r="P4957" s="40"/>
      <c r="Q4957" s="61"/>
      <c r="R4957" s="61"/>
      <c r="S4957" s="40"/>
      <c r="T4957" s="38"/>
      <c r="U4957" s="38"/>
      <c r="V4957" s="38"/>
      <c r="W4957" s="60"/>
      <c r="AB4957" s="42"/>
      <c r="AC4957" s="35"/>
      <c r="AD4957" s="38"/>
      <c r="AE4957" s="38"/>
      <c r="AF4957" s="38"/>
      <c r="AG4957" s="38"/>
      <c r="AH4957" s="60"/>
    </row>
    <row r="4958" spans="1:34" ht="15.75" customHeight="1">
      <c r="A4958" s="111" t="s">
        <v>64</v>
      </c>
      <c r="B4958" s="81" t="s">
        <v>17338</v>
      </c>
      <c r="C4958" s="37" t="s">
        <v>46</v>
      </c>
      <c r="D4958" s="20" t="s">
        <v>17339</v>
      </c>
      <c r="E4958" s="20"/>
      <c r="F4958" s="37" t="s">
        <v>49</v>
      </c>
      <c r="G4958" s="19" t="s">
        <v>50</v>
      </c>
      <c r="H4958" s="37" t="s">
        <v>55</v>
      </c>
      <c r="I4958" s="37" t="s">
        <v>29</v>
      </c>
      <c r="J4958" s="155" t="str">
        <f t="shared" si="10"/>
        <v>TT</v>
      </c>
      <c r="K4958" s="22"/>
      <c r="L4958" s="56">
        <v>45132</v>
      </c>
      <c r="P4958" s="40"/>
      <c r="Q4958" s="61"/>
      <c r="R4958" s="61"/>
      <c r="S4958" s="40"/>
      <c r="T4958" s="38"/>
      <c r="U4958" s="38"/>
      <c r="V4958" s="38"/>
      <c r="W4958" s="60"/>
      <c r="AB4958" s="42"/>
      <c r="AC4958" s="35"/>
      <c r="AD4958" s="38"/>
      <c r="AE4958" s="38"/>
      <c r="AF4958" s="38"/>
      <c r="AG4958" s="38"/>
      <c r="AH4958" s="60"/>
    </row>
    <row r="4959" spans="1:34" ht="15.75" customHeight="1">
      <c r="A4959" s="75">
        <v>2.1</v>
      </c>
      <c r="B4959" s="78" t="s">
        <v>17340</v>
      </c>
      <c r="C4959" s="37" t="s">
        <v>87</v>
      </c>
      <c r="D4959" s="20" t="s">
        <v>17341</v>
      </c>
      <c r="E4959" s="20" t="s">
        <v>17342</v>
      </c>
      <c r="F4959" s="19" t="s">
        <v>90</v>
      </c>
      <c r="G4959" s="19" t="s">
        <v>91</v>
      </c>
      <c r="H4959" s="37" t="s">
        <v>55</v>
      </c>
      <c r="I4959" s="37" t="s">
        <v>29</v>
      </c>
      <c r="J4959" s="155" t="str">
        <f t="shared" si="10"/>
        <v>TT</v>
      </c>
      <c r="K4959" s="22" t="s">
        <v>17342</v>
      </c>
      <c r="L4959" s="56">
        <v>45132</v>
      </c>
      <c r="P4959" s="40"/>
      <c r="Q4959" s="61"/>
      <c r="R4959" s="61"/>
      <c r="S4959" s="40"/>
      <c r="T4959" s="38"/>
      <c r="U4959" s="38"/>
      <c r="V4959" s="38"/>
      <c r="W4959" s="60"/>
      <c r="AB4959" s="42"/>
      <c r="AC4959" s="35"/>
      <c r="AD4959" s="38"/>
      <c r="AE4959" s="38"/>
      <c r="AF4959" s="38"/>
      <c r="AG4959" s="38"/>
      <c r="AH4959" s="60"/>
    </row>
    <row r="4960" spans="1:34" ht="15.75" customHeight="1">
      <c r="A4960" s="111" t="s">
        <v>73</v>
      </c>
      <c r="B4960" s="78" t="s">
        <v>17343</v>
      </c>
      <c r="C4960" s="37" t="s">
        <v>24</v>
      </c>
      <c r="D4960" s="20" t="s">
        <v>17344</v>
      </c>
      <c r="E4960" s="20" t="s">
        <v>17345</v>
      </c>
      <c r="F4960" s="19" t="s">
        <v>27</v>
      </c>
      <c r="G4960" s="19" t="s">
        <v>28</v>
      </c>
      <c r="H4960" s="37" t="s">
        <v>55</v>
      </c>
      <c r="I4960" s="37" t="s">
        <v>29</v>
      </c>
      <c r="J4960" s="155" t="str">
        <f t="shared" si="10"/>
        <v>TT</v>
      </c>
      <c r="K4960" s="22" t="s">
        <v>17345</v>
      </c>
      <c r="L4960" s="56">
        <v>45132</v>
      </c>
      <c r="P4960" s="40"/>
      <c r="Q4960" s="61"/>
      <c r="R4960" s="61"/>
      <c r="S4960" s="40"/>
      <c r="T4960" s="38"/>
      <c r="U4960" s="38"/>
      <c r="V4960" s="38"/>
      <c r="W4960" s="60"/>
      <c r="AB4960" s="42"/>
      <c r="AC4960" s="35"/>
      <c r="AD4960" s="38"/>
      <c r="AE4960" s="38"/>
      <c r="AF4960" s="38"/>
      <c r="AG4960" s="38"/>
      <c r="AH4960" s="60"/>
    </row>
    <row r="4961" spans="1:34" ht="15.75" customHeight="1">
      <c r="A4961" s="75">
        <v>2.6</v>
      </c>
      <c r="B4961" s="78" t="s">
        <v>17346</v>
      </c>
      <c r="C4961" s="37" t="s">
        <v>87</v>
      </c>
      <c r="D4961" s="20" t="s">
        <v>17347</v>
      </c>
      <c r="E4961" s="20" t="s">
        <v>17348</v>
      </c>
      <c r="F4961" s="19" t="s">
        <v>90</v>
      </c>
      <c r="G4961" s="19" t="s">
        <v>91</v>
      </c>
      <c r="H4961" s="37" t="s">
        <v>55</v>
      </c>
      <c r="I4961" s="37" t="s">
        <v>29</v>
      </c>
      <c r="J4961" s="155" t="str">
        <f t="shared" si="10"/>
        <v>TT</v>
      </c>
      <c r="K4961" s="22" t="s">
        <v>17349</v>
      </c>
      <c r="L4961" s="56">
        <v>45132</v>
      </c>
      <c r="P4961" s="40"/>
      <c r="Q4961" s="61"/>
      <c r="R4961" s="61"/>
      <c r="S4961" s="40"/>
      <c r="T4961" s="38"/>
      <c r="U4961" s="38"/>
      <c r="V4961" s="38"/>
      <c r="W4961" s="60"/>
      <c r="AB4961" s="42"/>
      <c r="AC4961" s="35"/>
      <c r="AD4961" s="38"/>
      <c r="AE4961" s="38"/>
      <c r="AF4961" s="38"/>
      <c r="AG4961" s="38"/>
      <c r="AH4961" s="60"/>
    </row>
    <row r="4962" spans="1:34" ht="15.75" customHeight="1">
      <c r="A4962" s="111" t="s">
        <v>82</v>
      </c>
      <c r="B4962" s="78" t="s">
        <v>17350</v>
      </c>
      <c r="C4962" s="37" t="s">
        <v>46</v>
      </c>
      <c r="D4962" s="20" t="s">
        <v>17351</v>
      </c>
      <c r="E4962" s="20" t="s">
        <v>17352</v>
      </c>
      <c r="F4962" s="37" t="s">
        <v>49</v>
      </c>
      <c r="G4962" s="19" t="s">
        <v>50</v>
      </c>
      <c r="H4962" s="37" t="s">
        <v>55</v>
      </c>
      <c r="I4962" s="37" t="s">
        <v>29</v>
      </c>
      <c r="J4962" s="155" t="str">
        <f t="shared" si="10"/>
        <v>TT</v>
      </c>
      <c r="K4962" s="22" t="s">
        <v>17352</v>
      </c>
      <c r="L4962" s="56">
        <v>45132</v>
      </c>
      <c r="P4962" s="40"/>
      <c r="Q4962" s="61"/>
      <c r="R4962" s="61"/>
      <c r="S4962" s="40"/>
      <c r="T4962" s="38"/>
      <c r="U4962" s="38"/>
      <c r="V4962" s="38"/>
      <c r="W4962" s="60"/>
      <c r="AB4962" s="42"/>
      <c r="AC4962" s="35"/>
      <c r="AD4962" s="38"/>
      <c r="AE4962" s="38"/>
      <c r="AF4962" s="38"/>
      <c r="AG4962" s="38"/>
      <c r="AH4962" s="60"/>
    </row>
    <row r="4963" spans="1:34" ht="15.75" customHeight="1">
      <c r="A4963" s="112" t="s">
        <v>55</v>
      </c>
      <c r="B4963" s="78" t="s">
        <v>17353</v>
      </c>
      <c r="C4963" s="37" t="s">
        <v>46</v>
      </c>
      <c r="D4963" s="20" t="s">
        <v>17354</v>
      </c>
      <c r="E4963" s="20" t="s">
        <v>17355</v>
      </c>
      <c r="F4963" s="37" t="s">
        <v>49</v>
      </c>
      <c r="G4963" s="19" t="s">
        <v>50</v>
      </c>
      <c r="H4963" s="37" t="s">
        <v>55</v>
      </c>
      <c r="I4963" s="37" t="s">
        <v>29</v>
      </c>
      <c r="J4963" s="155" t="str">
        <f t="shared" si="10"/>
        <v>TT</v>
      </c>
      <c r="K4963" s="22" t="s">
        <v>17355</v>
      </c>
      <c r="L4963" s="56">
        <v>45132</v>
      </c>
      <c r="P4963" s="40"/>
      <c r="Q4963" s="61"/>
      <c r="R4963" s="61"/>
      <c r="S4963" s="40"/>
      <c r="T4963" s="38"/>
      <c r="U4963" s="38"/>
      <c r="V4963" s="38"/>
      <c r="W4963" s="60"/>
      <c r="AB4963" s="42"/>
      <c r="AC4963" s="35"/>
      <c r="AD4963" s="38"/>
      <c r="AE4963" s="38"/>
      <c r="AF4963" s="38"/>
      <c r="AG4963" s="38"/>
      <c r="AH4963" s="60"/>
    </row>
    <row r="4964" spans="1:34" ht="15.75" customHeight="1">
      <c r="A4964" s="111" t="s">
        <v>92</v>
      </c>
      <c r="B4964" s="78" t="s">
        <v>17356</v>
      </c>
      <c r="C4964" s="37" t="s">
        <v>228</v>
      </c>
      <c r="D4964" s="20" t="s">
        <v>17357</v>
      </c>
      <c r="E4964" s="20" t="s">
        <v>17358</v>
      </c>
      <c r="F4964" s="19" t="s">
        <v>231</v>
      </c>
      <c r="G4964" s="19" t="s">
        <v>232</v>
      </c>
      <c r="H4964" s="37" t="s">
        <v>55</v>
      </c>
      <c r="I4964" s="37" t="s">
        <v>233</v>
      </c>
      <c r="J4964" s="155" t="str">
        <f t="shared" si="10"/>
        <v>NTT</v>
      </c>
      <c r="K4964" s="22" t="s">
        <v>17358</v>
      </c>
      <c r="L4964" s="56">
        <v>45132</v>
      </c>
      <c r="P4964" s="40"/>
      <c r="Q4964" s="61"/>
      <c r="R4964" s="61"/>
      <c r="S4964" s="40"/>
      <c r="T4964" s="38"/>
      <c r="U4964" s="38"/>
      <c r="V4964" s="38"/>
      <c r="W4964" s="60"/>
      <c r="AB4964" s="42"/>
      <c r="AC4964" s="35"/>
      <c r="AD4964" s="38"/>
      <c r="AE4964" s="38"/>
      <c r="AF4964" s="38"/>
      <c r="AG4964" s="38"/>
      <c r="AH4964" s="60"/>
    </row>
    <row r="4965" spans="1:34" ht="15.75" customHeight="1">
      <c r="A4965" s="17">
        <v>140</v>
      </c>
      <c r="B4965" s="78" t="s">
        <v>17359</v>
      </c>
      <c r="C4965" s="37" t="s">
        <v>228</v>
      </c>
      <c r="D4965" s="20" t="s">
        <v>17360</v>
      </c>
      <c r="E4965" s="204" t="s">
        <v>17361</v>
      </c>
      <c r="F4965" s="19" t="s">
        <v>231</v>
      </c>
      <c r="G4965" s="19" t="s">
        <v>232</v>
      </c>
      <c r="H4965" s="37" t="s">
        <v>55</v>
      </c>
      <c r="I4965" s="37" t="s">
        <v>233</v>
      </c>
      <c r="J4965" s="155" t="str">
        <f t="shared" si="10"/>
        <v>NTT</v>
      </c>
      <c r="K4965" s="256" t="s">
        <v>17361</v>
      </c>
      <c r="L4965" s="56">
        <v>45132</v>
      </c>
      <c r="P4965" s="40"/>
      <c r="Q4965" s="61"/>
      <c r="R4965" s="61"/>
      <c r="S4965" s="40"/>
      <c r="T4965" s="38"/>
      <c r="U4965" s="38"/>
      <c r="V4965" s="38"/>
      <c r="W4965" s="60"/>
      <c r="AB4965" s="42"/>
      <c r="AC4965" s="35"/>
      <c r="AD4965" s="38"/>
      <c r="AE4965" s="38"/>
      <c r="AF4965" s="38"/>
      <c r="AG4965" s="38"/>
      <c r="AH4965" s="60"/>
    </row>
    <row r="4966" spans="1:34" ht="15.75" customHeight="1">
      <c r="A4966" s="111" t="s">
        <v>100</v>
      </c>
      <c r="B4966" s="78" t="s">
        <v>17362</v>
      </c>
      <c r="C4966" s="37" t="s">
        <v>412</v>
      </c>
      <c r="D4966" s="20" t="s">
        <v>17363</v>
      </c>
      <c r="E4966" s="20" t="s">
        <v>17364</v>
      </c>
      <c r="F4966" s="19" t="s">
        <v>414</v>
      </c>
      <c r="G4966" s="37" t="s">
        <v>415</v>
      </c>
      <c r="H4966" s="37" t="s">
        <v>55</v>
      </c>
      <c r="I4966" s="37" t="s">
        <v>233</v>
      </c>
      <c r="J4966" s="155" t="str">
        <f t="shared" si="10"/>
        <v>NTT</v>
      </c>
      <c r="K4966" s="22" t="s">
        <v>17365</v>
      </c>
      <c r="L4966" s="56">
        <v>45132</v>
      </c>
      <c r="P4966" s="40"/>
      <c r="Q4966" s="61"/>
      <c r="R4966" s="61"/>
      <c r="S4966" s="40"/>
      <c r="T4966" s="38"/>
      <c r="U4966" s="38"/>
      <c r="V4966" s="38"/>
      <c r="W4966" s="60"/>
      <c r="AB4966" s="42"/>
      <c r="AC4966" s="35"/>
      <c r="AD4966" s="38"/>
      <c r="AE4966" s="38"/>
      <c r="AF4966" s="38"/>
      <c r="AG4966" s="38"/>
      <c r="AH4966" s="60"/>
    </row>
    <row r="4967" spans="1:34" ht="15.75" customHeight="1">
      <c r="A4967" s="17" t="s">
        <v>55</v>
      </c>
      <c r="B4967" s="78" t="s">
        <v>17366</v>
      </c>
      <c r="C4967" s="37" t="s">
        <v>228</v>
      </c>
      <c r="D4967" s="20" t="s">
        <v>17367</v>
      </c>
      <c r="E4967" s="20" t="s">
        <v>17368</v>
      </c>
      <c r="F4967" s="19" t="s">
        <v>231</v>
      </c>
      <c r="G4967" s="19" t="s">
        <v>232</v>
      </c>
      <c r="H4967" s="37" t="s">
        <v>55</v>
      </c>
      <c r="I4967" s="37" t="s">
        <v>233</v>
      </c>
      <c r="J4967" s="155" t="str">
        <f t="shared" si="10"/>
        <v>NTT</v>
      </c>
      <c r="K4967" s="22" t="s">
        <v>17368</v>
      </c>
      <c r="L4967" s="56">
        <v>45132</v>
      </c>
      <c r="P4967" s="40"/>
      <c r="Q4967" s="61"/>
      <c r="R4967" s="61"/>
      <c r="S4967" s="40"/>
      <c r="T4967" s="38"/>
      <c r="U4967" s="38"/>
      <c r="V4967" s="38"/>
      <c r="W4967" s="60"/>
      <c r="AB4967" s="42"/>
      <c r="AC4967" s="35"/>
      <c r="AD4967" s="38"/>
      <c r="AE4967" s="38"/>
      <c r="AF4967" s="38"/>
      <c r="AG4967" s="38"/>
      <c r="AH4967" s="60"/>
    </row>
    <row r="4968" spans="1:34" ht="15.75" customHeight="1">
      <c r="A4968" s="255"/>
      <c r="B4968" s="78" t="s">
        <v>17369</v>
      </c>
      <c r="C4968" s="37" t="s">
        <v>412</v>
      </c>
      <c r="D4968" s="20" t="s">
        <v>17370</v>
      </c>
      <c r="E4968" s="20" t="s">
        <v>17371</v>
      </c>
      <c r="F4968" s="19" t="s">
        <v>414</v>
      </c>
      <c r="G4968" s="19" t="s">
        <v>415</v>
      </c>
      <c r="H4968" s="37" t="s">
        <v>55</v>
      </c>
      <c r="I4968" s="37" t="s">
        <v>233</v>
      </c>
      <c r="J4968" s="155" t="str">
        <f t="shared" si="10"/>
        <v>NTT</v>
      </c>
      <c r="K4968" s="22" t="s">
        <v>17371</v>
      </c>
      <c r="L4968" s="56">
        <v>45132</v>
      </c>
      <c r="P4968" s="40"/>
      <c r="Q4968" s="61"/>
      <c r="R4968" s="61"/>
      <c r="S4968" s="40"/>
      <c r="T4968" s="38"/>
      <c r="U4968" s="38"/>
      <c r="V4968" s="38"/>
      <c r="W4968" s="60"/>
      <c r="AB4968" s="42"/>
      <c r="AC4968" s="35"/>
      <c r="AD4968" s="38"/>
      <c r="AE4968" s="38"/>
      <c r="AF4968" s="38"/>
      <c r="AG4968" s="38"/>
      <c r="AH4968" s="60"/>
    </row>
    <row r="4969" spans="1:34" ht="15.75" customHeight="1">
      <c r="A4969" s="257"/>
      <c r="B4969" s="38"/>
      <c r="C4969" s="37"/>
      <c r="D4969" s="20"/>
      <c r="E4969" s="20"/>
      <c r="F4969" s="37"/>
      <c r="G4969" s="37"/>
      <c r="H4969" s="37"/>
      <c r="I4969" s="37"/>
      <c r="J4969" s="155">
        <f t="shared" si="10"/>
        <v>0</v>
      </c>
      <c r="K4969" s="22"/>
      <c r="L4969" s="39"/>
      <c r="P4969" s="40"/>
      <c r="Q4969" s="61"/>
      <c r="R4969" s="61"/>
      <c r="S4969" s="40"/>
      <c r="T4969" s="38"/>
      <c r="U4969" s="38"/>
      <c r="V4969" s="38"/>
      <c r="W4969" s="60"/>
      <c r="AB4969" s="42"/>
      <c r="AC4969" s="35"/>
      <c r="AD4969" s="38"/>
      <c r="AE4969" s="38"/>
      <c r="AF4969" s="38"/>
      <c r="AG4969" s="38"/>
      <c r="AH4969" s="60"/>
    </row>
    <row r="4970" spans="1:34" ht="15.75" customHeight="1">
      <c r="A4970" s="35" t="s">
        <v>17372</v>
      </c>
      <c r="B4970" s="78" t="s">
        <v>17373</v>
      </c>
      <c r="C4970" s="37" t="s">
        <v>87</v>
      </c>
      <c r="D4970" s="20" t="s">
        <v>17374</v>
      </c>
      <c r="E4970" s="20" t="s">
        <v>17375</v>
      </c>
      <c r="F4970" s="19" t="s">
        <v>90</v>
      </c>
      <c r="G4970" s="19" t="s">
        <v>91</v>
      </c>
      <c r="H4970" s="37" t="s">
        <v>55</v>
      </c>
      <c r="I4970" s="37" t="s">
        <v>29</v>
      </c>
      <c r="J4970" s="155" t="str">
        <f t="shared" si="10"/>
        <v>TT</v>
      </c>
      <c r="K4970" s="22" t="s">
        <v>17375</v>
      </c>
      <c r="L4970" s="56">
        <v>45132</v>
      </c>
      <c r="M4970" s="40"/>
      <c r="P4970" s="40"/>
      <c r="Q4970" s="61"/>
      <c r="R4970" s="61"/>
      <c r="S4970" s="40"/>
      <c r="T4970" s="38"/>
      <c r="U4970" s="38"/>
      <c r="V4970" s="38"/>
      <c r="W4970" s="60"/>
      <c r="AB4970" s="42"/>
      <c r="AC4970" s="35"/>
      <c r="AD4970" s="38"/>
      <c r="AE4970" s="38"/>
      <c r="AF4970" s="38"/>
      <c r="AG4970" s="38"/>
      <c r="AH4970" s="60"/>
    </row>
    <row r="4971" spans="1:34" ht="15.75" customHeight="1">
      <c r="A4971" s="54" t="s">
        <v>2714</v>
      </c>
      <c r="B4971" s="78" t="s">
        <v>17376</v>
      </c>
      <c r="C4971" s="37" t="s">
        <v>87</v>
      </c>
      <c r="D4971" s="20" t="s">
        <v>17377</v>
      </c>
      <c r="E4971" s="20" t="s">
        <v>17378</v>
      </c>
      <c r="F4971" s="19" t="s">
        <v>90</v>
      </c>
      <c r="G4971" s="19" t="s">
        <v>91</v>
      </c>
      <c r="H4971" s="37" t="s">
        <v>55</v>
      </c>
      <c r="I4971" s="37" t="s">
        <v>29</v>
      </c>
      <c r="J4971" s="155" t="str">
        <f t="shared" si="10"/>
        <v>TT</v>
      </c>
      <c r="K4971" s="22" t="s">
        <v>17378</v>
      </c>
      <c r="L4971" s="56">
        <v>45132</v>
      </c>
      <c r="P4971" s="40"/>
      <c r="Q4971" s="61"/>
      <c r="R4971" s="61"/>
      <c r="S4971" s="40"/>
      <c r="T4971" s="38"/>
      <c r="U4971" s="38"/>
      <c r="V4971" s="38"/>
      <c r="W4971" s="60"/>
      <c r="AB4971" s="42"/>
      <c r="AC4971" s="35"/>
      <c r="AD4971" s="38"/>
      <c r="AE4971" s="38"/>
      <c r="AF4971" s="38"/>
      <c r="AG4971" s="38"/>
      <c r="AH4971" s="60"/>
    </row>
    <row r="4972" spans="1:34" ht="15.75" customHeight="1">
      <c r="A4972" s="114" t="s">
        <v>39</v>
      </c>
      <c r="B4972" s="78" t="s">
        <v>17379</v>
      </c>
      <c r="C4972" s="37" t="s">
        <v>87</v>
      </c>
      <c r="D4972" s="20" t="s">
        <v>17380</v>
      </c>
      <c r="E4972" s="20" t="s">
        <v>17381</v>
      </c>
      <c r="F4972" s="19" t="s">
        <v>90</v>
      </c>
      <c r="G4972" s="19" t="s">
        <v>91</v>
      </c>
      <c r="H4972" s="37" t="s">
        <v>55</v>
      </c>
      <c r="I4972" s="37" t="s">
        <v>29</v>
      </c>
      <c r="J4972" s="155" t="str">
        <f t="shared" si="10"/>
        <v>TT</v>
      </c>
      <c r="K4972" s="22" t="s">
        <v>17381</v>
      </c>
      <c r="L4972" s="56">
        <v>45132</v>
      </c>
      <c r="P4972" s="40"/>
      <c r="Q4972" s="61"/>
      <c r="R4972" s="61"/>
      <c r="S4972" s="40"/>
      <c r="T4972" s="38"/>
      <c r="U4972" s="38"/>
      <c r="V4972" s="38"/>
      <c r="W4972" s="60"/>
      <c r="AB4972" s="42"/>
      <c r="AC4972" s="35"/>
      <c r="AD4972" s="38"/>
      <c r="AE4972" s="38"/>
      <c r="AF4972" s="38"/>
      <c r="AG4972" s="38"/>
      <c r="AH4972" s="60"/>
    </row>
    <row r="4973" spans="1:34" ht="15.75" customHeight="1">
      <c r="A4973" s="38" t="s">
        <v>16979</v>
      </c>
      <c r="B4973" s="78" t="s">
        <v>17382</v>
      </c>
      <c r="C4973" s="37" t="s">
        <v>87</v>
      </c>
      <c r="D4973" s="20" t="s">
        <v>17383</v>
      </c>
      <c r="E4973" s="20" t="s">
        <v>17384</v>
      </c>
      <c r="F4973" s="19" t="s">
        <v>90</v>
      </c>
      <c r="G4973" s="19" t="s">
        <v>91</v>
      </c>
      <c r="H4973" s="37" t="s">
        <v>55</v>
      </c>
      <c r="I4973" s="37" t="s">
        <v>29</v>
      </c>
      <c r="J4973" s="155" t="str">
        <f t="shared" si="10"/>
        <v>TT</v>
      </c>
      <c r="K4973" s="22" t="s">
        <v>17385</v>
      </c>
      <c r="L4973" s="56">
        <v>45132</v>
      </c>
      <c r="P4973" s="40"/>
      <c r="Q4973" s="61"/>
      <c r="R4973" s="61"/>
      <c r="S4973" s="40"/>
      <c r="T4973" s="38"/>
      <c r="U4973" s="38"/>
      <c r="V4973" s="38"/>
      <c r="W4973" s="60"/>
      <c r="AB4973" s="42"/>
      <c r="AC4973" s="35"/>
      <c r="AD4973" s="38"/>
      <c r="AE4973" s="38"/>
      <c r="AF4973" s="38"/>
      <c r="AG4973" s="38"/>
      <c r="AH4973" s="60"/>
    </row>
    <row r="4974" spans="1:34" ht="15.75" customHeight="1">
      <c r="A4974" s="75" t="s">
        <v>14789</v>
      </c>
      <c r="B4974" s="78" t="s">
        <v>17386</v>
      </c>
      <c r="C4974" s="37" t="s">
        <v>87</v>
      </c>
      <c r="D4974" s="20" t="s">
        <v>17387</v>
      </c>
      <c r="E4974" s="20" t="s">
        <v>17388</v>
      </c>
      <c r="F4974" s="19" t="s">
        <v>90</v>
      </c>
      <c r="G4974" s="19" t="s">
        <v>91</v>
      </c>
      <c r="H4974" s="37" t="s">
        <v>55</v>
      </c>
      <c r="I4974" s="37" t="s">
        <v>29</v>
      </c>
      <c r="J4974" s="155" t="str">
        <f t="shared" si="10"/>
        <v>TT</v>
      </c>
      <c r="K4974" s="22" t="s">
        <v>17389</v>
      </c>
      <c r="L4974" s="56">
        <v>45132</v>
      </c>
      <c r="P4974" s="40"/>
      <c r="Q4974" s="61"/>
      <c r="R4974" s="61"/>
      <c r="S4974" s="40"/>
      <c r="T4974" s="38"/>
      <c r="U4974" s="38"/>
      <c r="V4974" s="38"/>
      <c r="W4974" s="60"/>
      <c r="AB4974" s="42"/>
      <c r="AC4974" s="35"/>
      <c r="AD4974" s="38"/>
      <c r="AE4974" s="38"/>
      <c r="AF4974" s="38"/>
      <c r="AG4974" s="38"/>
      <c r="AH4974" s="60"/>
    </row>
    <row r="4975" spans="1:34" ht="15.75" customHeight="1">
      <c r="A4975" s="50" t="s">
        <v>56</v>
      </c>
      <c r="B4975" s="78" t="s">
        <v>17390</v>
      </c>
      <c r="C4975" s="37" t="s">
        <v>46</v>
      </c>
      <c r="D4975" s="20" t="s">
        <v>17391</v>
      </c>
      <c r="E4975" s="20" t="s">
        <v>17392</v>
      </c>
      <c r="F4975" s="37" t="s">
        <v>49</v>
      </c>
      <c r="G4975" s="19" t="s">
        <v>50</v>
      </c>
      <c r="H4975" s="37" t="s">
        <v>55</v>
      </c>
      <c r="I4975" s="37" t="s">
        <v>29</v>
      </c>
      <c r="J4975" s="155" t="str">
        <f t="shared" si="10"/>
        <v>TT</v>
      </c>
      <c r="K4975" s="22" t="s">
        <v>17392</v>
      </c>
      <c r="L4975" s="56">
        <v>45132</v>
      </c>
      <c r="P4975" s="40"/>
      <c r="Q4975" s="61"/>
      <c r="R4975" s="61"/>
      <c r="S4975" s="40"/>
      <c r="T4975" s="38"/>
      <c r="U4975" s="38"/>
      <c r="V4975" s="38"/>
      <c r="W4975" s="60"/>
      <c r="AB4975" s="42"/>
      <c r="AC4975" s="35"/>
      <c r="AD4975" s="38"/>
      <c r="AE4975" s="38"/>
      <c r="AF4975" s="38"/>
      <c r="AG4975" s="38"/>
      <c r="AH4975" s="60"/>
    </row>
    <row r="4976" spans="1:34" ht="15.75" customHeight="1">
      <c r="A4976" s="17">
        <v>31</v>
      </c>
      <c r="B4976" s="78" t="s">
        <v>17393</v>
      </c>
      <c r="C4976" s="37" t="s">
        <v>87</v>
      </c>
      <c r="D4976" s="20" t="s">
        <v>17394</v>
      </c>
      <c r="E4976" s="20" t="s">
        <v>17395</v>
      </c>
      <c r="F4976" s="19" t="s">
        <v>90</v>
      </c>
      <c r="G4976" s="19" t="s">
        <v>91</v>
      </c>
      <c r="H4976" s="37" t="s">
        <v>55</v>
      </c>
      <c r="I4976" s="37" t="s">
        <v>29</v>
      </c>
      <c r="J4976" s="155" t="str">
        <f t="shared" si="10"/>
        <v>TT</v>
      </c>
      <c r="K4976" s="22" t="s">
        <v>17396</v>
      </c>
      <c r="L4976" s="56">
        <v>45132</v>
      </c>
      <c r="P4976" s="40"/>
      <c r="Q4976" s="61"/>
      <c r="R4976" s="61"/>
      <c r="S4976" s="40"/>
      <c r="T4976" s="38"/>
      <c r="U4976" s="38"/>
      <c r="V4976" s="38"/>
      <c r="W4976" s="60"/>
      <c r="AB4976" s="42"/>
      <c r="AC4976" s="35"/>
      <c r="AD4976" s="38"/>
      <c r="AE4976" s="38"/>
      <c r="AF4976" s="38"/>
      <c r="AG4976" s="38"/>
      <c r="AH4976" s="60"/>
    </row>
    <row r="4977" spans="1:34" ht="15.75" customHeight="1">
      <c r="A4977" s="111" t="s">
        <v>64</v>
      </c>
      <c r="B4977" s="78" t="s">
        <v>17397</v>
      </c>
      <c r="C4977" s="37" t="s">
        <v>46</v>
      </c>
      <c r="D4977" s="20" t="s">
        <v>17398</v>
      </c>
      <c r="E4977" s="20" t="s">
        <v>17399</v>
      </c>
      <c r="F4977" s="37" t="s">
        <v>49</v>
      </c>
      <c r="G4977" s="19" t="s">
        <v>50</v>
      </c>
      <c r="H4977" s="37" t="s">
        <v>55</v>
      </c>
      <c r="I4977" s="37" t="s">
        <v>29</v>
      </c>
      <c r="J4977" s="155" t="str">
        <f t="shared" si="10"/>
        <v>TT</v>
      </c>
      <c r="K4977" s="22" t="s">
        <v>17399</v>
      </c>
      <c r="L4977" s="56">
        <v>45132</v>
      </c>
      <c r="P4977" s="40"/>
      <c r="Q4977" s="61"/>
      <c r="R4977" s="61"/>
      <c r="S4977" s="40"/>
      <c r="T4977" s="38"/>
      <c r="U4977" s="38"/>
      <c r="V4977" s="38"/>
      <c r="W4977" s="60"/>
      <c r="AB4977" s="42"/>
      <c r="AC4977" s="35"/>
      <c r="AD4977" s="38"/>
      <c r="AE4977" s="38"/>
      <c r="AF4977" s="38"/>
      <c r="AG4977" s="38"/>
      <c r="AH4977" s="60"/>
    </row>
    <row r="4978" spans="1:34" ht="15.75" customHeight="1">
      <c r="A4978" s="75">
        <v>2.2999999999999998</v>
      </c>
      <c r="B4978" s="78" t="s">
        <v>17400</v>
      </c>
      <c r="C4978" s="37" t="s">
        <v>24</v>
      </c>
      <c r="D4978" s="20" t="s">
        <v>17401</v>
      </c>
      <c r="E4978" s="20" t="s">
        <v>17402</v>
      </c>
      <c r="F4978" s="19" t="s">
        <v>27</v>
      </c>
      <c r="G4978" s="19" t="s">
        <v>28</v>
      </c>
      <c r="H4978" s="37" t="s">
        <v>55</v>
      </c>
      <c r="I4978" s="37" t="s">
        <v>29</v>
      </c>
      <c r="J4978" s="155" t="str">
        <f t="shared" si="10"/>
        <v>TT</v>
      </c>
      <c r="K4978" s="22" t="s">
        <v>17402</v>
      </c>
      <c r="L4978" s="56">
        <v>45132</v>
      </c>
      <c r="P4978" s="40"/>
      <c r="Q4978" s="61"/>
      <c r="R4978" s="61"/>
      <c r="S4978" s="40"/>
      <c r="T4978" s="38"/>
      <c r="U4978" s="38"/>
      <c r="V4978" s="38"/>
      <c r="W4978" s="60"/>
      <c r="AB4978" s="42"/>
      <c r="AC4978" s="35"/>
      <c r="AD4978" s="38"/>
      <c r="AE4978" s="38"/>
      <c r="AF4978" s="38"/>
      <c r="AG4978" s="38"/>
      <c r="AH4978" s="60"/>
    </row>
    <row r="4979" spans="1:34" ht="15.75" customHeight="1">
      <c r="A4979" s="111" t="s">
        <v>73</v>
      </c>
      <c r="B4979" s="78" t="s">
        <v>17403</v>
      </c>
      <c r="C4979" s="37" t="s">
        <v>46</v>
      </c>
      <c r="D4979" s="20" t="s">
        <v>17404</v>
      </c>
      <c r="E4979" s="20" t="s">
        <v>17405</v>
      </c>
      <c r="F4979" s="37" t="s">
        <v>49</v>
      </c>
      <c r="G4979" s="19" t="s">
        <v>50</v>
      </c>
      <c r="H4979" s="37" t="s">
        <v>55</v>
      </c>
      <c r="I4979" s="37" t="s">
        <v>29</v>
      </c>
      <c r="J4979" s="155" t="str">
        <f t="shared" si="10"/>
        <v>TT</v>
      </c>
      <c r="K4979" s="22" t="s">
        <v>17406</v>
      </c>
      <c r="L4979" s="56">
        <v>45132</v>
      </c>
      <c r="P4979" s="40"/>
      <c r="Q4979" s="61"/>
      <c r="R4979" s="61"/>
      <c r="S4979" s="40"/>
      <c r="T4979" s="38"/>
      <c r="U4979" s="38"/>
      <c r="V4979" s="38"/>
      <c r="W4979" s="60"/>
      <c r="AB4979" s="42"/>
      <c r="AC4979" s="35"/>
      <c r="AD4979" s="38"/>
      <c r="AE4979" s="38"/>
      <c r="AF4979" s="38"/>
      <c r="AG4979" s="38"/>
      <c r="AH4979" s="60"/>
    </row>
    <row r="4980" spans="1:34" ht="15.75" customHeight="1">
      <c r="A4980" s="75">
        <v>2.5</v>
      </c>
      <c r="B4980" s="78" t="s">
        <v>17407</v>
      </c>
      <c r="C4980" s="37" t="s">
        <v>46</v>
      </c>
      <c r="D4980" s="20" t="s">
        <v>17408</v>
      </c>
      <c r="E4980" s="20" t="s">
        <v>17409</v>
      </c>
      <c r="F4980" s="37" t="s">
        <v>49</v>
      </c>
      <c r="G4980" s="19" t="s">
        <v>50</v>
      </c>
      <c r="H4980" s="37" t="s">
        <v>55</v>
      </c>
      <c r="I4980" s="37" t="s">
        <v>29</v>
      </c>
      <c r="J4980" s="155" t="str">
        <f t="shared" si="10"/>
        <v>TT</v>
      </c>
      <c r="K4980" s="22" t="s">
        <v>17409</v>
      </c>
      <c r="L4980" s="56">
        <v>45132</v>
      </c>
      <c r="P4980" s="40"/>
      <c r="Q4980" s="61"/>
      <c r="R4980" s="61"/>
      <c r="S4980" s="40"/>
      <c r="T4980" s="38"/>
      <c r="U4980" s="38"/>
      <c r="V4980" s="38"/>
      <c r="W4980" s="60"/>
      <c r="AB4980" s="42"/>
      <c r="AC4980" s="35"/>
      <c r="AD4980" s="38"/>
      <c r="AE4980" s="38"/>
      <c r="AF4980" s="38"/>
      <c r="AG4980" s="38"/>
      <c r="AH4980" s="60"/>
    </row>
    <row r="4981" spans="1:34" ht="15.75" customHeight="1">
      <c r="A4981" s="111" t="s">
        <v>82</v>
      </c>
      <c r="B4981" s="78" t="s">
        <v>17410</v>
      </c>
      <c r="C4981" s="37" t="s">
        <v>24</v>
      </c>
      <c r="D4981" s="20" t="s">
        <v>17411</v>
      </c>
      <c r="E4981" s="20" t="s">
        <v>17412</v>
      </c>
      <c r="F4981" s="19" t="s">
        <v>27</v>
      </c>
      <c r="G4981" s="19" t="s">
        <v>28</v>
      </c>
      <c r="H4981" s="37" t="s">
        <v>55</v>
      </c>
      <c r="I4981" s="37" t="s">
        <v>29</v>
      </c>
      <c r="J4981" s="155" t="str">
        <f t="shared" si="10"/>
        <v>TT</v>
      </c>
      <c r="K4981" s="22" t="s">
        <v>17413</v>
      </c>
      <c r="L4981" s="56">
        <v>45132</v>
      </c>
      <c r="P4981" s="40"/>
      <c r="Q4981" s="61"/>
      <c r="R4981" s="61"/>
      <c r="S4981" s="40"/>
      <c r="T4981" s="38"/>
      <c r="U4981" s="38"/>
      <c r="V4981" s="38"/>
      <c r="W4981" s="60"/>
      <c r="AB4981" s="42"/>
      <c r="AC4981" s="35"/>
      <c r="AD4981" s="38"/>
      <c r="AE4981" s="38"/>
      <c r="AF4981" s="38"/>
      <c r="AG4981" s="38"/>
      <c r="AH4981" s="60"/>
    </row>
    <row r="4982" spans="1:34" ht="15.75" customHeight="1">
      <c r="A4982" s="112" t="s">
        <v>17414</v>
      </c>
      <c r="B4982" s="78" t="s">
        <v>17415</v>
      </c>
      <c r="C4982" s="37" t="s">
        <v>87</v>
      </c>
      <c r="D4982" s="20" t="s">
        <v>17416</v>
      </c>
      <c r="E4982" s="20" t="s">
        <v>17417</v>
      </c>
      <c r="F4982" s="19" t="s">
        <v>90</v>
      </c>
      <c r="G4982" s="19" t="s">
        <v>91</v>
      </c>
      <c r="H4982" s="37" t="s">
        <v>55</v>
      </c>
      <c r="I4982" s="37" t="s">
        <v>29</v>
      </c>
      <c r="J4982" s="155" t="str">
        <f t="shared" si="10"/>
        <v>TT</v>
      </c>
      <c r="K4982" s="22" t="s">
        <v>17417</v>
      </c>
      <c r="L4982" s="56">
        <v>45132</v>
      </c>
      <c r="P4982" s="40"/>
      <c r="Q4982" s="61"/>
      <c r="R4982" s="61"/>
      <c r="S4982" s="40"/>
      <c r="T4982" s="38"/>
      <c r="U4982" s="38"/>
      <c r="V4982" s="38"/>
      <c r="W4982" s="60"/>
      <c r="AB4982" s="42"/>
      <c r="AC4982" s="35"/>
      <c r="AD4982" s="38"/>
      <c r="AE4982" s="38"/>
      <c r="AF4982" s="38"/>
      <c r="AG4982" s="38"/>
      <c r="AH4982" s="60"/>
    </row>
    <row r="4983" spans="1:34" ht="15.75" customHeight="1">
      <c r="A4983" s="111" t="s">
        <v>92</v>
      </c>
      <c r="B4983" s="78" t="s">
        <v>17418</v>
      </c>
      <c r="C4983" s="37" t="s">
        <v>24</v>
      </c>
      <c r="D4983" s="20" t="s">
        <v>17419</v>
      </c>
      <c r="E4983" s="20" t="s">
        <v>17420</v>
      </c>
      <c r="F4983" s="19" t="s">
        <v>27</v>
      </c>
      <c r="G4983" s="19" t="s">
        <v>28</v>
      </c>
      <c r="H4983" s="37" t="s">
        <v>55</v>
      </c>
      <c r="I4983" s="37" t="s">
        <v>29</v>
      </c>
      <c r="J4983" s="155" t="str">
        <f t="shared" si="10"/>
        <v>TT</v>
      </c>
      <c r="K4983" s="22" t="s">
        <v>17420</v>
      </c>
      <c r="L4983" s="56">
        <v>45132</v>
      </c>
      <c r="P4983" s="40"/>
      <c r="Q4983" s="61"/>
      <c r="R4983" s="61"/>
      <c r="S4983" s="40"/>
      <c r="T4983" s="38"/>
      <c r="U4983" s="38"/>
      <c r="V4983" s="38"/>
      <c r="W4983" s="60"/>
      <c r="AB4983" s="42"/>
      <c r="AC4983" s="35"/>
      <c r="AD4983" s="38"/>
      <c r="AE4983" s="38"/>
      <c r="AF4983" s="38"/>
      <c r="AG4983" s="38"/>
      <c r="AH4983" s="60"/>
    </row>
    <row r="4984" spans="1:34" ht="15.75" customHeight="1">
      <c r="A4984" s="17">
        <v>84</v>
      </c>
      <c r="B4984" s="78" t="s">
        <v>17421</v>
      </c>
      <c r="C4984" s="37" t="s">
        <v>24</v>
      </c>
      <c r="D4984" s="20" t="s">
        <v>17422</v>
      </c>
      <c r="E4984" s="20" t="s">
        <v>17423</v>
      </c>
      <c r="F4984" s="19" t="s">
        <v>27</v>
      </c>
      <c r="G4984" s="19" t="s">
        <v>28</v>
      </c>
      <c r="H4984" s="37" t="s">
        <v>55</v>
      </c>
      <c r="I4984" s="37" t="s">
        <v>29</v>
      </c>
      <c r="J4984" s="155" t="str">
        <f t="shared" si="10"/>
        <v>TT</v>
      </c>
      <c r="K4984" s="22" t="s">
        <v>17423</v>
      </c>
      <c r="L4984" s="56">
        <v>45132</v>
      </c>
      <c r="P4984" s="40"/>
      <c r="Q4984" s="61"/>
      <c r="R4984" s="61"/>
      <c r="S4984" s="40"/>
      <c r="T4984" s="38"/>
      <c r="U4984" s="38"/>
      <c r="V4984" s="38"/>
      <c r="W4984" s="60"/>
      <c r="AB4984" s="42"/>
      <c r="AC4984" s="35"/>
      <c r="AD4984" s="38"/>
      <c r="AE4984" s="38"/>
      <c r="AF4984" s="38"/>
      <c r="AG4984" s="38"/>
      <c r="AH4984" s="60"/>
    </row>
    <row r="4985" spans="1:34" ht="15.75" customHeight="1">
      <c r="A4985" s="111" t="s">
        <v>100</v>
      </c>
      <c r="B4985" s="81" t="s">
        <v>17424</v>
      </c>
      <c r="C4985" s="37" t="s">
        <v>24</v>
      </c>
      <c r="D4985" s="20" t="s">
        <v>17425</v>
      </c>
      <c r="E4985" s="20" t="s">
        <v>17426</v>
      </c>
      <c r="F4985" s="19" t="s">
        <v>27</v>
      </c>
      <c r="G4985" s="19" t="s">
        <v>28</v>
      </c>
      <c r="H4985" s="37" t="s">
        <v>55</v>
      </c>
      <c r="I4985" s="37" t="s">
        <v>29</v>
      </c>
      <c r="J4985" s="155" t="str">
        <f t="shared" si="10"/>
        <v>TT</v>
      </c>
      <c r="K4985" s="22" t="s">
        <v>17426</v>
      </c>
      <c r="L4985" s="56">
        <v>45132</v>
      </c>
      <c r="P4985" s="40"/>
      <c r="Q4985" s="61"/>
      <c r="R4985" s="61"/>
      <c r="S4985" s="40"/>
      <c r="T4985" s="38"/>
      <c r="U4985" s="38"/>
      <c r="V4985" s="38"/>
      <c r="W4985" s="60"/>
      <c r="AB4985" s="42"/>
      <c r="AC4985" s="35"/>
      <c r="AD4985" s="38"/>
      <c r="AE4985" s="38"/>
      <c r="AF4985" s="38"/>
      <c r="AG4985" s="38"/>
      <c r="AH4985" s="60"/>
    </row>
    <row r="4986" spans="1:34" ht="15.75" customHeight="1">
      <c r="A4986" s="17">
        <v>160</v>
      </c>
      <c r="B4986" s="78" t="s">
        <v>17427</v>
      </c>
      <c r="C4986" s="37" t="s">
        <v>87</v>
      </c>
      <c r="D4986" s="20" t="s">
        <v>17428</v>
      </c>
      <c r="E4986" s="20" t="s">
        <v>17429</v>
      </c>
      <c r="F4986" s="19" t="s">
        <v>90</v>
      </c>
      <c r="G4986" s="19" t="s">
        <v>91</v>
      </c>
      <c r="H4986" s="37" t="s">
        <v>55</v>
      </c>
      <c r="I4986" s="37" t="s">
        <v>29</v>
      </c>
      <c r="J4986" s="155" t="str">
        <f t="shared" si="10"/>
        <v>TT</v>
      </c>
      <c r="K4986" s="22" t="s">
        <v>17429</v>
      </c>
      <c r="L4986" s="56">
        <v>45132</v>
      </c>
      <c r="P4986" s="40"/>
      <c r="Q4986" s="61"/>
      <c r="R4986" s="61"/>
      <c r="S4986" s="40"/>
      <c r="T4986" s="38"/>
      <c r="U4986" s="38"/>
      <c r="V4986" s="38"/>
      <c r="W4986" s="60"/>
      <c r="AB4986" s="42"/>
      <c r="AC4986" s="35"/>
      <c r="AD4986" s="38"/>
      <c r="AE4986" s="38"/>
      <c r="AF4986" s="38"/>
      <c r="AG4986" s="38"/>
      <c r="AH4986" s="60"/>
    </row>
    <row r="4987" spans="1:34" ht="15.75" customHeight="1">
      <c r="A4987" s="35"/>
      <c r="B4987" s="38"/>
      <c r="C4987" s="37"/>
      <c r="D4987" s="20"/>
      <c r="E4987" s="20"/>
      <c r="F4987" s="37"/>
      <c r="G4987" s="37"/>
      <c r="H4987" s="37"/>
      <c r="I4987" s="37"/>
      <c r="J4987" s="155">
        <f t="shared" si="10"/>
        <v>0</v>
      </c>
      <c r="K4987" s="22"/>
      <c r="L4987" s="39"/>
      <c r="P4987" s="40"/>
      <c r="Q4987" s="61"/>
      <c r="R4987" s="61"/>
      <c r="S4987" s="40"/>
      <c r="T4987" s="38"/>
      <c r="U4987" s="38"/>
      <c r="V4987" s="38"/>
      <c r="W4987" s="60"/>
      <c r="AB4987" s="42"/>
      <c r="AC4987" s="35"/>
      <c r="AD4987" s="38"/>
      <c r="AE4987" s="38"/>
      <c r="AF4987" s="38"/>
      <c r="AG4987" s="38"/>
      <c r="AH4987" s="60"/>
    </row>
    <row r="4988" spans="1:34" ht="15.75" customHeight="1">
      <c r="A4988" s="18" t="s">
        <v>17430</v>
      </c>
      <c r="B4988" s="78" t="s">
        <v>17431</v>
      </c>
      <c r="C4988" s="37" t="s">
        <v>24</v>
      </c>
      <c r="D4988" s="20" t="s">
        <v>17432</v>
      </c>
      <c r="E4988" s="20" t="s">
        <v>17433</v>
      </c>
      <c r="F4988" s="19" t="s">
        <v>27</v>
      </c>
      <c r="G4988" s="19" t="s">
        <v>28</v>
      </c>
      <c r="H4988" s="37"/>
      <c r="I4988" s="37" t="s">
        <v>29</v>
      </c>
      <c r="J4988" s="155" t="str">
        <f t="shared" si="10"/>
        <v>TT</v>
      </c>
      <c r="K4988" s="22" t="s">
        <v>17433</v>
      </c>
      <c r="L4988" s="56">
        <v>45132</v>
      </c>
      <c r="M4988" s="40"/>
      <c r="P4988" s="40"/>
      <c r="Q4988" s="61"/>
      <c r="R4988" s="61"/>
      <c r="S4988" s="40"/>
      <c r="T4988" s="38"/>
      <c r="U4988" s="38"/>
      <c r="V4988" s="38"/>
      <c r="W4988" s="60"/>
      <c r="AB4988" s="42"/>
      <c r="AC4988" s="35"/>
      <c r="AD4988" s="38"/>
      <c r="AE4988" s="38"/>
      <c r="AF4988" s="38"/>
      <c r="AG4988" s="38"/>
      <c r="AH4988" s="60"/>
    </row>
    <row r="4989" spans="1:34" ht="15.75" customHeight="1">
      <c r="A4989" s="54" t="s">
        <v>2714</v>
      </c>
      <c r="B4989" s="78" t="s">
        <v>17434</v>
      </c>
      <c r="C4989" s="37" t="s">
        <v>24</v>
      </c>
      <c r="D4989" s="20" t="s">
        <v>17435</v>
      </c>
      <c r="E4989" s="20" t="s">
        <v>17436</v>
      </c>
      <c r="F4989" s="19" t="s">
        <v>27</v>
      </c>
      <c r="G4989" s="19" t="s">
        <v>28</v>
      </c>
      <c r="H4989" s="37"/>
      <c r="I4989" s="37" t="s">
        <v>29</v>
      </c>
      <c r="J4989" s="155" t="str">
        <f t="shared" si="10"/>
        <v>TT</v>
      </c>
      <c r="K4989" s="22" t="s">
        <v>17437</v>
      </c>
      <c r="L4989" s="56">
        <v>45132</v>
      </c>
      <c r="P4989" s="40"/>
      <c r="Q4989" s="61"/>
      <c r="R4989" s="61"/>
      <c r="S4989" s="40"/>
      <c r="T4989" s="38"/>
      <c r="U4989" s="38"/>
      <c r="V4989" s="38"/>
      <c r="W4989" s="60"/>
      <c r="AB4989" s="42"/>
      <c r="AC4989" s="35"/>
      <c r="AD4989" s="38"/>
      <c r="AE4989" s="38"/>
      <c r="AF4989" s="38"/>
      <c r="AG4989" s="38"/>
      <c r="AH4989" s="60"/>
    </row>
    <row r="4990" spans="1:34" ht="15.75" customHeight="1">
      <c r="A4990" s="114" t="s">
        <v>39</v>
      </c>
      <c r="B4990" s="78" t="s">
        <v>17438</v>
      </c>
      <c r="C4990" s="37" t="s">
        <v>46</v>
      </c>
      <c r="D4990" s="20" t="s">
        <v>17439</v>
      </c>
      <c r="E4990" s="20" t="s">
        <v>17440</v>
      </c>
      <c r="F4990" s="37" t="s">
        <v>49</v>
      </c>
      <c r="G4990" s="19" t="s">
        <v>50</v>
      </c>
      <c r="H4990" s="37"/>
      <c r="I4990" s="37" t="s">
        <v>29</v>
      </c>
      <c r="J4990" s="155" t="str">
        <f t="shared" si="10"/>
        <v>TT</v>
      </c>
      <c r="K4990" s="22" t="s">
        <v>17441</v>
      </c>
      <c r="L4990" s="56">
        <v>45132</v>
      </c>
      <c r="P4990" s="40"/>
      <c r="Q4990" s="61"/>
      <c r="R4990" s="61"/>
      <c r="S4990" s="40"/>
      <c r="T4990" s="38"/>
      <c r="U4990" s="38"/>
      <c r="V4990" s="38"/>
      <c r="W4990" s="60"/>
      <c r="AB4990" s="42"/>
      <c r="AC4990" s="35"/>
      <c r="AD4990" s="38"/>
      <c r="AE4990" s="38"/>
      <c r="AF4990" s="38"/>
      <c r="AG4990" s="38"/>
      <c r="AH4990" s="60"/>
    </row>
    <row r="4991" spans="1:34" ht="15.75" customHeight="1">
      <c r="A4991" s="38" t="s">
        <v>16979</v>
      </c>
      <c r="B4991" s="78" t="s">
        <v>17442</v>
      </c>
      <c r="C4991" s="37" t="s">
        <v>46</v>
      </c>
      <c r="D4991" s="20" t="s">
        <v>17443</v>
      </c>
      <c r="E4991" s="20"/>
      <c r="F4991" s="37" t="s">
        <v>49</v>
      </c>
      <c r="G4991" s="19" t="s">
        <v>50</v>
      </c>
      <c r="H4991" s="37"/>
      <c r="I4991" s="37" t="s">
        <v>29</v>
      </c>
      <c r="J4991" s="155" t="str">
        <f t="shared" si="10"/>
        <v>TT</v>
      </c>
      <c r="K4991" s="22"/>
      <c r="L4991" s="56">
        <v>45132</v>
      </c>
      <c r="P4991" s="40"/>
      <c r="Q4991" s="61"/>
      <c r="R4991" s="61"/>
      <c r="S4991" s="40"/>
      <c r="T4991" s="38"/>
      <c r="U4991" s="38"/>
      <c r="V4991" s="38"/>
      <c r="W4991" s="60"/>
      <c r="AB4991" s="42"/>
      <c r="AC4991" s="35"/>
      <c r="AD4991" s="38"/>
      <c r="AE4991" s="38"/>
      <c r="AF4991" s="38"/>
      <c r="AG4991" s="38"/>
      <c r="AH4991" s="60"/>
    </row>
    <row r="4992" spans="1:34" ht="15.75" customHeight="1">
      <c r="A4992" s="75" t="s">
        <v>16909</v>
      </c>
      <c r="B4992" s="78" t="s">
        <v>17444</v>
      </c>
      <c r="C4992" s="37" t="s">
        <v>87</v>
      </c>
      <c r="D4992" s="20" t="s">
        <v>17445</v>
      </c>
      <c r="E4992" s="20" t="s">
        <v>1255</v>
      </c>
      <c r="F4992" s="19" t="s">
        <v>90</v>
      </c>
      <c r="G4992" s="19" t="s">
        <v>91</v>
      </c>
      <c r="H4992" s="37"/>
      <c r="I4992" s="37" t="s">
        <v>29</v>
      </c>
      <c r="J4992" s="155" t="str">
        <f t="shared" si="10"/>
        <v>TT</v>
      </c>
      <c r="K4992" s="22" t="s">
        <v>1255</v>
      </c>
      <c r="L4992" s="56">
        <v>45132</v>
      </c>
      <c r="P4992" s="40"/>
      <c r="Q4992" s="61"/>
      <c r="R4992" s="61"/>
      <c r="S4992" s="40"/>
      <c r="T4992" s="38"/>
      <c r="U4992" s="38"/>
      <c r="V4992" s="38"/>
      <c r="W4992" s="60"/>
      <c r="AB4992" s="42"/>
      <c r="AC4992" s="35"/>
      <c r="AD4992" s="38"/>
      <c r="AE4992" s="38"/>
      <c r="AF4992" s="38"/>
      <c r="AG4992" s="38"/>
      <c r="AH4992" s="60"/>
    </row>
    <row r="4993" spans="1:34" ht="15.75" customHeight="1">
      <c r="A4993" s="50" t="s">
        <v>56</v>
      </c>
      <c r="B4993" s="78" t="s">
        <v>17446</v>
      </c>
      <c r="C4993" s="37" t="s">
        <v>87</v>
      </c>
      <c r="D4993" s="20" t="s">
        <v>17447</v>
      </c>
      <c r="E4993" s="20"/>
      <c r="F4993" s="19" t="s">
        <v>90</v>
      </c>
      <c r="G4993" s="19" t="s">
        <v>91</v>
      </c>
      <c r="H4993" s="37"/>
      <c r="I4993" s="37" t="s">
        <v>29</v>
      </c>
      <c r="J4993" s="155" t="str">
        <f t="shared" si="10"/>
        <v>TT</v>
      </c>
      <c r="K4993" s="22"/>
      <c r="L4993" s="56">
        <v>45132</v>
      </c>
      <c r="P4993" s="40"/>
      <c r="Q4993" s="61"/>
      <c r="R4993" s="61"/>
      <c r="S4993" s="40"/>
      <c r="T4993" s="38"/>
      <c r="U4993" s="38"/>
      <c r="V4993" s="38"/>
      <c r="W4993" s="60"/>
      <c r="AB4993" s="42"/>
      <c r="AC4993" s="35"/>
      <c r="AD4993" s="38"/>
      <c r="AE4993" s="38"/>
      <c r="AF4993" s="38"/>
      <c r="AG4993" s="38"/>
      <c r="AH4993" s="60"/>
    </row>
    <row r="4994" spans="1:34" ht="15.75" customHeight="1">
      <c r="A4994" s="17">
        <v>27</v>
      </c>
      <c r="B4994" s="78" t="s">
        <v>17448</v>
      </c>
      <c r="C4994" s="37" t="s">
        <v>24</v>
      </c>
      <c r="D4994" s="20" t="s">
        <v>17449</v>
      </c>
      <c r="E4994" s="20" t="s">
        <v>17450</v>
      </c>
      <c r="F4994" s="19" t="s">
        <v>27</v>
      </c>
      <c r="G4994" s="19" t="s">
        <v>28</v>
      </c>
      <c r="H4994" s="37"/>
      <c r="I4994" s="37" t="s">
        <v>29</v>
      </c>
      <c r="J4994" s="155" t="str">
        <f t="shared" si="10"/>
        <v>TT</v>
      </c>
      <c r="K4994" s="22" t="s">
        <v>17450</v>
      </c>
      <c r="L4994" s="56">
        <v>45132</v>
      </c>
      <c r="P4994" s="40"/>
      <c r="Q4994" s="61"/>
      <c r="R4994" s="61"/>
      <c r="S4994" s="40"/>
      <c r="T4994" s="38"/>
      <c r="U4994" s="38"/>
      <c r="V4994" s="38"/>
      <c r="W4994" s="60"/>
      <c r="AB4994" s="42"/>
      <c r="AC4994" s="35"/>
      <c r="AD4994" s="38"/>
      <c r="AE4994" s="38"/>
      <c r="AF4994" s="38"/>
      <c r="AG4994" s="38"/>
      <c r="AH4994" s="60"/>
    </row>
    <row r="4995" spans="1:34" ht="15.75" customHeight="1">
      <c r="A4995" s="111" t="s">
        <v>64</v>
      </c>
      <c r="B4995" s="78" t="s">
        <v>17451</v>
      </c>
      <c r="C4995" s="37" t="s">
        <v>87</v>
      </c>
      <c r="D4995" s="20" t="s">
        <v>17452</v>
      </c>
      <c r="E4995" s="20" t="s">
        <v>1255</v>
      </c>
      <c r="F4995" s="19" t="s">
        <v>90</v>
      </c>
      <c r="G4995" s="19" t="s">
        <v>91</v>
      </c>
      <c r="H4995" s="37"/>
      <c r="I4995" s="37" t="s">
        <v>29</v>
      </c>
      <c r="J4995" s="155" t="str">
        <f t="shared" si="10"/>
        <v>TT</v>
      </c>
      <c r="K4995" s="22" t="s">
        <v>1255</v>
      </c>
      <c r="L4995" s="56">
        <v>45132</v>
      </c>
      <c r="P4995" s="40"/>
      <c r="Q4995" s="61"/>
      <c r="R4995" s="61"/>
      <c r="S4995" s="40"/>
      <c r="T4995" s="38"/>
      <c r="U4995" s="38"/>
      <c r="V4995" s="38"/>
      <c r="W4995" s="60"/>
      <c r="AB4995" s="42"/>
      <c r="AC4995" s="35"/>
      <c r="AD4995" s="38"/>
      <c r="AE4995" s="38"/>
      <c r="AF4995" s="38"/>
      <c r="AG4995" s="38"/>
      <c r="AH4995" s="60"/>
    </row>
    <row r="4996" spans="1:34" ht="15.75" customHeight="1">
      <c r="A4996" s="75">
        <v>2.2000000000000002</v>
      </c>
      <c r="B4996" s="78" t="s">
        <v>17453</v>
      </c>
      <c r="C4996" s="37" t="s">
        <v>24</v>
      </c>
      <c r="D4996" s="20" t="s">
        <v>17454</v>
      </c>
      <c r="E4996" s="20" t="s">
        <v>17455</v>
      </c>
      <c r="F4996" s="19" t="s">
        <v>27</v>
      </c>
      <c r="G4996" s="19" t="s">
        <v>28</v>
      </c>
      <c r="H4996" s="37"/>
      <c r="I4996" s="37" t="s">
        <v>29</v>
      </c>
      <c r="J4996" s="155" t="str">
        <f t="shared" si="10"/>
        <v>TT</v>
      </c>
      <c r="K4996" s="22" t="s">
        <v>17456</v>
      </c>
      <c r="L4996" s="56">
        <v>45132</v>
      </c>
      <c r="P4996" s="40"/>
      <c r="Q4996" s="61"/>
      <c r="R4996" s="61"/>
      <c r="S4996" s="40"/>
      <c r="T4996" s="38"/>
      <c r="U4996" s="38"/>
      <c r="V4996" s="38"/>
      <c r="W4996" s="60"/>
      <c r="AB4996" s="42"/>
      <c r="AC4996" s="35"/>
      <c r="AD4996" s="38"/>
      <c r="AE4996" s="38"/>
      <c r="AF4996" s="38"/>
      <c r="AG4996" s="38"/>
      <c r="AH4996" s="60"/>
    </row>
    <row r="4997" spans="1:34" ht="15.75" customHeight="1">
      <c r="A4997" s="111" t="s">
        <v>73</v>
      </c>
      <c r="B4997" s="78" t="s">
        <v>17457</v>
      </c>
      <c r="C4997" s="37" t="s">
        <v>46</v>
      </c>
      <c r="D4997" s="20" t="s">
        <v>17458</v>
      </c>
      <c r="E4997" s="20" t="s">
        <v>17450</v>
      </c>
      <c r="F4997" s="37" t="s">
        <v>49</v>
      </c>
      <c r="G4997" s="19" t="s">
        <v>50</v>
      </c>
      <c r="H4997" s="37"/>
      <c r="I4997" s="37" t="s">
        <v>29</v>
      </c>
      <c r="J4997" s="155" t="str">
        <f t="shared" si="10"/>
        <v>TT</v>
      </c>
      <c r="K4997" s="22" t="s">
        <v>17450</v>
      </c>
      <c r="L4997" s="56">
        <v>45132</v>
      </c>
      <c r="P4997" s="40"/>
      <c r="Q4997" s="61"/>
      <c r="R4997" s="61"/>
      <c r="S4997" s="40"/>
      <c r="T4997" s="38"/>
      <c r="U4997" s="38"/>
      <c r="V4997" s="38"/>
      <c r="W4997" s="60"/>
      <c r="AB4997" s="42"/>
      <c r="AC4997" s="35"/>
      <c r="AD4997" s="38"/>
      <c r="AE4997" s="38"/>
      <c r="AF4997" s="38"/>
      <c r="AG4997" s="38"/>
      <c r="AH4997" s="60"/>
    </row>
    <row r="4998" spans="1:34" ht="15.75" customHeight="1">
      <c r="A4998" s="75">
        <v>2.9</v>
      </c>
      <c r="B4998" s="78" t="s">
        <v>17459</v>
      </c>
      <c r="C4998" s="37" t="s">
        <v>46</v>
      </c>
      <c r="D4998" s="20" t="s">
        <v>17460</v>
      </c>
      <c r="E4998" s="20" t="s">
        <v>17461</v>
      </c>
      <c r="F4998" s="37" t="s">
        <v>49</v>
      </c>
      <c r="G4998" s="19" t="s">
        <v>50</v>
      </c>
      <c r="H4998" s="37"/>
      <c r="I4998" s="37" t="s">
        <v>29</v>
      </c>
      <c r="J4998" s="155" t="str">
        <f t="shared" si="10"/>
        <v>TT</v>
      </c>
      <c r="K4998" s="22" t="s">
        <v>17462</v>
      </c>
      <c r="L4998" s="56">
        <v>45132</v>
      </c>
      <c r="P4998" s="40"/>
      <c r="Q4998" s="61"/>
      <c r="R4998" s="61"/>
      <c r="S4998" s="40"/>
      <c r="T4998" s="38"/>
      <c r="U4998" s="38"/>
      <c r="V4998" s="38"/>
      <c r="W4998" s="60"/>
      <c r="AB4998" s="42"/>
      <c r="AC4998" s="35"/>
      <c r="AD4998" s="38"/>
      <c r="AE4998" s="38"/>
      <c r="AF4998" s="38"/>
      <c r="AG4998" s="38"/>
      <c r="AH4998" s="60"/>
    </row>
    <row r="4999" spans="1:34" ht="15.75" customHeight="1">
      <c r="A4999" s="111" t="s">
        <v>82</v>
      </c>
      <c r="B4999" s="78" t="s">
        <v>17463</v>
      </c>
      <c r="C4999" s="37" t="s">
        <v>412</v>
      </c>
      <c r="D4999" s="20" t="s">
        <v>17464</v>
      </c>
      <c r="E4999" s="20"/>
      <c r="F4999" s="19" t="s">
        <v>414</v>
      </c>
      <c r="G4999" s="37" t="s">
        <v>415</v>
      </c>
      <c r="H4999" s="37"/>
      <c r="I4999" s="37" t="s">
        <v>233</v>
      </c>
      <c r="J4999" s="155" t="str">
        <f t="shared" si="10"/>
        <v>NTT</v>
      </c>
      <c r="K4999" s="22"/>
      <c r="L4999" s="56">
        <v>45132</v>
      </c>
      <c r="P4999" s="40"/>
      <c r="Q4999" s="61"/>
      <c r="R4999" s="61"/>
      <c r="S4999" s="40"/>
      <c r="T4999" s="38"/>
      <c r="U4999" s="38"/>
      <c r="V4999" s="38"/>
      <c r="W4999" s="60"/>
      <c r="AB4999" s="42"/>
      <c r="AC4999" s="35"/>
      <c r="AD4999" s="38"/>
      <c r="AE4999" s="38"/>
      <c r="AF4999" s="38"/>
      <c r="AG4999" s="38"/>
      <c r="AH4999" s="60"/>
    </row>
    <row r="5000" spans="1:34" ht="15.75" customHeight="1">
      <c r="A5000" s="112" t="s">
        <v>17004</v>
      </c>
      <c r="B5000" s="78" t="s">
        <v>17465</v>
      </c>
      <c r="C5000" s="37" t="s">
        <v>24</v>
      </c>
      <c r="D5000" s="20" t="s">
        <v>17466</v>
      </c>
      <c r="E5000" s="20" t="s">
        <v>17450</v>
      </c>
      <c r="F5000" s="19" t="s">
        <v>27</v>
      </c>
      <c r="G5000" s="19" t="s">
        <v>28</v>
      </c>
      <c r="H5000" s="37"/>
      <c r="I5000" s="37" t="s">
        <v>29</v>
      </c>
      <c r="J5000" s="155" t="str">
        <f t="shared" si="10"/>
        <v>TT</v>
      </c>
      <c r="K5000" s="22" t="s">
        <v>17450</v>
      </c>
      <c r="L5000" s="56">
        <v>45132</v>
      </c>
      <c r="P5000" s="40"/>
      <c r="Q5000" s="61"/>
      <c r="R5000" s="61"/>
      <c r="S5000" s="40"/>
      <c r="T5000" s="38"/>
      <c r="U5000" s="38"/>
      <c r="V5000" s="38"/>
      <c r="W5000" s="60"/>
      <c r="AB5000" s="42"/>
      <c r="AC5000" s="35"/>
      <c r="AD5000" s="38"/>
      <c r="AE5000" s="38"/>
      <c r="AF5000" s="38"/>
      <c r="AG5000" s="38"/>
      <c r="AH5000" s="60"/>
    </row>
    <row r="5001" spans="1:34" ht="15.75" customHeight="1">
      <c r="A5001" s="111" t="s">
        <v>17467</v>
      </c>
      <c r="B5001" s="78" t="s">
        <v>17468</v>
      </c>
      <c r="C5001" s="37" t="s">
        <v>87</v>
      </c>
      <c r="D5001" s="20" t="s">
        <v>17469</v>
      </c>
      <c r="E5001" s="20" t="s">
        <v>17470</v>
      </c>
      <c r="F5001" s="19" t="s">
        <v>90</v>
      </c>
      <c r="G5001" s="19" t="s">
        <v>91</v>
      </c>
      <c r="H5001" s="37"/>
      <c r="I5001" s="37" t="s">
        <v>29</v>
      </c>
      <c r="J5001" s="155" t="str">
        <f t="shared" si="10"/>
        <v>TT</v>
      </c>
      <c r="K5001" s="22" t="s">
        <v>17471</v>
      </c>
      <c r="L5001" s="56">
        <v>45132</v>
      </c>
      <c r="P5001" s="40"/>
      <c r="Q5001" s="61"/>
      <c r="R5001" s="61"/>
      <c r="S5001" s="40"/>
      <c r="T5001" s="38"/>
      <c r="U5001" s="38"/>
      <c r="V5001" s="38"/>
      <c r="W5001" s="60"/>
      <c r="AB5001" s="42"/>
      <c r="AC5001" s="35"/>
      <c r="AD5001" s="38"/>
      <c r="AE5001" s="38"/>
      <c r="AF5001" s="38"/>
      <c r="AG5001" s="38"/>
      <c r="AH5001" s="60"/>
    </row>
    <row r="5002" spans="1:34" ht="15.75" customHeight="1">
      <c r="A5002" s="17" t="s">
        <v>92</v>
      </c>
      <c r="B5002" s="78" t="s">
        <v>17472</v>
      </c>
      <c r="C5002" s="37" t="s">
        <v>24</v>
      </c>
      <c r="D5002" s="20" t="s">
        <v>17473</v>
      </c>
      <c r="E5002" s="20" t="s">
        <v>17474</v>
      </c>
      <c r="F5002" s="19" t="s">
        <v>27</v>
      </c>
      <c r="G5002" s="19" t="s">
        <v>28</v>
      </c>
      <c r="H5002" s="37"/>
      <c r="I5002" s="37" t="s">
        <v>29</v>
      </c>
      <c r="J5002" s="155" t="str">
        <f t="shared" si="10"/>
        <v>TT</v>
      </c>
      <c r="K5002" s="22" t="s">
        <v>17475</v>
      </c>
      <c r="L5002" s="56">
        <v>45132</v>
      </c>
      <c r="P5002" s="40"/>
      <c r="Q5002" s="61"/>
      <c r="R5002" s="61"/>
      <c r="S5002" s="40"/>
      <c r="T5002" s="38"/>
      <c r="U5002" s="38"/>
      <c r="V5002" s="38"/>
      <c r="W5002" s="60"/>
      <c r="AB5002" s="42"/>
      <c r="AC5002" s="35"/>
      <c r="AD5002" s="38"/>
      <c r="AE5002" s="38"/>
      <c r="AF5002" s="38"/>
      <c r="AG5002" s="38"/>
      <c r="AH5002" s="60"/>
    </row>
    <row r="5003" spans="1:34" ht="15.75" customHeight="1">
      <c r="A5003" s="111">
        <v>534</v>
      </c>
      <c r="B5003" s="78" t="s">
        <v>17476</v>
      </c>
      <c r="C5003" s="37" t="s">
        <v>24</v>
      </c>
      <c r="D5003" s="20" t="s">
        <v>17477</v>
      </c>
      <c r="E5003" s="20" t="s">
        <v>17478</v>
      </c>
      <c r="F5003" s="19" t="s">
        <v>27</v>
      </c>
      <c r="G5003" s="19" t="s">
        <v>28</v>
      </c>
      <c r="H5003" s="37"/>
      <c r="I5003" s="37" t="s">
        <v>29</v>
      </c>
      <c r="J5003" s="155" t="str">
        <f t="shared" si="10"/>
        <v>TT</v>
      </c>
      <c r="K5003" s="22" t="s">
        <v>17479</v>
      </c>
      <c r="L5003" s="56">
        <v>45132</v>
      </c>
      <c r="P5003" s="40"/>
      <c r="Q5003" s="61"/>
      <c r="R5003" s="61"/>
      <c r="S5003" s="40"/>
      <c r="T5003" s="38"/>
      <c r="U5003" s="38"/>
      <c r="V5003" s="38"/>
      <c r="W5003" s="60"/>
      <c r="AB5003" s="42"/>
      <c r="AC5003" s="35"/>
      <c r="AD5003" s="38"/>
      <c r="AE5003" s="38"/>
      <c r="AF5003" s="38"/>
      <c r="AG5003" s="38"/>
      <c r="AH5003" s="60"/>
    </row>
    <row r="5004" spans="1:34" ht="15.75" customHeight="1">
      <c r="A5004" s="17" t="s">
        <v>100</v>
      </c>
      <c r="B5004" s="78" t="s">
        <v>17480</v>
      </c>
      <c r="C5004" s="19" t="s">
        <v>24</v>
      </c>
      <c r="D5004" s="20" t="s">
        <v>17481</v>
      </c>
      <c r="E5004" s="20" t="s">
        <v>17455</v>
      </c>
      <c r="F5004" s="19" t="s">
        <v>27</v>
      </c>
      <c r="G5004" s="19" t="s">
        <v>28</v>
      </c>
      <c r="H5004" s="19" t="s">
        <v>36</v>
      </c>
      <c r="I5004" s="37" t="s">
        <v>29</v>
      </c>
      <c r="J5004" s="155" t="str">
        <f t="shared" si="10"/>
        <v>TT</v>
      </c>
      <c r="K5004" s="22" t="s">
        <v>17456</v>
      </c>
      <c r="L5004" s="56">
        <v>45132</v>
      </c>
      <c r="P5004" s="40"/>
      <c r="Q5004" s="61"/>
      <c r="R5004" s="61"/>
      <c r="S5004" s="40"/>
      <c r="T5004" s="38"/>
      <c r="U5004" s="38"/>
      <c r="V5004" s="38"/>
      <c r="W5004" s="60"/>
      <c r="AB5004" s="42"/>
      <c r="AC5004" s="35"/>
      <c r="AD5004" s="38"/>
      <c r="AE5004" s="38"/>
      <c r="AF5004" s="38"/>
      <c r="AG5004" s="38"/>
      <c r="AH5004" s="60"/>
    </row>
    <row r="5005" spans="1:34" ht="15.75" customHeight="1">
      <c r="A5005" s="258">
        <v>161</v>
      </c>
      <c r="B5005" s="78" t="s">
        <v>17482</v>
      </c>
      <c r="C5005" s="37" t="s">
        <v>46</v>
      </c>
      <c r="D5005" s="20" t="s">
        <v>17483</v>
      </c>
      <c r="E5005" s="20"/>
      <c r="F5005" s="37" t="s">
        <v>49</v>
      </c>
      <c r="G5005" s="19" t="s">
        <v>50</v>
      </c>
      <c r="H5005" s="37"/>
      <c r="I5005" s="37" t="s">
        <v>29</v>
      </c>
      <c r="J5005" s="155" t="str">
        <f t="shared" si="10"/>
        <v>TT</v>
      </c>
      <c r="K5005" s="22"/>
      <c r="L5005" s="56">
        <v>45132</v>
      </c>
      <c r="P5005" s="40"/>
      <c r="Q5005" s="61"/>
      <c r="R5005" s="61"/>
      <c r="S5005" s="40"/>
      <c r="T5005" s="38"/>
      <c r="U5005" s="38"/>
      <c r="V5005" s="38"/>
      <c r="W5005" s="60"/>
      <c r="AB5005" s="42"/>
      <c r="AC5005" s="35"/>
      <c r="AD5005" s="38"/>
      <c r="AE5005" s="38"/>
      <c r="AF5005" s="38"/>
      <c r="AG5005" s="38"/>
      <c r="AH5005" s="60"/>
    </row>
    <row r="5006" spans="1:34" ht="15.75" customHeight="1">
      <c r="A5006" s="35"/>
      <c r="B5006" s="78" t="s">
        <v>17484</v>
      </c>
      <c r="C5006" s="37" t="s">
        <v>87</v>
      </c>
      <c r="D5006" s="20" t="s">
        <v>17485</v>
      </c>
      <c r="E5006" s="20" t="s">
        <v>17486</v>
      </c>
      <c r="F5006" s="19" t="s">
        <v>90</v>
      </c>
      <c r="G5006" s="19" t="s">
        <v>91</v>
      </c>
      <c r="H5006" s="37"/>
      <c r="I5006" s="37" t="s">
        <v>29</v>
      </c>
      <c r="J5006" s="155" t="str">
        <f t="shared" si="10"/>
        <v>TT</v>
      </c>
      <c r="K5006" s="22" t="s">
        <v>17487</v>
      </c>
      <c r="L5006" s="56">
        <v>45132</v>
      </c>
      <c r="P5006" s="40"/>
      <c r="Q5006" s="61"/>
      <c r="R5006" s="61"/>
      <c r="S5006" s="40"/>
      <c r="T5006" s="38"/>
      <c r="U5006" s="38"/>
      <c r="V5006" s="38"/>
      <c r="W5006" s="60"/>
      <c r="AB5006" s="42"/>
      <c r="AC5006" s="35"/>
      <c r="AD5006" s="38"/>
      <c r="AE5006" s="38"/>
      <c r="AF5006" s="38"/>
      <c r="AG5006" s="38"/>
      <c r="AH5006" s="60"/>
    </row>
    <row r="5007" spans="1:34" ht="15.75" customHeight="1">
      <c r="A5007" s="259"/>
      <c r="B5007" s="78" t="s">
        <v>17488</v>
      </c>
      <c r="C5007" s="37" t="s">
        <v>87</v>
      </c>
      <c r="D5007" s="20" t="s">
        <v>17489</v>
      </c>
      <c r="E5007" s="20" t="s">
        <v>17455</v>
      </c>
      <c r="F5007" s="19" t="s">
        <v>90</v>
      </c>
      <c r="G5007" s="19" t="s">
        <v>91</v>
      </c>
      <c r="H5007" s="37"/>
      <c r="I5007" s="37" t="s">
        <v>29</v>
      </c>
      <c r="J5007" s="155" t="str">
        <f t="shared" si="10"/>
        <v>TT</v>
      </c>
      <c r="K5007" s="22" t="s">
        <v>17456</v>
      </c>
      <c r="L5007" s="56">
        <v>45132</v>
      </c>
      <c r="P5007" s="40"/>
      <c r="Q5007" s="61"/>
      <c r="R5007" s="61"/>
      <c r="S5007" s="40"/>
      <c r="T5007" s="38"/>
      <c r="U5007" s="38"/>
      <c r="V5007" s="38"/>
      <c r="W5007" s="60"/>
      <c r="AB5007" s="42"/>
      <c r="AC5007" s="35"/>
      <c r="AD5007" s="38"/>
      <c r="AE5007" s="38"/>
      <c r="AF5007" s="38"/>
      <c r="AG5007" s="38"/>
      <c r="AH5007" s="60"/>
    </row>
    <row r="5008" spans="1:34" ht="15.75" customHeight="1">
      <c r="A5008" s="259"/>
      <c r="B5008" s="78" t="s">
        <v>17490</v>
      </c>
      <c r="C5008" s="37" t="s">
        <v>46</v>
      </c>
      <c r="D5008" s="20" t="s">
        <v>17491</v>
      </c>
      <c r="E5008" s="20"/>
      <c r="F5008" s="37" t="s">
        <v>49</v>
      </c>
      <c r="G5008" s="19" t="s">
        <v>50</v>
      </c>
      <c r="H5008" s="37"/>
      <c r="I5008" s="37" t="s">
        <v>29</v>
      </c>
      <c r="J5008" s="155" t="str">
        <f t="shared" si="10"/>
        <v>TT</v>
      </c>
      <c r="K5008" s="22"/>
      <c r="L5008" s="56">
        <v>45132</v>
      </c>
      <c r="P5008" s="40"/>
      <c r="Q5008" s="61"/>
      <c r="R5008" s="61"/>
      <c r="S5008" s="40"/>
      <c r="T5008" s="38"/>
      <c r="U5008" s="38"/>
      <c r="V5008" s="38"/>
      <c r="W5008" s="60"/>
      <c r="AB5008" s="42"/>
      <c r="AC5008" s="35"/>
      <c r="AD5008" s="38"/>
      <c r="AE5008" s="38"/>
      <c r="AF5008" s="38"/>
      <c r="AG5008" s="38"/>
      <c r="AH5008" s="60"/>
    </row>
    <row r="5009" spans="1:34" ht="15.75" customHeight="1">
      <c r="A5009" s="259"/>
      <c r="B5009" s="78" t="s">
        <v>17492</v>
      </c>
      <c r="C5009" s="37" t="s">
        <v>24</v>
      </c>
      <c r="D5009" s="20" t="s">
        <v>17493</v>
      </c>
      <c r="E5009" s="20" t="s">
        <v>17433</v>
      </c>
      <c r="F5009" s="19" t="s">
        <v>27</v>
      </c>
      <c r="G5009" s="19" t="s">
        <v>28</v>
      </c>
      <c r="H5009" s="37"/>
      <c r="I5009" s="37" t="s">
        <v>29</v>
      </c>
      <c r="J5009" s="155" t="str">
        <f t="shared" si="10"/>
        <v>TT</v>
      </c>
      <c r="K5009" s="22" t="s">
        <v>17433</v>
      </c>
      <c r="L5009" s="56">
        <v>45132</v>
      </c>
      <c r="P5009" s="40"/>
      <c r="Q5009" s="61"/>
      <c r="R5009" s="61"/>
      <c r="S5009" s="40"/>
      <c r="T5009" s="38"/>
      <c r="U5009" s="38"/>
      <c r="V5009" s="38"/>
      <c r="W5009" s="60"/>
      <c r="AB5009" s="42"/>
      <c r="AC5009" s="35"/>
      <c r="AD5009" s="38"/>
      <c r="AE5009" s="38"/>
      <c r="AF5009" s="38"/>
      <c r="AG5009" s="38"/>
      <c r="AH5009" s="60"/>
    </row>
    <row r="5010" spans="1:34" ht="15.75" customHeight="1">
      <c r="A5010" s="260"/>
      <c r="B5010" s="78" t="s">
        <v>17494</v>
      </c>
      <c r="C5010" s="37" t="s">
        <v>24</v>
      </c>
      <c r="D5010" s="20" t="s">
        <v>17495</v>
      </c>
      <c r="E5010" s="20" t="s">
        <v>17496</v>
      </c>
      <c r="F5010" s="19" t="s">
        <v>27</v>
      </c>
      <c r="G5010" s="19" t="s">
        <v>28</v>
      </c>
      <c r="H5010" s="37"/>
      <c r="I5010" s="37" t="s">
        <v>29</v>
      </c>
      <c r="J5010" s="155" t="str">
        <f t="shared" si="10"/>
        <v>TT</v>
      </c>
      <c r="K5010" s="22" t="s">
        <v>17496</v>
      </c>
      <c r="L5010" s="56">
        <v>45132</v>
      </c>
      <c r="P5010" s="40"/>
      <c r="Q5010" s="61"/>
      <c r="R5010" s="61"/>
      <c r="S5010" s="40"/>
      <c r="T5010" s="38"/>
      <c r="U5010" s="38"/>
      <c r="V5010" s="38"/>
      <c r="W5010" s="60"/>
      <c r="AB5010" s="42"/>
      <c r="AC5010" s="35"/>
      <c r="AD5010" s="38"/>
      <c r="AE5010" s="38"/>
      <c r="AF5010" s="38"/>
      <c r="AG5010" s="38"/>
      <c r="AH5010" s="60"/>
    </row>
    <row r="5011" spans="1:34" ht="15.75" customHeight="1">
      <c r="A5011" s="260"/>
      <c r="B5011" s="78" t="s">
        <v>17497</v>
      </c>
      <c r="C5011" s="37" t="s">
        <v>24</v>
      </c>
      <c r="D5011" s="20" t="s">
        <v>17498</v>
      </c>
      <c r="E5011" s="20" t="s">
        <v>17496</v>
      </c>
      <c r="F5011" s="19" t="s">
        <v>27</v>
      </c>
      <c r="G5011" s="19" t="s">
        <v>28</v>
      </c>
      <c r="H5011" s="37"/>
      <c r="I5011" s="37" t="s">
        <v>29</v>
      </c>
      <c r="J5011" s="155" t="str">
        <f t="shared" si="10"/>
        <v>TT</v>
      </c>
      <c r="K5011" s="22" t="s">
        <v>17496</v>
      </c>
      <c r="L5011" s="56">
        <v>45132</v>
      </c>
      <c r="P5011" s="40"/>
      <c r="Q5011" s="61"/>
      <c r="R5011" s="61"/>
      <c r="S5011" s="40"/>
      <c r="T5011" s="38"/>
      <c r="U5011" s="38"/>
      <c r="V5011" s="38"/>
      <c r="W5011" s="60"/>
      <c r="AB5011" s="42"/>
      <c r="AC5011" s="35"/>
      <c r="AD5011" s="38"/>
      <c r="AE5011" s="38"/>
      <c r="AF5011" s="38"/>
      <c r="AG5011" s="38"/>
      <c r="AH5011" s="60"/>
    </row>
    <row r="5012" spans="1:34" ht="15.75" customHeight="1">
      <c r="A5012" s="260"/>
      <c r="B5012" s="38"/>
      <c r="C5012" s="37"/>
      <c r="D5012" s="20"/>
      <c r="E5012" s="20"/>
      <c r="F5012" s="37"/>
      <c r="G5012" s="37"/>
      <c r="H5012" s="37"/>
      <c r="I5012" s="37"/>
      <c r="J5012" s="155">
        <f t="shared" si="10"/>
        <v>0</v>
      </c>
      <c r="K5012" s="22"/>
      <c r="L5012" s="39"/>
      <c r="P5012" s="40"/>
      <c r="Q5012" s="61"/>
      <c r="R5012" s="61"/>
      <c r="S5012" s="40"/>
      <c r="T5012" s="38"/>
      <c r="U5012" s="38"/>
      <c r="V5012" s="38"/>
      <c r="W5012" s="60"/>
      <c r="AB5012" s="42"/>
      <c r="AC5012" s="35"/>
      <c r="AD5012" s="38"/>
      <c r="AE5012" s="38"/>
      <c r="AF5012" s="38"/>
      <c r="AG5012" s="38"/>
      <c r="AH5012" s="60"/>
    </row>
    <row r="5013" spans="1:34" ht="15.75" customHeight="1">
      <c r="A5013" s="35" t="s">
        <v>17499</v>
      </c>
      <c r="B5013" s="81" t="s">
        <v>17500</v>
      </c>
      <c r="C5013" s="37" t="s">
        <v>24</v>
      </c>
      <c r="D5013" s="20" t="s">
        <v>17501</v>
      </c>
      <c r="E5013" s="20" t="s">
        <v>17502</v>
      </c>
      <c r="F5013" s="19" t="s">
        <v>27</v>
      </c>
      <c r="G5013" s="19" t="s">
        <v>28</v>
      </c>
      <c r="H5013" s="37" t="s">
        <v>55</v>
      </c>
      <c r="I5013" s="37" t="s">
        <v>29</v>
      </c>
      <c r="J5013" s="155" t="str">
        <f t="shared" si="10"/>
        <v>TT</v>
      </c>
      <c r="K5013" s="22" t="s">
        <v>17502</v>
      </c>
      <c r="L5013" s="56">
        <v>45134</v>
      </c>
      <c r="M5013" s="40"/>
      <c r="P5013" s="40"/>
      <c r="Q5013" s="61"/>
      <c r="R5013" s="61"/>
      <c r="S5013" s="40"/>
      <c r="T5013" s="38"/>
      <c r="U5013" s="38"/>
      <c r="V5013" s="38"/>
      <c r="W5013" s="60"/>
      <c r="AB5013" s="42"/>
      <c r="AC5013" s="35"/>
      <c r="AD5013" s="38"/>
      <c r="AE5013" s="38"/>
      <c r="AF5013" s="38"/>
      <c r="AG5013" s="38"/>
      <c r="AH5013" s="60"/>
    </row>
    <row r="5014" spans="1:34" ht="15.75" customHeight="1">
      <c r="A5014" s="54" t="s">
        <v>2714</v>
      </c>
      <c r="B5014" s="78" t="s">
        <v>17503</v>
      </c>
      <c r="C5014" s="37" t="s">
        <v>24</v>
      </c>
      <c r="D5014" s="20" t="s">
        <v>17504</v>
      </c>
      <c r="E5014" s="20" t="s">
        <v>17505</v>
      </c>
      <c r="F5014" s="19" t="s">
        <v>27</v>
      </c>
      <c r="G5014" s="19" t="s">
        <v>28</v>
      </c>
      <c r="H5014" s="37" t="s">
        <v>55</v>
      </c>
      <c r="I5014" s="37" t="s">
        <v>29</v>
      </c>
      <c r="J5014" s="155" t="str">
        <f t="shared" si="10"/>
        <v>TT</v>
      </c>
      <c r="K5014" s="22" t="s">
        <v>17506</v>
      </c>
      <c r="L5014" s="56">
        <v>45134</v>
      </c>
      <c r="P5014" s="40"/>
      <c r="Q5014" s="61"/>
      <c r="R5014" s="61"/>
      <c r="S5014" s="40"/>
      <c r="T5014" s="38"/>
      <c r="U5014" s="38"/>
      <c r="V5014" s="38"/>
      <c r="W5014" s="60"/>
      <c r="AB5014" s="42"/>
      <c r="AC5014" s="35"/>
      <c r="AD5014" s="38"/>
      <c r="AE5014" s="38"/>
      <c r="AF5014" s="38"/>
      <c r="AG5014" s="38"/>
      <c r="AH5014" s="60"/>
    </row>
    <row r="5015" spans="1:34" ht="15.75" customHeight="1">
      <c r="A5015" s="114" t="s">
        <v>39</v>
      </c>
      <c r="B5015" s="78" t="s">
        <v>17507</v>
      </c>
      <c r="C5015" s="37" t="s">
        <v>412</v>
      </c>
      <c r="D5015" s="20" t="s">
        <v>17508</v>
      </c>
      <c r="E5015" s="20"/>
      <c r="F5015" s="19" t="s">
        <v>414</v>
      </c>
      <c r="G5015" s="19" t="s">
        <v>415</v>
      </c>
      <c r="H5015" s="37" t="s">
        <v>55</v>
      </c>
      <c r="I5015" s="37" t="s">
        <v>233</v>
      </c>
      <c r="J5015" s="155" t="str">
        <f t="shared" si="10"/>
        <v>NTT</v>
      </c>
      <c r="K5015" s="22"/>
      <c r="L5015" s="56">
        <v>45134</v>
      </c>
      <c r="P5015" s="40"/>
      <c r="Q5015" s="61"/>
      <c r="R5015" s="61"/>
      <c r="S5015" s="40"/>
      <c r="T5015" s="38"/>
      <c r="U5015" s="38"/>
      <c r="V5015" s="38"/>
      <c r="W5015" s="60"/>
      <c r="AB5015" s="42"/>
      <c r="AC5015" s="35"/>
      <c r="AD5015" s="38"/>
      <c r="AE5015" s="38"/>
      <c r="AF5015" s="38"/>
      <c r="AG5015" s="38"/>
      <c r="AH5015" s="60"/>
    </row>
    <row r="5016" spans="1:34" ht="15.75" customHeight="1">
      <c r="A5016" s="38" t="s">
        <v>16979</v>
      </c>
      <c r="B5016" s="78" t="s">
        <v>17509</v>
      </c>
      <c r="C5016" s="37" t="s">
        <v>24</v>
      </c>
      <c r="D5016" s="20" t="s">
        <v>17510</v>
      </c>
      <c r="E5016" s="20" t="s">
        <v>17511</v>
      </c>
      <c r="F5016" s="19" t="s">
        <v>27</v>
      </c>
      <c r="G5016" s="19" t="s">
        <v>28</v>
      </c>
      <c r="H5016" s="37" t="s">
        <v>55</v>
      </c>
      <c r="I5016" s="37" t="s">
        <v>29</v>
      </c>
      <c r="J5016" s="155" t="str">
        <f t="shared" si="10"/>
        <v>TT</v>
      </c>
      <c r="K5016" s="22" t="s">
        <v>17512</v>
      </c>
      <c r="L5016" s="56">
        <v>45134</v>
      </c>
      <c r="P5016" s="40"/>
      <c r="Q5016" s="61"/>
      <c r="R5016" s="61"/>
      <c r="S5016" s="40"/>
      <c r="T5016" s="38"/>
      <c r="U5016" s="38"/>
      <c r="V5016" s="38"/>
      <c r="W5016" s="60"/>
      <c r="AB5016" s="42"/>
      <c r="AC5016" s="35"/>
      <c r="AD5016" s="38"/>
      <c r="AE5016" s="38"/>
      <c r="AF5016" s="38"/>
      <c r="AG5016" s="38"/>
      <c r="AH5016" s="60"/>
    </row>
    <row r="5017" spans="1:34" ht="15.75" customHeight="1">
      <c r="A5017" s="75" t="s">
        <v>16860</v>
      </c>
      <c r="B5017" s="78" t="s">
        <v>17513</v>
      </c>
      <c r="C5017" s="37" t="s">
        <v>46</v>
      </c>
      <c r="D5017" s="20" t="s">
        <v>17514</v>
      </c>
      <c r="E5017" s="20" t="s">
        <v>17515</v>
      </c>
      <c r="F5017" s="37" t="s">
        <v>49</v>
      </c>
      <c r="G5017" s="19" t="s">
        <v>50</v>
      </c>
      <c r="H5017" s="37" t="s">
        <v>55</v>
      </c>
      <c r="I5017" s="37" t="s">
        <v>29</v>
      </c>
      <c r="J5017" s="155" t="str">
        <f t="shared" si="10"/>
        <v>TT</v>
      </c>
      <c r="K5017" s="22" t="s">
        <v>17516</v>
      </c>
      <c r="L5017" s="56">
        <v>45134</v>
      </c>
      <c r="P5017" s="40"/>
      <c r="Q5017" s="61"/>
      <c r="R5017" s="61"/>
      <c r="S5017" s="40"/>
      <c r="T5017" s="38"/>
      <c r="U5017" s="38"/>
      <c r="V5017" s="38"/>
      <c r="W5017" s="60"/>
      <c r="AB5017" s="42"/>
      <c r="AC5017" s="35"/>
      <c r="AD5017" s="38"/>
      <c r="AE5017" s="38"/>
      <c r="AF5017" s="38"/>
      <c r="AG5017" s="38"/>
      <c r="AH5017" s="60"/>
    </row>
    <row r="5018" spans="1:34" ht="15.75" customHeight="1">
      <c r="A5018" s="50" t="s">
        <v>56</v>
      </c>
      <c r="B5018" s="78" t="s">
        <v>17517</v>
      </c>
      <c r="C5018" s="37" t="s">
        <v>24</v>
      </c>
      <c r="D5018" s="20" t="s">
        <v>17518</v>
      </c>
      <c r="E5018" s="20" t="s">
        <v>17519</v>
      </c>
      <c r="F5018" s="19" t="s">
        <v>27</v>
      </c>
      <c r="G5018" s="19" t="s">
        <v>28</v>
      </c>
      <c r="H5018" s="37" t="s">
        <v>55</v>
      </c>
      <c r="I5018" s="37" t="s">
        <v>29</v>
      </c>
      <c r="J5018" s="155" t="str">
        <f t="shared" si="10"/>
        <v>TT</v>
      </c>
      <c r="K5018" s="22" t="s">
        <v>17520</v>
      </c>
      <c r="L5018" s="56">
        <v>45134</v>
      </c>
      <c r="P5018" s="40"/>
      <c r="Q5018" s="61"/>
      <c r="R5018" s="61"/>
      <c r="S5018" s="40"/>
      <c r="T5018" s="38"/>
      <c r="U5018" s="38"/>
      <c r="V5018" s="38"/>
      <c r="W5018" s="60"/>
      <c r="AB5018" s="42"/>
      <c r="AC5018" s="35"/>
      <c r="AD5018" s="38"/>
      <c r="AE5018" s="38"/>
      <c r="AF5018" s="38"/>
      <c r="AG5018" s="38"/>
      <c r="AH5018" s="60"/>
    </row>
    <row r="5019" spans="1:34" ht="15.75" customHeight="1">
      <c r="A5019" s="17">
        <v>40</v>
      </c>
      <c r="B5019" s="78" t="s">
        <v>17521</v>
      </c>
      <c r="C5019" s="37" t="s">
        <v>46</v>
      </c>
      <c r="D5019" s="20" t="s">
        <v>17522</v>
      </c>
      <c r="E5019" s="20"/>
      <c r="F5019" s="37" t="s">
        <v>49</v>
      </c>
      <c r="G5019" s="19" t="s">
        <v>50</v>
      </c>
      <c r="H5019" s="37" t="s">
        <v>55</v>
      </c>
      <c r="I5019" s="37" t="s">
        <v>29</v>
      </c>
      <c r="J5019" s="155" t="str">
        <f t="shared" si="10"/>
        <v>TT</v>
      </c>
      <c r="K5019" s="22"/>
      <c r="L5019" s="56">
        <v>45134</v>
      </c>
      <c r="P5019" s="40"/>
      <c r="Q5019" s="61"/>
      <c r="R5019" s="61"/>
      <c r="S5019" s="40"/>
      <c r="T5019" s="38"/>
      <c r="U5019" s="38"/>
      <c r="V5019" s="38"/>
      <c r="W5019" s="60"/>
      <c r="AB5019" s="42"/>
      <c r="AC5019" s="35"/>
      <c r="AD5019" s="38"/>
      <c r="AE5019" s="38"/>
      <c r="AF5019" s="38"/>
      <c r="AG5019" s="38"/>
      <c r="AH5019" s="60"/>
    </row>
    <row r="5020" spans="1:34" ht="15.75" customHeight="1">
      <c r="A5020" s="111" t="s">
        <v>64</v>
      </c>
      <c r="B5020" s="78" t="s">
        <v>17523</v>
      </c>
      <c r="C5020" s="37" t="s">
        <v>46</v>
      </c>
      <c r="D5020" s="20" t="s">
        <v>17524</v>
      </c>
      <c r="E5020" s="20" t="s">
        <v>17525</v>
      </c>
      <c r="F5020" s="37" t="s">
        <v>49</v>
      </c>
      <c r="G5020" s="19" t="s">
        <v>50</v>
      </c>
      <c r="H5020" s="37" t="s">
        <v>55</v>
      </c>
      <c r="I5020" s="37" t="s">
        <v>29</v>
      </c>
      <c r="J5020" s="155" t="str">
        <f t="shared" si="10"/>
        <v>TT</v>
      </c>
      <c r="K5020" s="22" t="s">
        <v>17526</v>
      </c>
      <c r="L5020" s="56">
        <v>45134</v>
      </c>
      <c r="P5020" s="40"/>
      <c r="Q5020" s="61"/>
      <c r="R5020" s="61"/>
      <c r="S5020" s="40"/>
      <c r="T5020" s="38"/>
      <c r="U5020" s="38"/>
      <c r="V5020" s="38"/>
      <c r="W5020" s="60"/>
      <c r="AB5020" s="42"/>
      <c r="AC5020" s="35"/>
      <c r="AD5020" s="38"/>
      <c r="AE5020" s="38"/>
      <c r="AF5020" s="38"/>
      <c r="AG5020" s="38"/>
      <c r="AH5020" s="60"/>
    </row>
    <row r="5021" spans="1:34" ht="15.75" customHeight="1">
      <c r="A5021" s="75">
        <v>2.2999999999999998</v>
      </c>
      <c r="B5021" s="78" t="s">
        <v>17527</v>
      </c>
      <c r="C5021" s="37" t="s">
        <v>46</v>
      </c>
      <c r="D5021" s="20" t="s">
        <v>17528</v>
      </c>
      <c r="E5021" s="20" t="s">
        <v>17529</v>
      </c>
      <c r="F5021" s="37" t="s">
        <v>49</v>
      </c>
      <c r="G5021" s="19" t="s">
        <v>50</v>
      </c>
      <c r="H5021" s="37" t="s">
        <v>55</v>
      </c>
      <c r="I5021" s="37" t="s">
        <v>29</v>
      </c>
      <c r="J5021" s="155" t="str">
        <f t="shared" si="10"/>
        <v>TT</v>
      </c>
      <c r="K5021" s="22" t="s">
        <v>17530</v>
      </c>
      <c r="L5021" s="56">
        <v>45134</v>
      </c>
      <c r="P5021" s="40"/>
      <c r="Q5021" s="61"/>
      <c r="R5021" s="61"/>
      <c r="S5021" s="40"/>
      <c r="T5021" s="38"/>
      <c r="U5021" s="38"/>
      <c r="V5021" s="38"/>
      <c r="W5021" s="60"/>
      <c r="AB5021" s="42"/>
      <c r="AC5021" s="35"/>
      <c r="AD5021" s="38"/>
      <c r="AE5021" s="38"/>
      <c r="AF5021" s="38"/>
      <c r="AG5021" s="38"/>
      <c r="AH5021" s="60"/>
    </row>
    <row r="5022" spans="1:34" ht="15.75" customHeight="1">
      <c r="A5022" s="111" t="s">
        <v>73</v>
      </c>
      <c r="B5022" s="78" t="s">
        <v>17531</v>
      </c>
      <c r="C5022" s="37" t="s">
        <v>24</v>
      </c>
      <c r="D5022" s="20" t="s">
        <v>17532</v>
      </c>
      <c r="E5022" s="20" t="s">
        <v>17533</v>
      </c>
      <c r="F5022" s="19" t="s">
        <v>27</v>
      </c>
      <c r="G5022" s="19" t="s">
        <v>28</v>
      </c>
      <c r="H5022" s="37" t="s">
        <v>55</v>
      </c>
      <c r="I5022" s="37" t="s">
        <v>29</v>
      </c>
      <c r="J5022" s="155" t="str">
        <f t="shared" si="10"/>
        <v>TT</v>
      </c>
      <c r="K5022" s="22" t="s">
        <v>17534</v>
      </c>
      <c r="L5022" s="56">
        <v>45134</v>
      </c>
      <c r="P5022" s="40"/>
      <c r="Q5022" s="61"/>
      <c r="R5022" s="61"/>
      <c r="S5022" s="40"/>
      <c r="T5022" s="38"/>
      <c r="U5022" s="38"/>
      <c r="V5022" s="38"/>
      <c r="W5022" s="60"/>
      <c r="AB5022" s="42"/>
      <c r="AC5022" s="35"/>
      <c r="AD5022" s="38"/>
      <c r="AE5022" s="38"/>
      <c r="AF5022" s="38"/>
      <c r="AG5022" s="38"/>
      <c r="AH5022" s="60"/>
    </row>
    <row r="5023" spans="1:34" ht="15.75" customHeight="1">
      <c r="A5023" s="75">
        <v>2.9</v>
      </c>
      <c r="B5023" s="78" t="s">
        <v>17535</v>
      </c>
      <c r="C5023" s="37" t="s">
        <v>46</v>
      </c>
      <c r="D5023" s="20" t="s">
        <v>17536</v>
      </c>
      <c r="E5023" s="20" t="s">
        <v>17537</v>
      </c>
      <c r="F5023" s="37" t="s">
        <v>49</v>
      </c>
      <c r="G5023" s="19" t="s">
        <v>50</v>
      </c>
      <c r="H5023" s="37" t="s">
        <v>55</v>
      </c>
      <c r="I5023" s="37" t="s">
        <v>29</v>
      </c>
      <c r="J5023" s="155" t="str">
        <f t="shared" si="10"/>
        <v>TT</v>
      </c>
      <c r="K5023" s="22" t="s">
        <v>17538</v>
      </c>
      <c r="L5023" s="56">
        <v>45134</v>
      </c>
      <c r="P5023" s="40"/>
      <c r="Q5023" s="61"/>
      <c r="R5023" s="61"/>
      <c r="S5023" s="40"/>
      <c r="T5023" s="38"/>
      <c r="U5023" s="38"/>
      <c r="V5023" s="38"/>
      <c r="W5023" s="60"/>
      <c r="AB5023" s="42"/>
      <c r="AC5023" s="35"/>
      <c r="AD5023" s="38"/>
      <c r="AE5023" s="38"/>
      <c r="AF5023" s="38"/>
      <c r="AG5023" s="38"/>
      <c r="AH5023" s="60"/>
    </row>
    <row r="5024" spans="1:34" ht="15.75" customHeight="1">
      <c r="A5024" s="111" t="s">
        <v>82</v>
      </c>
      <c r="B5024" s="78" t="s">
        <v>17539</v>
      </c>
      <c r="C5024" s="37" t="s">
        <v>412</v>
      </c>
      <c r="D5024" s="20" t="s">
        <v>17540</v>
      </c>
      <c r="E5024" s="20" t="s">
        <v>17541</v>
      </c>
      <c r="F5024" s="19" t="s">
        <v>414</v>
      </c>
      <c r="G5024" s="37" t="s">
        <v>415</v>
      </c>
      <c r="H5024" s="37" t="s">
        <v>55</v>
      </c>
      <c r="I5024" s="37" t="s">
        <v>233</v>
      </c>
      <c r="J5024" s="155" t="str">
        <f t="shared" si="10"/>
        <v>NTT</v>
      </c>
      <c r="K5024" s="22" t="s">
        <v>17542</v>
      </c>
      <c r="L5024" s="56">
        <v>45134</v>
      </c>
      <c r="P5024" s="40"/>
      <c r="Q5024" s="61"/>
      <c r="R5024" s="61"/>
      <c r="S5024" s="40"/>
      <c r="T5024" s="38"/>
      <c r="U5024" s="38"/>
      <c r="V5024" s="38"/>
      <c r="W5024" s="60"/>
      <c r="AB5024" s="42"/>
      <c r="AC5024" s="35"/>
      <c r="AD5024" s="38"/>
      <c r="AE5024" s="38"/>
      <c r="AF5024" s="38"/>
      <c r="AG5024" s="38"/>
      <c r="AH5024" s="60"/>
    </row>
    <row r="5025" spans="1:34" ht="15.75" customHeight="1">
      <c r="A5025" s="112" t="s">
        <v>17543</v>
      </c>
      <c r="B5025" s="78" t="s">
        <v>17544</v>
      </c>
      <c r="C5025" s="37" t="s">
        <v>24</v>
      </c>
      <c r="D5025" s="20" t="s">
        <v>17545</v>
      </c>
      <c r="E5025" s="20" t="s">
        <v>17515</v>
      </c>
      <c r="F5025" s="19" t="s">
        <v>27</v>
      </c>
      <c r="G5025" s="19" t="s">
        <v>28</v>
      </c>
      <c r="H5025" s="37" t="s">
        <v>55</v>
      </c>
      <c r="I5025" s="37" t="s">
        <v>29</v>
      </c>
      <c r="J5025" s="155" t="str">
        <f t="shared" si="10"/>
        <v>TT</v>
      </c>
      <c r="K5025" s="22" t="s">
        <v>17516</v>
      </c>
      <c r="L5025" s="56">
        <v>45134</v>
      </c>
      <c r="P5025" s="40"/>
      <c r="Q5025" s="61"/>
      <c r="R5025" s="61"/>
      <c r="S5025" s="40"/>
      <c r="T5025" s="38"/>
      <c r="U5025" s="38"/>
      <c r="V5025" s="38"/>
      <c r="W5025" s="60"/>
      <c r="AB5025" s="42"/>
      <c r="AC5025" s="35"/>
      <c r="AD5025" s="38"/>
      <c r="AE5025" s="38"/>
      <c r="AF5025" s="38"/>
      <c r="AG5025" s="38"/>
      <c r="AH5025" s="60"/>
    </row>
    <row r="5026" spans="1:34" ht="15.75" customHeight="1">
      <c r="A5026" s="111" t="s">
        <v>92</v>
      </c>
      <c r="B5026" s="78" t="s">
        <v>17546</v>
      </c>
      <c r="C5026" s="37" t="s">
        <v>24</v>
      </c>
      <c r="D5026" s="20" t="s">
        <v>17547</v>
      </c>
      <c r="E5026" s="20" t="s">
        <v>17548</v>
      </c>
      <c r="F5026" s="19" t="s">
        <v>27</v>
      </c>
      <c r="G5026" s="19" t="s">
        <v>28</v>
      </c>
      <c r="H5026" s="37" t="s">
        <v>55</v>
      </c>
      <c r="I5026" s="37" t="s">
        <v>29</v>
      </c>
      <c r="J5026" s="155" t="str">
        <f t="shared" si="10"/>
        <v>TT</v>
      </c>
      <c r="K5026" s="22" t="s">
        <v>17549</v>
      </c>
      <c r="L5026" s="56">
        <v>45134</v>
      </c>
      <c r="P5026" s="40"/>
      <c r="Q5026" s="61"/>
      <c r="R5026" s="61"/>
      <c r="S5026" s="40"/>
      <c r="T5026" s="38"/>
      <c r="U5026" s="38"/>
      <c r="V5026" s="38"/>
      <c r="W5026" s="60"/>
      <c r="AB5026" s="42"/>
      <c r="AC5026" s="35"/>
      <c r="AD5026" s="38"/>
      <c r="AE5026" s="38"/>
      <c r="AF5026" s="38"/>
      <c r="AG5026" s="38"/>
      <c r="AH5026" s="60"/>
    </row>
    <row r="5027" spans="1:34" ht="15.75" customHeight="1">
      <c r="A5027" s="17">
        <v>164</v>
      </c>
      <c r="B5027" s="78" t="s">
        <v>17550</v>
      </c>
      <c r="C5027" s="37" t="s">
        <v>24</v>
      </c>
      <c r="D5027" s="20" t="s">
        <v>17551</v>
      </c>
      <c r="E5027" s="20" t="s">
        <v>17552</v>
      </c>
      <c r="F5027" s="19" t="s">
        <v>27</v>
      </c>
      <c r="G5027" s="19" t="s">
        <v>28</v>
      </c>
      <c r="H5027" s="37" t="s">
        <v>55</v>
      </c>
      <c r="I5027" s="37" t="s">
        <v>29</v>
      </c>
      <c r="J5027" s="155" t="str">
        <f t="shared" si="10"/>
        <v>TT</v>
      </c>
      <c r="K5027" s="22" t="s">
        <v>17553</v>
      </c>
      <c r="L5027" s="56">
        <v>45134</v>
      </c>
      <c r="P5027" s="40"/>
      <c r="Q5027" s="61"/>
      <c r="R5027" s="61"/>
      <c r="S5027" s="40"/>
      <c r="T5027" s="38"/>
      <c r="U5027" s="38"/>
      <c r="V5027" s="38"/>
      <c r="W5027" s="60"/>
      <c r="AB5027" s="42"/>
      <c r="AC5027" s="35"/>
      <c r="AD5027" s="38"/>
      <c r="AE5027" s="38"/>
      <c r="AF5027" s="38"/>
      <c r="AG5027" s="38"/>
      <c r="AH5027" s="60"/>
    </row>
    <row r="5028" spans="1:34" ht="15.75" customHeight="1">
      <c r="A5028" s="111" t="s">
        <v>100</v>
      </c>
      <c r="B5028" s="78" t="s">
        <v>17554</v>
      </c>
      <c r="C5028" s="37" t="s">
        <v>87</v>
      </c>
      <c r="D5028" s="20" t="s">
        <v>17555</v>
      </c>
      <c r="E5028" s="20" t="s">
        <v>17556</v>
      </c>
      <c r="F5028" s="19" t="s">
        <v>90</v>
      </c>
      <c r="G5028" s="19" t="s">
        <v>91</v>
      </c>
      <c r="H5028" s="37" t="s">
        <v>55</v>
      </c>
      <c r="I5028" s="37" t="s">
        <v>29</v>
      </c>
      <c r="J5028" s="155" t="str">
        <f t="shared" si="10"/>
        <v>TT</v>
      </c>
      <c r="K5028" s="22" t="s">
        <v>17557</v>
      </c>
      <c r="L5028" s="56">
        <v>45134</v>
      </c>
      <c r="P5028" s="40"/>
      <c r="Q5028" s="61"/>
      <c r="R5028" s="61"/>
      <c r="S5028" s="40"/>
      <c r="T5028" s="38"/>
      <c r="U5028" s="38"/>
      <c r="V5028" s="38"/>
      <c r="W5028" s="60"/>
      <c r="AB5028" s="42"/>
      <c r="AC5028" s="35"/>
      <c r="AD5028" s="38"/>
      <c r="AE5028" s="38"/>
      <c r="AF5028" s="38"/>
      <c r="AG5028" s="38"/>
      <c r="AH5028" s="60"/>
    </row>
    <row r="5029" spans="1:34" ht="15.75" customHeight="1">
      <c r="A5029" s="17">
        <v>161</v>
      </c>
      <c r="B5029" s="38"/>
      <c r="C5029" s="37"/>
      <c r="D5029" s="20"/>
      <c r="E5029" s="20"/>
      <c r="F5029" s="37"/>
      <c r="G5029" s="37"/>
      <c r="H5029" s="37"/>
      <c r="I5029" s="37"/>
      <c r="J5029" s="155">
        <f t="shared" si="10"/>
        <v>0</v>
      </c>
      <c r="K5029" s="22"/>
      <c r="L5029" s="39"/>
      <c r="P5029" s="40"/>
      <c r="Q5029" s="61"/>
      <c r="R5029" s="61"/>
      <c r="S5029" s="40"/>
      <c r="T5029" s="38"/>
      <c r="U5029" s="38"/>
      <c r="V5029" s="38"/>
      <c r="W5029" s="60"/>
      <c r="AB5029" s="42"/>
      <c r="AC5029" s="35"/>
      <c r="AD5029" s="38"/>
      <c r="AE5029" s="38"/>
      <c r="AF5029" s="38"/>
      <c r="AG5029" s="38"/>
      <c r="AH5029" s="60"/>
    </row>
    <row r="5030" spans="1:34" ht="15.75" customHeight="1">
      <c r="A5030" s="258"/>
      <c r="B5030" s="38"/>
      <c r="C5030" s="37"/>
      <c r="D5030" s="20"/>
      <c r="E5030" s="20"/>
      <c r="F5030" s="37"/>
      <c r="G5030" s="37"/>
      <c r="H5030" s="37"/>
      <c r="I5030" s="37"/>
      <c r="J5030" s="155">
        <f t="shared" si="10"/>
        <v>0</v>
      </c>
      <c r="K5030" s="22"/>
      <c r="L5030" s="39"/>
      <c r="P5030" s="40"/>
      <c r="Q5030" s="61"/>
      <c r="R5030" s="61"/>
      <c r="S5030" s="40"/>
      <c r="T5030" s="38"/>
      <c r="U5030" s="38"/>
      <c r="V5030" s="38"/>
      <c r="W5030" s="60"/>
      <c r="AB5030" s="42"/>
      <c r="AC5030" s="35"/>
      <c r="AD5030" s="38"/>
      <c r="AE5030" s="38"/>
      <c r="AF5030" s="38"/>
      <c r="AG5030" s="38"/>
      <c r="AH5030" s="60"/>
    </row>
    <row r="5031" spans="1:34" ht="15.75" customHeight="1">
      <c r="A5031" s="35" t="s">
        <v>17558</v>
      </c>
      <c r="B5031" s="38" t="s">
        <v>17559</v>
      </c>
      <c r="C5031" s="37" t="s">
        <v>87</v>
      </c>
      <c r="D5031" s="20" t="s">
        <v>17560</v>
      </c>
      <c r="E5031" s="20" t="s">
        <v>17561</v>
      </c>
      <c r="F5031" s="19" t="s">
        <v>90</v>
      </c>
      <c r="G5031" s="19" t="s">
        <v>91</v>
      </c>
      <c r="H5031" s="37" t="s">
        <v>55</v>
      </c>
      <c r="I5031" s="37" t="s">
        <v>29</v>
      </c>
      <c r="J5031" s="155" t="str">
        <f t="shared" si="10"/>
        <v>TT</v>
      </c>
      <c r="K5031" s="22" t="s">
        <v>17562</v>
      </c>
      <c r="L5031" s="56">
        <v>45134</v>
      </c>
      <c r="M5031" s="40"/>
      <c r="P5031" s="40"/>
      <c r="Q5031" s="61"/>
      <c r="R5031" s="61"/>
      <c r="S5031" s="40"/>
      <c r="T5031" s="38"/>
      <c r="U5031" s="38"/>
      <c r="V5031" s="38"/>
      <c r="W5031" s="60"/>
      <c r="AB5031" s="42"/>
      <c r="AC5031" s="35"/>
      <c r="AD5031" s="38"/>
      <c r="AE5031" s="38"/>
      <c r="AF5031" s="38"/>
      <c r="AG5031" s="38"/>
      <c r="AH5031" s="60"/>
    </row>
    <row r="5032" spans="1:34" ht="15.75" customHeight="1">
      <c r="A5032" s="54" t="s">
        <v>2714</v>
      </c>
      <c r="B5032" s="38" t="s">
        <v>17563</v>
      </c>
      <c r="C5032" s="37" t="s">
        <v>1366</v>
      </c>
      <c r="D5032" s="20" t="s">
        <v>17564</v>
      </c>
      <c r="E5032" s="20" t="s">
        <v>17565</v>
      </c>
      <c r="F5032" s="55" t="s">
        <v>1369</v>
      </c>
      <c r="G5032" s="55" t="s">
        <v>1370</v>
      </c>
      <c r="H5032" s="37" t="s">
        <v>55</v>
      </c>
      <c r="I5032" s="21" t="s">
        <v>1371</v>
      </c>
      <c r="J5032" s="155" t="str">
        <f t="shared" si="10"/>
        <v>Other</v>
      </c>
      <c r="K5032" s="22" t="s">
        <v>17566</v>
      </c>
      <c r="L5032" s="56">
        <v>45134</v>
      </c>
      <c r="P5032" s="40"/>
      <c r="Q5032" s="61"/>
      <c r="R5032" s="61"/>
      <c r="S5032" s="40"/>
      <c r="T5032" s="38"/>
      <c r="U5032" s="38"/>
      <c r="V5032" s="38"/>
      <c r="W5032" s="60"/>
      <c r="AB5032" s="42"/>
      <c r="AC5032" s="35"/>
      <c r="AD5032" s="38"/>
      <c r="AE5032" s="38"/>
      <c r="AF5032" s="38"/>
      <c r="AG5032" s="38"/>
      <c r="AH5032" s="60"/>
    </row>
    <row r="5033" spans="1:34" ht="15.75" customHeight="1">
      <c r="A5033" s="114" t="s">
        <v>39</v>
      </c>
      <c r="B5033" s="38" t="s">
        <v>17567</v>
      </c>
      <c r="C5033" s="37" t="s">
        <v>1486</v>
      </c>
      <c r="D5033" s="20" t="s">
        <v>17568</v>
      </c>
      <c r="E5033" s="20" t="s">
        <v>17569</v>
      </c>
      <c r="F5033" s="37" t="s">
        <v>1489</v>
      </c>
      <c r="G5033" s="37" t="s">
        <v>1490</v>
      </c>
      <c r="H5033" s="37" t="s">
        <v>55</v>
      </c>
      <c r="I5033" s="21" t="s">
        <v>1371</v>
      </c>
      <c r="J5033" s="155" t="str">
        <f t="shared" si="10"/>
        <v>Other</v>
      </c>
      <c r="K5033" s="22" t="s">
        <v>17570</v>
      </c>
      <c r="L5033" s="56">
        <v>45134</v>
      </c>
      <c r="P5033" s="40"/>
      <c r="Q5033" s="61"/>
      <c r="R5033" s="61"/>
      <c r="S5033" s="40"/>
      <c r="T5033" s="38"/>
      <c r="U5033" s="38"/>
      <c r="V5033" s="38"/>
      <c r="W5033" s="60"/>
      <c r="AB5033" s="42"/>
      <c r="AC5033" s="35"/>
      <c r="AD5033" s="38"/>
      <c r="AE5033" s="38"/>
      <c r="AF5033" s="38"/>
      <c r="AG5033" s="38"/>
      <c r="AH5033" s="60"/>
    </row>
    <row r="5034" spans="1:34" ht="15.75" customHeight="1">
      <c r="A5034" s="38" t="s">
        <v>16979</v>
      </c>
      <c r="B5034" s="38" t="s">
        <v>17571</v>
      </c>
      <c r="C5034" s="37" t="s">
        <v>24</v>
      </c>
      <c r="D5034" s="20" t="s">
        <v>17572</v>
      </c>
      <c r="E5034" s="20" t="s">
        <v>17573</v>
      </c>
      <c r="F5034" s="19" t="s">
        <v>27</v>
      </c>
      <c r="G5034" s="19" t="s">
        <v>28</v>
      </c>
      <c r="H5034" s="37" t="s">
        <v>55</v>
      </c>
      <c r="I5034" s="37" t="s">
        <v>29</v>
      </c>
      <c r="J5034" s="155" t="str">
        <f t="shared" si="10"/>
        <v>TT</v>
      </c>
      <c r="K5034" s="22" t="s">
        <v>17574</v>
      </c>
      <c r="L5034" s="56">
        <v>45134</v>
      </c>
      <c r="P5034" s="40"/>
      <c r="Q5034" s="61"/>
      <c r="R5034" s="61"/>
      <c r="S5034" s="40"/>
      <c r="T5034" s="38"/>
      <c r="U5034" s="38"/>
      <c r="V5034" s="38"/>
      <c r="W5034" s="60"/>
      <c r="AB5034" s="42"/>
      <c r="AC5034" s="35"/>
      <c r="AD5034" s="38"/>
      <c r="AE5034" s="38"/>
      <c r="AF5034" s="38"/>
      <c r="AG5034" s="38"/>
      <c r="AH5034" s="60"/>
    </row>
    <row r="5035" spans="1:34" ht="15.75" customHeight="1">
      <c r="A5035" s="75" t="s">
        <v>10768</v>
      </c>
      <c r="B5035" s="38" t="s">
        <v>17575</v>
      </c>
      <c r="C5035" s="37" t="s">
        <v>46</v>
      </c>
      <c r="D5035" s="180" t="s">
        <v>17576</v>
      </c>
      <c r="E5035" s="20" t="s">
        <v>17577</v>
      </c>
      <c r="F5035" s="37" t="s">
        <v>49</v>
      </c>
      <c r="G5035" s="19" t="s">
        <v>50</v>
      </c>
      <c r="H5035" s="37" t="s">
        <v>55</v>
      </c>
      <c r="I5035" s="37" t="s">
        <v>29</v>
      </c>
      <c r="J5035" s="155" t="str">
        <f t="shared" si="10"/>
        <v>TT</v>
      </c>
      <c r="K5035" s="22" t="s">
        <v>17578</v>
      </c>
      <c r="L5035" s="56">
        <v>45134</v>
      </c>
      <c r="P5035" s="40"/>
      <c r="Q5035" s="61"/>
      <c r="R5035" s="61"/>
      <c r="S5035" s="40"/>
      <c r="T5035" s="38"/>
      <c r="U5035" s="38"/>
      <c r="V5035" s="38"/>
      <c r="W5035" s="60"/>
      <c r="AB5035" s="42"/>
      <c r="AC5035" s="35"/>
      <c r="AD5035" s="38"/>
      <c r="AE5035" s="38"/>
      <c r="AF5035" s="38"/>
      <c r="AG5035" s="38"/>
      <c r="AH5035" s="60"/>
    </row>
    <row r="5036" spans="1:34" ht="15.75" customHeight="1">
      <c r="A5036" s="50" t="s">
        <v>56</v>
      </c>
      <c r="B5036" s="38" t="s">
        <v>17579</v>
      </c>
      <c r="C5036" s="37" t="s">
        <v>87</v>
      </c>
      <c r="D5036" s="20" t="s">
        <v>17580</v>
      </c>
      <c r="E5036" s="20" t="s">
        <v>17581</v>
      </c>
      <c r="F5036" s="19" t="s">
        <v>90</v>
      </c>
      <c r="G5036" s="19" t="s">
        <v>91</v>
      </c>
      <c r="H5036" s="37" t="s">
        <v>55</v>
      </c>
      <c r="I5036" s="37" t="s">
        <v>29</v>
      </c>
      <c r="J5036" s="155" t="str">
        <f t="shared" si="10"/>
        <v>TT</v>
      </c>
      <c r="K5036" s="22" t="s">
        <v>17582</v>
      </c>
      <c r="L5036" s="56">
        <v>45134</v>
      </c>
      <c r="P5036" s="40"/>
      <c r="Q5036" s="61"/>
      <c r="R5036" s="61"/>
      <c r="S5036" s="40"/>
      <c r="T5036" s="38"/>
      <c r="U5036" s="38"/>
      <c r="V5036" s="38"/>
      <c r="W5036" s="60"/>
      <c r="AB5036" s="42"/>
      <c r="AC5036" s="35"/>
      <c r="AD5036" s="38"/>
      <c r="AE5036" s="38"/>
      <c r="AF5036" s="38"/>
      <c r="AG5036" s="38"/>
      <c r="AH5036" s="60"/>
    </row>
    <row r="5037" spans="1:34" ht="15.75" customHeight="1">
      <c r="A5037" s="17">
        <v>51</v>
      </c>
      <c r="B5037" s="38" t="s">
        <v>17583</v>
      </c>
      <c r="C5037" s="37" t="s">
        <v>87</v>
      </c>
      <c r="D5037" s="20" t="s">
        <v>17584</v>
      </c>
      <c r="E5037" s="20" t="s">
        <v>17585</v>
      </c>
      <c r="F5037" s="19" t="s">
        <v>90</v>
      </c>
      <c r="G5037" s="19" t="s">
        <v>91</v>
      </c>
      <c r="H5037" s="37" t="s">
        <v>55</v>
      </c>
      <c r="I5037" s="37" t="s">
        <v>29</v>
      </c>
      <c r="J5037" s="155" t="str">
        <f t="shared" si="10"/>
        <v>TT</v>
      </c>
      <c r="K5037" s="22" t="s">
        <v>17586</v>
      </c>
      <c r="L5037" s="56">
        <v>45134</v>
      </c>
      <c r="P5037" s="40"/>
      <c r="Q5037" s="61"/>
      <c r="R5037" s="61"/>
      <c r="S5037" s="40"/>
      <c r="T5037" s="38"/>
      <c r="U5037" s="38"/>
      <c r="V5037" s="38"/>
      <c r="W5037" s="60"/>
      <c r="AB5037" s="42"/>
      <c r="AC5037" s="35"/>
      <c r="AD5037" s="38"/>
      <c r="AE5037" s="38"/>
      <c r="AF5037" s="38"/>
      <c r="AG5037" s="38"/>
      <c r="AH5037" s="60"/>
    </row>
    <row r="5038" spans="1:34" ht="15.75" customHeight="1">
      <c r="A5038" s="111" t="s">
        <v>64</v>
      </c>
      <c r="B5038" s="38" t="s">
        <v>17587</v>
      </c>
      <c r="C5038" s="37" t="s">
        <v>24</v>
      </c>
      <c r="D5038" s="20" t="s">
        <v>17588</v>
      </c>
      <c r="E5038" s="20" t="s">
        <v>17589</v>
      </c>
      <c r="F5038" s="19" t="s">
        <v>27</v>
      </c>
      <c r="G5038" s="19" t="s">
        <v>28</v>
      </c>
      <c r="H5038" s="37" t="s">
        <v>55</v>
      </c>
      <c r="I5038" s="37" t="s">
        <v>29</v>
      </c>
      <c r="J5038" s="155" t="str">
        <f t="shared" si="10"/>
        <v>TT</v>
      </c>
      <c r="K5038" s="22" t="s">
        <v>17590</v>
      </c>
      <c r="L5038" s="56">
        <v>45134</v>
      </c>
      <c r="P5038" s="40"/>
      <c r="Q5038" s="61"/>
      <c r="R5038" s="61"/>
      <c r="S5038" s="40"/>
      <c r="T5038" s="38"/>
      <c r="U5038" s="38"/>
      <c r="V5038" s="38"/>
      <c r="W5038" s="60"/>
      <c r="AB5038" s="42"/>
      <c r="AC5038" s="35"/>
      <c r="AD5038" s="38"/>
      <c r="AE5038" s="38"/>
      <c r="AF5038" s="38"/>
      <c r="AG5038" s="38"/>
      <c r="AH5038" s="60"/>
    </row>
    <row r="5039" spans="1:34" ht="15.75" customHeight="1">
      <c r="A5039" s="75">
        <v>2.5</v>
      </c>
      <c r="B5039" s="38" t="s">
        <v>17591</v>
      </c>
      <c r="C5039" s="37" t="s">
        <v>24</v>
      </c>
      <c r="D5039" s="20" t="s">
        <v>17592</v>
      </c>
      <c r="E5039" s="20" t="s">
        <v>17593</v>
      </c>
      <c r="F5039" s="19" t="s">
        <v>27</v>
      </c>
      <c r="G5039" s="19" t="s">
        <v>28</v>
      </c>
      <c r="H5039" s="37" t="s">
        <v>55</v>
      </c>
      <c r="I5039" s="37" t="s">
        <v>29</v>
      </c>
      <c r="J5039" s="155" t="str">
        <f t="shared" si="10"/>
        <v>TT</v>
      </c>
      <c r="K5039" s="22" t="s">
        <v>17594</v>
      </c>
      <c r="L5039" s="56">
        <v>45134</v>
      </c>
      <c r="P5039" s="40"/>
      <c r="Q5039" s="61"/>
      <c r="R5039" s="61"/>
      <c r="S5039" s="40"/>
      <c r="T5039" s="38"/>
      <c r="U5039" s="38"/>
      <c r="V5039" s="38"/>
      <c r="W5039" s="60"/>
      <c r="AB5039" s="42"/>
      <c r="AC5039" s="35"/>
      <c r="AD5039" s="38"/>
      <c r="AE5039" s="38"/>
      <c r="AF5039" s="38"/>
      <c r="AG5039" s="38"/>
      <c r="AH5039" s="60"/>
    </row>
    <row r="5040" spans="1:34" ht="15.75" customHeight="1">
      <c r="A5040" s="111" t="s">
        <v>73</v>
      </c>
      <c r="B5040" s="38" t="s">
        <v>17595</v>
      </c>
      <c r="C5040" s="37" t="s">
        <v>24</v>
      </c>
      <c r="D5040" s="20" t="s">
        <v>17596</v>
      </c>
      <c r="E5040" s="20" t="s">
        <v>17597</v>
      </c>
      <c r="F5040" s="19" t="s">
        <v>27</v>
      </c>
      <c r="G5040" s="19" t="s">
        <v>28</v>
      </c>
      <c r="H5040" s="37" t="s">
        <v>55</v>
      </c>
      <c r="I5040" s="37" t="s">
        <v>29</v>
      </c>
      <c r="J5040" s="155" t="str">
        <f t="shared" si="10"/>
        <v>TT</v>
      </c>
      <c r="K5040" s="22" t="s">
        <v>17598</v>
      </c>
      <c r="L5040" s="56">
        <v>45134</v>
      </c>
      <c r="P5040" s="40"/>
      <c r="Q5040" s="61"/>
      <c r="R5040" s="61"/>
      <c r="S5040" s="40"/>
      <c r="T5040" s="38"/>
      <c r="U5040" s="38"/>
      <c r="V5040" s="38"/>
      <c r="W5040" s="60"/>
      <c r="AB5040" s="42"/>
      <c r="AC5040" s="35"/>
      <c r="AD5040" s="38"/>
      <c r="AE5040" s="38"/>
      <c r="AF5040" s="38"/>
      <c r="AG5040" s="38"/>
      <c r="AH5040" s="60"/>
    </row>
    <row r="5041" spans="1:34" ht="15.75" customHeight="1">
      <c r="A5041" s="75">
        <v>2.7</v>
      </c>
      <c r="B5041" s="38" t="s">
        <v>17599</v>
      </c>
      <c r="C5041" s="37" t="s">
        <v>87</v>
      </c>
      <c r="D5041" s="20" t="s">
        <v>17600</v>
      </c>
      <c r="E5041" s="20" t="s">
        <v>17601</v>
      </c>
      <c r="F5041" s="19" t="s">
        <v>90</v>
      </c>
      <c r="G5041" s="19" t="s">
        <v>91</v>
      </c>
      <c r="H5041" s="37" t="s">
        <v>55</v>
      </c>
      <c r="I5041" s="37" t="s">
        <v>29</v>
      </c>
      <c r="J5041" s="155" t="str">
        <f t="shared" si="10"/>
        <v>TT</v>
      </c>
      <c r="K5041" s="22" t="s">
        <v>17602</v>
      </c>
      <c r="L5041" s="56">
        <v>45134</v>
      </c>
      <c r="P5041" s="40"/>
      <c r="Q5041" s="61"/>
      <c r="R5041" s="61"/>
      <c r="S5041" s="40"/>
      <c r="T5041" s="38"/>
      <c r="U5041" s="38"/>
      <c r="V5041" s="38"/>
      <c r="W5041" s="60"/>
      <c r="AB5041" s="42"/>
      <c r="AC5041" s="35"/>
      <c r="AD5041" s="38"/>
      <c r="AE5041" s="38"/>
      <c r="AF5041" s="38"/>
      <c r="AG5041" s="38"/>
      <c r="AH5041" s="60"/>
    </row>
    <row r="5042" spans="1:34" ht="15.75" customHeight="1">
      <c r="A5042" s="111" t="s">
        <v>82</v>
      </c>
      <c r="B5042" s="38" t="s">
        <v>17603</v>
      </c>
      <c r="C5042" s="37" t="s">
        <v>46</v>
      </c>
      <c r="D5042" s="20" t="s">
        <v>17604</v>
      </c>
      <c r="E5042" s="20" t="s">
        <v>17605</v>
      </c>
      <c r="F5042" s="37" t="s">
        <v>49</v>
      </c>
      <c r="G5042" s="19" t="s">
        <v>50</v>
      </c>
      <c r="H5042" s="37" t="s">
        <v>55</v>
      </c>
      <c r="I5042" s="37" t="s">
        <v>29</v>
      </c>
      <c r="J5042" s="155" t="str">
        <f t="shared" si="10"/>
        <v>TT</v>
      </c>
      <c r="K5042" s="22" t="s">
        <v>17606</v>
      </c>
      <c r="L5042" s="56">
        <v>45134</v>
      </c>
      <c r="P5042" s="40"/>
      <c r="Q5042" s="61"/>
      <c r="R5042" s="61"/>
      <c r="S5042" s="40"/>
      <c r="T5042" s="38"/>
      <c r="U5042" s="38"/>
      <c r="V5042" s="38"/>
      <c r="W5042" s="60"/>
      <c r="AB5042" s="42"/>
      <c r="AC5042" s="35"/>
      <c r="AD5042" s="38"/>
      <c r="AE5042" s="38"/>
      <c r="AF5042" s="38"/>
      <c r="AG5042" s="38"/>
      <c r="AH5042" s="60"/>
    </row>
    <row r="5043" spans="1:34" ht="15.75" customHeight="1">
      <c r="A5043" s="112" t="s">
        <v>17607</v>
      </c>
      <c r="B5043" s="38" t="s">
        <v>17608</v>
      </c>
      <c r="C5043" s="37" t="s">
        <v>46</v>
      </c>
      <c r="D5043" s="20" t="s">
        <v>17609</v>
      </c>
      <c r="E5043" s="20" t="s">
        <v>17610</v>
      </c>
      <c r="F5043" s="37" t="s">
        <v>49</v>
      </c>
      <c r="G5043" s="19" t="s">
        <v>50</v>
      </c>
      <c r="H5043" s="37" t="s">
        <v>55</v>
      </c>
      <c r="I5043" s="37" t="s">
        <v>29</v>
      </c>
      <c r="J5043" s="155" t="str">
        <f t="shared" si="10"/>
        <v>TT</v>
      </c>
      <c r="K5043" s="22" t="s">
        <v>17611</v>
      </c>
      <c r="L5043" s="56">
        <v>45134</v>
      </c>
      <c r="P5043" s="40"/>
      <c r="Q5043" s="61"/>
      <c r="R5043" s="61"/>
      <c r="S5043" s="40"/>
      <c r="T5043" s="38"/>
      <c r="U5043" s="38"/>
      <c r="V5043" s="38"/>
      <c r="W5043" s="60"/>
      <c r="AB5043" s="42"/>
      <c r="AC5043" s="35"/>
      <c r="AD5043" s="38"/>
      <c r="AE5043" s="38"/>
      <c r="AF5043" s="38"/>
      <c r="AG5043" s="38"/>
      <c r="AH5043" s="60"/>
    </row>
    <row r="5044" spans="1:34" ht="15.75" customHeight="1">
      <c r="A5044" s="111" t="s">
        <v>92</v>
      </c>
      <c r="B5044" s="38" t="s">
        <v>17612</v>
      </c>
      <c r="C5044" s="37" t="s">
        <v>87</v>
      </c>
      <c r="D5044" s="20" t="s">
        <v>17613</v>
      </c>
      <c r="E5044" s="20" t="s">
        <v>17614</v>
      </c>
      <c r="F5044" s="19" t="s">
        <v>90</v>
      </c>
      <c r="G5044" s="19" t="s">
        <v>91</v>
      </c>
      <c r="H5044" s="37" t="s">
        <v>55</v>
      </c>
      <c r="I5044" s="37" t="s">
        <v>29</v>
      </c>
      <c r="J5044" s="155" t="str">
        <f t="shared" si="10"/>
        <v>TT</v>
      </c>
      <c r="K5044" s="22" t="s">
        <v>17615</v>
      </c>
      <c r="L5044" s="56">
        <v>45134</v>
      </c>
      <c r="P5044" s="40"/>
      <c r="Q5044" s="61"/>
      <c r="R5044" s="61"/>
      <c r="S5044" s="40"/>
      <c r="T5044" s="38"/>
      <c r="U5044" s="38"/>
      <c r="V5044" s="38"/>
      <c r="W5044" s="60"/>
      <c r="AB5044" s="42"/>
      <c r="AC5044" s="35"/>
      <c r="AD5044" s="38"/>
      <c r="AE5044" s="38"/>
      <c r="AF5044" s="38"/>
      <c r="AG5044" s="38"/>
      <c r="AH5044" s="60"/>
    </row>
    <row r="5045" spans="1:34" ht="15.75" customHeight="1">
      <c r="A5045" s="17">
        <v>916</v>
      </c>
      <c r="B5045" s="38" t="s">
        <v>17616</v>
      </c>
      <c r="C5045" s="37" t="s">
        <v>46</v>
      </c>
      <c r="D5045" s="180" t="s">
        <v>17617</v>
      </c>
      <c r="E5045" s="20" t="s">
        <v>17618</v>
      </c>
      <c r="F5045" s="37" t="s">
        <v>49</v>
      </c>
      <c r="G5045" s="19" t="s">
        <v>50</v>
      </c>
      <c r="H5045" s="37" t="s">
        <v>55</v>
      </c>
      <c r="I5045" s="37" t="s">
        <v>29</v>
      </c>
      <c r="J5045" s="155" t="str">
        <f t="shared" si="10"/>
        <v>TT</v>
      </c>
      <c r="K5045" s="22" t="s">
        <v>17619</v>
      </c>
      <c r="L5045" s="56">
        <v>45134</v>
      </c>
      <c r="P5045" s="40"/>
      <c r="Q5045" s="61"/>
      <c r="R5045" s="61"/>
      <c r="S5045" s="40"/>
      <c r="T5045" s="38"/>
      <c r="U5045" s="38"/>
      <c r="V5045" s="38"/>
      <c r="W5045" s="60"/>
      <c r="AB5045" s="42"/>
      <c r="AC5045" s="35"/>
      <c r="AD5045" s="38"/>
      <c r="AE5045" s="38"/>
      <c r="AF5045" s="38"/>
      <c r="AG5045" s="38"/>
      <c r="AH5045" s="60"/>
    </row>
    <row r="5046" spans="1:34" ht="15.75" customHeight="1">
      <c r="A5046" s="111" t="s">
        <v>100</v>
      </c>
      <c r="B5046" s="38" t="s">
        <v>17620</v>
      </c>
      <c r="C5046" s="37" t="s">
        <v>87</v>
      </c>
      <c r="D5046" s="20" t="s">
        <v>17621</v>
      </c>
      <c r="E5046" s="20" t="s">
        <v>17622</v>
      </c>
      <c r="F5046" s="19" t="s">
        <v>90</v>
      </c>
      <c r="G5046" s="19" t="s">
        <v>91</v>
      </c>
      <c r="H5046" s="37" t="s">
        <v>55</v>
      </c>
      <c r="I5046" s="37" t="s">
        <v>29</v>
      </c>
      <c r="J5046" s="155" t="str">
        <f t="shared" si="10"/>
        <v>TT</v>
      </c>
      <c r="K5046" s="22" t="s">
        <v>17623</v>
      </c>
      <c r="L5046" s="56">
        <v>45134</v>
      </c>
      <c r="P5046" s="40"/>
      <c r="Q5046" s="61"/>
      <c r="R5046" s="61"/>
      <c r="S5046" s="40"/>
      <c r="T5046" s="38"/>
      <c r="U5046" s="38"/>
      <c r="V5046" s="38"/>
      <c r="W5046" s="60"/>
      <c r="AB5046" s="42"/>
      <c r="AC5046" s="35"/>
      <c r="AD5046" s="38"/>
      <c r="AE5046" s="38"/>
      <c r="AF5046" s="38"/>
      <c r="AG5046" s="38"/>
      <c r="AH5046" s="60"/>
    </row>
    <row r="5047" spans="1:34" ht="15.75" customHeight="1">
      <c r="A5047" s="17">
        <v>163</v>
      </c>
      <c r="B5047" s="38" t="s">
        <v>17624</v>
      </c>
      <c r="C5047" s="37" t="s">
        <v>46</v>
      </c>
      <c r="D5047" s="20" t="s">
        <v>17625</v>
      </c>
      <c r="E5047" s="20" t="s">
        <v>17626</v>
      </c>
      <c r="F5047" s="37" t="s">
        <v>49</v>
      </c>
      <c r="G5047" s="19" t="s">
        <v>50</v>
      </c>
      <c r="H5047" s="37" t="s">
        <v>55</v>
      </c>
      <c r="I5047" s="37" t="s">
        <v>29</v>
      </c>
      <c r="J5047" s="155" t="str">
        <f t="shared" si="10"/>
        <v>TT</v>
      </c>
      <c r="K5047" s="22" t="s">
        <v>17627</v>
      </c>
      <c r="L5047" s="56">
        <v>45134</v>
      </c>
      <c r="P5047" s="40"/>
      <c r="Q5047" s="61"/>
      <c r="R5047" s="61"/>
      <c r="S5047" s="40"/>
      <c r="T5047" s="38"/>
      <c r="U5047" s="38"/>
      <c r="V5047" s="38"/>
      <c r="W5047" s="60"/>
      <c r="AB5047" s="42"/>
      <c r="AC5047" s="35"/>
      <c r="AD5047" s="38"/>
      <c r="AE5047" s="38"/>
      <c r="AF5047" s="38"/>
      <c r="AG5047" s="38"/>
      <c r="AH5047" s="60"/>
    </row>
    <row r="5048" spans="1:34" ht="15.75" customHeight="1">
      <c r="A5048" s="35"/>
      <c r="B5048" s="38" t="s">
        <v>17628</v>
      </c>
      <c r="C5048" s="37" t="s">
        <v>87</v>
      </c>
      <c r="D5048" s="20" t="s">
        <v>17629</v>
      </c>
      <c r="E5048" s="20" t="s">
        <v>17630</v>
      </c>
      <c r="F5048" s="19" t="s">
        <v>90</v>
      </c>
      <c r="G5048" s="19" t="s">
        <v>91</v>
      </c>
      <c r="H5048" s="37" t="s">
        <v>55</v>
      </c>
      <c r="I5048" s="37" t="s">
        <v>29</v>
      </c>
      <c r="J5048" s="155" t="str">
        <f t="shared" si="10"/>
        <v>TT</v>
      </c>
      <c r="K5048" s="22" t="s">
        <v>17631</v>
      </c>
      <c r="L5048" s="56">
        <v>45134</v>
      </c>
      <c r="P5048" s="40"/>
      <c r="Q5048" s="61"/>
      <c r="R5048" s="61"/>
      <c r="S5048" s="40"/>
      <c r="T5048" s="38"/>
      <c r="U5048" s="38"/>
      <c r="V5048" s="38"/>
      <c r="W5048" s="60"/>
      <c r="AB5048" s="42"/>
      <c r="AC5048" s="35"/>
      <c r="AD5048" s="38"/>
      <c r="AE5048" s="38"/>
      <c r="AF5048" s="38"/>
      <c r="AG5048" s="38"/>
      <c r="AH5048" s="60"/>
    </row>
    <row r="5049" spans="1:34" ht="15.75" customHeight="1">
      <c r="A5049" s="261"/>
      <c r="B5049" s="38" t="s">
        <v>17632</v>
      </c>
      <c r="C5049" s="37" t="s">
        <v>87</v>
      </c>
      <c r="D5049" s="20" t="s">
        <v>17633</v>
      </c>
      <c r="E5049" s="20" t="s">
        <v>17634</v>
      </c>
      <c r="F5049" s="19" t="s">
        <v>90</v>
      </c>
      <c r="G5049" s="19" t="s">
        <v>91</v>
      </c>
      <c r="H5049" s="37" t="s">
        <v>55</v>
      </c>
      <c r="I5049" s="37" t="s">
        <v>29</v>
      </c>
      <c r="J5049" s="155" t="str">
        <f t="shared" si="10"/>
        <v>TT</v>
      </c>
      <c r="K5049" s="22" t="s">
        <v>17635</v>
      </c>
      <c r="L5049" s="56">
        <v>45134</v>
      </c>
      <c r="P5049" s="40"/>
      <c r="Q5049" s="61"/>
      <c r="R5049" s="61"/>
      <c r="S5049" s="40"/>
      <c r="T5049" s="38"/>
      <c r="U5049" s="38"/>
      <c r="V5049" s="38"/>
      <c r="W5049" s="60"/>
      <c r="AB5049" s="42"/>
      <c r="AC5049" s="35"/>
      <c r="AD5049" s="38"/>
      <c r="AE5049" s="38"/>
      <c r="AF5049" s="38"/>
      <c r="AG5049" s="38"/>
      <c r="AH5049" s="60"/>
    </row>
    <row r="5050" spans="1:34" ht="15.75" customHeight="1">
      <c r="A5050" s="261"/>
      <c r="B5050" s="38"/>
      <c r="C5050" s="37"/>
      <c r="D5050" s="20"/>
      <c r="E5050" s="20"/>
      <c r="F5050" s="37"/>
      <c r="G5050" s="37"/>
      <c r="H5050" s="37"/>
      <c r="I5050" s="37"/>
      <c r="J5050" s="155">
        <f t="shared" si="10"/>
        <v>0</v>
      </c>
      <c r="K5050" s="22"/>
      <c r="L5050" s="39"/>
      <c r="P5050" s="40"/>
      <c r="Q5050" s="61"/>
      <c r="R5050" s="61"/>
      <c r="S5050" s="40"/>
      <c r="T5050" s="38"/>
      <c r="U5050" s="38"/>
      <c r="V5050" s="38"/>
      <c r="W5050" s="60"/>
      <c r="AB5050" s="42"/>
      <c r="AC5050" s="35"/>
      <c r="AD5050" s="38"/>
      <c r="AE5050" s="38"/>
      <c r="AF5050" s="38"/>
      <c r="AG5050" s="38"/>
      <c r="AH5050" s="60"/>
    </row>
    <row r="5051" spans="1:34" ht="15.75" customHeight="1">
      <c r="A5051" s="35" t="s">
        <v>17636</v>
      </c>
      <c r="B5051" s="78" t="s">
        <v>17637</v>
      </c>
      <c r="C5051" s="37" t="s">
        <v>46</v>
      </c>
      <c r="D5051" s="20" t="s">
        <v>17638</v>
      </c>
      <c r="E5051" s="20" t="s">
        <v>17639</v>
      </c>
      <c r="F5051" s="37" t="s">
        <v>49</v>
      </c>
      <c r="G5051" s="19" t="s">
        <v>50</v>
      </c>
      <c r="H5051" s="37"/>
      <c r="I5051" s="37" t="s">
        <v>29</v>
      </c>
      <c r="J5051" s="155" t="str">
        <f t="shared" ref="J5051:J5305" si="11">IF(G5051="R","NA",I5051)</f>
        <v>TT</v>
      </c>
      <c r="K5051" s="22" t="s">
        <v>17640</v>
      </c>
      <c r="L5051" s="56">
        <v>45134</v>
      </c>
      <c r="M5051" s="40"/>
      <c r="P5051" s="40"/>
      <c r="Q5051" s="61"/>
      <c r="R5051" s="61"/>
      <c r="S5051" s="40"/>
      <c r="T5051" s="38"/>
      <c r="U5051" s="38"/>
      <c r="V5051" s="38"/>
      <c r="W5051" s="60"/>
      <c r="AB5051" s="42"/>
      <c r="AC5051" s="35"/>
      <c r="AD5051" s="38"/>
      <c r="AE5051" s="38"/>
      <c r="AF5051" s="38"/>
      <c r="AG5051" s="38"/>
      <c r="AH5051" s="60"/>
    </row>
    <row r="5052" spans="1:34" ht="15.75" customHeight="1">
      <c r="A5052" s="54" t="s">
        <v>2714</v>
      </c>
      <c r="B5052" s="78" t="s">
        <v>17641</v>
      </c>
      <c r="C5052" s="37" t="s">
        <v>87</v>
      </c>
      <c r="D5052" s="20" t="s">
        <v>17642</v>
      </c>
      <c r="E5052" s="20" t="s">
        <v>17643</v>
      </c>
      <c r="F5052" s="19" t="s">
        <v>90</v>
      </c>
      <c r="G5052" s="19" t="s">
        <v>91</v>
      </c>
      <c r="H5052" s="37"/>
      <c r="I5052" s="37" t="s">
        <v>29</v>
      </c>
      <c r="J5052" s="155" t="str">
        <f t="shared" si="11"/>
        <v>TT</v>
      </c>
      <c r="K5052" s="22" t="s">
        <v>17644</v>
      </c>
      <c r="L5052" s="56">
        <v>45134</v>
      </c>
      <c r="P5052" s="40"/>
      <c r="Q5052" s="61"/>
      <c r="R5052" s="61"/>
      <c r="S5052" s="40"/>
      <c r="T5052" s="38"/>
      <c r="U5052" s="38"/>
      <c r="V5052" s="38"/>
      <c r="W5052" s="60"/>
      <c r="AB5052" s="42"/>
      <c r="AC5052" s="35"/>
      <c r="AD5052" s="38"/>
      <c r="AE5052" s="38"/>
      <c r="AF5052" s="38"/>
      <c r="AG5052" s="38"/>
      <c r="AH5052" s="60"/>
    </row>
    <row r="5053" spans="1:34" ht="15.75" customHeight="1">
      <c r="A5053" s="114" t="s">
        <v>39</v>
      </c>
      <c r="B5053" s="78" t="s">
        <v>17645</v>
      </c>
      <c r="C5053" s="37" t="s">
        <v>24</v>
      </c>
      <c r="D5053" s="20" t="s">
        <v>17646</v>
      </c>
      <c r="E5053" s="20" t="s">
        <v>17647</v>
      </c>
      <c r="F5053" s="19" t="s">
        <v>27</v>
      </c>
      <c r="G5053" s="19" t="s">
        <v>28</v>
      </c>
      <c r="H5053" s="19" t="s">
        <v>36</v>
      </c>
      <c r="I5053" s="37" t="s">
        <v>29</v>
      </c>
      <c r="J5053" s="155" t="str">
        <f t="shared" si="11"/>
        <v>TT</v>
      </c>
      <c r="K5053" s="22" t="s">
        <v>17648</v>
      </c>
      <c r="L5053" s="56">
        <v>45134</v>
      </c>
      <c r="P5053" s="40"/>
      <c r="Q5053" s="61"/>
      <c r="R5053" s="61"/>
      <c r="S5053" s="40"/>
      <c r="T5053" s="38"/>
      <c r="U5053" s="38"/>
      <c r="V5053" s="38"/>
      <c r="W5053" s="60"/>
      <c r="AB5053" s="42"/>
      <c r="AC5053" s="35"/>
      <c r="AD5053" s="38"/>
      <c r="AE5053" s="38"/>
      <c r="AF5053" s="38"/>
      <c r="AG5053" s="38"/>
      <c r="AH5053" s="60"/>
    </row>
    <row r="5054" spans="1:34" ht="15.75" customHeight="1">
      <c r="A5054" s="38" t="s">
        <v>16979</v>
      </c>
      <c r="B5054" s="78" t="s">
        <v>17649</v>
      </c>
      <c r="C5054" s="37" t="s">
        <v>1470</v>
      </c>
      <c r="D5054" s="20" t="s">
        <v>17650</v>
      </c>
      <c r="E5054" s="20"/>
      <c r="F5054" s="19" t="s">
        <v>3286</v>
      </c>
      <c r="G5054" s="19" t="s">
        <v>1461</v>
      </c>
      <c r="H5054" s="37"/>
      <c r="I5054" s="37" t="s">
        <v>233</v>
      </c>
      <c r="J5054" s="155" t="str">
        <f t="shared" si="11"/>
        <v>NTT</v>
      </c>
      <c r="K5054" s="22"/>
      <c r="L5054" s="56">
        <v>45134</v>
      </c>
      <c r="P5054" s="40"/>
      <c r="Q5054" s="61"/>
      <c r="R5054" s="61"/>
      <c r="S5054" s="40"/>
      <c r="T5054" s="38"/>
      <c r="U5054" s="38"/>
      <c r="V5054" s="38"/>
      <c r="W5054" s="60"/>
      <c r="AB5054" s="42"/>
      <c r="AC5054" s="35"/>
      <c r="AD5054" s="38"/>
      <c r="AE5054" s="38"/>
      <c r="AF5054" s="38"/>
      <c r="AG5054" s="38"/>
      <c r="AH5054" s="60"/>
    </row>
    <row r="5055" spans="1:34" ht="15.75" customHeight="1">
      <c r="A5055" s="75" t="s">
        <v>14231</v>
      </c>
      <c r="B5055" s="78" t="s">
        <v>17651</v>
      </c>
      <c r="C5055" s="37" t="s">
        <v>24</v>
      </c>
      <c r="D5055" s="20" t="s">
        <v>17652</v>
      </c>
      <c r="E5055" s="20"/>
      <c r="F5055" s="19" t="s">
        <v>27</v>
      </c>
      <c r="G5055" s="19" t="s">
        <v>28</v>
      </c>
      <c r="H5055" s="37"/>
      <c r="I5055" s="37" t="s">
        <v>29</v>
      </c>
      <c r="J5055" s="155" t="str">
        <f t="shared" si="11"/>
        <v>TT</v>
      </c>
      <c r="K5055" s="22"/>
      <c r="L5055" s="56">
        <v>45134</v>
      </c>
      <c r="P5055" s="40"/>
      <c r="Q5055" s="61"/>
      <c r="R5055" s="61"/>
      <c r="S5055" s="40"/>
      <c r="T5055" s="38"/>
      <c r="U5055" s="38"/>
      <c r="V5055" s="38"/>
      <c r="W5055" s="60"/>
      <c r="AB5055" s="42"/>
      <c r="AC5055" s="35"/>
      <c r="AD5055" s="38"/>
      <c r="AE5055" s="38"/>
      <c r="AF5055" s="38"/>
      <c r="AG5055" s="38"/>
      <c r="AH5055" s="60"/>
    </row>
    <row r="5056" spans="1:34" ht="15.75" customHeight="1">
      <c r="A5056" s="50" t="s">
        <v>56</v>
      </c>
      <c r="B5056" s="78" t="s">
        <v>17653</v>
      </c>
      <c r="C5056" s="37" t="s">
        <v>46</v>
      </c>
      <c r="D5056" s="20" t="s">
        <v>17654</v>
      </c>
      <c r="E5056" s="20" t="s">
        <v>17655</v>
      </c>
      <c r="F5056" s="37" t="s">
        <v>49</v>
      </c>
      <c r="G5056" s="19" t="s">
        <v>50</v>
      </c>
      <c r="H5056" s="37"/>
      <c r="I5056" s="37" t="s">
        <v>29</v>
      </c>
      <c r="J5056" s="155" t="str">
        <f t="shared" si="11"/>
        <v>TT</v>
      </c>
      <c r="K5056" s="22" t="s">
        <v>17656</v>
      </c>
      <c r="L5056" s="56">
        <v>45134</v>
      </c>
      <c r="P5056" s="40"/>
      <c r="Q5056" s="61"/>
      <c r="R5056" s="61"/>
      <c r="S5056" s="40"/>
      <c r="T5056" s="38"/>
      <c r="U5056" s="38"/>
      <c r="V5056" s="38"/>
      <c r="W5056" s="60"/>
      <c r="AB5056" s="42"/>
      <c r="AC5056" s="35"/>
      <c r="AD5056" s="38"/>
      <c r="AE5056" s="38"/>
      <c r="AF5056" s="38"/>
      <c r="AG5056" s="38"/>
      <c r="AH5056" s="60"/>
    </row>
    <row r="5057" spans="1:34" ht="15.75" customHeight="1">
      <c r="A5057" s="17">
        <v>38</v>
      </c>
      <c r="B5057" s="78" t="s">
        <v>17657</v>
      </c>
      <c r="C5057" s="37" t="s">
        <v>24</v>
      </c>
      <c r="D5057" s="20" t="s">
        <v>17658</v>
      </c>
      <c r="E5057" s="20" t="s">
        <v>17659</v>
      </c>
      <c r="F5057" s="19" t="s">
        <v>27</v>
      </c>
      <c r="G5057" s="19" t="s">
        <v>28</v>
      </c>
      <c r="H5057" s="19" t="s">
        <v>36</v>
      </c>
      <c r="I5057" s="37" t="s">
        <v>29</v>
      </c>
      <c r="J5057" s="155" t="str">
        <f t="shared" si="11"/>
        <v>TT</v>
      </c>
      <c r="K5057" s="22" t="s">
        <v>17660</v>
      </c>
      <c r="L5057" s="56">
        <v>45134</v>
      </c>
      <c r="P5057" s="40"/>
      <c r="Q5057" s="61"/>
      <c r="R5057" s="61"/>
      <c r="S5057" s="40"/>
      <c r="T5057" s="38"/>
      <c r="U5057" s="38"/>
      <c r="V5057" s="38"/>
      <c r="W5057" s="60"/>
      <c r="AB5057" s="42"/>
      <c r="AC5057" s="35"/>
      <c r="AD5057" s="38"/>
      <c r="AE5057" s="38"/>
      <c r="AF5057" s="38"/>
      <c r="AG5057" s="38"/>
      <c r="AH5057" s="60"/>
    </row>
    <row r="5058" spans="1:34" ht="15.75" customHeight="1">
      <c r="A5058" s="111" t="s">
        <v>64</v>
      </c>
      <c r="B5058" s="78" t="s">
        <v>17661</v>
      </c>
      <c r="C5058" s="37" t="s">
        <v>24</v>
      </c>
      <c r="D5058" s="20" t="s">
        <v>17662</v>
      </c>
      <c r="E5058" s="20" t="s">
        <v>17663</v>
      </c>
      <c r="F5058" s="19" t="s">
        <v>27</v>
      </c>
      <c r="G5058" s="19" t="s">
        <v>28</v>
      </c>
      <c r="H5058" s="37"/>
      <c r="I5058" s="37" t="s">
        <v>29</v>
      </c>
      <c r="J5058" s="155" t="str">
        <f t="shared" si="11"/>
        <v>TT</v>
      </c>
      <c r="K5058" s="22" t="s">
        <v>17664</v>
      </c>
      <c r="L5058" s="56">
        <v>45134</v>
      </c>
      <c r="P5058" s="40"/>
      <c r="Q5058" s="61"/>
      <c r="R5058" s="61"/>
      <c r="S5058" s="40"/>
      <c r="T5058" s="38"/>
      <c r="U5058" s="38"/>
      <c r="V5058" s="38"/>
      <c r="W5058" s="60"/>
      <c r="AB5058" s="42"/>
      <c r="AC5058" s="35"/>
      <c r="AD5058" s="38"/>
      <c r="AE5058" s="38"/>
      <c r="AF5058" s="38"/>
      <c r="AG5058" s="38"/>
      <c r="AH5058" s="60"/>
    </row>
    <row r="5059" spans="1:34" ht="15.75" customHeight="1">
      <c r="A5059" s="75">
        <v>2.2999999999999998</v>
      </c>
      <c r="B5059" s="78" t="s">
        <v>17665</v>
      </c>
      <c r="C5059" s="37" t="s">
        <v>46</v>
      </c>
      <c r="D5059" s="20" t="s">
        <v>17666</v>
      </c>
      <c r="E5059" s="20" t="s">
        <v>17667</v>
      </c>
      <c r="F5059" s="37" t="s">
        <v>49</v>
      </c>
      <c r="G5059" s="19" t="s">
        <v>50</v>
      </c>
      <c r="H5059" s="37"/>
      <c r="I5059" s="37" t="s">
        <v>29</v>
      </c>
      <c r="J5059" s="155" t="str">
        <f t="shared" si="11"/>
        <v>TT</v>
      </c>
      <c r="K5059" s="22" t="s">
        <v>17667</v>
      </c>
      <c r="L5059" s="56">
        <v>45134</v>
      </c>
      <c r="P5059" s="40"/>
      <c r="Q5059" s="61"/>
      <c r="R5059" s="61"/>
      <c r="S5059" s="40"/>
      <c r="T5059" s="38"/>
      <c r="U5059" s="38"/>
      <c r="V5059" s="38"/>
      <c r="W5059" s="60"/>
      <c r="AB5059" s="42"/>
      <c r="AC5059" s="35"/>
      <c r="AD5059" s="38"/>
      <c r="AE5059" s="38"/>
      <c r="AF5059" s="38"/>
      <c r="AG5059" s="38"/>
      <c r="AH5059" s="60"/>
    </row>
    <row r="5060" spans="1:34" ht="15.75" customHeight="1">
      <c r="A5060" s="111" t="s">
        <v>73</v>
      </c>
      <c r="B5060" s="78" t="s">
        <v>17668</v>
      </c>
      <c r="C5060" s="37" t="s">
        <v>412</v>
      </c>
      <c r="D5060" s="20" t="s">
        <v>17669</v>
      </c>
      <c r="E5060" s="20"/>
      <c r="F5060" s="19" t="s">
        <v>414</v>
      </c>
      <c r="G5060" s="19" t="s">
        <v>415</v>
      </c>
      <c r="H5060" s="37"/>
      <c r="I5060" s="37" t="s">
        <v>233</v>
      </c>
      <c r="J5060" s="155" t="str">
        <f t="shared" si="11"/>
        <v>NTT</v>
      </c>
      <c r="K5060" s="22"/>
      <c r="L5060" s="56">
        <v>45134</v>
      </c>
      <c r="P5060" s="40"/>
      <c r="Q5060" s="61"/>
      <c r="R5060" s="61"/>
      <c r="S5060" s="40"/>
      <c r="T5060" s="38"/>
      <c r="U5060" s="38"/>
      <c r="V5060" s="38"/>
      <c r="W5060" s="60"/>
      <c r="AB5060" s="42"/>
      <c r="AC5060" s="35"/>
      <c r="AD5060" s="38"/>
      <c r="AE5060" s="38"/>
      <c r="AF5060" s="38"/>
      <c r="AG5060" s="38"/>
      <c r="AH5060" s="60"/>
    </row>
    <row r="5061" spans="1:34" ht="15.75" customHeight="1">
      <c r="A5061" s="75">
        <v>2.6</v>
      </c>
      <c r="B5061" s="78" t="s">
        <v>17670</v>
      </c>
      <c r="C5061" s="37" t="s">
        <v>87</v>
      </c>
      <c r="D5061" s="20" t="s">
        <v>17671</v>
      </c>
      <c r="E5061" s="20" t="s">
        <v>17672</v>
      </c>
      <c r="F5061" s="19" t="s">
        <v>90</v>
      </c>
      <c r="G5061" s="19" t="s">
        <v>91</v>
      </c>
      <c r="H5061" s="37"/>
      <c r="I5061" s="37" t="s">
        <v>29</v>
      </c>
      <c r="J5061" s="155" t="str">
        <f t="shared" si="11"/>
        <v>TT</v>
      </c>
      <c r="K5061" s="22" t="s">
        <v>17672</v>
      </c>
      <c r="L5061" s="56">
        <v>45134</v>
      </c>
      <c r="P5061" s="40"/>
      <c r="Q5061" s="61"/>
      <c r="R5061" s="61"/>
      <c r="S5061" s="40"/>
      <c r="T5061" s="38"/>
      <c r="U5061" s="38"/>
      <c r="V5061" s="38"/>
      <c r="W5061" s="60"/>
      <c r="AB5061" s="42"/>
      <c r="AC5061" s="35"/>
      <c r="AD5061" s="38"/>
      <c r="AE5061" s="38"/>
      <c r="AF5061" s="38"/>
      <c r="AG5061" s="38"/>
      <c r="AH5061" s="60"/>
    </row>
    <row r="5062" spans="1:34" ht="15.75" customHeight="1">
      <c r="A5062" s="111" t="s">
        <v>82</v>
      </c>
      <c r="B5062" s="78" t="s">
        <v>17673</v>
      </c>
      <c r="C5062" s="37" t="s">
        <v>24</v>
      </c>
      <c r="D5062" s="20" t="s">
        <v>17674</v>
      </c>
      <c r="E5062" s="20" t="s">
        <v>17675</v>
      </c>
      <c r="F5062" s="19" t="s">
        <v>27</v>
      </c>
      <c r="G5062" s="19" t="s">
        <v>28</v>
      </c>
      <c r="H5062" s="37"/>
      <c r="I5062" s="37" t="s">
        <v>29</v>
      </c>
      <c r="J5062" s="155" t="str">
        <f t="shared" si="11"/>
        <v>TT</v>
      </c>
      <c r="K5062" s="22" t="s">
        <v>17676</v>
      </c>
      <c r="L5062" s="56">
        <v>45134</v>
      </c>
      <c r="P5062" s="40"/>
      <c r="Q5062" s="61"/>
      <c r="R5062" s="61"/>
      <c r="S5062" s="40"/>
      <c r="T5062" s="38"/>
      <c r="U5062" s="38"/>
      <c r="V5062" s="38"/>
      <c r="W5062" s="60"/>
      <c r="AB5062" s="42"/>
      <c r="AC5062" s="35"/>
      <c r="AD5062" s="38"/>
      <c r="AE5062" s="38"/>
      <c r="AF5062" s="38"/>
      <c r="AG5062" s="38"/>
      <c r="AH5062" s="60"/>
    </row>
    <row r="5063" spans="1:34" ht="15.75" customHeight="1">
      <c r="A5063" s="112" t="s">
        <v>17677</v>
      </c>
      <c r="B5063" s="78" t="s">
        <v>17678</v>
      </c>
      <c r="C5063" s="37" t="s">
        <v>46</v>
      </c>
      <c r="D5063" s="20" t="s">
        <v>17679</v>
      </c>
      <c r="E5063" s="20" t="s">
        <v>17680</v>
      </c>
      <c r="F5063" s="37" t="s">
        <v>49</v>
      </c>
      <c r="G5063" s="19" t="s">
        <v>50</v>
      </c>
      <c r="H5063" s="37"/>
      <c r="I5063" s="37" t="s">
        <v>29</v>
      </c>
      <c r="J5063" s="155" t="str">
        <f t="shared" si="11"/>
        <v>TT</v>
      </c>
      <c r="K5063" s="22" t="s">
        <v>17681</v>
      </c>
      <c r="L5063" s="56">
        <v>45134</v>
      </c>
      <c r="P5063" s="40"/>
      <c r="Q5063" s="61"/>
      <c r="R5063" s="61"/>
      <c r="S5063" s="40"/>
      <c r="T5063" s="38"/>
      <c r="U5063" s="38"/>
      <c r="V5063" s="38"/>
      <c r="W5063" s="60"/>
      <c r="AB5063" s="42"/>
      <c r="AC5063" s="35"/>
      <c r="AD5063" s="38"/>
      <c r="AE5063" s="38"/>
      <c r="AF5063" s="38"/>
      <c r="AG5063" s="38"/>
      <c r="AH5063" s="60"/>
    </row>
    <row r="5064" spans="1:34" ht="15.75" customHeight="1">
      <c r="A5064" s="111" t="s">
        <v>92</v>
      </c>
      <c r="B5064" s="78" t="s">
        <v>17682</v>
      </c>
      <c r="C5064" s="37" t="s">
        <v>1470</v>
      </c>
      <c r="D5064" s="20" t="s">
        <v>17683</v>
      </c>
      <c r="E5064" s="20"/>
      <c r="F5064" s="19" t="s">
        <v>3286</v>
      </c>
      <c r="G5064" s="37" t="s">
        <v>1461</v>
      </c>
      <c r="H5064" s="37"/>
      <c r="I5064" s="37" t="s">
        <v>233</v>
      </c>
      <c r="J5064" s="155" t="str">
        <f t="shared" si="11"/>
        <v>NTT</v>
      </c>
      <c r="K5064" s="22"/>
      <c r="L5064" s="56">
        <v>45134</v>
      </c>
      <c r="P5064" s="40"/>
      <c r="Q5064" s="61"/>
      <c r="R5064" s="61"/>
      <c r="S5064" s="40"/>
      <c r="T5064" s="38"/>
      <c r="U5064" s="38"/>
      <c r="V5064" s="38"/>
      <c r="W5064" s="60"/>
      <c r="AB5064" s="42"/>
      <c r="AC5064" s="35"/>
      <c r="AD5064" s="38"/>
      <c r="AE5064" s="38"/>
      <c r="AF5064" s="38"/>
      <c r="AG5064" s="38"/>
      <c r="AH5064" s="60"/>
    </row>
    <row r="5065" spans="1:34" ht="15.75" customHeight="1">
      <c r="A5065" s="17">
        <v>479</v>
      </c>
      <c r="B5065" s="78" t="s">
        <v>17684</v>
      </c>
      <c r="C5065" s="37" t="s">
        <v>24</v>
      </c>
      <c r="D5065" s="20" t="s">
        <v>17685</v>
      </c>
      <c r="E5065" s="20" t="s">
        <v>17686</v>
      </c>
      <c r="F5065" s="19" t="s">
        <v>27</v>
      </c>
      <c r="G5065" s="19" t="s">
        <v>28</v>
      </c>
      <c r="H5065" s="37"/>
      <c r="I5065" s="37" t="s">
        <v>29</v>
      </c>
      <c r="J5065" s="155" t="str">
        <f t="shared" si="11"/>
        <v>TT</v>
      </c>
      <c r="K5065" s="22" t="s">
        <v>17686</v>
      </c>
      <c r="L5065" s="56">
        <v>45134</v>
      </c>
      <c r="P5065" s="40"/>
      <c r="Q5065" s="61"/>
      <c r="R5065" s="61"/>
      <c r="S5065" s="40"/>
      <c r="T5065" s="38"/>
      <c r="U5065" s="38"/>
      <c r="V5065" s="38"/>
      <c r="W5065" s="60"/>
      <c r="AB5065" s="42"/>
      <c r="AC5065" s="35"/>
      <c r="AD5065" s="38"/>
      <c r="AE5065" s="38"/>
      <c r="AF5065" s="38"/>
      <c r="AG5065" s="38"/>
      <c r="AH5065" s="60"/>
    </row>
    <row r="5066" spans="1:34" ht="15.75" customHeight="1">
      <c r="A5066" s="111" t="s">
        <v>100</v>
      </c>
      <c r="B5066" s="78" t="s">
        <v>17687</v>
      </c>
      <c r="C5066" s="37" t="s">
        <v>1470</v>
      </c>
      <c r="D5066" s="20" t="s">
        <v>17688</v>
      </c>
      <c r="E5066" s="180" t="s">
        <v>17689</v>
      </c>
      <c r="F5066" s="19" t="s">
        <v>3286</v>
      </c>
      <c r="G5066" s="19" t="s">
        <v>1461</v>
      </c>
      <c r="H5066" s="37"/>
      <c r="I5066" s="37" t="s">
        <v>233</v>
      </c>
      <c r="J5066" s="155" t="str">
        <f t="shared" si="11"/>
        <v>NTT</v>
      </c>
      <c r="K5066" s="61" t="s">
        <v>17690</v>
      </c>
      <c r="L5066" s="56">
        <v>45134</v>
      </c>
      <c r="P5066" s="40"/>
      <c r="Q5066" s="61"/>
      <c r="R5066" s="61"/>
      <c r="S5066" s="40"/>
      <c r="T5066" s="38"/>
      <c r="U5066" s="38"/>
      <c r="V5066" s="38"/>
      <c r="W5066" s="60"/>
      <c r="AB5066" s="42"/>
      <c r="AC5066" s="35"/>
      <c r="AD5066" s="38"/>
      <c r="AE5066" s="38"/>
      <c r="AF5066" s="38"/>
      <c r="AG5066" s="38"/>
      <c r="AH5066" s="60"/>
    </row>
    <row r="5067" spans="1:34" ht="15.75" customHeight="1">
      <c r="A5067" s="17">
        <v>157</v>
      </c>
      <c r="B5067" s="78" t="s">
        <v>17691</v>
      </c>
      <c r="C5067" s="37" t="s">
        <v>46</v>
      </c>
      <c r="D5067" s="20" t="s">
        <v>17692</v>
      </c>
      <c r="E5067" s="180" t="s">
        <v>17693</v>
      </c>
      <c r="F5067" s="37" t="s">
        <v>49</v>
      </c>
      <c r="G5067" s="19" t="s">
        <v>50</v>
      </c>
      <c r="H5067" s="37"/>
      <c r="I5067" s="37" t="s">
        <v>29</v>
      </c>
      <c r="J5067" s="155" t="str">
        <f t="shared" si="11"/>
        <v>TT</v>
      </c>
      <c r="K5067" s="61" t="s">
        <v>17693</v>
      </c>
      <c r="L5067" s="56">
        <v>45134</v>
      </c>
      <c r="P5067" s="40"/>
      <c r="Q5067" s="61"/>
      <c r="R5067" s="61"/>
      <c r="S5067" s="40"/>
      <c r="T5067" s="38"/>
      <c r="U5067" s="38"/>
      <c r="V5067" s="38"/>
      <c r="W5067" s="60"/>
      <c r="AB5067" s="42"/>
      <c r="AC5067" s="35"/>
      <c r="AD5067" s="38"/>
      <c r="AE5067" s="38"/>
      <c r="AF5067" s="38"/>
      <c r="AG5067" s="38"/>
      <c r="AH5067" s="60"/>
    </row>
    <row r="5068" spans="1:34" ht="15.75" customHeight="1">
      <c r="A5068" s="262"/>
      <c r="B5068" s="78" t="s">
        <v>17694</v>
      </c>
      <c r="C5068" s="37" t="s">
        <v>24</v>
      </c>
      <c r="D5068" s="20" t="s">
        <v>17695</v>
      </c>
      <c r="E5068" s="20"/>
      <c r="F5068" s="19" t="s">
        <v>27</v>
      </c>
      <c r="G5068" s="19" t="s">
        <v>28</v>
      </c>
      <c r="H5068" s="37"/>
      <c r="I5068" s="37" t="s">
        <v>29</v>
      </c>
      <c r="J5068" s="155" t="str">
        <f t="shared" si="11"/>
        <v>TT</v>
      </c>
      <c r="K5068" s="22"/>
      <c r="L5068" s="56">
        <v>45134</v>
      </c>
      <c r="P5068" s="40"/>
      <c r="Q5068" s="61"/>
      <c r="R5068" s="61"/>
      <c r="S5068" s="40"/>
      <c r="T5068" s="38"/>
      <c r="U5068" s="38"/>
      <c r="V5068" s="38"/>
      <c r="W5068" s="60"/>
      <c r="AB5068" s="42"/>
      <c r="AC5068" s="35"/>
      <c r="AD5068" s="38"/>
      <c r="AE5068" s="38"/>
      <c r="AF5068" s="38"/>
      <c r="AG5068" s="38"/>
      <c r="AH5068" s="60"/>
    </row>
    <row r="5069" spans="1:34" ht="15.75" customHeight="1">
      <c r="A5069" s="263"/>
      <c r="B5069" s="78" t="s">
        <v>17696</v>
      </c>
      <c r="C5069" s="37" t="s">
        <v>87</v>
      </c>
      <c r="D5069" s="20" t="s">
        <v>17697</v>
      </c>
      <c r="E5069" s="20"/>
      <c r="F5069" s="19" t="s">
        <v>90</v>
      </c>
      <c r="G5069" s="19" t="s">
        <v>91</v>
      </c>
      <c r="H5069" s="37"/>
      <c r="I5069" s="37" t="s">
        <v>29</v>
      </c>
      <c r="J5069" s="155" t="str">
        <f t="shared" si="11"/>
        <v>TT</v>
      </c>
      <c r="K5069" s="22"/>
      <c r="L5069" s="56">
        <v>45134</v>
      </c>
      <c r="P5069" s="40"/>
      <c r="Q5069" s="61"/>
      <c r="R5069" s="61"/>
      <c r="S5069" s="40"/>
      <c r="T5069" s="38"/>
      <c r="U5069" s="38"/>
      <c r="V5069" s="38"/>
      <c r="W5069" s="60"/>
      <c r="AB5069" s="42"/>
      <c r="AC5069" s="35"/>
      <c r="AD5069" s="38"/>
      <c r="AE5069" s="38"/>
      <c r="AF5069" s="38"/>
      <c r="AG5069" s="38"/>
      <c r="AH5069" s="60"/>
    </row>
    <row r="5070" spans="1:34" ht="15.75" customHeight="1">
      <c r="A5070" s="264"/>
      <c r="B5070" s="78" t="s">
        <v>17698</v>
      </c>
      <c r="C5070" s="37" t="s">
        <v>24</v>
      </c>
      <c r="D5070" s="20" t="s">
        <v>17699</v>
      </c>
      <c r="E5070" s="20" t="s">
        <v>17700</v>
      </c>
      <c r="F5070" s="19" t="s">
        <v>27</v>
      </c>
      <c r="G5070" s="19" t="s">
        <v>28</v>
      </c>
      <c r="H5070" s="19" t="s">
        <v>36</v>
      </c>
      <c r="I5070" s="37" t="s">
        <v>29</v>
      </c>
      <c r="J5070" s="155" t="str">
        <f t="shared" si="11"/>
        <v>TT</v>
      </c>
      <c r="K5070" s="22" t="s">
        <v>17700</v>
      </c>
      <c r="L5070" s="56">
        <v>45134</v>
      </c>
      <c r="P5070" s="40"/>
      <c r="Q5070" s="61"/>
      <c r="R5070" s="61"/>
      <c r="S5070" s="40"/>
      <c r="T5070" s="38"/>
      <c r="U5070" s="38"/>
      <c r="V5070" s="38"/>
      <c r="W5070" s="60"/>
      <c r="AB5070" s="42"/>
      <c r="AC5070" s="35"/>
      <c r="AD5070" s="38"/>
      <c r="AE5070" s="38"/>
      <c r="AF5070" s="38"/>
      <c r="AG5070" s="38"/>
      <c r="AH5070" s="60"/>
    </row>
    <row r="5071" spans="1:34" ht="15.75" customHeight="1">
      <c r="A5071" s="262"/>
      <c r="B5071" s="78" t="s">
        <v>17701</v>
      </c>
      <c r="C5071" s="37" t="s">
        <v>87</v>
      </c>
      <c r="D5071" s="20" t="s">
        <v>17702</v>
      </c>
      <c r="E5071" s="20" t="s">
        <v>17703</v>
      </c>
      <c r="F5071" s="19" t="s">
        <v>90</v>
      </c>
      <c r="G5071" s="19" t="s">
        <v>91</v>
      </c>
      <c r="H5071" s="37"/>
      <c r="I5071" s="37" t="s">
        <v>29</v>
      </c>
      <c r="J5071" s="155" t="str">
        <f t="shared" si="11"/>
        <v>TT</v>
      </c>
      <c r="K5071" s="22" t="s">
        <v>17704</v>
      </c>
      <c r="L5071" s="56">
        <v>45134</v>
      </c>
      <c r="P5071" s="40"/>
      <c r="Q5071" s="61"/>
      <c r="R5071" s="61"/>
      <c r="S5071" s="40"/>
      <c r="T5071" s="38"/>
      <c r="U5071" s="38"/>
      <c r="V5071" s="38"/>
      <c r="W5071" s="60"/>
      <c r="AB5071" s="42"/>
      <c r="AC5071" s="35"/>
      <c r="AD5071" s="38"/>
      <c r="AE5071" s="38"/>
      <c r="AF5071" s="38"/>
      <c r="AG5071" s="38"/>
      <c r="AH5071" s="60"/>
    </row>
    <row r="5072" spans="1:34" ht="15.75" customHeight="1">
      <c r="A5072" s="263"/>
      <c r="B5072" s="78" t="s">
        <v>17705</v>
      </c>
      <c r="C5072" s="37" t="s">
        <v>1638</v>
      </c>
      <c r="D5072" s="20" t="s">
        <v>17706</v>
      </c>
      <c r="E5072" s="20"/>
      <c r="F5072" s="37" t="s">
        <v>1399</v>
      </c>
      <c r="G5072" s="19" t="s">
        <v>1641</v>
      </c>
      <c r="H5072" s="37"/>
      <c r="I5072" s="21" t="s">
        <v>1371</v>
      </c>
      <c r="J5072" s="155" t="str">
        <f t="shared" si="11"/>
        <v>Other</v>
      </c>
      <c r="K5072" s="22"/>
      <c r="L5072" s="56">
        <v>45134</v>
      </c>
      <c r="P5072" s="40"/>
      <c r="Q5072" s="61"/>
      <c r="R5072" s="61"/>
      <c r="S5072" s="40"/>
      <c r="T5072" s="38"/>
      <c r="U5072" s="38"/>
      <c r="V5072" s="38"/>
      <c r="W5072" s="60"/>
      <c r="AB5072" s="42"/>
      <c r="AC5072" s="35"/>
      <c r="AD5072" s="38"/>
      <c r="AE5072" s="38"/>
      <c r="AF5072" s="38"/>
      <c r="AG5072" s="38"/>
      <c r="AH5072" s="60"/>
    </row>
    <row r="5073" spans="1:34" ht="15.75" customHeight="1">
      <c r="A5073" s="264"/>
      <c r="B5073" s="78" t="s">
        <v>17707</v>
      </c>
      <c r="C5073" s="37" t="s">
        <v>228</v>
      </c>
      <c r="D5073" s="20" t="s">
        <v>17708</v>
      </c>
      <c r="E5073" s="20"/>
      <c r="F5073" s="19" t="s">
        <v>231</v>
      </c>
      <c r="G5073" s="19" t="s">
        <v>232</v>
      </c>
      <c r="H5073" s="37"/>
      <c r="I5073" s="37" t="s">
        <v>233</v>
      </c>
      <c r="J5073" s="155" t="str">
        <f t="shared" si="11"/>
        <v>NTT</v>
      </c>
      <c r="K5073" s="22"/>
      <c r="L5073" s="56">
        <v>45134</v>
      </c>
      <c r="P5073" s="40"/>
      <c r="Q5073" s="61"/>
      <c r="R5073" s="61"/>
      <c r="S5073" s="40"/>
      <c r="T5073" s="38"/>
      <c r="U5073" s="38"/>
      <c r="V5073" s="38"/>
      <c r="W5073" s="60"/>
      <c r="AB5073" s="42"/>
      <c r="AC5073" s="35"/>
      <c r="AD5073" s="38"/>
      <c r="AE5073" s="38"/>
      <c r="AF5073" s="38"/>
      <c r="AG5073" s="38"/>
      <c r="AH5073" s="60"/>
    </row>
    <row r="5074" spans="1:34" ht="15.75" customHeight="1">
      <c r="A5074" s="262"/>
      <c r="B5074" s="78" t="s">
        <v>17709</v>
      </c>
      <c r="C5074" s="37" t="s">
        <v>46</v>
      </c>
      <c r="D5074" s="20" t="s">
        <v>17710</v>
      </c>
      <c r="E5074" s="20" t="s">
        <v>17711</v>
      </c>
      <c r="F5074" s="37" t="s">
        <v>49</v>
      </c>
      <c r="G5074" s="19" t="s">
        <v>50</v>
      </c>
      <c r="H5074" s="37"/>
      <c r="I5074" s="37" t="s">
        <v>29</v>
      </c>
      <c r="J5074" s="155" t="str">
        <f t="shared" si="11"/>
        <v>TT</v>
      </c>
      <c r="K5074" s="22" t="s">
        <v>17712</v>
      </c>
      <c r="L5074" s="56">
        <v>45134</v>
      </c>
      <c r="P5074" s="40"/>
      <c r="Q5074" s="61"/>
      <c r="R5074" s="61"/>
      <c r="S5074" s="40"/>
      <c r="T5074" s="38"/>
      <c r="U5074" s="38"/>
      <c r="V5074" s="38"/>
      <c r="W5074" s="60"/>
      <c r="AB5074" s="42"/>
      <c r="AC5074" s="35"/>
      <c r="AD5074" s="38"/>
      <c r="AE5074" s="38"/>
      <c r="AF5074" s="38"/>
      <c r="AG5074" s="38"/>
      <c r="AH5074" s="60"/>
    </row>
    <row r="5075" spans="1:34" ht="15.75" customHeight="1">
      <c r="A5075" s="263"/>
      <c r="B5075" s="78" t="s">
        <v>17713</v>
      </c>
      <c r="C5075" s="37" t="s">
        <v>46</v>
      </c>
      <c r="D5075" s="20" t="s">
        <v>17714</v>
      </c>
      <c r="E5075" s="20" t="s">
        <v>17715</v>
      </c>
      <c r="F5075" s="37" t="s">
        <v>49</v>
      </c>
      <c r="G5075" s="19" t="s">
        <v>50</v>
      </c>
      <c r="H5075" s="37"/>
      <c r="I5075" s="37" t="s">
        <v>29</v>
      </c>
      <c r="J5075" s="155" t="str">
        <f t="shared" si="11"/>
        <v>TT</v>
      </c>
      <c r="K5075" s="22" t="s">
        <v>17716</v>
      </c>
      <c r="L5075" s="56">
        <v>45134</v>
      </c>
      <c r="P5075" s="40"/>
      <c r="Q5075" s="61"/>
      <c r="R5075" s="61"/>
      <c r="S5075" s="40"/>
      <c r="T5075" s="38"/>
      <c r="U5075" s="38"/>
      <c r="V5075" s="38"/>
      <c r="W5075" s="60"/>
      <c r="AB5075" s="42"/>
      <c r="AC5075" s="35"/>
      <c r="AD5075" s="38"/>
      <c r="AE5075" s="38"/>
      <c r="AF5075" s="38"/>
      <c r="AG5075" s="38"/>
      <c r="AH5075" s="60"/>
    </row>
    <row r="5076" spans="1:34" ht="15.75" customHeight="1">
      <c r="A5076" s="264"/>
      <c r="B5076" s="78" t="s">
        <v>17717</v>
      </c>
      <c r="C5076" s="37" t="s">
        <v>46</v>
      </c>
      <c r="D5076" s="20" t="s">
        <v>17718</v>
      </c>
      <c r="E5076" s="20" t="s">
        <v>17719</v>
      </c>
      <c r="F5076" s="37" t="s">
        <v>49</v>
      </c>
      <c r="G5076" s="19" t="s">
        <v>50</v>
      </c>
      <c r="H5076" s="37"/>
      <c r="I5076" s="37" t="s">
        <v>29</v>
      </c>
      <c r="J5076" s="155" t="str">
        <f t="shared" si="11"/>
        <v>TT</v>
      </c>
      <c r="K5076" s="22" t="s">
        <v>17719</v>
      </c>
      <c r="L5076" s="56">
        <v>45134</v>
      </c>
      <c r="P5076" s="40"/>
      <c r="Q5076" s="61"/>
      <c r="R5076" s="61"/>
      <c r="S5076" s="40"/>
      <c r="T5076" s="38"/>
      <c r="U5076" s="38"/>
      <c r="V5076" s="38"/>
      <c r="W5076" s="60"/>
      <c r="AB5076" s="42"/>
      <c r="AC5076" s="35"/>
      <c r="AD5076" s="38"/>
      <c r="AE5076" s="38"/>
      <c r="AF5076" s="38"/>
      <c r="AG5076" s="38"/>
      <c r="AH5076" s="60"/>
    </row>
    <row r="5077" spans="1:34" ht="15.75" customHeight="1">
      <c r="A5077" s="262"/>
      <c r="B5077" s="78" t="s">
        <v>17720</v>
      </c>
      <c r="C5077" s="37" t="s">
        <v>24</v>
      </c>
      <c r="D5077" s="20" t="s">
        <v>17721</v>
      </c>
      <c r="E5077" s="20" t="s">
        <v>17722</v>
      </c>
      <c r="F5077" s="19" t="s">
        <v>27</v>
      </c>
      <c r="G5077" s="19" t="s">
        <v>28</v>
      </c>
      <c r="H5077" s="37"/>
      <c r="I5077" s="37" t="s">
        <v>29</v>
      </c>
      <c r="J5077" s="155" t="str">
        <f t="shared" si="11"/>
        <v>TT</v>
      </c>
      <c r="K5077" s="22" t="s">
        <v>17723</v>
      </c>
      <c r="L5077" s="56">
        <v>45134</v>
      </c>
      <c r="P5077" s="40"/>
      <c r="Q5077" s="61"/>
      <c r="R5077" s="61"/>
      <c r="S5077" s="40"/>
      <c r="T5077" s="38"/>
      <c r="U5077" s="38"/>
      <c r="V5077" s="38"/>
      <c r="W5077" s="60"/>
      <c r="AB5077" s="42"/>
      <c r="AC5077" s="35"/>
      <c r="AD5077" s="38"/>
      <c r="AE5077" s="38"/>
      <c r="AF5077" s="38"/>
      <c r="AG5077" s="38"/>
      <c r="AH5077" s="60"/>
    </row>
    <row r="5078" spans="1:34" ht="15.75" customHeight="1">
      <c r="A5078" s="263"/>
      <c r="B5078" s="78" t="s">
        <v>17724</v>
      </c>
      <c r="C5078" s="37" t="s">
        <v>46</v>
      </c>
      <c r="D5078" s="20" t="s">
        <v>17725</v>
      </c>
      <c r="E5078" s="20"/>
      <c r="F5078" s="37" t="s">
        <v>49</v>
      </c>
      <c r="G5078" s="19" t="s">
        <v>50</v>
      </c>
      <c r="H5078" s="37"/>
      <c r="I5078" s="37" t="s">
        <v>29</v>
      </c>
      <c r="J5078" s="155" t="str">
        <f t="shared" si="11"/>
        <v>TT</v>
      </c>
      <c r="K5078" s="22"/>
      <c r="L5078" s="56">
        <v>45134</v>
      </c>
      <c r="P5078" s="40"/>
      <c r="Q5078" s="61"/>
      <c r="R5078" s="61"/>
      <c r="S5078" s="40"/>
      <c r="T5078" s="38"/>
      <c r="U5078" s="38"/>
      <c r="V5078" s="38"/>
      <c r="W5078" s="60"/>
      <c r="AB5078" s="42"/>
      <c r="AC5078" s="35"/>
      <c r="AD5078" s="38"/>
      <c r="AE5078" s="38"/>
      <c r="AF5078" s="38"/>
      <c r="AG5078" s="38"/>
      <c r="AH5078" s="60"/>
    </row>
    <row r="5079" spans="1:34" ht="15.75" customHeight="1">
      <c r="A5079" s="264"/>
      <c r="B5079" s="78" t="s">
        <v>17726</v>
      </c>
      <c r="C5079" s="37" t="s">
        <v>24</v>
      </c>
      <c r="D5079" s="20" t="s">
        <v>17727</v>
      </c>
      <c r="E5079" s="20" t="s">
        <v>17728</v>
      </c>
      <c r="F5079" s="19" t="s">
        <v>27</v>
      </c>
      <c r="G5079" s="19" t="s">
        <v>28</v>
      </c>
      <c r="H5079" s="37"/>
      <c r="I5079" s="37" t="s">
        <v>29</v>
      </c>
      <c r="J5079" s="155" t="str">
        <f t="shared" si="11"/>
        <v>TT</v>
      </c>
      <c r="K5079" s="22" t="s">
        <v>17729</v>
      </c>
      <c r="L5079" s="56">
        <v>45134</v>
      </c>
      <c r="P5079" s="40"/>
      <c r="Q5079" s="61"/>
      <c r="R5079" s="61"/>
      <c r="S5079" s="40"/>
      <c r="T5079" s="38"/>
      <c r="U5079" s="38"/>
      <c r="V5079" s="38"/>
      <c r="W5079" s="60"/>
      <c r="AB5079" s="42"/>
      <c r="AC5079" s="35"/>
      <c r="AD5079" s="38"/>
      <c r="AE5079" s="38"/>
      <c r="AF5079" s="38"/>
      <c r="AG5079" s="38"/>
      <c r="AH5079" s="60"/>
    </row>
    <row r="5080" spans="1:34" ht="15.75" customHeight="1">
      <c r="A5080" s="262"/>
      <c r="B5080" s="78" t="s">
        <v>17730</v>
      </c>
      <c r="C5080" s="37" t="s">
        <v>87</v>
      </c>
      <c r="D5080" s="20" t="s">
        <v>17731</v>
      </c>
      <c r="E5080" s="20" t="s">
        <v>17732</v>
      </c>
      <c r="F5080" s="19" t="s">
        <v>90</v>
      </c>
      <c r="G5080" s="19" t="s">
        <v>91</v>
      </c>
      <c r="H5080" s="37"/>
      <c r="I5080" s="37" t="s">
        <v>29</v>
      </c>
      <c r="J5080" s="155" t="str">
        <f t="shared" si="11"/>
        <v>TT</v>
      </c>
      <c r="K5080" s="22" t="s">
        <v>17733</v>
      </c>
      <c r="L5080" s="56">
        <v>45134</v>
      </c>
      <c r="P5080" s="40"/>
      <c r="Q5080" s="61"/>
      <c r="R5080" s="61"/>
      <c r="S5080" s="40"/>
      <c r="T5080" s="38"/>
      <c r="U5080" s="38"/>
      <c r="V5080" s="38"/>
      <c r="W5080" s="60"/>
      <c r="AB5080" s="42"/>
      <c r="AC5080" s="35"/>
      <c r="AD5080" s="38"/>
      <c r="AE5080" s="38"/>
      <c r="AF5080" s="38"/>
      <c r="AG5080" s="38"/>
      <c r="AH5080" s="60"/>
    </row>
    <row r="5081" spans="1:34" ht="15.75" customHeight="1">
      <c r="A5081" s="263"/>
      <c r="B5081" s="78" t="s">
        <v>17734</v>
      </c>
      <c r="C5081" s="37" t="s">
        <v>87</v>
      </c>
      <c r="D5081" s="20" t="s">
        <v>17735</v>
      </c>
      <c r="E5081" s="20" t="s">
        <v>17736</v>
      </c>
      <c r="F5081" s="19" t="s">
        <v>90</v>
      </c>
      <c r="G5081" s="19" t="s">
        <v>91</v>
      </c>
      <c r="H5081" s="37"/>
      <c r="I5081" s="37" t="s">
        <v>29</v>
      </c>
      <c r="J5081" s="155" t="str">
        <f t="shared" si="11"/>
        <v>TT</v>
      </c>
      <c r="K5081" s="22" t="s">
        <v>17737</v>
      </c>
      <c r="L5081" s="56">
        <v>45134</v>
      </c>
      <c r="P5081" s="40"/>
      <c r="Q5081" s="61"/>
      <c r="R5081" s="61"/>
      <c r="S5081" s="40"/>
      <c r="T5081" s="38"/>
      <c r="U5081" s="38"/>
      <c r="V5081" s="38"/>
      <c r="W5081" s="60"/>
      <c r="AB5081" s="42"/>
      <c r="AC5081" s="35"/>
      <c r="AD5081" s="38"/>
      <c r="AE5081" s="38"/>
      <c r="AF5081" s="38"/>
      <c r="AG5081" s="38"/>
      <c r="AH5081" s="60"/>
    </row>
    <row r="5082" spans="1:34" ht="15.75" customHeight="1">
      <c r="A5082" s="264"/>
      <c r="B5082" s="78" t="s">
        <v>17738</v>
      </c>
      <c r="C5082" s="37" t="s">
        <v>46</v>
      </c>
      <c r="D5082" s="20" t="s">
        <v>17739</v>
      </c>
      <c r="E5082" s="20" t="s">
        <v>17740</v>
      </c>
      <c r="F5082" s="37" t="s">
        <v>49</v>
      </c>
      <c r="G5082" s="19" t="s">
        <v>50</v>
      </c>
      <c r="H5082" s="37"/>
      <c r="I5082" s="37" t="s">
        <v>29</v>
      </c>
      <c r="J5082" s="155" t="str">
        <f t="shared" si="11"/>
        <v>TT</v>
      </c>
      <c r="K5082" s="22" t="s">
        <v>17741</v>
      </c>
      <c r="L5082" s="56">
        <v>45134</v>
      </c>
      <c r="P5082" s="40"/>
      <c r="Q5082" s="61"/>
      <c r="R5082" s="61"/>
      <c r="S5082" s="40"/>
      <c r="T5082" s="38"/>
      <c r="U5082" s="38"/>
      <c r="V5082" s="38"/>
      <c r="W5082" s="60"/>
      <c r="AB5082" s="42"/>
      <c r="AC5082" s="35"/>
      <c r="AD5082" s="38"/>
      <c r="AE5082" s="38"/>
      <c r="AF5082" s="38"/>
      <c r="AG5082" s="38"/>
      <c r="AH5082" s="60"/>
    </row>
    <row r="5083" spans="1:34" ht="15.75" customHeight="1">
      <c r="A5083" s="262"/>
      <c r="B5083" s="38"/>
      <c r="C5083" s="37"/>
      <c r="D5083" s="20"/>
      <c r="E5083" s="20"/>
      <c r="F5083" s="37"/>
      <c r="G5083" s="37"/>
      <c r="H5083" s="37"/>
      <c r="I5083" s="37"/>
      <c r="J5083" s="155">
        <f t="shared" si="11"/>
        <v>0</v>
      </c>
      <c r="K5083" s="22"/>
      <c r="L5083" s="39"/>
      <c r="P5083" s="40"/>
      <c r="Q5083" s="61"/>
      <c r="R5083" s="61"/>
      <c r="S5083" s="40"/>
      <c r="T5083" s="38"/>
      <c r="U5083" s="38"/>
      <c r="V5083" s="38"/>
      <c r="W5083" s="60"/>
      <c r="AB5083" s="42"/>
      <c r="AC5083" s="35"/>
      <c r="AD5083" s="38"/>
      <c r="AE5083" s="38"/>
      <c r="AF5083" s="38"/>
      <c r="AG5083" s="38"/>
      <c r="AH5083" s="60"/>
    </row>
    <row r="5084" spans="1:34" ht="15.75" customHeight="1">
      <c r="A5084" s="35" t="s">
        <v>17742</v>
      </c>
      <c r="B5084" s="78" t="s">
        <v>17743</v>
      </c>
      <c r="C5084" s="37" t="s">
        <v>46</v>
      </c>
      <c r="D5084" s="20" t="s">
        <v>17744</v>
      </c>
      <c r="E5084" s="20"/>
      <c r="F5084" s="37" t="s">
        <v>49</v>
      </c>
      <c r="G5084" s="19" t="s">
        <v>50</v>
      </c>
      <c r="H5084" s="37"/>
      <c r="I5084" s="37" t="s">
        <v>29</v>
      </c>
      <c r="J5084" s="155" t="str">
        <f t="shared" si="11"/>
        <v>TT</v>
      </c>
      <c r="K5084" s="22"/>
      <c r="L5084" s="56">
        <v>45134</v>
      </c>
      <c r="M5084" s="40"/>
      <c r="P5084" s="40"/>
      <c r="Q5084" s="61"/>
      <c r="R5084" s="61"/>
      <c r="S5084" s="40"/>
      <c r="T5084" s="38"/>
      <c r="U5084" s="38"/>
      <c r="V5084" s="38"/>
      <c r="W5084" s="60"/>
      <c r="AB5084" s="42"/>
      <c r="AC5084" s="35"/>
      <c r="AD5084" s="38"/>
      <c r="AE5084" s="38"/>
      <c r="AF5084" s="38"/>
      <c r="AG5084" s="38"/>
      <c r="AH5084" s="60"/>
    </row>
    <row r="5085" spans="1:34" ht="15.75" customHeight="1">
      <c r="A5085" s="54" t="s">
        <v>2714</v>
      </c>
      <c r="B5085" s="78" t="s">
        <v>17745</v>
      </c>
      <c r="C5085" s="37" t="s">
        <v>87</v>
      </c>
      <c r="D5085" s="20" t="s">
        <v>17746</v>
      </c>
      <c r="E5085" s="20"/>
      <c r="F5085" s="19" t="s">
        <v>90</v>
      </c>
      <c r="G5085" s="19" t="s">
        <v>91</v>
      </c>
      <c r="H5085" s="37"/>
      <c r="I5085" s="37" t="s">
        <v>29</v>
      </c>
      <c r="J5085" s="155" t="str">
        <f t="shared" si="11"/>
        <v>TT</v>
      </c>
      <c r="K5085" s="22"/>
      <c r="L5085" s="56">
        <v>45134</v>
      </c>
      <c r="P5085" s="40"/>
      <c r="Q5085" s="61"/>
      <c r="R5085" s="61"/>
      <c r="S5085" s="40"/>
      <c r="T5085" s="38"/>
      <c r="U5085" s="38"/>
      <c r="V5085" s="38"/>
      <c r="W5085" s="60"/>
      <c r="AB5085" s="42"/>
      <c r="AC5085" s="35"/>
      <c r="AD5085" s="38"/>
      <c r="AE5085" s="38"/>
      <c r="AF5085" s="38"/>
      <c r="AG5085" s="38"/>
      <c r="AH5085" s="60"/>
    </row>
    <row r="5086" spans="1:34" ht="15.75" customHeight="1">
      <c r="A5086" s="114" t="s">
        <v>39</v>
      </c>
      <c r="B5086" s="78" t="s">
        <v>17747</v>
      </c>
      <c r="C5086" s="37" t="s">
        <v>46</v>
      </c>
      <c r="D5086" s="20" t="s">
        <v>17748</v>
      </c>
      <c r="E5086" s="20" t="s">
        <v>17749</v>
      </c>
      <c r="F5086" s="37" t="s">
        <v>49</v>
      </c>
      <c r="G5086" s="19" t="s">
        <v>50</v>
      </c>
      <c r="H5086" s="37"/>
      <c r="I5086" s="37" t="s">
        <v>29</v>
      </c>
      <c r="J5086" s="155" t="str">
        <f t="shared" si="11"/>
        <v>TT</v>
      </c>
      <c r="K5086" s="22" t="s">
        <v>17750</v>
      </c>
      <c r="L5086" s="56">
        <v>45134</v>
      </c>
      <c r="P5086" s="40"/>
      <c r="Q5086" s="61"/>
      <c r="R5086" s="61"/>
      <c r="S5086" s="40"/>
      <c r="T5086" s="38"/>
      <c r="U5086" s="38"/>
      <c r="V5086" s="38"/>
      <c r="W5086" s="60"/>
      <c r="AB5086" s="42"/>
      <c r="AC5086" s="35"/>
      <c r="AD5086" s="38"/>
      <c r="AE5086" s="38"/>
      <c r="AF5086" s="38"/>
      <c r="AG5086" s="38"/>
      <c r="AH5086" s="60"/>
    </row>
    <row r="5087" spans="1:34" ht="15.75" customHeight="1">
      <c r="A5087" s="38" t="s">
        <v>16979</v>
      </c>
      <c r="B5087" s="81" t="s">
        <v>17751</v>
      </c>
      <c r="C5087" s="37" t="s">
        <v>46</v>
      </c>
      <c r="D5087" s="20" t="s">
        <v>17752</v>
      </c>
      <c r="E5087" s="20" t="s">
        <v>17753</v>
      </c>
      <c r="F5087" s="37" t="s">
        <v>49</v>
      </c>
      <c r="G5087" s="19" t="s">
        <v>50</v>
      </c>
      <c r="H5087" s="37"/>
      <c r="I5087" s="37" t="s">
        <v>29</v>
      </c>
      <c r="J5087" s="155" t="str">
        <f t="shared" si="11"/>
        <v>TT</v>
      </c>
      <c r="K5087" s="22" t="s">
        <v>17754</v>
      </c>
      <c r="L5087" s="56">
        <v>45134</v>
      </c>
      <c r="P5087" s="40"/>
      <c r="Q5087" s="61"/>
      <c r="R5087" s="61"/>
      <c r="S5087" s="40"/>
      <c r="T5087" s="38"/>
      <c r="U5087" s="38"/>
      <c r="V5087" s="38"/>
      <c r="W5087" s="60"/>
      <c r="AB5087" s="42"/>
      <c r="AC5087" s="35"/>
      <c r="AD5087" s="38"/>
      <c r="AE5087" s="38"/>
      <c r="AF5087" s="38"/>
      <c r="AG5087" s="38"/>
      <c r="AH5087" s="60"/>
    </row>
    <row r="5088" spans="1:34" ht="15.75" customHeight="1">
      <c r="A5088" s="75" t="s">
        <v>13413</v>
      </c>
      <c r="B5088" s="78" t="s">
        <v>17755</v>
      </c>
      <c r="C5088" s="37" t="s">
        <v>46</v>
      </c>
      <c r="D5088" s="20" t="s">
        <v>17756</v>
      </c>
      <c r="E5088" s="20" t="s">
        <v>17757</v>
      </c>
      <c r="F5088" s="37" t="s">
        <v>49</v>
      </c>
      <c r="G5088" s="19" t="s">
        <v>50</v>
      </c>
      <c r="H5088" s="37"/>
      <c r="I5088" s="37" t="s">
        <v>29</v>
      </c>
      <c r="J5088" s="155" t="str">
        <f t="shared" si="11"/>
        <v>TT</v>
      </c>
      <c r="K5088" s="22" t="s">
        <v>17758</v>
      </c>
      <c r="L5088" s="56">
        <v>45134</v>
      </c>
      <c r="P5088" s="40"/>
      <c r="Q5088" s="61"/>
      <c r="R5088" s="61"/>
      <c r="S5088" s="40"/>
      <c r="T5088" s="38"/>
      <c r="U5088" s="38"/>
      <c r="V5088" s="38"/>
      <c r="W5088" s="60"/>
      <c r="AB5088" s="42"/>
      <c r="AC5088" s="35"/>
      <c r="AD5088" s="38"/>
      <c r="AE5088" s="38"/>
      <c r="AF5088" s="38"/>
      <c r="AG5088" s="38"/>
      <c r="AH5088" s="60"/>
    </row>
    <row r="5089" spans="1:34" ht="15.75" customHeight="1">
      <c r="A5089" s="50" t="s">
        <v>56</v>
      </c>
      <c r="B5089" s="78" t="s">
        <v>17759</v>
      </c>
      <c r="C5089" s="37" t="s">
        <v>87</v>
      </c>
      <c r="D5089" s="20" t="s">
        <v>17760</v>
      </c>
      <c r="E5089" s="20" t="s">
        <v>17761</v>
      </c>
      <c r="F5089" s="19" t="s">
        <v>90</v>
      </c>
      <c r="G5089" s="19" t="s">
        <v>91</v>
      </c>
      <c r="H5089" s="37"/>
      <c r="I5089" s="37" t="s">
        <v>29</v>
      </c>
      <c r="J5089" s="155" t="str">
        <f t="shared" si="11"/>
        <v>TT</v>
      </c>
      <c r="K5089" s="22" t="s">
        <v>17762</v>
      </c>
      <c r="L5089" s="56">
        <v>45134</v>
      </c>
      <c r="P5089" s="40"/>
      <c r="Q5089" s="61"/>
      <c r="R5089" s="61"/>
      <c r="S5089" s="40"/>
      <c r="T5089" s="38"/>
      <c r="U5089" s="38"/>
      <c r="V5089" s="38"/>
      <c r="W5089" s="60"/>
      <c r="AB5089" s="42"/>
      <c r="AC5089" s="35"/>
      <c r="AD5089" s="38"/>
      <c r="AE5089" s="38"/>
      <c r="AF5089" s="38"/>
      <c r="AG5089" s="38"/>
      <c r="AH5089" s="60"/>
    </row>
    <row r="5090" spans="1:34" ht="15.75" customHeight="1">
      <c r="A5090" s="17">
        <v>44</v>
      </c>
      <c r="B5090" s="78" t="s">
        <v>17763</v>
      </c>
      <c r="C5090" s="37" t="s">
        <v>46</v>
      </c>
      <c r="D5090" s="20" t="s">
        <v>17764</v>
      </c>
      <c r="E5090" s="20" t="s">
        <v>17765</v>
      </c>
      <c r="F5090" s="37" t="s">
        <v>49</v>
      </c>
      <c r="G5090" s="19" t="s">
        <v>50</v>
      </c>
      <c r="H5090" s="37"/>
      <c r="I5090" s="37" t="s">
        <v>29</v>
      </c>
      <c r="J5090" s="155" t="str">
        <f t="shared" si="11"/>
        <v>TT</v>
      </c>
      <c r="K5090" s="22" t="s">
        <v>17766</v>
      </c>
      <c r="L5090" s="56">
        <v>45134</v>
      </c>
      <c r="P5090" s="40"/>
      <c r="Q5090" s="61"/>
      <c r="R5090" s="61"/>
      <c r="S5090" s="40"/>
      <c r="T5090" s="38"/>
      <c r="U5090" s="38"/>
      <c r="V5090" s="38"/>
      <c r="W5090" s="60"/>
      <c r="AB5090" s="42"/>
      <c r="AC5090" s="35"/>
      <c r="AD5090" s="38"/>
      <c r="AE5090" s="38"/>
      <c r="AF5090" s="38"/>
      <c r="AG5090" s="38"/>
      <c r="AH5090" s="60"/>
    </row>
    <row r="5091" spans="1:34" ht="15.75" customHeight="1">
      <c r="A5091" s="111" t="s">
        <v>64</v>
      </c>
      <c r="B5091" s="78" t="s">
        <v>17767</v>
      </c>
      <c r="C5091" s="37" t="s">
        <v>46</v>
      </c>
      <c r="D5091" s="20" t="s">
        <v>17768</v>
      </c>
      <c r="E5091" s="20" t="s">
        <v>17769</v>
      </c>
      <c r="F5091" s="37" t="s">
        <v>49</v>
      </c>
      <c r="G5091" s="19" t="s">
        <v>50</v>
      </c>
      <c r="H5091" s="37"/>
      <c r="I5091" s="37" t="s">
        <v>29</v>
      </c>
      <c r="J5091" s="155" t="str">
        <f t="shared" si="11"/>
        <v>TT</v>
      </c>
      <c r="K5091" s="22" t="s">
        <v>17770</v>
      </c>
      <c r="L5091" s="56">
        <v>45134</v>
      </c>
      <c r="P5091" s="40"/>
      <c r="Q5091" s="61"/>
      <c r="R5091" s="61"/>
      <c r="S5091" s="40"/>
      <c r="T5091" s="38"/>
      <c r="U5091" s="38"/>
      <c r="V5091" s="38"/>
      <c r="W5091" s="60"/>
      <c r="AB5091" s="42"/>
      <c r="AC5091" s="35"/>
      <c r="AD5091" s="38"/>
      <c r="AE5091" s="38"/>
      <c r="AF5091" s="38"/>
      <c r="AG5091" s="38"/>
      <c r="AH5091" s="60"/>
    </row>
    <row r="5092" spans="1:34" ht="15.75" customHeight="1">
      <c r="A5092" s="75">
        <v>2.2999999999999998</v>
      </c>
      <c r="B5092" s="78" t="s">
        <v>17771</v>
      </c>
      <c r="C5092" s="37" t="s">
        <v>87</v>
      </c>
      <c r="D5092" s="20" t="s">
        <v>17772</v>
      </c>
      <c r="E5092" s="20" t="s">
        <v>17773</v>
      </c>
      <c r="F5092" s="19" t="s">
        <v>90</v>
      </c>
      <c r="G5092" s="19" t="s">
        <v>91</v>
      </c>
      <c r="H5092" s="37"/>
      <c r="I5092" s="37" t="s">
        <v>29</v>
      </c>
      <c r="J5092" s="155" t="str">
        <f t="shared" si="11"/>
        <v>TT</v>
      </c>
      <c r="K5092" s="22" t="s">
        <v>17774</v>
      </c>
      <c r="L5092" s="56">
        <v>45134</v>
      </c>
      <c r="P5092" s="40"/>
      <c r="Q5092" s="61"/>
      <c r="R5092" s="61"/>
      <c r="S5092" s="40"/>
      <c r="T5092" s="38"/>
      <c r="U5092" s="38"/>
      <c r="V5092" s="38"/>
      <c r="W5092" s="60"/>
      <c r="AB5092" s="42"/>
      <c r="AC5092" s="35"/>
      <c r="AD5092" s="38"/>
      <c r="AE5092" s="38"/>
      <c r="AF5092" s="38"/>
      <c r="AG5092" s="38"/>
      <c r="AH5092" s="60"/>
    </row>
    <row r="5093" spans="1:34" ht="15.75" customHeight="1">
      <c r="A5093" s="111" t="s">
        <v>73</v>
      </c>
      <c r="B5093" s="78" t="s">
        <v>17775</v>
      </c>
      <c r="C5093" s="37" t="s">
        <v>24</v>
      </c>
      <c r="D5093" s="20" t="s">
        <v>17776</v>
      </c>
      <c r="E5093" s="20"/>
      <c r="F5093" s="19" t="s">
        <v>27</v>
      </c>
      <c r="G5093" s="19" t="s">
        <v>28</v>
      </c>
      <c r="H5093" s="37"/>
      <c r="I5093" s="37" t="s">
        <v>29</v>
      </c>
      <c r="J5093" s="155" t="str">
        <f t="shared" si="11"/>
        <v>TT</v>
      </c>
      <c r="K5093" s="22"/>
      <c r="L5093" s="56">
        <v>45134</v>
      </c>
      <c r="P5093" s="40"/>
      <c r="Q5093" s="61"/>
      <c r="R5093" s="61"/>
      <c r="S5093" s="40"/>
      <c r="T5093" s="38"/>
      <c r="U5093" s="38"/>
      <c r="V5093" s="38"/>
      <c r="W5093" s="60"/>
      <c r="AB5093" s="42"/>
      <c r="AC5093" s="35"/>
      <c r="AD5093" s="38"/>
      <c r="AE5093" s="38"/>
      <c r="AF5093" s="38"/>
      <c r="AG5093" s="38"/>
      <c r="AH5093" s="60"/>
    </row>
    <row r="5094" spans="1:34" ht="15.75" customHeight="1">
      <c r="A5094" s="75">
        <v>2.7</v>
      </c>
      <c r="B5094" s="78" t="s">
        <v>17777</v>
      </c>
      <c r="C5094" s="37" t="s">
        <v>46</v>
      </c>
      <c r="D5094" s="20" t="s">
        <v>17778</v>
      </c>
      <c r="E5094" s="20" t="s">
        <v>17779</v>
      </c>
      <c r="F5094" s="37" t="s">
        <v>49</v>
      </c>
      <c r="G5094" s="19" t="s">
        <v>50</v>
      </c>
      <c r="H5094" s="37"/>
      <c r="I5094" s="37" t="s">
        <v>29</v>
      </c>
      <c r="J5094" s="155" t="str">
        <f t="shared" si="11"/>
        <v>TT</v>
      </c>
      <c r="K5094" s="22" t="s">
        <v>17780</v>
      </c>
      <c r="L5094" s="56">
        <v>45134</v>
      </c>
      <c r="P5094" s="40"/>
      <c r="Q5094" s="61"/>
      <c r="R5094" s="61"/>
      <c r="S5094" s="40"/>
      <c r="T5094" s="38"/>
      <c r="U5094" s="38"/>
      <c r="V5094" s="38"/>
      <c r="W5094" s="60"/>
      <c r="AB5094" s="42"/>
      <c r="AC5094" s="35"/>
      <c r="AD5094" s="38"/>
      <c r="AE5094" s="38"/>
      <c r="AF5094" s="38"/>
      <c r="AG5094" s="38"/>
      <c r="AH5094" s="60"/>
    </row>
    <row r="5095" spans="1:34" ht="15.75" customHeight="1">
      <c r="A5095" s="111" t="s">
        <v>82</v>
      </c>
      <c r="B5095" s="78" t="s">
        <v>17781</v>
      </c>
      <c r="C5095" s="37" t="s">
        <v>46</v>
      </c>
      <c r="D5095" s="20" t="s">
        <v>17782</v>
      </c>
      <c r="E5095" s="20" t="s">
        <v>17783</v>
      </c>
      <c r="F5095" s="37" t="s">
        <v>49</v>
      </c>
      <c r="G5095" s="19" t="s">
        <v>50</v>
      </c>
      <c r="H5095" s="37"/>
      <c r="I5095" s="37" t="s">
        <v>29</v>
      </c>
      <c r="J5095" s="155" t="str">
        <f t="shared" si="11"/>
        <v>TT</v>
      </c>
      <c r="K5095" s="22" t="s">
        <v>17784</v>
      </c>
      <c r="L5095" s="56">
        <v>45134</v>
      </c>
      <c r="P5095" s="40"/>
      <c r="Q5095" s="61"/>
      <c r="R5095" s="61"/>
      <c r="S5095" s="40"/>
      <c r="T5095" s="38"/>
      <c r="U5095" s="38"/>
      <c r="V5095" s="38"/>
      <c r="W5095" s="60"/>
      <c r="AB5095" s="42"/>
      <c r="AC5095" s="35"/>
      <c r="AD5095" s="38"/>
      <c r="AE5095" s="38"/>
      <c r="AF5095" s="38"/>
      <c r="AG5095" s="38"/>
      <c r="AH5095" s="60"/>
    </row>
    <row r="5096" spans="1:34" ht="15.75" customHeight="1">
      <c r="A5096" s="112" t="s">
        <v>17785</v>
      </c>
      <c r="B5096" s="78" t="s">
        <v>17786</v>
      </c>
      <c r="C5096" s="37" t="s">
        <v>46</v>
      </c>
      <c r="D5096" s="20" t="s">
        <v>17787</v>
      </c>
      <c r="E5096" s="20" t="s">
        <v>17788</v>
      </c>
      <c r="F5096" s="37" t="s">
        <v>49</v>
      </c>
      <c r="G5096" s="19" t="s">
        <v>50</v>
      </c>
      <c r="H5096" s="37"/>
      <c r="I5096" s="37" t="s">
        <v>29</v>
      </c>
      <c r="J5096" s="155" t="str">
        <f t="shared" si="11"/>
        <v>TT</v>
      </c>
      <c r="K5096" s="22" t="s">
        <v>17789</v>
      </c>
      <c r="L5096" s="56">
        <v>45134</v>
      </c>
      <c r="P5096" s="40"/>
      <c r="Q5096" s="61"/>
      <c r="R5096" s="61"/>
      <c r="S5096" s="40"/>
      <c r="T5096" s="38"/>
      <c r="U5096" s="38"/>
      <c r="V5096" s="38"/>
      <c r="W5096" s="60"/>
      <c r="AB5096" s="42"/>
      <c r="AC5096" s="35"/>
      <c r="AD5096" s="38"/>
      <c r="AE5096" s="38"/>
      <c r="AF5096" s="38"/>
      <c r="AG5096" s="38"/>
      <c r="AH5096" s="60"/>
    </row>
    <row r="5097" spans="1:34" ht="15.75" customHeight="1">
      <c r="A5097" s="111" t="s">
        <v>92</v>
      </c>
      <c r="B5097" s="81" t="s">
        <v>17790</v>
      </c>
      <c r="C5097" s="37" t="s">
        <v>24</v>
      </c>
      <c r="D5097" s="20" t="s">
        <v>17791</v>
      </c>
      <c r="E5097" s="20"/>
      <c r="F5097" s="19" t="s">
        <v>27</v>
      </c>
      <c r="G5097" s="19" t="s">
        <v>28</v>
      </c>
      <c r="H5097" s="37"/>
      <c r="I5097" s="37" t="s">
        <v>29</v>
      </c>
      <c r="J5097" s="155" t="str">
        <f t="shared" si="11"/>
        <v>TT</v>
      </c>
      <c r="K5097" s="22"/>
      <c r="L5097" s="56">
        <v>45134</v>
      </c>
      <c r="P5097" s="40"/>
      <c r="Q5097" s="61"/>
      <c r="R5097" s="61"/>
      <c r="S5097" s="40"/>
      <c r="T5097" s="38"/>
      <c r="U5097" s="38"/>
      <c r="V5097" s="38"/>
      <c r="W5097" s="60"/>
      <c r="AB5097" s="42"/>
      <c r="AC5097" s="35"/>
      <c r="AD5097" s="38"/>
      <c r="AE5097" s="38"/>
      <c r="AF5097" s="38"/>
      <c r="AG5097" s="38"/>
      <c r="AH5097" s="60"/>
    </row>
    <row r="5098" spans="1:34" ht="15.75" customHeight="1">
      <c r="A5098" s="17">
        <v>403</v>
      </c>
      <c r="B5098" s="38"/>
      <c r="C5098" s="37"/>
      <c r="D5098" s="20"/>
      <c r="E5098" s="20"/>
      <c r="F5098" s="37"/>
      <c r="G5098" s="37"/>
      <c r="H5098" s="37"/>
      <c r="I5098" s="37"/>
      <c r="J5098" s="155">
        <f t="shared" si="11"/>
        <v>0</v>
      </c>
      <c r="K5098" s="22"/>
      <c r="L5098" s="39"/>
      <c r="P5098" s="40"/>
      <c r="Q5098" s="61"/>
      <c r="R5098" s="61"/>
      <c r="S5098" s="40"/>
      <c r="T5098" s="38"/>
      <c r="U5098" s="38"/>
      <c r="V5098" s="38"/>
      <c r="W5098" s="60"/>
      <c r="AB5098" s="42"/>
      <c r="AC5098" s="35"/>
      <c r="AD5098" s="38"/>
      <c r="AE5098" s="38"/>
      <c r="AF5098" s="38"/>
      <c r="AG5098" s="38"/>
      <c r="AH5098" s="60"/>
    </row>
    <row r="5099" spans="1:34" ht="15.75" customHeight="1">
      <c r="A5099" s="111" t="s">
        <v>100</v>
      </c>
      <c r="B5099" s="38"/>
      <c r="C5099" s="37"/>
      <c r="D5099" s="20"/>
      <c r="E5099" s="20"/>
      <c r="F5099" s="37"/>
      <c r="G5099" s="37"/>
      <c r="H5099" s="37"/>
      <c r="I5099" s="37"/>
      <c r="J5099" s="155">
        <f t="shared" si="11"/>
        <v>0</v>
      </c>
      <c r="K5099" s="22"/>
      <c r="L5099" s="39"/>
      <c r="P5099" s="40"/>
      <c r="Q5099" s="61"/>
      <c r="R5099" s="61"/>
      <c r="S5099" s="40"/>
      <c r="T5099" s="38"/>
      <c r="U5099" s="38"/>
      <c r="V5099" s="38"/>
      <c r="W5099" s="60"/>
      <c r="AB5099" s="42"/>
      <c r="AC5099" s="35"/>
      <c r="AD5099" s="38"/>
      <c r="AE5099" s="38"/>
      <c r="AF5099" s="38"/>
      <c r="AG5099" s="38"/>
      <c r="AH5099" s="60"/>
    </row>
    <row r="5100" spans="1:34" ht="15.75" customHeight="1">
      <c r="A5100" s="17">
        <v>160</v>
      </c>
      <c r="B5100" s="38"/>
      <c r="C5100" s="37"/>
      <c r="D5100" s="20"/>
      <c r="E5100" s="20"/>
      <c r="F5100" s="37"/>
      <c r="G5100" s="37"/>
      <c r="H5100" s="37"/>
      <c r="I5100" s="37"/>
      <c r="J5100" s="155">
        <f t="shared" si="11"/>
        <v>0</v>
      </c>
      <c r="K5100" s="22"/>
      <c r="L5100" s="39"/>
      <c r="P5100" s="40"/>
      <c r="Q5100" s="61"/>
      <c r="R5100" s="61"/>
      <c r="S5100" s="40"/>
      <c r="T5100" s="38"/>
      <c r="U5100" s="38"/>
      <c r="V5100" s="38"/>
      <c r="W5100" s="60"/>
      <c r="AB5100" s="42"/>
      <c r="AC5100" s="35"/>
      <c r="AD5100" s="38"/>
      <c r="AE5100" s="38"/>
      <c r="AF5100" s="38"/>
      <c r="AG5100" s="38"/>
      <c r="AH5100" s="60"/>
    </row>
    <row r="5101" spans="1:34" ht="15.75" customHeight="1">
      <c r="A5101" s="35"/>
      <c r="B5101" s="38"/>
      <c r="C5101" s="37"/>
      <c r="D5101" s="20"/>
      <c r="E5101" s="20"/>
      <c r="F5101" s="37"/>
      <c r="G5101" s="37"/>
      <c r="H5101" s="37"/>
      <c r="I5101" s="37"/>
      <c r="J5101" s="155">
        <f t="shared" si="11"/>
        <v>0</v>
      </c>
      <c r="K5101" s="22"/>
      <c r="L5101" s="39"/>
      <c r="P5101" s="40"/>
      <c r="Q5101" s="61"/>
      <c r="R5101" s="61"/>
      <c r="S5101" s="40"/>
      <c r="T5101" s="38"/>
      <c r="U5101" s="38"/>
      <c r="V5101" s="38"/>
      <c r="W5101" s="60"/>
      <c r="AB5101" s="42"/>
      <c r="AC5101" s="35"/>
      <c r="AD5101" s="38"/>
      <c r="AE5101" s="38"/>
      <c r="AF5101" s="38"/>
      <c r="AG5101" s="38"/>
      <c r="AH5101" s="60"/>
    </row>
    <row r="5102" spans="1:34" ht="15.75" customHeight="1">
      <c r="A5102" s="35" t="s">
        <v>17792</v>
      </c>
      <c r="B5102" s="78" t="s">
        <v>17793</v>
      </c>
      <c r="C5102" s="37" t="s">
        <v>46</v>
      </c>
      <c r="D5102" s="20" t="s">
        <v>17794</v>
      </c>
      <c r="E5102" s="20" t="s">
        <v>17795</v>
      </c>
      <c r="F5102" s="37" t="s">
        <v>49</v>
      </c>
      <c r="G5102" s="19" t="s">
        <v>50</v>
      </c>
      <c r="H5102" s="37"/>
      <c r="I5102" s="37" t="s">
        <v>29</v>
      </c>
      <c r="J5102" s="155" t="str">
        <f t="shared" si="11"/>
        <v>TT</v>
      </c>
      <c r="K5102" s="22" t="s">
        <v>17796</v>
      </c>
      <c r="L5102" s="56">
        <v>45134</v>
      </c>
      <c r="M5102" s="40"/>
      <c r="P5102" s="40"/>
      <c r="Q5102" s="61"/>
      <c r="R5102" s="61"/>
      <c r="S5102" s="40"/>
      <c r="T5102" s="38"/>
      <c r="U5102" s="38"/>
      <c r="V5102" s="38"/>
      <c r="W5102" s="60"/>
      <c r="AB5102" s="42"/>
      <c r="AC5102" s="35"/>
      <c r="AD5102" s="38"/>
      <c r="AE5102" s="38"/>
      <c r="AF5102" s="38"/>
      <c r="AG5102" s="38"/>
      <c r="AH5102" s="60"/>
    </row>
    <row r="5103" spans="1:34" ht="15.75" customHeight="1">
      <c r="A5103" s="54" t="s">
        <v>2714</v>
      </c>
      <c r="B5103" s="78" t="s">
        <v>17797</v>
      </c>
      <c r="C5103" s="37" t="s">
        <v>46</v>
      </c>
      <c r="D5103" s="20" t="s">
        <v>17798</v>
      </c>
      <c r="E5103" s="20" t="s">
        <v>17799</v>
      </c>
      <c r="F5103" s="37" t="s">
        <v>49</v>
      </c>
      <c r="G5103" s="19" t="s">
        <v>50</v>
      </c>
      <c r="H5103" s="37"/>
      <c r="I5103" s="37" t="s">
        <v>29</v>
      </c>
      <c r="J5103" s="155" t="str">
        <f t="shared" si="11"/>
        <v>TT</v>
      </c>
      <c r="K5103" s="22" t="s">
        <v>17800</v>
      </c>
      <c r="L5103" s="56">
        <v>45134</v>
      </c>
      <c r="P5103" s="40"/>
      <c r="Q5103" s="61"/>
      <c r="R5103" s="61"/>
      <c r="S5103" s="40"/>
      <c r="T5103" s="38"/>
      <c r="U5103" s="38"/>
      <c r="V5103" s="38"/>
      <c r="W5103" s="60"/>
      <c r="AB5103" s="42"/>
      <c r="AC5103" s="35"/>
      <c r="AD5103" s="38"/>
      <c r="AE5103" s="38"/>
      <c r="AF5103" s="38"/>
      <c r="AG5103" s="38"/>
      <c r="AH5103" s="60"/>
    </row>
    <row r="5104" spans="1:34" ht="15.75" customHeight="1">
      <c r="A5104" s="114" t="s">
        <v>39</v>
      </c>
      <c r="B5104" s="78" t="s">
        <v>17801</v>
      </c>
      <c r="C5104" s="37" t="s">
        <v>24</v>
      </c>
      <c r="D5104" s="20" t="s">
        <v>17802</v>
      </c>
      <c r="E5104" s="20" t="s">
        <v>17803</v>
      </c>
      <c r="F5104" s="19" t="s">
        <v>27</v>
      </c>
      <c r="G5104" s="19" t="s">
        <v>28</v>
      </c>
      <c r="H5104" s="37"/>
      <c r="I5104" s="37" t="s">
        <v>29</v>
      </c>
      <c r="J5104" s="155" t="str">
        <f t="shared" si="11"/>
        <v>TT</v>
      </c>
      <c r="K5104" s="22" t="s">
        <v>17804</v>
      </c>
      <c r="L5104" s="56">
        <v>45134</v>
      </c>
      <c r="P5104" s="40"/>
      <c r="Q5104" s="61"/>
      <c r="R5104" s="61"/>
      <c r="S5104" s="40"/>
      <c r="T5104" s="38"/>
      <c r="U5104" s="38"/>
      <c r="V5104" s="38"/>
      <c r="W5104" s="60"/>
      <c r="AB5104" s="42"/>
      <c r="AC5104" s="35"/>
      <c r="AD5104" s="38"/>
      <c r="AE5104" s="38"/>
      <c r="AF5104" s="38"/>
      <c r="AG5104" s="38"/>
      <c r="AH5104" s="60"/>
    </row>
    <row r="5105" spans="1:34" ht="15.75" customHeight="1">
      <c r="A5105" s="38" t="s">
        <v>16979</v>
      </c>
      <c r="B5105" s="81" t="s">
        <v>17805</v>
      </c>
      <c r="C5105" s="37" t="s">
        <v>24</v>
      </c>
      <c r="D5105" s="20" t="s">
        <v>17806</v>
      </c>
      <c r="E5105" s="20" t="s">
        <v>17807</v>
      </c>
      <c r="F5105" s="19" t="s">
        <v>27</v>
      </c>
      <c r="G5105" s="19" t="s">
        <v>28</v>
      </c>
      <c r="H5105" s="19" t="s">
        <v>36</v>
      </c>
      <c r="I5105" s="37" t="s">
        <v>29</v>
      </c>
      <c r="J5105" s="155" t="str">
        <f t="shared" si="11"/>
        <v>TT</v>
      </c>
      <c r="K5105" s="22" t="s">
        <v>17808</v>
      </c>
      <c r="L5105" s="56">
        <v>45134</v>
      </c>
      <c r="P5105" s="40"/>
      <c r="Q5105" s="61"/>
      <c r="R5105" s="61"/>
      <c r="S5105" s="40"/>
      <c r="T5105" s="38"/>
      <c r="U5105" s="38"/>
      <c r="V5105" s="38"/>
      <c r="W5105" s="60"/>
      <c r="AB5105" s="42"/>
      <c r="AC5105" s="35"/>
      <c r="AD5105" s="38"/>
      <c r="AE5105" s="38"/>
      <c r="AF5105" s="38"/>
      <c r="AG5105" s="38"/>
      <c r="AH5105" s="60"/>
    </row>
    <row r="5106" spans="1:34" ht="15.75" customHeight="1">
      <c r="A5106" s="75" t="s">
        <v>16842</v>
      </c>
      <c r="B5106" s="78" t="s">
        <v>17809</v>
      </c>
      <c r="C5106" s="37" t="s">
        <v>46</v>
      </c>
      <c r="D5106" s="20" t="s">
        <v>17810</v>
      </c>
      <c r="E5106" s="20" t="s">
        <v>17811</v>
      </c>
      <c r="F5106" s="37" t="s">
        <v>49</v>
      </c>
      <c r="G5106" s="19" t="s">
        <v>50</v>
      </c>
      <c r="H5106" s="37"/>
      <c r="I5106" s="37" t="s">
        <v>29</v>
      </c>
      <c r="J5106" s="155" t="str">
        <f t="shared" si="11"/>
        <v>TT</v>
      </c>
      <c r="K5106" s="22" t="s">
        <v>17812</v>
      </c>
      <c r="L5106" s="56">
        <v>45134</v>
      </c>
      <c r="P5106" s="40"/>
      <c r="Q5106" s="61"/>
      <c r="R5106" s="61"/>
      <c r="S5106" s="40"/>
      <c r="T5106" s="38"/>
      <c r="U5106" s="38"/>
      <c r="V5106" s="38"/>
      <c r="W5106" s="60"/>
      <c r="AB5106" s="42"/>
      <c r="AC5106" s="35"/>
      <c r="AD5106" s="38"/>
      <c r="AE5106" s="38"/>
      <c r="AF5106" s="38"/>
      <c r="AG5106" s="38"/>
      <c r="AH5106" s="60"/>
    </row>
    <row r="5107" spans="1:34" ht="15.75" customHeight="1">
      <c r="A5107" s="50" t="s">
        <v>56</v>
      </c>
      <c r="B5107" s="78" t="s">
        <v>17813</v>
      </c>
      <c r="C5107" s="37" t="s">
        <v>46</v>
      </c>
      <c r="D5107" s="20" t="s">
        <v>17814</v>
      </c>
      <c r="E5107" s="20" t="s">
        <v>17815</v>
      </c>
      <c r="F5107" s="37" t="s">
        <v>49</v>
      </c>
      <c r="G5107" s="19" t="s">
        <v>50</v>
      </c>
      <c r="H5107" s="37"/>
      <c r="I5107" s="37" t="s">
        <v>29</v>
      </c>
      <c r="J5107" s="155" t="str">
        <f t="shared" si="11"/>
        <v>TT</v>
      </c>
      <c r="K5107" s="22" t="s">
        <v>17816</v>
      </c>
      <c r="L5107" s="56">
        <v>45134</v>
      </c>
      <c r="P5107" s="40"/>
      <c r="Q5107" s="61"/>
      <c r="R5107" s="61"/>
      <c r="S5107" s="40"/>
      <c r="T5107" s="38"/>
      <c r="U5107" s="38"/>
      <c r="V5107" s="38"/>
      <c r="W5107" s="60"/>
      <c r="AB5107" s="42"/>
      <c r="AC5107" s="35"/>
      <c r="AD5107" s="38"/>
      <c r="AE5107" s="38"/>
      <c r="AF5107" s="38"/>
      <c r="AG5107" s="38"/>
      <c r="AH5107" s="60"/>
    </row>
    <row r="5108" spans="1:34" ht="15.75" customHeight="1">
      <c r="A5108" s="17">
        <v>36</v>
      </c>
      <c r="B5108" s="78" t="s">
        <v>17817</v>
      </c>
      <c r="C5108" s="37" t="s">
        <v>46</v>
      </c>
      <c r="D5108" s="20" t="s">
        <v>17818</v>
      </c>
      <c r="E5108" s="20" t="s">
        <v>17819</v>
      </c>
      <c r="F5108" s="37" t="s">
        <v>49</v>
      </c>
      <c r="G5108" s="19" t="s">
        <v>50</v>
      </c>
      <c r="H5108" s="37"/>
      <c r="I5108" s="37" t="s">
        <v>29</v>
      </c>
      <c r="J5108" s="155" t="str">
        <f t="shared" si="11"/>
        <v>TT</v>
      </c>
      <c r="K5108" s="22" t="s">
        <v>17820</v>
      </c>
      <c r="L5108" s="56">
        <v>45134</v>
      </c>
      <c r="P5108" s="40"/>
      <c r="Q5108" s="61"/>
      <c r="R5108" s="61"/>
      <c r="S5108" s="40"/>
      <c r="T5108" s="38"/>
      <c r="U5108" s="38"/>
      <c r="V5108" s="38"/>
      <c r="W5108" s="60"/>
      <c r="AB5108" s="42"/>
      <c r="AC5108" s="35"/>
      <c r="AD5108" s="38"/>
      <c r="AE5108" s="38"/>
      <c r="AF5108" s="38"/>
      <c r="AG5108" s="38"/>
      <c r="AH5108" s="60"/>
    </row>
    <row r="5109" spans="1:34" ht="15.75" customHeight="1">
      <c r="A5109" s="111" t="s">
        <v>64</v>
      </c>
      <c r="B5109" s="78" t="s">
        <v>17821</v>
      </c>
      <c r="C5109" s="37" t="s">
        <v>87</v>
      </c>
      <c r="D5109" s="20" t="s">
        <v>17822</v>
      </c>
      <c r="E5109" s="20" t="s">
        <v>17823</v>
      </c>
      <c r="F5109" s="19" t="s">
        <v>90</v>
      </c>
      <c r="G5109" s="19" t="s">
        <v>91</v>
      </c>
      <c r="H5109" s="37"/>
      <c r="I5109" s="37" t="s">
        <v>29</v>
      </c>
      <c r="J5109" s="155" t="str">
        <f t="shared" si="11"/>
        <v>TT</v>
      </c>
      <c r="K5109" s="22" t="s">
        <v>17824</v>
      </c>
      <c r="L5109" s="56">
        <v>45134</v>
      </c>
      <c r="P5109" s="40"/>
      <c r="Q5109" s="61"/>
      <c r="R5109" s="61"/>
      <c r="S5109" s="40"/>
      <c r="T5109" s="38"/>
      <c r="U5109" s="38"/>
      <c r="V5109" s="38"/>
      <c r="W5109" s="60"/>
      <c r="AB5109" s="42"/>
      <c r="AC5109" s="35"/>
      <c r="AD5109" s="38"/>
      <c r="AE5109" s="38"/>
      <c r="AF5109" s="38"/>
      <c r="AG5109" s="38"/>
      <c r="AH5109" s="60"/>
    </row>
    <row r="5110" spans="1:34" ht="15.75" customHeight="1">
      <c r="A5110" s="75">
        <v>2.2000000000000002</v>
      </c>
      <c r="B5110" s="78" t="s">
        <v>17825</v>
      </c>
      <c r="C5110" s="37" t="s">
        <v>87</v>
      </c>
      <c r="D5110" s="20" t="s">
        <v>17826</v>
      </c>
      <c r="E5110" s="20" t="s">
        <v>17827</v>
      </c>
      <c r="F5110" s="19" t="s">
        <v>90</v>
      </c>
      <c r="G5110" s="19" t="s">
        <v>91</v>
      </c>
      <c r="H5110" s="37"/>
      <c r="I5110" s="37" t="s">
        <v>29</v>
      </c>
      <c r="J5110" s="155" t="str">
        <f t="shared" si="11"/>
        <v>TT</v>
      </c>
      <c r="K5110" s="22" t="s">
        <v>17828</v>
      </c>
      <c r="L5110" s="56">
        <v>45134</v>
      </c>
      <c r="P5110" s="40"/>
      <c r="Q5110" s="61"/>
      <c r="R5110" s="61"/>
      <c r="S5110" s="40"/>
      <c r="T5110" s="38"/>
      <c r="U5110" s="38"/>
      <c r="V5110" s="38"/>
      <c r="W5110" s="60"/>
      <c r="AB5110" s="42"/>
      <c r="AC5110" s="35"/>
      <c r="AD5110" s="38"/>
      <c r="AE5110" s="38"/>
      <c r="AF5110" s="38"/>
      <c r="AG5110" s="38"/>
      <c r="AH5110" s="60"/>
    </row>
    <row r="5111" spans="1:34" ht="15.75" customHeight="1">
      <c r="A5111" s="111" t="s">
        <v>73</v>
      </c>
      <c r="B5111" s="78" t="s">
        <v>17829</v>
      </c>
      <c r="C5111" s="37" t="s">
        <v>24</v>
      </c>
      <c r="D5111" s="20" t="s">
        <v>17830</v>
      </c>
      <c r="E5111" s="20" t="s">
        <v>17831</v>
      </c>
      <c r="F5111" s="19" t="s">
        <v>27</v>
      </c>
      <c r="G5111" s="19" t="s">
        <v>28</v>
      </c>
      <c r="H5111" s="37"/>
      <c r="I5111" s="37" t="s">
        <v>29</v>
      </c>
      <c r="J5111" s="155" t="str">
        <f t="shared" si="11"/>
        <v>TT</v>
      </c>
      <c r="K5111" s="22" t="s">
        <v>17832</v>
      </c>
      <c r="L5111" s="56">
        <v>45134</v>
      </c>
      <c r="P5111" s="40"/>
      <c r="Q5111" s="61"/>
      <c r="R5111" s="61"/>
      <c r="S5111" s="40"/>
      <c r="T5111" s="38"/>
      <c r="U5111" s="38"/>
      <c r="V5111" s="38"/>
      <c r="W5111" s="60"/>
      <c r="AB5111" s="42"/>
      <c r="AC5111" s="35"/>
      <c r="AD5111" s="38"/>
      <c r="AE5111" s="38"/>
      <c r="AF5111" s="38"/>
      <c r="AG5111" s="38"/>
      <c r="AH5111" s="60"/>
    </row>
    <row r="5112" spans="1:34" ht="15.75" customHeight="1">
      <c r="A5112" s="75">
        <v>2.8</v>
      </c>
      <c r="B5112" s="78" t="s">
        <v>17833</v>
      </c>
      <c r="C5112" s="37" t="s">
        <v>24</v>
      </c>
      <c r="D5112" s="20" t="s">
        <v>17834</v>
      </c>
      <c r="E5112" s="20" t="s">
        <v>17835</v>
      </c>
      <c r="F5112" s="19" t="s">
        <v>27</v>
      </c>
      <c r="G5112" s="19" t="s">
        <v>28</v>
      </c>
      <c r="H5112" s="37"/>
      <c r="I5112" s="37" t="s">
        <v>29</v>
      </c>
      <c r="J5112" s="155" t="str">
        <f t="shared" si="11"/>
        <v>TT</v>
      </c>
      <c r="K5112" s="22" t="s">
        <v>17836</v>
      </c>
      <c r="L5112" s="56">
        <v>45134</v>
      </c>
      <c r="P5112" s="40"/>
      <c r="Q5112" s="61"/>
      <c r="R5112" s="61"/>
      <c r="S5112" s="40"/>
      <c r="T5112" s="38"/>
      <c r="U5112" s="38"/>
      <c r="V5112" s="38"/>
      <c r="W5112" s="60"/>
      <c r="AB5112" s="42"/>
      <c r="AC5112" s="35"/>
      <c r="AD5112" s="38"/>
      <c r="AE5112" s="38"/>
      <c r="AF5112" s="38"/>
      <c r="AG5112" s="38"/>
      <c r="AH5112" s="60"/>
    </row>
    <row r="5113" spans="1:34" ht="15.75" customHeight="1">
      <c r="A5113" s="111" t="s">
        <v>82</v>
      </c>
      <c r="B5113" s="78" t="s">
        <v>17837</v>
      </c>
      <c r="C5113" s="37" t="s">
        <v>1470</v>
      </c>
      <c r="D5113" s="20" t="s">
        <v>17838</v>
      </c>
      <c r="E5113" s="20"/>
      <c r="F5113" s="19" t="s">
        <v>3286</v>
      </c>
      <c r="G5113" s="37" t="s">
        <v>1461</v>
      </c>
      <c r="H5113" s="37"/>
      <c r="I5113" s="37" t="s">
        <v>233</v>
      </c>
      <c r="J5113" s="155" t="str">
        <f t="shared" si="11"/>
        <v>NTT</v>
      </c>
      <c r="K5113" s="22"/>
      <c r="L5113" s="56">
        <v>45134</v>
      </c>
      <c r="P5113" s="40"/>
      <c r="Q5113" s="61"/>
      <c r="R5113" s="61"/>
      <c r="S5113" s="40"/>
      <c r="T5113" s="38"/>
      <c r="U5113" s="38"/>
      <c r="V5113" s="38"/>
      <c r="W5113" s="60"/>
      <c r="AB5113" s="42"/>
      <c r="AC5113" s="35"/>
      <c r="AD5113" s="38"/>
      <c r="AE5113" s="38"/>
      <c r="AF5113" s="38"/>
      <c r="AG5113" s="38"/>
      <c r="AH5113" s="60"/>
    </row>
    <row r="5114" spans="1:34" ht="15.75" customHeight="1">
      <c r="A5114" s="112" t="s">
        <v>17839</v>
      </c>
      <c r="B5114" s="78" t="s">
        <v>17840</v>
      </c>
      <c r="C5114" s="37" t="s">
        <v>1470</v>
      </c>
      <c r="D5114" s="20" t="s">
        <v>17841</v>
      </c>
      <c r="E5114" s="20"/>
      <c r="F5114" s="19" t="s">
        <v>3286</v>
      </c>
      <c r="G5114" s="19" t="s">
        <v>1461</v>
      </c>
      <c r="H5114" s="37"/>
      <c r="I5114" s="37" t="s">
        <v>233</v>
      </c>
      <c r="J5114" s="155" t="str">
        <f t="shared" si="11"/>
        <v>NTT</v>
      </c>
      <c r="K5114" s="22"/>
      <c r="L5114" s="56">
        <v>45134</v>
      </c>
      <c r="P5114" s="40"/>
      <c r="Q5114" s="61"/>
      <c r="R5114" s="61"/>
      <c r="S5114" s="40"/>
      <c r="T5114" s="38"/>
      <c r="U5114" s="38"/>
      <c r="V5114" s="38"/>
      <c r="W5114" s="60"/>
      <c r="AB5114" s="42"/>
      <c r="AC5114" s="35"/>
      <c r="AD5114" s="38"/>
      <c r="AE5114" s="38"/>
      <c r="AF5114" s="38"/>
      <c r="AG5114" s="38"/>
      <c r="AH5114" s="60"/>
    </row>
    <row r="5115" spans="1:34" ht="15.75" customHeight="1">
      <c r="A5115" s="111" t="s">
        <v>92</v>
      </c>
      <c r="B5115" s="78" t="s">
        <v>17842</v>
      </c>
      <c r="C5115" s="37" t="s">
        <v>46</v>
      </c>
      <c r="D5115" s="20" t="s">
        <v>17843</v>
      </c>
      <c r="E5115" s="20" t="s">
        <v>17844</v>
      </c>
      <c r="F5115" s="37" t="s">
        <v>49</v>
      </c>
      <c r="G5115" s="19" t="s">
        <v>50</v>
      </c>
      <c r="H5115" s="37"/>
      <c r="I5115" s="37" t="s">
        <v>29</v>
      </c>
      <c r="J5115" s="155" t="str">
        <f t="shared" si="11"/>
        <v>TT</v>
      </c>
      <c r="K5115" s="22" t="s">
        <v>17845</v>
      </c>
      <c r="L5115" s="56">
        <v>45134</v>
      </c>
      <c r="P5115" s="40"/>
      <c r="Q5115" s="61"/>
      <c r="R5115" s="61"/>
      <c r="S5115" s="40"/>
      <c r="T5115" s="38"/>
      <c r="U5115" s="38"/>
      <c r="V5115" s="38"/>
      <c r="W5115" s="60"/>
      <c r="AB5115" s="42"/>
      <c r="AC5115" s="35"/>
      <c r="AD5115" s="38"/>
      <c r="AE5115" s="38"/>
      <c r="AF5115" s="38"/>
      <c r="AG5115" s="38"/>
      <c r="AH5115" s="60"/>
    </row>
    <row r="5116" spans="1:34" ht="15.75" customHeight="1">
      <c r="A5116" s="17">
        <v>403</v>
      </c>
      <c r="B5116" s="78" t="s">
        <v>17846</v>
      </c>
      <c r="C5116" s="37" t="s">
        <v>24</v>
      </c>
      <c r="D5116" s="20" t="s">
        <v>17847</v>
      </c>
      <c r="E5116" s="20" t="s">
        <v>17848</v>
      </c>
      <c r="F5116" s="19" t="s">
        <v>27</v>
      </c>
      <c r="G5116" s="19" t="s">
        <v>28</v>
      </c>
      <c r="H5116" s="37"/>
      <c r="I5116" s="37" t="s">
        <v>29</v>
      </c>
      <c r="J5116" s="155" t="str">
        <f t="shared" si="11"/>
        <v>TT</v>
      </c>
      <c r="K5116" s="22" t="s">
        <v>17849</v>
      </c>
      <c r="L5116" s="56">
        <v>45134</v>
      </c>
      <c r="P5116" s="40"/>
      <c r="Q5116" s="61"/>
      <c r="R5116" s="61"/>
      <c r="S5116" s="40"/>
      <c r="T5116" s="38"/>
      <c r="U5116" s="38"/>
      <c r="V5116" s="38"/>
      <c r="W5116" s="60"/>
      <c r="AB5116" s="42"/>
      <c r="AC5116" s="35"/>
      <c r="AD5116" s="38"/>
      <c r="AE5116" s="38"/>
      <c r="AF5116" s="38"/>
      <c r="AG5116" s="38"/>
      <c r="AH5116" s="60"/>
    </row>
    <row r="5117" spans="1:34" ht="15.75" customHeight="1">
      <c r="A5117" s="111" t="s">
        <v>100</v>
      </c>
      <c r="B5117" s="78" t="s">
        <v>17850</v>
      </c>
      <c r="C5117" s="37" t="s">
        <v>87</v>
      </c>
      <c r="D5117" s="20" t="s">
        <v>17851</v>
      </c>
      <c r="E5117" s="20" t="s">
        <v>17852</v>
      </c>
      <c r="F5117" s="19" t="s">
        <v>90</v>
      </c>
      <c r="G5117" s="19" t="s">
        <v>91</v>
      </c>
      <c r="H5117" s="37"/>
      <c r="I5117" s="37" t="s">
        <v>29</v>
      </c>
      <c r="J5117" s="155" t="str">
        <f t="shared" si="11"/>
        <v>TT</v>
      </c>
      <c r="K5117" s="22" t="s">
        <v>17853</v>
      </c>
      <c r="L5117" s="56">
        <v>45134</v>
      </c>
      <c r="P5117" s="40"/>
      <c r="Q5117" s="61"/>
      <c r="R5117" s="61"/>
      <c r="S5117" s="40"/>
      <c r="T5117" s="38"/>
      <c r="U5117" s="38"/>
      <c r="V5117" s="38"/>
      <c r="W5117" s="60"/>
      <c r="AB5117" s="42"/>
      <c r="AC5117" s="35"/>
      <c r="AD5117" s="38"/>
      <c r="AE5117" s="38"/>
      <c r="AF5117" s="38"/>
      <c r="AG5117" s="38"/>
      <c r="AH5117" s="60"/>
    </row>
    <row r="5118" spans="1:34" ht="15.75" customHeight="1">
      <c r="A5118" s="17">
        <v>156</v>
      </c>
      <c r="B5118" s="78" t="s">
        <v>17854</v>
      </c>
      <c r="C5118" s="37" t="s">
        <v>24</v>
      </c>
      <c r="D5118" s="20" t="s">
        <v>17855</v>
      </c>
      <c r="E5118" s="20" t="s">
        <v>17856</v>
      </c>
      <c r="F5118" s="19" t="s">
        <v>27</v>
      </c>
      <c r="G5118" s="19" t="s">
        <v>28</v>
      </c>
      <c r="H5118" s="37" t="s">
        <v>813</v>
      </c>
      <c r="I5118" s="37" t="s">
        <v>29</v>
      </c>
      <c r="J5118" s="155" t="str">
        <f t="shared" si="11"/>
        <v>TT</v>
      </c>
      <c r="K5118" s="22" t="s">
        <v>17857</v>
      </c>
      <c r="L5118" s="56">
        <v>45134</v>
      </c>
      <c r="P5118" s="40"/>
      <c r="Q5118" s="61"/>
      <c r="R5118" s="61"/>
      <c r="S5118" s="40"/>
      <c r="T5118" s="38"/>
      <c r="U5118" s="38"/>
      <c r="V5118" s="38"/>
      <c r="W5118" s="60"/>
      <c r="AB5118" s="42"/>
      <c r="AC5118" s="35"/>
      <c r="AD5118" s="38"/>
      <c r="AE5118" s="38"/>
      <c r="AF5118" s="38"/>
      <c r="AG5118" s="38"/>
      <c r="AH5118" s="60"/>
    </row>
    <row r="5119" spans="1:34" ht="15.75" customHeight="1">
      <c r="A5119" s="35"/>
      <c r="B5119" s="38"/>
      <c r="C5119" s="37"/>
      <c r="D5119" s="20"/>
      <c r="E5119" s="20"/>
      <c r="F5119" s="37"/>
      <c r="G5119" s="37"/>
      <c r="H5119" s="37"/>
      <c r="I5119" s="37"/>
      <c r="J5119" s="155">
        <f t="shared" si="11"/>
        <v>0</v>
      </c>
      <c r="K5119" s="22"/>
      <c r="L5119" s="39"/>
      <c r="P5119" s="40"/>
      <c r="Q5119" s="61"/>
      <c r="R5119" s="61"/>
      <c r="S5119" s="40"/>
      <c r="T5119" s="38"/>
      <c r="U5119" s="38"/>
      <c r="V5119" s="38"/>
      <c r="W5119" s="60"/>
      <c r="AB5119" s="42"/>
      <c r="AC5119" s="35"/>
      <c r="AD5119" s="38"/>
      <c r="AE5119" s="38"/>
      <c r="AF5119" s="38"/>
      <c r="AG5119" s="38"/>
      <c r="AH5119" s="60"/>
    </row>
    <row r="5120" spans="1:34" ht="15.75" customHeight="1">
      <c r="A5120" s="35" t="s">
        <v>17858</v>
      </c>
      <c r="B5120" s="58" t="s">
        <v>17859</v>
      </c>
      <c r="C5120" s="37" t="s">
        <v>24</v>
      </c>
      <c r="D5120" s="20" t="s">
        <v>17860</v>
      </c>
      <c r="E5120" s="20" t="s">
        <v>17861</v>
      </c>
      <c r="F5120" s="19" t="s">
        <v>90</v>
      </c>
      <c r="G5120" s="19" t="s">
        <v>28</v>
      </c>
      <c r="H5120" s="37" t="s">
        <v>55</v>
      </c>
      <c r="I5120" s="37" t="s">
        <v>29</v>
      </c>
      <c r="J5120" s="155" t="str">
        <f t="shared" si="11"/>
        <v>TT</v>
      </c>
      <c r="K5120" s="22" t="s">
        <v>17862</v>
      </c>
      <c r="L5120" s="56">
        <v>45134</v>
      </c>
      <c r="M5120" s="40"/>
      <c r="P5120" s="40"/>
      <c r="Q5120" s="61"/>
      <c r="R5120" s="61"/>
      <c r="S5120" s="40"/>
      <c r="T5120" s="38"/>
      <c r="U5120" s="38"/>
      <c r="V5120" s="38"/>
      <c r="W5120" s="60"/>
      <c r="AB5120" s="42"/>
      <c r="AC5120" s="35"/>
      <c r="AD5120" s="38"/>
      <c r="AE5120" s="38"/>
      <c r="AF5120" s="38"/>
      <c r="AG5120" s="38"/>
      <c r="AH5120" s="60"/>
    </row>
    <row r="5121" spans="1:34" ht="15.75" customHeight="1">
      <c r="A5121" s="54" t="s">
        <v>2714</v>
      </c>
      <c r="B5121" s="58" t="s">
        <v>17863</v>
      </c>
      <c r="C5121" s="37" t="s">
        <v>24</v>
      </c>
      <c r="D5121" s="20" t="s">
        <v>17864</v>
      </c>
      <c r="E5121" s="20" t="s">
        <v>17865</v>
      </c>
      <c r="F5121" s="19" t="s">
        <v>27</v>
      </c>
      <c r="G5121" s="19" t="s">
        <v>28</v>
      </c>
      <c r="H5121" s="19" t="s">
        <v>36</v>
      </c>
      <c r="I5121" s="37" t="s">
        <v>29</v>
      </c>
      <c r="J5121" s="155" t="str">
        <f t="shared" si="11"/>
        <v>TT</v>
      </c>
      <c r="K5121" s="22" t="s">
        <v>17866</v>
      </c>
      <c r="L5121" s="56">
        <v>45134</v>
      </c>
      <c r="P5121" s="40"/>
      <c r="Q5121" s="61"/>
      <c r="R5121" s="61"/>
      <c r="S5121" s="40"/>
      <c r="T5121" s="38"/>
      <c r="U5121" s="38"/>
      <c r="V5121" s="38"/>
      <c r="W5121" s="60"/>
      <c r="AB5121" s="42"/>
      <c r="AC5121" s="35"/>
      <c r="AD5121" s="38"/>
      <c r="AE5121" s="38"/>
      <c r="AF5121" s="38"/>
      <c r="AG5121" s="38"/>
      <c r="AH5121" s="60"/>
    </row>
    <row r="5122" spans="1:34" ht="15.75" customHeight="1">
      <c r="A5122" s="114" t="s">
        <v>39</v>
      </c>
      <c r="B5122" s="58" t="s">
        <v>17867</v>
      </c>
      <c r="C5122" s="37" t="s">
        <v>46</v>
      </c>
      <c r="D5122" s="20" t="s">
        <v>17868</v>
      </c>
      <c r="E5122" s="20" t="s">
        <v>17869</v>
      </c>
      <c r="F5122" s="37" t="s">
        <v>49</v>
      </c>
      <c r="G5122" s="19" t="s">
        <v>50</v>
      </c>
      <c r="H5122" s="37" t="s">
        <v>55</v>
      </c>
      <c r="I5122" s="37" t="s">
        <v>29</v>
      </c>
      <c r="J5122" s="155" t="str">
        <f t="shared" si="11"/>
        <v>TT</v>
      </c>
      <c r="K5122" s="22" t="s">
        <v>17870</v>
      </c>
      <c r="L5122" s="56">
        <v>45134</v>
      </c>
      <c r="P5122" s="40"/>
      <c r="Q5122" s="61"/>
      <c r="R5122" s="61"/>
      <c r="S5122" s="40"/>
      <c r="T5122" s="38"/>
      <c r="U5122" s="38"/>
      <c r="V5122" s="38"/>
      <c r="W5122" s="60"/>
      <c r="AB5122" s="42"/>
      <c r="AC5122" s="35"/>
      <c r="AD5122" s="38"/>
      <c r="AE5122" s="38"/>
      <c r="AF5122" s="38"/>
      <c r="AG5122" s="38"/>
      <c r="AH5122" s="60"/>
    </row>
    <row r="5123" spans="1:34" ht="15.75" customHeight="1">
      <c r="A5123" s="38" t="s">
        <v>17871</v>
      </c>
      <c r="B5123" s="58" t="s">
        <v>17872</v>
      </c>
      <c r="C5123" s="37" t="s">
        <v>24</v>
      </c>
      <c r="D5123" s="20" t="s">
        <v>17873</v>
      </c>
      <c r="E5123" s="20" t="s">
        <v>17874</v>
      </c>
      <c r="F5123" s="19" t="s">
        <v>27</v>
      </c>
      <c r="G5123" s="19" t="s">
        <v>28</v>
      </c>
      <c r="H5123" s="37" t="s">
        <v>55</v>
      </c>
      <c r="I5123" s="37" t="s">
        <v>29</v>
      </c>
      <c r="J5123" s="155" t="str">
        <f t="shared" si="11"/>
        <v>TT</v>
      </c>
      <c r="K5123" s="22" t="s">
        <v>17875</v>
      </c>
      <c r="L5123" s="56">
        <v>45134</v>
      </c>
      <c r="P5123" s="40"/>
      <c r="Q5123" s="61"/>
      <c r="R5123" s="61"/>
      <c r="S5123" s="40"/>
      <c r="T5123" s="38"/>
      <c r="U5123" s="38"/>
      <c r="V5123" s="38"/>
      <c r="W5123" s="60"/>
      <c r="AB5123" s="42"/>
      <c r="AC5123" s="35"/>
      <c r="AD5123" s="38"/>
      <c r="AE5123" s="38"/>
      <c r="AF5123" s="38"/>
      <c r="AG5123" s="38"/>
      <c r="AH5123" s="60"/>
    </row>
    <row r="5124" spans="1:34" ht="15.75" customHeight="1">
      <c r="A5124" s="75" t="s">
        <v>16029</v>
      </c>
      <c r="B5124" s="58" t="s">
        <v>17876</v>
      </c>
      <c r="C5124" s="37" t="s">
        <v>46</v>
      </c>
      <c r="D5124" s="20" t="s">
        <v>17877</v>
      </c>
      <c r="E5124" s="20" t="s">
        <v>17878</v>
      </c>
      <c r="F5124" s="37" t="s">
        <v>49</v>
      </c>
      <c r="G5124" s="19" t="s">
        <v>50</v>
      </c>
      <c r="H5124" s="37" t="s">
        <v>55</v>
      </c>
      <c r="I5124" s="37" t="s">
        <v>29</v>
      </c>
      <c r="J5124" s="155" t="str">
        <f t="shared" si="11"/>
        <v>TT</v>
      </c>
      <c r="K5124" s="22" t="s">
        <v>17879</v>
      </c>
      <c r="L5124" s="56">
        <v>45134</v>
      </c>
      <c r="P5124" s="40"/>
      <c r="Q5124" s="61"/>
      <c r="R5124" s="61"/>
      <c r="S5124" s="40"/>
      <c r="T5124" s="38"/>
      <c r="U5124" s="38"/>
      <c r="V5124" s="38"/>
      <c r="W5124" s="60"/>
      <c r="AB5124" s="42"/>
      <c r="AC5124" s="35"/>
      <c r="AD5124" s="38"/>
      <c r="AE5124" s="38"/>
      <c r="AF5124" s="38"/>
      <c r="AG5124" s="38"/>
      <c r="AH5124" s="60"/>
    </row>
    <row r="5125" spans="1:34" ht="15.75" customHeight="1">
      <c r="A5125" s="50" t="s">
        <v>56</v>
      </c>
      <c r="B5125" s="58" t="s">
        <v>17880</v>
      </c>
      <c r="C5125" s="37" t="s">
        <v>46</v>
      </c>
      <c r="D5125" s="20" t="s">
        <v>17881</v>
      </c>
      <c r="E5125" s="20" t="s">
        <v>17882</v>
      </c>
      <c r="F5125" s="37" t="s">
        <v>49</v>
      </c>
      <c r="G5125" s="19" t="s">
        <v>50</v>
      </c>
      <c r="H5125" s="37" t="s">
        <v>55</v>
      </c>
      <c r="I5125" s="37" t="s">
        <v>29</v>
      </c>
      <c r="J5125" s="155" t="str">
        <f t="shared" si="11"/>
        <v>TT</v>
      </c>
      <c r="K5125" s="22" t="s">
        <v>17883</v>
      </c>
      <c r="L5125" s="56">
        <v>45134</v>
      </c>
      <c r="P5125" s="40"/>
      <c r="Q5125" s="61"/>
      <c r="R5125" s="61"/>
      <c r="S5125" s="40"/>
      <c r="T5125" s="38"/>
      <c r="U5125" s="38"/>
      <c r="V5125" s="38"/>
      <c r="W5125" s="60"/>
      <c r="AB5125" s="42"/>
      <c r="AC5125" s="35"/>
      <c r="AD5125" s="38"/>
      <c r="AE5125" s="38"/>
      <c r="AF5125" s="38"/>
      <c r="AG5125" s="38"/>
      <c r="AH5125" s="60"/>
    </row>
    <row r="5126" spans="1:34" ht="15.75" customHeight="1">
      <c r="A5126" s="17">
        <v>34</v>
      </c>
      <c r="B5126" s="58" t="s">
        <v>17884</v>
      </c>
      <c r="C5126" s="37" t="s">
        <v>24</v>
      </c>
      <c r="D5126" s="20" t="s">
        <v>17885</v>
      </c>
      <c r="E5126" s="20" t="s">
        <v>17886</v>
      </c>
      <c r="F5126" s="19" t="s">
        <v>27</v>
      </c>
      <c r="G5126" s="19" t="s">
        <v>28</v>
      </c>
      <c r="H5126" s="37" t="s">
        <v>55</v>
      </c>
      <c r="I5126" s="37" t="s">
        <v>29</v>
      </c>
      <c r="J5126" s="155" t="str">
        <f t="shared" si="11"/>
        <v>TT</v>
      </c>
      <c r="K5126" s="22" t="s">
        <v>17887</v>
      </c>
      <c r="L5126" s="56">
        <v>45134</v>
      </c>
      <c r="P5126" s="40"/>
      <c r="Q5126" s="61"/>
      <c r="R5126" s="61"/>
      <c r="S5126" s="40"/>
      <c r="T5126" s="38"/>
      <c r="U5126" s="38"/>
      <c r="V5126" s="38"/>
      <c r="W5126" s="60"/>
      <c r="AB5126" s="42"/>
      <c r="AC5126" s="35"/>
      <c r="AD5126" s="38"/>
      <c r="AE5126" s="38"/>
      <c r="AF5126" s="38"/>
      <c r="AG5126" s="38"/>
      <c r="AH5126" s="60"/>
    </row>
    <row r="5127" spans="1:34" ht="15.75" customHeight="1">
      <c r="A5127" s="111" t="s">
        <v>64</v>
      </c>
      <c r="B5127" s="58" t="s">
        <v>17888</v>
      </c>
      <c r="C5127" s="37" t="s">
        <v>24</v>
      </c>
      <c r="D5127" s="25" t="s">
        <v>17889</v>
      </c>
      <c r="E5127" s="20" t="s">
        <v>17890</v>
      </c>
      <c r="F5127" s="19" t="s">
        <v>27</v>
      </c>
      <c r="G5127" s="19" t="s">
        <v>28</v>
      </c>
      <c r="H5127" s="37" t="s">
        <v>55</v>
      </c>
      <c r="I5127" s="37" t="s">
        <v>29</v>
      </c>
      <c r="J5127" s="155" t="str">
        <f t="shared" si="11"/>
        <v>TT</v>
      </c>
      <c r="K5127" s="22" t="s">
        <v>17891</v>
      </c>
      <c r="L5127" s="56">
        <v>45134</v>
      </c>
      <c r="P5127" s="40"/>
      <c r="Q5127" s="61"/>
      <c r="R5127" s="61"/>
      <c r="S5127" s="40"/>
      <c r="T5127" s="38"/>
      <c r="U5127" s="38"/>
      <c r="V5127" s="38"/>
      <c r="W5127" s="60"/>
      <c r="AB5127" s="42"/>
      <c r="AC5127" s="35"/>
      <c r="AD5127" s="38"/>
      <c r="AE5127" s="38"/>
      <c r="AF5127" s="38"/>
      <c r="AG5127" s="38"/>
      <c r="AH5127" s="60"/>
    </row>
    <row r="5128" spans="1:34" ht="15.75" customHeight="1">
      <c r="A5128" s="75">
        <v>2.1</v>
      </c>
      <c r="B5128" s="58" t="s">
        <v>17892</v>
      </c>
      <c r="C5128" s="37" t="s">
        <v>46</v>
      </c>
      <c r="D5128" s="20" t="s">
        <v>17893</v>
      </c>
      <c r="E5128" s="20" t="s">
        <v>17894</v>
      </c>
      <c r="F5128" s="37" t="s">
        <v>49</v>
      </c>
      <c r="G5128" s="19" t="s">
        <v>50</v>
      </c>
      <c r="H5128" s="37" t="s">
        <v>55</v>
      </c>
      <c r="I5128" s="37" t="s">
        <v>29</v>
      </c>
      <c r="J5128" s="155" t="str">
        <f t="shared" si="11"/>
        <v>TT</v>
      </c>
      <c r="K5128" s="22" t="s">
        <v>17895</v>
      </c>
      <c r="L5128" s="56">
        <v>45134</v>
      </c>
      <c r="P5128" s="40"/>
      <c r="Q5128" s="61"/>
      <c r="R5128" s="61"/>
      <c r="S5128" s="40"/>
      <c r="T5128" s="38"/>
      <c r="U5128" s="38"/>
      <c r="V5128" s="38"/>
      <c r="W5128" s="60"/>
      <c r="AB5128" s="42"/>
      <c r="AC5128" s="35"/>
      <c r="AD5128" s="38"/>
      <c r="AE5128" s="38"/>
      <c r="AF5128" s="38"/>
      <c r="AG5128" s="38"/>
      <c r="AH5128" s="60"/>
    </row>
    <row r="5129" spans="1:34" ht="15.75" customHeight="1">
      <c r="A5129" s="111" t="s">
        <v>73</v>
      </c>
      <c r="B5129" s="58" t="s">
        <v>17896</v>
      </c>
      <c r="C5129" s="37" t="s">
        <v>87</v>
      </c>
      <c r="D5129" s="20" t="s">
        <v>17897</v>
      </c>
      <c r="E5129" s="20" t="s">
        <v>17898</v>
      </c>
      <c r="F5129" s="19" t="s">
        <v>90</v>
      </c>
      <c r="G5129" s="19" t="s">
        <v>91</v>
      </c>
      <c r="H5129" s="37" t="s">
        <v>55</v>
      </c>
      <c r="I5129" s="37" t="s">
        <v>29</v>
      </c>
      <c r="J5129" s="155" t="str">
        <f t="shared" si="11"/>
        <v>TT</v>
      </c>
      <c r="K5129" s="22" t="s">
        <v>17899</v>
      </c>
      <c r="L5129" s="56">
        <v>45134</v>
      </c>
      <c r="P5129" s="40"/>
      <c r="Q5129" s="61"/>
      <c r="R5129" s="61"/>
      <c r="S5129" s="40"/>
      <c r="T5129" s="38"/>
      <c r="U5129" s="38"/>
      <c r="V5129" s="38"/>
      <c r="W5129" s="60"/>
      <c r="AB5129" s="42"/>
      <c r="AC5129" s="35"/>
      <c r="AD5129" s="38"/>
      <c r="AE5129" s="38"/>
      <c r="AF5129" s="38"/>
      <c r="AG5129" s="38"/>
      <c r="AH5129" s="60"/>
    </row>
    <row r="5130" spans="1:34" ht="15.75" customHeight="1">
      <c r="A5130" s="75">
        <v>2.8</v>
      </c>
      <c r="B5130" s="58" t="s">
        <v>17900</v>
      </c>
      <c r="C5130" s="37" t="s">
        <v>46</v>
      </c>
      <c r="D5130" s="20" t="s">
        <v>17901</v>
      </c>
      <c r="E5130" s="20" t="s">
        <v>17902</v>
      </c>
      <c r="F5130" s="37" t="s">
        <v>49</v>
      </c>
      <c r="G5130" s="19" t="s">
        <v>50</v>
      </c>
      <c r="H5130" s="37" t="s">
        <v>55</v>
      </c>
      <c r="I5130" s="37" t="s">
        <v>29</v>
      </c>
      <c r="J5130" s="155" t="str">
        <f t="shared" si="11"/>
        <v>TT</v>
      </c>
      <c r="K5130" s="22" t="s">
        <v>17903</v>
      </c>
      <c r="L5130" s="56">
        <v>45134</v>
      </c>
      <c r="P5130" s="40"/>
      <c r="Q5130" s="61"/>
      <c r="R5130" s="61"/>
      <c r="S5130" s="40"/>
      <c r="T5130" s="38"/>
      <c r="U5130" s="38"/>
      <c r="V5130" s="38"/>
      <c r="W5130" s="60"/>
      <c r="AB5130" s="42"/>
      <c r="AC5130" s="35"/>
      <c r="AD5130" s="38"/>
      <c r="AE5130" s="38"/>
      <c r="AF5130" s="38"/>
      <c r="AG5130" s="38"/>
      <c r="AH5130" s="60"/>
    </row>
    <row r="5131" spans="1:34" ht="15.75" customHeight="1">
      <c r="A5131" s="111" t="s">
        <v>82</v>
      </c>
      <c r="B5131" s="58" t="s">
        <v>17904</v>
      </c>
      <c r="C5131" s="37" t="s">
        <v>87</v>
      </c>
      <c r="D5131" s="20" t="s">
        <v>17905</v>
      </c>
      <c r="E5131" s="20"/>
      <c r="F5131" s="19" t="s">
        <v>90</v>
      </c>
      <c r="G5131" s="19" t="s">
        <v>91</v>
      </c>
      <c r="H5131" s="37" t="s">
        <v>55</v>
      </c>
      <c r="I5131" s="37" t="s">
        <v>29</v>
      </c>
      <c r="J5131" s="155" t="str">
        <f t="shared" si="11"/>
        <v>TT</v>
      </c>
      <c r="K5131" s="22"/>
      <c r="L5131" s="56">
        <v>45134</v>
      </c>
      <c r="P5131" s="40"/>
      <c r="Q5131" s="61"/>
      <c r="R5131" s="61"/>
      <c r="S5131" s="40"/>
      <c r="T5131" s="38"/>
      <c r="U5131" s="38"/>
      <c r="V5131" s="38"/>
      <c r="W5131" s="60"/>
      <c r="AB5131" s="42"/>
      <c r="AC5131" s="35"/>
      <c r="AD5131" s="38"/>
      <c r="AE5131" s="38"/>
      <c r="AF5131" s="38"/>
      <c r="AG5131" s="38"/>
      <c r="AH5131" s="60"/>
    </row>
    <row r="5132" spans="1:34" ht="15.75" customHeight="1">
      <c r="A5132" s="112" t="s">
        <v>17906</v>
      </c>
      <c r="B5132" s="58" t="s">
        <v>17907</v>
      </c>
      <c r="C5132" s="37" t="s">
        <v>46</v>
      </c>
      <c r="D5132" s="20" t="s">
        <v>17908</v>
      </c>
      <c r="E5132" s="20" t="s">
        <v>17909</v>
      </c>
      <c r="F5132" s="37" t="s">
        <v>49</v>
      </c>
      <c r="G5132" s="19" t="s">
        <v>50</v>
      </c>
      <c r="H5132" s="37" t="s">
        <v>55</v>
      </c>
      <c r="I5132" s="37" t="s">
        <v>29</v>
      </c>
      <c r="J5132" s="155" t="str">
        <f t="shared" si="11"/>
        <v>TT</v>
      </c>
      <c r="K5132" s="22" t="s">
        <v>17910</v>
      </c>
      <c r="L5132" s="56">
        <v>45134</v>
      </c>
      <c r="P5132" s="40"/>
      <c r="Q5132" s="61"/>
      <c r="R5132" s="61"/>
      <c r="S5132" s="40"/>
      <c r="T5132" s="38"/>
      <c r="U5132" s="38"/>
      <c r="V5132" s="38"/>
      <c r="W5132" s="60"/>
      <c r="AB5132" s="42"/>
      <c r="AC5132" s="35"/>
      <c r="AD5132" s="38"/>
      <c r="AE5132" s="38"/>
      <c r="AF5132" s="38"/>
      <c r="AG5132" s="38"/>
      <c r="AH5132" s="60"/>
    </row>
    <row r="5133" spans="1:34" ht="15.75" customHeight="1">
      <c r="A5133" s="111" t="s">
        <v>92</v>
      </c>
      <c r="B5133" s="58" t="s">
        <v>17911</v>
      </c>
      <c r="C5133" s="37" t="s">
        <v>46</v>
      </c>
      <c r="D5133" s="20" t="s">
        <v>17912</v>
      </c>
      <c r="E5133" s="20" t="s">
        <v>17913</v>
      </c>
      <c r="F5133" s="37" t="s">
        <v>49</v>
      </c>
      <c r="G5133" s="19" t="s">
        <v>50</v>
      </c>
      <c r="H5133" s="37" t="s">
        <v>55</v>
      </c>
      <c r="I5133" s="37" t="s">
        <v>29</v>
      </c>
      <c r="J5133" s="155" t="str">
        <f t="shared" si="11"/>
        <v>TT</v>
      </c>
      <c r="K5133" s="22" t="s">
        <v>17914</v>
      </c>
      <c r="L5133" s="56">
        <v>45134</v>
      </c>
      <c r="P5133" s="40"/>
      <c r="Q5133" s="61"/>
      <c r="R5133" s="61"/>
      <c r="S5133" s="40"/>
      <c r="T5133" s="38"/>
      <c r="U5133" s="38"/>
      <c r="V5133" s="38"/>
      <c r="W5133" s="60"/>
      <c r="AB5133" s="42"/>
      <c r="AC5133" s="35"/>
      <c r="AD5133" s="38"/>
      <c r="AE5133" s="38"/>
      <c r="AF5133" s="38"/>
      <c r="AG5133" s="38"/>
      <c r="AH5133" s="60"/>
    </row>
    <row r="5134" spans="1:34" ht="15.75" customHeight="1">
      <c r="A5134" s="17">
        <v>462</v>
      </c>
      <c r="B5134" s="219" t="s">
        <v>17915</v>
      </c>
      <c r="C5134" s="37" t="s">
        <v>24</v>
      </c>
      <c r="D5134" s="20" t="s">
        <v>17916</v>
      </c>
      <c r="E5134" s="20" t="s">
        <v>17917</v>
      </c>
      <c r="F5134" s="19" t="s">
        <v>27</v>
      </c>
      <c r="G5134" s="19" t="s">
        <v>28</v>
      </c>
      <c r="H5134" s="37" t="s">
        <v>55</v>
      </c>
      <c r="I5134" s="37" t="s">
        <v>29</v>
      </c>
      <c r="J5134" s="155" t="str">
        <f t="shared" si="11"/>
        <v>TT</v>
      </c>
      <c r="K5134" s="22" t="s">
        <v>17918</v>
      </c>
      <c r="L5134" s="56">
        <v>45134</v>
      </c>
      <c r="P5134" s="40"/>
      <c r="Q5134" s="61"/>
      <c r="R5134" s="61"/>
      <c r="S5134" s="40"/>
      <c r="T5134" s="38"/>
      <c r="U5134" s="38"/>
      <c r="V5134" s="38"/>
      <c r="W5134" s="60"/>
      <c r="AB5134" s="42"/>
      <c r="AC5134" s="35"/>
      <c r="AD5134" s="38"/>
      <c r="AE5134" s="38"/>
      <c r="AF5134" s="38"/>
      <c r="AG5134" s="38"/>
      <c r="AH5134" s="60"/>
    </row>
    <row r="5135" spans="1:34" ht="15.75" customHeight="1">
      <c r="A5135" s="111" t="s">
        <v>100</v>
      </c>
      <c r="B5135" s="58" t="s">
        <v>17919</v>
      </c>
      <c r="C5135" s="37" t="s">
        <v>24</v>
      </c>
      <c r="D5135" s="20" t="s">
        <v>17920</v>
      </c>
      <c r="E5135" s="20" t="s">
        <v>17921</v>
      </c>
      <c r="F5135" s="19" t="s">
        <v>27</v>
      </c>
      <c r="G5135" s="19" t="s">
        <v>28</v>
      </c>
      <c r="H5135" s="37" t="s">
        <v>55</v>
      </c>
      <c r="I5135" s="37" t="s">
        <v>29</v>
      </c>
      <c r="J5135" s="155" t="str">
        <f t="shared" si="11"/>
        <v>TT</v>
      </c>
      <c r="K5135" s="22" t="s">
        <v>17922</v>
      </c>
      <c r="L5135" s="56">
        <v>45134</v>
      </c>
      <c r="P5135" s="40"/>
      <c r="Q5135" s="61"/>
      <c r="R5135" s="61"/>
      <c r="S5135" s="40"/>
      <c r="T5135" s="38"/>
      <c r="U5135" s="38"/>
      <c r="V5135" s="38"/>
      <c r="W5135" s="60"/>
      <c r="AB5135" s="42"/>
      <c r="AC5135" s="35"/>
      <c r="AD5135" s="38"/>
      <c r="AE5135" s="38"/>
      <c r="AF5135" s="38"/>
      <c r="AG5135" s="38"/>
      <c r="AH5135" s="60"/>
    </row>
    <row r="5136" spans="1:34" ht="15.75" customHeight="1">
      <c r="A5136" s="17" t="s">
        <v>55</v>
      </c>
      <c r="B5136" s="58" t="s">
        <v>17923</v>
      </c>
      <c r="C5136" s="37" t="s">
        <v>46</v>
      </c>
      <c r="D5136" s="20" t="s">
        <v>17924</v>
      </c>
      <c r="E5136" s="20" t="s">
        <v>17925</v>
      </c>
      <c r="F5136" s="37" t="s">
        <v>49</v>
      </c>
      <c r="G5136" s="19" t="s">
        <v>50</v>
      </c>
      <c r="H5136" s="37" t="s">
        <v>55</v>
      </c>
      <c r="I5136" s="37" t="s">
        <v>29</v>
      </c>
      <c r="J5136" s="155" t="str">
        <f t="shared" si="11"/>
        <v>TT</v>
      </c>
      <c r="K5136" s="22" t="s">
        <v>17926</v>
      </c>
      <c r="L5136" s="56">
        <v>45134</v>
      </c>
      <c r="P5136" s="40"/>
      <c r="Q5136" s="61"/>
      <c r="R5136" s="61"/>
      <c r="S5136" s="40"/>
      <c r="T5136" s="38"/>
      <c r="U5136" s="38"/>
      <c r="V5136" s="38"/>
      <c r="W5136" s="60"/>
      <c r="AB5136" s="42"/>
      <c r="AC5136" s="35"/>
      <c r="AD5136" s="38"/>
      <c r="AE5136" s="38"/>
      <c r="AF5136" s="38"/>
      <c r="AG5136" s="38"/>
      <c r="AH5136" s="60"/>
    </row>
    <row r="5137" spans="1:34" ht="15.75" customHeight="1">
      <c r="A5137" s="35"/>
      <c r="B5137" s="58" t="s">
        <v>17927</v>
      </c>
      <c r="C5137" s="37" t="s">
        <v>46</v>
      </c>
      <c r="D5137" s="20" t="s">
        <v>17928</v>
      </c>
      <c r="E5137" s="20" t="s">
        <v>17929</v>
      </c>
      <c r="F5137" s="37" t="s">
        <v>49</v>
      </c>
      <c r="G5137" s="19" t="s">
        <v>50</v>
      </c>
      <c r="H5137" s="37" t="s">
        <v>55</v>
      </c>
      <c r="I5137" s="37" t="s">
        <v>29</v>
      </c>
      <c r="J5137" s="155" t="str">
        <f t="shared" si="11"/>
        <v>TT</v>
      </c>
      <c r="K5137" s="22" t="s">
        <v>17930</v>
      </c>
      <c r="L5137" s="56">
        <v>45134</v>
      </c>
      <c r="P5137" s="40"/>
      <c r="Q5137" s="61"/>
      <c r="R5137" s="61"/>
      <c r="S5137" s="40"/>
      <c r="T5137" s="38"/>
      <c r="U5137" s="38"/>
      <c r="V5137" s="38"/>
      <c r="W5137" s="60"/>
      <c r="AB5137" s="42"/>
      <c r="AC5137" s="35"/>
      <c r="AD5137" s="38"/>
      <c r="AE5137" s="38"/>
      <c r="AF5137" s="38"/>
      <c r="AG5137" s="38"/>
      <c r="AH5137" s="60"/>
    </row>
    <row r="5138" spans="1:34" ht="15.75" customHeight="1">
      <c r="A5138" s="35"/>
      <c r="B5138" s="58" t="s">
        <v>17931</v>
      </c>
      <c r="C5138" s="37" t="s">
        <v>87</v>
      </c>
      <c r="D5138" s="20" t="s">
        <v>17932</v>
      </c>
      <c r="E5138" s="20" t="s">
        <v>17933</v>
      </c>
      <c r="F5138" s="19" t="s">
        <v>90</v>
      </c>
      <c r="G5138" s="19" t="s">
        <v>91</v>
      </c>
      <c r="H5138" s="37" t="s">
        <v>55</v>
      </c>
      <c r="I5138" s="37" t="s">
        <v>29</v>
      </c>
      <c r="J5138" s="155" t="str">
        <f t="shared" si="11"/>
        <v>TT</v>
      </c>
      <c r="K5138" s="22" t="s">
        <v>17934</v>
      </c>
      <c r="L5138" s="56">
        <v>45134</v>
      </c>
      <c r="P5138" s="40"/>
      <c r="Q5138" s="61"/>
      <c r="R5138" s="61"/>
      <c r="S5138" s="40"/>
      <c r="T5138" s="38"/>
      <c r="U5138" s="38"/>
      <c r="V5138" s="38"/>
      <c r="W5138" s="60"/>
      <c r="AB5138" s="42"/>
      <c r="AC5138" s="35"/>
      <c r="AD5138" s="38"/>
      <c r="AE5138" s="38"/>
      <c r="AF5138" s="38"/>
      <c r="AG5138" s="38"/>
      <c r="AH5138" s="60"/>
    </row>
    <row r="5139" spans="1:34" ht="15.75" customHeight="1">
      <c r="A5139" s="35"/>
      <c r="B5139" s="58" t="s">
        <v>17935</v>
      </c>
      <c r="C5139" s="37" t="s">
        <v>24</v>
      </c>
      <c r="D5139" s="20" t="s">
        <v>17936</v>
      </c>
      <c r="E5139" s="20" t="s">
        <v>17937</v>
      </c>
      <c r="F5139" s="19" t="s">
        <v>27</v>
      </c>
      <c r="G5139" s="19" t="s">
        <v>28</v>
      </c>
      <c r="H5139" s="37" t="s">
        <v>55</v>
      </c>
      <c r="I5139" s="37" t="s">
        <v>29</v>
      </c>
      <c r="J5139" s="155" t="str">
        <f t="shared" si="11"/>
        <v>TT</v>
      </c>
      <c r="K5139" s="22" t="s">
        <v>17938</v>
      </c>
      <c r="L5139" s="56">
        <v>45134</v>
      </c>
      <c r="P5139" s="40"/>
      <c r="Q5139" s="61"/>
      <c r="R5139" s="61"/>
      <c r="S5139" s="40"/>
      <c r="T5139" s="38"/>
      <c r="U5139" s="38"/>
      <c r="V5139" s="38"/>
      <c r="W5139" s="60"/>
      <c r="AB5139" s="42"/>
      <c r="AC5139" s="35"/>
      <c r="AD5139" s="38"/>
      <c r="AE5139" s="38"/>
      <c r="AF5139" s="38"/>
      <c r="AG5139" s="38"/>
      <c r="AH5139" s="60"/>
    </row>
    <row r="5140" spans="1:34" ht="15.75" customHeight="1">
      <c r="A5140" s="35"/>
      <c r="B5140" s="58" t="s">
        <v>17939</v>
      </c>
      <c r="C5140" s="37" t="s">
        <v>24</v>
      </c>
      <c r="D5140" s="20" t="s">
        <v>17940</v>
      </c>
      <c r="E5140" s="20" t="s">
        <v>17941</v>
      </c>
      <c r="F5140" s="19" t="s">
        <v>27</v>
      </c>
      <c r="G5140" s="19" t="s">
        <v>28</v>
      </c>
      <c r="H5140" s="37" t="s">
        <v>55</v>
      </c>
      <c r="I5140" s="37" t="s">
        <v>29</v>
      </c>
      <c r="J5140" s="155" t="str">
        <f t="shared" si="11"/>
        <v>TT</v>
      </c>
      <c r="K5140" s="22" t="s">
        <v>17942</v>
      </c>
      <c r="L5140" s="56">
        <v>45134</v>
      </c>
      <c r="P5140" s="40"/>
      <c r="Q5140" s="61"/>
      <c r="R5140" s="61"/>
      <c r="S5140" s="40"/>
      <c r="T5140" s="38"/>
      <c r="U5140" s="38"/>
      <c r="V5140" s="38"/>
      <c r="W5140" s="60"/>
      <c r="AB5140" s="42"/>
      <c r="AC5140" s="35"/>
      <c r="AD5140" s="38"/>
      <c r="AE5140" s="38"/>
      <c r="AF5140" s="38"/>
      <c r="AG5140" s="38"/>
      <c r="AH5140" s="60"/>
    </row>
    <row r="5141" spans="1:34" ht="15.75" customHeight="1">
      <c r="A5141" s="35"/>
      <c r="B5141" s="58" t="s">
        <v>17943</v>
      </c>
      <c r="C5141" s="37" t="s">
        <v>24</v>
      </c>
      <c r="D5141" s="20" t="s">
        <v>17944</v>
      </c>
      <c r="E5141" s="20" t="s">
        <v>17945</v>
      </c>
      <c r="F5141" s="19" t="s">
        <v>27</v>
      </c>
      <c r="G5141" s="19" t="s">
        <v>28</v>
      </c>
      <c r="H5141" s="37" t="s">
        <v>55</v>
      </c>
      <c r="I5141" s="37" t="s">
        <v>29</v>
      </c>
      <c r="J5141" s="155" t="str">
        <f t="shared" si="11"/>
        <v>TT</v>
      </c>
      <c r="K5141" s="22" t="s">
        <v>17946</v>
      </c>
      <c r="L5141" s="56">
        <v>45134</v>
      </c>
      <c r="P5141" s="40"/>
      <c r="Q5141" s="61"/>
      <c r="R5141" s="61"/>
      <c r="S5141" s="40"/>
      <c r="T5141" s="38"/>
      <c r="U5141" s="38"/>
      <c r="V5141" s="38"/>
      <c r="W5141" s="60"/>
      <c r="AB5141" s="42"/>
      <c r="AC5141" s="35"/>
      <c r="AD5141" s="38"/>
      <c r="AE5141" s="38"/>
      <c r="AF5141" s="38"/>
      <c r="AG5141" s="38"/>
      <c r="AH5141" s="60"/>
    </row>
    <row r="5142" spans="1:34" ht="15.75" customHeight="1">
      <c r="A5142" s="35"/>
      <c r="B5142" s="38"/>
      <c r="C5142" s="37"/>
      <c r="D5142" s="20"/>
      <c r="E5142" s="20"/>
      <c r="F5142" s="37"/>
      <c r="G5142" s="37"/>
      <c r="H5142" s="37"/>
      <c r="I5142" s="37"/>
      <c r="J5142" s="155">
        <f t="shared" si="11"/>
        <v>0</v>
      </c>
      <c r="K5142" s="22"/>
      <c r="L5142" s="56"/>
      <c r="P5142" s="40"/>
      <c r="Q5142" s="61"/>
      <c r="R5142" s="61"/>
      <c r="S5142" s="40"/>
      <c r="T5142" s="38"/>
      <c r="U5142" s="38"/>
      <c r="V5142" s="38"/>
      <c r="W5142" s="60"/>
      <c r="AB5142" s="42"/>
      <c r="AC5142" s="35"/>
      <c r="AD5142" s="38"/>
      <c r="AE5142" s="38"/>
      <c r="AF5142" s="38"/>
      <c r="AG5142" s="38"/>
      <c r="AH5142" s="60"/>
    </row>
    <row r="5143" spans="1:34" ht="15.75" customHeight="1">
      <c r="A5143" s="35" t="s">
        <v>17947</v>
      </c>
      <c r="B5143" s="78" t="s">
        <v>17948</v>
      </c>
      <c r="C5143" s="37" t="s">
        <v>412</v>
      </c>
      <c r="D5143" s="20" t="s">
        <v>17949</v>
      </c>
      <c r="E5143" s="20" t="s">
        <v>17950</v>
      </c>
      <c r="F5143" s="19" t="s">
        <v>414</v>
      </c>
      <c r="G5143" s="37" t="s">
        <v>415</v>
      </c>
      <c r="H5143" s="37"/>
      <c r="I5143" s="37" t="s">
        <v>233</v>
      </c>
      <c r="J5143" s="155" t="str">
        <f t="shared" si="11"/>
        <v>NTT</v>
      </c>
      <c r="K5143" s="22" t="s">
        <v>17951</v>
      </c>
      <c r="L5143" s="56">
        <v>45134</v>
      </c>
      <c r="M5143" s="40"/>
      <c r="P5143" s="40"/>
      <c r="Q5143" s="61"/>
      <c r="R5143" s="61"/>
      <c r="S5143" s="40"/>
      <c r="T5143" s="38"/>
      <c r="U5143" s="38"/>
      <c r="V5143" s="38"/>
      <c r="W5143" s="60"/>
      <c r="AB5143" s="42"/>
      <c r="AC5143" s="35"/>
      <c r="AD5143" s="38"/>
      <c r="AE5143" s="38"/>
      <c r="AF5143" s="38"/>
      <c r="AG5143" s="38"/>
      <c r="AH5143" s="60"/>
    </row>
    <row r="5144" spans="1:34" ht="15.75" customHeight="1">
      <c r="A5144" s="54" t="s">
        <v>2714</v>
      </c>
      <c r="B5144" s="78" t="s">
        <v>17952</v>
      </c>
      <c r="C5144" s="37" t="s">
        <v>1430</v>
      </c>
      <c r="D5144" s="20" t="s">
        <v>17953</v>
      </c>
      <c r="E5144" s="20" t="s">
        <v>17954</v>
      </c>
      <c r="F5144" s="55" t="s">
        <v>1445</v>
      </c>
      <c r="G5144" s="55" t="s">
        <v>1432</v>
      </c>
      <c r="H5144" s="37"/>
      <c r="I5144" s="37" t="s">
        <v>233</v>
      </c>
      <c r="J5144" s="155" t="str">
        <f t="shared" si="11"/>
        <v>NTT</v>
      </c>
      <c r="K5144" s="22" t="s">
        <v>17955</v>
      </c>
      <c r="L5144" s="56">
        <v>45134</v>
      </c>
      <c r="P5144" s="40"/>
      <c r="Q5144" s="61"/>
      <c r="R5144" s="61"/>
      <c r="S5144" s="40"/>
      <c r="T5144" s="38"/>
      <c r="U5144" s="38"/>
      <c r="V5144" s="38"/>
      <c r="W5144" s="60"/>
      <c r="AB5144" s="42"/>
      <c r="AC5144" s="35"/>
      <c r="AD5144" s="38"/>
      <c r="AE5144" s="38"/>
      <c r="AF5144" s="38"/>
      <c r="AG5144" s="38"/>
      <c r="AH5144" s="60"/>
    </row>
    <row r="5145" spans="1:34" ht="15.75" customHeight="1">
      <c r="A5145" s="114" t="s">
        <v>39</v>
      </c>
      <c r="B5145" s="78" t="s">
        <v>17956</v>
      </c>
      <c r="C5145" s="37" t="s">
        <v>412</v>
      </c>
      <c r="D5145" s="20" t="s">
        <v>17957</v>
      </c>
      <c r="E5145" s="20" t="s">
        <v>17958</v>
      </c>
      <c r="F5145" s="19" t="s">
        <v>414</v>
      </c>
      <c r="G5145" s="19" t="s">
        <v>415</v>
      </c>
      <c r="H5145" s="37"/>
      <c r="I5145" s="37" t="s">
        <v>233</v>
      </c>
      <c r="J5145" s="155" t="str">
        <f t="shared" si="11"/>
        <v>NTT</v>
      </c>
      <c r="K5145" s="22" t="s">
        <v>17959</v>
      </c>
      <c r="L5145" s="56">
        <v>45134</v>
      </c>
      <c r="P5145" s="40"/>
      <c r="Q5145" s="61"/>
      <c r="R5145" s="61"/>
      <c r="S5145" s="40"/>
      <c r="T5145" s="38"/>
      <c r="U5145" s="38"/>
      <c r="V5145" s="38"/>
      <c r="W5145" s="60"/>
      <c r="AB5145" s="42"/>
      <c r="AC5145" s="35"/>
      <c r="AD5145" s="38"/>
      <c r="AE5145" s="38"/>
      <c r="AF5145" s="38"/>
      <c r="AG5145" s="38"/>
      <c r="AH5145" s="60"/>
    </row>
    <row r="5146" spans="1:34" ht="15.75" customHeight="1">
      <c r="A5146" s="38" t="s">
        <v>17871</v>
      </c>
      <c r="B5146" s="78" t="s">
        <v>17960</v>
      </c>
      <c r="C5146" s="37" t="s">
        <v>87</v>
      </c>
      <c r="D5146" s="20" t="s">
        <v>17961</v>
      </c>
      <c r="E5146" s="20" t="s">
        <v>17962</v>
      </c>
      <c r="F5146" s="19" t="s">
        <v>90</v>
      </c>
      <c r="G5146" s="19" t="s">
        <v>91</v>
      </c>
      <c r="H5146" s="37"/>
      <c r="I5146" s="37" t="s">
        <v>29</v>
      </c>
      <c r="J5146" s="155" t="str">
        <f t="shared" si="11"/>
        <v>TT</v>
      </c>
      <c r="K5146" s="22" t="s">
        <v>17963</v>
      </c>
      <c r="L5146" s="56">
        <v>45134</v>
      </c>
      <c r="P5146" s="40"/>
      <c r="Q5146" s="61"/>
      <c r="R5146" s="61"/>
      <c r="S5146" s="40"/>
      <c r="T5146" s="38"/>
      <c r="U5146" s="38"/>
      <c r="V5146" s="38"/>
      <c r="W5146" s="60"/>
      <c r="AB5146" s="42"/>
      <c r="AC5146" s="35"/>
      <c r="AD5146" s="38"/>
      <c r="AE5146" s="38"/>
      <c r="AF5146" s="38"/>
      <c r="AG5146" s="38"/>
      <c r="AH5146" s="60"/>
    </row>
    <row r="5147" spans="1:34" ht="15.75" customHeight="1">
      <c r="A5147" s="75" t="s">
        <v>17027</v>
      </c>
      <c r="B5147" s="81" t="s">
        <v>17964</v>
      </c>
      <c r="C5147" s="37" t="s">
        <v>24</v>
      </c>
      <c r="D5147" s="20" t="s">
        <v>17965</v>
      </c>
      <c r="E5147" s="20" t="s">
        <v>17966</v>
      </c>
      <c r="F5147" s="19" t="s">
        <v>27</v>
      </c>
      <c r="G5147" s="19" t="s">
        <v>28</v>
      </c>
      <c r="H5147" s="37"/>
      <c r="I5147" s="37" t="s">
        <v>29</v>
      </c>
      <c r="J5147" s="155" t="str">
        <f t="shared" si="11"/>
        <v>TT</v>
      </c>
      <c r="K5147" s="22" t="s">
        <v>17967</v>
      </c>
      <c r="L5147" s="56">
        <v>45134</v>
      </c>
      <c r="P5147" s="40"/>
      <c r="Q5147" s="61"/>
      <c r="R5147" s="61"/>
      <c r="S5147" s="40"/>
      <c r="T5147" s="38"/>
      <c r="U5147" s="38"/>
      <c r="V5147" s="38"/>
      <c r="W5147" s="60"/>
      <c r="AB5147" s="42"/>
      <c r="AC5147" s="35"/>
      <c r="AD5147" s="38"/>
      <c r="AE5147" s="38"/>
      <c r="AF5147" s="38"/>
      <c r="AG5147" s="38"/>
      <c r="AH5147" s="60"/>
    </row>
    <row r="5148" spans="1:34" ht="15.75" customHeight="1">
      <c r="A5148" s="50" t="s">
        <v>56</v>
      </c>
      <c r="B5148" s="78" t="s">
        <v>17968</v>
      </c>
      <c r="C5148" s="37" t="s">
        <v>412</v>
      </c>
      <c r="D5148" s="20" t="s">
        <v>17969</v>
      </c>
      <c r="E5148" s="20"/>
      <c r="F5148" s="19" t="s">
        <v>414</v>
      </c>
      <c r="G5148" s="37" t="s">
        <v>415</v>
      </c>
      <c r="H5148" s="37"/>
      <c r="I5148" s="37" t="s">
        <v>233</v>
      </c>
      <c r="J5148" s="155" t="str">
        <f t="shared" si="11"/>
        <v>NTT</v>
      </c>
      <c r="K5148" s="22"/>
      <c r="L5148" s="56">
        <v>45134</v>
      </c>
      <c r="P5148" s="40"/>
      <c r="Q5148" s="61"/>
      <c r="R5148" s="61"/>
      <c r="S5148" s="40"/>
      <c r="T5148" s="38"/>
      <c r="U5148" s="38"/>
      <c r="V5148" s="38"/>
      <c r="W5148" s="60"/>
      <c r="AB5148" s="42"/>
      <c r="AC5148" s="35"/>
      <c r="AD5148" s="38"/>
      <c r="AE5148" s="38"/>
      <c r="AF5148" s="38"/>
      <c r="AG5148" s="38"/>
      <c r="AH5148" s="60"/>
    </row>
    <row r="5149" spans="1:34" ht="15.75" customHeight="1">
      <c r="A5149" s="17">
        <v>37</v>
      </c>
      <c r="B5149" s="78" t="s">
        <v>17970</v>
      </c>
      <c r="C5149" s="37" t="s">
        <v>24</v>
      </c>
      <c r="D5149" s="20" t="s">
        <v>17971</v>
      </c>
      <c r="E5149" s="20" t="s">
        <v>17972</v>
      </c>
      <c r="F5149" s="19" t="s">
        <v>27</v>
      </c>
      <c r="G5149" s="19" t="s">
        <v>28</v>
      </c>
      <c r="H5149" s="37"/>
      <c r="I5149" s="37" t="s">
        <v>29</v>
      </c>
      <c r="J5149" s="155" t="str">
        <f t="shared" si="11"/>
        <v>TT</v>
      </c>
      <c r="K5149" s="22" t="s">
        <v>17973</v>
      </c>
      <c r="L5149" s="56">
        <v>45134</v>
      </c>
      <c r="P5149" s="40"/>
      <c r="Q5149" s="61"/>
      <c r="R5149" s="61"/>
      <c r="S5149" s="40"/>
      <c r="T5149" s="38"/>
      <c r="U5149" s="38"/>
      <c r="V5149" s="38"/>
      <c r="W5149" s="60"/>
      <c r="AB5149" s="42"/>
      <c r="AC5149" s="35"/>
      <c r="AD5149" s="38"/>
      <c r="AE5149" s="38"/>
      <c r="AF5149" s="38"/>
      <c r="AG5149" s="38"/>
      <c r="AH5149" s="60"/>
    </row>
    <row r="5150" spans="1:34" ht="15.75" customHeight="1">
      <c r="A5150" s="111" t="s">
        <v>64</v>
      </c>
      <c r="B5150" s="78" t="s">
        <v>17974</v>
      </c>
      <c r="C5150" s="37" t="s">
        <v>24</v>
      </c>
      <c r="D5150" s="20" t="s">
        <v>17975</v>
      </c>
      <c r="E5150" s="20" t="s">
        <v>17976</v>
      </c>
      <c r="F5150" s="19" t="s">
        <v>27</v>
      </c>
      <c r="G5150" s="19" t="s">
        <v>28</v>
      </c>
      <c r="H5150" s="37"/>
      <c r="I5150" s="37" t="s">
        <v>29</v>
      </c>
      <c r="J5150" s="155" t="str">
        <f t="shared" si="11"/>
        <v>TT</v>
      </c>
      <c r="K5150" s="22" t="s">
        <v>17977</v>
      </c>
      <c r="L5150" s="56">
        <v>45134</v>
      </c>
      <c r="P5150" s="40"/>
      <c r="Q5150" s="61"/>
      <c r="R5150" s="61"/>
      <c r="S5150" s="40"/>
      <c r="T5150" s="38"/>
      <c r="U5150" s="38"/>
      <c r="V5150" s="38"/>
      <c r="W5150" s="60"/>
      <c r="AB5150" s="42"/>
      <c r="AC5150" s="35"/>
      <c r="AD5150" s="38"/>
      <c r="AE5150" s="38"/>
      <c r="AF5150" s="38"/>
      <c r="AG5150" s="38"/>
      <c r="AH5150" s="60"/>
    </row>
    <row r="5151" spans="1:34" ht="15.75" customHeight="1">
      <c r="A5151" s="75">
        <v>2.2999999999999998</v>
      </c>
      <c r="B5151" s="78" t="s">
        <v>17978</v>
      </c>
      <c r="C5151" s="37" t="s">
        <v>24</v>
      </c>
      <c r="D5151" s="20" t="s">
        <v>17979</v>
      </c>
      <c r="E5151" s="20" t="s">
        <v>17980</v>
      </c>
      <c r="F5151" s="19" t="s">
        <v>27</v>
      </c>
      <c r="G5151" s="19" t="s">
        <v>28</v>
      </c>
      <c r="H5151" s="37"/>
      <c r="I5151" s="37" t="s">
        <v>29</v>
      </c>
      <c r="J5151" s="155" t="str">
        <f t="shared" si="11"/>
        <v>TT</v>
      </c>
      <c r="K5151" s="22" t="s">
        <v>17980</v>
      </c>
      <c r="L5151" s="56">
        <v>45134</v>
      </c>
      <c r="P5151" s="40"/>
      <c r="Q5151" s="61"/>
      <c r="R5151" s="61"/>
      <c r="S5151" s="40"/>
      <c r="T5151" s="38"/>
      <c r="U5151" s="38"/>
      <c r="V5151" s="38"/>
      <c r="W5151" s="60"/>
      <c r="AB5151" s="42"/>
      <c r="AC5151" s="35"/>
      <c r="AD5151" s="38"/>
      <c r="AE5151" s="38"/>
      <c r="AF5151" s="38"/>
      <c r="AG5151" s="38"/>
      <c r="AH5151" s="60"/>
    </row>
    <row r="5152" spans="1:34" ht="15.75" customHeight="1">
      <c r="A5152" s="111" t="s">
        <v>73</v>
      </c>
      <c r="B5152" s="78" t="s">
        <v>17981</v>
      </c>
      <c r="C5152" s="37" t="s">
        <v>412</v>
      </c>
      <c r="D5152" s="20" t="s">
        <v>17982</v>
      </c>
      <c r="E5152" s="20"/>
      <c r="F5152" s="19" t="s">
        <v>414</v>
      </c>
      <c r="G5152" s="19" t="s">
        <v>415</v>
      </c>
      <c r="H5152" s="37"/>
      <c r="I5152" s="37" t="s">
        <v>233</v>
      </c>
      <c r="J5152" s="155" t="str">
        <f t="shared" si="11"/>
        <v>NTT</v>
      </c>
      <c r="K5152" s="22"/>
      <c r="L5152" s="56">
        <v>45134</v>
      </c>
      <c r="P5152" s="40"/>
      <c r="Q5152" s="61"/>
      <c r="R5152" s="61"/>
      <c r="S5152" s="40"/>
      <c r="T5152" s="38"/>
      <c r="U5152" s="38"/>
      <c r="V5152" s="38"/>
      <c r="W5152" s="60"/>
      <c r="AB5152" s="42"/>
      <c r="AC5152" s="35"/>
      <c r="AD5152" s="38"/>
      <c r="AE5152" s="38"/>
      <c r="AF5152" s="38"/>
      <c r="AG5152" s="38"/>
      <c r="AH5152" s="60"/>
    </row>
    <row r="5153" spans="1:34" ht="15.75" customHeight="1">
      <c r="A5153" s="75">
        <v>3.2</v>
      </c>
      <c r="B5153" s="78" t="s">
        <v>17983</v>
      </c>
      <c r="C5153" s="37" t="s">
        <v>24</v>
      </c>
      <c r="D5153" s="20" t="s">
        <v>17984</v>
      </c>
      <c r="E5153" s="20" t="s">
        <v>17985</v>
      </c>
      <c r="F5153" s="19" t="s">
        <v>27</v>
      </c>
      <c r="G5153" s="19" t="s">
        <v>28</v>
      </c>
      <c r="H5153" s="37" t="s">
        <v>813</v>
      </c>
      <c r="I5153" s="37" t="s">
        <v>29</v>
      </c>
      <c r="J5153" s="155" t="str">
        <f t="shared" si="11"/>
        <v>TT</v>
      </c>
      <c r="K5153" s="22" t="s">
        <v>17986</v>
      </c>
      <c r="L5153" s="56">
        <v>45134</v>
      </c>
      <c r="P5153" s="40"/>
      <c r="Q5153" s="61"/>
      <c r="R5153" s="61"/>
      <c r="S5153" s="40"/>
      <c r="T5153" s="38"/>
      <c r="U5153" s="38"/>
      <c r="V5153" s="38"/>
      <c r="W5153" s="60"/>
      <c r="AB5153" s="42"/>
      <c r="AC5153" s="35"/>
      <c r="AD5153" s="38"/>
      <c r="AE5153" s="38"/>
      <c r="AF5153" s="38"/>
      <c r="AG5153" s="38"/>
      <c r="AH5153" s="60"/>
    </row>
    <row r="5154" spans="1:34" ht="15.75" customHeight="1">
      <c r="A5154" s="111" t="s">
        <v>82</v>
      </c>
      <c r="B5154" s="78" t="s">
        <v>17987</v>
      </c>
      <c r="C5154" s="37" t="s">
        <v>46</v>
      </c>
      <c r="D5154" s="20" t="s">
        <v>17988</v>
      </c>
      <c r="E5154" s="20"/>
      <c r="F5154" s="37" t="s">
        <v>49</v>
      </c>
      <c r="G5154" s="19" t="s">
        <v>50</v>
      </c>
      <c r="H5154" s="37"/>
      <c r="I5154" s="37" t="s">
        <v>29</v>
      </c>
      <c r="J5154" s="155" t="str">
        <f t="shared" si="11"/>
        <v>TT</v>
      </c>
      <c r="K5154" s="22"/>
      <c r="L5154" s="56">
        <v>45134</v>
      </c>
      <c r="P5154" s="40"/>
      <c r="Q5154" s="61"/>
      <c r="R5154" s="61"/>
      <c r="S5154" s="40"/>
      <c r="T5154" s="38"/>
      <c r="U5154" s="38"/>
      <c r="V5154" s="38"/>
      <c r="W5154" s="60"/>
      <c r="AB5154" s="42"/>
      <c r="AC5154" s="35"/>
      <c r="AD5154" s="38"/>
      <c r="AE5154" s="38"/>
      <c r="AF5154" s="38"/>
      <c r="AG5154" s="38"/>
      <c r="AH5154" s="60"/>
    </row>
    <row r="5155" spans="1:34" ht="15.75" customHeight="1">
      <c r="A5155" s="112" t="s">
        <v>17989</v>
      </c>
      <c r="B5155" s="78" t="s">
        <v>17990</v>
      </c>
      <c r="C5155" s="37" t="s">
        <v>24</v>
      </c>
      <c r="D5155" s="20" t="s">
        <v>17991</v>
      </c>
      <c r="E5155" s="20" t="s">
        <v>17992</v>
      </c>
      <c r="F5155" s="19" t="s">
        <v>27</v>
      </c>
      <c r="G5155" s="19" t="s">
        <v>28</v>
      </c>
      <c r="H5155" s="37"/>
      <c r="I5155" s="37" t="s">
        <v>29</v>
      </c>
      <c r="J5155" s="155" t="str">
        <f t="shared" si="11"/>
        <v>TT</v>
      </c>
      <c r="K5155" s="22" t="s">
        <v>17993</v>
      </c>
      <c r="L5155" s="56">
        <v>45134</v>
      </c>
      <c r="P5155" s="40"/>
      <c r="Q5155" s="61"/>
      <c r="R5155" s="61"/>
      <c r="S5155" s="40"/>
      <c r="T5155" s="38"/>
      <c r="U5155" s="38"/>
      <c r="V5155" s="38"/>
      <c r="W5155" s="60"/>
      <c r="AB5155" s="42"/>
      <c r="AC5155" s="35"/>
      <c r="AD5155" s="38"/>
      <c r="AE5155" s="38"/>
      <c r="AF5155" s="38"/>
      <c r="AG5155" s="38"/>
      <c r="AH5155" s="60"/>
    </row>
    <row r="5156" spans="1:34" ht="15.75" customHeight="1">
      <c r="A5156" s="111" t="s">
        <v>92</v>
      </c>
      <c r="B5156" s="78" t="s">
        <v>17994</v>
      </c>
      <c r="C5156" s="37" t="s">
        <v>24</v>
      </c>
      <c r="D5156" s="20" t="s">
        <v>17995</v>
      </c>
      <c r="E5156" s="20" t="s">
        <v>17996</v>
      </c>
      <c r="F5156" s="19" t="s">
        <v>27</v>
      </c>
      <c r="G5156" s="19" t="s">
        <v>28</v>
      </c>
      <c r="H5156" s="37"/>
      <c r="I5156" s="37" t="s">
        <v>29</v>
      </c>
      <c r="J5156" s="155" t="str">
        <f t="shared" si="11"/>
        <v>TT</v>
      </c>
      <c r="K5156" s="22" t="s">
        <v>17996</v>
      </c>
      <c r="L5156" s="56">
        <v>45134</v>
      </c>
      <c r="P5156" s="40"/>
      <c r="Q5156" s="61"/>
      <c r="R5156" s="61"/>
      <c r="S5156" s="40"/>
      <c r="T5156" s="38"/>
      <c r="U5156" s="38"/>
      <c r="V5156" s="38"/>
      <c r="W5156" s="60"/>
      <c r="AB5156" s="42"/>
      <c r="AC5156" s="35"/>
      <c r="AD5156" s="38"/>
      <c r="AE5156" s="38"/>
      <c r="AF5156" s="38"/>
      <c r="AG5156" s="38"/>
      <c r="AH5156" s="60"/>
    </row>
    <row r="5157" spans="1:34" ht="15.75" customHeight="1">
      <c r="A5157" s="17">
        <v>219</v>
      </c>
      <c r="B5157" s="78" t="s">
        <v>17997</v>
      </c>
      <c r="C5157" s="37" t="s">
        <v>24</v>
      </c>
      <c r="D5157" s="20" t="s">
        <v>17998</v>
      </c>
      <c r="E5157" s="20" t="s">
        <v>17999</v>
      </c>
      <c r="F5157" s="19" t="s">
        <v>27</v>
      </c>
      <c r="G5157" s="19" t="s">
        <v>28</v>
      </c>
      <c r="H5157" s="19" t="s">
        <v>36</v>
      </c>
      <c r="I5157" s="37" t="s">
        <v>29</v>
      </c>
      <c r="J5157" s="155" t="str">
        <f t="shared" si="11"/>
        <v>TT</v>
      </c>
      <c r="K5157" s="22" t="s">
        <v>18000</v>
      </c>
      <c r="L5157" s="56">
        <v>45134</v>
      </c>
      <c r="P5157" s="40"/>
      <c r="Q5157" s="61"/>
      <c r="R5157" s="61"/>
      <c r="S5157" s="40"/>
      <c r="T5157" s="38"/>
      <c r="U5157" s="38"/>
      <c r="V5157" s="38"/>
      <c r="W5157" s="60"/>
      <c r="AB5157" s="42"/>
      <c r="AC5157" s="35"/>
      <c r="AD5157" s="38"/>
      <c r="AE5157" s="38"/>
      <c r="AF5157" s="38"/>
      <c r="AG5157" s="38"/>
      <c r="AH5157" s="60"/>
    </row>
    <row r="5158" spans="1:34" ht="15.75" customHeight="1">
      <c r="A5158" s="111" t="s">
        <v>100</v>
      </c>
      <c r="B5158" s="38"/>
      <c r="C5158" s="37"/>
      <c r="D5158" s="20"/>
      <c r="E5158" s="20"/>
      <c r="F5158" s="37"/>
      <c r="G5158" s="37"/>
      <c r="H5158" s="37"/>
      <c r="I5158" s="37"/>
      <c r="J5158" s="155">
        <f t="shared" si="11"/>
        <v>0</v>
      </c>
      <c r="K5158" s="22"/>
      <c r="L5158" s="56"/>
      <c r="P5158" s="40"/>
      <c r="Q5158" s="61"/>
      <c r="R5158" s="61"/>
      <c r="S5158" s="40"/>
      <c r="T5158" s="38"/>
      <c r="U5158" s="38"/>
      <c r="V5158" s="38"/>
      <c r="W5158" s="60"/>
      <c r="AB5158" s="42"/>
      <c r="AC5158" s="35"/>
      <c r="AD5158" s="38"/>
      <c r="AE5158" s="38"/>
      <c r="AF5158" s="38"/>
      <c r="AG5158" s="38"/>
      <c r="AH5158" s="60"/>
    </row>
    <row r="5159" spans="1:34" ht="15.75" customHeight="1">
      <c r="A5159" s="17">
        <v>155</v>
      </c>
      <c r="B5159" s="38"/>
      <c r="C5159" s="37"/>
      <c r="D5159" s="20"/>
      <c r="E5159" s="20"/>
      <c r="F5159" s="37"/>
      <c r="G5159" s="37"/>
      <c r="H5159" s="37"/>
      <c r="I5159" s="37"/>
      <c r="J5159" s="155">
        <f t="shared" si="11"/>
        <v>0</v>
      </c>
      <c r="K5159" s="22"/>
      <c r="L5159" s="56"/>
      <c r="P5159" s="40"/>
      <c r="Q5159" s="61"/>
      <c r="R5159" s="61"/>
      <c r="S5159" s="40"/>
      <c r="T5159" s="38"/>
      <c r="U5159" s="38"/>
      <c r="V5159" s="38"/>
      <c r="W5159" s="60"/>
      <c r="AB5159" s="42"/>
      <c r="AC5159" s="35"/>
      <c r="AD5159" s="38"/>
      <c r="AE5159" s="38"/>
      <c r="AF5159" s="38"/>
      <c r="AG5159" s="38"/>
      <c r="AH5159" s="60"/>
    </row>
    <row r="5160" spans="1:34" ht="15.75" customHeight="1">
      <c r="A5160" s="35"/>
      <c r="B5160" s="38"/>
      <c r="C5160" s="37"/>
      <c r="D5160" s="20"/>
      <c r="E5160" s="20"/>
      <c r="F5160" s="37"/>
      <c r="G5160" s="37"/>
      <c r="H5160" s="37"/>
      <c r="I5160" s="37"/>
      <c r="J5160" s="155">
        <f t="shared" si="11"/>
        <v>0</v>
      </c>
      <c r="K5160" s="22"/>
      <c r="L5160" s="56"/>
      <c r="P5160" s="40"/>
      <c r="Q5160" s="61"/>
      <c r="R5160" s="61"/>
      <c r="S5160" s="40"/>
      <c r="T5160" s="38"/>
      <c r="U5160" s="38"/>
      <c r="V5160" s="38"/>
      <c r="W5160" s="60"/>
      <c r="AB5160" s="42"/>
      <c r="AC5160" s="35"/>
      <c r="AD5160" s="38"/>
      <c r="AE5160" s="38"/>
      <c r="AF5160" s="38"/>
      <c r="AG5160" s="38"/>
      <c r="AH5160" s="60"/>
    </row>
    <row r="5161" spans="1:34" ht="15.75" customHeight="1">
      <c r="A5161" s="35" t="s">
        <v>18001</v>
      </c>
      <c r="B5161" s="78" t="s">
        <v>18002</v>
      </c>
      <c r="C5161" s="37" t="s">
        <v>24</v>
      </c>
      <c r="D5161" s="20" t="s">
        <v>18003</v>
      </c>
      <c r="E5161" s="20" t="s">
        <v>18004</v>
      </c>
      <c r="F5161" s="19" t="s">
        <v>27</v>
      </c>
      <c r="G5161" s="19" t="s">
        <v>28</v>
      </c>
      <c r="H5161" s="37" t="s">
        <v>55</v>
      </c>
      <c r="I5161" s="37" t="s">
        <v>29</v>
      </c>
      <c r="J5161" s="155" t="str">
        <f t="shared" si="11"/>
        <v>TT</v>
      </c>
      <c r="K5161" s="22" t="s">
        <v>18005</v>
      </c>
      <c r="L5161" s="56">
        <v>45134</v>
      </c>
      <c r="M5161" s="40"/>
      <c r="P5161" s="40"/>
      <c r="Q5161" s="61"/>
      <c r="R5161" s="61"/>
      <c r="S5161" s="40"/>
      <c r="T5161" s="38"/>
      <c r="U5161" s="38"/>
      <c r="V5161" s="38"/>
      <c r="W5161" s="60"/>
      <c r="AB5161" s="42"/>
      <c r="AC5161" s="35"/>
      <c r="AD5161" s="38"/>
      <c r="AE5161" s="38"/>
      <c r="AF5161" s="38"/>
      <c r="AG5161" s="38"/>
      <c r="AH5161" s="60"/>
    </row>
    <row r="5162" spans="1:34" ht="15.75" customHeight="1">
      <c r="A5162" s="54" t="s">
        <v>2628</v>
      </c>
      <c r="B5162" s="78" t="s">
        <v>18006</v>
      </c>
      <c r="C5162" s="37" t="s">
        <v>46</v>
      </c>
      <c r="D5162" s="20" t="s">
        <v>18007</v>
      </c>
      <c r="E5162" s="20" t="s">
        <v>18008</v>
      </c>
      <c r="F5162" s="37" t="s">
        <v>49</v>
      </c>
      <c r="G5162" s="19" t="s">
        <v>50</v>
      </c>
      <c r="H5162" s="37" t="s">
        <v>55</v>
      </c>
      <c r="I5162" s="37" t="s">
        <v>29</v>
      </c>
      <c r="J5162" s="155" t="str">
        <f t="shared" si="11"/>
        <v>TT</v>
      </c>
      <c r="K5162" s="22" t="s">
        <v>18009</v>
      </c>
      <c r="L5162" s="56">
        <v>45134</v>
      </c>
      <c r="P5162" s="40"/>
      <c r="Q5162" s="61"/>
      <c r="R5162" s="61"/>
      <c r="S5162" s="40"/>
      <c r="T5162" s="38"/>
      <c r="U5162" s="38"/>
      <c r="V5162" s="38"/>
      <c r="W5162" s="60"/>
      <c r="AB5162" s="42"/>
      <c r="AC5162" s="35"/>
      <c r="AD5162" s="38"/>
      <c r="AE5162" s="38"/>
      <c r="AF5162" s="38"/>
      <c r="AG5162" s="38"/>
      <c r="AH5162" s="60"/>
    </row>
    <row r="5163" spans="1:34" ht="15.75" customHeight="1">
      <c r="A5163" s="114" t="s">
        <v>39</v>
      </c>
      <c r="B5163" s="78" t="s">
        <v>18010</v>
      </c>
      <c r="C5163" s="37" t="s">
        <v>24</v>
      </c>
      <c r="D5163" s="20" t="s">
        <v>18011</v>
      </c>
      <c r="E5163" s="20" t="s">
        <v>18012</v>
      </c>
      <c r="F5163" s="19" t="s">
        <v>27</v>
      </c>
      <c r="G5163" s="19" t="s">
        <v>28</v>
      </c>
      <c r="H5163" s="37" t="s">
        <v>55</v>
      </c>
      <c r="I5163" s="37" t="s">
        <v>29</v>
      </c>
      <c r="J5163" s="155" t="str">
        <f t="shared" si="11"/>
        <v>TT</v>
      </c>
      <c r="K5163" s="22" t="s">
        <v>18013</v>
      </c>
      <c r="L5163" s="56">
        <v>45134</v>
      </c>
      <c r="P5163" s="40"/>
      <c r="Q5163" s="61"/>
      <c r="R5163" s="61"/>
      <c r="S5163" s="40"/>
      <c r="T5163" s="38"/>
      <c r="U5163" s="38"/>
      <c r="V5163" s="38"/>
      <c r="W5163" s="60"/>
      <c r="AB5163" s="42"/>
      <c r="AC5163" s="35"/>
      <c r="AD5163" s="38"/>
      <c r="AE5163" s="38"/>
      <c r="AF5163" s="38"/>
      <c r="AG5163" s="38"/>
      <c r="AH5163" s="60"/>
    </row>
    <row r="5164" spans="1:34" ht="15.75" customHeight="1">
      <c r="A5164" s="38" t="s">
        <v>17871</v>
      </c>
      <c r="B5164" s="78" t="s">
        <v>18014</v>
      </c>
      <c r="C5164" s="37" t="s">
        <v>24</v>
      </c>
      <c r="D5164" s="20" t="s">
        <v>18015</v>
      </c>
      <c r="E5164" s="20" t="s">
        <v>18016</v>
      </c>
      <c r="F5164" s="19" t="s">
        <v>27</v>
      </c>
      <c r="G5164" s="19" t="s">
        <v>28</v>
      </c>
      <c r="H5164" s="37" t="s">
        <v>55</v>
      </c>
      <c r="I5164" s="37" t="s">
        <v>29</v>
      </c>
      <c r="J5164" s="155" t="str">
        <f t="shared" si="11"/>
        <v>TT</v>
      </c>
      <c r="K5164" s="22" t="s">
        <v>18017</v>
      </c>
      <c r="L5164" s="56">
        <v>45134</v>
      </c>
      <c r="P5164" s="40"/>
      <c r="Q5164" s="61"/>
      <c r="R5164" s="61"/>
      <c r="S5164" s="40"/>
      <c r="T5164" s="38"/>
      <c r="U5164" s="38"/>
      <c r="V5164" s="38"/>
      <c r="W5164" s="60"/>
      <c r="AB5164" s="42"/>
      <c r="AC5164" s="35"/>
      <c r="AD5164" s="38"/>
      <c r="AE5164" s="38"/>
      <c r="AF5164" s="38"/>
      <c r="AG5164" s="38"/>
      <c r="AH5164" s="60"/>
    </row>
    <row r="5165" spans="1:34" ht="15.75" customHeight="1">
      <c r="A5165" s="75" t="s">
        <v>17192</v>
      </c>
      <c r="B5165" s="78" t="s">
        <v>18018</v>
      </c>
      <c r="C5165" s="37" t="s">
        <v>24</v>
      </c>
      <c r="D5165" s="20" t="s">
        <v>18019</v>
      </c>
      <c r="E5165" s="20" t="s">
        <v>18020</v>
      </c>
      <c r="F5165" s="19" t="s">
        <v>27</v>
      </c>
      <c r="G5165" s="19" t="s">
        <v>28</v>
      </c>
      <c r="H5165" s="37" t="s">
        <v>55</v>
      </c>
      <c r="I5165" s="37" t="s">
        <v>29</v>
      </c>
      <c r="J5165" s="155" t="str">
        <f t="shared" si="11"/>
        <v>TT</v>
      </c>
      <c r="K5165" s="22" t="s">
        <v>18021</v>
      </c>
      <c r="L5165" s="56">
        <v>45134</v>
      </c>
      <c r="P5165" s="40"/>
      <c r="Q5165" s="61"/>
      <c r="R5165" s="61"/>
      <c r="S5165" s="40"/>
      <c r="T5165" s="38"/>
      <c r="U5165" s="38"/>
      <c r="V5165" s="38"/>
      <c r="W5165" s="60"/>
      <c r="AB5165" s="42"/>
      <c r="AC5165" s="35"/>
      <c r="AD5165" s="38"/>
      <c r="AE5165" s="38"/>
      <c r="AF5165" s="38"/>
      <c r="AG5165" s="38"/>
      <c r="AH5165" s="60"/>
    </row>
    <row r="5166" spans="1:34" ht="15.75" customHeight="1">
      <c r="A5166" s="50" t="s">
        <v>56</v>
      </c>
      <c r="B5166" s="78" t="s">
        <v>18022</v>
      </c>
      <c r="C5166" s="37" t="s">
        <v>24</v>
      </c>
      <c r="D5166" s="20" t="s">
        <v>18023</v>
      </c>
      <c r="E5166" s="20" t="s">
        <v>18024</v>
      </c>
      <c r="F5166" s="19" t="s">
        <v>27</v>
      </c>
      <c r="G5166" s="19" t="s">
        <v>28</v>
      </c>
      <c r="H5166" s="37" t="s">
        <v>55</v>
      </c>
      <c r="I5166" s="37" t="s">
        <v>29</v>
      </c>
      <c r="J5166" s="155" t="str">
        <f t="shared" si="11"/>
        <v>TT</v>
      </c>
      <c r="K5166" s="22" t="s">
        <v>18025</v>
      </c>
      <c r="L5166" s="56">
        <v>45134</v>
      </c>
      <c r="P5166" s="40"/>
      <c r="Q5166" s="61"/>
      <c r="R5166" s="61"/>
      <c r="S5166" s="40"/>
      <c r="T5166" s="38"/>
      <c r="U5166" s="38"/>
      <c r="V5166" s="38"/>
      <c r="W5166" s="60"/>
      <c r="AB5166" s="42"/>
      <c r="AC5166" s="35"/>
      <c r="AD5166" s="38"/>
      <c r="AE5166" s="38"/>
      <c r="AF5166" s="38"/>
      <c r="AG5166" s="38"/>
      <c r="AH5166" s="60"/>
    </row>
    <row r="5167" spans="1:34" ht="15.75" customHeight="1">
      <c r="A5167" s="17">
        <v>35</v>
      </c>
      <c r="B5167" s="78" t="s">
        <v>18026</v>
      </c>
      <c r="C5167" s="37" t="s">
        <v>24</v>
      </c>
      <c r="D5167" s="20" t="s">
        <v>18027</v>
      </c>
      <c r="E5167" s="20" t="s">
        <v>18028</v>
      </c>
      <c r="F5167" s="19" t="s">
        <v>27</v>
      </c>
      <c r="G5167" s="19" t="s">
        <v>28</v>
      </c>
      <c r="H5167" s="37" t="s">
        <v>55</v>
      </c>
      <c r="I5167" s="37" t="s">
        <v>29</v>
      </c>
      <c r="J5167" s="155" t="str">
        <f t="shared" si="11"/>
        <v>TT</v>
      </c>
      <c r="K5167" s="22" t="s">
        <v>18029</v>
      </c>
      <c r="L5167" s="56">
        <v>45134</v>
      </c>
      <c r="P5167" s="40"/>
      <c r="Q5167" s="61"/>
      <c r="R5167" s="61"/>
      <c r="S5167" s="40"/>
      <c r="T5167" s="38"/>
      <c r="U5167" s="38"/>
      <c r="V5167" s="38"/>
      <c r="W5167" s="60"/>
      <c r="AB5167" s="42"/>
      <c r="AC5167" s="35"/>
      <c r="AD5167" s="38"/>
      <c r="AE5167" s="38"/>
      <c r="AF5167" s="38"/>
      <c r="AG5167" s="38"/>
      <c r="AH5167" s="60"/>
    </row>
    <row r="5168" spans="1:34" ht="15.75" customHeight="1">
      <c r="A5168" s="111" t="s">
        <v>64</v>
      </c>
      <c r="B5168" s="78" t="s">
        <v>18030</v>
      </c>
      <c r="C5168" s="37" t="s">
        <v>87</v>
      </c>
      <c r="D5168" s="20" t="s">
        <v>18031</v>
      </c>
      <c r="E5168" s="20" t="s">
        <v>18032</v>
      </c>
      <c r="F5168" s="19" t="s">
        <v>90</v>
      </c>
      <c r="G5168" s="19" t="s">
        <v>91</v>
      </c>
      <c r="H5168" s="37" t="s">
        <v>55</v>
      </c>
      <c r="I5168" s="37" t="s">
        <v>29</v>
      </c>
      <c r="J5168" s="155" t="str">
        <f t="shared" si="11"/>
        <v>TT</v>
      </c>
      <c r="K5168" s="22" t="s">
        <v>18033</v>
      </c>
      <c r="L5168" s="56">
        <v>45134</v>
      </c>
      <c r="P5168" s="40"/>
      <c r="Q5168" s="61"/>
      <c r="R5168" s="61"/>
      <c r="S5168" s="40"/>
      <c r="T5168" s="38"/>
      <c r="U5168" s="38"/>
      <c r="V5168" s="38"/>
      <c r="W5168" s="60"/>
      <c r="AB5168" s="42"/>
      <c r="AC5168" s="35"/>
      <c r="AD5168" s="38"/>
      <c r="AE5168" s="38"/>
      <c r="AF5168" s="38"/>
      <c r="AG5168" s="38"/>
      <c r="AH5168" s="60"/>
    </row>
    <row r="5169" spans="1:34" ht="15.75" customHeight="1">
      <c r="A5169" s="75">
        <v>2.1</v>
      </c>
      <c r="B5169" s="78" t="s">
        <v>18034</v>
      </c>
      <c r="C5169" s="37" t="s">
        <v>24</v>
      </c>
      <c r="D5169" s="20" t="s">
        <v>18035</v>
      </c>
      <c r="E5169" s="20" t="s">
        <v>18036</v>
      </c>
      <c r="F5169" s="19" t="s">
        <v>27</v>
      </c>
      <c r="G5169" s="19" t="s">
        <v>28</v>
      </c>
      <c r="H5169" s="37" t="s">
        <v>55</v>
      </c>
      <c r="I5169" s="37" t="s">
        <v>29</v>
      </c>
      <c r="J5169" s="155" t="str">
        <f t="shared" si="11"/>
        <v>TT</v>
      </c>
      <c r="K5169" s="22" t="s">
        <v>18037</v>
      </c>
      <c r="L5169" s="56">
        <v>45134</v>
      </c>
      <c r="P5169" s="40"/>
      <c r="Q5169" s="61"/>
      <c r="R5169" s="61"/>
      <c r="S5169" s="40"/>
      <c r="T5169" s="38"/>
      <c r="U5169" s="38"/>
      <c r="V5169" s="38"/>
      <c r="W5169" s="60"/>
      <c r="AB5169" s="42"/>
      <c r="AC5169" s="35"/>
      <c r="AD5169" s="38"/>
      <c r="AE5169" s="38"/>
      <c r="AF5169" s="38"/>
      <c r="AG5169" s="38"/>
      <c r="AH5169" s="60"/>
    </row>
    <row r="5170" spans="1:34" ht="15.75" customHeight="1">
      <c r="A5170" s="111" t="s">
        <v>73</v>
      </c>
      <c r="B5170" s="78" t="s">
        <v>18038</v>
      </c>
      <c r="C5170" s="37" t="s">
        <v>24</v>
      </c>
      <c r="D5170" s="20" t="s">
        <v>18039</v>
      </c>
      <c r="E5170" s="20" t="s">
        <v>18040</v>
      </c>
      <c r="F5170" s="19" t="s">
        <v>27</v>
      </c>
      <c r="G5170" s="19" t="s">
        <v>28</v>
      </c>
      <c r="H5170" s="37" t="s">
        <v>55</v>
      </c>
      <c r="I5170" s="37" t="s">
        <v>29</v>
      </c>
      <c r="J5170" s="155" t="str">
        <f t="shared" si="11"/>
        <v>TT</v>
      </c>
      <c r="K5170" s="22" t="s">
        <v>18041</v>
      </c>
      <c r="L5170" s="56">
        <v>45134</v>
      </c>
      <c r="P5170" s="40"/>
      <c r="Q5170" s="61"/>
      <c r="R5170" s="61"/>
      <c r="S5170" s="40"/>
      <c r="T5170" s="38"/>
      <c r="U5170" s="38"/>
      <c r="V5170" s="38"/>
      <c r="W5170" s="60"/>
      <c r="AB5170" s="42"/>
      <c r="AC5170" s="35"/>
      <c r="AD5170" s="38"/>
      <c r="AE5170" s="38"/>
      <c r="AF5170" s="38"/>
      <c r="AG5170" s="38"/>
      <c r="AH5170" s="60"/>
    </row>
    <row r="5171" spans="1:34" ht="15.75" customHeight="1">
      <c r="A5171" s="75">
        <v>2.6</v>
      </c>
      <c r="B5171" s="78" t="s">
        <v>18042</v>
      </c>
      <c r="C5171" s="37" t="s">
        <v>87</v>
      </c>
      <c r="D5171" s="20" t="s">
        <v>18043</v>
      </c>
      <c r="E5171" s="20"/>
      <c r="F5171" s="19" t="s">
        <v>90</v>
      </c>
      <c r="G5171" s="19" t="s">
        <v>91</v>
      </c>
      <c r="H5171" s="37" t="s">
        <v>55</v>
      </c>
      <c r="I5171" s="37" t="s">
        <v>29</v>
      </c>
      <c r="J5171" s="155" t="str">
        <f t="shared" si="11"/>
        <v>TT</v>
      </c>
      <c r="K5171" s="22"/>
      <c r="L5171" s="56">
        <v>45134</v>
      </c>
      <c r="P5171" s="40"/>
      <c r="Q5171" s="61"/>
      <c r="R5171" s="61"/>
      <c r="S5171" s="40"/>
      <c r="T5171" s="38"/>
      <c r="U5171" s="38"/>
      <c r="V5171" s="38"/>
      <c r="W5171" s="60"/>
      <c r="AB5171" s="42"/>
      <c r="AC5171" s="35"/>
      <c r="AD5171" s="38"/>
      <c r="AE5171" s="38"/>
      <c r="AF5171" s="38"/>
      <c r="AG5171" s="38"/>
      <c r="AH5171" s="60"/>
    </row>
    <row r="5172" spans="1:34" ht="15.75" customHeight="1">
      <c r="A5172" s="111" t="s">
        <v>82</v>
      </c>
      <c r="B5172" s="81" t="s">
        <v>18044</v>
      </c>
      <c r="C5172" s="37" t="s">
        <v>87</v>
      </c>
      <c r="D5172" s="20" t="s">
        <v>18045</v>
      </c>
      <c r="E5172" s="20" t="s">
        <v>18046</v>
      </c>
      <c r="F5172" s="19" t="s">
        <v>90</v>
      </c>
      <c r="G5172" s="19" t="s">
        <v>91</v>
      </c>
      <c r="H5172" s="37" t="s">
        <v>55</v>
      </c>
      <c r="I5172" s="37" t="s">
        <v>29</v>
      </c>
      <c r="J5172" s="155" t="str">
        <f t="shared" si="11"/>
        <v>TT</v>
      </c>
      <c r="K5172" s="22" t="s">
        <v>18047</v>
      </c>
      <c r="L5172" s="56">
        <v>45134</v>
      </c>
      <c r="P5172" s="40"/>
      <c r="Q5172" s="61"/>
      <c r="R5172" s="61"/>
      <c r="S5172" s="40"/>
      <c r="T5172" s="38"/>
      <c r="U5172" s="38"/>
      <c r="V5172" s="38"/>
      <c r="W5172" s="60"/>
      <c r="AB5172" s="42"/>
      <c r="AC5172" s="35"/>
      <c r="AD5172" s="38"/>
      <c r="AE5172" s="38"/>
      <c r="AF5172" s="38"/>
      <c r="AG5172" s="38"/>
      <c r="AH5172" s="60"/>
    </row>
    <row r="5173" spans="1:34" ht="15.75" customHeight="1">
      <c r="A5173" s="112" t="s">
        <v>18048</v>
      </c>
      <c r="B5173" s="78" t="s">
        <v>18049</v>
      </c>
      <c r="C5173" s="37" t="s">
        <v>87</v>
      </c>
      <c r="D5173" s="20" t="s">
        <v>18050</v>
      </c>
      <c r="E5173" s="20"/>
      <c r="F5173" s="19" t="s">
        <v>90</v>
      </c>
      <c r="G5173" s="19" t="s">
        <v>91</v>
      </c>
      <c r="H5173" s="37" t="s">
        <v>55</v>
      </c>
      <c r="I5173" s="37" t="s">
        <v>29</v>
      </c>
      <c r="J5173" s="155" t="str">
        <f t="shared" si="11"/>
        <v>TT</v>
      </c>
      <c r="K5173" s="22"/>
      <c r="L5173" s="56">
        <v>45134</v>
      </c>
      <c r="P5173" s="40"/>
      <c r="Q5173" s="61"/>
      <c r="R5173" s="61"/>
      <c r="S5173" s="40"/>
      <c r="T5173" s="38"/>
      <c r="U5173" s="38"/>
      <c r="V5173" s="38"/>
      <c r="W5173" s="60"/>
      <c r="AB5173" s="42"/>
      <c r="AC5173" s="35"/>
      <c r="AD5173" s="38"/>
      <c r="AE5173" s="38"/>
      <c r="AF5173" s="38"/>
      <c r="AG5173" s="38"/>
      <c r="AH5173" s="60"/>
    </row>
    <row r="5174" spans="1:34" ht="15.75" customHeight="1">
      <c r="A5174" s="111" t="s">
        <v>92</v>
      </c>
      <c r="B5174" s="78" t="s">
        <v>18051</v>
      </c>
      <c r="C5174" s="37" t="s">
        <v>24</v>
      </c>
      <c r="D5174" s="20" t="s">
        <v>18052</v>
      </c>
      <c r="E5174" s="20" t="s">
        <v>18053</v>
      </c>
      <c r="F5174" s="19" t="s">
        <v>27</v>
      </c>
      <c r="G5174" s="19" t="s">
        <v>28</v>
      </c>
      <c r="H5174" s="37" t="s">
        <v>55</v>
      </c>
      <c r="I5174" s="37" t="s">
        <v>29</v>
      </c>
      <c r="J5174" s="155" t="str">
        <f t="shared" si="11"/>
        <v>TT</v>
      </c>
      <c r="K5174" s="22" t="s">
        <v>18054</v>
      </c>
      <c r="L5174" s="56">
        <v>45134</v>
      </c>
      <c r="P5174" s="40"/>
      <c r="Q5174" s="61"/>
      <c r="R5174" s="61"/>
      <c r="S5174" s="40"/>
      <c r="T5174" s="38"/>
      <c r="U5174" s="38"/>
      <c r="V5174" s="38"/>
      <c r="W5174" s="60"/>
      <c r="AB5174" s="42"/>
      <c r="AC5174" s="35"/>
      <c r="AD5174" s="38"/>
      <c r="AE5174" s="38"/>
      <c r="AF5174" s="38"/>
      <c r="AG5174" s="38"/>
      <c r="AH5174" s="60"/>
    </row>
    <row r="5175" spans="1:34" ht="15.75" customHeight="1">
      <c r="A5175" s="17">
        <v>262</v>
      </c>
      <c r="B5175" s="78" t="s">
        <v>18055</v>
      </c>
      <c r="C5175" s="37" t="s">
        <v>87</v>
      </c>
      <c r="D5175" s="20" t="s">
        <v>18056</v>
      </c>
      <c r="E5175" s="20" t="s">
        <v>18057</v>
      </c>
      <c r="F5175" s="19" t="s">
        <v>90</v>
      </c>
      <c r="G5175" s="19" t="s">
        <v>91</v>
      </c>
      <c r="H5175" s="37" t="s">
        <v>55</v>
      </c>
      <c r="I5175" s="37" t="s">
        <v>29</v>
      </c>
      <c r="J5175" s="155" t="str">
        <f t="shared" si="11"/>
        <v>TT</v>
      </c>
      <c r="K5175" s="22" t="s">
        <v>18057</v>
      </c>
      <c r="L5175" s="56">
        <v>45134</v>
      </c>
      <c r="P5175" s="40"/>
      <c r="Q5175" s="61"/>
      <c r="R5175" s="61"/>
      <c r="S5175" s="40"/>
      <c r="T5175" s="38"/>
      <c r="U5175" s="38"/>
      <c r="V5175" s="38"/>
      <c r="W5175" s="60"/>
      <c r="AB5175" s="42"/>
      <c r="AC5175" s="35"/>
      <c r="AD5175" s="38"/>
      <c r="AE5175" s="38"/>
      <c r="AF5175" s="38"/>
      <c r="AG5175" s="38"/>
      <c r="AH5175" s="60"/>
    </row>
    <row r="5176" spans="1:34" ht="15.75" customHeight="1">
      <c r="A5176" s="111" t="s">
        <v>100</v>
      </c>
      <c r="B5176" s="81" t="s">
        <v>18058</v>
      </c>
      <c r="C5176" s="37" t="s">
        <v>24</v>
      </c>
      <c r="D5176" s="20" t="s">
        <v>18059</v>
      </c>
      <c r="E5176" s="20" t="s">
        <v>18060</v>
      </c>
      <c r="F5176" s="19" t="s">
        <v>27</v>
      </c>
      <c r="G5176" s="19" t="s">
        <v>28</v>
      </c>
      <c r="H5176" s="37" t="s">
        <v>55</v>
      </c>
      <c r="I5176" s="37" t="s">
        <v>29</v>
      </c>
      <c r="J5176" s="155" t="str">
        <f t="shared" si="11"/>
        <v>TT</v>
      </c>
      <c r="K5176" s="22" t="s">
        <v>18061</v>
      </c>
      <c r="L5176" s="56">
        <v>45134</v>
      </c>
      <c r="P5176" s="40"/>
      <c r="Q5176" s="61"/>
      <c r="R5176" s="61"/>
      <c r="S5176" s="40"/>
      <c r="T5176" s="38"/>
      <c r="U5176" s="38"/>
      <c r="V5176" s="38"/>
      <c r="W5176" s="60"/>
      <c r="AB5176" s="42"/>
      <c r="AC5176" s="35"/>
      <c r="AD5176" s="38"/>
      <c r="AE5176" s="38"/>
      <c r="AF5176" s="38"/>
      <c r="AG5176" s="38"/>
      <c r="AH5176" s="60"/>
    </row>
    <row r="5177" spans="1:34" ht="15.75" customHeight="1">
      <c r="A5177" s="17">
        <v>158</v>
      </c>
      <c r="B5177" s="78" t="s">
        <v>18062</v>
      </c>
      <c r="C5177" s="37" t="s">
        <v>24</v>
      </c>
      <c r="D5177" s="20" t="s">
        <v>18063</v>
      </c>
      <c r="E5177" s="20" t="s">
        <v>18064</v>
      </c>
      <c r="F5177" s="19" t="s">
        <v>27</v>
      </c>
      <c r="G5177" s="19" t="s">
        <v>28</v>
      </c>
      <c r="H5177" s="37" t="s">
        <v>55</v>
      </c>
      <c r="I5177" s="37" t="s">
        <v>29</v>
      </c>
      <c r="J5177" s="155" t="str">
        <f t="shared" si="11"/>
        <v>TT</v>
      </c>
      <c r="K5177" s="22" t="s">
        <v>18065</v>
      </c>
      <c r="L5177" s="56">
        <v>45134</v>
      </c>
      <c r="P5177" s="40"/>
      <c r="Q5177" s="61"/>
      <c r="R5177" s="61"/>
      <c r="S5177" s="40"/>
      <c r="T5177" s="38"/>
      <c r="U5177" s="38"/>
      <c r="V5177" s="38"/>
      <c r="W5177" s="60"/>
      <c r="AB5177" s="42"/>
      <c r="AC5177" s="35"/>
      <c r="AD5177" s="38"/>
      <c r="AE5177" s="38"/>
      <c r="AF5177" s="38"/>
      <c r="AG5177" s="38"/>
      <c r="AH5177" s="60"/>
    </row>
    <row r="5178" spans="1:34" ht="15.75" customHeight="1">
      <c r="A5178" s="35"/>
      <c r="B5178" s="78" t="s">
        <v>18066</v>
      </c>
      <c r="C5178" s="37" t="s">
        <v>24</v>
      </c>
      <c r="D5178" s="20" t="s">
        <v>18067</v>
      </c>
      <c r="E5178" s="20" t="s">
        <v>18068</v>
      </c>
      <c r="F5178" s="19" t="s">
        <v>27</v>
      </c>
      <c r="G5178" s="19" t="s">
        <v>28</v>
      </c>
      <c r="H5178" s="37" t="s">
        <v>55</v>
      </c>
      <c r="I5178" s="37" t="s">
        <v>29</v>
      </c>
      <c r="J5178" s="155" t="str">
        <f t="shared" si="11"/>
        <v>TT</v>
      </c>
      <c r="K5178" s="22" t="s">
        <v>18069</v>
      </c>
      <c r="L5178" s="56">
        <v>45134</v>
      </c>
      <c r="P5178" s="40"/>
      <c r="Q5178" s="61"/>
      <c r="R5178" s="61"/>
      <c r="S5178" s="40"/>
      <c r="T5178" s="38"/>
      <c r="U5178" s="38"/>
      <c r="V5178" s="38"/>
      <c r="W5178" s="60"/>
      <c r="AB5178" s="42"/>
      <c r="AC5178" s="35"/>
      <c r="AD5178" s="38"/>
      <c r="AE5178" s="38"/>
      <c r="AF5178" s="38"/>
      <c r="AG5178" s="38"/>
      <c r="AH5178" s="60"/>
    </row>
    <row r="5179" spans="1:34" ht="15.75" customHeight="1">
      <c r="A5179" s="265"/>
      <c r="B5179" s="78" t="s">
        <v>18070</v>
      </c>
      <c r="C5179" s="37" t="s">
        <v>87</v>
      </c>
      <c r="D5179" s="20" t="s">
        <v>18071</v>
      </c>
      <c r="E5179" s="20"/>
      <c r="F5179" s="19" t="s">
        <v>90</v>
      </c>
      <c r="G5179" s="19" t="s">
        <v>91</v>
      </c>
      <c r="H5179" s="37" t="s">
        <v>55</v>
      </c>
      <c r="I5179" s="37" t="s">
        <v>29</v>
      </c>
      <c r="J5179" s="155" t="str">
        <f t="shared" si="11"/>
        <v>TT</v>
      </c>
      <c r="K5179" s="22"/>
      <c r="L5179" s="56">
        <v>45134</v>
      </c>
      <c r="P5179" s="40"/>
      <c r="Q5179" s="61"/>
      <c r="R5179" s="61"/>
      <c r="S5179" s="40"/>
      <c r="T5179" s="38"/>
      <c r="U5179" s="38"/>
      <c r="V5179" s="38"/>
      <c r="W5179" s="60"/>
      <c r="AB5179" s="42"/>
      <c r="AC5179" s="35"/>
      <c r="AD5179" s="38"/>
      <c r="AE5179" s="38"/>
      <c r="AF5179" s="38"/>
      <c r="AG5179" s="38"/>
      <c r="AH5179" s="60"/>
    </row>
    <row r="5180" spans="1:34" ht="15.75" customHeight="1">
      <c r="A5180" s="266"/>
      <c r="B5180" s="78" t="s">
        <v>18072</v>
      </c>
      <c r="C5180" s="37" t="s">
        <v>87</v>
      </c>
      <c r="D5180" s="20" t="s">
        <v>18073</v>
      </c>
      <c r="E5180" s="20" t="s">
        <v>18074</v>
      </c>
      <c r="F5180" s="19" t="s">
        <v>90</v>
      </c>
      <c r="G5180" s="19" t="s">
        <v>91</v>
      </c>
      <c r="H5180" s="37" t="s">
        <v>55</v>
      </c>
      <c r="I5180" s="37" t="s">
        <v>29</v>
      </c>
      <c r="J5180" s="155" t="str">
        <f t="shared" si="11"/>
        <v>TT</v>
      </c>
      <c r="K5180" s="22" t="s">
        <v>18075</v>
      </c>
      <c r="L5180" s="56">
        <v>45134</v>
      </c>
      <c r="P5180" s="40"/>
      <c r="Q5180" s="61"/>
      <c r="R5180" s="61"/>
      <c r="S5180" s="40"/>
      <c r="T5180" s="38"/>
      <c r="U5180" s="38"/>
      <c r="V5180" s="38"/>
      <c r="W5180" s="60"/>
      <c r="AB5180" s="42"/>
      <c r="AC5180" s="35"/>
      <c r="AD5180" s="38"/>
      <c r="AE5180" s="38"/>
      <c r="AF5180" s="38"/>
      <c r="AG5180" s="38"/>
      <c r="AH5180" s="60"/>
    </row>
    <row r="5181" spans="1:34" ht="15.75" customHeight="1">
      <c r="A5181" s="267"/>
      <c r="B5181" s="38"/>
      <c r="C5181" s="37"/>
      <c r="D5181" s="20"/>
      <c r="E5181" s="20"/>
      <c r="F5181" s="37"/>
      <c r="G5181" s="37"/>
      <c r="H5181" s="37"/>
      <c r="I5181" s="37"/>
      <c r="J5181" s="155">
        <f t="shared" si="11"/>
        <v>0</v>
      </c>
      <c r="K5181" s="22"/>
      <c r="L5181" s="56"/>
      <c r="P5181" s="40"/>
      <c r="Q5181" s="61"/>
      <c r="R5181" s="61"/>
      <c r="S5181" s="40"/>
      <c r="T5181" s="38"/>
      <c r="U5181" s="38"/>
      <c r="V5181" s="38"/>
      <c r="W5181" s="60"/>
      <c r="AB5181" s="42"/>
      <c r="AC5181" s="35"/>
      <c r="AD5181" s="38"/>
      <c r="AE5181" s="38"/>
      <c r="AF5181" s="38"/>
      <c r="AG5181" s="38"/>
      <c r="AH5181" s="60"/>
    </row>
    <row r="5182" spans="1:34" ht="15.75" customHeight="1">
      <c r="A5182" s="35" t="s">
        <v>18076</v>
      </c>
      <c r="B5182" s="78"/>
      <c r="C5182" s="37"/>
      <c r="D5182" s="20"/>
      <c r="E5182" s="20"/>
      <c r="F5182" s="37"/>
      <c r="G5182" s="37"/>
      <c r="H5182" s="37"/>
      <c r="I5182" s="37"/>
      <c r="J5182" s="155">
        <f t="shared" si="11"/>
        <v>0</v>
      </c>
      <c r="K5182" s="22"/>
      <c r="L5182" s="56"/>
      <c r="P5182" s="40"/>
      <c r="Q5182" s="61"/>
      <c r="R5182" s="61"/>
      <c r="S5182" s="40"/>
      <c r="T5182" s="38"/>
      <c r="U5182" s="38"/>
      <c r="V5182" s="38"/>
      <c r="W5182" s="60"/>
      <c r="AB5182" s="42"/>
      <c r="AC5182" s="35"/>
      <c r="AD5182" s="38"/>
      <c r="AE5182" s="38"/>
      <c r="AF5182" s="38"/>
      <c r="AG5182" s="38"/>
      <c r="AH5182" s="60"/>
    </row>
    <row r="5183" spans="1:34" ht="15.75" customHeight="1">
      <c r="A5183" s="54" t="s">
        <v>2714</v>
      </c>
      <c r="B5183" s="78" t="s">
        <v>18077</v>
      </c>
      <c r="C5183" s="37" t="s">
        <v>24</v>
      </c>
      <c r="D5183" s="20" t="s">
        <v>18078</v>
      </c>
      <c r="E5183" s="20" t="s">
        <v>18079</v>
      </c>
      <c r="F5183" s="19" t="s">
        <v>27</v>
      </c>
      <c r="G5183" s="19" t="s">
        <v>28</v>
      </c>
      <c r="H5183" s="37" t="s">
        <v>55</v>
      </c>
      <c r="I5183" s="37" t="s">
        <v>29</v>
      </c>
      <c r="J5183" s="155" t="str">
        <f t="shared" si="11"/>
        <v>TT</v>
      </c>
      <c r="K5183" s="22" t="s">
        <v>18080</v>
      </c>
      <c r="L5183" s="56">
        <v>45134</v>
      </c>
      <c r="M5183" s="40"/>
      <c r="P5183" s="40"/>
      <c r="Q5183" s="61"/>
      <c r="R5183" s="61"/>
      <c r="S5183" s="40"/>
      <c r="T5183" s="38"/>
      <c r="U5183" s="38"/>
      <c r="V5183" s="38"/>
      <c r="W5183" s="60"/>
      <c r="AB5183" s="42"/>
      <c r="AC5183" s="35"/>
      <c r="AD5183" s="38"/>
      <c r="AE5183" s="38"/>
      <c r="AF5183" s="38"/>
      <c r="AG5183" s="38"/>
      <c r="AH5183" s="60"/>
    </row>
    <row r="5184" spans="1:34" ht="15.75" customHeight="1">
      <c r="A5184" s="114" t="s">
        <v>39</v>
      </c>
      <c r="B5184" s="78" t="s">
        <v>18081</v>
      </c>
      <c r="C5184" s="37" t="s">
        <v>46</v>
      </c>
      <c r="D5184" s="20" t="s">
        <v>18082</v>
      </c>
      <c r="E5184" s="20" t="s">
        <v>18083</v>
      </c>
      <c r="F5184" s="37" t="s">
        <v>49</v>
      </c>
      <c r="G5184" s="19" t="s">
        <v>50</v>
      </c>
      <c r="H5184" s="37" t="s">
        <v>55</v>
      </c>
      <c r="I5184" s="37" t="s">
        <v>29</v>
      </c>
      <c r="J5184" s="155" t="str">
        <f t="shared" si="11"/>
        <v>TT</v>
      </c>
      <c r="K5184" s="22" t="s">
        <v>18084</v>
      </c>
      <c r="L5184" s="56">
        <v>45134</v>
      </c>
      <c r="P5184" s="40"/>
      <c r="Q5184" s="61"/>
      <c r="R5184" s="61"/>
      <c r="S5184" s="40"/>
      <c r="T5184" s="38"/>
      <c r="U5184" s="38"/>
      <c r="V5184" s="38"/>
      <c r="W5184" s="60"/>
      <c r="AB5184" s="42"/>
      <c r="AC5184" s="35"/>
      <c r="AD5184" s="38"/>
      <c r="AE5184" s="38"/>
      <c r="AF5184" s="38"/>
      <c r="AG5184" s="38"/>
      <c r="AH5184" s="60"/>
    </row>
    <row r="5185" spans="1:34" ht="15.75" customHeight="1">
      <c r="A5185" s="38" t="s">
        <v>17871</v>
      </c>
      <c r="B5185" s="78" t="s">
        <v>18085</v>
      </c>
      <c r="C5185" s="37" t="s">
        <v>24</v>
      </c>
      <c r="D5185" s="20" t="s">
        <v>18086</v>
      </c>
      <c r="E5185" s="20" t="s">
        <v>18087</v>
      </c>
      <c r="F5185" s="19" t="s">
        <v>27</v>
      </c>
      <c r="G5185" s="19" t="s">
        <v>28</v>
      </c>
      <c r="H5185" s="37" t="s">
        <v>55</v>
      </c>
      <c r="I5185" s="37" t="s">
        <v>29</v>
      </c>
      <c r="J5185" s="155" t="str">
        <f t="shared" si="11"/>
        <v>TT</v>
      </c>
      <c r="K5185" s="22" t="s">
        <v>18088</v>
      </c>
      <c r="L5185" s="56">
        <v>45134</v>
      </c>
      <c r="P5185" s="40"/>
      <c r="Q5185" s="61"/>
      <c r="R5185" s="61"/>
      <c r="S5185" s="40"/>
      <c r="T5185" s="38"/>
      <c r="U5185" s="38"/>
      <c r="V5185" s="38"/>
      <c r="W5185" s="60"/>
      <c r="AB5185" s="42"/>
      <c r="AC5185" s="35"/>
      <c r="AD5185" s="38"/>
      <c r="AE5185" s="38"/>
      <c r="AF5185" s="38"/>
      <c r="AG5185" s="38"/>
      <c r="AH5185" s="60"/>
    </row>
    <row r="5186" spans="1:34" ht="15.75" customHeight="1">
      <c r="A5186" s="75" t="s">
        <v>17027</v>
      </c>
      <c r="B5186" s="78" t="s">
        <v>18089</v>
      </c>
      <c r="C5186" s="37" t="s">
        <v>24</v>
      </c>
      <c r="D5186" s="20" t="s">
        <v>18090</v>
      </c>
      <c r="E5186" s="20" t="s">
        <v>18091</v>
      </c>
      <c r="F5186" s="19" t="s">
        <v>27</v>
      </c>
      <c r="G5186" s="19" t="s">
        <v>28</v>
      </c>
      <c r="H5186" s="37" t="s">
        <v>55</v>
      </c>
      <c r="I5186" s="37" t="s">
        <v>29</v>
      </c>
      <c r="J5186" s="155" t="str">
        <f t="shared" si="11"/>
        <v>TT</v>
      </c>
      <c r="K5186" s="22" t="s">
        <v>18091</v>
      </c>
      <c r="L5186" s="56">
        <v>45134</v>
      </c>
      <c r="P5186" s="40"/>
      <c r="Q5186" s="61"/>
      <c r="R5186" s="61"/>
      <c r="S5186" s="40"/>
      <c r="T5186" s="38"/>
      <c r="U5186" s="38"/>
      <c r="V5186" s="38"/>
      <c r="W5186" s="60"/>
      <c r="AB5186" s="42"/>
      <c r="AC5186" s="35"/>
      <c r="AD5186" s="38"/>
      <c r="AE5186" s="38"/>
      <c r="AF5186" s="38"/>
      <c r="AG5186" s="38"/>
      <c r="AH5186" s="60"/>
    </row>
    <row r="5187" spans="1:34" ht="15.75" customHeight="1">
      <c r="A5187" s="50" t="s">
        <v>56</v>
      </c>
      <c r="B5187" s="78" t="s">
        <v>18092</v>
      </c>
      <c r="C5187" s="37" t="s">
        <v>87</v>
      </c>
      <c r="D5187" s="20" t="s">
        <v>18093</v>
      </c>
      <c r="E5187" s="20" t="s">
        <v>18094</v>
      </c>
      <c r="F5187" s="19" t="s">
        <v>90</v>
      </c>
      <c r="G5187" s="19" t="s">
        <v>91</v>
      </c>
      <c r="H5187" s="37" t="s">
        <v>55</v>
      </c>
      <c r="I5187" s="37" t="s">
        <v>29</v>
      </c>
      <c r="J5187" s="155" t="str">
        <f t="shared" si="11"/>
        <v>TT</v>
      </c>
      <c r="K5187" s="22" t="s">
        <v>18095</v>
      </c>
      <c r="L5187" s="56">
        <v>45134</v>
      </c>
      <c r="P5187" s="40"/>
      <c r="Q5187" s="61"/>
      <c r="R5187" s="61"/>
      <c r="S5187" s="40"/>
      <c r="T5187" s="38"/>
      <c r="U5187" s="38"/>
      <c r="V5187" s="38"/>
      <c r="W5187" s="60"/>
      <c r="AB5187" s="42"/>
      <c r="AC5187" s="35"/>
      <c r="AD5187" s="38"/>
      <c r="AE5187" s="38"/>
      <c r="AF5187" s="38"/>
      <c r="AG5187" s="38"/>
      <c r="AH5187" s="60"/>
    </row>
    <row r="5188" spans="1:34" ht="15.75" customHeight="1">
      <c r="A5188" s="17">
        <v>37</v>
      </c>
      <c r="B5188" s="78" t="s">
        <v>18096</v>
      </c>
      <c r="C5188" s="37" t="s">
        <v>87</v>
      </c>
      <c r="D5188" s="20" t="s">
        <v>18097</v>
      </c>
      <c r="E5188" s="20" t="s">
        <v>18098</v>
      </c>
      <c r="F5188" s="19" t="s">
        <v>90</v>
      </c>
      <c r="G5188" s="19" t="s">
        <v>91</v>
      </c>
      <c r="H5188" s="37" t="s">
        <v>55</v>
      </c>
      <c r="I5188" s="37" t="s">
        <v>29</v>
      </c>
      <c r="J5188" s="155" t="str">
        <f t="shared" si="11"/>
        <v>TT</v>
      </c>
      <c r="K5188" s="22" t="s">
        <v>18099</v>
      </c>
      <c r="L5188" s="56">
        <v>45134</v>
      </c>
      <c r="P5188" s="40"/>
      <c r="Q5188" s="61"/>
      <c r="R5188" s="61"/>
      <c r="S5188" s="40"/>
      <c r="T5188" s="38"/>
      <c r="U5188" s="38"/>
      <c r="V5188" s="38"/>
      <c r="W5188" s="60"/>
      <c r="AB5188" s="42"/>
      <c r="AC5188" s="35"/>
      <c r="AD5188" s="38"/>
      <c r="AE5188" s="38"/>
      <c r="AF5188" s="38"/>
      <c r="AG5188" s="38"/>
      <c r="AH5188" s="60"/>
    </row>
    <row r="5189" spans="1:34" ht="15.75" customHeight="1">
      <c r="A5189" s="111" t="s">
        <v>64</v>
      </c>
      <c r="B5189" s="81" t="s">
        <v>18100</v>
      </c>
      <c r="C5189" s="37" t="s">
        <v>24</v>
      </c>
      <c r="D5189" s="20" t="s">
        <v>18101</v>
      </c>
      <c r="E5189" s="20" t="s">
        <v>18102</v>
      </c>
      <c r="F5189" s="19" t="s">
        <v>27</v>
      </c>
      <c r="G5189" s="19" t="s">
        <v>28</v>
      </c>
      <c r="H5189" s="37" t="s">
        <v>55</v>
      </c>
      <c r="I5189" s="37" t="s">
        <v>29</v>
      </c>
      <c r="J5189" s="155" t="str">
        <f t="shared" si="11"/>
        <v>TT</v>
      </c>
      <c r="K5189" s="22" t="s">
        <v>18102</v>
      </c>
      <c r="L5189" s="56">
        <v>45134</v>
      </c>
      <c r="P5189" s="40"/>
      <c r="Q5189" s="61"/>
      <c r="R5189" s="61"/>
      <c r="S5189" s="40"/>
      <c r="T5189" s="38"/>
      <c r="U5189" s="38"/>
      <c r="V5189" s="38"/>
      <c r="W5189" s="60"/>
      <c r="AB5189" s="42"/>
      <c r="AC5189" s="35"/>
      <c r="AD5189" s="38"/>
      <c r="AE5189" s="38"/>
      <c r="AF5189" s="38"/>
      <c r="AG5189" s="38"/>
      <c r="AH5189" s="60"/>
    </row>
    <row r="5190" spans="1:34" ht="15.75" customHeight="1">
      <c r="A5190" s="75">
        <v>2.1</v>
      </c>
      <c r="B5190" s="78" t="s">
        <v>18103</v>
      </c>
      <c r="C5190" s="37" t="s">
        <v>24</v>
      </c>
      <c r="D5190" s="20" t="s">
        <v>18104</v>
      </c>
      <c r="E5190" s="20" t="s">
        <v>18105</v>
      </c>
      <c r="F5190" s="19" t="s">
        <v>27</v>
      </c>
      <c r="G5190" s="19" t="s">
        <v>28</v>
      </c>
      <c r="H5190" s="37" t="s">
        <v>55</v>
      </c>
      <c r="I5190" s="37" t="s">
        <v>29</v>
      </c>
      <c r="J5190" s="155" t="str">
        <f t="shared" si="11"/>
        <v>TT</v>
      </c>
      <c r="K5190" s="22" t="s">
        <v>18106</v>
      </c>
      <c r="L5190" s="56">
        <v>45134</v>
      </c>
      <c r="P5190" s="40"/>
      <c r="Q5190" s="61"/>
      <c r="R5190" s="61"/>
      <c r="S5190" s="40"/>
      <c r="T5190" s="38"/>
      <c r="U5190" s="38"/>
      <c r="V5190" s="38"/>
      <c r="W5190" s="60"/>
      <c r="AB5190" s="42"/>
      <c r="AC5190" s="35"/>
      <c r="AD5190" s="38"/>
      <c r="AE5190" s="38"/>
      <c r="AF5190" s="38"/>
      <c r="AG5190" s="38"/>
      <c r="AH5190" s="60"/>
    </row>
    <row r="5191" spans="1:34" ht="15.75" customHeight="1">
      <c r="A5191" s="111" t="s">
        <v>73</v>
      </c>
      <c r="B5191" s="78" t="s">
        <v>18107</v>
      </c>
      <c r="C5191" s="37" t="s">
        <v>87</v>
      </c>
      <c r="D5191" s="20" t="s">
        <v>18108</v>
      </c>
      <c r="E5191" s="20" t="s">
        <v>18109</v>
      </c>
      <c r="F5191" s="19" t="s">
        <v>90</v>
      </c>
      <c r="G5191" s="19" t="s">
        <v>91</v>
      </c>
      <c r="H5191" s="37" t="s">
        <v>55</v>
      </c>
      <c r="I5191" s="37" t="s">
        <v>29</v>
      </c>
      <c r="J5191" s="155" t="str">
        <f t="shared" si="11"/>
        <v>TT</v>
      </c>
      <c r="K5191" s="22" t="s">
        <v>18109</v>
      </c>
      <c r="L5191" s="56">
        <v>45134</v>
      </c>
      <c r="P5191" s="40"/>
      <c r="Q5191" s="61"/>
      <c r="R5191" s="61"/>
      <c r="S5191" s="40"/>
      <c r="T5191" s="38"/>
      <c r="U5191" s="38"/>
      <c r="V5191" s="38"/>
      <c r="W5191" s="60"/>
      <c r="AB5191" s="42"/>
      <c r="AC5191" s="35"/>
      <c r="AD5191" s="38"/>
      <c r="AE5191" s="38"/>
      <c r="AF5191" s="38"/>
      <c r="AG5191" s="38"/>
      <c r="AH5191" s="60"/>
    </row>
    <row r="5192" spans="1:34" ht="15.75" customHeight="1">
      <c r="A5192" s="75">
        <v>2.7</v>
      </c>
      <c r="B5192" s="78" t="s">
        <v>18110</v>
      </c>
      <c r="C5192" s="37" t="s">
        <v>24</v>
      </c>
      <c r="D5192" s="20" t="s">
        <v>18111</v>
      </c>
      <c r="E5192" s="20" t="s">
        <v>18112</v>
      </c>
      <c r="F5192" s="19" t="s">
        <v>27</v>
      </c>
      <c r="G5192" s="19" t="s">
        <v>28</v>
      </c>
      <c r="H5192" s="37" t="s">
        <v>55</v>
      </c>
      <c r="I5192" s="37" t="s">
        <v>29</v>
      </c>
      <c r="J5192" s="155" t="str">
        <f t="shared" si="11"/>
        <v>TT</v>
      </c>
      <c r="K5192" s="22" t="s">
        <v>18113</v>
      </c>
      <c r="L5192" s="56">
        <v>45134</v>
      </c>
      <c r="P5192" s="40"/>
      <c r="Q5192" s="61"/>
      <c r="R5192" s="61"/>
      <c r="S5192" s="40"/>
      <c r="T5192" s="38"/>
      <c r="U5192" s="38"/>
      <c r="V5192" s="38"/>
      <c r="W5192" s="60"/>
      <c r="AB5192" s="42"/>
      <c r="AC5192" s="35"/>
      <c r="AD5192" s="38"/>
      <c r="AE5192" s="38"/>
      <c r="AF5192" s="38"/>
      <c r="AG5192" s="38"/>
      <c r="AH5192" s="60"/>
    </row>
    <row r="5193" spans="1:34" ht="15.75" customHeight="1">
      <c r="A5193" s="111" t="s">
        <v>82</v>
      </c>
      <c r="B5193" s="78" t="s">
        <v>18114</v>
      </c>
      <c r="C5193" s="37" t="s">
        <v>87</v>
      </c>
      <c r="D5193" s="20" t="s">
        <v>18115</v>
      </c>
      <c r="E5193" s="20"/>
      <c r="F5193" s="19" t="s">
        <v>90</v>
      </c>
      <c r="G5193" s="19" t="s">
        <v>91</v>
      </c>
      <c r="H5193" s="37" t="s">
        <v>55</v>
      </c>
      <c r="I5193" s="37" t="s">
        <v>29</v>
      </c>
      <c r="J5193" s="155" t="str">
        <f t="shared" si="11"/>
        <v>TT</v>
      </c>
      <c r="K5193" s="22"/>
      <c r="L5193" s="56">
        <v>45134</v>
      </c>
      <c r="P5193" s="40"/>
      <c r="Q5193" s="61"/>
      <c r="R5193" s="61"/>
      <c r="S5193" s="40"/>
      <c r="T5193" s="38"/>
      <c r="U5193" s="38"/>
      <c r="V5193" s="38"/>
      <c r="W5193" s="60"/>
      <c r="AB5193" s="42"/>
      <c r="AC5193" s="35"/>
      <c r="AD5193" s="38"/>
      <c r="AE5193" s="38"/>
      <c r="AF5193" s="38"/>
      <c r="AG5193" s="38"/>
      <c r="AH5193" s="60"/>
    </row>
    <row r="5194" spans="1:34" ht="15.75" customHeight="1">
      <c r="A5194" s="112" t="s">
        <v>17004</v>
      </c>
      <c r="B5194" s="78" t="s">
        <v>18116</v>
      </c>
      <c r="C5194" s="37" t="s">
        <v>87</v>
      </c>
      <c r="D5194" s="20" t="s">
        <v>18117</v>
      </c>
      <c r="E5194" s="20" t="s">
        <v>18118</v>
      </c>
      <c r="F5194" s="19" t="s">
        <v>90</v>
      </c>
      <c r="G5194" s="19" t="s">
        <v>91</v>
      </c>
      <c r="H5194" s="37" t="s">
        <v>55</v>
      </c>
      <c r="I5194" s="37" t="s">
        <v>29</v>
      </c>
      <c r="J5194" s="155" t="str">
        <f t="shared" si="11"/>
        <v>TT</v>
      </c>
      <c r="K5194" s="22" t="s">
        <v>18119</v>
      </c>
      <c r="L5194" s="56">
        <v>45134</v>
      </c>
      <c r="P5194" s="40"/>
      <c r="Q5194" s="61"/>
      <c r="R5194" s="61"/>
      <c r="S5194" s="40"/>
      <c r="T5194" s="38"/>
      <c r="U5194" s="38"/>
      <c r="V5194" s="38"/>
      <c r="W5194" s="60"/>
      <c r="AB5194" s="42"/>
      <c r="AC5194" s="35"/>
      <c r="AD5194" s="38"/>
      <c r="AE5194" s="38"/>
      <c r="AF5194" s="38"/>
      <c r="AG5194" s="38"/>
      <c r="AH5194" s="60"/>
    </row>
    <row r="5195" spans="1:34" ht="15.75" customHeight="1">
      <c r="A5195" s="111" t="s">
        <v>18120</v>
      </c>
      <c r="B5195" s="78" t="s">
        <v>18121</v>
      </c>
      <c r="C5195" s="37" t="s">
        <v>24</v>
      </c>
      <c r="D5195" s="20" t="s">
        <v>18122</v>
      </c>
      <c r="E5195" s="20" t="s">
        <v>18123</v>
      </c>
      <c r="F5195" s="19" t="s">
        <v>27</v>
      </c>
      <c r="G5195" s="19" t="s">
        <v>28</v>
      </c>
      <c r="H5195" s="37" t="s">
        <v>55</v>
      </c>
      <c r="I5195" s="37" t="s">
        <v>29</v>
      </c>
      <c r="J5195" s="155" t="str">
        <f t="shared" si="11"/>
        <v>TT</v>
      </c>
      <c r="K5195" s="22" t="s">
        <v>18123</v>
      </c>
      <c r="L5195" s="56">
        <v>45134</v>
      </c>
      <c r="P5195" s="40"/>
      <c r="Q5195" s="61"/>
      <c r="R5195" s="61"/>
      <c r="S5195" s="40"/>
      <c r="T5195" s="38"/>
      <c r="U5195" s="38"/>
      <c r="V5195" s="38"/>
      <c r="W5195" s="60"/>
      <c r="AB5195" s="42"/>
      <c r="AC5195" s="35"/>
      <c r="AD5195" s="38"/>
      <c r="AE5195" s="38"/>
      <c r="AF5195" s="38"/>
      <c r="AG5195" s="38"/>
      <c r="AH5195" s="60"/>
    </row>
    <row r="5196" spans="1:34" ht="15.75" customHeight="1">
      <c r="A5196" s="17" t="s">
        <v>92</v>
      </c>
      <c r="B5196" s="78" t="s">
        <v>18124</v>
      </c>
      <c r="C5196" s="37" t="s">
        <v>24</v>
      </c>
      <c r="D5196" s="20" t="s">
        <v>18125</v>
      </c>
      <c r="E5196" s="20" t="s">
        <v>18126</v>
      </c>
      <c r="F5196" s="19" t="s">
        <v>27</v>
      </c>
      <c r="G5196" s="19" t="s">
        <v>28</v>
      </c>
      <c r="H5196" s="37" t="s">
        <v>55</v>
      </c>
      <c r="I5196" s="37" t="s">
        <v>29</v>
      </c>
      <c r="J5196" s="155" t="str">
        <f t="shared" si="11"/>
        <v>TT</v>
      </c>
      <c r="K5196" s="22" t="s">
        <v>18127</v>
      </c>
      <c r="L5196" s="56">
        <v>45134</v>
      </c>
      <c r="P5196" s="40"/>
      <c r="Q5196" s="61"/>
      <c r="R5196" s="61"/>
      <c r="S5196" s="40"/>
      <c r="T5196" s="38"/>
      <c r="U5196" s="38"/>
      <c r="V5196" s="38"/>
      <c r="W5196" s="60"/>
      <c r="AB5196" s="42"/>
      <c r="AC5196" s="35"/>
      <c r="AD5196" s="38"/>
      <c r="AE5196" s="38"/>
      <c r="AF5196" s="38"/>
      <c r="AG5196" s="38"/>
      <c r="AH5196" s="60"/>
    </row>
    <row r="5197" spans="1:34" ht="15.75" customHeight="1">
      <c r="A5197" s="111">
        <v>240</v>
      </c>
      <c r="B5197" s="78" t="s">
        <v>18128</v>
      </c>
      <c r="C5197" s="37" t="s">
        <v>87</v>
      </c>
      <c r="D5197" s="20" t="s">
        <v>18129</v>
      </c>
      <c r="E5197" s="20" t="s">
        <v>18130</v>
      </c>
      <c r="F5197" s="19" t="s">
        <v>90</v>
      </c>
      <c r="G5197" s="19" t="s">
        <v>91</v>
      </c>
      <c r="H5197" s="37" t="s">
        <v>55</v>
      </c>
      <c r="I5197" s="37" t="s">
        <v>29</v>
      </c>
      <c r="J5197" s="155" t="str">
        <f t="shared" si="11"/>
        <v>TT</v>
      </c>
      <c r="K5197" s="22" t="s">
        <v>18131</v>
      </c>
      <c r="L5197" s="56">
        <v>45134</v>
      </c>
      <c r="P5197" s="40"/>
      <c r="Q5197" s="61"/>
      <c r="R5197" s="61"/>
      <c r="S5197" s="40"/>
      <c r="T5197" s="38"/>
      <c r="U5197" s="38"/>
      <c r="V5197" s="38"/>
      <c r="W5197" s="60"/>
      <c r="AB5197" s="42"/>
      <c r="AC5197" s="35"/>
      <c r="AD5197" s="38"/>
      <c r="AE5197" s="38"/>
      <c r="AF5197" s="38"/>
      <c r="AG5197" s="38"/>
      <c r="AH5197" s="60"/>
    </row>
    <row r="5198" spans="1:34" ht="15.75" customHeight="1">
      <c r="A5198" s="17" t="s">
        <v>100</v>
      </c>
      <c r="B5198" s="78" t="s">
        <v>18132</v>
      </c>
      <c r="C5198" s="37" t="s">
        <v>46</v>
      </c>
      <c r="D5198" s="20" t="s">
        <v>18133</v>
      </c>
      <c r="E5198" s="20" t="s">
        <v>18134</v>
      </c>
      <c r="F5198" s="37" t="s">
        <v>49</v>
      </c>
      <c r="G5198" s="19" t="s">
        <v>50</v>
      </c>
      <c r="H5198" s="37" t="s">
        <v>55</v>
      </c>
      <c r="I5198" s="37" t="s">
        <v>29</v>
      </c>
      <c r="J5198" s="155" t="str">
        <f t="shared" si="11"/>
        <v>TT</v>
      </c>
      <c r="K5198" s="22" t="s">
        <v>18134</v>
      </c>
      <c r="L5198" s="56">
        <v>45134</v>
      </c>
      <c r="P5198" s="40"/>
      <c r="Q5198" s="61"/>
      <c r="R5198" s="61"/>
      <c r="S5198" s="40"/>
      <c r="T5198" s="38"/>
      <c r="U5198" s="38"/>
      <c r="V5198" s="38"/>
      <c r="W5198" s="60"/>
      <c r="AB5198" s="42"/>
      <c r="AC5198" s="35"/>
      <c r="AD5198" s="38"/>
      <c r="AE5198" s="38"/>
      <c r="AF5198" s="38"/>
      <c r="AG5198" s="38"/>
      <c r="AH5198" s="60"/>
    </row>
    <row r="5199" spans="1:34" ht="15.75" customHeight="1">
      <c r="A5199" s="258" t="s">
        <v>55</v>
      </c>
      <c r="B5199" s="78" t="s">
        <v>18135</v>
      </c>
      <c r="C5199" s="37" t="s">
        <v>1486</v>
      </c>
      <c r="D5199" s="20" t="s">
        <v>18136</v>
      </c>
      <c r="E5199" s="20" t="s">
        <v>18137</v>
      </c>
      <c r="F5199" s="37" t="s">
        <v>1489</v>
      </c>
      <c r="G5199" s="37" t="s">
        <v>1490</v>
      </c>
      <c r="H5199" s="37" t="s">
        <v>55</v>
      </c>
      <c r="I5199" s="21" t="s">
        <v>1371</v>
      </c>
      <c r="J5199" s="155" t="str">
        <f t="shared" si="11"/>
        <v>Other</v>
      </c>
      <c r="K5199" s="22" t="s">
        <v>18137</v>
      </c>
      <c r="L5199" s="56">
        <v>45134</v>
      </c>
      <c r="P5199" s="40"/>
      <c r="Q5199" s="61"/>
      <c r="R5199" s="61"/>
      <c r="S5199" s="40"/>
      <c r="T5199" s="38"/>
      <c r="U5199" s="38"/>
      <c r="V5199" s="38"/>
      <c r="W5199" s="60"/>
      <c r="AB5199" s="42"/>
      <c r="AC5199" s="35"/>
      <c r="AD5199" s="38"/>
      <c r="AE5199" s="38"/>
      <c r="AF5199" s="38"/>
      <c r="AG5199" s="38"/>
      <c r="AH5199" s="60"/>
    </row>
    <row r="5200" spans="1:34" ht="15.75" customHeight="1">
      <c r="A5200" s="268"/>
      <c r="B5200" s="78" t="s">
        <v>18138</v>
      </c>
      <c r="C5200" s="37" t="s">
        <v>24</v>
      </c>
      <c r="D5200" s="20" t="s">
        <v>18139</v>
      </c>
      <c r="E5200" s="20" t="s">
        <v>18140</v>
      </c>
      <c r="F5200" s="19" t="s">
        <v>27</v>
      </c>
      <c r="G5200" s="19" t="s">
        <v>28</v>
      </c>
      <c r="H5200" s="37" t="s">
        <v>55</v>
      </c>
      <c r="I5200" s="37" t="s">
        <v>29</v>
      </c>
      <c r="J5200" s="155" t="str">
        <f t="shared" si="11"/>
        <v>TT</v>
      </c>
      <c r="K5200" s="22" t="s">
        <v>18140</v>
      </c>
      <c r="L5200" s="56">
        <v>45134</v>
      </c>
      <c r="P5200" s="40"/>
      <c r="Q5200" s="61"/>
      <c r="R5200" s="61"/>
      <c r="S5200" s="40"/>
      <c r="T5200" s="38"/>
      <c r="U5200" s="38"/>
      <c r="V5200" s="38"/>
      <c r="W5200" s="60"/>
      <c r="AB5200" s="42"/>
      <c r="AC5200" s="35"/>
      <c r="AD5200" s="38"/>
      <c r="AE5200" s="38"/>
      <c r="AF5200" s="38"/>
      <c r="AG5200" s="38"/>
      <c r="AH5200" s="60"/>
    </row>
    <row r="5201" spans="1:34" ht="15.75" customHeight="1">
      <c r="A5201" s="269"/>
      <c r="B5201" s="78" t="s">
        <v>18141</v>
      </c>
      <c r="C5201" s="37" t="s">
        <v>24</v>
      </c>
      <c r="D5201" s="20" t="s">
        <v>18142</v>
      </c>
      <c r="E5201" s="20" t="s">
        <v>18143</v>
      </c>
      <c r="F5201" s="19" t="s">
        <v>27</v>
      </c>
      <c r="G5201" s="19" t="s">
        <v>28</v>
      </c>
      <c r="H5201" s="37" t="s">
        <v>55</v>
      </c>
      <c r="I5201" s="37" t="s">
        <v>29</v>
      </c>
      <c r="J5201" s="155" t="str">
        <f t="shared" si="11"/>
        <v>TT</v>
      </c>
      <c r="K5201" s="22" t="s">
        <v>18143</v>
      </c>
      <c r="L5201" s="56">
        <v>45134</v>
      </c>
      <c r="P5201" s="40"/>
      <c r="Q5201" s="61"/>
      <c r="R5201" s="61"/>
      <c r="S5201" s="40"/>
      <c r="T5201" s="38"/>
      <c r="U5201" s="38"/>
      <c r="V5201" s="38"/>
      <c r="W5201" s="60"/>
      <c r="AB5201" s="42"/>
      <c r="AC5201" s="35"/>
      <c r="AD5201" s="38"/>
      <c r="AE5201" s="38"/>
      <c r="AF5201" s="38"/>
      <c r="AG5201" s="38"/>
      <c r="AH5201" s="60"/>
    </row>
    <row r="5202" spans="1:34" ht="15.75" customHeight="1">
      <c r="A5202" s="269"/>
      <c r="B5202" s="78" t="s">
        <v>18144</v>
      </c>
      <c r="C5202" s="37" t="s">
        <v>24</v>
      </c>
      <c r="D5202" s="20" t="s">
        <v>18145</v>
      </c>
      <c r="E5202" s="20" t="s">
        <v>18146</v>
      </c>
      <c r="F5202" s="19" t="s">
        <v>27</v>
      </c>
      <c r="G5202" s="19" t="s">
        <v>28</v>
      </c>
      <c r="H5202" s="37" t="s">
        <v>55</v>
      </c>
      <c r="I5202" s="37" t="s">
        <v>29</v>
      </c>
      <c r="J5202" s="155" t="str">
        <f t="shared" si="11"/>
        <v>TT</v>
      </c>
      <c r="K5202" s="22" t="s">
        <v>18147</v>
      </c>
      <c r="L5202" s="56">
        <v>45134</v>
      </c>
      <c r="P5202" s="40"/>
      <c r="Q5202" s="61"/>
      <c r="R5202" s="61"/>
      <c r="S5202" s="40"/>
      <c r="T5202" s="38"/>
      <c r="U5202" s="38"/>
      <c r="V5202" s="38"/>
      <c r="W5202" s="60"/>
      <c r="AB5202" s="42"/>
      <c r="AC5202" s="35"/>
      <c r="AD5202" s="38"/>
      <c r="AE5202" s="38"/>
      <c r="AF5202" s="38"/>
      <c r="AG5202" s="38"/>
      <c r="AH5202" s="60"/>
    </row>
    <row r="5203" spans="1:34" ht="15.75" customHeight="1">
      <c r="A5203" s="268"/>
      <c r="B5203" s="81" t="s">
        <v>18148</v>
      </c>
      <c r="C5203" s="37" t="s">
        <v>87</v>
      </c>
      <c r="D5203" s="20" t="s">
        <v>18149</v>
      </c>
      <c r="E5203" s="20"/>
      <c r="F5203" s="19" t="s">
        <v>90</v>
      </c>
      <c r="G5203" s="19" t="s">
        <v>91</v>
      </c>
      <c r="H5203" s="37" t="s">
        <v>55</v>
      </c>
      <c r="I5203" s="37" t="s">
        <v>29</v>
      </c>
      <c r="J5203" s="155" t="str">
        <f t="shared" si="11"/>
        <v>TT</v>
      </c>
      <c r="K5203" s="22"/>
      <c r="L5203" s="56">
        <v>45134</v>
      </c>
      <c r="P5203" s="40"/>
      <c r="Q5203" s="61"/>
      <c r="R5203" s="61"/>
      <c r="S5203" s="40"/>
      <c r="T5203" s="38"/>
      <c r="U5203" s="38"/>
      <c r="V5203" s="38"/>
      <c r="W5203" s="60"/>
      <c r="AB5203" s="42"/>
      <c r="AC5203" s="35"/>
      <c r="AD5203" s="38"/>
      <c r="AE5203" s="38"/>
      <c r="AF5203" s="38"/>
      <c r="AG5203" s="38"/>
      <c r="AH5203" s="60"/>
    </row>
    <row r="5204" spans="1:34" ht="15.75" customHeight="1">
      <c r="A5204" s="269"/>
      <c r="B5204" s="78" t="s">
        <v>18150</v>
      </c>
      <c r="C5204" s="37" t="s">
        <v>1430</v>
      </c>
      <c r="D5204" s="20" t="s">
        <v>18151</v>
      </c>
      <c r="E5204" s="20" t="s">
        <v>18152</v>
      </c>
      <c r="F5204" s="55" t="s">
        <v>1445</v>
      </c>
      <c r="G5204" s="55" t="s">
        <v>1432</v>
      </c>
      <c r="H5204" s="37" t="s">
        <v>55</v>
      </c>
      <c r="I5204" s="37" t="s">
        <v>233</v>
      </c>
      <c r="J5204" s="155" t="str">
        <f t="shared" si="11"/>
        <v>NTT</v>
      </c>
      <c r="K5204" s="22" t="s">
        <v>18153</v>
      </c>
      <c r="L5204" s="56">
        <v>45134</v>
      </c>
      <c r="P5204" s="40"/>
      <c r="Q5204" s="61"/>
      <c r="R5204" s="61"/>
      <c r="S5204" s="40"/>
      <c r="T5204" s="38"/>
      <c r="U5204" s="38"/>
      <c r="V5204" s="38"/>
      <c r="W5204" s="60"/>
      <c r="AB5204" s="42"/>
      <c r="AC5204" s="35"/>
      <c r="AD5204" s="38"/>
      <c r="AE5204" s="38"/>
      <c r="AF5204" s="38"/>
      <c r="AG5204" s="38"/>
      <c r="AH5204" s="60"/>
    </row>
    <row r="5205" spans="1:34" ht="15.75" customHeight="1">
      <c r="A5205" s="269"/>
      <c r="B5205" s="78" t="s">
        <v>18154</v>
      </c>
      <c r="C5205" s="37" t="s">
        <v>46</v>
      </c>
      <c r="D5205" s="20" t="s">
        <v>18155</v>
      </c>
      <c r="E5205" s="20" t="s">
        <v>18156</v>
      </c>
      <c r="F5205" s="37" t="s">
        <v>49</v>
      </c>
      <c r="G5205" s="19" t="s">
        <v>50</v>
      </c>
      <c r="H5205" s="37" t="s">
        <v>55</v>
      </c>
      <c r="I5205" s="37" t="s">
        <v>29</v>
      </c>
      <c r="J5205" s="155" t="str">
        <f t="shared" si="11"/>
        <v>TT</v>
      </c>
      <c r="K5205" s="22" t="s">
        <v>18157</v>
      </c>
      <c r="L5205" s="56">
        <v>45134</v>
      </c>
      <c r="P5205" s="40"/>
      <c r="Q5205" s="61"/>
      <c r="R5205" s="61"/>
      <c r="S5205" s="40"/>
      <c r="T5205" s="38"/>
      <c r="U5205" s="38"/>
      <c r="V5205" s="38"/>
      <c r="W5205" s="60"/>
      <c r="AB5205" s="42"/>
      <c r="AC5205" s="35"/>
      <c r="AD5205" s="38"/>
      <c r="AE5205" s="38"/>
      <c r="AF5205" s="38"/>
      <c r="AG5205" s="38"/>
      <c r="AH5205" s="60"/>
    </row>
    <row r="5206" spans="1:34" ht="15.75" customHeight="1">
      <c r="A5206" s="268"/>
      <c r="B5206" s="78" t="s">
        <v>18158</v>
      </c>
      <c r="C5206" s="37" t="s">
        <v>87</v>
      </c>
      <c r="D5206" s="20" t="s">
        <v>18159</v>
      </c>
      <c r="E5206" s="20" t="s">
        <v>18160</v>
      </c>
      <c r="F5206" s="19" t="s">
        <v>90</v>
      </c>
      <c r="G5206" s="19" t="s">
        <v>91</v>
      </c>
      <c r="H5206" s="37" t="s">
        <v>55</v>
      </c>
      <c r="I5206" s="37" t="s">
        <v>29</v>
      </c>
      <c r="J5206" s="155" t="str">
        <f t="shared" si="11"/>
        <v>TT</v>
      </c>
      <c r="K5206" s="22" t="s">
        <v>18161</v>
      </c>
      <c r="L5206" s="56">
        <v>45134</v>
      </c>
      <c r="P5206" s="40"/>
      <c r="Q5206" s="61"/>
      <c r="R5206" s="61"/>
      <c r="S5206" s="40"/>
      <c r="T5206" s="38"/>
      <c r="U5206" s="38"/>
      <c r="V5206" s="38"/>
      <c r="W5206" s="60"/>
      <c r="AB5206" s="42"/>
      <c r="AC5206" s="35"/>
      <c r="AD5206" s="38"/>
      <c r="AE5206" s="38"/>
      <c r="AF5206" s="38"/>
      <c r="AG5206" s="38"/>
      <c r="AH5206" s="60"/>
    </row>
    <row r="5207" spans="1:34" ht="15.75" customHeight="1">
      <c r="A5207" s="269"/>
      <c r="B5207" s="78" t="s">
        <v>18162</v>
      </c>
      <c r="C5207" s="37" t="s">
        <v>87</v>
      </c>
      <c r="D5207" s="20" t="s">
        <v>18163</v>
      </c>
      <c r="E5207" s="20"/>
      <c r="F5207" s="19" t="s">
        <v>90</v>
      </c>
      <c r="G5207" s="19" t="s">
        <v>91</v>
      </c>
      <c r="H5207" s="37" t="s">
        <v>55</v>
      </c>
      <c r="I5207" s="37" t="s">
        <v>29</v>
      </c>
      <c r="J5207" s="155" t="str">
        <f t="shared" si="11"/>
        <v>TT</v>
      </c>
      <c r="K5207" s="22"/>
      <c r="L5207" s="56">
        <v>45134</v>
      </c>
      <c r="P5207" s="40"/>
      <c r="Q5207" s="61"/>
      <c r="R5207" s="61"/>
      <c r="S5207" s="40"/>
      <c r="T5207" s="38"/>
      <c r="U5207" s="38"/>
      <c r="V5207" s="38"/>
      <c r="W5207" s="60"/>
      <c r="AB5207" s="42"/>
      <c r="AC5207" s="35"/>
      <c r="AD5207" s="38"/>
      <c r="AE5207" s="38"/>
      <c r="AF5207" s="38"/>
      <c r="AG5207" s="38"/>
      <c r="AH5207" s="60"/>
    </row>
    <row r="5208" spans="1:34" ht="15.75" customHeight="1">
      <c r="A5208" s="269"/>
      <c r="B5208" s="78" t="s">
        <v>18164</v>
      </c>
      <c r="C5208" s="37" t="s">
        <v>87</v>
      </c>
      <c r="D5208" s="20" t="s">
        <v>18165</v>
      </c>
      <c r="E5208" s="20" t="s">
        <v>18166</v>
      </c>
      <c r="F5208" s="19" t="s">
        <v>90</v>
      </c>
      <c r="G5208" s="19" t="s">
        <v>91</v>
      </c>
      <c r="H5208" s="37" t="s">
        <v>55</v>
      </c>
      <c r="I5208" s="37" t="s">
        <v>29</v>
      </c>
      <c r="J5208" s="155" t="str">
        <f t="shared" si="11"/>
        <v>TT</v>
      </c>
      <c r="K5208" s="22" t="s">
        <v>18167</v>
      </c>
      <c r="L5208" s="56">
        <v>45134</v>
      </c>
      <c r="P5208" s="40"/>
      <c r="Q5208" s="61"/>
      <c r="R5208" s="61"/>
      <c r="S5208" s="40"/>
      <c r="T5208" s="38"/>
      <c r="U5208" s="38"/>
      <c r="V5208" s="38"/>
      <c r="W5208" s="60"/>
      <c r="AB5208" s="42"/>
      <c r="AC5208" s="35"/>
      <c r="AD5208" s="38"/>
      <c r="AE5208" s="38"/>
      <c r="AF5208" s="38"/>
      <c r="AG5208" s="38"/>
      <c r="AH5208" s="60"/>
    </row>
    <row r="5209" spans="1:34" ht="15.75" customHeight="1">
      <c r="A5209" s="268"/>
      <c r="B5209" s="78" t="s">
        <v>18168</v>
      </c>
      <c r="C5209" s="37" t="s">
        <v>24</v>
      </c>
      <c r="D5209" s="20" t="s">
        <v>18169</v>
      </c>
      <c r="E5209" s="20" t="s">
        <v>18170</v>
      </c>
      <c r="F5209" s="19" t="s">
        <v>27</v>
      </c>
      <c r="G5209" s="19" t="s">
        <v>28</v>
      </c>
      <c r="H5209" s="37" t="s">
        <v>55</v>
      </c>
      <c r="I5209" s="37" t="s">
        <v>29</v>
      </c>
      <c r="J5209" s="155" t="str">
        <f t="shared" si="11"/>
        <v>TT</v>
      </c>
      <c r="K5209" s="22" t="s">
        <v>18171</v>
      </c>
      <c r="L5209" s="56">
        <v>45134</v>
      </c>
      <c r="P5209" s="40"/>
      <c r="Q5209" s="61"/>
      <c r="R5209" s="61"/>
      <c r="S5209" s="40"/>
      <c r="T5209" s="38"/>
      <c r="U5209" s="38"/>
      <c r="V5209" s="38"/>
      <c r="W5209" s="60"/>
      <c r="AB5209" s="42"/>
      <c r="AC5209" s="35"/>
      <c r="AD5209" s="38"/>
      <c r="AE5209" s="38"/>
      <c r="AF5209" s="38"/>
      <c r="AG5209" s="38"/>
      <c r="AH5209" s="60"/>
    </row>
    <row r="5210" spans="1:34" ht="15.75" customHeight="1">
      <c r="A5210" s="269"/>
      <c r="B5210" s="78" t="s">
        <v>18172</v>
      </c>
      <c r="C5210" s="37" t="s">
        <v>24</v>
      </c>
      <c r="D5210" s="20" t="s">
        <v>18173</v>
      </c>
      <c r="E5210" s="20" t="s">
        <v>18174</v>
      </c>
      <c r="F5210" s="19" t="s">
        <v>27</v>
      </c>
      <c r="G5210" s="19" t="s">
        <v>28</v>
      </c>
      <c r="H5210" s="37" t="s">
        <v>55</v>
      </c>
      <c r="I5210" s="37" t="s">
        <v>29</v>
      </c>
      <c r="J5210" s="155" t="str">
        <f t="shared" si="11"/>
        <v>TT</v>
      </c>
      <c r="K5210" s="22" t="s">
        <v>18175</v>
      </c>
      <c r="L5210" s="56">
        <v>45134</v>
      </c>
      <c r="P5210" s="40"/>
      <c r="Q5210" s="61"/>
      <c r="R5210" s="61"/>
      <c r="S5210" s="40"/>
      <c r="T5210" s="38"/>
      <c r="U5210" s="38"/>
      <c r="V5210" s="38"/>
      <c r="W5210" s="60"/>
      <c r="AB5210" s="42"/>
      <c r="AC5210" s="35"/>
      <c r="AD5210" s="38"/>
      <c r="AE5210" s="38"/>
      <c r="AF5210" s="38"/>
      <c r="AG5210" s="38"/>
      <c r="AH5210" s="60"/>
    </row>
    <row r="5211" spans="1:34" ht="15.75" customHeight="1">
      <c r="A5211" s="269"/>
      <c r="B5211" s="38"/>
      <c r="C5211" s="37"/>
      <c r="D5211" s="20"/>
      <c r="E5211" s="20"/>
      <c r="F5211" s="37"/>
      <c r="G5211" s="37"/>
      <c r="H5211" s="37"/>
      <c r="I5211" s="37"/>
      <c r="J5211" s="155">
        <f t="shared" si="11"/>
        <v>0</v>
      </c>
      <c r="K5211" s="22"/>
      <c r="L5211" s="56"/>
      <c r="P5211" s="40"/>
      <c r="Q5211" s="61"/>
      <c r="R5211" s="61"/>
      <c r="S5211" s="40"/>
      <c r="T5211" s="38"/>
      <c r="U5211" s="38"/>
      <c r="V5211" s="38"/>
      <c r="W5211" s="60"/>
      <c r="AB5211" s="42"/>
      <c r="AC5211" s="35"/>
      <c r="AD5211" s="38"/>
      <c r="AE5211" s="38"/>
      <c r="AF5211" s="38"/>
      <c r="AG5211" s="38"/>
      <c r="AH5211" s="60"/>
    </row>
    <row r="5212" spans="1:34" ht="15.75" customHeight="1">
      <c r="A5212" s="35" t="s">
        <v>18176</v>
      </c>
      <c r="B5212" s="38" t="s">
        <v>18177</v>
      </c>
      <c r="C5212" s="37" t="s">
        <v>24</v>
      </c>
      <c r="D5212" s="20" t="s">
        <v>18178</v>
      </c>
      <c r="E5212" s="20" t="s">
        <v>18179</v>
      </c>
      <c r="F5212" s="19" t="s">
        <v>27</v>
      </c>
      <c r="G5212" s="19" t="s">
        <v>28</v>
      </c>
      <c r="H5212" s="37" t="s">
        <v>55</v>
      </c>
      <c r="I5212" s="21" t="s">
        <v>1371</v>
      </c>
      <c r="J5212" s="155" t="str">
        <f t="shared" si="11"/>
        <v>Other</v>
      </c>
      <c r="K5212" s="22" t="s">
        <v>18180</v>
      </c>
      <c r="L5212" s="56">
        <v>45138</v>
      </c>
      <c r="M5212" s="40"/>
      <c r="P5212" s="40"/>
      <c r="Q5212" s="61"/>
      <c r="R5212" s="61"/>
      <c r="S5212" s="40"/>
      <c r="T5212" s="38"/>
      <c r="U5212" s="38"/>
      <c r="V5212" s="38"/>
      <c r="W5212" s="60"/>
      <c r="AB5212" s="42"/>
      <c r="AC5212" s="35"/>
      <c r="AD5212" s="38"/>
      <c r="AE5212" s="38"/>
      <c r="AF5212" s="38"/>
      <c r="AG5212" s="38"/>
      <c r="AH5212" s="60"/>
    </row>
    <row r="5213" spans="1:34" ht="15.75" customHeight="1">
      <c r="A5213" s="54" t="s">
        <v>18181</v>
      </c>
      <c r="B5213" s="78" t="s">
        <v>18182</v>
      </c>
      <c r="C5213" s="37" t="s">
        <v>87</v>
      </c>
      <c r="D5213" s="20" t="s">
        <v>18183</v>
      </c>
      <c r="E5213" s="20" t="s">
        <v>18184</v>
      </c>
      <c r="F5213" s="19" t="s">
        <v>90</v>
      </c>
      <c r="G5213" s="19" t="s">
        <v>91</v>
      </c>
      <c r="H5213" s="37" t="s">
        <v>55</v>
      </c>
      <c r="I5213" s="37" t="s">
        <v>29</v>
      </c>
      <c r="J5213" s="155" t="str">
        <f t="shared" si="11"/>
        <v>TT</v>
      </c>
      <c r="K5213" s="22" t="s">
        <v>18185</v>
      </c>
      <c r="L5213" s="56">
        <v>45138</v>
      </c>
      <c r="P5213" s="40"/>
      <c r="Q5213" s="61"/>
      <c r="R5213" s="61"/>
      <c r="S5213" s="40"/>
      <c r="T5213" s="38"/>
      <c r="U5213" s="38"/>
      <c r="V5213" s="38"/>
      <c r="W5213" s="60"/>
      <c r="AB5213" s="42"/>
      <c r="AC5213" s="35"/>
      <c r="AD5213" s="38"/>
      <c r="AE5213" s="38"/>
      <c r="AF5213" s="38"/>
      <c r="AG5213" s="38"/>
      <c r="AH5213" s="60"/>
    </row>
    <row r="5214" spans="1:34" ht="15.75" customHeight="1">
      <c r="A5214" s="114" t="s">
        <v>39</v>
      </c>
      <c r="B5214" s="78" t="s">
        <v>18186</v>
      </c>
      <c r="C5214" s="37" t="s">
        <v>87</v>
      </c>
      <c r="D5214" s="20" t="s">
        <v>18187</v>
      </c>
      <c r="E5214" s="20" t="s">
        <v>18188</v>
      </c>
      <c r="F5214" s="19" t="s">
        <v>90</v>
      </c>
      <c r="G5214" s="19" t="s">
        <v>91</v>
      </c>
      <c r="H5214" s="37" t="s">
        <v>55</v>
      </c>
      <c r="I5214" s="37" t="s">
        <v>29</v>
      </c>
      <c r="J5214" s="155" t="str">
        <f t="shared" si="11"/>
        <v>TT</v>
      </c>
      <c r="K5214" s="22" t="s">
        <v>18188</v>
      </c>
      <c r="L5214" s="56">
        <v>45138</v>
      </c>
      <c r="P5214" s="40"/>
      <c r="Q5214" s="61"/>
      <c r="R5214" s="61"/>
      <c r="S5214" s="40"/>
      <c r="T5214" s="38"/>
      <c r="U5214" s="38"/>
      <c r="V5214" s="38"/>
      <c r="W5214" s="60"/>
      <c r="AB5214" s="42"/>
      <c r="AC5214" s="35"/>
      <c r="AD5214" s="38"/>
      <c r="AE5214" s="38"/>
      <c r="AF5214" s="38"/>
      <c r="AG5214" s="38"/>
      <c r="AH5214" s="60"/>
    </row>
    <row r="5215" spans="1:34" ht="15.75" customHeight="1">
      <c r="A5215" s="38" t="s">
        <v>17871</v>
      </c>
      <c r="B5215" s="78" t="s">
        <v>18189</v>
      </c>
      <c r="C5215" s="37" t="s">
        <v>1638</v>
      </c>
      <c r="D5215" s="20" t="s">
        <v>18190</v>
      </c>
      <c r="E5215" s="20" t="s">
        <v>18191</v>
      </c>
      <c r="F5215" s="37" t="s">
        <v>1399</v>
      </c>
      <c r="G5215" s="19" t="s">
        <v>1641</v>
      </c>
      <c r="H5215" s="37" t="s">
        <v>55</v>
      </c>
      <c r="I5215" s="21" t="s">
        <v>1371</v>
      </c>
      <c r="J5215" s="155" t="str">
        <f t="shared" si="11"/>
        <v>Other</v>
      </c>
      <c r="K5215" s="22" t="s">
        <v>18192</v>
      </c>
      <c r="L5215" s="56">
        <v>45138</v>
      </c>
      <c r="P5215" s="40"/>
      <c r="Q5215" s="61"/>
      <c r="R5215" s="61"/>
      <c r="S5215" s="40"/>
      <c r="T5215" s="38"/>
      <c r="U5215" s="38"/>
      <c r="V5215" s="38"/>
      <c r="W5215" s="60"/>
      <c r="AB5215" s="42"/>
      <c r="AC5215" s="35"/>
      <c r="AD5215" s="38"/>
      <c r="AE5215" s="38"/>
      <c r="AF5215" s="38"/>
      <c r="AG5215" s="38"/>
      <c r="AH5215" s="60"/>
    </row>
    <row r="5216" spans="1:34" ht="15.75" customHeight="1">
      <c r="A5216" s="75" t="s">
        <v>13413</v>
      </c>
      <c r="B5216" s="78" t="s">
        <v>18193</v>
      </c>
      <c r="C5216" s="37" t="s">
        <v>24</v>
      </c>
      <c r="D5216" s="20" t="s">
        <v>18194</v>
      </c>
      <c r="E5216" s="20" t="s">
        <v>18195</v>
      </c>
      <c r="F5216" s="19" t="s">
        <v>27</v>
      </c>
      <c r="G5216" s="19" t="s">
        <v>28</v>
      </c>
      <c r="H5216" s="37" t="s">
        <v>55</v>
      </c>
      <c r="I5216" s="37" t="s">
        <v>29</v>
      </c>
      <c r="J5216" s="155" t="str">
        <f t="shared" si="11"/>
        <v>TT</v>
      </c>
      <c r="K5216" s="22" t="s">
        <v>18196</v>
      </c>
      <c r="L5216" s="56">
        <v>45138</v>
      </c>
      <c r="P5216" s="40"/>
      <c r="Q5216" s="61"/>
      <c r="R5216" s="61"/>
      <c r="S5216" s="40"/>
      <c r="T5216" s="38"/>
      <c r="U5216" s="38"/>
      <c r="V5216" s="38"/>
      <c r="W5216" s="60"/>
      <c r="AB5216" s="42"/>
      <c r="AC5216" s="35"/>
      <c r="AD5216" s="38"/>
      <c r="AE5216" s="38"/>
      <c r="AF5216" s="38"/>
      <c r="AG5216" s="38"/>
      <c r="AH5216" s="60"/>
    </row>
    <row r="5217" spans="1:34" ht="15.75" customHeight="1">
      <c r="A5217" s="50" t="s">
        <v>56</v>
      </c>
      <c r="B5217" s="78" t="s">
        <v>18197</v>
      </c>
      <c r="C5217" s="37" t="s">
        <v>24</v>
      </c>
      <c r="D5217" s="20" t="s">
        <v>18198</v>
      </c>
      <c r="E5217" s="20" t="s">
        <v>18199</v>
      </c>
      <c r="F5217" s="19" t="s">
        <v>27</v>
      </c>
      <c r="G5217" s="19" t="s">
        <v>28</v>
      </c>
      <c r="H5217" s="37" t="s">
        <v>55</v>
      </c>
      <c r="I5217" s="37" t="s">
        <v>29</v>
      </c>
      <c r="J5217" s="155" t="str">
        <f t="shared" si="11"/>
        <v>TT</v>
      </c>
      <c r="K5217" s="22" t="s">
        <v>18200</v>
      </c>
      <c r="L5217" s="56">
        <v>45138</v>
      </c>
      <c r="P5217" s="40"/>
      <c r="Q5217" s="61"/>
      <c r="R5217" s="61"/>
      <c r="S5217" s="40"/>
      <c r="T5217" s="38"/>
      <c r="U5217" s="38"/>
      <c r="V5217" s="38"/>
      <c r="W5217" s="60"/>
      <c r="AB5217" s="42"/>
      <c r="AC5217" s="35"/>
      <c r="AD5217" s="38"/>
      <c r="AE5217" s="38"/>
      <c r="AF5217" s="38"/>
      <c r="AG5217" s="38"/>
      <c r="AH5217" s="60"/>
    </row>
    <row r="5218" spans="1:34" ht="15.75" customHeight="1">
      <c r="A5218" s="17">
        <v>44</v>
      </c>
      <c r="B5218" s="78" t="s">
        <v>18201</v>
      </c>
      <c r="C5218" s="37" t="s">
        <v>87</v>
      </c>
      <c r="D5218" s="20" t="s">
        <v>18202</v>
      </c>
      <c r="E5218" s="20" t="s">
        <v>18203</v>
      </c>
      <c r="F5218" s="19" t="s">
        <v>90</v>
      </c>
      <c r="G5218" s="19" t="s">
        <v>91</v>
      </c>
      <c r="H5218" s="37" t="s">
        <v>55</v>
      </c>
      <c r="I5218" s="37" t="s">
        <v>29</v>
      </c>
      <c r="J5218" s="155" t="str">
        <f t="shared" si="11"/>
        <v>TT</v>
      </c>
      <c r="K5218" s="22" t="s">
        <v>18204</v>
      </c>
      <c r="L5218" s="56">
        <v>45138</v>
      </c>
      <c r="P5218" s="40"/>
      <c r="Q5218" s="61"/>
      <c r="R5218" s="61"/>
      <c r="S5218" s="40"/>
      <c r="T5218" s="38"/>
      <c r="U5218" s="38"/>
      <c r="V5218" s="38"/>
      <c r="W5218" s="60"/>
      <c r="AB5218" s="42"/>
      <c r="AC5218" s="35"/>
      <c r="AD5218" s="38"/>
      <c r="AE5218" s="38"/>
      <c r="AF5218" s="38"/>
      <c r="AG5218" s="38"/>
      <c r="AH5218" s="60"/>
    </row>
    <row r="5219" spans="1:34" ht="15.75" customHeight="1">
      <c r="A5219" s="111" t="s">
        <v>64</v>
      </c>
      <c r="B5219" s="78" t="s">
        <v>18205</v>
      </c>
      <c r="C5219" s="37" t="s">
        <v>412</v>
      </c>
      <c r="D5219" s="20" t="s">
        <v>18206</v>
      </c>
      <c r="E5219" s="20"/>
      <c r="F5219" s="19" t="s">
        <v>414</v>
      </c>
      <c r="G5219" s="37" t="s">
        <v>415</v>
      </c>
      <c r="H5219" s="37" t="s">
        <v>55</v>
      </c>
      <c r="I5219" s="37" t="s">
        <v>233</v>
      </c>
      <c r="J5219" s="155" t="str">
        <f t="shared" si="11"/>
        <v>NTT</v>
      </c>
      <c r="K5219" s="22"/>
      <c r="L5219" s="56">
        <v>45138</v>
      </c>
      <c r="P5219" s="40"/>
      <c r="Q5219" s="61"/>
      <c r="R5219" s="61"/>
      <c r="S5219" s="40"/>
      <c r="T5219" s="38"/>
      <c r="U5219" s="38"/>
      <c r="V5219" s="38"/>
      <c r="W5219" s="60"/>
      <c r="AB5219" s="42"/>
      <c r="AC5219" s="35"/>
      <c r="AD5219" s="38"/>
      <c r="AE5219" s="38"/>
      <c r="AF5219" s="38"/>
      <c r="AG5219" s="38"/>
      <c r="AH5219" s="60"/>
    </row>
    <row r="5220" spans="1:34" ht="15.75" customHeight="1">
      <c r="A5220" s="75">
        <v>2.2000000000000002</v>
      </c>
      <c r="B5220" s="78" t="s">
        <v>18207</v>
      </c>
      <c r="C5220" s="37" t="s">
        <v>24</v>
      </c>
      <c r="D5220" s="20" t="s">
        <v>18208</v>
      </c>
      <c r="E5220" s="20" t="s">
        <v>18209</v>
      </c>
      <c r="F5220" s="19" t="s">
        <v>27</v>
      </c>
      <c r="G5220" s="19" t="s">
        <v>28</v>
      </c>
      <c r="H5220" s="37" t="s">
        <v>55</v>
      </c>
      <c r="I5220" s="37" t="s">
        <v>29</v>
      </c>
      <c r="J5220" s="155" t="str">
        <f t="shared" si="11"/>
        <v>TT</v>
      </c>
      <c r="K5220" s="22" t="s">
        <v>18209</v>
      </c>
      <c r="L5220" s="56">
        <v>45138</v>
      </c>
      <c r="P5220" s="40"/>
      <c r="Q5220" s="61"/>
      <c r="R5220" s="61"/>
      <c r="S5220" s="40"/>
      <c r="T5220" s="38"/>
      <c r="U5220" s="38"/>
      <c r="V5220" s="38"/>
      <c r="W5220" s="60"/>
      <c r="AB5220" s="42"/>
      <c r="AC5220" s="35"/>
      <c r="AD5220" s="38"/>
      <c r="AE5220" s="38"/>
      <c r="AF5220" s="38"/>
      <c r="AG5220" s="38"/>
      <c r="AH5220" s="60"/>
    </row>
    <row r="5221" spans="1:34" ht="15.75" customHeight="1">
      <c r="A5221" s="111" t="s">
        <v>73</v>
      </c>
      <c r="B5221" s="78" t="s">
        <v>18210</v>
      </c>
      <c r="C5221" s="37" t="s">
        <v>46</v>
      </c>
      <c r="D5221" s="20" t="s">
        <v>18211</v>
      </c>
      <c r="E5221" s="20" t="s">
        <v>18212</v>
      </c>
      <c r="F5221" s="37" t="s">
        <v>49</v>
      </c>
      <c r="G5221" s="19" t="s">
        <v>50</v>
      </c>
      <c r="H5221" s="37" t="s">
        <v>55</v>
      </c>
      <c r="I5221" s="37" t="s">
        <v>29</v>
      </c>
      <c r="J5221" s="155" t="str">
        <f t="shared" si="11"/>
        <v>TT</v>
      </c>
      <c r="K5221" s="22" t="s">
        <v>18213</v>
      </c>
      <c r="L5221" s="56">
        <v>45138</v>
      </c>
      <c r="P5221" s="40"/>
      <c r="Q5221" s="61"/>
      <c r="R5221" s="61"/>
      <c r="S5221" s="40"/>
      <c r="T5221" s="38"/>
      <c r="U5221" s="38"/>
      <c r="V5221" s="38"/>
      <c r="W5221" s="60"/>
      <c r="AB5221" s="42"/>
      <c r="AC5221" s="35"/>
      <c r="AD5221" s="38"/>
      <c r="AE5221" s="38"/>
      <c r="AF5221" s="38"/>
      <c r="AG5221" s="38"/>
      <c r="AH5221" s="60"/>
    </row>
    <row r="5222" spans="1:34" ht="15.75" customHeight="1">
      <c r="A5222" s="75">
        <v>2.6</v>
      </c>
      <c r="B5222" s="78" t="s">
        <v>18214</v>
      </c>
      <c r="C5222" s="37" t="s">
        <v>1486</v>
      </c>
      <c r="D5222" s="20" t="s">
        <v>18215</v>
      </c>
      <c r="E5222" s="20" t="s">
        <v>18216</v>
      </c>
      <c r="F5222" s="37" t="s">
        <v>1489</v>
      </c>
      <c r="G5222" s="37" t="s">
        <v>1490</v>
      </c>
      <c r="H5222" s="37" t="s">
        <v>55</v>
      </c>
      <c r="I5222" s="21" t="s">
        <v>1371</v>
      </c>
      <c r="J5222" s="155" t="str">
        <f t="shared" si="11"/>
        <v>Other</v>
      </c>
      <c r="K5222" s="22" t="s">
        <v>18217</v>
      </c>
      <c r="L5222" s="56">
        <v>45138</v>
      </c>
      <c r="P5222" s="40"/>
      <c r="Q5222" s="61"/>
      <c r="R5222" s="61"/>
      <c r="S5222" s="40"/>
      <c r="T5222" s="38"/>
      <c r="U5222" s="38"/>
      <c r="V5222" s="38"/>
      <c r="W5222" s="60"/>
      <c r="AB5222" s="42"/>
      <c r="AC5222" s="35"/>
      <c r="AD5222" s="38"/>
      <c r="AE5222" s="38"/>
      <c r="AF5222" s="38"/>
      <c r="AG5222" s="38"/>
      <c r="AH5222" s="60"/>
    </row>
    <row r="5223" spans="1:34" ht="15.75" customHeight="1">
      <c r="A5223" s="111" t="s">
        <v>82</v>
      </c>
      <c r="B5223" s="78" t="s">
        <v>18218</v>
      </c>
      <c r="C5223" s="37" t="s">
        <v>1366</v>
      </c>
      <c r="D5223" s="20" t="s">
        <v>18219</v>
      </c>
      <c r="E5223" s="20"/>
      <c r="F5223" s="55" t="s">
        <v>1369</v>
      </c>
      <c r="G5223" s="55" t="s">
        <v>1370</v>
      </c>
      <c r="H5223" s="37" t="s">
        <v>55</v>
      </c>
      <c r="I5223" s="21" t="s">
        <v>1371</v>
      </c>
      <c r="J5223" s="155" t="str">
        <f t="shared" si="11"/>
        <v>Other</v>
      </c>
      <c r="K5223" s="22"/>
      <c r="L5223" s="56">
        <v>45138</v>
      </c>
      <c r="P5223" s="40"/>
      <c r="Q5223" s="61"/>
      <c r="R5223" s="61"/>
      <c r="S5223" s="40"/>
      <c r="T5223" s="38"/>
      <c r="U5223" s="38"/>
      <c r="V5223" s="38"/>
      <c r="W5223" s="60"/>
      <c r="AB5223" s="42"/>
      <c r="AC5223" s="35"/>
      <c r="AD5223" s="38"/>
      <c r="AE5223" s="38"/>
      <c r="AF5223" s="38"/>
      <c r="AG5223" s="38"/>
      <c r="AH5223" s="60"/>
    </row>
    <row r="5224" spans="1:34" ht="15.75" customHeight="1">
      <c r="A5224" s="112" t="s">
        <v>18220</v>
      </c>
      <c r="B5224" s="78" t="s">
        <v>18221</v>
      </c>
      <c r="C5224" s="37" t="s">
        <v>46</v>
      </c>
      <c r="D5224" s="20" t="s">
        <v>18222</v>
      </c>
      <c r="E5224" s="20" t="s">
        <v>18223</v>
      </c>
      <c r="F5224" s="37" t="s">
        <v>49</v>
      </c>
      <c r="G5224" s="19" t="s">
        <v>50</v>
      </c>
      <c r="H5224" s="37" t="s">
        <v>55</v>
      </c>
      <c r="I5224" s="37" t="s">
        <v>29</v>
      </c>
      <c r="J5224" s="155" t="str">
        <f t="shared" si="11"/>
        <v>TT</v>
      </c>
      <c r="K5224" s="22" t="s">
        <v>18223</v>
      </c>
      <c r="L5224" s="56">
        <v>45138</v>
      </c>
      <c r="P5224" s="40"/>
      <c r="Q5224" s="61"/>
      <c r="R5224" s="61"/>
      <c r="S5224" s="40"/>
      <c r="T5224" s="38"/>
      <c r="U5224" s="38"/>
      <c r="V5224" s="38"/>
      <c r="W5224" s="60"/>
      <c r="AB5224" s="42"/>
      <c r="AC5224" s="35"/>
      <c r="AD5224" s="38"/>
      <c r="AE5224" s="38"/>
      <c r="AF5224" s="38"/>
      <c r="AG5224" s="38"/>
      <c r="AH5224" s="60"/>
    </row>
    <row r="5225" spans="1:34" ht="15.75" customHeight="1">
      <c r="A5225" s="111" t="s">
        <v>92</v>
      </c>
      <c r="B5225" s="78" t="s">
        <v>18224</v>
      </c>
      <c r="C5225" s="37" t="s">
        <v>24</v>
      </c>
      <c r="D5225" s="20" t="s">
        <v>18225</v>
      </c>
      <c r="E5225" s="20" t="s">
        <v>18226</v>
      </c>
      <c r="F5225" s="19" t="s">
        <v>27</v>
      </c>
      <c r="G5225" s="19" t="s">
        <v>28</v>
      </c>
      <c r="H5225" s="37" t="s">
        <v>55</v>
      </c>
      <c r="I5225" s="37" t="s">
        <v>29</v>
      </c>
      <c r="J5225" s="155" t="str">
        <f t="shared" si="11"/>
        <v>TT</v>
      </c>
      <c r="K5225" s="22" t="s">
        <v>18226</v>
      </c>
      <c r="L5225" s="56">
        <v>45138</v>
      </c>
      <c r="P5225" s="40"/>
      <c r="Q5225" s="61"/>
      <c r="R5225" s="61"/>
      <c r="S5225" s="40"/>
      <c r="T5225" s="38"/>
      <c r="U5225" s="38"/>
      <c r="V5225" s="38"/>
      <c r="W5225" s="60"/>
      <c r="AB5225" s="42"/>
      <c r="AC5225" s="35"/>
      <c r="AD5225" s="38"/>
      <c r="AE5225" s="38"/>
      <c r="AF5225" s="38"/>
      <c r="AG5225" s="38"/>
      <c r="AH5225" s="60"/>
    </row>
    <row r="5226" spans="1:34" ht="15.75" customHeight="1">
      <c r="A5226" s="17">
        <v>481</v>
      </c>
      <c r="B5226" s="78" t="s">
        <v>18227</v>
      </c>
      <c r="C5226" s="37" t="s">
        <v>87</v>
      </c>
      <c r="D5226" s="20" t="s">
        <v>18228</v>
      </c>
      <c r="E5226" s="20" t="s">
        <v>18229</v>
      </c>
      <c r="F5226" s="19" t="s">
        <v>90</v>
      </c>
      <c r="G5226" s="19" t="s">
        <v>91</v>
      </c>
      <c r="H5226" s="37" t="s">
        <v>55</v>
      </c>
      <c r="I5226" s="37" t="s">
        <v>29</v>
      </c>
      <c r="J5226" s="155" t="str">
        <f t="shared" si="11"/>
        <v>TT</v>
      </c>
      <c r="K5226" s="22" t="s">
        <v>18230</v>
      </c>
      <c r="L5226" s="56">
        <v>45138</v>
      </c>
      <c r="P5226" s="40"/>
      <c r="Q5226" s="61"/>
      <c r="R5226" s="61"/>
      <c r="S5226" s="40"/>
      <c r="T5226" s="38"/>
      <c r="U5226" s="38"/>
      <c r="V5226" s="38"/>
      <c r="W5226" s="60"/>
      <c r="AB5226" s="42"/>
      <c r="AC5226" s="35"/>
      <c r="AD5226" s="38"/>
      <c r="AE5226" s="38"/>
      <c r="AF5226" s="38"/>
      <c r="AG5226" s="38"/>
      <c r="AH5226" s="60"/>
    </row>
    <row r="5227" spans="1:34" ht="15.75" customHeight="1">
      <c r="A5227" s="111" t="s">
        <v>100</v>
      </c>
      <c r="B5227" s="38"/>
      <c r="C5227" s="37"/>
      <c r="D5227" s="20"/>
      <c r="E5227" s="20"/>
      <c r="F5227" s="37"/>
      <c r="G5227" s="37"/>
      <c r="H5227" s="37"/>
      <c r="I5227" s="37"/>
      <c r="J5227" s="155">
        <f t="shared" si="11"/>
        <v>0</v>
      </c>
      <c r="K5227" s="22"/>
      <c r="L5227" s="56"/>
      <c r="P5227" s="40"/>
      <c r="Q5227" s="61"/>
      <c r="R5227" s="61"/>
      <c r="S5227" s="40"/>
      <c r="T5227" s="38"/>
      <c r="U5227" s="38"/>
      <c r="V5227" s="38"/>
      <c r="W5227" s="60"/>
      <c r="AB5227" s="42"/>
      <c r="AC5227" s="35"/>
      <c r="AD5227" s="38"/>
      <c r="AE5227" s="38"/>
      <c r="AF5227" s="38"/>
      <c r="AG5227" s="38"/>
      <c r="AH5227" s="60"/>
    </row>
    <row r="5228" spans="1:34" ht="15.75" customHeight="1">
      <c r="A5228" s="17">
        <v>162</v>
      </c>
      <c r="B5228" s="38"/>
      <c r="C5228" s="37"/>
      <c r="D5228" s="20"/>
      <c r="E5228" s="20"/>
      <c r="F5228" s="37"/>
      <c r="G5228" s="37"/>
      <c r="H5228" s="37"/>
      <c r="I5228" s="37"/>
      <c r="J5228" s="155">
        <f t="shared" si="11"/>
        <v>0</v>
      </c>
      <c r="K5228" s="22"/>
      <c r="L5228" s="56"/>
      <c r="P5228" s="40"/>
      <c r="Q5228" s="61"/>
      <c r="R5228" s="61"/>
      <c r="S5228" s="40"/>
      <c r="T5228" s="38"/>
      <c r="U5228" s="38"/>
      <c r="V5228" s="38"/>
      <c r="W5228" s="60"/>
      <c r="AB5228" s="42"/>
      <c r="AC5228" s="35"/>
      <c r="AD5228" s="38"/>
      <c r="AE5228" s="38"/>
      <c r="AF5228" s="38"/>
      <c r="AG5228" s="38"/>
      <c r="AH5228" s="60"/>
    </row>
    <row r="5229" spans="1:34" ht="15.75" customHeight="1">
      <c r="A5229" s="258"/>
      <c r="B5229" s="38"/>
      <c r="C5229" s="37"/>
      <c r="D5229" s="20"/>
      <c r="E5229" s="20"/>
      <c r="F5229" s="37"/>
      <c r="G5229" s="37"/>
      <c r="H5229" s="37"/>
      <c r="I5229" s="37"/>
      <c r="J5229" s="155">
        <f t="shared" si="11"/>
        <v>0</v>
      </c>
      <c r="K5229" s="22"/>
      <c r="L5229" s="56"/>
      <c r="P5229" s="40"/>
      <c r="Q5229" s="61"/>
      <c r="R5229" s="61"/>
      <c r="S5229" s="40"/>
      <c r="T5229" s="38"/>
      <c r="U5229" s="38"/>
      <c r="V5229" s="38"/>
      <c r="W5229" s="60"/>
      <c r="AB5229" s="42"/>
      <c r="AC5229" s="35"/>
      <c r="AD5229" s="38"/>
      <c r="AE5229" s="38"/>
      <c r="AF5229" s="38"/>
      <c r="AG5229" s="38"/>
      <c r="AH5229" s="60"/>
    </row>
    <row r="5230" spans="1:34" ht="15.75" customHeight="1">
      <c r="A5230" s="35" t="s">
        <v>18231</v>
      </c>
      <c r="B5230" s="38" t="s">
        <v>18232</v>
      </c>
      <c r="C5230" s="37" t="s">
        <v>87</v>
      </c>
      <c r="D5230" s="20" t="s">
        <v>18233</v>
      </c>
      <c r="E5230" s="180" t="s">
        <v>18234</v>
      </c>
      <c r="F5230" s="19" t="s">
        <v>90</v>
      </c>
      <c r="G5230" s="19" t="s">
        <v>91</v>
      </c>
      <c r="H5230" s="37" t="s">
        <v>55</v>
      </c>
      <c r="I5230" s="37" t="s">
        <v>29</v>
      </c>
      <c r="J5230" s="155" t="str">
        <f t="shared" si="11"/>
        <v>TT</v>
      </c>
      <c r="K5230" s="61" t="s">
        <v>18235</v>
      </c>
      <c r="L5230" s="56">
        <v>45138</v>
      </c>
      <c r="M5230" s="40"/>
      <c r="P5230" s="40"/>
      <c r="Q5230" s="61"/>
      <c r="R5230" s="61"/>
      <c r="S5230" s="40"/>
      <c r="T5230" s="38"/>
      <c r="U5230" s="38"/>
      <c r="V5230" s="38"/>
      <c r="W5230" s="60"/>
      <c r="AB5230" s="42"/>
      <c r="AC5230" s="35"/>
      <c r="AD5230" s="38"/>
      <c r="AE5230" s="38"/>
      <c r="AF5230" s="38"/>
      <c r="AG5230" s="38"/>
      <c r="AH5230" s="60"/>
    </row>
    <row r="5231" spans="1:34" ht="15.75" customHeight="1">
      <c r="A5231" s="54" t="s">
        <v>2714</v>
      </c>
      <c r="B5231" s="38" t="s">
        <v>18236</v>
      </c>
      <c r="C5231" s="37" t="s">
        <v>228</v>
      </c>
      <c r="D5231" s="20" t="s">
        <v>18237</v>
      </c>
      <c r="E5231" s="20"/>
      <c r="F5231" s="19" t="s">
        <v>231</v>
      </c>
      <c r="G5231" s="19" t="s">
        <v>232</v>
      </c>
      <c r="H5231" s="37" t="s">
        <v>55</v>
      </c>
      <c r="I5231" s="37" t="s">
        <v>233</v>
      </c>
      <c r="J5231" s="155" t="str">
        <f t="shared" si="11"/>
        <v>NTT</v>
      </c>
      <c r="K5231" s="22"/>
      <c r="L5231" s="56">
        <v>45138</v>
      </c>
      <c r="P5231" s="40"/>
      <c r="Q5231" s="61"/>
      <c r="R5231" s="61"/>
      <c r="S5231" s="40"/>
      <c r="T5231" s="38"/>
      <c r="U5231" s="38"/>
      <c r="V5231" s="38"/>
      <c r="W5231" s="60"/>
      <c r="AB5231" s="42"/>
      <c r="AC5231" s="35"/>
      <c r="AD5231" s="38"/>
      <c r="AE5231" s="38"/>
      <c r="AF5231" s="38"/>
      <c r="AG5231" s="38"/>
      <c r="AH5231" s="60"/>
    </row>
    <row r="5232" spans="1:34" ht="15.75" customHeight="1">
      <c r="A5232" s="114" t="s">
        <v>39</v>
      </c>
      <c r="B5232" s="38" t="s">
        <v>18238</v>
      </c>
      <c r="C5232" s="37" t="s">
        <v>46</v>
      </c>
      <c r="D5232" s="20" t="s">
        <v>18239</v>
      </c>
      <c r="E5232" s="20"/>
      <c r="F5232" s="37" t="s">
        <v>49</v>
      </c>
      <c r="G5232" s="19" t="s">
        <v>50</v>
      </c>
      <c r="H5232" s="37" t="s">
        <v>55</v>
      </c>
      <c r="I5232" s="37" t="s">
        <v>29</v>
      </c>
      <c r="J5232" s="155" t="str">
        <f t="shared" si="11"/>
        <v>TT</v>
      </c>
      <c r="K5232" s="22"/>
      <c r="L5232" s="56">
        <v>45138</v>
      </c>
      <c r="P5232" s="40"/>
      <c r="Q5232" s="61"/>
      <c r="R5232" s="61"/>
      <c r="S5232" s="40"/>
      <c r="T5232" s="38"/>
      <c r="U5232" s="38"/>
      <c r="V5232" s="38"/>
      <c r="W5232" s="60"/>
      <c r="AB5232" s="42"/>
      <c r="AC5232" s="35"/>
      <c r="AD5232" s="38"/>
      <c r="AE5232" s="38"/>
      <c r="AF5232" s="38"/>
      <c r="AG5232" s="38"/>
      <c r="AH5232" s="60"/>
    </row>
    <row r="5233" spans="1:34" ht="15.75" customHeight="1">
      <c r="A5233" s="38" t="s">
        <v>17871</v>
      </c>
      <c r="B5233" s="38" t="s">
        <v>18240</v>
      </c>
      <c r="C5233" s="37" t="s">
        <v>46</v>
      </c>
      <c r="D5233" s="20" t="s">
        <v>18241</v>
      </c>
      <c r="E5233" s="180" t="s">
        <v>18242</v>
      </c>
      <c r="F5233" s="37" t="s">
        <v>49</v>
      </c>
      <c r="G5233" s="19" t="s">
        <v>50</v>
      </c>
      <c r="H5233" s="37" t="s">
        <v>55</v>
      </c>
      <c r="I5233" s="37" t="s">
        <v>29</v>
      </c>
      <c r="J5233" s="155" t="str">
        <f t="shared" si="11"/>
        <v>TT</v>
      </c>
      <c r="K5233" s="61" t="s">
        <v>18243</v>
      </c>
      <c r="L5233" s="56">
        <v>45138</v>
      </c>
      <c r="P5233" s="40"/>
      <c r="Q5233" s="61"/>
      <c r="R5233" s="61"/>
      <c r="S5233" s="40"/>
      <c r="T5233" s="38"/>
      <c r="U5233" s="38"/>
      <c r="V5233" s="38"/>
      <c r="W5233" s="60"/>
      <c r="AB5233" s="42"/>
      <c r="AC5233" s="35"/>
      <c r="AD5233" s="38"/>
      <c r="AE5233" s="38"/>
      <c r="AF5233" s="38"/>
      <c r="AG5233" s="38"/>
      <c r="AH5233" s="60"/>
    </row>
    <row r="5234" spans="1:34" ht="15.75" customHeight="1">
      <c r="A5234" s="75" t="s">
        <v>16635</v>
      </c>
      <c r="B5234" s="38" t="s">
        <v>18244</v>
      </c>
      <c r="C5234" s="37" t="s">
        <v>24</v>
      </c>
      <c r="D5234" s="20" t="s">
        <v>18245</v>
      </c>
      <c r="E5234" s="20"/>
      <c r="F5234" s="19" t="s">
        <v>27</v>
      </c>
      <c r="G5234" s="19" t="s">
        <v>28</v>
      </c>
      <c r="H5234" s="37" t="s">
        <v>55</v>
      </c>
      <c r="I5234" s="37" t="s">
        <v>29</v>
      </c>
      <c r="J5234" s="155" t="str">
        <f t="shared" si="11"/>
        <v>TT</v>
      </c>
      <c r="K5234" s="22"/>
      <c r="L5234" s="56">
        <v>45138</v>
      </c>
      <c r="P5234" s="40"/>
      <c r="Q5234" s="61"/>
      <c r="R5234" s="61"/>
      <c r="S5234" s="40"/>
      <c r="T5234" s="38"/>
      <c r="U5234" s="38"/>
      <c r="V5234" s="38"/>
      <c r="W5234" s="60"/>
      <c r="AB5234" s="42"/>
      <c r="AC5234" s="35"/>
      <c r="AD5234" s="38"/>
      <c r="AE5234" s="38"/>
      <c r="AF5234" s="38"/>
      <c r="AG5234" s="38"/>
      <c r="AH5234" s="60"/>
    </row>
    <row r="5235" spans="1:34" ht="15.75" customHeight="1">
      <c r="A5235" s="50" t="s">
        <v>56</v>
      </c>
      <c r="B5235" s="38" t="s">
        <v>18246</v>
      </c>
      <c r="C5235" s="37" t="s">
        <v>46</v>
      </c>
      <c r="D5235" s="20" t="s">
        <v>18247</v>
      </c>
      <c r="E5235" s="180" t="s">
        <v>18248</v>
      </c>
      <c r="F5235" s="37" t="s">
        <v>49</v>
      </c>
      <c r="G5235" s="19" t="s">
        <v>50</v>
      </c>
      <c r="H5235" s="37" t="s">
        <v>55</v>
      </c>
      <c r="I5235" s="37" t="s">
        <v>29</v>
      </c>
      <c r="J5235" s="155" t="str">
        <f t="shared" si="11"/>
        <v>TT</v>
      </c>
      <c r="K5235" s="61" t="s">
        <v>18249</v>
      </c>
      <c r="L5235" s="56">
        <v>45138</v>
      </c>
      <c r="P5235" s="40"/>
      <c r="Q5235" s="61"/>
      <c r="R5235" s="61"/>
      <c r="S5235" s="40"/>
      <c r="T5235" s="38"/>
      <c r="U5235" s="38"/>
      <c r="V5235" s="38"/>
      <c r="W5235" s="60"/>
      <c r="AB5235" s="42"/>
      <c r="AC5235" s="35"/>
      <c r="AD5235" s="38"/>
      <c r="AE5235" s="38"/>
      <c r="AF5235" s="38"/>
      <c r="AG5235" s="38"/>
      <c r="AH5235" s="60"/>
    </row>
    <row r="5236" spans="1:34" ht="15.75" customHeight="1">
      <c r="A5236" s="17">
        <v>39</v>
      </c>
      <c r="B5236" s="38" t="s">
        <v>18250</v>
      </c>
      <c r="C5236" s="37" t="s">
        <v>412</v>
      </c>
      <c r="D5236" s="20" t="s">
        <v>18251</v>
      </c>
      <c r="E5236" s="20"/>
      <c r="F5236" s="19" t="s">
        <v>414</v>
      </c>
      <c r="G5236" s="19" t="s">
        <v>415</v>
      </c>
      <c r="H5236" s="37" t="s">
        <v>55</v>
      </c>
      <c r="I5236" s="37" t="s">
        <v>233</v>
      </c>
      <c r="J5236" s="155" t="str">
        <f t="shared" si="11"/>
        <v>NTT</v>
      </c>
      <c r="K5236" s="22"/>
      <c r="L5236" s="56">
        <v>45138</v>
      </c>
      <c r="P5236" s="40"/>
      <c r="Q5236" s="61"/>
      <c r="R5236" s="61"/>
      <c r="S5236" s="40"/>
      <c r="T5236" s="38"/>
      <c r="U5236" s="38"/>
      <c r="V5236" s="38"/>
      <c r="W5236" s="60"/>
      <c r="AB5236" s="42"/>
      <c r="AC5236" s="35"/>
      <c r="AD5236" s="38"/>
      <c r="AE5236" s="38"/>
      <c r="AF5236" s="38"/>
      <c r="AG5236" s="38"/>
      <c r="AH5236" s="60"/>
    </row>
    <row r="5237" spans="1:34" ht="15.75" customHeight="1">
      <c r="A5237" s="111" t="s">
        <v>64</v>
      </c>
      <c r="B5237" s="38" t="s">
        <v>18252</v>
      </c>
      <c r="C5237" s="37" t="s">
        <v>46</v>
      </c>
      <c r="D5237" s="20" t="s">
        <v>18253</v>
      </c>
      <c r="E5237" s="180" t="s">
        <v>18254</v>
      </c>
      <c r="F5237" s="37" t="s">
        <v>49</v>
      </c>
      <c r="G5237" s="19" t="s">
        <v>50</v>
      </c>
      <c r="H5237" s="37" t="s">
        <v>55</v>
      </c>
      <c r="I5237" s="37" t="s">
        <v>29</v>
      </c>
      <c r="J5237" s="155" t="str">
        <f t="shared" si="11"/>
        <v>TT</v>
      </c>
      <c r="K5237" s="61" t="s">
        <v>18255</v>
      </c>
      <c r="L5237" s="56">
        <v>45138</v>
      </c>
      <c r="P5237" s="40"/>
      <c r="Q5237" s="61"/>
      <c r="R5237" s="61"/>
      <c r="S5237" s="40"/>
      <c r="T5237" s="38"/>
      <c r="U5237" s="38"/>
      <c r="V5237" s="38"/>
      <c r="W5237" s="60"/>
      <c r="AB5237" s="42"/>
      <c r="AC5237" s="35"/>
      <c r="AD5237" s="38"/>
      <c r="AE5237" s="38"/>
      <c r="AF5237" s="38"/>
      <c r="AG5237" s="38"/>
      <c r="AH5237" s="60"/>
    </row>
    <row r="5238" spans="1:34" ht="15.75" customHeight="1">
      <c r="A5238" s="75">
        <v>2.1</v>
      </c>
      <c r="B5238" s="38" t="s">
        <v>18256</v>
      </c>
      <c r="C5238" s="37" t="s">
        <v>24</v>
      </c>
      <c r="D5238" s="20" t="s">
        <v>18257</v>
      </c>
      <c r="E5238" s="20"/>
      <c r="F5238" s="19" t="s">
        <v>27</v>
      </c>
      <c r="G5238" s="19" t="s">
        <v>28</v>
      </c>
      <c r="H5238" s="37" t="s">
        <v>55</v>
      </c>
      <c r="I5238" s="37" t="s">
        <v>29</v>
      </c>
      <c r="J5238" s="155" t="str">
        <f t="shared" si="11"/>
        <v>TT</v>
      </c>
      <c r="K5238" s="22"/>
      <c r="L5238" s="56">
        <v>45138</v>
      </c>
      <c r="P5238" s="40"/>
      <c r="Q5238" s="61"/>
      <c r="R5238" s="61"/>
      <c r="S5238" s="40"/>
      <c r="T5238" s="38"/>
      <c r="U5238" s="38"/>
      <c r="V5238" s="38"/>
      <c r="W5238" s="60"/>
      <c r="AB5238" s="42"/>
      <c r="AC5238" s="35"/>
      <c r="AD5238" s="38"/>
      <c r="AE5238" s="38"/>
      <c r="AF5238" s="38"/>
      <c r="AG5238" s="38"/>
      <c r="AH5238" s="60"/>
    </row>
    <row r="5239" spans="1:34" ht="15.75" customHeight="1">
      <c r="A5239" s="111" t="s">
        <v>73</v>
      </c>
      <c r="B5239" s="38" t="s">
        <v>18258</v>
      </c>
      <c r="C5239" s="37" t="s">
        <v>87</v>
      </c>
      <c r="D5239" s="20" t="s">
        <v>18259</v>
      </c>
      <c r="E5239" s="20"/>
      <c r="F5239" s="19" t="s">
        <v>90</v>
      </c>
      <c r="G5239" s="19" t="s">
        <v>91</v>
      </c>
      <c r="H5239" s="37" t="s">
        <v>55</v>
      </c>
      <c r="I5239" s="37" t="s">
        <v>29</v>
      </c>
      <c r="J5239" s="155" t="str">
        <f t="shared" si="11"/>
        <v>TT</v>
      </c>
      <c r="K5239" s="22"/>
      <c r="L5239" s="56">
        <v>45138</v>
      </c>
      <c r="P5239" s="40"/>
      <c r="Q5239" s="61"/>
      <c r="R5239" s="61"/>
      <c r="S5239" s="40"/>
      <c r="T5239" s="38"/>
      <c r="U5239" s="38"/>
      <c r="V5239" s="38"/>
      <c r="W5239" s="60"/>
      <c r="AB5239" s="42"/>
      <c r="AC5239" s="35"/>
      <c r="AD5239" s="38"/>
      <c r="AE5239" s="38"/>
      <c r="AF5239" s="38"/>
      <c r="AG5239" s="38"/>
      <c r="AH5239" s="60"/>
    </row>
    <row r="5240" spans="1:34" ht="15.75" customHeight="1">
      <c r="A5240" s="75">
        <v>2.8</v>
      </c>
      <c r="B5240" s="38" t="s">
        <v>18260</v>
      </c>
      <c r="C5240" s="37" t="s">
        <v>87</v>
      </c>
      <c r="D5240" s="20" t="s">
        <v>18261</v>
      </c>
      <c r="E5240" s="20"/>
      <c r="F5240" s="19" t="s">
        <v>90</v>
      </c>
      <c r="G5240" s="19" t="s">
        <v>91</v>
      </c>
      <c r="H5240" s="37" t="s">
        <v>55</v>
      </c>
      <c r="I5240" s="37" t="s">
        <v>29</v>
      </c>
      <c r="J5240" s="155" t="str">
        <f t="shared" si="11"/>
        <v>TT</v>
      </c>
      <c r="K5240" s="22"/>
      <c r="L5240" s="56">
        <v>45138</v>
      </c>
      <c r="P5240" s="40"/>
      <c r="Q5240" s="61"/>
      <c r="R5240" s="61"/>
      <c r="S5240" s="40"/>
      <c r="T5240" s="38"/>
      <c r="U5240" s="38"/>
      <c r="V5240" s="38"/>
      <c r="W5240" s="60"/>
      <c r="AB5240" s="42"/>
      <c r="AC5240" s="35"/>
      <c r="AD5240" s="38"/>
      <c r="AE5240" s="38"/>
      <c r="AF5240" s="38"/>
      <c r="AG5240" s="38"/>
      <c r="AH5240" s="60"/>
    </row>
    <row r="5241" spans="1:34" ht="15.75" customHeight="1">
      <c r="A5241" s="111" t="s">
        <v>82</v>
      </c>
      <c r="B5241" s="38" t="s">
        <v>18262</v>
      </c>
      <c r="C5241" s="37" t="s">
        <v>87</v>
      </c>
      <c r="D5241" s="20" t="s">
        <v>18263</v>
      </c>
      <c r="E5241" s="20"/>
      <c r="F5241" s="19" t="s">
        <v>90</v>
      </c>
      <c r="G5241" s="19" t="s">
        <v>91</v>
      </c>
      <c r="H5241" s="37" t="s">
        <v>55</v>
      </c>
      <c r="I5241" s="37" t="s">
        <v>29</v>
      </c>
      <c r="J5241" s="155" t="str">
        <f t="shared" si="11"/>
        <v>TT</v>
      </c>
      <c r="K5241" s="22"/>
      <c r="L5241" s="56">
        <v>45138</v>
      </c>
      <c r="P5241" s="40"/>
      <c r="Q5241" s="61"/>
      <c r="R5241" s="61"/>
      <c r="S5241" s="40"/>
      <c r="T5241" s="38"/>
      <c r="U5241" s="38"/>
      <c r="V5241" s="38"/>
      <c r="W5241" s="60"/>
      <c r="AB5241" s="42"/>
      <c r="AC5241" s="35"/>
      <c r="AD5241" s="38"/>
      <c r="AE5241" s="38"/>
      <c r="AF5241" s="38"/>
      <c r="AG5241" s="38"/>
      <c r="AH5241" s="60"/>
    </row>
    <row r="5242" spans="1:34" ht="15.75" customHeight="1">
      <c r="A5242" s="112" t="s">
        <v>18264</v>
      </c>
      <c r="B5242" s="38" t="s">
        <v>18265</v>
      </c>
      <c r="C5242" s="37" t="s">
        <v>24</v>
      </c>
      <c r="D5242" s="20" t="s">
        <v>18266</v>
      </c>
      <c r="E5242" s="20"/>
      <c r="F5242" s="19" t="s">
        <v>27</v>
      </c>
      <c r="G5242" s="19" t="s">
        <v>28</v>
      </c>
      <c r="H5242" s="37" t="s">
        <v>55</v>
      </c>
      <c r="I5242" s="37" t="s">
        <v>29</v>
      </c>
      <c r="J5242" s="155" t="str">
        <f t="shared" si="11"/>
        <v>TT</v>
      </c>
      <c r="K5242" s="22"/>
      <c r="L5242" s="56">
        <v>45138</v>
      </c>
      <c r="P5242" s="40"/>
      <c r="Q5242" s="61"/>
      <c r="R5242" s="61"/>
      <c r="S5242" s="40"/>
      <c r="T5242" s="38"/>
      <c r="U5242" s="38"/>
      <c r="V5242" s="38"/>
      <c r="W5242" s="60"/>
      <c r="AB5242" s="42"/>
      <c r="AC5242" s="35"/>
      <c r="AD5242" s="38"/>
      <c r="AE5242" s="38"/>
      <c r="AF5242" s="38"/>
      <c r="AG5242" s="38"/>
      <c r="AH5242" s="60"/>
    </row>
    <row r="5243" spans="1:34" ht="15.75" customHeight="1">
      <c r="A5243" s="111" t="s">
        <v>92</v>
      </c>
      <c r="B5243" s="38" t="s">
        <v>18267</v>
      </c>
      <c r="C5243" s="37" t="s">
        <v>87</v>
      </c>
      <c r="D5243" s="20" t="s">
        <v>18268</v>
      </c>
      <c r="E5243" s="20"/>
      <c r="F5243" s="19" t="s">
        <v>90</v>
      </c>
      <c r="G5243" s="19" t="s">
        <v>91</v>
      </c>
      <c r="H5243" s="37" t="s">
        <v>55</v>
      </c>
      <c r="I5243" s="37" t="s">
        <v>29</v>
      </c>
      <c r="J5243" s="155" t="str">
        <f t="shared" si="11"/>
        <v>TT</v>
      </c>
      <c r="K5243" s="22"/>
      <c r="L5243" s="56">
        <v>45138</v>
      </c>
      <c r="P5243" s="40"/>
      <c r="Q5243" s="61"/>
      <c r="R5243" s="61"/>
      <c r="S5243" s="40"/>
      <c r="T5243" s="38"/>
      <c r="U5243" s="38"/>
      <c r="V5243" s="38"/>
      <c r="W5243" s="60"/>
      <c r="AB5243" s="42"/>
      <c r="AC5243" s="35"/>
      <c r="AD5243" s="38"/>
      <c r="AE5243" s="38"/>
      <c r="AF5243" s="38"/>
      <c r="AG5243" s="38"/>
      <c r="AH5243" s="60"/>
    </row>
    <row r="5244" spans="1:34" ht="15.75" customHeight="1">
      <c r="A5244" s="17">
        <v>371</v>
      </c>
      <c r="B5244" s="38" t="s">
        <v>18269</v>
      </c>
      <c r="C5244" s="37" t="s">
        <v>46</v>
      </c>
      <c r="D5244" s="20" t="s">
        <v>18270</v>
      </c>
      <c r="E5244" s="180" t="s">
        <v>18271</v>
      </c>
      <c r="F5244" s="37" t="s">
        <v>49</v>
      </c>
      <c r="G5244" s="19" t="s">
        <v>50</v>
      </c>
      <c r="H5244" s="37" t="s">
        <v>55</v>
      </c>
      <c r="I5244" s="37" t="s">
        <v>29</v>
      </c>
      <c r="J5244" s="155" t="str">
        <f t="shared" si="11"/>
        <v>TT</v>
      </c>
      <c r="K5244" s="61" t="s">
        <v>18272</v>
      </c>
      <c r="L5244" s="56">
        <v>45138</v>
      </c>
      <c r="P5244" s="40"/>
      <c r="Q5244" s="61"/>
      <c r="R5244" s="61"/>
      <c r="S5244" s="40"/>
      <c r="T5244" s="38"/>
      <c r="U5244" s="38"/>
      <c r="V5244" s="38"/>
      <c r="W5244" s="60"/>
      <c r="AB5244" s="42"/>
      <c r="AC5244" s="35"/>
      <c r="AD5244" s="38"/>
      <c r="AE5244" s="38"/>
      <c r="AF5244" s="38"/>
      <c r="AG5244" s="38"/>
      <c r="AH5244" s="60"/>
    </row>
    <row r="5245" spans="1:34" ht="15.75" customHeight="1">
      <c r="A5245" s="111" t="s">
        <v>100</v>
      </c>
      <c r="B5245" s="38"/>
      <c r="C5245" s="37"/>
      <c r="D5245" s="20"/>
      <c r="E5245" s="20"/>
      <c r="F5245" s="37"/>
      <c r="G5245" s="37"/>
      <c r="H5245" s="37"/>
      <c r="I5245" s="37"/>
      <c r="J5245" s="155">
        <f t="shared" si="11"/>
        <v>0</v>
      </c>
      <c r="K5245" s="22"/>
      <c r="L5245" s="39"/>
      <c r="P5245" s="40"/>
      <c r="Q5245" s="61"/>
      <c r="R5245" s="61"/>
      <c r="S5245" s="40"/>
      <c r="T5245" s="38"/>
      <c r="U5245" s="38"/>
      <c r="V5245" s="38"/>
      <c r="W5245" s="60"/>
      <c r="AB5245" s="42"/>
      <c r="AC5245" s="35"/>
      <c r="AD5245" s="38"/>
      <c r="AE5245" s="38"/>
      <c r="AF5245" s="38"/>
      <c r="AG5245" s="38"/>
      <c r="AH5245" s="60"/>
    </row>
    <row r="5246" spans="1:34" ht="15.75" customHeight="1">
      <c r="A5246" s="17">
        <v>161</v>
      </c>
      <c r="B5246" s="38"/>
      <c r="C5246" s="37"/>
      <c r="D5246" s="20"/>
      <c r="E5246" s="20"/>
      <c r="F5246" s="37"/>
      <c r="G5246" s="37"/>
      <c r="H5246" s="37"/>
      <c r="I5246" s="37"/>
      <c r="J5246" s="155">
        <f t="shared" si="11"/>
        <v>0</v>
      </c>
      <c r="K5246" s="22"/>
      <c r="L5246" s="39"/>
      <c r="P5246" s="40"/>
      <c r="Q5246" s="61"/>
      <c r="R5246" s="61"/>
      <c r="S5246" s="40"/>
      <c r="T5246" s="38"/>
      <c r="U5246" s="38"/>
      <c r="V5246" s="38"/>
      <c r="W5246" s="60"/>
      <c r="AB5246" s="42"/>
      <c r="AC5246" s="35"/>
      <c r="AD5246" s="38"/>
      <c r="AE5246" s="38"/>
      <c r="AF5246" s="38"/>
      <c r="AG5246" s="38"/>
      <c r="AH5246" s="60"/>
    </row>
    <row r="5247" spans="1:34" ht="15.75" customHeight="1">
      <c r="A5247" s="35"/>
      <c r="B5247" s="38"/>
      <c r="C5247" s="37"/>
      <c r="D5247" s="20"/>
      <c r="E5247" s="20"/>
      <c r="F5247" s="37"/>
      <c r="G5247" s="37"/>
      <c r="H5247" s="37"/>
      <c r="I5247" s="37"/>
      <c r="J5247" s="155">
        <f t="shared" si="11"/>
        <v>0</v>
      </c>
      <c r="K5247" s="22"/>
      <c r="L5247" s="56"/>
      <c r="P5247" s="40"/>
      <c r="Q5247" s="61"/>
      <c r="R5247" s="61"/>
      <c r="S5247" s="40"/>
      <c r="T5247" s="38"/>
      <c r="U5247" s="38"/>
      <c r="V5247" s="38"/>
      <c r="W5247" s="60"/>
      <c r="AB5247" s="42"/>
      <c r="AC5247" s="35"/>
      <c r="AD5247" s="38"/>
      <c r="AE5247" s="38"/>
      <c r="AF5247" s="38"/>
      <c r="AG5247" s="38"/>
      <c r="AH5247" s="60"/>
    </row>
    <row r="5248" spans="1:34" ht="15.75" customHeight="1">
      <c r="A5248" s="35" t="s">
        <v>18273</v>
      </c>
      <c r="B5248" s="78" t="s">
        <v>18274</v>
      </c>
      <c r="C5248" s="37" t="s">
        <v>87</v>
      </c>
      <c r="D5248" s="20" t="s">
        <v>18275</v>
      </c>
      <c r="E5248" s="20" t="s">
        <v>18276</v>
      </c>
      <c r="F5248" s="19" t="s">
        <v>90</v>
      </c>
      <c r="G5248" s="19" t="s">
        <v>91</v>
      </c>
      <c r="H5248" s="37" t="s">
        <v>55</v>
      </c>
      <c r="I5248" s="37" t="s">
        <v>29</v>
      </c>
      <c r="J5248" s="155" t="str">
        <f t="shared" si="11"/>
        <v>TT</v>
      </c>
      <c r="K5248" s="22" t="s">
        <v>18277</v>
      </c>
      <c r="L5248" s="56">
        <v>45138</v>
      </c>
      <c r="M5248" s="40"/>
      <c r="P5248" s="40"/>
      <c r="Q5248" s="61"/>
      <c r="R5248" s="61"/>
      <c r="S5248" s="40"/>
      <c r="T5248" s="38"/>
      <c r="U5248" s="38"/>
      <c r="V5248" s="38"/>
      <c r="W5248" s="60"/>
      <c r="AB5248" s="42"/>
      <c r="AC5248" s="35"/>
      <c r="AD5248" s="38"/>
      <c r="AE5248" s="38"/>
      <c r="AF5248" s="38"/>
      <c r="AG5248" s="38"/>
      <c r="AH5248" s="60"/>
    </row>
    <row r="5249" spans="1:34" ht="15.75" customHeight="1">
      <c r="A5249" s="54" t="s">
        <v>12252</v>
      </c>
      <c r="B5249" s="78" t="s">
        <v>18278</v>
      </c>
      <c r="C5249" s="37" t="s">
        <v>87</v>
      </c>
      <c r="D5249" s="20" t="s">
        <v>18279</v>
      </c>
      <c r="E5249" s="20" t="s">
        <v>18280</v>
      </c>
      <c r="F5249" s="19" t="s">
        <v>90</v>
      </c>
      <c r="G5249" s="19" t="s">
        <v>91</v>
      </c>
      <c r="H5249" s="37" t="s">
        <v>55</v>
      </c>
      <c r="I5249" s="37" t="s">
        <v>29</v>
      </c>
      <c r="J5249" s="155" t="str">
        <f t="shared" si="11"/>
        <v>TT</v>
      </c>
      <c r="K5249" s="22" t="s">
        <v>18280</v>
      </c>
      <c r="L5249" s="56">
        <v>45138</v>
      </c>
      <c r="P5249" s="40"/>
      <c r="Q5249" s="61"/>
      <c r="R5249" s="61"/>
      <c r="S5249" s="40"/>
      <c r="T5249" s="38"/>
      <c r="U5249" s="38"/>
      <c r="V5249" s="38"/>
      <c r="W5249" s="60"/>
      <c r="AB5249" s="42"/>
      <c r="AC5249" s="35"/>
      <c r="AD5249" s="38"/>
      <c r="AE5249" s="38"/>
      <c r="AF5249" s="38"/>
      <c r="AG5249" s="38"/>
      <c r="AH5249" s="60"/>
    </row>
    <row r="5250" spans="1:34" ht="15.75" customHeight="1">
      <c r="A5250" s="114" t="s">
        <v>39</v>
      </c>
      <c r="B5250" s="81" t="s">
        <v>18281</v>
      </c>
      <c r="C5250" s="37" t="s">
        <v>24</v>
      </c>
      <c r="D5250" s="20" t="s">
        <v>18282</v>
      </c>
      <c r="E5250" s="20" t="s">
        <v>18283</v>
      </c>
      <c r="F5250" s="19" t="s">
        <v>27</v>
      </c>
      <c r="G5250" s="19" t="s">
        <v>28</v>
      </c>
      <c r="H5250" s="37" t="s">
        <v>55</v>
      </c>
      <c r="I5250" s="37" t="s">
        <v>29</v>
      </c>
      <c r="J5250" s="155" t="str">
        <f t="shared" si="11"/>
        <v>TT</v>
      </c>
      <c r="K5250" s="22" t="s">
        <v>18283</v>
      </c>
      <c r="L5250" s="56">
        <v>45138</v>
      </c>
      <c r="P5250" s="40"/>
      <c r="Q5250" s="61"/>
      <c r="R5250" s="61"/>
      <c r="S5250" s="40"/>
      <c r="T5250" s="38"/>
      <c r="U5250" s="38"/>
      <c r="V5250" s="38"/>
      <c r="W5250" s="60"/>
      <c r="AB5250" s="42"/>
      <c r="AC5250" s="35"/>
      <c r="AD5250" s="38"/>
      <c r="AE5250" s="38"/>
      <c r="AF5250" s="38"/>
      <c r="AG5250" s="38"/>
      <c r="AH5250" s="60"/>
    </row>
    <row r="5251" spans="1:34" ht="15.75" customHeight="1">
      <c r="A5251" s="38" t="s">
        <v>17871</v>
      </c>
      <c r="B5251" s="78" t="s">
        <v>18284</v>
      </c>
      <c r="C5251" s="37" t="s">
        <v>1486</v>
      </c>
      <c r="D5251" s="20" t="s">
        <v>18285</v>
      </c>
      <c r="E5251" s="20"/>
      <c r="F5251" s="37" t="s">
        <v>1489</v>
      </c>
      <c r="G5251" s="37" t="s">
        <v>1490</v>
      </c>
      <c r="H5251" s="37" t="s">
        <v>55</v>
      </c>
      <c r="I5251" s="21" t="s">
        <v>1371</v>
      </c>
      <c r="J5251" s="155" t="str">
        <f t="shared" si="11"/>
        <v>Other</v>
      </c>
      <c r="K5251" s="22"/>
      <c r="L5251" s="56">
        <v>45138</v>
      </c>
      <c r="P5251" s="40"/>
      <c r="Q5251" s="61"/>
      <c r="R5251" s="61"/>
      <c r="S5251" s="40"/>
      <c r="T5251" s="38"/>
      <c r="U5251" s="38"/>
      <c r="V5251" s="38"/>
      <c r="W5251" s="60"/>
      <c r="AB5251" s="42"/>
      <c r="AC5251" s="35"/>
      <c r="AD5251" s="38"/>
      <c r="AE5251" s="38"/>
      <c r="AF5251" s="38"/>
      <c r="AG5251" s="38"/>
      <c r="AH5251" s="60"/>
    </row>
    <row r="5252" spans="1:34" ht="15.75" customHeight="1">
      <c r="A5252" s="75" t="s">
        <v>18286</v>
      </c>
      <c r="B5252" s="78" t="s">
        <v>18287</v>
      </c>
      <c r="C5252" s="37" t="s">
        <v>1430</v>
      </c>
      <c r="D5252" s="20" t="s">
        <v>18288</v>
      </c>
      <c r="E5252" s="20"/>
      <c r="F5252" s="55" t="s">
        <v>1445</v>
      </c>
      <c r="G5252" s="55" t="s">
        <v>1432</v>
      </c>
      <c r="H5252" s="37" t="s">
        <v>55</v>
      </c>
      <c r="I5252" s="37" t="s">
        <v>233</v>
      </c>
      <c r="J5252" s="155" t="str">
        <f t="shared" si="11"/>
        <v>NTT</v>
      </c>
      <c r="K5252" s="22"/>
      <c r="L5252" s="56">
        <v>45138</v>
      </c>
      <c r="P5252" s="40"/>
      <c r="Q5252" s="61"/>
      <c r="R5252" s="61"/>
      <c r="S5252" s="40"/>
      <c r="T5252" s="38"/>
      <c r="U5252" s="38"/>
      <c r="V5252" s="38"/>
      <c r="W5252" s="60"/>
      <c r="AB5252" s="42"/>
      <c r="AC5252" s="35"/>
      <c r="AD5252" s="38"/>
      <c r="AE5252" s="38"/>
      <c r="AF5252" s="38"/>
      <c r="AG5252" s="38"/>
      <c r="AH5252" s="60"/>
    </row>
    <row r="5253" spans="1:34" ht="15.75" customHeight="1">
      <c r="A5253" s="50" t="s">
        <v>56</v>
      </c>
      <c r="B5253" s="78" t="s">
        <v>18289</v>
      </c>
      <c r="C5253" s="37" t="s">
        <v>24</v>
      </c>
      <c r="D5253" s="20" t="s">
        <v>18290</v>
      </c>
      <c r="E5253" s="20"/>
      <c r="F5253" s="19" t="s">
        <v>27</v>
      </c>
      <c r="G5253" s="19" t="s">
        <v>28</v>
      </c>
      <c r="H5253" s="19" t="s">
        <v>36</v>
      </c>
      <c r="I5253" s="37" t="s">
        <v>29</v>
      </c>
      <c r="J5253" s="155" t="str">
        <f t="shared" si="11"/>
        <v>TT</v>
      </c>
      <c r="K5253" s="22"/>
      <c r="L5253" s="56">
        <v>45138</v>
      </c>
      <c r="P5253" s="40"/>
      <c r="Q5253" s="61"/>
      <c r="R5253" s="61"/>
      <c r="S5253" s="40"/>
      <c r="T5253" s="38"/>
      <c r="U5253" s="38"/>
      <c r="V5253" s="38"/>
      <c r="W5253" s="60"/>
      <c r="AB5253" s="42"/>
      <c r="AC5253" s="35"/>
      <c r="AD5253" s="38"/>
      <c r="AE5253" s="38"/>
      <c r="AF5253" s="38"/>
      <c r="AG5253" s="38"/>
      <c r="AH5253" s="60"/>
    </row>
    <row r="5254" spans="1:34" ht="15.75" customHeight="1">
      <c r="A5254" s="17">
        <v>28</v>
      </c>
      <c r="B5254" s="78" t="s">
        <v>18291</v>
      </c>
      <c r="C5254" s="37" t="s">
        <v>24</v>
      </c>
      <c r="D5254" s="20" t="s">
        <v>18292</v>
      </c>
      <c r="E5254" s="20" t="s">
        <v>18293</v>
      </c>
      <c r="F5254" s="19" t="s">
        <v>27</v>
      </c>
      <c r="G5254" s="19" t="s">
        <v>28</v>
      </c>
      <c r="H5254" s="37" t="s">
        <v>55</v>
      </c>
      <c r="I5254" s="37" t="s">
        <v>29</v>
      </c>
      <c r="J5254" s="155" t="str">
        <f t="shared" si="11"/>
        <v>TT</v>
      </c>
      <c r="K5254" s="22" t="s">
        <v>18294</v>
      </c>
      <c r="L5254" s="56">
        <v>45138</v>
      </c>
      <c r="P5254" s="40"/>
      <c r="Q5254" s="61"/>
      <c r="R5254" s="61"/>
      <c r="S5254" s="40"/>
      <c r="T5254" s="38"/>
      <c r="U5254" s="38"/>
      <c r="V5254" s="38"/>
      <c r="W5254" s="60"/>
      <c r="AB5254" s="42"/>
      <c r="AC5254" s="35"/>
      <c r="AD5254" s="38"/>
      <c r="AE5254" s="38"/>
      <c r="AF5254" s="38"/>
      <c r="AG5254" s="38"/>
      <c r="AH5254" s="60"/>
    </row>
    <row r="5255" spans="1:34" ht="15.75" customHeight="1">
      <c r="A5255" s="111" t="s">
        <v>64</v>
      </c>
      <c r="B5255" s="78" t="s">
        <v>18295</v>
      </c>
      <c r="C5255" s="37" t="s">
        <v>1638</v>
      </c>
      <c r="D5255" s="20" t="s">
        <v>18296</v>
      </c>
      <c r="E5255" s="20"/>
      <c r="F5255" s="37" t="s">
        <v>1399</v>
      </c>
      <c r="G5255" s="19" t="s">
        <v>1641</v>
      </c>
      <c r="H5255" s="37" t="s">
        <v>55</v>
      </c>
      <c r="I5255" s="21" t="s">
        <v>1371</v>
      </c>
      <c r="J5255" s="155" t="str">
        <f t="shared" si="11"/>
        <v>Other</v>
      </c>
      <c r="K5255" s="22"/>
      <c r="L5255" s="56">
        <v>45138</v>
      </c>
      <c r="P5255" s="40"/>
      <c r="Q5255" s="61"/>
      <c r="R5255" s="61"/>
      <c r="S5255" s="40"/>
      <c r="T5255" s="38"/>
      <c r="U5255" s="38"/>
      <c r="V5255" s="38"/>
      <c r="W5255" s="60"/>
      <c r="AB5255" s="42"/>
      <c r="AC5255" s="35"/>
      <c r="AD5255" s="38"/>
      <c r="AE5255" s="38"/>
      <c r="AF5255" s="38"/>
      <c r="AG5255" s="38"/>
      <c r="AH5255" s="60"/>
    </row>
    <row r="5256" spans="1:34" ht="15.75" customHeight="1">
      <c r="A5256" s="75">
        <v>2</v>
      </c>
      <c r="B5256" s="78" t="s">
        <v>18297</v>
      </c>
      <c r="C5256" s="37" t="s">
        <v>46</v>
      </c>
      <c r="D5256" s="20" t="s">
        <v>18298</v>
      </c>
      <c r="E5256" s="20" t="s">
        <v>18299</v>
      </c>
      <c r="F5256" s="37" t="s">
        <v>49</v>
      </c>
      <c r="G5256" s="19" t="s">
        <v>50</v>
      </c>
      <c r="H5256" s="37" t="s">
        <v>55</v>
      </c>
      <c r="I5256" s="37" t="s">
        <v>29</v>
      </c>
      <c r="J5256" s="155" t="str">
        <f t="shared" si="11"/>
        <v>TT</v>
      </c>
      <c r="K5256" s="22" t="s">
        <v>18300</v>
      </c>
      <c r="L5256" s="56">
        <v>45138</v>
      </c>
      <c r="P5256" s="40"/>
      <c r="Q5256" s="61"/>
      <c r="R5256" s="61"/>
      <c r="S5256" s="40"/>
      <c r="T5256" s="38"/>
      <c r="U5256" s="38"/>
      <c r="V5256" s="38"/>
      <c r="W5256" s="60"/>
      <c r="AB5256" s="42"/>
      <c r="AC5256" s="35"/>
      <c r="AD5256" s="38"/>
      <c r="AE5256" s="38"/>
      <c r="AF5256" s="38"/>
      <c r="AG5256" s="38"/>
      <c r="AH5256" s="60"/>
    </row>
    <row r="5257" spans="1:34" ht="15.75" customHeight="1">
      <c r="A5257" s="111" t="s">
        <v>73</v>
      </c>
      <c r="B5257" s="78" t="s">
        <v>18301</v>
      </c>
      <c r="C5257" s="37" t="s">
        <v>228</v>
      </c>
      <c r="D5257" s="20" t="s">
        <v>18302</v>
      </c>
      <c r="E5257" s="20" t="s">
        <v>18303</v>
      </c>
      <c r="F5257" s="19" t="s">
        <v>231</v>
      </c>
      <c r="G5257" s="19" t="s">
        <v>232</v>
      </c>
      <c r="H5257" s="37" t="s">
        <v>55</v>
      </c>
      <c r="I5257" s="37" t="s">
        <v>233</v>
      </c>
      <c r="J5257" s="155" t="str">
        <f t="shared" si="11"/>
        <v>NTT</v>
      </c>
      <c r="K5257" s="22" t="s">
        <v>18304</v>
      </c>
      <c r="L5257" s="56">
        <v>45138</v>
      </c>
      <c r="P5257" s="40"/>
      <c r="Q5257" s="61"/>
      <c r="R5257" s="61"/>
      <c r="S5257" s="40"/>
      <c r="T5257" s="38"/>
      <c r="U5257" s="38"/>
      <c r="V5257" s="38"/>
      <c r="W5257" s="60"/>
      <c r="AB5257" s="42"/>
      <c r="AC5257" s="35"/>
      <c r="AD5257" s="38"/>
      <c r="AE5257" s="38"/>
      <c r="AF5257" s="38"/>
      <c r="AG5257" s="38"/>
      <c r="AH5257" s="60"/>
    </row>
    <row r="5258" spans="1:34" ht="15.75" customHeight="1">
      <c r="A5258" s="75">
        <v>2.6</v>
      </c>
      <c r="B5258" s="81" t="s">
        <v>18305</v>
      </c>
      <c r="C5258" s="37" t="s">
        <v>1366</v>
      </c>
      <c r="D5258" s="20" t="s">
        <v>18306</v>
      </c>
      <c r="E5258" s="20" t="s">
        <v>18307</v>
      </c>
      <c r="F5258" s="55" t="s">
        <v>1369</v>
      </c>
      <c r="G5258" s="55" t="s">
        <v>1370</v>
      </c>
      <c r="H5258" s="37" t="s">
        <v>55</v>
      </c>
      <c r="I5258" s="37" t="s">
        <v>29</v>
      </c>
      <c r="J5258" s="155" t="str">
        <f t="shared" si="11"/>
        <v>TT</v>
      </c>
      <c r="K5258" s="22" t="s">
        <v>18308</v>
      </c>
      <c r="L5258" s="56">
        <v>45138</v>
      </c>
      <c r="P5258" s="40"/>
      <c r="Q5258" s="61"/>
      <c r="R5258" s="61"/>
      <c r="S5258" s="40"/>
      <c r="T5258" s="38"/>
      <c r="U5258" s="38"/>
      <c r="V5258" s="38"/>
      <c r="W5258" s="60"/>
      <c r="AB5258" s="42"/>
      <c r="AC5258" s="35"/>
      <c r="AD5258" s="38"/>
      <c r="AE5258" s="38"/>
      <c r="AF5258" s="38"/>
      <c r="AG5258" s="38"/>
      <c r="AH5258" s="60"/>
    </row>
    <row r="5259" spans="1:34" ht="15.75" customHeight="1">
      <c r="A5259" s="111" t="s">
        <v>82</v>
      </c>
      <c r="B5259" s="78" t="s">
        <v>18309</v>
      </c>
      <c r="C5259" s="37" t="s">
        <v>24</v>
      </c>
      <c r="D5259" s="20" t="s">
        <v>18310</v>
      </c>
      <c r="E5259" s="20"/>
      <c r="F5259" s="19" t="s">
        <v>27</v>
      </c>
      <c r="G5259" s="19" t="s">
        <v>28</v>
      </c>
      <c r="H5259" s="37" t="s">
        <v>55</v>
      </c>
      <c r="I5259" s="37" t="s">
        <v>29</v>
      </c>
      <c r="J5259" s="155" t="str">
        <f t="shared" si="11"/>
        <v>TT</v>
      </c>
      <c r="K5259" s="22"/>
      <c r="L5259" s="56">
        <v>45138</v>
      </c>
      <c r="P5259" s="40"/>
      <c r="Q5259" s="61"/>
      <c r="R5259" s="61"/>
      <c r="S5259" s="40"/>
      <c r="T5259" s="38"/>
      <c r="U5259" s="38"/>
      <c r="V5259" s="38"/>
      <c r="W5259" s="60"/>
      <c r="AB5259" s="42"/>
      <c r="AC5259" s="35"/>
      <c r="AD5259" s="38"/>
      <c r="AE5259" s="38"/>
      <c r="AF5259" s="38"/>
      <c r="AG5259" s="38"/>
      <c r="AH5259" s="60"/>
    </row>
    <row r="5260" spans="1:34" ht="15.75" customHeight="1">
      <c r="A5260" s="112" t="s">
        <v>18311</v>
      </c>
      <c r="B5260" s="78" t="s">
        <v>18312</v>
      </c>
      <c r="C5260" s="37" t="s">
        <v>1366</v>
      </c>
      <c r="D5260" s="20" t="s">
        <v>18313</v>
      </c>
      <c r="E5260" s="20" t="s">
        <v>18314</v>
      </c>
      <c r="F5260" s="55" t="s">
        <v>1369</v>
      </c>
      <c r="G5260" s="55" t="s">
        <v>1370</v>
      </c>
      <c r="H5260" s="37" t="s">
        <v>55</v>
      </c>
      <c r="I5260" s="21" t="s">
        <v>1371</v>
      </c>
      <c r="J5260" s="155" t="str">
        <f t="shared" si="11"/>
        <v>Other</v>
      </c>
      <c r="K5260" s="22" t="s">
        <v>18315</v>
      </c>
      <c r="L5260" s="56">
        <v>45138</v>
      </c>
      <c r="P5260" s="40"/>
      <c r="Q5260" s="61"/>
      <c r="R5260" s="61"/>
      <c r="S5260" s="40"/>
      <c r="T5260" s="38"/>
      <c r="U5260" s="38"/>
      <c r="V5260" s="38"/>
      <c r="W5260" s="60"/>
      <c r="AB5260" s="42"/>
      <c r="AC5260" s="35"/>
      <c r="AD5260" s="38"/>
      <c r="AE5260" s="38"/>
      <c r="AF5260" s="38"/>
      <c r="AG5260" s="38"/>
      <c r="AH5260" s="60"/>
    </row>
    <row r="5261" spans="1:34" ht="15.75" customHeight="1">
      <c r="A5261" s="111" t="s">
        <v>92</v>
      </c>
      <c r="B5261" s="78" t="s">
        <v>18316</v>
      </c>
      <c r="C5261" s="37" t="s">
        <v>24</v>
      </c>
      <c r="D5261" s="20" t="s">
        <v>18317</v>
      </c>
      <c r="E5261" s="20"/>
      <c r="F5261" s="19" t="s">
        <v>27</v>
      </c>
      <c r="G5261" s="19" t="s">
        <v>28</v>
      </c>
      <c r="H5261" s="37" t="s">
        <v>55</v>
      </c>
      <c r="I5261" s="37" t="s">
        <v>29</v>
      </c>
      <c r="J5261" s="155" t="str">
        <f t="shared" si="11"/>
        <v>TT</v>
      </c>
      <c r="K5261" s="22"/>
      <c r="L5261" s="56">
        <v>45138</v>
      </c>
      <c r="P5261" s="40"/>
      <c r="Q5261" s="61"/>
      <c r="R5261" s="61"/>
      <c r="S5261" s="40"/>
      <c r="T5261" s="38"/>
      <c r="U5261" s="38"/>
      <c r="V5261" s="38"/>
      <c r="W5261" s="60"/>
      <c r="AB5261" s="42"/>
      <c r="AC5261" s="35"/>
      <c r="AD5261" s="38"/>
      <c r="AE5261" s="38"/>
      <c r="AF5261" s="38"/>
      <c r="AG5261" s="38"/>
      <c r="AH5261" s="60"/>
    </row>
    <row r="5262" spans="1:34" ht="15.75" customHeight="1">
      <c r="A5262" s="17">
        <v>324</v>
      </c>
      <c r="B5262" s="38"/>
      <c r="C5262" s="37"/>
      <c r="D5262" s="20"/>
      <c r="E5262" s="20"/>
      <c r="F5262" s="37"/>
      <c r="G5262" s="37"/>
      <c r="H5262" s="37"/>
      <c r="I5262" s="37"/>
      <c r="J5262" s="155">
        <f t="shared" si="11"/>
        <v>0</v>
      </c>
      <c r="K5262" s="22"/>
      <c r="L5262" s="56"/>
      <c r="P5262" s="40"/>
      <c r="Q5262" s="61"/>
      <c r="R5262" s="61"/>
      <c r="S5262" s="40"/>
      <c r="T5262" s="38"/>
      <c r="U5262" s="38"/>
      <c r="V5262" s="38"/>
      <c r="W5262" s="60"/>
      <c r="AB5262" s="42"/>
      <c r="AC5262" s="35"/>
      <c r="AD5262" s="38"/>
      <c r="AE5262" s="38"/>
      <c r="AF5262" s="38"/>
      <c r="AG5262" s="38"/>
      <c r="AH5262" s="60"/>
    </row>
    <row r="5263" spans="1:34" ht="15.75" customHeight="1">
      <c r="A5263" s="111" t="s">
        <v>100</v>
      </c>
      <c r="B5263" s="38"/>
      <c r="C5263" s="37"/>
      <c r="D5263" s="20"/>
      <c r="E5263" s="20"/>
      <c r="F5263" s="37"/>
      <c r="G5263" s="37"/>
      <c r="H5263" s="37"/>
      <c r="I5263" s="37"/>
      <c r="J5263" s="155">
        <f t="shared" si="11"/>
        <v>0</v>
      </c>
      <c r="K5263" s="22"/>
      <c r="L5263" s="56"/>
      <c r="P5263" s="40"/>
      <c r="Q5263" s="61"/>
      <c r="R5263" s="61"/>
      <c r="S5263" s="40"/>
      <c r="T5263" s="38"/>
      <c r="U5263" s="38"/>
      <c r="V5263" s="38"/>
      <c r="W5263" s="60"/>
      <c r="AB5263" s="42"/>
      <c r="AC5263" s="35"/>
      <c r="AD5263" s="38"/>
      <c r="AE5263" s="38"/>
      <c r="AF5263" s="38"/>
      <c r="AG5263" s="38"/>
      <c r="AH5263" s="60"/>
    </row>
    <row r="5264" spans="1:34" ht="15.75" customHeight="1">
      <c r="A5264" s="17" t="s">
        <v>55</v>
      </c>
      <c r="B5264" s="38"/>
      <c r="C5264" s="37"/>
      <c r="D5264" s="20"/>
      <c r="E5264" s="20"/>
      <c r="F5264" s="37"/>
      <c r="G5264" s="37"/>
      <c r="H5264" s="37"/>
      <c r="I5264" s="37"/>
      <c r="J5264" s="155">
        <f t="shared" si="11"/>
        <v>0</v>
      </c>
      <c r="K5264" s="22"/>
      <c r="L5264" s="56"/>
      <c r="P5264" s="40"/>
      <c r="Q5264" s="61"/>
      <c r="R5264" s="61"/>
      <c r="S5264" s="40"/>
      <c r="T5264" s="38"/>
      <c r="U5264" s="38"/>
      <c r="V5264" s="38"/>
      <c r="W5264" s="60"/>
      <c r="AB5264" s="42"/>
      <c r="AC5264" s="35"/>
      <c r="AD5264" s="38"/>
      <c r="AE5264" s="38"/>
      <c r="AF5264" s="38"/>
      <c r="AG5264" s="38"/>
      <c r="AH5264" s="60"/>
    </row>
    <row r="5265" spans="1:34" ht="15.75" customHeight="1">
      <c r="A5265" s="35"/>
      <c r="B5265" s="38"/>
      <c r="C5265" s="37"/>
      <c r="D5265" s="20"/>
      <c r="E5265" s="20"/>
      <c r="F5265" s="37"/>
      <c r="G5265" s="37"/>
      <c r="H5265" s="37"/>
      <c r="I5265" s="37"/>
      <c r="J5265" s="155">
        <f t="shared" si="11"/>
        <v>0</v>
      </c>
      <c r="K5265" s="22"/>
      <c r="L5265" s="56"/>
      <c r="P5265" s="40"/>
      <c r="Q5265" s="61"/>
      <c r="R5265" s="61"/>
      <c r="S5265" s="40"/>
      <c r="T5265" s="38"/>
      <c r="U5265" s="38"/>
      <c r="V5265" s="38"/>
      <c r="W5265" s="60"/>
      <c r="AB5265" s="42"/>
      <c r="AC5265" s="35"/>
      <c r="AD5265" s="38"/>
      <c r="AE5265" s="38"/>
      <c r="AF5265" s="38"/>
      <c r="AG5265" s="38"/>
      <c r="AH5265" s="60"/>
    </row>
    <row r="5266" spans="1:34" ht="15.75" customHeight="1">
      <c r="A5266" s="35" t="s">
        <v>18318</v>
      </c>
      <c r="B5266" s="78" t="s">
        <v>18319</v>
      </c>
      <c r="C5266" s="37" t="s">
        <v>24</v>
      </c>
      <c r="D5266" s="20" t="s">
        <v>18320</v>
      </c>
      <c r="E5266" s="20" t="s">
        <v>18321</v>
      </c>
      <c r="F5266" s="19" t="s">
        <v>27</v>
      </c>
      <c r="G5266" s="19" t="s">
        <v>28</v>
      </c>
      <c r="H5266" s="37" t="s">
        <v>55</v>
      </c>
      <c r="I5266" s="37" t="s">
        <v>29</v>
      </c>
      <c r="J5266" s="155" t="str">
        <f t="shared" si="11"/>
        <v>TT</v>
      </c>
      <c r="K5266" s="22" t="s">
        <v>18322</v>
      </c>
      <c r="L5266" s="56">
        <v>45138</v>
      </c>
      <c r="M5266" s="40"/>
      <c r="P5266" s="40"/>
      <c r="Q5266" s="61"/>
      <c r="R5266" s="61"/>
      <c r="S5266" s="40"/>
      <c r="T5266" s="38"/>
      <c r="U5266" s="38"/>
      <c r="V5266" s="38"/>
      <c r="W5266" s="60"/>
      <c r="AB5266" s="42"/>
      <c r="AC5266" s="35"/>
      <c r="AD5266" s="38"/>
      <c r="AE5266" s="38"/>
      <c r="AF5266" s="38"/>
      <c r="AG5266" s="38"/>
      <c r="AH5266" s="60"/>
    </row>
    <row r="5267" spans="1:34" ht="15.75" customHeight="1">
      <c r="A5267" s="54" t="s">
        <v>2714</v>
      </c>
      <c r="B5267" s="78" t="s">
        <v>18323</v>
      </c>
      <c r="C5267" s="37" t="s">
        <v>87</v>
      </c>
      <c r="D5267" s="20" t="s">
        <v>18324</v>
      </c>
      <c r="E5267" s="20" t="s">
        <v>18325</v>
      </c>
      <c r="F5267" s="19" t="s">
        <v>90</v>
      </c>
      <c r="G5267" s="19" t="s">
        <v>91</v>
      </c>
      <c r="H5267" s="37" t="s">
        <v>55</v>
      </c>
      <c r="I5267" s="37" t="s">
        <v>29</v>
      </c>
      <c r="J5267" s="155" t="str">
        <f t="shared" si="11"/>
        <v>TT</v>
      </c>
      <c r="K5267" s="22" t="s">
        <v>18326</v>
      </c>
      <c r="L5267" s="56">
        <v>45138</v>
      </c>
      <c r="P5267" s="40"/>
      <c r="Q5267" s="61"/>
      <c r="R5267" s="61"/>
      <c r="S5267" s="40"/>
      <c r="T5267" s="38"/>
      <c r="U5267" s="38"/>
      <c r="V5267" s="38"/>
      <c r="W5267" s="60"/>
      <c r="AB5267" s="42"/>
      <c r="AC5267" s="35"/>
      <c r="AD5267" s="38"/>
      <c r="AE5267" s="38"/>
      <c r="AF5267" s="38"/>
      <c r="AG5267" s="38"/>
      <c r="AH5267" s="60"/>
    </row>
    <row r="5268" spans="1:34" ht="15.75" customHeight="1">
      <c r="A5268" s="114" t="s">
        <v>39</v>
      </c>
      <c r="B5268" s="78" t="s">
        <v>18327</v>
      </c>
      <c r="C5268" s="37" t="s">
        <v>46</v>
      </c>
      <c r="D5268" s="20" t="s">
        <v>18328</v>
      </c>
      <c r="E5268" s="20" t="s">
        <v>18329</v>
      </c>
      <c r="F5268" s="37" t="s">
        <v>49</v>
      </c>
      <c r="G5268" s="19" t="s">
        <v>50</v>
      </c>
      <c r="H5268" s="37" t="s">
        <v>55</v>
      </c>
      <c r="I5268" s="37" t="s">
        <v>29</v>
      </c>
      <c r="J5268" s="155" t="str">
        <f t="shared" si="11"/>
        <v>TT</v>
      </c>
      <c r="K5268" s="22" t="s">
        <v>18330</v>
      </c>
      <c r="L5268" s="56">
        <v>45138</v>
      </c>
      <c r="P5268" s="40"/>
      <c r="Q5268" s="61"/>
      <c r="R5268" s="61"/>
      <c r="S5268" s="40"/>
      <c r="T5268" s="38"/>
      <c r="U5268" s="38"/>
      <c r="V5268" s="38"/>
      <c r="W5268" s="60"/>
      <c r="AB5268" s="42"/>
      <c r="AC5268" s="35"/>
      <c r="AD5268" s="38"/>
      <c r="AE5268" s="38"/>
      <c r="AF5268" s="38"/>
      <c r="AG5268" s="38"/>
      <c r="AH5268" s="60"/>
    </row>
    <row r="5269" spans="1:34" ht="15.75" customHeight="1">
      <c r="A5269" s="38" t="s">
        <v>17871</v>
      </c>
      <c r="B5269" s="78" t="s">
        <v>18331</v>
      </c>
      <c r="C5269" s="37" t="s">
        <v>87</v>
      </c>
      <c r="D5269" s="20" t="s">
        <v>18332</v>
      </c>
      <c r="E5269" s="20" t="s">
        <v>18333</v>
      </c>
      <c r="F5269" s="19" t="s">
        <v>90</v>
      </c>
      <c r="G5269" s="19" t="s">
        <v>91</v>
      </c>
      <c r="H5269" s="37" t="s">
        <v>55</v>
      </c>
      <c r="I5269" s="37" t="s">
        <v>29</v>
      </c>
      <c r="J5269" s="155" t="str">
        <f t="shared" si="11"/>
        <v>TT</v>
      </c>
      <c r="K5269" s="22" t="s">
        <v>18334</v>
      </c>
      <c r="L5269" s="56">
        <v>45138</v>
      </c>
      <c r="P5269" s="40"/>
      <c r="Q5269" s="61"/>
      <c r="R5269" s="61"/>
      <c r="S5269" s="40"/>
      <c r="T5269" s="38"/>
      <c r="U5269" s="38"/>
      <c r="V5269" s="38"/>
      <c r="W5269" s="60"/>
      <c r="AB5269" s="42"/>
      <c r="AC5269" s="35"/>
      <c r="AD5269" s="38"/>
      <c r="AE5269" s="38"/>
      <c r="AF5269" s="38"/>
      <c r="AG5269" s="38"/>
      <c r="AH5269" s="60"/>
    </row>
    <row r="5270" spans="1:34" ht="15.75" customHeight="1">
      <c r="A5270" s="75" t="s">
        <v>14231</v>
      </c>
      <c r="B5270" s="78" t="s">
        <v>18335</v>
      </c>
      <c r="C5270" s="37" t="s">
        <v>87</v>
      </c>
      <c r="D5270" s="20" t="s">
        <v>18336</v>
      </c>
      <c r="E5270" s="20" t="s">
        <v>18337</v>
      </c>
      <c r="F5270" s="19" t="s">
        <v>90</v>
      </c>
      <c r="G5270" s="19" t="s">
        <v>91</v>
      </c>
      <c r="H5270" s="37" t="s">
        <v>55</v>
      </c>
      <c r="I5270" s="37" t="s">
        <v>29</v>
      </c>
      <c r="J5270" s="155" t="str">
        <f t="shared" si="11"/>
        <v>TT</v>
      </c>
      <c r="K5270" s="22" t="s">
        <v>18338</v>
      </c>
      <c r="L5270" s="56">
        <v>45138</v>
      </c>
      <c r="P5270" s="40"/>
      <c r="Q5270" s="61"/>
      <c r="R5270" s="61"/>
      <c r="S5270" s="40"/>
      <c r="T5270" s="38"/>
      <c r="U5270" s="38"/>
      <c r="V5270" s="38"/>
      <c r="W5270" s="60"/>
      <c r="AB5270" s="42"/>
      <c r="AC5270" s="35"/>
      <c r="AD5270" s="38"/>
      <c r="AE5270" s="38"/>
      <c r="AF5270" s="38"/>
      <c r="AG5270" s="38"/>
      <c r="AH5270" s="60"/>
    </row>
    <row r="5271" spans="1:34" ht="15.75" customHeight="1">
      <c r="A5271" s="50" t="s">
        <v>56</v>
      </c>
      <c r="B5271" s="78" t="s">
        <v>18339</v>
      </c>
      <c r="C5271" s="37" t="s">
        <v>46</v>
      </c>
      <c r="D5271" s="20" t="s">
        <v>18340</v>
      </c>
      <c r="E5271" s="20" t="s">
        <v>18341</v>
      </c>
      <c r="F5271" s="37" t="s">
        <v>49</v>
      </c>
      <c r="G5271" s="19" t="s">
        <v>50</v>
      </c>
      <c r="H5271" s="37" t="s">
        <v>55</v>
      </c>
      <c r="I5271" s="37" t="s">
        <v>29</v>
      </c>
      <c r="J5271" s="155" t="str">
        <f t="shared" si="11"/>
        <v>TT</v>
      </c>
      <c r="K5271" s="22" t="s">
        <v>18342</v>
      </c>
      <c r="L5271" s="56">
        <v>45138</v>
      </c>
      <c r="P5271" s="40"/>
      <c r="Q5271" s="61"/>
      <c r="R5271" s="61"/>
      <c r="S5271" s="40"/>
      <c r="T5271" s="38"/>
      <c r="U5271" s="38"/>
      <c r="V5271" s="38"/>
      <c r="W5271" s="60"/>
      <c r="AB5271" s="42"/>
      <c r="AC5271" s="35"/>
      <c r="AD5271" s="38"/>
      <c r="AE5271" s="38"/>
      <c r="AF5271" s="38"/>
      <c r="AG5271" s="38"/>
      <c r="AH5271" s="60"/>
    </row>
    <row r="5272" spans="1:34" ht="15.75" customHeight="1">
      <c r="A5272" s="17">
        <v>38</v>
      </c>
      <c r="B5272" s="78" t="s">
        <v>18343</v>
      </c>
      <c r="C5272" s="37" t="s">
        <v>46</v>
      </c>
      <c r="D5272" s="20" t="s">
        <v>18344</v>
      </c>
      <c r="E5272" s="20"/>
      <c r="F5272" s="37" t="s">
        <v>49</v>
      </c>
      <c r="G5272" s="19" t="s">
        <v>50</v>
      </c>
      <c r="H5272" s="37" t="s">
        <v>55</v>
      </c>
      <c r="I5272" s="37" t="s">
        <v>29</v>
      </c>
      <c r="J5272" s="155" t="str">
        <f t="shared" si="11"/>
        <v>TT</v>
      </c>
      <c r="K5272" s="22"/>
      <c r="L5272" s="56">
        <v>45138</v>
      </c>
      <c r="P5272" s="40"/>
      <c r="Q5272" s="61"/>
      <c r="R5272" s="61"/>
      <c r="S5272" s="40"/>
      <c r="T5272" s="38"/>
      <c r="U5272" s="38"/>
      <c r="V5272" s="38"/>
      <c r="W5272" s="60"/>
      <c r="AB5272" s="42"/>
      <c r="AC5272" s="35"/>
      <c r="AD5272" s="38"/>
      <c r="AE5272" s="38"/>
      <c r="AF5272" s="38"/>
      <c r="AG5272" s="38"/>
      <c r="AH5272" s="60"/>
    </row>
    <row r="5273" spans="1:34" ht="15.75" customHeight="1">
      <c r="A5273" s="111" t="s">
        <v>64</v>
      </c>
      <c r="B5273" s="78" t="s">
        <v>18345</v>
      </c>
      <c r="C5273" s="37" t="s">
        <v>1430</v>
      </c>
      <c r="D5273" s="20" t="s">
        <v>18346</v>
      </c>
      <c r="E5273" s="20" t="s">
        <v>18347</v>
      </c>
      <c r="F5273" s="55" t="s">
        <v>1445</v>
      </c>
      <c r="G5273" s="55" t="s">
        <v>1432</v>
      </c>
      <c r="H5273" s="37" t="s">
        <v>55</v>
      </c>
      <c r="I5273" s="37" t="s">
        <v>233</v>
      </c>
      <c r="J5273" s="155" t="str">
        <f t="shared" si="11"/>
        <v>NTT</v>
      </c>
      <c r="K5273" s="22" t="s">
        <v>18348</v>
      </c>
      <c r="L5273" s="56">
        <v>45138</v>
      </c>
      <c r="P5273" s="40"/>
      <c r="Q5273" s="61"/>
      <c r="R5273" s="61"/>
      <c r="S5273" s="40"/>
      <c r="T5273" s="38"/>
      <c r="U5273" s="38"/>
      <c r="V5273" s="38"/>
      <c r="W5273" s="60"/>
      <c r="AB5273" s="42"/>
      <c r="AC5273" s="35"/>
      <c r="AD5273" s="38"/>
      <c r="AE5273" s="38"/>
      <c r="AF5273" s="38"/>
      <c r="AG5273" s="38"/>
      <c r="AH5273" s="60"/>
    </row>
    <row r="5274" spans="1:34" ht="15.75" customHeight="1">
      <c r="A5274" s="75">
        <v>2.2000000000000002</v>
      </c>
      <c r="B5274" s="78" t="s">
        <v>18349</v>
      </c>
      <c r="C5274" s="37" t="s">
        <v>87</v>
      </c>
      <c r="D5274" s="20" t="s">
        <v>18350</v>
      </c>
      <c r="E5274" s="20" t="s">
        <v>18351</v>
      </c>
      <c r="F5274" s="19" t="s">
        <v>90</v>
      </c>
      <c r="G5274" s="19" t="s">
        <v>91</v>
      </c>
      <c r="H5274" s="37" t="s">
        <v>55</v>
      </c>
      <c r="I5274" s="37" t="s">
        <v>29</v>
      </c>
      <c r="J5274" s="155" t="str">
        <f t="shared" si="11"/>
        <v>TT</v>
      </c>
      <c r="K5274" s="22" t="s">
        <v>18352</v>
      </c>
      <c r="L5274" s="56">
        <v>45138</v>
      </c>
      <c r="P5274" s="40"/>
      <c r="Q5274" s="61"/>
      <c r="R5274" s="61"/>
      <c r="S5274" s="40"/>
      <c r="T5274" s="38"/>
      <c r="U5274" s="38"/>
      <c r="V5274" s="38"/>
      <c r="W5274" s="60"/>
      <c r="AB5274" s="42"/>
      <c r="AC5274" s="35"/>
      <c r="AD5274" s="38"/>
      <c r="AE5274" s="38"/>
      <c r="AF5274" s="38"/>
      <c r="AG5274" s="38"/>
      <c r="AH5274" s="60"/>
    </row>
    <row r="5275" spans="1:34" ht="15.75" customHeight="1">
      <c r="A5275" s="111" t="s">
        <v>73</v>
      </c>
      <c r="B5275" s="78" t="s">
        <v>18353</v>
      </c>
      <c r="C5275" s="37" t="s">
        <v>24</v>
      </c>
      <c r="D5275" s="20" t="s">
        <v>18354</v>
      </c>
      <c r="E5275" s="20" t="s">
        <v>18355</v>
      </c>
      <c r="F5275" s="19" t="s">
        <v>27</v>
      </c>
      <c r="G5275" s="19" t="s">
        <v>28</v>
      </c>
      <c r="H5275" s="37" t="s">
        <v>55</v>
      </c>
      <c r="I5275" s="37" t="s">
        <v>29</v>
      </c>
      <c r="J5275" s="155" t="str">
        <f t="shared" si="11"/>
        <v>TT</v>
      </c>
      <c r="K5275" s="22" t="s">
        <v>18356</v>
      </c>
      <c r="L5275" s="56">
        <v>45138</v>
      </c>
      <c r="P5275" s="40"/>
      <c r="Q5275" s="61"/>
      <c r="R5275" s="61"/>
      <c r="S5275" s="40"/>
      <c r="T5275" s="38"/>
      <c r="U5275" s="38"/>
      <c r="V5275" s="38"/>
      <c r="W5275" s="60"/>
      <c r="AB5275" s="42"/>
      <c r="AC5275" s="35"/>
      <c r="AD5275" s="38"/>
      <c r="AE5275" s="38"/>
      <c r="AF5275" s="38"/>
      <c r="AG5275" s="38"/>
      <c r="AH5275" s="60"/>
    </row>
    <row r="5276" spans="1:34" ht="15.75" customHeight="1">
      <c r="A5276" s="75">
        <v>2.9</v>
      </c>
      <c r="B5276" s="81" t="s">
        <v>18357</v>
      </c>
      <c r="C5276" s="37" t="s">
        <v>24</v>
      </c>
      <c r="D5276" s="20" t="s">
        <v>18358</v>
      </c>
      <c r="E5276" s="20" t="s">
        <v>18359</v>
      </c>
      <c r="F5276" s="19" t="s">
        <v>27</v>
      </c>
      <c r="G5276" s="19" t="s">
        <v>28</v>
      </c>
      <c r="H5276" s="37" t="s">
        <v>55</v>
      </c>
      <c r="I5276" s="37" t="s">
        <v>29</v>
      </c>
      <c r="J5276" s="155" t="str">
        <f t="shared" si="11"/>
        <v>TT</v>
      </c>
      <c r="K5276" s="22" t="s">
        <v>18360</v>
      </c>
      <c r="L5276" s="56">
        <v>45138</v>
      </c>
      <c r="P5276" s="40"/>
      <c r="Q5276" s="61"/>
      <c r="R5276" s="61"/>
      <c r="S5276" s="40"/>
      <c r="T5276" s="38"/>
      <c r="U5276" s="38"/>
      <c r="V5276" s="38"/>
      <c r="W5276" s="60"/>
      <c r="AB5276" s="42"/>
      <c r="AC5276" s="35"/>
      <c r="AD5276" s="38"/>
      <c r="AE5276" s="38"/>
      <c r="AF5276" s="38"/>
      <c r="AG5276" s="38"/>
      <c r="AH5276" s="60"/>
    </row>
    <row r="5277" spans="1:34" ht="15.75" customHeight="1">
      <c r="A5277" s="111" t="s">
        <v>82</v>
      </c>
      <c r="B5277" s="78" t="s">
        <v>18361</v>
      </c>
      <c r="C5277" s="37" t="s">
        <v>46</v>
      </c>
      <c r="D5277" s="20" t="s">
        <v>18362</v>
      </c>
      <c r="E5277" s="20" t="s">
        <v>18363</v>
      </c>
      <c r="F5277" s="37" t="s">
        <v>49</v>
      </c>
      <c r="G5277" s="19" t="s">
        <v>50</v>
      </c>
      <c r="H5277" s="37" t="s">
        <v>55</v>
      </c>
      <c r="I5277" s="37" t="s">
        <v>29</v>
      </c>
      <c r="J5277" s="155" t="str">
        <f t="shared" si="11"/>
        <v>TT</v>
      </c>
      <c r="K5277" s="22" t="s">
        <v>18364</v>
      </c>
      <c r="L5277" s="56">
        <v>45138</v>
      </c>
      <c r="P5277" s="40"/>
      <c r="Q5277" s="61"/>
      <c r="R5277" s="61"/>
      <c r="S5277" s="40"/>
      <c r="T5277" s="38"/>
      <c r="U5277" s="38"/>
      <c r="V5277" s="38"/>
      <c r="W5277" s="60"/>
      <c r="AB5277" s="42"/>
      <c r="AC5277" s="35"/>
      <c r="AD5277" s="38"/>
      <c r="AE5277" s="38"/>
      <c r="AF5277" s="38"/>
      <c r="AG5277" s="38"/>
      <c r="AH5277" s="60"/>
    </row>
    <row r="5278" spans="1:34" ht="15.75" customHeight="1">
      <c r="A5278" s="112" t="s">
        <v>18365</v>
      </c>
      <c r="B5278" s="78" t="s">
        <v>18366</v>
      </c>
      <c r="C5278" s="37" t="s">
        <v>1430</v>
      </c>
      <c r="D5278" s="20" t="s">
        <v>18367</v>
      </c>
      <c r="E5278" s="20" t="s">
        <v>18368</v>
      </c>
      <c r="F5278" s="55" t="s">
        <v>1445</v>
      </c>
      <c r="G5278" s="55" t="s">
        <v>1432</v>
      </c>
      <c r="H5278" s="37" t="s">
        <v>55</v>
      </c>
      <c r="I5278" s="37" t="s">
        <v>233</v>
      </c>
      <c r="J5278" s="155" t="str">
        <f t="shared" si="11"/>
        <v>NTT</v>
      </c>
      <c r="K5278" s="22" t="s">
        <v>18369</v>
      </c>
      <c r="L5278" s="56">
        <v>45138</v>
      </c>
      <c r="P5278" s="40"/>
      <c r="Q5278" s="61"/>
      <c r="R5278" s="61"/>
      <c r="S5278" s="40"/>
      <c r="T5278" s="38"/>
      <c r="U5278" s="38"/>
      <c r="V5278" s="38"/>
      <c r="W5278" s="60"/>
      <c r="AB5278" s="42"/>
      <c r="AC5278" s="35"/>
      <c r="AD5278" s="38"/>
      <c r="AE5278" s="38"/>
      <c r="AF5278" s="38"/>
      <c r="AG5278" s="38"/>
      <c r="AH5278" s="60"/>
    </row>
    <row r="5279" spans="1:34" ht="15.75" customHeight="1">
      <c r="A5279" s="111" t="s">
        <v>92</v>
      </c>
      <c r="B5279" s="78" t="s">
        <v>18370</v>
      </c>
      <c r="C5279" s="37" t="s">
        <v>24</v>
      </c>
      <c r="D5279" s="20" t="s">
        <v>18371</v>
      </c>
      <c r="E5279" s="20" t="s">
        <v>18372</v>
      </c>
      <c r="F5279" s="19" t="s">
        <v>27</v>
      </c>
      <c r="G5279" s="19" t="s">
        <v>28</v>
      </c>
      <c r="H5279" s="37" t="s">
        <v>55</v>
      </c>
      <c r="I5279" s="37" t="s">
        <v>29</v>
      </c>
      <c r="J5279" s="155" t="str">
        <f t="shared" si="11"/>
        <v>TT</v>
      </c>
      <c r="K5279" s="22" t="s">
        <v>18373</v>
      </c>
      <c r="L5279" s="56">
        <v>45138</v>
      </c>
      <c r="P5279" s="40"/>
      <c r="Q5279" s="61"/>
      <c r="R5279" s="61"/>
      <c r="S5279" s="40"/>
      <c r="T5279" s="38"/>
      <c r="U5279" s="38"/>
      <c r="V5279" s="38"/>
      <c r="W5279" s="60"/>
      <c r="AB5279" s="42"/>
      <c r="AC5279" s="35"/>
      <c r="AD5279" s="38"/>
      <c r="AE5279" s="38"/>
      <c r="AF5279" s="38"/>
      <c r="AG5279" s="38"/>
      <c r="AH5279" s="60"/>
    </row>
    <row r="5280" spans="1:34" ht="15.75" customHeight="1">
      <c r="A5280" s="17">
        <v>292</v>
      </c>
      <c r="B5280" s="78" t="s">
        <v>18374</v>
      </c>
      <c r="C5280" s="37" t="s">
        <v>24</v>
      </c>
      <c r="D5280" s="20" t="s">
        <v>18375</v>
      </c>
      <c r="E5280" s="20"/>
      <c r="F5280" s="19" t="s">
        <v>27</v>
      </c>
      <c r="G5280" s="19" t="s">
        <v>28</v>
      </c>
      <c r="H5280" s="37" t="s">
        <v>55</v>
      </c>
      <c r="I5280" s="37" t="s">
        <v>29</v>
      </c>
      <c r="J5280" s="155" t="str">
        <f t="shared" si="11"/>
        <v>TT</v>
      </c>
      <c r="K5280" s="22"/>
      <c r="L5280" s="56">
        <v>45138</v>
      </c>
      <c r="P5280" s="40"/>
      <c r="Q5280" s="61"/>
      <c r="R5280" s="61"/>
      <c r="S5280" s="40"/>
      <c r="T5280" s="38"/>
      <c r="U5280" s="38"/>
      <c r="V5280" s="38"/>
      <c r="W5280" s="60"/>
      <c r="AB5280" s="42"/>
      <c r="AC5280" s="35"/>
      <c r="AD5280" s="38"/>
      <c r="AE5280" s="38"/>
      <c r="AF5280" s="38"/>
      <c r="AG5280" s="38"/>
      <c r="AH5280" s="60"/>
    </row>
    <row r="5281" spans="1:34" ht="15.75" customHeight="1">
      <c r="A5281" s="111" t="s">
        <v>100</v>
      </c>
      <c r="B5281" s="78" t="s">
        <v>18376</v>
      </c>
      <c r="C5281" s="37" t="s">
        <v>24</v>
      </c>
      <c r="D5281" s="20" t="s">
        <v>18377</v>
      </c>
      <c r="E5281" s="20" t="s">
        <v>18378</v>
      </c>
      <c r="F5281" s="19" t="s">
        <v>27</v>
      </c>
      <c r="G5281" s="19" t="s">
        <v>28</v>
      </c>
      <c r="H5281" s="37" t="s">
        <v>55</v>
      </c>
      <c r="I5281" s="37" t="s">
        <v>29</v>
      </c>
      <c r="J5281" s="155" t="str">
        <f t="shared" si="11"/>
        <v>TT</v>
      </c>
      <c r="K5281" s="22" t="s">
        <v>18379</v>
      </c>
      <c r="L5281" s="56">
        <v>45138</v>
      </c>
      <c r="P5281" s="40"/>
      <c r="Q5281" s="61"/>
      <c r="R5281" s="61"/>
      <c r="S5281" s="40"/>
      <c r="T5281" s="38"/>
      <c r="U5281" s="38"/>
      <c r="V5281" s="38"/>
      <c r="W5281" s="60"/>
      <c r="AB5281" s="42"/>
      <c r="AC5281" s="35"/>
      <c r="AD5281" s="38"/>
      <c r="AE5281" s="38"/>
      <c r="AF5281" s="38"/>
      <c r="AG5281" s="38"/>
      <c r="AH5281" s="60"/>
    </row>
    <row r="5282" spans="1:34" ht="15.75" customHeight="1">
      <c r="A5282" s="17">
        <v>157</v>
      </c>
      <c r="B5282" s="78" t="s">
        <v>18380</v>
      </c>
      <c r="C5282" s="37" t="s">
        <v>46</v>
      </c>
      <c r="D5282" s="20" t="s">
        <v>18381</v>
      </c>
      <c r="E5282" s="20"/>
      <c r="F5282" s="37" t="s">
        <v>49</v>
      </c>
      <c r="G5282" s="19" t="s">
        <v>50</v>
      </c>
      <c r="H5282" s="37" t="s">
        <v>55</v>
      </c>
      <c r="I5282" s="37" t="s">
        <v>29</v>
      </c>
      <c r="J5282" s="155" t="str">
        <f t="shared" si="11"/>
        <v>TT</v>
      </c>
      <c r="K5282" s="22"/>
      <c r="L5282" s="56">
        <v>45138</v>
      </c>
      <c r="P5282" s="40"/>
      <c r="Q5282" s="61"/>
      <c r="R5282" s="61"/>
      <c r="S5282" s="40"/>
      <c r="T5282" s="38"/>
      <c r="U5282" s="38"/>
      <c r="V5282" s="38"/>
      <c r="W5282" s="60"/>
      <c r="AB5282" s="42"/>
      <c r="AC5282" s="35"/>
      <c r="AD5282" s="38"/>
      <c r="AE5282" s="38"/>
      <c r="AF5282" s="38"/>
      <c r="AG5282" s="38"/>
      <c r="AH5282" s="60"/>
    </row>
    <row r="5283" spans="1:34" ht="15.75" customHeight="1">
      <c r="A5283" s="35"/>
      <c r="B5283" s="78" t="s">
        <v>18382</v>
      </c>
      <c r="C5283" s="37" t="s">
        <v>87</v>
      </c>
      <c r="D5283" s="20" t="s">
        <v>18383</v>
      </c>
      <c r="E5283" s="20" t="s">
        <v>18384</v>
      </c>
      <c r="F5283" s="19" t="s">
        <v>90</v>
      </c>
      <c r="G5283" s="19" t="s">
        <v>91</v>
      </c>
      <c r="H5283" s="37" t="s">
        <v>55</v>
      </c>
      <c r="I5283" s="37" t="s">
        <v>29</v>
      </c>
      <c r="J5283" s="155" t="str">
        <f t="shared" si="11"/>
        <v>TT</v>
      </c>
      <c r="K5283" s="22" t="s">
        <v>18385</v>
      </c>
      <c r="L5283" s="56">
        <v>45138</v>
      </c>
      <c r="P5283" s="40"/>
      <c r="Q5283" s="61"/>
      <c r="R5283" s="61"/>
      <c r="S5283" s="40"/>
      <c r="T5283" s="38"/>
      <c r="U5283" s="38"/>
      <c r="V5283" s="38"/>
      <c r="W5283" s="60"/>
      <c r="AB5283" s="42"/>
      <c r="AC5283" s="35"/>
      <c r="AD5283" s="38"/>
      <c r="AE5283" s="38"/>
      <c r="AF5283" s="38"/>
      <c r="AG5283" s="38"/>
      <c r="AH5283" s="60"/>
    </row>
    <row r="5284" spans="1:34" ht="15.75" customHeight="1">
      <c r="A5284" s="35"/>
      <c r="B5284" s="78" t="s">
        <v>18386</v>
      </c>
      <c r="C5284" s="37" t="s">
        <v>46</v>
      </c>
      <c r="D5284" s="20" t="s">
        <v>18387</v>
      </c>
      <c r="E5284" s="20" t="s">
        <v>18388</v>
      </c>
      <c r="F5284" s="37" t="s">
        <v>49</v>
      </c>
      <c r="G5284" s="19" t="s">
        <v>50</v>
      </c>
      <c r="H5284" s="37" t="s">
        <v>55</v>
      </c>
      <c r="I5284" s="37" t="s">
        <v>29</v>
      </c>
      <c r="J5284" s="155" t="str">
        <f t="shared" si="11"/>
        <v>TT</v>
      </c>
      <c r="K5284" s="22" t="s">
        <v>18389</v>
      </c>
      <c r="L5284" s="56">
        <v>45138</v>
      </c>
      <c r="P5284" s="40"/>
      <c r="Q5284" s="61"/>
      <c r="R5284" s="61"/>
      <c r="S5284" s="40"/>
      <c r="T5284" s="38"/>
      <c r="U5284" s="38"/>
      <c r="V5284" s="38"/>
      <c r="W5284" s="60"/>
      <c r="AB5284" s="42"/>
      <c r="AC5284" s="35"/>
      <c r="AD5284" s="38"/>
      <c r="AE5284" s="38"/>
      <c r="AF5284" s="38"/>
      <c r="AG5284" s="38"/>
      <c r="AH5284" s="60"/>
    </row>
    <row r="5285" spans="1:34" ht="15.75" customHeight="1">
      <c r="A5285" s="35"/>
      <c r="B5285" s="78" t="s">
        <v>18390</v>
      </c>
      <c r="C5285" s="37" t="s">
        <v>24</v>
      </c>
      <c r="D5285" s="20" t="s">
        <v>18391</v>
      </c>
      <c r="E5285" s="20" t="s">
        <v>18392</v>
      </c>
      <c r="F5285" s="19" t="s">
        <v>27</v>
      </c>
      <c r="G5285" s="19" t="s">
        <v>28</v>
      </c>
      <c r="H5285" s="37" t="s">
        <v>55</v>
      </c>
      <c r="I5285" s="37" t="s">
        <v>29</v>
      </c>
      <c r="J5285" s="155" t="str">
        <f t="shared" si="11"/>
        <v>TT</v>
      </c>
      <c r="K5285" s="22" t="s">
        <v>18393</v>
      </c>
      <c r="L5285" s="56">
        <v>45138</v>
      </c>
      <c r="P5285" s="40"/>
      <c r="Q5285" s="61"/>
      <c r="R5285" s="61"/>
      <c r="S5285" s="40"/>
      <c r="T5285" s="38"/>
      <c r="U5285" s="38"/>
      <c r="V5285" s="38"/>
      <c r="W5285" s="60"/>
      <c r="AB5285" s="42"/>
      <c r="AC5285" s="35"/>
      <c r="AD5285" s="38"/>
      <c r="AE5285" s="38"/>
      <c r="AF5285" s="38"/>
      <c r="AG5285" s="38"/>
      <c r="AH5285" s="60"/>
    </row>
    <row r="5286" spans="1:34" ht="15.75" customHeight="1">
      <c r="A5286" s="35"/>
      <c r="B5286" s="38"/>
      <c r="C5286" s="37"/>
      <c r="D5286" s="20"/>
      <c r="E5286" s="20"/>
      <c r="F5286" s="37"/>
      <c r="G5286" s="37"/>
      <c r="H5286" s="37"/>
      <c r="I5286" s="37"/>
      <c r="J5286" s="155">
        <f t="shared" si="11"/>
        <v>0</v>
      </c>
      <c r="K5286" s="22"/>
      <c r="L5286" s="56"/>
      <c r="P5286" s="40"/>
      <c r="Q5286" s="61"/>
      <c r="R5286" s="61"/>
      <c r="S5286" s="40"/>
      <c r="T5286" s="38"/>
      <c r="U5286" s="38"/>
      <c r="V5286" s="38"/>
      <c r="W5286" s="60"/>
      <c r="AB5286" s="42"/>
      <c r="AC5286" s="35"/>
      <c r="AD5286" s="38"/>
      <c r="AE5286" s="38"/>
      <c r="AF5286" s="38"/>
      <c r="AG5286" s="38"/>
      <c r="AH5286" s="60"/>
    </row>
    <row r="5287" spans="1:34" ht="15.75" customHeight="1">
      <c r="A5287" s="35" t="s">
        <v>18394</v>
      </c>
      <c r="B5287" s="78" t="s">
        <v>18395</v>
      </c>
      <c r="C5287" s="37" t="s">
        <v>24</v>
      </c>
      <c r="D5287" s="20" t="s">
        <v>18396</v>
      </c>
      <c r="E5287" s="20" t="s">
        <v>18397</v>
      </c>
      <c r="F5287" s="19" t="s">
        <v>27</v>
      </c>
      <c r="G5287" s="19" t="s">
        <v>28</v>
      </c>
      <c r="H5287" s="37"/>
      <c r="I5287" s="37" t="s">
        <v>29</v>
      </c>
      <c r="J5287" s="155" t="str">
        <f t="shared" si="11"/>
        <v>TT</v>
      </c>
      <c r="K5287" s="22" t="s">
        <v>18398</v>
      </c>
      <c r="L5287" s="56">
        <v>45138</v>
      </c>
      <c r="M5287" s="40"/>
      <c r="P5287" s="40"/>
      <c r="Q5287" s="61"/>
      <c r="R5287" s="61"/>
      <c r="S5287" s="40"/>
      <c r="T5287" s="38"/>
      <c r="U5287" s="38"/>
      <c r="V5287" s="38"/>
      <c r="W5287" s="60"/>
      <c r="AB5287" s="42"/>
      <c r="AC5287" s="35"/>
      <c r="AD5287" s="38"/>
      <c r="AE5287" s="38"/>
      <c r="AF5287" s="38"/>
      <c r="AG5287" s="38"/>
      <c r="AH5287" s="60"/>
    </row>
    <row r="5288" spans="1:34" ht="15.75" customHeight="1">
      <c r="A5288" s="54" t="s">
        <v>2714</v>
      </c>
      <c r="B5288" s="158" t="s">
        <v>18399</v>
      </c>
      <c r="C5288" s="37" t="s">
        <v>87</v>
      </c>
      <c r="D5288" s="20" t="s">
        <v>18400</v>
      </c>
      <c r="E5288" s="20" t="s">
        <v>18401</v>
      </c>
      <c r="F5288" s="19" t="s">
        <v>90</v>
      </c>
      <c r="G5288" s="19" t="s">
        <v>91</v>
      </c>
      <c r="H5288" s="19" t="s">
        <v>36</v>
      </c>
      <c r="I5288" s="37" t="s">
        <v>29</v>
      </c>
      <c r="J5288" s="155" t="str">
        <f t="shared" si="11"/>
        <v>TT</v>
      </c>
      <c r="K5288" s="22" t="s">
        <v>18402</v>
      </c>
      <c r="L5288" s="56">
        <v>45138</v>
      </c>
      <c r="P5288" s="40"/>
      <c r="Q5288" s="61"/>
      <c r="R5288" s="61"/>
      <c r="S5288" s="40"/>
      <c r="T5288" s="38"/>
      <c r="U5288" s="38"/>
      <c r="V5288" s="38"/>
      <c r="W5288" s="60"/>
      <c r="AB5288" s="42"/>
      <c r="AC5288" s="35"/>
      <c r="AD5288" s="38"/>
      <c r="AE5288" s="38"/>
      <c r="AF5288" s="38"/>
      <c r="AG5288" s="38"/>
      <c r="AH5288" s="60"/>
    </row>
    <row r="5289" spans="1:34" ht="15.75" customHeight="1">
      <c r="A5289" s="114" t="s">
        <v>39</v>
      </c>
      <c r="B5289" s="158" t="s">
        <v>18403</v>
      </c>
      <c r="C5289" s="37" t="s">
        <v>24</v>
      </c>
      <c r="D5289" s="20" t="s">
        <v>18404</v>
      </c>
      <c r="E5289" s="20" t="s">
        <v>18405</v>
      </c>
      <c r="F5289" s="19" t="s">
        <v>27</v>
      </c>
      <c r="G5289" s="19" t="s">
        <v>28</v>
      </c>
      <c r="H5289" s="37"/>
      <c r="I5289" s="37" t="s">
        <v>29</v>
      </c>
      <c r="J5289" s="155" t="str">
        <f t="shared" si="11"/>
        <v>TT</v>
      </c>
      <c r="K5289" s="22" t="s">
        <v>18406</v>
      </c>
      <c r="L5289" s="56">
        <v>45138</v>
      </c>
      <c r="P5289" s="40"/>
      <c r="Q5289" s="61"/>
      <c r="R5289" s="61"/>
      <c r="S5289" s="40"/>
      <c r="T5289" s="38"/>
      <c r="U5289" s="38"/>
      <c r="V5289" s="38"/>
      <c r="W5289" s="60"/>
      <c r="AB5289" s="42"/>
      <c r="AC5289" s="35"/>
      <c r="AD5289" s="38"/>
      <c r="AE5289" s="38"/>
      <c r="AF5289" s="38"/>
      <c r="AG5289" s="38"/>
      <c r="AH5289" s="60"/>
    </row>
    <row r="5290" spans="1:34" ht="15.75" customHeight="1">
      <c r="A5290" s="38" t="s">
        <v>17871</v>
      </c>
      <c r="B5290" s="158" t="s">
        <v>18407</v>
      </c>
      <c r="C5290" s="19" t="s">
        <v>87</v>
      </c>
      <c r="D5290" s="20" t="s">
        <v>18408</v>
      </c>
      <c r="E5290" s="20" t="s">
        <v>18409</v>
      </c>
      <c r="F5290" s="19" t="s">
        <v>90</v>
      </c>
      <c r="G5290" s="19" t="s">
        <v>91</v>
      </c>
      <c r="H5290" s="19" t="s">
        <v>36</v>
      </c>
      <c r="I5290" s="37" t="s">
        <v>29</v>
      </c>
      <c r="J5290" s="155" t="str">
        <f t="shared" si="11"/>
        <v>TT</v>
      </c>
      <c r="K5290" s="22" t="s">
        <v>18410</v>
      </c>
      <c r="L5290" s="56">
        <v>45138</v>
      </c>
      <c r="P5290" s="40"/>
      <c r="Q5290" s="61"/>
      <c r="R5290" s="61"/>
      <c r="S5290" s="40"/>
      <c r="T5290" s="38"/>
      <c r="U5290" s="38"/>
      <c r="V5290" s="38"/>
      <c r="W5290" s="60"/>
      <c r="AB5290" s="42"/>
      <c r="AC5290" s="35"/>
      <c r="AD5290" s="38"/>
      <c r="AE5290" s="38"/>
      <c r="AF5290" s="38"/>
      <c r="AG5290" s="38"/>
      <c r="AH5290" s="60"/>
    </row>
    <row r="5291" spans="1:34" ht="15.75" customHeight="1">
      <c r="A5291" s="75" t="s">
        <v>13546</v>
      </c>
      <c r="B5291" s="158" t="s">
        <v>18411</v>
      </c>
      <c r="C5291" s="37" t="s">
        <v>46</v>
      </c>
      <c r="D5291" s="20" t="s">
        <v>18412</v>
      </c>
      <c r="E5291" s="20" t="s">
        <v>18413</v>
      </c>
      <c r="F5291" s="37" t="s">
        <v>49</v>
      </c>
      <c r="G5291" s="19" t="s">
        <v>50</v>
      </c>
      <c r="H5291" s="37"/>
      <c r="I5291" s="37" t="s">
        <v>29</v>
      </c>
      <c r="J5291" s="155" t="str">
        <f t="shared" si="11"/>
        <v>TT</v>
      </c>
      <c r="K5291" s="22" t="s">
        <v>18414</v>
      </c>
      <c r="L5291" s="56">
        <v>45138</v>
      </c>
      <c r="P5291" s="40"/>
      <c r="Q5291" s="61"/>
      <c r="R5291" s="61"/>
      <c r="S5291" s="40"/>
      <c r="T5291" s="38"/>
      <c r="U5291" s="38"/>
      <c r="V5291" s="38"/>
      <c r="W5291" s="60"/>
      <c r="AB5291" s="42"/>
      <c r="AC5291" s="35"/>
      <c r="AD5291" s="38"/>
      <c r="AE5291" s="38"/>
      <c r="AF5291" s="38"/>
      <c r="AG5291" s="38"/>
      <c r="AH5291" s="60"/>
    </row>
    <row r="5292" spans="1:34" ht="15.75" customHeight="1">
      <c r="A5292" s="50" t="s">
        <v>56</v>
      </c>
      <c r="B5292" s="158" t="s">
        <v>18415</v>
      </c>
      <c r="C5292" s="37" t="s">
        <v>24</v>
      </c>
      <c r="D5292" s="20" t="s">
        <v>18416</v>
      </c>
      <c r="E5292" s="20" t="s">
        <v>18417</v>
      </c>
      <c r="F5292" s="19" t="s">
        <v>27</v>
      </c>
      <c r="G5292" s="19" t="s">
        <v>28</v>
      </c>
      <c r="H5292" s="37"/>
      <c r="I5292" s="37" t="s">
        <v>29</v>
      </c>
      <c r="J5292" s="155" t="str">
        <f t="shared" si="11"/>
        <v>TT</v>
      </c>
      <c r="K5292" s="22" t="s">
        <v>18418</v>
      </c>
      <c r="L5292" s="56">
        <v>45138</v>
      </c>
      <c r="P5292" s="40"/>
      <c r="Q5292" s="61"/>
      <c r="R5292" s="61"/>
      <c r="S5292" s="40"/>
      <c r="T5292" s="38"/>
      <c r="U5292" s="38"/>
      <c r="V5292" s="38"/>
      <c r="W5292" s="60"/>
      <c r="AB5292" s="42"/>
      <c r="AC5292" s="35"/>
      <c r="AD5292" s="38"/>
      <c r="AE5292" s="38"/>
      <c r="AF5292" s="38"/>
      <c r="AG5292" s="38"/>
      <c r="AH5292" s="60"/>
    </row>
    <row r="5293" spans="1:34" ht="15.75" customHeight="1">
      <c r="A5293" s="17">
        <v>47</v>
      </c>
      <c r="B5293" s="158" t="s">
        <v>18419</v>
      </c>
      <c r="C5293" s="37" t="s">
        <v>87</v>
      </c>
      <c r="D5293" s="20" t="s">
        <v>18420</v>
      </c>
      <c r="E5293" s="20" t="s">
        <v>18421</v>
      </c>
      <c r="F5293" s="19" t="s">
        <v>90</v>
      </c>
      <c r="G5293" s="19" t="s">
        <v>91</v>
      </c>
      <c r="H5293" s="37"/>
      <c r="I5293" s="37" t="s">
        <v>29</v>
      </c>
      <c r="J5293" s="155" t="str">
        <f t="shared" si="11"/>
        <v>TT</v>
      </c>
      <c r="K5293" s="22" t="s">
        <v>18422</v>
      </c>
      <c r="L5293" s="56">
        <v>45138</v>
      </c>
      <c r="P5293" s="40"/>
      <c r="Q5293" s="61"/>
      <c r="R5293" s="61"/>
      <c r="S5293" s="40"/>
      <c r="T5293" s="38"/>
      <c r="U5293" s="38"/>
      <c r="V5293" s="38"/>
      <c r="W5293" s="60"/>
      <c r="AB5293" s="42"/>
      <c r="AC5293" s="35"/>
      <c r="AD5293" s="38"/>
      <c r="AE5293" s="38"/>
      <c r="AF5293" s="38"/>
      <c r="AG5293" s="38"/>
      <c r="AH5293" s="60"/>
    </row>
    <row r="5294" spans="1:34" ht="15.75" customHeight="1">
      <c r="A5294" s="111" t="s">
        <v>64</v>
      </c>
      <c r="B5294" s="158" t="s">
        <v>18423</v>
      </c>
      <c r="C5294" s="37" t="s">
        <v>24</v>
      </c>
      <c r="D5294" s="20" t="s">
        <v>18424</v>
      </c>
      <c r="E5294" s="20" t="s">
        <v>18425</v>
      </c>
      <c r="F5294" s="19" t="s">
        <v>27</v>
      </c>
      <c r="G5294" s="19" t="s">
        <v>28</v>
      </c>
      <c r="H5294" s="37"/>
      <c r="I5294" s="37" t="s">
        <v>29</v>
      </c>
      <c r="J5294" s="155" t="str">
        <f t="shared" si="11"/>
        <v>TT</v>
      </c>
      <c r="K5294" s="22" t="s">
        <v>18426</v>
      </c>
      <c r="L5294" s="56">
        <v>45138</v>
      </c>
      <c r="P5294" s="40"/>
      <c r="Q5294" s="61"/>
      <c r="R5294" s="61"/>
      <c r="S5294" s="40"/>
      <c r="T5294" s="38"/>
      <c r="U5294" s="38"/>
      <c r="V5294" s="38"/>
      <c r="W5294" s="60"/>
      <c r="AB5294" s="42"/>
      <c r="AC5294" s="35"/>
      <c r="AD5294" s="38"/>
      <c r="AE5294" s="38"/>
      <c r="AF5294" s="38"/>
      <c r="AG5294" s="38"/>
      <c r="AH5294" s="60"/>
    </row>
    <row r="5295" spans="1:34" ht="15.75" customHeight="1">
      <c r="A5295" s="75">
        <v>2.2000000000000002</v>
      </c>
      <c r="B5295" s="158" t="s">
        <v>18427</v>
      </c>
      <c r="C5295" s="37" t="s">
        <v>46</v>
      </c>
      <c r="D5295" s="20" t="s">
        <v>18428</v>
      </c>
      <c r="E5295" s="20" t="s">
        <v>18429</v>
      </c>
      <c r="F5295" s="37" t="s">
        <v>49</v>
      </c>
      <c r="G5295" s="19" t="s">
        <v>50</v>
      </c>
      <c r="H5295" s="37"/>
      <c r="I5295" s="37" t="s">
        <v>29</v>
      </c>
      <c r="J5295" s="155" t="str">
        <f t="shared" si="11"/>
        <v>TT</v>
      </c>
      <c r="K5295" s="22" t="s">
        <v>18430</v>
      </c>
      <c r="L5295" s="56">
        <v>45138</v>
      </c>
      <c r="P5295" s="40"/>
      <c r="Q5295" s="61"/>
      <c r="R5295" s="61"/>
      <c r="S5295" s="40"/>
      <c r="T5295" s="38"/>
      <c r="U5295" s="38"/>
      <c r="V5295" s="38"/>
      <c r="W5295" s="60"/>
      <c r="AB5295" s="42"/>
      <c r="AC5295" s="35"/>
      <c r="AD5295" s="38"/>
      <c r="AE5295" s="38"/>
      <c r="AF5295" s="38"/>
      <c r="AG5295" s="38"/>
      <c r="AH5295" s="60"/>
    </row>
    <row r="5296" spans="1:34" ht="15.75" customHeight="1">
      <c r="A5296" s="111" t="s">
        <v>73</v>
      </c>
      <c r="B5296" s="158" t="s">
        <v>18431</v>
      </c>
      <c r="C5296" s="37" t="s">
        <v>412</v>
      </c>
      <c r="D5296" s="20" t="s">
        <v>18432</v>
      </c>
      <c r="E5296" s="20" t="s">
        <v>18433</v>
      </c>
      <c r="F5296" s="19" t="s">
        <v>414</v>
      </c>
      <c r="G5296" s="37" t="s">
        <v>415</v>
      </c>
      <c r="H5296" s="37"/>
      <c r="I5296" s="37" t="s">
        <v>233</v>
      </c>
      <c r="J5296" s="155" t="str">
        <f t="shared" si="11"/>
        <v>NTT</v>
      </c>
      <c r="K5296" s="22" t="s">
        <v>18434</v>
      </c>
      <c r="L5296" s="56">
        <v>45138</v>
      </c>
      <c r="P5296" s="40"/>
      <c r="Q5296" s="61"/>
      <c r="R5296" s="61"/>
      <c r="S5296" s="40"/>
      <c r="T5296" s="38"/>
      <c r="U5296" s="38"/>
      <c r="V5296" s="38"/>
      <c r="W5296" s="60"/>
      <c r="AB5296" s="42"/>
      <c r="AC5296" s="35"/>
      <c r="AD5296" s="38"/>
      <c r="AE5296" s="38"/>
      <c r="AF5296" s="38"/>
      <c r="AG5296" s="38"/>
      <c r="AH5296" s="60"/>
    </row>
    <row r="5297" spans="1:34" ht="15.75" customHeight="1">
      <c r="A5297" s="75">
        <v>2.7</v>
      </c>
      <c r="B5297" s="158" t="s">
        <v>18435</v>
      </c>
      <c r="C5297" s="37" t="s">
        <v>24</v>
      </c>
      <c r="D5297" s="20" t="s">
        <v>18436</v>
      </c>
      <c r="E5297" s="20" t="s">
        <v>18437</v>
      </c>
      <c r="F5297" s="19" t="s">
        <v>27</v>
      </c>
      <c r="G5297" s="19" t="s">
        <v>28</v>
      </c>
      <c r="H5297" s="37"/>
      <c r="I5297" s="37" t="s">
        <v>29</v>
      </c>
      <c r="J5297" s="155" t="str">
        <f t="shared" si="11"/>
        <v>TT</v>
      </c>
      <c r="K5297" s="22" t="s">
        <v>18438</v>
      </c>
      <c r="L5297" s="56">
        <v>45138</v>
      </c>
      <c r="P5297" s="40"/>
      <c r="Q5297" s="61"/>
      <c r="R5297" s="61"/>
      <c r="S5297" s="40"/>
      <c r="T5297" s="38"/>
      <c r="U5297" s="38"/>
      <c r="V5297" s="38"/>
      <c r="W5297" s="60"/>
      <c r="AB5297" s="42"/>
      <c r="AC5297" s="35"/>
      <c r="AD5297" s="38"/>
      <c r="AE5297" s="38"/>
      <c r="AF5297" s="38"/>
      <c r="AG5297" s="38"/>
      <c r="AH5297" s="60"/>
    </row>
    <row r="5298" spans="1:34" ht="15.75" customHeight="1">
      <c r="A5298" s="111" t="s">
        <v>82</v>
      </c>
      <c r="B5298" s="158" t="s">
        <v>18439</v>
      </c>
      <c r="C5298" s="37" t="s">
        <v>412</v>
      </c>
      <c r="D5298" s="20" t="s">
        <v>18440</v>
      </c>
      <c r="E5298" s="20" t="s">
        <v>18441</v>
      </c>
      <c r="F5298" s="19" t="s">
        <v>414</v>
      </c>
      <c r="G5298" s="19" t="s">
        <v>415</v>
      </c>
      <c r="H5298" s="37"/>
      <c r="I5298" s="37" t="s">
        <v>233</v>
      </c>
      <c r="J5298" s="155" t="str">
        <f t="shared" si="11"/>
        <v>NTT</v>
      </c>
      <c r="K5298" s="22" t="s">
        <v>18442</v>
      </c>
      <c r="L5298" s="56">
        <v>45138</v>
      </c>
      <c r="P5298" s="40"/>
      <c r="Q5298" s="61"/>
      <c r="R5298" s="61"/>
      <c r="S5298" s="40"/>
      <c r="T5298" s="38"/>
      <c r="U5298" s="38"/>
      <c r="V5298" s="38"/>
      <c r="W5298" s="60"/>
      <c r="AB5298" s="42"/>
      <c r="AC5298" s="35"/>
      <c r="AD5298" s="38"/>
      <c r="AE5298" s="38"/>
      <c r="AF5298" s="38"/>
      <c r="AG5298" s="38"/>
      <c r="AH5298" s="60"/>
    </row>
    <row r="5299" spans="1:34" ht="15.75" customHeight="1">
      <c r="A5299" s="112" t="s">
        <v>18443</v>
      </c>
      <c r="B5299" s="158" t="s">
        <v>18444</v>
      </c>
      <c r="C5299" s="37" t="s">
        <v>24</v>
      </c>
      <c r="D5299" s="20" t="s">
        <v>18445</v>
      </c>
      <c r="E5299" s="20" t="s">
        <v>18446</v>
      </c>
      <c r="F5299" s="19" t="s">
        <v>27</v>
      </c>
      <c r="G5299" s="19" t="s">
        <v>28</v>
      </c>
      <c r="H5299" s="19" t="s">
        <v>36</v>
      </c>
      <c r="I5299" s="37" t="s">
        <v>29</v>
      </c>
      <c r="J5299" s="155" t="str">
        <f t="shared" si="11"/>
        <v>TT</v>
      </c>
      <c r="K5299" s="22" t="s">
        <v>18447</v>
      </c>
      <c r="L5299" s="56">
        <v>45138</v>
      </c>
      <c r="P5299" s="40"/>
      <c r="Q5299" s="61"/>
      <c r="R5299" s="61"/>
      <c r="S5299" s="40"/>
      <c r="T5299" s="38"/>
      <c r="U5299" s="38"/>
      <c r="V5299" s="38"/>
      <c r="W5299" s="60"/>
      <c r="AB5299" s="42"/>
      <c r="AC5299" s="35"/>
      <c r="AD5299" s="38"/>
      <c r="AE5299" s="38"/>
      <c r="AF5299" s="38"/>
      <c r="AG5299" s="38"/>
      <c r="AH5299" s="60"/>
    </row>
    <row r="5300" spans="1:34" ht="15.75" customHeight="1">
      <c r="A5300" s="111" t="s">
        <v>92</v>
      </c>
      <c r="B5300" s="158" t="s">
        <v>18448</v>
      </c>
      <c r="C5300" s="37" t="s">
        <v>24</v>
      </c>
      <c r="D5300" s="20" t="s">
        <v>18449</v>
      </c>
      <c r="E5300" s="20" t="s">
        <v>18450</v>
      </c>
      <c r="F5300" s="19" t="s">
        <v>27</v>
      </c>
      <c r="G5300" s="19" t="s">
        <v>28</v>
      </c>
      <c r="H5300" s="19" t="s">
        <v>36</v>
      </c>
      <c r="I5300" s="37" t="s">
        <v>29</v>
      </c>
      <c r="J5300" s="155" t="str">
        <f t="shared" si="11"/>
        <v>TT</v>
      </c>
      <c r="K5300" s="22" t="s">
        <v>18451</v>
      </c>
      <c r="L5300" s="56">
        <v>45138</v>
      </c>
      <c r="P5300" s="40"/>
      <c r="Q5300" s="61"/>
      <c r="R5300" s="61"/>
      <c r="S5300" s="40"/>
      <c r="T5300" s="38"/>
      <c r="U5300" s="38"/>
      <c r="V5300" s="38"/>
      <c r="W5300" s="60"/>
      <c r="AB5300" s="42"/>
      <c r="AC5300" s="35"/>
      <c r="AD5300" s="38"/>
      <c r="AE5300" s="38"/>
      <c r="AF5300" s="38"/>
      <c r="AG5300" s="38"/>
      <c r="AH5300" s="60"/>
    </row>
    <row r="5301" spans="1:34" ht="15.75" customHeight="1">
      <c r="A5301" s="17">
        <v>249</v>
      </c>
      <c r="B5301" s="158" t="s">
        <v>18452</v>
      </c>
      <c r="C5301" s="37" t="s">
        <v>46</v>
      </c>
      <c r="D5301" s="20" t="s">
        <v>18453</v>
      </c>
      <c r="E5301" s="20" t="s">
        <v>18454</v>
      </c>
      <c r="F5301" s="37" t="s">
        <v>49</v>
      </c>
      <c r="G5301" s="19" t="s">
        <v>50</v>
      </c>
      <c r="H5301" s="37"/>
      <c r="I5301" s="37" t="s">
        <v>29</v>
      </c>
      <c r="J5301" s="155" t="str">
        <f t="shared" si="11"/>
        <v>TT</v>
      </c>
      <c r="K5301" s="22" t="s">
        <v>18455</v>
      </c>
      <c r="L5301" s="56">
        <v>45138</v>
      </c>
      <c r="P5301" s="40"/>
      <c r="Q5301" s="61"/>
      <c r="R5301" s="61"/>
      <c r="S5301" s="40"/>
      <c r="T5301" s="38"/>
      <c r="U5301" s="38"/>
      <c r="V5301" s="38"/>
      <c r="W5301" s="60"/>
      <c r="AB5301" s="42"/>
      <c r="AC5301" s="35"/>
      <c r="AD5301" s="38"/>
      <c r="AE5301" s="38"/>
      <c r="AF5301" s="38"/>
      <c r="AG5301" s="38"/>
      <c r="AH5301" s="60"/>
    </row>
    <row r="5302" spans="1:34" ht="15.75" customHeight="1">
      <c r="A5302" s="111" t="s">
        <v>100</v>
      </c>
      <c r="B5302" s="158" t="s">
        <v>18456</v>
      </c>
      <c r="C5302" s="37" t="s">
        <v>46</v>
      </c>
      <c r="D5302" s="20" t="s">
        <v>18457</v>
      </c>
      <c r="E5302" s="20" t="s">
        <v>18458</v>
      </c>
      <c r="F5302" s="37" t="s">
        <v>49</v>
      </c>
      <c r="G5302" s="19" t="s">
        <v>50</v>
      </c>
      <c r="H5302" s="37"/>
      <c r="I5302" s="37" t="s">
        <v>29</v>
      </c>
      <c r="J5302" s="155" t="str">
        <f t="shared" si="11"/>
        <v>TT</v>
      </c>
      <c r="K5302" s="22" t="s">
        <v>18459</v>
      </c>
      <c r="L5302" s="56">
        <v>45138</v>
      </c>
      <c r="P5302" s="40"/>
      <c r="Q5302" s="61"/>
      <c r="R5302" s="61"/>
      <c r="S5302" s="40"/>
      <c r="T5302" s="38"/>
      <c r="U5302" s="38"/>
      <c r="V5302" s="38"/>
      <c r="W5302" s="60"/>
      <c r="AB5302" s="42"/>
      <c r="AC5302" s="35"/>
      <c r="AD5302" s="38"/>
      <c r="AE5302" s="38"/>
      <c r="AF5302" s="38"/>
      <c r="AG5302" s="38"/>
      <c r="AH5302" s="60"/>
    </row>
    <row r="5303" spans="1:34" ht="15.75" customHeight="1">
      <c r="A5303" s="17">
        <v>157</v>
      </c>
      <c r="B5303" s="38"/>
      <c r="C5303" s="37"/>
      <c r="D5303" s="20"/>
      <c r="E5303" s="20"/>
      <c r="F5303" s="37"/>
      <c r="G5303" s="37"/>
      <c r="H5303" s="37"/>
      <c r="I5303" s="37"/>
      <c r="J5303" s="155">
        <f t="shared" si="11"/>
        <v>0</v>
      </c>
      <c r="K5303" s="22"/>
      <c r="L5303" s="56"/>
      <c r="P5303" s="40"/>
      <c r="Q5303" s="61"/>
      <c r="R5303" s="61"/>
      <c r="S5303" s="40"/>
      <c r="T5303" s="38"/>
      <c r="U5303" s="38"/>
      <c r="V5303" s="38"/>
      <c r="W5303" s="60"/>
      <c r="AB5303" s="42"/>
      <c r="AC5303" s="35"/>
      <c r="AD5303" s="38"/>
      <c r="AE5303" s="38"/>
      <c r="AF5303" s="38"/>
      <c r="AG5303" s="38"/>
      <c r="AH5303" s="60"/>
    </row>
    <row r="5304" spans="1:34" ht="15.75" customHeight="1">
      <c r="A5304" s="35"/>
      <c r="B5304" s="38"/>
      <c r="C5304" s="37"/>
      <c r="D5304" s="20"/>
      <c r="E5304" s="20"/>
      <c r="F5304" s="37"/>
      <c r="G5304" s="37"/>
      <c r="H5304" s="37"/>
      <c r="I5304" s="37"/>
      <c r="J5304" s="155">
        <f t="shared" si="11"/>
        <v>0</v>
      </c>
      <c r="K5304" s="22"/>
      <c r="L5304" s="56"/>
      <c r="P5304" s="40"/>
      <c r="Q5304" s="61"/>
      <c r="R5304" s="61"/>
      <c r="S5304" s="40"/>
      <c r="T5304" s="38"/>
      <c r="U5304" s="38"/>
      <c r="V5304" s="38"/>
      <c r="W5304" s="60"/>
      <c r="AB5304" s="42"/>
      <c r="AC5304" s="35"/>
      <c r="AD5304" s="38"/>
      <c r="AE5304" s="38"/>
      <c r="AF5304" s="38"/>
      <c r="AG5304" s="38"/>
      <c r="AH5304" s="60"/>
    </row>
    <row r="5305" spans="1:34" ht="15.75" customHeight="1">
      <c r="A5305" s="35" t="s">
        <v>18460</v>
      </c>
      <c r="B5305" s="78" t="s">
        <v>18461</v>
      </c>
      <c r="C5305" s="37" t="s">
        <v>87</v>
      </c>
      <c r="D5305" s="20" t="s">
        <v>18462</v>
      </c>
      <c r="E5305" s="20" t="s">
        <v>18463</v>
      </c>
      <c r="F5305" s="19" t="s">
        <v>90</v>
      </c>
      <c r="G5305" s="19" t="s">
        <v>91</v>
      </c>
      <c r="H5305" s="37"/>
      <c r="I5305" s="37" t="s">
        <v>29</v>
      </c>
      <c r="J5305" s="155" t="str">
        <f t="shared" si="11"/>
        <v>TT</v>
      </c>
      <c r="K5305" s="22" t="s">
        <v>18464</v>
      </c>
      <c r="L5305" s="56">
        <v>45138</v>
      </c>
      <c r="M5305" s="40"/>
      <c r="P5305" s="40"/>
      <c r="Q5305" s="61"/>
      <c r="R5305" s="61"/>
      <c r="S5305" s="40"/>
      <c r="T5305" s="38"/>
      <c r="U5305" s="38"/>
      <c r="V5305" s="38"/>
      <c r="W5305" s="60"/>
      <c r="AB5305" s="42"/>
      <c r="AC5305" s="35"/>
      <c r="AD5305" s="38"/>
      <c r="AE5305" s="38"/>
      <c r="AF5305" s="38"/>
      <c r="AG5305" s="38"/>
      <c r="AH5305" s="60"/>
    </row>
    <row r="5306" spans="1:34" ht="15.75" customHeight="1">
      <c r="A5306" s="54" t="s">
        <v>2714</v>
      </c>
      <c r="B5306" s="78" t="s">
        <v>18465</v>
      </c>
      <c r="C5306" s="37" t="s">
        <v>87</v>
      </c>
      <c r="D5306" s="20" t="s">
        <v>18466</v>
      </c>
      <c r="E5306" s="20" t="s">
        <v>18467</v>
      </c>
      <c r="F5306" s="19" t="s">
        <v>90</v>
      </c>
      <c r="G5306" s="19" t="s">
        <v>91</v>
      </c>
      <c r="H5306" s="37"/>
      <c r="I5306" s="37" t="s">
        <v>29</v>
      </c>
      <c r="J5306" s="155" t="str">
        <f t="shared" ref="J5306:J5325" si="12">IF(G5306="R","NA",I5306)</f>
        <v>TT</v>
      </c>
      <c r="K5306" s="22" t="s">
        <v>18468</v>
      </c>
      <c r="L5306" s="56">
        <v>45138</v>
      </c>
      <c r="P5306" s="40"/>
      <c r="Q5306" s="61"/>
      <c r="R5306" s="61"/>
      <c r="S5306" s="40"/>
      <c r="T5306" s="38"/>
      <c r="U5306" s="38"/>
      <c r="V5306" s="38"/>
      <c r="W5306" s="60"/>
      <c r="AB5306" s="42"/>
      <c r="AC5306" s="35"/>
      <c r="AD5306" s="38"/>
      <c r="AE5306" s="38"/>
      <c r="AF5306" s="38"/>
      <c r="AG5306" s="38"/>
      <c r="AH5306" s="60"/>
    </row>
    <row r="5307" spans="1:34" ht="15.75" customHeight="1">
      <c r="A5307" s="114" t="s">
        <v>39</v>
      </c>
      <c r="B5307" s="78" t="s">
        <v>18469</v>
      </c>
      <c r="C5307" s="37" t="s">
        <v>87</v>
      </c>
      <c r="D5307" s="20" t="s">
        <v>18470</v>
      </c>
      <c r="E5307" s="20" t="s">
        <v>18471</v>
      </c>
      <c r="F5307" s="19" t="s">
        <v>90</v>
      </c>
      <c r="G5307" s="19" t="s">
        <v>91</v>
      </c>
      <c r="H5307" s="37"/>
      <c r="I5307" s="37" t="s">
        <v>29</v>
      </c>
      <c r="J5307" s="155" t="str">
        <f t="shared" si="12"/>
        <v>TT</v>
      </c>
      <c r="K5307" s="22" t="s">
        <v>18472</v>
      </c>
      <c r="L5307" s="56">
        <v>45138</v>
      </c>
      <c r="P5307" s="40"/>
      <c r="Q5307" s="61"/>
      <c r="R5307" s="61"/>
      <c r="S5307" s="40"/>
      <c r="T5307" s="38"/>
      <c r="U5307" s="38"/>
      <c r="V5307" s="38"/>
      <c r="W5307" s="60"/>
      <c r="AB5307" s="42"/>
      <c r="AC5307" s="35"/>
      <c r="AD5307" s="38"/>
      <c r="AE5307" s="38"/>
      <c r="AF5307" s="38"/>
      <c r="AG5307" s="38"/>
      <c r="AH5307" s="60"/>
    </row>
    <row r="5308" spans="1:34" ht="15.75" customHeight="1">
      <c r="A5308" s="38" t="s">
        <v>17871</v>
      </c>
      <c r="B5308" s="78" t="s">
        <v>18473</v>
      </c>
      <c r="C5308" s="37" t="s">
        <v>87</v>
      </c>
      <c r="D5308" s="20" t="s">
        <v>18474</v>
      </c>
      <c r="E5308" s="20" t="s">
        <v>18475</v>
      </c>
      <c r="F5308" s="19" t="s">
        <v>90</v>
      </c>
      <c r="G5308" s="19" t="s">
        <v>91</v>
      </c>
      <c r="H5308" s="37"/>
      <c r="I5308" s="37" t="s">
        <v>29</v>
      </c>
      <c r="J5308" s="155" t="str">
        <f t="shared" si="12"/>
        <v>TT</v>
      </c>
      <c r="K5308" s="22" t="s">
        <v>18476</v>
      </c>
      <c r="L5308" s="56">
        <v>45138</v>
      </c>
      <c r="P5308" s="40"/>
      <c r="Q5308" s="61"/>
      <c r="R5308" s="61"/>
      <c r="S5308" s="40"/>
      <c r="T5308" s="38"/>
      <c r="U5308" s="38"/>
      <c r="V5308" s="38"/>
      <c r="W5308" s="60"/>
      <c r="AB5308" s="42"/>
      <c r="AC5308" s="35"/>
      <c r="AD5308" s="38"/>
      <c r="AE5308" s="38"/>
      <c r="AF5308" s="38"/>
      <c r="AG5308" s="38"/>
      <c r="AH5308" s="60"/>
    </row>
    <row r="5309" spans="1:34" ht="15.75" customHeight="1">
      <c r="A5309" s="75" t="s">
        <v>12680</v>
      </c>
      <c r="B5309" s="78" t="s">
        <v>18477</v>
      </c>
      <c r="C5309" s="37" t="s">
        <v>412</v>
      </c>
      <c r="D5309" s="20" t="s">
        <v>18478</v>
      </c>
      <c r="E5309" s="20" t="s">
        <v>18479</v>
      </c>
      <c r="F5309" s="19" t="s">
        <v>414</v>
      </c>
      <c r="G5309" s="37" t="s">
        <v>415</v>
      </c>
      <c r="H5309" s="37"/>
      <c r="I5309" s="37" t="s">
        <v>233</v>
      </c>
      <c r="J5309" s="155" t="str">
        <f t="shared" si="12"/>
        <v>NTT</v>
      </c>
      <c r="K5309" s="22" t="s">
        <v>18480</v>
      </c>
      <c r="L5309" s="56">
        <v>45138</v>
      </c>
      <c r="P5309" s="40"/>
      <c r="Q5309" s="61"/>
      <c r="R5309" s="61"/>
      <c r="S5309" s="40"/>
      <c r="T5309" s="38"/>
      <c r="U5309" s="38"/>
      <c r="V5309" s="38"/>
      <c r="W5309" s="60"/>
      <c r="AB5309" s="42"/>
      <c r="AC5309" s="35"/>
      <c r="AD5309" s="38"/>
      <c r="AE5309" s="38"/>
      <c r="AF5309" s="38"/>
      <c r="AG5309" s="38"/>
      <c r="AH5309" s="60"/>
    </row>
    <row r="5310" spans="1:34" ht="15.75" customHeight="1">
      <c r="A5310" s="50" t="s">
        <v>56</v>
      </c>
      <c r="B5310" s="78" t="s">
        <v>18481</v>
      </c>
      <c r="C5310" s="37" t="s">
        <v>24</v>
      </c>
      <c r="D5310" s="20" t="s">
        <v>18482</v>
      </c>
      <c r="E5310" s="20" t="s">
        <v>18483</v>
      </c>
      <c r="F5310" s="19" t="s">
        <v>27</v>
      </c>
      <c r="G5310" s="19" t="s">
        <v>28</v>
      </c>
      <c r="H5310" s="37"/>
      <c r="I5310" s="37" t="s">
        <v>29</v>
      </c>
      <c r="J5310" s="155" t="str">
        <f t="shared" si="12"/>
        <v>TT</v>
      </c>
      <c r="K5310" s="22" t="s">
        <v>18484</v>
      </c>
      <c r="L5310" s="56">
        <v>45138</v>
      </c>
      <c r="P5310" s="40"/>
      <c r="Q5310" s="61"/>
      <c r="R5310" s="61"/>
      <c r="S5310" s="40"/>
      <c r="T5310" s="38"/>
      <c r="U5310" s="38"/>
      <c r="V5310" s="38"/>
      <c r="W5310" s="60"/>
      <c r="AB5310" s="42"/>
      <c r="AC5310" s="35"/>
      <c r="AD5310" s="38"/>
      <c r="AE5310" s="38"/>
      <c r="AF5310" s="38"/>
      <c r="AG5310" s="38"/>
      <c r="AH5310" s="60"/>
    </row>
    <row r="5311" spans="1:34" ht="15.75" customHeight="1">
      <c r="A5311" s="17">
        <v>42</v>
      </c>
      <c r="B5311" s="78" t="s">
        <v>18485</v>
      </c>
      <c r="C5311" s="37" t="s">
        <v>1638</v>
      </c>
      <c r="D5311" s="20" t="s">
        <v>18486</v>
      </c>
      <c r="E5311" s="20" t="s">
        <v>18487</v>
      </c>
      <c r="F5311" s="37" t="s">
        <v>1399</v>
      </c>
      <c r="G5311" s="19" t="s">
        <v>1641</v>
      </c>
      <c r="H5311" s="37"/>
      <c r="I5311" s="21" t="s">
        <v>1371</v>
      </c>
      <c r="J5311" s="155" t="str">
        <f t="shared" si="12"/>
        <v>Other</v>
      </c>
      <c r="K5311" s="22" t="s">
        <v>18488</v>
      </c>
      <c r="L5311" s="56">
        <v>45138</v>
      </c>
      <c r="P5311" s="40"/>
      <c r="Q5311" s="61"/>
      <c r="R5311" s="61"/>
      <c r="S5311" s="40"/>
      <c r="T5311" s="38"/>
      <c r="U5311" s="38"/>
      <c r="V5311" s="38"/>
      <c r="W5311" s="60"/>
      <c r="AB5311" s="42"/>
      <c r="AC5311" s="35"/>
      <c r="AD5311" s="38"/>
      <c r="AE5311" s="38"/>
      <c r="AF5311" s="38"/>
      <c r="AG5311" s="38"/>
      <c r="AH5311" s="60"/>
    </row>
    <row r="5312" spans="1:34" ht="15.75" customHeight="1">
      <c r="A5312" s="111" t="s">
        <v>64</v>
      </c>
      <c r="B5312" s="78" t="s">
        <v>18489</v>
      </c>
      <c r="C5312" s="37" t="s">
        <v>87</v>
      </c>
      <c r="D5312" s="20" t="s">
        <v>18490</v>
      </c>
      <c r="E5312" s="20" t="s">
        <v>18491</v>
      </c>
      <c r="F5312" s="19" t="s">
        <v>90</v>
      </c>
      <c r="G5312" s="19" t="s">
        <v>91</v>
      </c>
      <c r="H5312" s="37"/>
      <c r="I5312" s="37" t="s">
        <v>29</v>
      </c>
      <c r="J5312" s="155" t="str">
        <f t="shared" si="12"/>
        <v>TT</v>
      </c>
      <c r="K5312" s="22" t="s">
        <v>18491</v>
      </c>
      <c r="L5312" s="56">
        <v>45138</v>
      </c>
      <c r="P5312" s="40"/>
      <c r="Q5312" s="61"/>
      <c r="R5312" s="61"/>
      <c r="S5312" s="40"/>
      <c r="T5312" s="38"/>
      <c r="U5312" s="38"/>
      <c r="V5312" s="38"/>
      <c r="W5312" s="60"/>
      <c r="AB5312" s="42"/>
      <c r="AC5312" s="35"/>
      <c r="AD5312" s="38"/>
      <c r="AE5312" s="38"/>
      <c r="AF5312" s="38"/>
      <c r="AG5312" s="38"/>
      <c r="AH5312" s="60"/>
    </row>
    <row r="5313" spans="1:34" ht="15.75" customHeight="1">
      <c r="A5313" s="75">
        <v>2.2000000000000002</v>
      </c>
      <c r="B5313" s="78" t="s">
        <v>18492</v>
      </c>
      <c r="C5313" s="37" t="s">
        <v>24</v>
      </c>
      <c r="D5313" s="20" t="s">
        <v>18493</v>
      </c>
      <c r="E5313" s="20" t="s">
        <v>18494</v>
      </c>
      <c r="F5313" s="19" t="s">
        <v>27</v>
      </c>
      <c r="G5313" s="19" t="s">
        <v>28</v>
      </c>
      <c r="H5313" s="37"/>
      <c r="I5313" s="37" t="s">
        <v>29</v>
      </c>
      <c r="J5313" s="155" t="str">
        <f t="shared" si="12"/>
        <v>TT</v>
      </c>
      <c r="K5313" s="22" t="s">
        <v>18495</v>
      </c>
      <c r="L5313" s="56">
        <v>45138</v>
      </c>
      <c r="P5313" s="40"/>
      <c r="Q5313" s="61"/>
      <c r="R5313" s="61"/>
      <c r="S5313" s="40"/>
      <c r="T5313" s="38"/>
      <c r="U5313" s="38"/>
      <c r="V5313" s="38"/>
      <c r="W5313" s="60"/>
      <c r="AB5313" s="42"/>
      <c r="AC5313" s="35"/>
      <c r="AD5313" s="38"/>
      <c r="AE5313" s="38"/>
      <c r="AF5313" s="38"/>
      <c r="AG5313" s="38"/>
      <c r="AH5313" s="60"/>
    </row>
    <row r="5314" spans="1:34" ht="15.75" customHeight="1">
      <c r="A5314" s="111" t="s">
        <v>73</v>
      </c>
      <c r="B5314" s="78" t="s">
        <v>18496</v>
      </c>
      <c r="C5314" s="37" t="s">
        <v>46</v>
      </c>
      <c r="D5314" s="20" t="s">
        <v>18497</v>
      </c>
      <c r="E5314" s="20" t="s">
        <v>18498</v>
      </c>
      <c r="F5314" s="37" t="s">
        <v>49</v>
      </c>
      <c r="G5314" s="19" t="s">
        <v>50</v>
      </c>
      <c r="H5314" s="37"/>
      <c r="I5314" s="37" t="s">
        <v>29</v>
      </c>
      <c r="J5314" s="155" t="str">
        <f t="shared" si="12"/>
        <v>TT</v>
      </c>
      <c r="K5314" s="22" t="s">
        <v>18499</v>
      </c>
      <c r="L5314" s="56">
        <v>45138</v>
      </c>
      <c r="P5314" s="40"/>
      <c r="Q5314" s="61"/>
      <c r="R5314" s="61"/>
      <c r="S5314" s="40"/>
      <c r="T5314" s="38"/>
      <c r="U5314" s="38"/>
      <c r="V5314" s="38"/>
      <c r="W5314" s="60"/>
      <c r="AB5314" s="42"/>
      <c r="AC5314" s="35"/>
      <c r="AD5314" s="38"/>
      <c r="AE5314" s="38"/>
      <c r="AF5314" s="38"/>
      <c r="AG5314" s="38"/>
      <c r="AH5314" s="60"/>
    </row>
    <row r="5315" spans="1:34" ht="15.75" customHeight="1">
      <c r="A5315" s="75">
        <v>2.6</v>
      </c>
      <c r="B5315" s="78" t="s">
        <v>18500</v>
      </c>
      <c r="C5315" s="37" t="s">
        <v>87</v>
      </c>
      <c r="D5315" s="20" t="s">
        <v>18501</v>
      </c>
      <c r="E5315" s="20" t="s">
        <v>18502</v>
      </c>
      <c r="F5315" s="19" t="s">
        <v>90</v>
      </c>
      <c r="G5315" s="19" t="s">
        <v>91</v>
      </c>
      <c r="H5315" s="37"/>
      <c r="I5315" s="37" t="s">
        <v>29</v>
      </c>
      <c r="J5315" s="155" t="str">
        <f t="shared" si="12"/>
        <v>TT</v>
      </c>
      <c r="K5315" s="22" t="s">
        <v>18503</v>
      </c>
      <c r="L5315" s="56">
        <v>45138</v>
      </c>
      <c r="P5315" s="40"/>
      <c r="Q5315" s="61"/>
      <c r="R5315" s="61"/>
      <c r="S5315" s="40"/>
      <c r="T5315" s="38"/>
      <c r="U5315" s="38"/>
      <c r="V5315" s="38"/>
      <c r="W5315" s="60"/>
      <c r="AB5315" s="42"/>
      <c r="AC5315" s="35"/>
      <c r="AD5315" s="38"/>
      <c r="AE5315" s="38"/>
      <c r="AF5315" s="38"/>
      <c r="AG5315" s="38"/>
      <c r="AH5315" s="60"/>
    </row>
    <row r="5316" spans="1:34" ht="15.75" customHeight="1">
      <c r="A5316" s="111" t="s">
        <v>82</v>
      </c>
      <c r="B5316" s="78" t="s">
        <v>18504</v>
      </c>
      <c r="C5316" s="37" t="s">
        <v>46</v>
      </c>
      <c r="D5316" s="20" t="s">
        <v>18505</v>
      </c>
      <c r="E5316" s="20" t="s">
        <v>18506</v>
      </c>
      <c r="F5316" s="37" t="s">
        <v>49</v>
      </c>
      <c r="G5316" s="19" t="s">
        <v>50</v>
      </c>
      <c r="H5316" s="37"/>
      <c r="I5316" s="37" t="s">
        <v>29</v>
      </c>
      <c r="J5316" s="155" t="str">
        <f t="shared" si="12"/>
        <v>TT</v>
      </c>
      <c r="K5316" s="22" t="s">
        <v>18507</v>
      </c>
      <c r="L5316" s="56">
        <v>45138</v>
      </c>
      <c r="P5316" s="40"/>
      <c r="Q5316" s="61"/>
      <c r="R5316" s="61"/>
      <c r="S5316" s="40"/>
      <c r="T5316" s="38"/>
      <c r="U5316" s="38"/>
      <c r="V5316" s="38"/>
      <c r="W5316" s="60"/>
      <c r="AB5316" s="42"/>
      <c r="AC5316" s="35"/>
      <c r="AD5316" s="38"/>
      <c r="AE5316" s="38"/>
      <c r="AF5316" s="38"/>
      <c r="AG5316" s="38"/>
      <c r="AH5316" s="60"/>
    </row>
    <row r="5317" spans="1:34" ht="15.75" customHeight="1">
      <c r="A5317" s="112" t="s">
        <v>18508</v>
      </c>
      <c r="B5317" s="78" t="s">
        <v>18509</v>
      </c>
      <c r="C5317" s="37" t="s">
        <v>1470</v>
      </c>
      <c r="D5317" s="20" t="s">
        <v>18510</v>
      </c>
      <c r="E5317" s="20"/>
      <c r="F5317" s="19" t="s">
        <v>3286</v>
      </c>
      <c r="G5317" s="37" t="s">
        <v>1461</v>
      </c>
      <c r="H5317" s="37"/>
      <c r="I5317" s="37" t="s">
        <v>233</v>
      </c>
      <c r="J5317" s="155" t="str">
        <f t="shared" si="12"/>
        <v>NTT</v>
      </c>
      <c r="K5317" s="22"/>
      <c r="L5317" s="56">
        <v>45138</v>
      </c>
      <c r="P5317" s="40"/>
      <c r="Q5317" s="61"/>
      <c r="R5317" s="61"/>
      <c r="S5317" s="40"/>
      <c r="T5317" s="38"/>
      <c r="U5317" s="38"/>
      <c r="V5317" s="38"/>
      <c r="W5317" s="60"/>
      <c r="AB5317" s="42"/>
      <c r="AC5317" s="35"/>
      <c r="AD5317" s="38"/>
      <c r="AE5317" s="38"/>
      <c r="AF5317" s="38"/>
      <c r="AG5317" s="38"/>
      <c r="AH5317" s="60"/>
    </row>
    <row r="5318" spans="1:34" ht="15.75" customHeight="1">
      <c r="A5318" s="111" t="s">
        <v>92</v>
      </c>
      <c r="B5318" s="78" t="s">
        <v>18511</v>
      </c>
      <c r="C5318" s="37" t="s">
        <v>412</v>
      </c>
      <c r="D5318" s="20" t="s">
        <v>18512</v>
      </c>
      <c r="E5318" s="20"/>
      <c r="F5318" s="19" t="s">
        <v>414</v>
      </c>
      <c r="G5318" s="19" t="s">
        <v>415</v>
      </c>
      <c r="H5318" s="37"/>
      <c r="I5318" s="37" t="s">
        <v>233</v>
      </c>
      <c r="J5318" s="155" t="str">
        <f t="shared" si="12"/>
        <v>NTT</v>
      </c>
      <c r="K5318" s="22"/>
      <c r="L5318" s="56">
        <v>45138</v>
      </c>
      <c r="P5318" s="40"/>
      <c r="Q5318" s="61"/>
      <c r="R5318" s="61"/>
      <c r="S5318" s="40"/>
      <c r="T5318" s="38"/>
      <c r="U5318" s="38"/>
      <c r="V5318" s="38"/>
      <c r="W5318" s="60"/>
      <c r="AB5318" s="42"/>
      <c r="AC5318" s="35"/>
      <c r="AD5318" s="38"/>
      <c r="AE5318" s="38"/>
      <c r="AF5318" s="38"/>
      <c r="AG5318" s="38"/>
      <c r="AH5318" s="60"/>
    </row>
    <row r="5319" spans="1:34" ht="15.75" customHeight="1">
      <c r="A5319" s="17">
        <v>299</v>
      </c>
      <c r="B5319" s="78" t="s">
        <v>18513</v>
      </c>
      <c r="C5319" s="37" t="s">
        <v>87</v>
      </c>
      <c r="D5319" s="20" t="s">
        <v>18514</v>
      </c>
      <c r="E5319" s="20" t="s">
        <v>18515</v>
      </c>
      <c r="F5319" s="19" t="s">
        <v>90</v>
      </c>
      <c r="G5319" s="19" t="s">
        <v>91</v>
      </c>
      <c r="H5319" s="37"/>
      <c r="I5319" s="37" t="s">
        <v>29</v>
      </c>
      <c r="J5319" s="155" t="str">
        <f t="shared" si="12"/>
        <v>TT</v>
      </c>
      <c r="K5319" s="22" t="s">
        <v>18516</v>
      </c>
      <c r="L5319" s="56">
        <v>45138</v>
      </c>
      <c r="P5319" s="40"/>
      <c r="Q5319" s="61"/>
      <c r="R5319" s="61"/>
      <c r="S5319" s="40"/>
      <c r="T5319" s="38"/>
      <c r="U5319" s="38"/>
      <c r="V5319" s="38"/>
      <c r="W5319" s="60"/>
      <c r="AB5319" s="42"/>
      <c r="AC5319" s="35"/>
      <c r="AD5319" s="38"/>
      <c r="AE5319" s="38"/>
      <c r="AF5319" s="38"/>
      <c r="AG5319" s="38"/>
      <c r="AH5319" s="60"/>
    </row>
    <row r="5320" spans="1:34" ht="15.75" customHeight="1">
      <c r="A5320" s="111" t="s">
        <v>100</v>
      </c>
      <c r="B5320" s="78" t="s">
        <v>18517</v>
      </c>
      <c r="C5320" s="37" t="s">
        <v>46</v>
      </c>
      <c r="D5320" s="20" t="s">
        <v>18518</v>
      </c>
      <c r="E5320" s="20" t="s">
        <v>18519</v>
      </c>
      <c r="F5320" s="37" t="s">
        <v>49</v>
      </c>
      <c r="G5320" s="19" t="s">
        <v>50</v>
      </c>
      <c r="H5320" s="37"/>
      <c r="I5320" s="37" t="s">
        <v>29</v>
      </c>
      <c r="J5320" s="155" t="str">
        <f t="shared" si="12"/>
        <v>TT</v>
      </c>
      <c r="K5320" s="22" t="s">
        <v>18520</v>
      </c>
      <c r="L5320" s="56">
        <v>45138</v>
      </c>
      <c r="P5320" s="40"/>
      <c r="Q5320" s="61"/>
      <c r="R5320" s="61"/>
      <c r="S5320" s="40"/>
      <c r="T5320" s="38"/>
      <c r="U5320" s="38"/>
      <c r="V5320" s="38"/>
      <c r="W5320" s="60"/>
      <c r="AB5320" s="42"/>
      <c r="AC5320" s="35"/>
      <c r="AD5320" s="38"/>
      <c r="AE5320" s="38"/>
      <c r="AF5320" s="38"/>
      <c r="AG5320" s="38"/>
      <c r="AH5320" s="60"/>
    </row>
    <row r="5321" spans="1:34" ht="15.75" customHeight="1">
      <c r="A5321" s="17">
        <v>162</v>
      </c>
      <c r="B5321" s="81" t="s">
        <v>18521</v>
      </c>
      <c r="C5321" s="37" t="s">
        <v>24</v>
      </c>
      <c r="D5321" s="20" t="s">
        <v>18522</v>
      </c>
      <c r="E5321" s="20" t="s">
        <v>18523</v>
      </c>
      <c r="F5321" s="19" t="s">
        <v>27</v>
      </c>
      <c r="G5321" s="19" t="s">
        <v>28</v>
      </c>
      <c r="H5321" s="19" t="s">
        <v>36</v>
      </c>
      <c r="I5321" s="37" t="s">
        <v>29</v>
      </c>
      <c r="J5321" s="155" t="str">
        <f t="shared" si="12"/>
        <v>TT</v>
      </c>
      <c r="K5321" s="22" t="s">
        <v>18524</v>
      </c>
      <c r="L5321" s="56">
        <v>45138</v>
      </c>
      <c r="P5321" s="40"/>
      <c r="Q5321" s="61"/>
      <c r="R5321" s="61"/>
      <c r="S5321" s="40"/>
      <c r="T5321" s="38"/>
      <c r="U5321" s="38"/>
      <c r="V5321" s="38"/>
      <c r="W5321" s="60"/>
      <c r="AB5321" s="42"/>
      <c r="AC5321" s="35"/>
      <c r="AD5321" s="38"/>
      <c r="AE5321" s="38"/>
      <c r="AF5321" s="38"/>
      <c r="AG5321" s="38"/>
      <c r="AH5321" s="60"/>
    </row>
    <row r="5322" spans="1:34" ht="15.75" customHeight="1">
      <c r="A5322" s="35"/>
      <c r="B5322" s="78" t="s">
        <v>18525</v>
      </c>
      <c r="C5322" s="37" t="s">
        <v>87</v>
      </c>
      <c r="D5322" s="20" t="s">
        <v>18526</v>
      </c>
      <c r="E5322" s="20"/>
      <c r="F5322" s="19" t="s">
        <v>90</v>
      </c>
      <c r="G5322" s="19" t="s">
        <v>91</v>
      </c>
      <c r="H5322" s="37"/>
      <c r="I5322" s="37" t="s">
        <v>29</v>
      </c>
      <c r="J5322" s="155" t="str">
        <f t="shared" si="12"/>
        <v>TT</v>
      </c>
      <c r="K5322" s="22"/>
      <c r="L5322" s="56">
        <v>45138</v>
      </c>
      <c r="P5322" s="40"/>
      <c r="Q5322" s="61"/>
      <c r="R5322" s="61"/>
      <c r="S5322" s="40"/>
      <c r="T5322" s="38"/>
      <c r="U5322" s="38"/>
      <c r="V5322" s="38"/>
      <c r="W5322" s="60"/>
      <c r="AB5322" s="42"/>
      <c r="AC5322" s="35"/>
      <c r="AD5322" s="38"/>
      <c r="AE5322" s="38"/>
      <c r="AF5322" s="38"/>
      <c r="AG5322" s="38"/>
      <c r="AH5322" s="60"/>
    </row>
    <row r="5323" spans="1:34" ht="15.75" customHeight="1">
      <c r="A5323" s="270"/>
      <c r="B5323" s="78" t="s">
        <v>1267</v>
      </c>
      <c r="C5323" s="37" t="s">
        <v>87</v>
      </c>
      <c r="D5323" s="20" t="s">
        <v>18527</v>
      </c>
      <c r="E5323" s="20" t="s">
        <v>18528</v>
      </c>
      <c r="F5323" s="19" t="s">
        <v>90</v>
      </c>
      <c r="G5323" s="19" t="s">
        <v>91</v>
      </c>
      <c r="H5323" s="37"/>
      <c r="I5323" s="37" t="s">
        <v>29</v>
      </c>
      <c r="J5323" s="155" t="str">
        <f t="shared" si="12"/>
        <v>TT</v>
      </c>
      <c r="K5323" s="22" t="s">
        <v>18529</v>
      </c>
      <c r="L5323" s="56">
        <v>45138</v>
      </c>
      <c r="P5323" s="40"/>
      <c r="Q5323" s="61"/>
      <c r="R5323" s="61"/>
      <c r="S5323" s="40"/>
      <c r="T5323" s="38"/>
      <c r="U5323" s="38"/>
      <c r="V5323" s="38"/>
      <c r="W5323" s="60"/>
      <c r="AB5323" s="42"/>
      <c r="AC5323" s="35"/>
      <c r="AD5323" s="38"/>
      <c r="AE5323" s="38"/>
      <c r="AF5323" s="38"/>
      <c r="AG5323" s="38"/>
      <c r="AH5323" s="60"/>
    </row>
    <row r="5324" spans="1:34" ht="15.75" customHeight="1">
      <c r="A5324" s="271"/>
      <c r="B5324" s="78" t="s">
        <v>18530</v>
      </c>
      <c r="C5324" s="37" t="s">
        <v>46</v>
      </c>
      <c r="D5324" s="20" t="s">
        <v>18531</v>
      </c>
      <c r="E5324" s="20" t="s">
        <v>18532</v>
      </c>
      <c r="F5324" s="37" t="s">
        <v>49</v>
      </c>
      <c r="G5324" s="19" t="s">
        <v>50</v>
      </c>
      <c r="H5324" s="37"/>
      <c r="I5324" s="37" t="s">
        <v>29</v>
      </c>
      <c r="J5324" s="155" t="str">
        <f t="shared" si="12"/>
        <v>TT</v>
      </c>
      <c r="K5324" s="22" t="s">
        <v>18533</v>
      </c>
      <c r="L5324" s="56">
        <v>45138</v>
      </c>
      <c r="P5324" s="40"/>
      <c r="Q5324" s="61"/>
      <c r="R5324" s="61"/>
      <c r="S5324" s="40"/>
      <c r="T5324" s="38"/>
      <c r="U5324" s="38"/>
      <c r="V5324" s="38"/>
      <c r="W5324" s="60"/>
      <c r="AB5324" s="42"/>
      <c r="AC5324" s="35"/>
      <c r="AD5324" s="38"/>
      <c r="AE5324" s="38"/>
      <c r="AF5324" s="38"/>
      <c r="AG5324" s="38"/>
      <c r="AH5324" s="60"/>
    </row>
    <row r="5325" spans="1:34" ht="15.75" customHeight="1">
      <c r="A5325" s="272"/>
      <c r="B5325" s="38"/>
      <c r="C5325" s="37"/>
      <c r="D5325" s="20"/>
      <c r="E5325" s="20"/>
      <c r="F5325" s="37"/>
      <c r="G5325" s="37"/>
      <c r="H5325" s="37"/>
      <c r="I5325" s="37"/>
      <c r="J5325" s="155">
        <f t="shared" si="12"/>
        <v>0</v>
      </c>
      <c r="K5325" s="22"/>
      <c r="L5325" s="56"/>
      <c r="P5325" s="40"/>
      <c r="Q5325" s="61"/>
      <c r="R5325" s="61"/>
      <c r="S5325" s="40"/>
      <c r="T5325" s="38"/>
      <c r="U5325" s="38"/>
      <c r="V5325" s="38"/>
      <c r="W5325" s="60"/>
      <c r="AB5325" s="42"/>
      <c r="AC5325" s="35"/>
      <c r="AD5325" s="38"/>
      <c r="AE5325" s="38"/>
      <c r="AF5325" s="38"/>
      <c r="AG5325" s="38"/>
      <c r="AH5325" s="60"/>
    </row>
    <row r="5326" spans="1:34" ht="15.75" customHeight="1">
      <c r="A5326" s="54" t="s">
        <v>18534</v>
      </c>
      <c r="B5326" s="41"/>
      <c r="C5326" s="188"/>
      <c r="D5326" s="107"/>
      <c r="E5326" s="107"/>
      <c r="F5326" s="188"/>
      <c r="G5326" s="188"/>
      <c r="H5326" s="188"/>
      <c r="I5326" s="106"/>
      <c r="J5326" s="106"/>
      <c r="K5326" s="109"/>
      <c r="L5326" s="273"/>
      <c r="M5326" s="40"/>
      <c r="P5326" s="40"/>
      <c r="Q5326" s="61"/>
      <c r="R5326" s="61"/>
      <c r="S5326" s="40"/>
      <c r="T5326" s="38"/>
      <c r="U5326" s="38"/>
      <c r="V5326" s="38"/>
      <c r="W5326" s="60"/>
      <c r="AB5326" s="42"/>
      <c r="AC5326" s="35"/>
      <c r="AD5326" s="38"/>
      <c r="AE5326" s="38"/>
      <c r="AF5326" s="38"/>
      <c r="AG5326" s="38"/>
      <c r="AH5326" s="60"/>
    </row>
    <row r="5327" spans="1:34" ht="15.75" customHeight="1">
      <c r="A5327" s="54" t="s">
        <v>18535</v>
      </c>
      <c r="B5327" s="41"/>
      <c r="C5327" s="188"/>
      <c r="D5327" s="107"/>
      <c r="E5327" s="107"/>
      <c r="F5327" s="188"/>
      <c r="G5327" s="188"/>
      <c r="H5327" s="188"/>
      <c r="I5327" s="106"/>
      <c r="J5327" s="106"/>
      <c r="K5327" s="109"/>
      <c r="L5327" s="273"/>
      <c r="P5327" s="40"/>
      <c r="Q5327" s="61"/>
      <c r="R5327" s="61"/>
      <c r="S5327" s="40"/>
      <c r="T5327" s="38"/>
      <c r="U5327" s="38"/>
      <c r="V5327" s="38"/>
      <c r="W5327" s="60"/>
      <c r="AB5327" s="42"/>
      <c r="AC5327" s="35"/>
      <c r="AD5327" s="38"/>
      <c r="AE5327" s="38"/>
      <c r="AF5327" s="38"/>
      <c r="AG5327" s="38"/>
      <c r="AH5327" s="60"/>
    </row>
    <row r="5328" spans="1:34" ht="15.75" customHeight="1">
      <c r="A5328" s="114" t="s">
        <v>39</v>
      </c>
      <c r="B5328" s="41"/>
      <c r="C5328" s="188"/>
      <c r="D5328" s="107"/>
      <c r="E5328" s="107"/>
      <c r="F5328" s="188"/>
      <c r="G5328" s="188"/>
      <c r="H5328" s="188"/>
      <c r="I5328" s="106"/>
      <c r="J5328" s="106"/>
      <c r="K5328" s="109"/>
      <c r="L5328" s="273"/>
      <c r="P5328" s="40"/>
      <c r="Q5328" s="61"/>
      <c r="R5328" s="61"/>
      <c r="S5328" s="40"/>
      <c r="T5328" s="38"/>
      <c r="U5328" s="38"/>
      <c r="V5328" s="38"/>
      <c r="W5328" s="60"/>
      <c r="AB5328" s="42"/>
      <c r="AC5328" s="35"/>
      <c r="AD5328" s="38"/>
      <c r="AE5328" s="38"/>
      <c r="AF5328" s="38"/>
      <c r="AG5328" s="38"/>
      <c r="AH5328" s="60"/>
    </row>
    <row r="5329" spans="1:34" ht="15.75" customHeight="1">
      <c r="A5329" s="38" t="s">
        <v>17871</v>
      </c>
      <c r="B5329" s="41"/>
      <c r="C5329" s="188"/>
      <c r="D5329" s="107"/>
      <c r="E5329" s="107"/>
      <c r="F5329" s="188"/>
      <c r="G5329" s="188"/>
      <c r="H5329" s="188"/>
      <c r="I5329" s="106"/>
      <c r="J5329" s="106"/>
      <c r="K5329" s="109"/>
      <c r="L5329" s="273"/>
      <c r="P5329" s="40"/>
      <c r="Q5329" s="61"/>
      <c r="R5329" s="61"/>
      <c r="S5329" s="40"/>
      <c r="T5329" s="38"/>
      <c r="U5329" s="38"/>
      <c r="V5329" s="38"/>
      <c r="W5329" s="60"/>
      <c r="AB5329" s="42"/>
      <c r="AC5329" s="35"/>
      <c r="AD5329" s="38"/>
      <c r="AE5329" s="38"/>
      <c r="AF5329" s="38"/>
      <c r="AG5329" s="38"/>
      <c r="AH5329" s="60"/>
    </row>
    <row r="5330" spans="1:34" ht="15.75" customHeight="1">
      <c r="A5330" s="75" t="s">
        <v>16029</v>
      </c>
      <c r="B5330" s="41"/>
      <c r="C5330" s="188"/>
      <c r="D5330" s="107"/>
      <c r="E5330" s="107"/>
      <c r="F5330" s="188"/>
      <c r="G5330" s="188"/>
      <c r="H5330" s="188"/>
      <c r="I5330" s="106"/>
      <c r="J5330" s="106"/>
      <c r="K5330" s="109"/>
      <c r="L5330" s="273"/>
      <c r="P5330" s="40"/>
      <c r="Q5330" s="61"/>
      <c r="R5330" s="61"/>
      <c r="S5330" s="40"/>
      <c r="T5330" s="38"/>
      <c r="U5330" s="38"/>
      <c r="V5330" s="38"/>
      <c r="W5330" s="60"/>
      <c r="AB5330" s="42"/>
      <c r="AC5330" s="35"/>
      <c r="AD5330" s="38"/>
      <c r="AE5330" s="38"/>
      <c r="AF5330" s="38"/>
      <c r="AG5330" s="38"/>
      <c r="AH5330" s="60"/>
    </row>
    <row r="5331" spans="1:34" ht="15.75" customHeight="1">
      <c r="A5331" s="50" t="s">
        <v>56</v>
      </c>
      <c r="B5331" s="41"/>
      <c r="C5331" s="188"/>
      <c r="D5331" s="107"/>
      <c r="E5331" s="107"/>
      <c r="F5331" s="188"/>
      <c r="G5331" s="188"/>
      <c r="H5331" s="188"/>
      <c r="I5331" s="106"/>
      <c r="J5331" s="106"/>
      <c r="K5331" s="109"/>
      <c r="L5331" s="273"/>
      <c r="P5331" s="40"/>
      <c r="Q5331" s="61"/>
      <c r="R5331" s="61"/>
      <c r="S5331" s="40"/>
      <c r="T5331" s="38"/>
      <c r="U5331" s="38"/>
      <c r="V5331" s="38"/>
      <c r="W5331" s="60"/>
      <c r="AB5331" s="42"/>
      <c r="AC5331" s="35"/>
      <c r="AD5331" s="38"/>
      <c r="AE5331" s="38"/>
      <c r="AF5331" s="38"/>
      <c r="AG5331" s="38"/>
      <c r="AH5331" s="60"/>
    </row>
    <row r="5332" spans="1:34" ht="15.75" customHeight="1">
      <c r="A5332" s="17">
        <v>34</v>
      </c>
      <c r="B5332" s="41"/>
      <c r="C5332" s="188"/>
      <c r="D5332" s="107"/>
      <c r="E5332" s="107"/>
      <c r="F5332" s="188"/>
      <c r="G5332" s="188"/>
      <c r="H5332" s="188"/>
      <c r="I5332" s="106"/>
      <c r="J5332" s="106"/>
      <c r="K5332" s="109"/>
      <c r="L5332" s="273"/>
      <c r="P5332" s="40"/>
      <c r="Q5332" s="61"/>
      <c r="R5332" s="61"/>
      <c r="S5332" s="40"/>
      <c r="T5332" s="38"/>
      <c r="U5332" s="38"/>
      <c r="V5332" s="38"/>
      <c r="W5332" s="60"/>
      <c r="AB5332" s="42"/>
      <c r="AC5332" s="35"/>
      <c r="AD5332" s="38"/>
      <c r="AE5332" s="38"/>
      <c r="AF5332" s="38"/>
      <c r="AG5332" s="38"/>
      <c r="AH5332" s="60"/>
    </row>
    <row r="5333" spans="1:34" ht="15.75" customHeight="1">
      <c r="A5333" s="111" t="s">
        <v>64</v>
      </c>
      <c r="B5333" s="41"/>
      <c r="C5333" s="188"/>
      <c r="D5333" s="107"/>
      <c r="E5333" s="107"/>
      <c r="F5333" s="188"/>
      <c r="G5333" s="188"/>
      <c r="H5333" s="188"/>
      <c r="I5333" s="106"/>
      <c r="J5333" s="106"/>
      <c r="K5333" s="109"/>
      <c r="L5333" s="273"/>
      <c r="P5333" s="40"/>
      <c r="Q5333" s="61"/>
      <c r="R5333" s="61"/>
      <c r="S5333" s="40"/>
      <c r="T5333" s="38"/>
      <c r="U5333" s="38"/>
      <c r="V5333" s="38"/>
      <c r="W5333" s="60"/>
      <c r="AB5333" s="42"/>
      <c r="AC5333" s="35"/>
      <c r="AD5333" s="38"/>
      <c r="AE5333" s="38"/>
      <c r="AF5333" s="38"/>
      <c r="AG5333" s="38"/>
      <c r="AH5333" s="60"/>
    </row>
    <row r="5334" spans="1:34" ht="15.75" customHeight="1">
      <c r="A5334" s="75">
        <v>2</v>
      </c>
      <c r="B5334" s="41"/>
      <c r="C5334" s="188"/>
      <c r="D5334" s="107"/>
      <c r="E5334" s="107"/>
      <c r="F5334" s="188"/>
      <c r="G5334" s="188"/>
      <c r="H5334" s="188"/>
      <c r="I5334" s="106"/>
      <c r="J5334" s="106"/>
      <c r="K5334" s="109"/>
      <c r="L5334" s="273"/>
      <c r="P5334" s="40"/>
      <c r="Q5334" s="61"/>
      <c r="R5334" s="61"/>
      <c r="S5334" s="40"/>
      <c r="T5334" s="38"/>
      <c r="U5334" s="38"/>
      <c r="V5334" s="38"/>
      <c r="W5334" s="60"/>
      <c r="AB5334" s="42"/>
      <c r="AC5334" s="35"/>
      <c r="AD5334" s="38"/>
      <c r="AE5334" s="38"/>
      <c r="AF5334" s="38"/>
      <c r="AG5334" s="38"/>
      <c r="AH5334" s="60"/>
    </row>
    <row r="5335" spans="1:34" ht="15.75" customHeight="1">
      <c r="A5335" s="111" t="s">
        <v>73</v>
      </c>
      <c r="B5335" s="41"/>
      <c r="C5335" s="188"/>
      <c r="D5335" s="107"/>
      <c r="E5335" s="107"/>
      <c r="F5335" s="188"/>
      <c r="G5335" s="188"/>
      <c r="H5335" s="188"/>
      <c r="I5335" s="106"/>
      <c r="J5335" s="106"/>
      <c r="K5335" s="109"/>
      <c r="L5335" s="273"/>
      <c r="P5335" s="40"/>
      <c r="Q5335" s="61"/>
      <c r="R5335" s="61"/>
      <c r="S5335" s="40"/>
      <c r="T5335" s="38"/>
      <c r="U5335" s="38"/>
      <c r="V5335" s="38"/>
      <c r="W5335" s="60"/>
      <c r="AB5335" s="42"/>
      <c r="AC5335" s="35"/>
      <c r="AD5335" s="38"/>
      <c r="AE5335" s="38"/>
      <c r="AF5335" s="38"/>
      <c r="AG5335" s="38"/>
      <c r="AH5335" s="60"/>
    </row>
    <row r="5336" spans="1:34" ht="15.75" customHeight="1">
      <c r="A5336" s="75">
        <v>2.6</v>
      </c>
      <c r="B5336" s="41"/>
      <c r="C5336" s="188"/>
      <c r="D5336" s="107"/>
      <c r="E5336" s="107"/>
      <c r="F5336" s="188"/>
      <c r="G5336" s="188"/>
      <c r="H5336" s="188"/>
      <c r="I5336" s="106"/>
      <c r="J5336" s="106"/>
      <c r="K5336" s="109"/>
      <c r="L5336" s="273"/>
      <c r="P5336" s="40"/>
      <c r="Q5336" s="61"/>
      <c r="R5336" s="61"/>
      <c r="S5336" s="40"/>
      <c r="T5336" s="38"/>
      <c r="U5336" s="38"/>
      <c r="V5336" s="38"/>
      <c r="W5336" s="60"/>
      <c r="AB5336" s="42"/>
      <c r="AC5336" s="35"/>
      <c r="AD5336" s="38"/>
      <c r="AE5336" s="38"/>
      <c r="AF5336" s="38"/>
      <c r="AG5336" s="38"/>
      <c r="AH5336" s="60"/>
    </row>
    <row r="5337" spans="1:34" ht="15.75" customHeight="1">
      <c r="A5337" s="111" t="s">
        <v>82</v>
      </c>
      <c r="B5337" s="41"/>
      <c r="C5337" s="188"/>
      <c r="D5337" s="107"/>
      <c r="E5337" s="107"/>
      <c r="F5337" s="188"/>
      <c r="G5337" s="188"/>
      <c r="H5337" s="188"/>
      <c r="I5337" s="106"/>
      <c r="J5337" s="106"/>
      <c r="K5337" s="109"/>
      <c r="L5337" s="273"/>
      <c r="P5337" s="40"/>
      <c r="Q5337" s="61"/>
      <c r="R5337" s="61"/>
      <c r="S5337" s="40"/>
      <c r="T5337" s="38"/>
      <c r="U5337" s="38"/>
      <c r="V5337" s="38"/>
      <c r="W5337" s="60"/>
      <c r="AB5337" s="42"/>
      <c r="AC5337" s="35"/>
      <c r="AD5337" s="38"/>
      <c r="AE5337" s="38"/>
      <c r="AF5337" s="38"/>
      <c r="AG5337" s="38"/>
      <c r="AH5337" s="60"/>
    </row>
    <row r="5338" spans="1:34" ht="15.75" customHeight="1">
      <c r="A5338" s="75" t="s">
        <v>18536</v>
      </c>
      <c r="B5338" s="41"/>
      <c r="C5338" s="188"/>
      <c r="D5338" s="107"/>
      <c r="E5338" s="107"/>
      <c r="F5338" s="188"/>
      <c r="G5338" s="188"/>
      <c r="H5338" s="188"/>
      <c r="I5338" s="106"/>
      <c r="J5338" s="106"/>
      <c r="K5338" s="109"/>
      <c r="L5338" s="273"/>
      <c r="P5338" s="40"/>
      <c r="Q5338" s="61"/>
      <c r="R5338" s="61"/>
      <c r="S5338" s="40"/>
      <c r="T5338" s="38"/>
      <c r="U5338" s="38"/>
      <c r="V5338" s="38"/>
      <c r="W5338" s="60"/>
      <c r="AB5338" s="42"/>
      <c r="AC5338" s="35"/>
      <c r="AD5338" s="38"/>
      <c r="AE5338" s="38"/>
      <c r="AF5338" s="38"/>
      <c r="AG5338" s="38"/>
      <c r="AH5338" s="60"/>
    </row>
    <row r="5339" spans="1:34" ht="15.75" customHeight="1">
      <c r="A5339" s="111" t="s">
        <v>92</v>
      </c>
      <c r="B5339" s="41"/>
      <c r="C5339" s="188"/>
      <c r="D5339" s="107"/>
      <c r="E5339" s="107"/>
      <c r="F5339" s="188"/>
      <c r="G5339" s="188"/>
      <c r="H5339" s="188"/>
      <c r="I5339" s="106"/>
      <c r="J5339" s="106"/>
      <c r="K5339" s="109"/>
      <c r="L5339" s="273"/>
      <c r="P5339" s="40"/>
      <c r="Q5339" s="61"/>
      <c r="R5339" s="61"/>
      <c r="S5339" s="40"/>
      <c r="T5339" s="38"/>
      <c r="U5339" s="38"/>
      <c r="V5339" s="38"/>
      <c r="W5339" s="60"/>
      <c r="AB5339" s="42"/>
      <c r="AC5339" s="35"/>
      <c r="AD5339" s="38"/>
      <c r="AE5339" s="38"/>
      <c r="AF5339" s="38"/>
      <c r="AG5339" s="38"/>
      <c r="AH5339" s="60"/>
    </row>
    <row r="5340" spans="1:34" ht="15.75" customHeight="1">
      <c r="A5340" s="112">
        <v>143</v>
      </c>
      <c r="B5340" s="41"/>
      <c r="C5340" s="188"/>
      <c r="D5340" s="107"/>
      <c r="E5340" s="107"/>
      <c r="F5340" s="188"/>
      <c r="G5340" s="188"/>
      <c r="H5340" s="188"/>
      <c r="I5340" s="106"/>
      <c r="J5340" s="106"/>
      <c r="K5340" s="109"/>
      <c r="L5340" s="273"/>
      <c r="P5340" s="40"/>
      <c r="Q5340" s="61"/>
      <c r="R5340" s="61"/>
      <c r="S5340" s="40"/>
      <c r="T5340" s="38"/>
      <c r="U5340" s="38"/>
      <c r="V5340" s="38"/>
      <c r="W5340" s="60"/>
      <c r="AB5340" s="42"/>
      <c r="AC5340" s="35"/>
      <c r="AD5340" s="38"/>
      <c r="AE5340" s="38"/>
      <c r="AF5340" s="38"/>
      <c r="AG5340" s="38"/>
      <c r="AH5340" s="60"/>
    </row>
    <row r="5341" spans="1:34" ht="15.75" customHeight="1">
      <c r="A5341" s="111" t="s">
        <v>100</v>
      </c>
      <c r="B5341" s="41"/>
      <c r="C5341" s="188"/>
      <c r="D5341" s="107"/>
      <c r="E5341" s="107"/>
      <c r="F5341" s="188"/>
      <c r="G5341" s="188"/>
      <c r="H5341" s="188"/>
      <c r="I5341" s="106"/>
      <c r="J5341" s="106"/>
      <c r="K5341" s="109"/>
      <c r="L5341" s="273"/>
      <c r="P5341" s="40"/>
      <c r="Q5341" s="61"/>
      <c r="R5341" s="61"/>
      <c r="S5341" s="40"/>
      <c r="T5341" s="38"/>
      <c r="U5341" s="38"/>
      <c r="V5341" s="38"/>
      <c r="W5341" s="60"/>
      <c r="AB5341" s="42"/>
      <c r="AC5341" s="35"/>
      <c r="AD5341" s="38"/>
      <c r="AE5341" s="38"/>
      <c r="AF5341" s="38"/>
      <c r="AG5341" s="38"/>
      <c r="AH5341" s="60"/>
    </row>
    <row r="5342" spans="1:34" ht="15.75" customHeight="1">
      <c r="A5342" s="75">
        <v>161</v>
      </c>
      <c r="B5342" s="41"/>
      <c r="C5342" s="188"/>
      <c r="D5342" s="107"/>
      <c r="E5342" s="107"/>
      <c r="F5342" s="188"/>
      <c r="G5342" s="188"/>
      <c r="H5342" s="188"/>
      <c r="I5342" s="106"/>
      <c r="J5342" s="106"/>
      <c r="K5342" s="109"/>
      <c r="L5342" s="273"/>
      <c r="P5342" s="40"/>
      <c r="Q5342" s="61"/>
      <c r="R5342" s="61"/>
      <c r="S5342" s="40"/>
      <c r="T5342" s="38"/>
      <c r="U5342" s="38"/>
      <c r="V5342" s="38"/>
      <c r="W5342" s="60"/>
      <c r="AB5342" s="42"/>
      <c r="AC5342" s="35"/>
      <c r="AD5342" s="38"/>
      <c r="AE5342" s="38"/>
      <c r="AF5342" s="38"/>
      <c r="AG5342" s="38"/>
      <c r="AH5342" s="60"/>
    </row>
    <row r="5343" spans="1:34" ht="15.75" customHeight="1">
      <c r="A5343" s="272"/>
      <c r="B5343" s="38"/>
      <c r="C5343" s="37"/>
      <c r="D5343" s="20"/>
      <c r="E5343" s="20"/>
      <c r="F5343" s="37"/>
      <c r="G5343" s="37"/>
      <c r="H5343" s="37"/>
      <c r="I5343" s="37"/>
      <c r="J5343" s="155">
        <f t="shared" ref="J5343:J5464" si="13">IF(G5343="R","NA",I5343)</f>
        <v>0</v>
      </c>
      <c r="K5343" s="22"/>
      <c r="L5343" s="56"/>
      <c r="P5343" s="40"/>
      <c r="Q5343" s="61"/>
      <c r="R5343" s="61"/>
      <c r="S5343" s="40"/>
      <c r="T5343" s="38"/>
      <c r="U5343" s="38"/>
      <c r="V5343" s="38"/>
      <c r="W5343" s="60"/>
      <c r="AB5343" s="42"/>
      <c r="AC5343" s="35"/>
      <c r="AD5343" s="38"/>
      <c r="AE5343" s="38"/>
      <c r="AF5343" s="38"/>
      <c r="AG5343" s="38"/>
      <c r="AH5343" s="60"/>
    </row>
    <row r="5344" spans="1:34" ht="15.75" customHeight="1">
      <c r="A5344" s="54" t="s">
        <v>18537</v>
      </c>
      <c r="B5344" s="78" t="s">
        <v>18538</v>
      </c>
      <c r="C5344" s="19" t="s">
        <v>87</v>
      </c>
      <c r="D5344" s="20" t="s">
        <v>18539</v>
      </c>
      <c r="E5344" s="20" t="s">
        <v>18540</v>
      </c>
      <c r="F5344" s="19" t="s">
        <v>90</v>
      </c>
      <c r="G5344" s="19" t="s">
        <v>91</v>
      </c>
      <c r="H5344" s="37" t="s">
        <v>55</v>
      </c>
      <c r="I5344" s="37" t="s">
        <v>29</v>
      </c>
      <c r="J5344" s="155" t="str">
        <f t="shared" si="13"/>
        <v>TT</v>
      </c>
      <c r="K5344" s="22" t="s">
        <v>18540</v>
      </c>
      <c r="L5344" s="56">
        <v>45138</v>
      </c>
      <c r="M5344" s="40"/>
      <c r="P5344" s="40"/>
      <c r="Q5344" s="61"/>
      <c r="R5344" s="61"/>
      <c r="S5344" s="40"/>
      <c r="T5344" s="38"/>
      <c r="U5344" s="38"/>
      <c r="V5344" s="38"/>
      <c r="W5344" s="60"/>
      <c r="AB5344" s="42"/>
      <c r="AC5344" s="35"/>
      <c r="AD5344" s="38"/>
      <c r="AE5344" s="38"/>
      <c r="AF5344" s="38"/>
      <c r="AG5344" s="38"/>
      <c r="AH5344" s="60"/>
    </row>
    <row r="5345" spans="1:34" ht="15.75" customHeight="1">
      <c r="A5345" s="54" t="s">
        <v>18541</v>
      </c>
      <c r="B5345" s="78" t="s">
        <v>18542</v>
      </c>
      <c r="C5345" s="19" t="s">
        <v>87</v>
      </c>
      <c r="D5345" s="20" t="s">
        <v>18543</v>
      </c>
      <c r="E5345" s="20" t="s">
        <v>18544</v>
      </c>
      <c r="F5345" s="19" t="s">
        <v>90</v>
      </c>
      <c r="G5345" s="19" t="s">
        <v>91</v>
      </c>
      <c r="H5345" s="37" t="s">
        <v>55</v>
      </c>
      <c r="I5345" s="37" t="s">
        <v>29</v>
      </c>
      <c r="J5345" s="155" t="str">
        <f t="shared" si="13"/>
        <v>TT</v>
      </c>
      <c r="K5345" s="22" t="s">
        <v>18545</v>
      </c>
      <c r="L5345" s="56">
        <v>45138</v>
      </c>
      <c r="P5345" s="40"/>
      <c r="Q5345" s="61"/>
      <c r="R5345" s="61"/>
      <c r="S5345" s="40"/>
      <c r="T5345" s="38"/>
      <c r="U5345" s="38"/>
      <c r="V5345" s="38"/>
      <c r="W5345" s="60"/>
      <c r="AB5345" s="42"/>
      <c r="AC5345" s="35"/>
      <c r="AD5345" s="38"/>
      <c r="AE5345" s="38"/>
      <c r="AF5345" s="38"/>
      <c r="AG5345" s="38"/>
      <c r="AH5345" s="60"/>
    </row>
    <row r="5346" spans="1:34" ht="15.75" customHeight="1">
      <c r="A5346" s="114" t="s">
        <v>39</v>
      </c>
      <c r="B5346" s="78" t="s">
        <v>18546</v>
      </c>
      <c r="C5346" s="19" t="s">
        <v>24</v>
      </c>
      <c r="D5346" s="20" t="s">
        <v>18547</v>
      </c>
      <c r="E5346" s="20" t="s">
        <v>18548</v>
      </c>
      <c r="F5346" s="19" t="s">
        <v>27</v>
      </c>
      <c r="G5346" s="19" t="s">
        <v>28</v>
      </c>
      <c r="H5346" s="37" t="s">
        <v>55</v>
      </c>
      <c r="I5346" s="37" t="s">
        <v>29</v>
      </c>
      <c r="J5346" s="155" t="str">
        <f t="shared" si="13"/>
        <v>TT</v>
      </c>
      <c r="K5346" s="22" t="s">
        <v>18549</v>
      </c>
      <c r="L5346" s="56">
        <v>45138</v>
      </c>
      <c r="P5346" s="40"/>
      <c r="Q5346" s="61"/>
      <c r="R5346" s="61"/>
      <c r="S5346" s="40"/>
      <c r="T5346" s="38"/>
      <c r="U5346" s="38"/>
      <c r="V5346" s="38"/>
      <c r="W5346" s="60"/>
      <c r="AB5346" s="42"/>
      <c r="AC5346" s="35"/>
      <c r="AD5346" s="38"/>
      <c r="AE5346" s="38"/>
      <c r="AF5346" s="38"/>
      <c r="AG5346" s="38"/>
      <c r="AH5346" s="60"/>
    </row>
    <row r="5347" spans="1:34" ht="15.75" customHeight="1">
      <c r="A5347" s="38" t="s">
        <v>17871</v>
      </c>
      <c r="B5347" s="78" t="s">
        <v>18550</v>
      </c>
      <c r="C5347" s="37" t="s">
        <v>24</v>
      </c>
      <c r="D5347" s="20" t="s">
        <v>18551</v>
      </c>
      <c r="E5347" s="20" t="s">
        <v>18552</v>
      </c>
      <c r="F5347" s="19" t="s">
        <v>27</v>
      </c>
      <c r="G5347" s="19" t="s">
        <v>28</v>
      </c>
      <c r="H5347" s="37" t="s">
        <v>55</v>
      </c>
      <c r="I5347" s="37" t="s">
        <v>29</v>
      </c>
      <c r="J5347" s="155" t="str">
        <f t="shared" si="13"/>
        <v>TT</v>
      </c>
      <c r="K5347" s="22" t="s">
        <v>18553</v>
      </c>
      <c r="L5347" s="56">
        <v>45138</v>
      </c>
      <c r="P5347" s="40"/>
      <c r="Q5347" s="61"/>
      <c r="R5347" s="61"/>
      <c r="S5347" s="40"/>
      <c r="T5347" s="38"/>
      <c r="U5347" s="38"/>
      <c r="V5347" s="38"/>
      <c r="W5347" s="60"/>
      <c r="AB5347" s="42"/>
      <c r="AC5347" s="35"/>
      <c r="AD5347" s="38"/>
      <c r="AE5347" s="38"/>
      <c r="AF5347" s="38"/>
      <c r="AG5347" s="38"/>
      <c r="AH5347" s="60"/>
    </row>
    <row r="5348" spans="1:34" ht="15.75" customHeight="1">
      <c r="A5348" s="75" t="s">
        <v>16635</v>
      </c>
      <c r="B5348" s="78" t="s">
        <v>18554</v>
      </c>
      <c r="C5348" s="19" t="s">
        <v>87</v>
      </c>
      <c r="D5348" s="20" t="s">
        <v>18555</v>
      </c>
      <c r="E5348" s="20" t="s">
        <v>18556</v>
      </c>
      <c r="F5348" s="19" t="s">
        <v>90</v>
      </c>
      <c r="G5348" s="19" t="s">
        <v>91</v>
      </c>
      <c r="H5348" s="37" t="s">
        <v>55</v>
      </c>
      <c r="I5348" s="37" t="s">
        <v>29</v>
      </c>
      <c r="J5348" s="155" t="str">
        <f t="shared" si="13"/>
        <v>TT</v>
      </c>
      <c r="K5348" s="22" t="s">
        <v>18557</v>
      </c>
      <c r="L5348" s="56">
        <v>45138</v>
      </c>
      <c r="P5348" s="40"/>
      <c r="Q5348" s="61"/>
      <c r="R5348" s="61"/>
      <c r="S5348" s="40"/>
      <c r="T5348" s="38"/>
      <c r="U5348" s="38"/>
      <c r="V5348" s="38"/>
      <c r="W5348" s="60"/>
      <c r="AB5348" s="42"/>
      <c r="AC5348" s="35"/>
      <c r="AD5348" s="38"/>
      <c r="AE5348" s="38"/>
      <c r="AF5348" s="38"/>
      <c r="AG5348" s="38"/>
      <c r="AH5348" s="60"/>
    </row>
    <row r="5349" spans="1:34" ht="15.75" customHeight="1">
      <c r="A5349" s="50" t="s">
        <v>56</v>
      </c>
      <c r="B5349" s="38" t="s">
        <v>18558</v>
      </c>
      <c r="C5349" s="37" t="s">
        <v>412</v>
      </c>
      <c r="D5349" s="20" t="s">
        <v>18559</v>
      </c>
      <c r="E5349" s="20"/>
      <c r="F5349" s="19" t="s">
        <v>414</v>
      </c>
      <c r="G5349" s="37" t="s">
        <v>415</v>
      </c>
      <c r="H5349" s="37" t="s">
        <v>55</v>
      </c>
      <c r="I5349" s="37" t="s">
        <v>233</v>
      </c>
      <c r="J5349" s="155" t="str">
        <f t="shared" si="13"/>
        <v>NTT</v>
      </c>
      <c r="K5349" s="22"/>
      <c r="L5349" s="56">
        <v>45138</v>
      </c>
      <c r="P5349" s="40"/>
      <c r="Q5349" s="61"/>
      <c r="R5349" s="61"/>
      <c r="S5349" s="40"/>
      <c r="T5349" s="38"/>
      <c r="U5349" s="38"/>
      <c r="V5349" s="38"/>
      <c r="W5349" s="60"/>
      <c r="AB5349" s="42"/>
      <c r="AC5349" s="35"/>
      <c r="AD5349" s="38"/>
      <c r="AE5349" s="38"/>
      <c r="AF5349" s="38"/>
      <c r="AG5349" s="38"/>
      <c r="AH5349" s="60"/>
    </row>
    <row r="5350" spans="1:34" ht="15.75" customHeight="1">
      <c r="A5350" s="17">
        <v>39</v>
      </c>
      <c r="B5350" s="38" t="s">
        <v>18560</v>
      </c>
      <c r="C5350" s="37" t="s">
        <v>1430</v>
      </c>
      <c r="D5350" s="20" t="s">
        <v>18561</v>
      </c>
      <c r="E5350" s="20"/>
      <c r="F5350" s="55" t="s">
        <v>1445</v>
      </c>
      <c r="G5350" s="55" t="s">
        <v>1432</v>
      </c>
      <c r="H5350" s="37" t="s">
        <v>55</v>
      </c>
      <c r="I5350" s="37" t="s">
        <v>233</v>
      </c>
      <c r="J5350" s="155" t="str">
        <f t="shared" si="13"/>
        <v>NTT</v>
      </c>
      <c r="K5350" s="22"/>
      <c r="L5350" s="56">
        <v>45138</v>
      </c>
      <c r="P5350" s="40"/>
      <c r="Q5350" s="61"/>
      <c r="R5350" s="61"/>
      <c r="S5350" s="40"/>
      <c r="T5350" s="38"/>
      <c r="U5350" s="38"/>
      <c r="V5350" s="38"/>
      <c r="W5350" s="60"/>
      <c r="AB5350" s="42"/>
      <c r="AC5350" s="35"/>
      <c r="AD5350" s="38"/>
      <c r="AE5350" s="38"/>
      <c r="AF5350" s="38"/>
      <c r="AG5350" s="38"/>
      <c r="AH5350" s="60"/>
    </row>
    <row r="5351" spans="1:34" ht="15.75" customHeight="1">
      <c r="A5351" s="111" t="s">
        <v>64</v>
      </c>
      <c r="B5351" s="78" t="s">
        <v>18562</v>
      </c>
      <c r="C5351" s="37" t="s">
        <v>46</v>
      </c>
      <c r="D5351" s="20" t="s">
        <v>18563</v>
      </c>
      <c r="E5351" s="20" t="s">
        <v>18564</v>
      </c>
      <c r="F5351" s="37" t="s">
        <v>49</v>
      </c>
      <c r="G5351" s="19" t="s">
        <v>50</v>
      </c>
      <c r="H5351" s="37" t="s">
        <v>55</v>
      </c>
      <c r="I5351" s="37" t="s">
        <v>29</v>
      </c>
      <c r="J5351" s="155" t="str">
        <f t="shared" si="13"/>
        <v>TT</v>
      </c>
      <c r="K5351" s="22" t="s">
        <v>18565</v>
      </c>
      <c r="L5351" s="56">
        <v>45138</v>
      </c>
      <c r="P5351" s="40"/>
      <c r="Q5351" s="61"/>
      <c r="R5351" s="61"/>
      <c r="S5351" s="40"/>
      <c r="T5351" s="38"/>
      <c r="U5351" s="38"/>
      <c r="V5351" s="38"/>
      <c r="W5351" s="60"/>
      <c r="AB5351" s="42"/>
      <c r="AC5351" s="35"/>
      <c r="AD5351" s="38"/>
      <c r="AE5351" s="38"/>
      <c r="AF5351" s="38"/>
      <c r="AG5351" s="38"/>
      <c r="AH5351" s="60"/>
    </row>
    <row r="5352" spans="1:34" ht="15.75" customHeight="1">
      <c r="A5352" s="75">
        <v>2.2000000000000002</v>
      </c>
      <c r="B5352" s="38"/>
      <c r="C5352" s="37"/>
      <c r="D5352" s="20"/>
      <c r="E5352" s="20"/>
      <c r="F5352" s="37"/>
      <c r="G5352" s="37"/>
      <c r="H5352" s="37"/>
      <c r="I5352" s="37"/>
      <c r="J5352" s="155">
        <f t="shared" si="13"/>
        <v>0</v>
      </c>
      <c r="K5352" s="22"/>
      <c r="L5352" s="56"/>
      <c r="P5352" s="40"/>
      <c r="Q5352" s="61"/>
      <c r="R5352" s="61"/>
      <c r="S5352" s="40"/>
      <c r="T5352" s="38"/>
      <c r="U5352" s="38"/>
      <c r="V5352" s="38"/>
      <c r="W5352" s="60"/>
      <c r="AB5352" s="42"/>
      <c r="AC5352" s="35"/>
      <c r="AD5352" s="38"/>
      <c r="AE5352" s="38"/>
      <c r="AF5352" s="38"/>
      <c r="AG5352" s="38"/>
      <c r="AH5352" s="60"/>
    </row>
    <row r="5353" spans="1:34" ht="15.75" customHeight="1">
      <c r="A5353" s="111" t="s">
        <v>73</v>
      </c>
      <c r="B5353" s="38"/>
      <c r="C5353" s="37"/>
      <c r="D5353" s="20"/>
      <c r="E5353" s="20"/>
      <c r="F5353" s="37"/>
      <c r="G5353" s="37"/>
      <c r="H5353" s="37"/>
      <c r="I5353" s="37"/>
      <c r="J5353" s="155">
        <f t="shared" si="13"/>
        <v>0</v>
      </c>
      <c r="K5353" s="22"/>
      <c r="L5353" s="56"/>
      <c r="P5353" s="40"/>
      <c r="Q5353" s="61"/>
      <c r="R5353" s="61"/>
      <c r="S5353" s="40"/>
      <c r="T5353" s="38"/>
      <c r="U5353" s="38"/>
      <c r="V5353" s="38"/>
      <c r="W5353" s="60"/>
      <c r="AB5353" s="42"/>
      <c r="AC5353" s="35"/>
      <c r="AD5353" s="38"/>
      <c r="AE5353" s="38"/>
      <c r="AF5353" s="38"/>
      <c r="AG5353" s="38"/>
      <c r="AH5353" s="60"/>
    </row>
    <row r="5354" spans="1:34" ht="15.75" customHeight="1">
      <c r="A5354" s="75">
        <v>2.5</v>
      </c>
      <c r="B5354" s="38"/>
      <c r="C5354" s="37"/>
      <c r="D5354" s="20"/>
      <c r="E5354" s="20"/>
      <c r="F5354" s="37"/>
      <c r="G5354" s="37"/>
      <c r="H5354" s="37"/>
      <c r="I5354" s="37"/>
      <c r="J5354" s="155">
        <f t="shared" si="13"/>
        <v>0</v>
      </c>
      <c r="K5354" s="22"/>
      <c r="L5354" s="56"/>
      <c r="P5354" s="40"/>
      <c r="Q5354" s="61"/>
      <c r="R5354" s="61"/>
      <c r="S5354" s="40"/>
      <c r="T5354" s="38"/>
      <c r="U5354" s="38"/>
      <c r="V5354" s="38"/>
      <c r="W5354" s="60"/>
      <c r="AB5354" s="42"/>
      <c r="AC5354" s="35"/>
      <c r="AD5354" s="38"/>
      <c r="AE5354" s="38"/>
      <c r="AF5354" s="38"/>
      <c r="AG5354" s="38"/>
      <c r="AH5354" s="60"/>
    </row>
    <row r="5355" spans="1:34" ht="15.75" customHeight="1">
      <c r="A5355" s="111" t="s">
        <v>82</v>
      </c>
      <c r="B5355" s="38"/>
      <c r="C5355" s="37"/>
      <c r="D5355" s="20"/>
      <c r="E5355" s="20"/>
      <c r="F5355" s="37"/>
      <c r="G5355" s="37"/>
      <c r="H5355" s="37"/>
      <c r="I5355" s="37"/>
      <c r="J5355" s="155">
        <f t="shared" si="13"/>
        <v>0</v>
      </c>
      <c r="K5355" s="22"/>
      <c r="L5355" s="56"/>
      <c r="P5355" s="40"/>
      <c r="Q5355" s="61"/>
      <c r="R5355" s="61"/>
      <c r="S5355" s="40"/>
      <c r="T5355" s="38"/>
      <c r="U5355" s="38"/>
      <c r="V5355" s="38"/>
      <c r="W5355" s="60"/>
      <c r="AB5355" s="42"/>
      <c r="AC5355" s="35"/>
      <c r="AD5355" s="38"/>
      <c r="AE5355" s="38"/>
      <c r="AF5355" s="38"/>
      <c r="AG5355" s="38"/>
      <c r="AH5355" s="60"/>
    </row>
    <row r="5356" spans="1:34" ht="15.75" customHeight="1">
      <c r="A5356" s="75" t="s">
        <v>18566</v>
      </c>
      <c r="B5356" s="38"/>
      <c r="C5356" s="37"/>
      <c r="D5356" s="20"/>
      <c r="E5356" s="20"/>
      <c r="F5356" s="37"/>
      <c r="G5356" s="37"/>
      <c r="H5356" s="37"/>
      <c r="I5356" s="37"/>
      <c r="J5356" s="155">
        <f t="shared" si="13"/>
        <v>0</v>
      </c>
      <c r="K5356" s="22"/>
      <c r="L5356" s="56"/>
      <c r="P5356" s="40"/>
      <c r="Q5356" s="61"/>
      <c r="R5356" s="61"/>
      <c r="S5356" s="40"/>
      <c r="T5356" s="38"/>
      <c r="U5356" s="38"/>
      <c r="V5356" s="38"/>
      <c r="W5356" s="60"/>
      <c r="AB5356" s="42"/>
      <c r="AC5356" s="35"/>
      <c r="AD5356" s="38"/>
      <c r="AE5356" s="38"/>
      <c r="AF5356" s="38"/>
      <c r="AG5356" s="38"/>
      <c r="AH5356" s="60"/>
    </row>
    <row r="5357" spans="1:34" ht="15.75" customHeight="1">
      <c r="A5357" s="111" t="s">
        <v>92</v>
      </c>
      <c r="B5357" s="38"/>
      <c r="C5357" s="37"/>
      <c r="D5357" s="20"/>
      <c r="E5357" s="20"/>
      <c r="F5357" s="37"/>
      <c r="G5357" s="37"/>
      <c r="H5357" s="37"/>
      <c r="I5357" s="37"/>
      <c r="J5357" s="155">
        <f t="shared" si="13"/>
        <v>0</v>
      </c>
      <c r="K5357" s="22"/>
      <c r="L5357" s="56"/>
      <c r="P5357" s="40"/>
      <c r="Q5357" s="61"/>
      <c r="R5357" s="61"/>
      <c r="S5357" s="40"/>
      <c r="T5357" s="38"/>
      <c r="U5357" s="38"/>
      <c r="V5357" s="38"/>
      <c r="W5357" s="60"/>
      <c r="AB5357" s="42"/>
      <c r="AC5357" s="35"/>
      <c r="AD5357" s="38"/>
      <c r="AE5357" s="38"/>
      <c r="AF5357" s="38"/>
      <c r="AG5357" s="38"/>
      <c r="AH5357" s="60"/>
    </row>
    <row r="5358" spans="1:34" ht="15.75" customHeight="1">
      <c r="A5358" s="112">
        <v>172</v>
      </c>
      <c r="B5358" s="38"/>
      <c r="C5358" s="37"/>
      <c r="D5358" s="20"/>
      <c r="E5358" s="20"/>
      <c r="F5358" s="37"/>
      <c r="G5358" s="37"/>
      <c r="H5358" s="37"/>
      <c r="I5358" s="37"/>
      <c r="J5358" s="155">
        <f t="shared" si="13"/>
        <v>0</v>
      </c>
      <c r="K5358" s="22"/>
      <c r="L5358" s="56"/>
      <c r="P5358" s="40"/>
      <c r="Q5358" s="61"/>
      <c r="R5358" s="61"/>
      <c r="S5358" s="40"/>
      <c r="T5358" s="38"/>
      <c r="U5358" s="38"/>
      <c r="V5358" s="38"/>
      <c r="W5358" s="60"/>
      <c r="AB5358" s="42"/>
      <c r="AC5358" s="35"/>
      <c r="AD5358" s="38"/>
      <c r="AE5358" s="38"/>
      <c r="AF5358" s="38"/>
      <c r="AG5358" s="38"/>
      <c r="AH5358" s="60"/>
    </row>
    <row r="5359" spans="1:34" ht="15.75" customHeight="1">
      <c r="A5359" s="111" t="s">
        <v>100</v>
      </c>
      <c r="B5359" s="38"/>
      <c r="C5359" s="37"/>
      <c r="D5359" s="20"/>
      <c r="E5359" s="20"/>
      <c r="F5359" s="37"/>
      <c r="G5359" s="37"/>
      <c r="H5359" s="37"/>
      <c r="I5359" s="37"/>
      <c r="J5359" s="155">
        <f t="shared" si="13"/>
        <v>0</v>
      </c>
      <c r="K5359" s="22"/>
      <c r="L5359" s="56"/>
      <c r="P5359" s="40"/>
      <c r="Q5359" s="61"/>
      <c r="R5359" s="61"/>
      <c r="S5359" s="40"/>
      <c r="T5359" s="38"/>
      <c r="U5359" s="38"/>
      <c r="V5359" s="38"/>
      <c r="W5359" s="60"/>
      <c r="AB5359" s="42"/>
      <c r="AC5359" s="35"/>
      <c r="AD5359" s="38"/>
      <c r="AE5359" s="38"/>
      <c r="AF5359" s="38"/>
      <c r="AG5359" s="38"/>
      <c r="AH5359" s="60"/>
    </row>
    <row r="5360" spans="1:34" ht="15.75" customHeight="1">
      <c r="A5360" s="75">
        <v>160</v>
      </c>
      <c r="B5360" s="38"/>
      <c r="C5360" s="37"/>
      <c r="D5360" s="20"/>
      <c r="E5360" s="20"/>
      <c r="F5360" s="37"/>
      <c r="G5360" s="37"/>
      <c r="H5360" s="37"/>
      <c r="I5360" s="37"/>
      <c r="J5360" s="155">
        <f t="shared" si="13"/>
        <v>0</v>
      </c>
      <c r="K5360" s="22"/>
      <c r="L5360" s="56"/>
      <c r="P5360" s="40"/>
      <c r="Q5360" s="61"/>
      <c r="R5360" s="61"/>
      <c r="S5360" s="40"/>
      <c r="T5360" s="38"/>
      <c r="U5360" s="38"/>
      <c r="V5360" s="38"/>
      <c r="W5360" s="60"/>
      <c r="AB5360" s="42"/>
      <c r="AC5360" s="35"/>
      <c r="AD5360" s="38"/>
      <c r="AE5360" s="38"/>
      <c r="AF5360" s="38"/>
      <c r="AG5360" s="38"/>
      <c r="AH5360" s="60"/>
    </row>
    <row r="5361" spans="1:34" ht="15.75" customHeight="1">
      <c r="A5361" s="35"/>
      <c r="B5361" s="38"/>
      <c r="C5361" s="37"/>
      <c r="D5361" s="20"/>
      <c r="E5361" s="20"/>
      <c r="F5361" s="37"/>
      <c r="G5361" s="37"/>
      <c r="H5361" s="37"/>
      <c r="I5361" s="37"/>
      <c r="J5361" s="155">
        <f t="shared" si="13"/>
        <v>0</v>
      </c>
      <c r="K5361" s="22"/>
      <c r="L5361" s="56"/>
      <c r="P5361" s="40"/>
      <c r="Q5361" s="61"/>
      <c r="R5361" s="61"/>
      <c r="S5361" s="40"/>
      <c r="T5361" s="38"/>
      <c r="U5361" s="38"/>
      <c r="V5361" s="38"/>
      <c r="W5361" s="60"/>
      <c r="AB5361" s="42"/>
      <c r="AC5361" s="35"/>
      <c r="AD5361" s="38"/>
      <c r="AE5361" s="38"/>
      <c r="AF5361" s="38"/>
      <c r="AG5361" s="38"/>
      <c r="AH5361" s="60"/>
    </row>
    <row r="5362" spans="1:34" ht="15.75" customHeight="1">
      <c r="A5362" s="35" t="s">
        <v>18567</v>
      </c>
      <c r="B5362" s="81" t="s">
        <v>18568</v>
      </c>
      <c r="C5362" s="37" t="s">
        <v>24</v>
      </c>
      <c r="D5362" s="20" t="s">
        <v>18569</v>
      </c>
      <c r="E5362" s="20" t="s">
        <v>18570</v>
      </c>
      <c r="F5362" s="19" t="s">
        <v>27</v>
      </c>
      <c r="G5362" s="19" t="s">
        <v>28</v>
      </c>
      <c r="H5362" s="37" t="s">
        <v>55</v>
      </c>
      <c r="I5362" s="37" t="s">
        <v>29</v>
      </c>
      <c r="J5362" s="155" t="str">
        <f t="shared" si="13"/>
        <v>TT</v>
      </c>
      <c r="K5362" s="22" t="s">
        <v>18571</v>
      </c>
      <c r="L5362" s="56">
        <v>45138</v>
      </c>
      <c r="M5362" s="40"/>
      <c r="P5362" s="40"/>
      <c r="Q5362" s="61"/>
      <c r="R5362" s="61"/>
      <c r="S5362" s="40"/>
      <c r="T5362" s="38"/>
      <c r="U5362" s="38"/>
      <c r="V5362" s="38"/>
      <c r="W5362" s="60"/>
      <c r="AB5362" s="42"/>
      <c r="AC5362" s="35"/>
      <c r="AD5362" s="38"/>
      <c r="AE5362" s="38"/>
      <c r="AF5362" s="38"/>
      <c r="AG5362" s="38"/>
      <c r="AH5362" s="60"/>
    </row>
    <row r="5363" spans="1:34" ht="15.75" customHeight="1">
      <c r="A5363" s="54" t="s">
        <v>2714</v>
      </c>
      <c r="B5363" s="78" t="s">
        <v>18572</v>
      </c>
      <c r="C5363" s="37" t="s">
        <v>87</v>
      </c>
      <c r="D5363" s="20" t="s">
        <v>18573</v>
      </c>
      <c r="E5363" s="20" t="s">
        <v>18574</v>
      </c>
      <c r="F5363" s="19" t="s">
        <v>90</v>
      </c>
      <c r="G5363" s="19" t="s">
        <v>91</v>
      </c>
      <c r="H5363" s="37" t="s">
        <v>55</v>
      </c>
      <c r="I5363" s="37" t="s">
        <v>29</v>
      </c>
      <c r="J5363" s="155" t="str">
        <f t="shared" si="13"/>
        <v>TT</v>
      </c>
      <c r="K5363" s="22" t="s">
        <v>18575</v>
      </c>
      <c r="L5363" s="56">
        <v>45138</v>
      </c>
      <c r="P5363" s="40"/>
      <c r="Q5363" s="61"/>
      <c r="R5363" s="61"/>
      <c r="S5363" s="40"/>
      <c r="T5363" s="38"/>
      <c r="U5363" s="38"/>
      <c r="V5363" s="38"/>
      <c r="W5363" s="60"/>
      <c r="AB5363" s="42"/>
      <c r="AC5363" s="35"/>
      <c r="AD5363" s="38"/>
      <c r="AE5363" s="38"/>
      <c r="AF5363" s="38"/>
      <c r="AG5363" s="38"/>
      <c r="AH5363" s="60"/>
    </row>
    <row r="5364" spans="1:34" ht="15.75" customHeight="1">
      <c r="A5364" s="114" t="s">
        <v>39</v>
      </c>
      <c r="B5364" s="78" t="s">
        <v>18576</v>
      </c>
      <c r="C5364" s="37" t="s">
        <v>87</v>
      </c>
      <c r="D5364" s="20" t="s">
        <v>18577</v>
      </c>
      <c r="E5364" s="20" t="s">
        <v>18578</v>
      </c>
      <c r="F5364" s="19" t="s">
        <v>90</v>
      </c>
      <c r="G5364" s="19" t="s">
        <v>91</v>
      </c>
      <c r="H5364" s="37" t="s">
        <v>55</v>
      </c>
      <c r="I5364" s="37" t="s">
        <v>29</v>
      </c>
      <c r="J5364" s="155" t="str">
        <f t="shared" si="13"/>
        <v>TT</v>
      </c>
      <c r="K5364" s="22" t="s">
        <v>18579</v>
      </c>
      <c r="L5364" s="56">
        <v>45138</v>
      </c>
      <c r="P5364" s="40"/>
      <c r="Q5364" s="61"/>
      <c r="R5364" s="61"/>
      <c r="S5364" s="40"/>
      <c r="T5364" s="38"/>
      <c r="U5364" s="38"/>
      <c r="V5364" s="38"/>
      <c r="W5364" s="60"/>
      <c r="AB5364" s="42"/>
      <c r="AC5364" s="35"/>
      <c r="AD5364" s="38"/>
      <c r="AE5364" s="38"/>
      <c r="AF5364" s="38"/>
      <c r="AG5364" s="38"/>
      <c r="AH5364" s="60"/>
    </row>
    <row r="5365" spans="1:34" ht="15.75" customHeight="1">
      <c r="A5365" s="38" t="s">
        <v>17871</v>
      </c>
      <c r="B5365" s="78" t="s">
        <v>18580</v>
      </c>
      <c r="C5365" s="37" t="s">
        <v>46</v>
      </c>
      <c r="D5365" s="20" t="s">
        <v>18581</v>
      </c>
      <c r="E5365" s="20" t="s">
        <v>18582</v>
      </c>
      <c r="F5365" s="37" t="s">
        <v>49</v>
      </c>
      <c r="G5365" s="19" t="s">
        <v>50</v>
      </c>
      <c r="H5365" s="37" t="s">
        <v>55</v>
      </c>
      <c r="I5365" s="37" t="s">
        <v>29</v>
      </c>
      <c r="J5365" s="155" t="str">
        <f t="shared" si="13"/>
        <v>TT</v>
      </c>
      <c r="K5365" s="22" t="s">
        <v>18583</v>
      </c>
      <c r="L5365" s="56">
        <v>45138</v>
      </c>
      <c r="P5365" s="40"/>
      <c r="Q5365" s="61"/>
      <c r="R5365" s="61"/>
      <c r="S5365" s="40"/>
      <c r="T5365" s="38"/>
      <c r="U5365" s="38"/>
      <c r="V5365" s="38"/>
      <c r="W5365" s="60"/>
      <c r="AB5365" s="42"/>
      <c r="AC5365" s="35"/>
      <c r="AD5365" s="38"/>
      <c r="AE5365" s="38"/>
      <c r="AF5365" s="38"/>
      <c r="AG5365" s="38"/>
      <c r="AH5365" s="60"/>
    </row>
    <row r="5366" spans="1:34" ht="15.75" customHeight="1">
      <c r="A5366" s="75" t="s">
        <v>6149</v>
      </c>
      <c r="B5366" s="78" t="s">
        <v>18584</v>
      </c>
      <c r="C5366" s="37" t="s">
        <v>24</v>
      </c>
      <c r="D5366" s="20" t="s">
        <v>18585</v>
      </c>
      <c r="E5366" s="20" t="s">
        <v>18586</v>
      </c>
      <c r="F5366" s="19" t="s">
        <v>27</v>
      </c>
      <c r="G5366" s="19" t="s">
        <v>28</v>
      </c>
      <c r="H5366" s="37" t="s">
        <v>55</v>
      </c>
      <c r="I5366" s="37" t="s">
        <v>29</v>
      </c>
      <c r="J5366" s="155" t="str">
        <f t="shared" si="13"/>
        <v>TT</v>
      </c>
      <c r="K5366" s="22" t="s">
        <v>18587</v>
      </c>
      <c r="L5366" s="56">
        <v>45138</v>
      </c>
      <c r="P5366" s="40"/>
      <c r="Q5366" s="61"/>
      <c r="R5366" s="61"/>
      <c r="S5366" s="40"/>
      <c r="T5366" s="38"/>
      <c r="U5366" s="38"/>
      <c r="V5366" s="38"/>
      <c r="W5366" s="60"/>
      <c r="AB5366" s="42"/>
      <c r="AC5366" s="35"/>
      <c r="AD5366" s="38"/>
      <c r="AE5366" s="38"/>
      <c r="AF5366" s="38"/>
      <c r="AG5366" s="38"/>
      <c r="AH5366" s="60"/>
    </row>
    <row r="5367" spans="1:34" ht="15.75" customHeight="1">
      <c r="A5367" s="50" t="s">
        <v>56</v>
      </c>
      <c r="B5367" s="78" t="s">
        <v>18588</v>
      </c>
      <c r="C5367" s="37" t="s">
        <v>87</v>
      </c>
      <c r="D5367" s="20" t="s">
        <v>18589</v>
      </c>
      <c r="E5367" s="20" t="s">
        <v>18590</v>
      </c>
      <c r="F5367" s="19" t="s">
        <v>90</v>
      </c>
      <c r="G5367" s="19" t="s">
        <v>91</v>
      </c>
      <c r="H5367" s="37" t="s">
        <v>55</v>
      </c>
      <c r="I5367" s="37" t="s">
        <v>29</v>
      </c>
      <c r="J5367" s="155" t="str">
        <f t="shared" si="13"/>
        <v>TT</v>
      </c>
      <c r="K5367" s="22" t="s">
        <v>18591</v>
      </c>
      <c r="L5367" s="56">
        <v>45138</v>
      </c>
      <c r="P5367" s="40"/>
      <c r="Q5367" s="61"/>
      <c r="R5367" s="61"/>
      <c r="S5367" s="40"/>
      <c r="T5367" s="38"/>
      <c r="U5367" s="38"/>
      <c r="V5367" s="38"/>
      <c r="W5367" s="60"/>
      <c r="AB5367" s="42"/>
      <c r="AC5367" s="35"/>
      <c r="AD5367" s="38"/>
      <c r="AE5367" s="38"/>
      <c r="AF5367" s="38"/>
      <c r="AG5367" s="38"/>
      <c r="AH5367" s="60"/>
    </row>
    <row r="5368" spans="1:34" ht="15.75" customHeight="1">
      <c r="A5368" s="17">
        <v>63</v>
      </c>
      <c r="B5368" s="78" t="s">
        <v>18592</v>
      </c>
      <c r="C5368" s="37" t="s">
        <v>87</v>
      </c>
      <c r="D5368" s="20" t="s">
        <v>18593</v>
      </c>
      <c r="E5368" s="20" t="s">
        <v>18594</v>
      </c>
      <c r="F5368" s="19" t="s">
        <v>90</v>
      </c>
      <c r="G5368" s="19" t="s">
        <v>91</v>
      </c>
      <c r="H5368" s="37" t="s">
        <v>55</v>
      </c>
      <c r="I5368" s="37" t="s">
        <v>29</v>
      </c>
      <c r="J5368" s="155" t="str">
        <f t="shared" si="13"/>
        <v>TT</v>
      </c>
      <c r="K5368" s="22" t="s">
        <v>18595</v>
      </c>
      <c r="L5368" s="56">
        <v>45138</v>
      </c>
      <c r="P5368" s="40"/>
      <c r="Q5368" s="61"/>
      <c r="R5368" s="61"/>
      <c r="S5368" s="40"/>
      <c r="T5368" s="38"/>
      <c r="U5368" s="38"/>
      <c r="V5368" s="38"/>
      <c r="W5368" s="60"/>
      <c r="AB5368" s="42"/>
      <c r="AC5368" s="35"/>
      <c r="AD5368" s="38"/>
      <c r="AE5368" s="38"/>
      <c r="AF5368" s="38"/>
      <c r="AG5368" s="38"/>
      <c r="AH5368" s="60"/>
    </row>
    <row r="5369" spans="1:34" ht="15.75" customHeight="1">
      <c r="A5369" s="111" t="s">
        <v>64</v>
      </c>
      <c r="B5369" s="78" t="s">
        <v>18596</v>
      </c>
      <c r="C5369" s="37" t="s">
        <v>87</v>
      </c>
      <c r="D5369" s="20" t="s">
        <v>18597</v>
      </c>
      <c r="E5369" s="20" t="s">
        <v>18598</v>
      </c>
      <c r="F5369" s="19" t="s">
        <v>90</v>
      </c>
      <c r="G5369" s="19" t="s">
        <v>91</v>
      </c>
      <c r="H5369" s="37" t="s">
        <v>55</v>
      </c>
      <c r="I5369" s="37" t="s">
        <v>29</v>
      </c>
      <c r="J5369" s="155" t="str">
        <f t="shared" si="13"/>
        <v>TT</v>
      </c>
      <c r="K5369" s="22" t="s">
        <v>18599</v>
      </c>
      <c r="L5369" s="56">
        <v>45138</v>
      </c>
      <c r="P5369" s="40"/>
      <c r="Q5369" s="61"/>
      <c r="R5369" s="61"/>
      <c r="S5369" s="40"/>
      <c r="T5369" s="38"/>
      <c r="U5369" s="38"/>
      <c r="V5369" s="38"/>
      <c r="W5369" s="60"/>
      <c r="AB5369" s="42"/>
      <c r="AC5369" s="35"/>
      <c r="AD5369" s="38"/>
      <c r="AE5369" s="38"/>
      <c r="AF5369" s="38"/>
      <c r="AG5369" s="38"/>
      <c r="AH5369" s="60"/>
    </row>
    <row r="5370" spans="1:34" ht="15.75" customHeight="1">
      <c r="A5370" s="75">
        <v>2.2000000000000002</v>
      </c>
      <c r="B5370" s="78" t="s">
        <v>18600</v>
      </c>
      <c r="C5370" s="37" t="s">
        <v>46</v>
      </c>
      <c r="D5370" s="20" t="s">
        <v>18601</v>
      </c>
      <c r="E5370" s="20" t="s">
        <v>18602</v>
      </c>
      <c r="F5370" s="37" t="s">
        <v>49</v>
      </c>
      <c r="G5370" s="19" t="s">
        <v>50</v>
      </c>
      <c r="H5370" s="37" t="s">
        <v>55</v>
      </c>
      <c r="I5370" s="37" t="s">
        <v>29</v>
      </c>
      <c r="J5370" s="155" t="str">
        <f t="shared" si="13"/>
        <v>TT</v>
      </c>
      <c r="K5370" s="22" t="s">
        <v>18603</v>
      </c>
      <c r="L5370" s="56">
        <v>45138</v>
      </c>
      <c r="P5370" s="40"/>
      <c r="Q5370" s="61"/>
      <c r="R5370" s="61"/>
      <c r="S5370" s="40"/>
      <c r="T5370" s="38"/>
      <c r="U5370" s="38"/>
      <c r="V5370" s="38"/>
      <c r="W5370" s="60"/>
      <c r="AB5370" s="42"/>
      <c r="AC5370" s="35"/>
      <c r="AD5370" s="38"/>
      <c r="AE5370" s="38"/>
      <c r="AF5370" s="38"/>
      <c r="AG5370" s="38"/>
      <c r="AH5370" s="60"/>
    </row>
    <row r="5371" spans="1:34" ht="15.75" customHeight="1">
      <c r="A5371" s="111" t="s">
        <v>73</v>
      </c>
      <c r="B5371" s="78" t="s">
        <v>18604</v>
      </c>
      <c r="C5371" s="37" t="s">
        <v>24</v>
      </c>
      <c r="D5371" s="20" t="s">
        <v>18605</v>
      </c>
      <c r="E5371" s="20" t="s">
        <v>18606</v>
      </c>
      <c r="F5371" s="19" t="s">
        <v>27</v>
      </c>
      <c r="G5371" s="19" t="s">
        <v>28</v>
      </c>
      <c r="H5371" s="37" t="s">
        <v>55</v>
      </c>
      <c r="I5371" s="37" t="s">
        <v>29</v>
      </c>
      <c r="J5371" s="155" t="str">
        <f t="shared" si="13"/>
        <v>TT</v>
      </c>
      <c r="K5371" s="22" t="s">
        <v>18607</v>
      </c>
      <c r="L5371" s="56">
        <v>45138</v>
      </c>
      <c r="P5371" s="40"/>
      <c r="Q5371" s="61"/>
      <c r="R5371" s="61"/>
      <c r="S5371" s="40"/>
      <c r="T5371" s="38"/>
      <c r="U5371" s="38"/>
      <c r="V5371" s="38"/>
      <c r="W5371" s="60"/>
      <c r="AB5371" s="42"/>
      <c r="AC5371" s="35"/>
      <c r="AD5371" s="38"/>
      <c r="AE5371" s="38"/>
      <c r="AF5371" s="38"/>
      <c r="AG5371" s="38"/>
      <c r="AH5371" s="60"/>
    </row>
    <row r="5372" spans="1:34" ht="15.75" customHeight="1">
      <c r="A5372" s="75">
        <v>2.7</v>
      </c>
      <c r="B5372" s="78" t="s">
        <v>18608</v>
      </c>
      <c r="C5372" s="37" t="s">
        <v>87</v>
      </c>
      <c r="D5372" s="20" t="s">
        <v>18609</v>
      </c>
      <c r="E5372" s="20" t="s">
        <v>18610</v>
      </c>
      <c r="F5372" s="19" t="s">
        <v>90</v>
      </c>
      <c r="G5372" s="19" t="s">
        <v>91</v>
      </c>
      <c r="H5372" s="37" t="s">
        <v>55</v>
      </c>
      <c r="I5372" s="37" t="s">
        <v>29</v>
      </c>
      <c r="J5372" s="155" t="str">
        <f t="shared" si="13"/>
        <v>TT</v>
      </c>
      <c r="K5372" s="22" t="s">
        <v>18611</v>
      </c>
      <c r="L5372" s="56">
        <v>45138</v>
      </c>
      <c r="P5372" s="40"/>
      <c r="Q5372" s="61"/>
      <c r="R5372" s="61"/>
      <c r="S5372" s="40"/>
      <c r="T5372" s="38"/>
      <c r="U5372" s="38"/>
      <c r="V5372" s="38"/>
      <c r="W5372" s="60"/>
      <c r="AB5372" s="42"/>
      <c r="AC5372" s="35"/>
      <c r="AD5372" s="38"/>
      <c r="AE5372" s="38"/>
      <c r="AF5372" s="38"/>
      <c r="AG5372" s="38"/>
      <c r="AH5372" s="60"/>
    </row>
    <row r="5373" spans="1:34" ht="15.75" customHeight="1">
      <c r="A5373" s="111" t="s">
        <v>82</v>
      </c>
      <c r="B5373" s="78" t="s">
        <v>18612</v>
      </c>
      <c r="C5373" s="37" t="s">
        <v>87</v>
      </c>
      <c r="D5373" s="20" t="s">
        <v>18613</v>
      </c>
      <c r="E5373" s="20" t="s">
        <v>18614</v>
      </c>
      <c r="F5373" s="19" t="s">
        <v>90</v>
      </c>
      <c r="G5373" s="19" t="s">
        <v>91</v>
      </c>
      <c r="H5373" s="37" t="s">
        <v>55</v>
      </c>
      <c r="I5373" s="37" t="s">
        <v>29</v>
      </c>
      <c r="J5373" s="155" t="str">
        <f t="shared" si="13"/>
        <v>TT</v>
      </c>
      <c r="K5373" s="22" t="s">
        <v>18615</v>
      </c>
      <c r="L5373" s="56">
        <v>45138</v>
      </c>
      <c r="P5373" s="40"/>
      <c r="Q5373" s="61"/>
      <c r="R5373" s="61"/>
      <c r="S5373" s="40"/>
      <c r="T5373" s="38"/>
      <c r="U5373" s="38"/>
      <c r="V5373" s="38"/>
      <c r="W5373" s="60"/>
      <c r="AB5373" s="42"/>
      <c r="AC5373" s="35"/>
      <c r="AD5373" s="38"/>
      <c r="AE5373" s="38"/>
      <c r="AF5373" s="38"/>
      <c r="AG5373" s="38"/>
      <c r="AH5373" s="60"/>
    </row>
    <row r="5374" spans="1:34" ht="15.75" customHeight="1">
      <c r="A5374" s="75" t="s">
        <v>18616</v>
      </c>
      <c r="B5374" s="78" t="s">
        <v>18617</v>
      </c>
      <c r="C5374" s="37" t="s">
        <v>24</v>
      </c>
      <c r="D5374" s="20" t="s">
        <v>18618</v>
      </c>
      <c r="E5374" s="20" t="s">
        <v>18619</v>
      </c>
      <c r="F5374" s="19" t="s">
        <v>27</v>
      </c>
      <c r="G5374" s="19" t="s">
        <v>28</v>
      </c>
      <c r="H5374" s="37" t="s">
        <v>55</v>
      </c>
      <c r="I5374" s="37" t="s">
        <v>29</v>
      </c>
      <c r="J5374" s="155" t="str">
        <f t="shared" si="13"/>
        <v>TT</v>
      </c>
      <c r="K5374" s="22" t="s">
        <v>18620</v>
      </c>
      <c r="L5374" s="56">
        <v>45138</v>
      </c>
      <c r="P5374" s="40"/>
      <c r="Q5374" s="61"/>
      <c r="R5374" s="61"/>
      <c r="S5374" s="40"/>
      <c r="T5374" s="38"/>
      <c r="U5374" s="38"/>
      <c r="V5374" s="38"/>
      <c r="W5374" s="60"/>
      <c r="AB5374" s="42"/>
      <c r="AC5374" s="35"/>
      <c r="AD5374" s="38"/>
      <c r="AE5374" s="38"/>
      <c r="AF5374" s="38"/>
      <c r="AG5374" s="38"/>
      <c r="AH5374" s="60"/>
    </row>
    <row r="5375" spans="1:34" ht="15.75" customHeight="1">
      <c r="A5375" s="111" t="s">
        <v>92</v>
      </c>
      <c r="B5375" s="78" t="s">
        <v>18621</v>
      </c>
      <c r="C5375" s="37" t="s">
        <v>46</v>
      </c>
      <c r="D5375" s="20" t="s">
        <v>18622</v>
      </c>
      <c r="E5375" s="20" t="s">
        <v>18623</v>
      </c>
      <c r="F5375" s="37" t="s">
        <v>49</v>
      </c>
      <c r="G5375" s="19" t="s">
        <v>50</v>
      </c>
      <c r="H5375" s="37" t="s">
        <v>55</v>
      </c>
      <c r="I5375" s="37" t="s">
        <v>29</v>
      </c>
      <c r="J5375" s="155" t="str">
        <f t="shared" si="13"/>
        <v>TT</v>
      </c>
      <c r="K5375" s="22" t="s">
        <v>18624</v>
      </c>
      <c r="L5375" s="56">
        <v>45138</v>
      </c>
      <c r="P5375" s="40"/>
      <c r="Q5375" s="61"/>
      <c r="R5375" s="61"/>
      <c r="S5375" s="40"/>
      <c r="T5375" s="38"/>
      <c r="U5375" s="38"/>
      <c r="V5375" s="38"/>
      <c r="W5375" s="60"/>
      <c r="AB5375" s="42"/>
      <c r="AC5375" s="35"/>
      <c r="AD5375" s="38"/>
      <c r="AE5375" s="38"/>
      <c r="AF5375" s="38"/>
      <c r="AG5375" s="38"/>
      <c r="AH5375" s="60"/>
    </row>
    <row r="5376" spans="1:34" ht="15.75" customHeight="1">
      <c r="A5376" s="112">
        <v>1306</v>
      </c>
      <c r="B5376" s="78" t="s">
        <v>18625</v>
      </c>
      <c r="C5376" s="37" t="s">
        <v>87</v>
      </c>
      <c r="D5376" s="20" t="s">
        <v>18626</v>
      </c>
      <c r="E5376" s="20" t="s">
        <v>18627</v>
      </c>
      <c r="F5376" s="19" t="s">
        <v>90</v>
      </c>
      <c r="G5376" s="19" t="s">
        <v>91</v>
      </c>
      <c r="H5376" s="37" t="s">
        <v>55</v>
      </c>
      <c r="I5376" s="37" t="s">
        <v>29</v>
      </c>
      <c r="J5376" s="155" t="str">
        <f t="shared" si="13"/>
        <v>TT</v>
      </c>
      <c r="K5376" s="22" t="s">
        <v>18628</v>
      </c>
      <c r="L5376" s="56">
        <v>45138</v>
      </c>
      <c r="P5376" s="40"/>
      <c r="Q5376" s="61"/>
      <c r="R5376" s="61"/>
      <c r="S5376" s="40"/>
      <c r="T5376" s="38"/>
      <c r="U5376" s="38"/>
      <c r="V5376" s="38"/>
      <c r="W5376" s="60"/>
      <c r="AB5376" s="42"/>
      <c r="AC5376" s="35"/>
      <c r="AD5376" s="38"/>
      <c r="AE5376" s="38"/>
      <c r="AF5376" s="38"/>
      <c r="AG5376" s="38"/>
      <c r="AH5376" s="60"/>
    </row>
    <row r="5377" spans="1:34" ht="15.75" customHeight="1">
      <c r="A5377" s="111" t="s">
        <v>100</v>
      </c>
      <c r="B5377" s="38"/>
      <c r="C5377" s="37"/>
      <c r="D5377" s="20"/>
      <c r="E5377" s="20"/>
      <c r="F5377" s="37"/>
      <c r="G5377" s="37"/>
      <c r="H5377" s="37"/>
      <c r="I5377" s="37"/>
      <c r="J5377" s="155">
        <f t="shared" si="13"/>
        <v>0</v>
      </c>
      <c r="K5377" s="22"/>
      <c r="L5377" s="56"/>
      <c r="P5377" s="40"/>
      <c r="Q5377" s="61"/>
      <c r="R5377" s="61"/>
      <c r="S5377" s="40"/>
      <c r="T5377" s="38"/>
      <c r="U5377" s="38"/>
      <c r="V5377" s="38"/>
      <c r="W5377" s="60"/>
      <c r="AB5377" s="42"/>
      <c r="AC5377" s="35"/>
      <c r="AD5377" s="38"/>
      <c r="AE5377" s="38"/>
      <c r="AF5377" s="38"/>
      <c r="AG5377" s="38"/>
      <c r="AH5377" s="60"/>
    </row>
    <row r="5378" spans="1:34" ht="15.75" customHeight="1">
      <c r="A5378" s="75">
        <v>161</v>
      </c>
      <c r="B5378" s="38"/>
      <c r="C5378" s="37"/>
      <c r="D5378" s="20"/>
      <c r="E5378" s="20"/>
      <c r="F5378" s="37"/>
      <c r="G5378" s="37"/>
      <c r="H5378" s="37"/>
      <c r="I5378" s="37"/>
      <c r="J5378" s="155">
        <f t="shared" si="13"/>
        <v>0</v>
      </c>
      <c r="K5378" s="22"/>
      <c r="L5378" s="56"/>
      <c r="P5378" s="40"/>
      <c r="Q5378" s="61"/>
      <c r="R5378" s="61"/>
      <c r="S5378" s="40"/>
      <c r="T5378" s="38"/>
      <c r="U5378" s="38"/>
      <c r="V5378" s="38"/>
      <c r="W5378" s="60"/>
      <c r="AB5378" s="42"/>
      <c r="AC5378" s="35"/>
      <c r="AD5378" s="38"/>
      <c r="AE5378" s="38"/>
      <c r="AF5378" s="38"/>
      <c r="AG5378" s="38"/>
      <c r="AH5378" s="60"/>
    </row>
    <row r="5379" spans="1:34" ht="15.75" customHeight="1">
      <c r="A5379" s="35"/>
      <c r="B5379" s="38"/>
      <c r="C5379" s="37"/>
      <c r="D5379" s="20"/>
      <c r="E5379" s="20"/>
      <c r="F5379" s="37"/>
      <c r="G5379" s="37"/>
      <c r="H5379" s="37"/>
      <c r="I5379" s="37"/>
      <c r="J5379" s="155">
        <f t="shared" si="13"/>
        <v>0</v>
      </c>
      <c r="K5379" s="22"/>
      <c r="L5379" s="56"/>
      <c r="P5379" s="40"/>
      <c r="Q5379" s="61"/>
      <c r="R5379" s="61"/>
      <c r="S5379" s="40"/>
      <c r="T5379" s="38"/>
      <c r="U5379" s="38"/>
      <c r="V5379" s="38"/>
      <c r="W5379" s="60"/>
      <c r="AB5379" s="42"/>
      <c r="AC5379" s="35"/>
      <c r="AD5379" s="38"/>
      <c r="AE5379" s="38"/>
      <c r="AF5379" s="38"/>
      <c r="AG5379" s="38"/>
      <c r="AH5379" s="60"/>
    </row>
    <row r="5380" spans="1:34" ht="15.75" customHeight="1">
      <c r="A5380" s="35" t="s">
        <v>18629</v>
      </c>
      <c r="B5380" s="81" t="s">
        <v>18630</v>
      </c>
      <c r="C5380" s="37" t="s">
        <v>24</v>
      </c>
      <c r="D5380" s="20" t="s">
        <v>18631</v>
      </c>
      <c r="E5380" s="20" t="s">
        <v>18632</v>
      </c>
      <c r="F5380" s="19" t="s">
        <v>27</v>
      </c>
      <c r="G5380" s="19" t="s">
        <v>28</v>
      </c>
      <c r="H5380" s="37" t="s">
        <v>813</v>
      </c>
      <c r="I5380" s="37" t="s">
        <v>29</v>
      </c>
      <c r="J5380" s="155" t="str">
        <f t="shared" si="13"/>
        <v>TT</v>
      </c>
      <c r="K5380" s="22" t="s">
        <v>18633</v>
      </c>
      <c r="L5380" s="56">
        <v>45138</v>
      </c>
      <c r="M5380" s="40"/>
      <c r="P5380" s="40"/>
      <c r="Q5380" s="61"/>
      <c r="R5380" s="61"/>
      <c r="S5380" s="40"/>
      <c r="T5380" s="38"/>
      <c r="U5380" s="38"/>
      <c r="V5380" s="38"/>
      <c r="W5380" s="60"/>
      <c r="AB5380" s="42"/>
      <c r="AC5380" s="35"/>
      <c r="AD5380" s="38"/>
      <c r="AE5380" s="38"/>
      <c r="AF5380" s="38"/>
      <c r="AG5380" s="38"/>
      <c r="AH5380" s="60"/>
    </row>
    <row r="5381" spans="1:34" ht="15.75" customHeight="1">
      <c r="A5381" s="54" t="s">
        <v>2714</v>
      </c>
      <c r="B5381" s="78" t="s">
        <v>18634</v>
      </c>
      <c r="C5381" s="37" t="s">
        <v>87</v>
      </c>
      <c r="D5381" s="20" t="s">
        <v>18635</v>
      </c>
      <c r="E5381" s="20" t="s">
        <v>18636</v>
      </c>
      <c r="F5381" s="19" t="s">
        <v>90</v>
      </c>
      <c r="G5381" s="19" t="s">
        <v>91</v>
      </c>
      <c r="H5381" s="37" t="s">
        <v>55</v>
      </c>
      <c r="I5381" s="37" t="s">
        <v>29</v>
      </c>
      <c r="J5381" s="155" t="str">
        <f t="shared" si="13"/>
        <v>TT</v>
      </c>
      <c r="K5381" s="22" t="s">
        <v>18637</v>
      </c>
      <c r="L5381" s="56">
        <v>45138</v>
      </c>
      <c r="P5381" s="40"/>
      <c r="Q5381" s="61"/>
      <c r="R5381" s="61"/>
      <c r="S5381" s="40"/>
      <c r="T5381" s="38"/>
      <c r="U5381" s="38"/>
      <c r="V5381" s="38"/>
      <c r="W5381" s="60"/>
      <c r="AB5381" s="42"/>
      <c r="AC5381" s="35"/>
      <c r="AD5381" s="38"/>
      <c r="AE5381" s="38"/>
      <c r="AF5381" s="38"/>
      <c r="AG5381" s="38"/>
      <c r="AH5381" s="60"/>
    </row>
    <row r="5382" spans="1:34" ht="15.75" customHeight="1">
      <c r="A5382" s="114" t="s">
        <v>39</v>
      </c>
      <c r="B5382" s="78" t="s">
        <v>18638</v>
      </c>
      <c r="C5382" s="37" t="s">
        <v>24</v>
      </c>
      <c r="D5382" s="20" t="s">
        <v>18639</v>
      </c>
      <c r="E5382" s="20" t="s">
        <v>18640</v>
      </c>
      <c r="F5382" s="19" t="s">
        <v>27</v>
      </c>
      <c r="G5382" s="19" t="s">
        <v>28</v>
      </c>
      <c r="H5382" s="37" t="s">
        <v>55</v>
      </c>
      <c r="I5382" s="37" t="s">
        <v>29</v>
      </c>
      <c r="J5382" s="155" t="str">
        <f t="shared" si="13"/>
        <v>TT</v>
      </c>
      <c r="K5382" s="22" t="s">
        <v>18640</v>
      </c>
      <c r="L5382" s="56">
        <v>45138</v>
      </c>
      <c r="P5382" s="40"/>
      <c r="Q5382" s="61"/>
      <c r="R5382" s="61"/>
      <c r="S5382" s="40"/>
      <c r="T5382" s="38"/>
      <c r="U5382" s="38"/>
      <c r="V5382" s="38"/>
      <c r="W5382" s="60"/>
      <c r="AB5382" s="42"/>
      <c r="AC5382" s="35"/>
      <c r="AD5382" s="38"/>
      <c r="AE5382" s="38"/>
      <c r="AF5382" s="38"/>
      <c r="AG5382" s="38"/>
      <c r="AH5382" s="60"/>
    </row>
    <row r="5383" spans="1:34" ht="15.75" customHeight="1">
      <c r="A5383" s="38" t="s">
        <v>18641</v>
      </c>
      <c r="B5383" s="78" t="s">
        <v>18642</v>
      </c>
      <c r="C5383" s="37" t="s">
        <v>87</v>
      </c>
      <c r="D5383" s="20" t="s">
        <v>18643</v>
      </c>
      <c r="E5383" s="20" t="s">
        <v>18644</v>
      </c>
      <c r="F5383" s="19" t="s">
        <v>90</v>
      </c>
      <c r="G5383" s="19" t="s">
        <v>91</v>
      </c>
      <c r="H5383" s="37" t="s">
        <v>55</v>
      </c>
      <c r="I5383" s="37" t="s">
        <v>29</v>
      </c>
      <c r="J5383" s="155" t="str">
        <f t="shared" si="13"/>
        <v>TT</v>
      </c>
      <c r="K5383" s="22" t="s">
        <v>18645</v>
      </c>
      <c r="L5383" s="56">
        <v>45138</v>
      </c>
      <c r="P5383" s="40"/>
      <c r="Q5383" s="61"/>
      <c r="R5383" s="61"/>
      <c r="S5383" s="40"/>
      <c r="T5383" s="38"/>
      <c r="U5383" s="38"/>
      <c r="V5383" s="38"/>
      <c r="W5383" s="60"/>
      <c r="AB5383" s="42"/>
      <c r="AC5383" s="35"/>
      <c r="AD5383" s="38"/>
      <c r="AE5383" s="38"/>
      <c r="AF5383" s="38"/>
      <c r="AG5383" s="38"/>
      <c r="AH5383" s="60"/>
    </row>
    <row r="5384" spans="1:34" ht="15.75" customHeight="1">
      <c r="A5384" s="75" t="s">
        <v>18646</v>
      </c>
      <c r="B5384" s="78" t="s">
        <v>18647</v>
      </c>
      <c r="C5384" s="37" t="s">
        <v>46</v>
      </c>
      <c r="D5384" s="20" t="s">
        <v>18648</v>
      </c>
      <c r="E5384" s="20" t="s">
        <v>18649</v>
      </c>
      <c r="F5384" s="37" t="s">
        <v>49</v>
      </c>
      <c r="G5384" s="19" t="s">
        <v>50</v>
      </c>
      <c r="H5384" s="37" t="s">
        <v>55</v>
      </c>
      <c r="I5384" s="37" t="s">
        <v>29</v>
      </c>
      <c r="J5384" s="155" t="str">
        <f t="shared" si="13"/>
        <v>TT</v>
      </c>
      <c r="K5384" s="22" t="s">
        <v>18650</v>
      </c>
      <c r="L5384" s="56">
        <v>45138</v>
      </c>
      <c r="P5384" s="40"/>
      <c r="Q5384" s="61"/>
      <c r="R5384" s="61"/>
      <c r="S5384" s="40"/>
      <c r="T5384" s="38"/>
      <c r="U5384" s="38"/>
      <c r="V5384" s="38"/>
      <c r="W5384" s="60"/>
      <c r="AB5384" s="42"/>
      <c r="AC5384" s="35"/>
      <c r="AD5384" s="38"/>
      <c r="AE5384" s="38"/>
      <c r="AF5384" s="38"/>
      <c r="AG5384" s="38"/>
      <c r="AH5384" s="60"/>
    </row>
    <row r="5385" spans="1:34" ht="15.75" customHeight="1">
      <c r="A5385" s="50" t="s">
        <v>56</v>
      </c>
      <c r="B5385" s="78" t="s">
        <v>18651</v>
      </c>
      <c r="C5385" s="37" t="s">
        <v>46</v>
      </c>
      <c r="D5385" s="20" t="s">
        <v>18652</v>
      </c>
      <c r="E5385" s="20" t="s">
        <v>18653</v>
      </c>
      <c r="F5385" s="37" t="s">
        <v>49</v>
      </c>
      <c r="G5385" s="19" t="s">
        <v>50</v>
      </c>
      <c r="H5385" s="37" t="s">
        <v>55</v>
      </c>
      <c r="I5385" s="37" t="s">
        <v>29</v>
      </c>
      <c r="J5385" s="155" t="str">
        <f t="shared" si="13"/>
        <v>TT</v>
      </c>
      <c r="K5385" s="22" t="s">
        <v>18654</v>
      </c>
      <c r="L5385" s="56">
        <v>45138</v>
      </c>
      <c r="P5385" s="40"/>
      <c r="Q5385" s="61"/>
      <c r="R5385" s="61"/>
      <c r="S5385" s="40"/>
      <c r="T5385" s="38"/>
      <c r="U5385" s="38"/>
      <c r="V5385" s="38"/>
      <c r="W5385" s="60"/>
      <c r="AB5385" s="42"/>
      <c r="AC5385" s="35"/>
      <c r="AD5385" s="38"/>
      <c r="AE5385" s="38"/>
      <c r="AF5385" s="38"/>
      <c r="AG5385" s="38"/>
      <c r="AH5385" s="60"/>
    </row>
    <row r="5386" spans="1:34" ht="15.75" customHeight="1">
      <c r="A5386" s="17" t="s">
        <v>18655</v>
      </c>
      <c r="B5386" s="78" t="s">
        <v>18656</v>
      </c>
      <c r="C5386" s="37" t="s">
        <v>24</v>
      </c>
      <c r="D5386" s="20" t="s">
        <v>18657</v>
      </c>
      <c r="E5386" s="20" t="s">
        <v>18658</v>
      </c>
      <c r="F5386" s="19" t="s">
        <v>27</v>
      </c>
      <c r="G5386" s="19" t="s">
        <v>28</v>
      </c>
      <c r="H5386" s="37" t="s">
        <v>55</v>
      </c>
      <c r="I5386" s="37" t="s">
        <v>29</v>
      </c>
      <c r="J5386" s="155" t="str">
        <f t="shared" si="13"/>
        <v>TT</v>
      </c>
      <c r="K5386" s="22" t="s">
        <v>18659</v>
      </c>
      <c r="L5386" s="56">
        <v>45138</v>
      </c>
      <c r="P5386" s="40"/>
      <c r="Q5386" s="61"/>
      <c r="R5386" s="61"/>
      <c r="S5386" s="40"/>
      <c r="T5386" s="38"/>
      <c r="U5386" s="38"/>
      <c r="V5386" s="38"/>
      <c r="W5386" s="60"/>
      <c r="AB5386" s="42"/>
      <c r="AC5386" s="35"/>
      <c r="AD5386" s="38"/>
      <c r="AE5386" s="38"/>
      <c r="AF5386" s="38"/>
      <c r="AG5386" s="38"/>
      <c r="AH5386" s="60"/>
    </row>
    <row r="5387" spans="1:34" ht="15.75" customHeight="1">
      <c r="A5387" s="111" t="s">
        <v>64</v>
      </c>
      <c r="B5387" s="78" t="s">
        <v>18660</v>
      </c>
      <c r="C5387" s="37" t="s">
        <v>24</v>
      </c>
      <c r="D5387" s="20" t="s">
        <v>18661</v>
      </c>
      <c r="E5387" s="20" t="s">
        <v>18662</v>
      </c>
      <c r="F5387" s="19" t="s">
        <v>27</v>
      </c>
      <c r="G5387" s="19" t="s">
        <v>28</v>
      </c>
      <c r="H5387" s="37" t="s">
        <v>55</v>
      </c>
      <c r="I5387" s="37" t="s">
        <v>29</v>
      </c>
      <c r="J5387" s="155" t="str">
        <f t="shared" si="13"/>
        <v>TT</v>
      </c>
      <c r="K5387" s="22" t="s">
        <v>18662</v>
      </c>
      <c r="L5387" s="56">
        <v>45138</v>
      </c>
      <c r="P5387" s="40"/>
      <c r="Q5387" s="61"/>
      <c r="R5387" s="61"/>
      <c r="S5387" s="40"/>
      <c r="T5387" s="38"/>
      <c r="U5387" s="38"/>
      <c r="V5387" s="38"/>
      <c r="W5387" s="60"/>
      <c r="AB5387" s="42"/>
      <c r="AC5387" s="35"/>
      <c r="AD5387" s="38"/>
      <c r="AE5387" s="38"/>
      <c r="AF5387" s="38"/>
      <c r="AG5387" s="38"/>
      <c r="AH5387" s="60"/>
    </row>
    <row r="5388" spans="1:34" ht="15.75" customHeight="1">
      <c r="A5388" s="75">
        <v>1.9</v>
      </c>
      <c r="B5388" s="78" t="s">
        <v>18663</v>
      </c>
      <c r="C5388" s="37" t="s">
        <v>87</v>
      </c>
      <c r="D5388" s="20" t="s">
        <v>18664</v>
      </c>
      <c r="E5388" s="20" t="s">
        <v>18665</v>
      </c>
      <c r="F5388" s="19" t="s">
        <v>90</v>
      </c>
      <c r="G5388" s="19" t="s">
        <v>91</v>
      </c>
      <c r="H5388" s="37" t="s">
        <v>55</v>
      </c>
      <c r="I5388" s="37" t="s">
        <v>29</v>
      </c>
      <c r="J5388" s="155" t="str">
        <f t="shared" si="13"/>
        <v>TT</v>
      </c>
      <c r="K5388" s="22" t="s">
        <v>18666</v>
      </c>
      <c r="L5388" s="56">
        <v>45138</v>
      </c>
      <c r="P5388" s="40"/>
      <c r="Q5388" s="61"/>
      <c r="R5388" s="61"/>
      <c r="S5388" s="40"/>
      <c r="T5388" s="38"/>
      <c r="U5388" s="38"/>
      <c r="V5388" s="38"/>
      <c r="W5388" s="60"/>
      <c r="AB5388" s="42"/>
      <c r="AC5388" s="35"/>
      <c r="AD5388" s="38"/>
      <c r="AE5388" s="38"/>
      <c r="AF5388" s="38"/>
      <c r="AG5388" s="38"/>
      <c r="AH5388" s="60"/>
    </row>
    <row r="5389" spans="1:34" ht="15.75" customHeight="1">
      <c r="A5389" s="111" t="s">
        <v>73</v>
      </c>
      <c r="B5389" s="78" t="s">
        <v>18667</v>
      </c>
      <c r="C5389" s="37" t="s">
        <v>46</v>
      </c>
      <c r="D5389" s="20" t="s">
        <v>18668</v>
      </c>
      <c r="E5389" s="20" t="s">
        <v>18669</v>
      </c>
      <c r="F5389" s="37" t="s">
        <v>49</v>
      </c>
      <c r="G5389" s="19" t="s">
        <v>50</v>
      </c>
      <c r="H5389" s="37" t="s">
        <v>55</v>
      </c>
      <c r="I5389" s="37" t="s">
        <v>29</v>
      </c>
      <c r="J5389" s="155" t="str">
        <f t="shared" si="13"/>
        <v>TT</v>
      </c>
      <c r="K5389" s="22" t="s">
        <v>18670</v>
      </c>
      <c r="L5389" s="56">
        <v>45138</v>
      </c>
      <c r="P5389" s="40"/>
      <c r="Q5389" s="61"/>
      <c r="R5389" s="61"/>
      <c r="S5389" s="40"/>
      <c r="T5389" s="38"/>
      <c r="U5389" s="38"/>
      <c r="V5389" s="38"/>
      <c r="W5389" s="60"/>
      <c r="AB5389" s="42"/>
      <c r="AC5389" s="35"/>
      <c r="AD5389" s="38"/>
      <c r="AE5389" s="38"/>
      <c r="AF5389" s="38"/>
      <c r="AG5389" s="38"/>
      <c r="AH5389" s="60"/>
    </row>
    <row r="5390" spans="1:34" ht="15.75" customHeight="1">
      <c r="A5390" s="75">
        <v>2.2999999999999998</v>
      </c>
      <c r="B5390" s="78" t="s">
        <v>18671</v>
      </c>
      <c r="C5390" s="37" t="s">
        <v>24</v>
      </c>
      <c r="D5390" s="20" t="s">
        <v>18672</v>
      </c>
      <c r="E5390" s="20" t="s">
        <v>18673</v>
      </c>
      <c r="F5390" s="19" t="s">
        <v>27</v>
      </c>
      <c r="G5390" s="19" t="s">
        <v>28</v>
      </c>
      <c r="H5390" s="37" t="s">
        <v>55</v>
      </c>
      <c r="I5390" s="37" t="s">
        <v>29</v>
      </c>
      <c r="J5390" s="155" t="str">
        <f t="shared" si="13"/>
        <v>TT</v>
      </c>
      <c r="K5390" s="22" t="s">
        <v>18674</v>
      </c>
      <c r="L5390" s="56">
        <v>45138</v>
      </c>
      <c r="P5390" s="40"/>
      <c r="Q5390" s="61"/>
      <c r="R5390" s="61"/>
      <c r="S5390" s="40"/>
      <c r="T5390" s="38"/>
      <c r="U5390" s="38"/>
      <c r="V5390" s="38"/>
      <c r="W5390" s="60"/>
      <c r="AB5390" s="42"/>
      <c r="AC5390" s="35"/>
      <c r="AD5390" s="38"/>
      <c r="AE5390" s="38"/>
      <c r="AF5390" s="38"/>
      <c r="AG5390" s="38"/>
      <c r="AH5390" s="60"/>
    </row>
    <row r="5391" spans="1:34" ht="15.75" customHeight="1">
      <c r="A5391" s="111" t="s">
        <v>82</v>
      </c>
      <c r="B5391" s="78" t="s">
        <v>18675</v>
      </c>
      <c r="C5391" s="37" t="s">
        <v>87</v>
      </c>
      <c r="D5391" s="20" t="s">
        <v>18676</v>
      </c>
      <c r="E5391" s="20" t="s">
        <v>18677</v>
      </c>
      <c r="F5391" s="19" t="s">
        <v>90</v>
      </c>
      <c r="G5391" s="19" t="s">
        <v>91</v>
      </c>
      <c r="H5391" s="37" t="s">
        <v>55</v>
      </c>
      <c r="I5391" s="37" t="s">
        <v>29</v>
      </c>
      <c r="J5391" s="155" t="str">
        <f t="shared" si="13"/>
        <v>TT</v>
      </c>
      <c r="K5391" s="22" t="s">
        <v>18678</v>
      </c>
      <c r="L5391" s="56">
        <v>45138</v>
      </c>
      <c r="P5391" s="40"/>
      <c r="Q5391" s="61"/>
      <c r="R5391" s="61"/>
      <c r="S5391" s="40"/>
      <c r="T5391" s="38"/>
      <c r="U5391" s="38"/>
      <c r="V5391" s="38"/>
      <c r="W5391" s="60"/>
      <c r="AB5391" s="42"/>
      <c r="AC5391" s="35"/>
      <c r="AD5391" s="38"/>
      <c r="AE5391" s="38"/>
      <c r="AF5391" s="38"/>
      <c r="AG5391" s="38"/>
      <c r="AH5391" s="60"/>
    </row>
    <row r="5392" spans="1:34" ht="15.75" customHeight="1">
      <c r="A5392" s="75" t="s">
        <v>18679</v>
      </c>
      <c r="B5392" s="38"/>
      <c r="C5392" s="37"/>
      <c r="D5392" s="20"/>
      <c r="E5392" s="20"/>
      <c r="F5392" s="37"/>
      <c r="G5392" s="37"/>
      <c r="H5392" s="37"/>
      <c r="I5392" s="37"/>
      <c r="J5392" s="155">
        <f t="shared" si="13"/>
        <v>0</v>
      </c>
      <c r="K5392" s="22"/>
      <c r="L5392" s="56"/>
      <c r="P5392" s="40"/>
      <c r="Q5392" s="61"/>
      <c r="R5392" s="61"/>
      <c r="S5392" s="40"/>
      <c r="T5392" s="38"/>
      <c r="U5392" s="38"/>
      <c r="V5392" s="38"/>
      <c r="W5392" s="60"/>
      <c r="AB5392" s="42"/>
      <c r="AC5392" s="35"/>
      <c r="AD5392" s="38"/>
      <c r="AE5392" s="38"/>
      <c r="AF5392" s="38"/>
      <c r="AG5392" s="38"/>
      <c r="AH5392" s="60"/>
    </row>
    <row r="5393" spans="1:34" ht="15.75" customHeight="1">
      <c r="A5393" s="111" t="s">
        <v>92</v>
      </c>
      <c r="B5393" s="38"/>
      <c r="C5393" s="37"/>
      <c r="D5393" s="20"/>
      <c r="E5393" s="20"/>
      <c r="F5393" s="37"/>
      <c r="G5393" s="37"/>
      <c r="H5393" s="37"/>
      <c r="I5393" s="37"/>
      <c r="J5393" s="155">
        <f t="shared" si="13"/>
        <v>0</v>
      </c>
      <c r="K5393" s="22"/>
      <c r="L5393" s="56"/>
      <c r="P5393" s="40"/>
      <c r="Q5393" s="61"/>
      <c r="R5393" s="61"/>
      <c r="S5393" s="40"/>
      <c r="T5393" s="38"/>
      <c r="U5393" s="38"/>
      <c r="V5393" s="38"/>
      <c r="W5393" s="60"/>
      <c r="AB5393" s="42"/>
      <c r="AC5393" s="35"/>
      <c r="AD5393" s="38"/>
      <c r="AE5393" s="38"/>
      <c r="AF5393" s="38"/>
      <c r="AG5393" s="38"/>
      <c r="AH5393" s="60"/>
    </row>
    <row r="5394" spans="1:34" ht="15.75" customHeight="1">
      <c r="A5394" s="112">
        <v>960</v>
      </c>
      <c r="B5394" s="38"/>
      <c r="C5394" s="37"/>
      <c r="D5394" s="20"/>
      <c r="E5394" s="20"/>
      <c r="F5394" s="37"/>
      <c r="G5394" s="37"/>
      <c r="H5394" s="37"/>
      <c r="I5394" s="37"/>
      <c r="J5394" s="155">
        <f t="shared" si="13"/>
        <v>0</v>
      </c>
      <c r="K5394" s="22"/>
      <c r="L5394" s="56"/>
      <c r="P5394" s="40"/>
      <c r="Q5394" s="61"/>
      <c r="R5394" s="61"/>
      <c r="S5394" s="40"/>
      <c r="T5394" s="38"/>
      <c r="U5394" s="38"/>
      <c r="V5394" s="38"/>
      <c r="W5394" s="60"/>
      <c r="AB5394" s="42"/>
      <c r="AC5394" s="35"/>
      <c r="AD5394" s="38"/>
      <c r="AE5394" s="38"/>
      <c r="AF5394" s="38"/>
      <c r="AG5394" s="38"/>
      <c r="AH5394" s="60"/>
    </row>
    <row r="5395" spans="1:34" ht="15.75" customHeight="1">
      <c r="A5395" s="111" t="s">
        <v>100</v>
      </c>
      <c r="B5395" s="38"/>
      <c r="C5395" s="37"/>
      <c r="D5395" s="20"/>
      <c r="E5395" s="20"/>
      <c r="F5395" s="37"/>
      <c r="G5395" s="37"/>
      <c r="H5395" s="37"/>
      <c r="I5395" s="37"/>
      <c r="J5395" s="155">
        <f t="shared" si="13"/>
        <v>0</v>
      </c>
      <c r="K5395" s="22"/>
      <c r="L5395" s="56"/>
      <c r="P5395" s="40"/>
      <c r="Q5395" s="61"/>
      <c r="R5395" s="61"/>
      <c r="S5395" s="40"/>
      <c r="T5395" s="38"/>
      <c r="U5395" s="38"/>
      <c r="V5395" s="38"/>
      <c r="W5395" s="60"/>
      <c r="AB5395" s="42"/>
      <c r="AC5395" s="35"/>
      <c r="AD5395" s="38"/>
      <c r="AE5395" s="38"/>
      <c r="AF5395" s="38"/>
      <c r="AG5395" s="38"/>
      <c r="AH5395" s="60"/>
    </row>
    <row r="5396" spans="1:34" ht="15.75" customHeight="1">
      <c r="A5396" s="75">
        <v>157</v>
      </c>
      <c r="B5396" s="38"/>
      <c r="C5396" s="37"/>
      <c r="D5396" s="20"/>
      <c r="E5396" s="20"/>
      <c r="F5396" s="37"/>
      <c r="G5396" s="37"/>
      <c r="H5396" s="37"/>
      <c r="I5396" s="37"/>
      <c r="J5396" s="155">
        <f t="shared" si="13"/>
        <v>0</v>
      </c>
      <c r="K5396" s="22"/>
      <c r="L5396" s="56"/>
      <c r="P5396" s="40"/>
      <c r="Q5396" s="61"/>
      <c r="R5396" s="61"/>
      <c r="S5396" s="40"/>
      <c r="T5396" s="38"/>
      <c r="U5396" s="38"/>
      <c r="V5396" s="38"/>
      <c r="W5396" s="60"/>
      <c r="AB5396" s="42"/>
      <c r="AC5396" s="35"/>
      <c r="AD5396" s="38"/>
      <c r="AE5396" s="38"/>
      <c r="AF5396" s="38"/>
      <c r="AG5396" s="38"/>
      <c r="AH5396" s="60"/>
    </row>
    <row r="5397" spans="1:34" ht="15.75" customHeight="1">
      <c r="A5397" s="35"/>
      <c r="B5397" s="38"/>
      <c r="C5397" s="37"/>
      <c r="D5397" s="20"/>
      <c r="E5397" s="20"/>
      <c r="F5397" s="37"/>
      <c r="G5397" s="37"/>
      <c r="H5397" s="37"/>
      <c r="I5397" s="37"/>
      <c r="J5397" s="155">
        <f t="shared" si="13"/>
        <v>0</v>
      </c>
      <c r="K5397" s="22"/>
      <c r="L5397" s="56"/>
      <c r="P5397" s="40"/>
      <c r="Q5397" s="61"/>
      <c r="R5397" s="61"/>
      <c r="S5397" s="40"/>
      <c r="T5397" s="38"/>
      <c r="U5397" s="38"/>
      <c r="V5397" s="38"/>
      <c r="W5397" s="60"/>
      <c r="AB5397" s="42"/>
      <c r="AC5397" s="35"/>
      <c r="AD5397" s="38"/>
      <c r="AE5397" s="38"/>
      <c r="AF5397" s="38"/>
      <c r="AG5397" s="38"/>
      <c r="AH5397" s="60"/>
    </row>
    <row r="5398" spans="1:34" ht="15.75" customHeight="1">
      <c r="A5398" s="54" t="s">
        <v>18680</v>
      </c>
      <c r="B5398" s="81" t="s">
        <v>18681</v>
      </c>
      <c r="C5398" s="37" t="s">
        <v>24</v>
      </c>
      <c r="D5398" s="20" t="s">
        <v>18682</v>
      </c>
      <c r="E5398" s="20" t="s">
        <v>18683</v>
      </c>
      <c r="F5398" s="19" t="s">
        <v>27</v>
      </c>
      <c r="G5398" s="19" t="s">
        <v>28</v>
      </c>
      <c r="H5398" s="37" t="s">
        <v>813</v>
      </c>
      <c r="I5398" s="37" t="s">
        <v>29</v>
      </c>
      <c r="J5398" s="155" t="str">
        <f t="shared" si="13"/>
        <v>TT</v>
      </c>
      <c r="K5398" s="22" t="s">
        <v>18684</v>
      </c>
      <c r="L5398" s="56">
        <v>45138</v>
      </c>
      <c r="M5398" s="40"/>
      <c r="P5398" s="40"/>
      <c r="Q5398" s="61"/>
      <c r="R5398" s="61"/>
      <c r="S5398" s="40"/>
      <c r="T5398" s="38"/>
      <c r="U5398" s="38"/>
      <c r="V5398" s="38"/>
      <c r="W5398" s="60"/>
      <c r="AB5398" s="42"/>
      <c r="AC5398" s="35"/>
      <c r="AD5398" s="38"/>
      <c r="AE5398" s="38"/>
      <c r="AF5398" s="38"/>
      <c r="AG5398" s="38"/>
      <c r="AH5398" s="60"/>
    </row>
    <row r="5399" spans="1:34" ht="15.75" customHeight="1">
      <c r="A5399" s="54" t="s">
        <v>12252</v>
      </c>
      <c r="B5399" s="78" t="s">
        <v>18685</v>
      </c>
      <c r="C5399" s="37" t="s">
        <v>24</v>
      </c>
      <c r="D5399" s="20" t="s">
        <v>18686</v>
      </c>
      <c r="E5399" s="20" t="s">
        <v>18687</v>
      </c>
      <c r="F5399" s="19" t="s">
        <v>27</v>
      </c>
      <c r="G5399" s="19" t="s">
        <v>28</v>
      </c>
      <c r="H5399" s="37" t="s">
        <v>55</v>
      </c>
      <c r="I5399" s="37" t="s">
        <v>29</v>
      </c>
      <c r="J5399" s="155" t="str">
        <f t="shared" si="13"/>
        <v>TT</v>
      </c>
      <c r="K5399" s="22" t="s">
        <v>18688</v>
      </c>
      <c r="L5399" s="56">
        <v>45138</v>
      </c>
      <c r="P5399" s="40"/>
      <c r="Q5399" s="61"/>
      <c r="R5399" s="61"/>
      <c r="S5399" s="40"/>
      <c r="T5399" s="38"/>
      <c r="U5399" s="38"/>
      <c r="V5399" s="38"/>
      <c r="W5399" s="60"/>
      <c r="AB5399" s="42"/>
      <c r="AC5399" s="35"/>
      <c r="AD5399" s="38"/>
      <c r="AE5399" s="38"/>
      <c r="AF5399" s="38"/>
      <c r="AG5399" s="38"/>
      <c r="AH5399" s="60"/>
    </row>
    <row r="5400" spans="1:34" ht="15.75" customHeight="1">
      <c r="A5400" s="114" t="s">
        <v>39</v>
      </c>
      <c r="B5400" s="78" t="s">
        <v>18689</v>
      </c>
      <c r="C5400" s="37" t="s">
        <v>24</v>
      </c>
      <c r="D5400" s="20" t="s">
        <v>18690</v>
      </c>
      <c r="E5400" s="20" t="s">
        <v>18691</v>
      </c>
      <c r="F5400" s="19" t="s">
        <v>27</v>
      </c>
      <c r="G5400" s="19" t="s">
        <v>28</v>
      </c>
      <c r="H5400" s="37" t="s">
        <v>55</v>
      </c>
      <c r="I5400" s="37" t="s">
        <v>29</v>
      </c>
      <c r="J5400" s="155" t="str">
        <f t="shared" si="13"/>
        <v>TT</v>
      </c>
      <c r="K5400" s="22" t="s">
        <v>18692</v>
      </c>
      <c r="L5400" s="56">
        <v>45138</v>
      </c>
      <c r="P5400" s="40"/>
      <c r="Q5400" s="61"/>
      <c r="R5400" s="61"/>
      <c r="S5400" s="40"/>
      <c r="T5400" s="38"/>
      <c r="U5400" s="38"/>
      <c r="V5400" s="38"/>
      <c r="W5400" s="60"/>
      <c r="AB5400" s="42"/>
      <c r="AC5400" s="35"/>
      <c r="AD5400" s="38"/>
      <c r="AE5400" s="38"/>
      <c r="AF5400" s="38"/>
      <c r="AG5400" s="38"/>
      <c r="AH5400" s="60"/>
    </row>
    <row r="5401" spans="1:34" ht="15.75" customHeight="1">
      <c r="A5401" s="38" t="s">
        <v>18641</v>
      </c>
      <c r="B5401" s="78" t="s">
        <v>18693</v>
      </c>
      <c r="C5401" s="37" t="s">
        <v>24</v>
      </c>
      <c r="D5401" s="20" t="s">
        <v>18694</v>
      </c>
      <c r="E5401" s="20"/>
      <c r="F5401" s="19" t="s">
        <v>27</v>
      </c>
      <c r="G5401" s="19" t="s">
        <v>28</v>
      </c>
      <c r="H5401" s="37" t="s">
        <v>55</v>
      </c>
      <c r="I5401" s="37" t="s">
        <v>29</v>
      </c>
      <c r="J5401" s="155" t="str">
        <f t="shared" si="13"/>
        <v>TT</v>
      </c>
      <c r="K5401" s="22"/>
      <c r="L5401" s="56">
        <v>45138</v>
      </c>
      <c r="P5401" s="40"/>
      <c r="Q5401" s="61"/>
      <c r="R5401" s="61"/>
      <c r="S5401" s="40"/>
      <c r="T5401" s="38"/>
      <c r="U5401" s="38"/>
      <c r="V5401" s="38"/>
      <c r="W5401" s="60"/>
      <c r="AB5401" s="42"/>
      <c r="AC5401" s="35"/>
      <c r="AD5401" s="38"/>
      <c r="AE5401" s="38"/>
      <c r="AF5401" s="38"/>
      <c r="AG5401" s="38"/>
      <c r="AH5401" s="60"/>
    </row>
    <row r="5402" spans="1:34" ht="15.75" customHeight="1">
      <c r="A5402" s="75" t="s">
        <v>10670</v>
      </c>
      <c r="B5402" s="78" t="s">
        <v>18695</v>
      </c>
      <c r="C5402" s="37" t="s">
        <v>24</v>
      </c>
      <c r="D5402" s="20" t="s">
        <v>18696</v>
      </c>
      <c r="E5402" s="185"/>
      <c r="F5402" s="19" t="s">
        <v>27</v>
      </c>
      <c r="G5402" s="19" t="s">
        <v>28</v>
      </c>
      <c r="H5402" s="37" t="s">
        <v>55</v>
      </c>
      <c r="I5402" s="37" t="s">
        <v>29</v>
      </c>
      <c r="J5402" s="155" t="str">
        <f t="shared" si="13"/>
        <v>TT</v>
      </c>
      <c r="K5402" s="274"/>
      <c r="L5402" s="56">
        <v>45138</v>
      </c>
      <c r="P5402" s="40"/>
      <c r="Q5402" s="61"/>
      <c r="R5402" s="61"/>
      <c r="S5402" s="40"/>
      <c r="T5402" s="38"/>
      <c r="U5402" s="38"/>
      <c r="V5402" s="38"/>
      <c r="W5402" s="60"/>
      <c r="AB5402" s="42"/>
      <c r="AC5402" s="35"/>
      <c r="AD5402" s="38"/>
      <c r="AE5402" s="38"/>
      <c r="AF5402" s="38"/>
      <c r="AG5402" s="38"/>
      <c r="AH5402" s="60"/>
    </row>
    <row r="5403" spans="1:34" ht="15.75" customHeight="1">
      <c r="A5403" s="50" t="s">
        <v>56</v>
      </c>
      <c r="B5403" s="78" t="s">
        <v>18697</v>
      </c>
      <c r="C5403" s="37" t="s">
        <v>24</v>
      </c>
      <c r="D5403" s="20" t="s">
        <v>18698</v>
      </c>
      <c r="E5403" s="20" t="s">
        <v>18699</v>
      </c>
      <c r="F5403" s="19" t="s">
        <v>27</v>
      </c>
      <c r="G5403" s="19" t="s">
        <v>28</v>
      </c>
      <c r="H5403" s="37" t="s">
        <v>55</v>
      </c>
      <c r="I5403" s="37" t="s">
        <v>29</v>
      </c>
      <c r="J5403" s="155" t="str">
        <f t="shared" si="13"/>
        <v>TT</v>
      </c>
      <c r="K5403" s="22" t="s">
        <v>18700</v>
      </c>
      <c r="L5403" s="56">
        <v>45138</v>
      </c>
      <c r="P5403" s="40"/>
      <c r="Q5403" s="61"/>
      <c r="R5403" s="61"/>
      <c r="S5403" s="40"/>
      <c r="T5403" s="38"/>
      <c r="U5403" s="38"/>
      <c r="V5403" s="38"/>
      <c r="W5403" s="60"/>
      <c r="AB5403" s="42"/>
      <c r="AC5403" s="35"/>
      <c r="AD5403" s="38"/>
      <c r="AE5403" s="38"/>
      <c r="AF5403" s="38"/>
      <c r="AG5403" s="38"/>
      <c r="AH5403" s="60"/>
    </row>
    <row r="5404" spans="1:34" ht="15.75" customHeight="1">
      <c r="A5404" s="17">
        <v>49</v>
      </c>
      <c r="B5404" s="78" t="s">
        <v>18701</v>
      </c>
      <c r="C5404" s="37" t="s">
        <v>87</v>
      </c>
      <c r="D5404" s="20" t="s">
        <v>18702</v>
      </c>
      <c r="E5404" s="20" t="s">
        <v>18703</v>
      </c>
      <c r="F5404" s="19" t="s">
        <v>90</v>
      </c>
      <c r="G5404" s="19" t="s">
        <v>91</v>
      </c>
      <c r="H5404" s="37" t="s">
        <v>55</v>
      </c>
      <c r="I5404" s="37" t="s">
        <v>29</v>
      </c>
      <c r="J5404" s="155" t="str">
        <f t="shared" si="13"/>
        <v>TT</v>
      </c>
      <c r="K5404" s="22" t="s">
        <v>18704</v>
      </c>
      <c r="L5404" s="56">
        <v>45138</v>
      </c>
      <c r="P5404" s="40"/>
      <c r="Q5404" s="61"/>
      <c r="R5404" s="61"/>
      <c r="S5404" s="40"/>
      <c r="T5404" s="38"/>
      <c r="U5404" s="38"/>
      <c r="V5404" s="38"/>
      <c r="W5404" s="60"/>
      <c r="AB5404" s="42"/>
      <c r="AC5404" s="35"/>
      <c r="AD5404" s="38"/>
      <c r="AE5404" s="38"/>
      <c r="AF5404" s="38"/>
      <c r="AG5404" s="38"/>
      <c r="AH5404" s="60"/>
    </row>
    <row r="5405" spans="1:34" ht="15.75" customHeight="1">
      <c r="A5405" s="111" t="s">
        <v>64</v>
      </c>
      <c r="B5405" s="78" t="s">
        <v>18705</v>
      </c>
      <c r="C5405" s="37" t="s">
        <v>87</v>
      </c>
      <c r="D5405" s="20" t="s">
        <v>18706</v>
      </c>
      <c r="E5405" s="20" t="s">
        <v>18707</v>
      </c>
      <c r="F5405" s="19" t="s">
        <v>90</v>
      </c>
      <c r="G5405" s="19" t="s">
        <v>91</v>
      </c>
      <c r="H5405" s="37" t="s">
        <v>55</v>
      </c>
      <c r="I5405" s="37" t="s">
        <v>29</v>
      </c>
      <c r="J5405" s="155" t="str">
        <f t="shared" si="13"/>
        <v>TT</v>
      </c>
      <c r="K5405" s="22" t="s">
        <v>18708</v>
      </c>
      <c r="L5405" s="56">
        <v>45138</v>
      </c>
      <c r="P5405" s="40"/>
      <c r="Q5405" s="61"/>
      <c r="R5405" s="61"/>
      <c r="S5405" s="40"/>
      <c r="T5405" s="38"/>
      <c r="U5405" s="38"/>
      <c r="V5405" s="38"/>
      <c r="W5405" s="60"/>
      <c r="AB5405" s="42"/>
      <c r="AC5405" s="35"/>
      <c r="AD5405" s="38"/>
      <c r="AE5405" s="38"/>
      <c r="AF5405" s="38"/>
      <c r="AG5405" s="38"/>
      <c r="AH5405" s="60"/>
    </row>
    <row r="5406" spans="1:34" ht="15.75" customHeight="1">
      <c r="A5406" s="75">
        <v>2.2999999999999998</v>
      </c>
      <c r="B5406" s="78" t="s">
        <v>18709</v>
      </c>
      <c r="C5406" s="37" t="s">
        <v>87</v>
      </c>
      <c r="D5406" s="20" t="s">
        <v>18710</v>
      </c>
      <c r="E5406" s="20" t="s">
        <v>18711</v>
      </c>
      <c r="F5406" s="19" t="s">
        <v>90</v>
      </c>
      <c r="G5406" s="19" t="s">
        <v>91</v>
      </c>
      <c r="H5406" s="37" t="s">
        <v>55</v>
      </c>
      <c r="I5406" s="37" t="s">
        <v>29</v>
      </c>
      <c r="J5406" s="155" t="str">
        <f t="shared" si="13"/>
        <v>TT</v>
      </c>
      <c r="K5406" s="22" t="s">
        <v>18712</v>
      </c>
      <c r="L5406" s="56">
        <v>45138</v>
      </c>
      <c r="P5406" s="40"/>
      <c r="Q5406" s="61"/>
      <c r="R5406" s="61"/>
      <c r="S5406" s="40"/>
      <c r="T5406" s="38"/>
      <c r="U5406" s="38"/>
      <c r="V5406" s="38"/>
      <c r="W5406" s="60"/>
      <c r="AB5406" s="42"/>
      <c r="AC5406" s="35"/>
      <c r="AD5406" s="38"/>
      <c r="AE5406" s="38"/>
      <c r="AF5406" s="38"/>
      <c r="AG5406" s="38"/>
      <c r="AH5406" s="60"/>
    </row>
    <row r="5407" spans="1:34" ht="15.75" customHeight="1">
      <c r="A5407" s="111" t="s">
        <v>73</v>
      </c>
      <c r="B5407" s="78" t="s">
        <v>18713</v>
      </c>
      <c r="C5407" s="37" t="s">
        <v>87</v>
      </c>
      <c r="D5407" s="20" t="s">
        <v>18714</v>
      </c>
      <c r="E5407" s="20" t="s">
        <v>18715</v>
      </c>
      <c r="F5407" s="19" t="s">
        <v>90</v>
      </c>
      <c r="G5407" s="19" t="s">
        <v>91</v>
      </c>
      <c r="H5407" s="37" t="s">
        <v>55</v>
      </c>
      <c r="I5407" s="37" t="s">
        <v>29</v>
      </c>
      <c r="J5407" s="155" t="str">
        <f t="shared" si="13"/>
        <v>TT</v>
      </c>
      <c r="K5407" s="22" t="s">
        <v>18716</v>
      </c>
      <c r="L5407" s="56">
        <v>45138</v>
      </c>
      <c r="P5407" s="40"/>
      <c r="Q5407" s="61"/>
      <c r="R5407" s="61"/>
      <c r="S5407" s="40"/>
      <c r="T5407" s="38"/>
      <c r="U5407" s="38"/>
      <c r="V5407" s="38"/>
      <c r="W5407" s="60"/>
      <c r="AB5407" s="42"/>
      <c r="AC5407" s="35"/>
      <c r="AD5407" s="38"/>
      <c r="AE5407" s="38"/>
      <c r="AF5407" s="38"/>
      <c r="AG5407" s="38"/>
      <c r="AH5407" s="60"/>
    </row>
    <row r="5408" spans="1:34" ht="15.75" customHeight="1">
      <c r="A5408" s="75">
        <v>2.7</v>
      </c>
      <c r="B5408" s="78" t="s">
        <v>18717</v>
      </c>
      <c r="C5408" s="37" t="s">
        <v>87</v>
      </c>
      <c r="D5408" s="20" t="s">
        <v>18718</v>
      </c>
      <c r="E5408" s="20" t="s">
        <v>18719</v>
      </c>
      <c r="F5408" s="19" t="s">
        <v>90</v>
      </c>
      <c r="G5408" s="19" t="s">
        <v>91</v>
      </c>
      <c r="H5408" s="37" t="s">
        <v>55</v>
      </c>
      <c r="I5408" s="37" t="s">
        <v>29</v>
      </c>
      <c r="J5408" s="155" t="str">
        <f t="shared" si="13"/>
        <v>TT</v>
      </c>
      <c r="K5408" s="22" t="s">
        <v>18720</v>
      </c>
      <c r="L5408" s="56">
        <v>45138</v>
      </c>
      <c r="P5408" s="40"/>
      <c r="Q5408" s="61"/>
      <c r="R5408" s="61"/>
      <c r="S5408" s="40"/>
      <c r="T5408" s="38"/>
      <c r="U5408" s="38"/>
      <c r="V5408" s="38"/>
      <c r="W5408" s="60"/>
      <c r="AB5408" s="42"/>
      <c r="AC5408" s="35"/>
      <c r="AD5408" s="38"/>
      <c r="AE5408" s="38"/>
      <c r="AF5408" s="38"/>
      <c r="AG5408" s="38"/>
      <c r="AH5408" s="60"/>
    </row>
    <row r="5409" spans="1:34" ht="15.75" customHeight="1">
      <c r="A5409" s="111" t="s">
        <v>82</v>
      </c>
      <c r="B5409" s="78" t="s">
        <v>18721</v>
      </c>
      <c r="C5409" s="37" t="s">
        <v>87</v>
      </c>
      <c r="D5409" s="20" t="s">
        <v>18722</v>
      </c>
      <c r="E5409" s="20" t="s">
        <v>18723</v>
      </c>
      <c r="F5409" s="19" t="s">
        <v>90</v>
      </c>
      <c r="G5409" s="19" t="s">
        <v>91</v>
      </c>
      <c r="H5409" s="37" t="s">
        <v>55</v>
      </c>
      <c r="I5409" s="37" t="s">
        <v>29</v>
      </c>
      <c r="J5409" s="155" t="str">
        <f t="shared" si="13"/>
        <v>TT</v>
      </c>
      <c r="K5409" s="22" t="s">
        <v>18724</v>
      </c>
      <c r="L5409" s="56">
        <v>45138</v>
      </c>
      <c r="P5409" s="40"/>
      <c r="Q5409" s="61"/>
      <c r="R5409" s="61"/>
      <c r="S5409" s="40"/>
      <c r="T5409" s="38"/>
      <c r="U5409" s="38"/>
      <c r="V5409" s="38"/>
      <c r="W5409" s="60"/>
      <c r="AB5409" s="42"/>
      <c r="AC5409" s="35"/>
      <c r="AD5409" s="38"/>
      <c r="AE5409" s="38"/>
      <c r="AF5409" s="38"/>
      <c r="AG5409" s="38"/>
      <c r="AH5409" s="60"/>
    </row>
    <row r="5410" spans="1:34" ht="15.75" customHeight="1">
      <c r="A5410" s="75" t="s">
        <v>18725</v>
      </c>
      <c r="B5410" s="78" t="s">
        <v>18726</v>
      </c>
      <c r="C5410" s="37" t="s">
        <v>87</v>
      </c>
      <c r="D5410" s="20" t="s">
        <v>18727</v>
      </c>
      <c r="E5410" s="20" t="s">
        <v>18728</v>
      </c>
      <c r="F5410" s="19" t="s">
        <v>90</v>
      </c>
      <c r="G5410" s="19" t="s">
        <v>91</v>
      </c>
      <c r="H5410" s="37" t="s">
        <v>55</v>
      </c>
      <c r="I5410" s="37" t="s">
        <v>29</v>
      </c>
      <c r="J5410" s="155" t="str">
        <f t="shared" si="13"/>
        <v>TT</v>
      </c>
      <c r="K5410" s="22" t="s">
        <v>18729</v>
      </c>
      <c r="L5410" s="56">
        <v>45138</v>
      </c>
      <c r="P5410" s="40"/>
      <c r="Q5410" s="61"/>
      <c r="R5410" s="61"/>
      <c r="S5410" s="40"/>
      <c r="T5410" s="38"/>
      <c r="U5410" s="38"/>
      <c r="V5410" s="38"/>
      <c r="W5410" s="60"/>
      <c r="AB5410" s="42"/>
      <c r="AC5410" s="35"/>
      <c r="AD5410" s="38"/>
      <c r="AE5410" s="38"/>
      <c r="AF5410" s="38"/>
      <c r="AG5410" s="38"/>
      <c r="AH5410" s="60"/>
    </row>
    <row r="5411" spans="1:34" ht="15.75" customHeight="1">
      <c r="A5411" s="111" t="s">
        <v>92</v>
      </c>
      <c r="B5411" s="78" t="s">
        <v>18730</v>
      </c>
      <c r="C5411" s="37" t="s">
        <v>87</v>
      </c>
      <c r="D5411" s="20" t="s">
        <v>18731</v>
      </c>
      <c r="E5411" s="20" t="s">
        <v>18732</v>
      </c>
      <c r="F5411" s="19" t="s">
        <v>90</v>
      </c>
      <c r="G5411" s="19" t="s">
        <v>91</v>
      </c>
      <c r="H5411" s="37" t="s">
        <v>55</v>
      </c>
      <c r="I5411" s="37" t="s">
        <v>29</v>
      </c>
      <c r="J5411" s="155" t="str">
        <f t="shared" si="13"/>
        <v>TT</v>
      </c>
      <c r="K5411" s="22" t="s">
        <v>18733</v>
      </c>
      <c r="L5411" s="56">
        <v>45138</v>
      </c>
      <c r="P5411" s="40"/>
      <c r="Q5411" s="61"/>
      <c r="R5411" s="61"/>
      <c r="S5411" s="40"/>
      <c r="T5411" s="38"/>
      <c r="U5411" s="38"/>
      <c r="V5411" s="38"/>
      <c r="W5411" s="60"/>
      <c r="AB5411" s="42"/>
      <c r="AC5411" s="35"/>
      <c r="AD5411" s="38"/>
      <c r="AE5411" s="38"/>
      <c r="AF5411" s="38"/>
      <c r="AG5411" s="38"/>
      <c r="AH5411" s="60"/>
    </row>
    <row r="5412" spans="1:34" ht="15.75" customHeight="1">
      <c r="A5412" s="112">
        <v>852</v>
      </c>
      <c r="B5412" s="78" t="s">
        <v>18734</v>
      </c>
      <c r="C5412" s="37" t="s">
        <v>46</v>
      </c>
      <c r="D5412" s="20" t="s">
        <v>18735</v>
      </c>
      <c r="E5412" s="20" t="s">
        <v>18736</v>
      </c>
      <c r="F5412" s="37" t="s">
        <v>49</v>
      </c>
      <c r="G5412" s="19" t="s">
        <v>50</v>
      </c>
      <c r="H5412" s="37" t="s">
        <v>55</v>
      </c>
      <c r="I5412" s="37" t="s">
        <v>29</v>
      </c>
      <c r="J5412" s="155" t="str">
        <f t="shared" si="13"/>
        <v>TT</v>
      </c>
      <c r="K5412" s="22" t="s">
        <v>18737</v>
      </c>
      <c r="L5412" s="56">
        <v>45138</v>
      </c>
      <c r="P5412" s="40"/>
      <c r="Q5412" s="61"/>
      <c r="R5412" s="61"/>
      <c r="S5412" s="40"/>
      <c r="T5412" s="38"/>
      <c r="U5412" s="38"/>
      <c r="V5412" s="38"/>
      <c r="W5412" s="60"/>
      <c r="AB5412" s="42"/>
      <c r="AC5412" s="35"/>
      <c r="AD5412" s="38"/>
      <c r="AE5412" s="38"/>
      <c r="AF5412" s="38"/>
      <c r="AG5412" s="38"/>
      <c r="AH5412" s="60"/>
    </row>
    <row r="5413" spans="1:34" ht="15.75" customHeight="1">
      <c r="A5413" s="111" t="s">
        <v>100</v>
      </c>
      <c r="B5413" s="78" t="s">
        <v>18738</v>
      </c>
      <c r="C5413" s="37" t="s">
        <v>46</v>
      </c>
      <c r="D5413" s="20" t="s">
        <v>18739</v>
      </c>
      <c r="E5413" s="20" t="s">
        <v>18740</v>
      </c>
      <c r="F5413" s="37" t="s">
        <v>49</v>
      </c>
      <c r="G5413" s="19" t="s">
        <v>50</v>
      </c>
      <c r="H5413" s="37" t="s">
        <v>55</v>
      </c>
      <c r="I5413" s="37" t="s">
        <v>29</v>
      </c>
      <c r="J5413" s="155" t="str">
        <f t="shared" si="13"/>
        <v>TT</v>
      </c>
      <c r="K5413" s="22" t="s">
        <v>18741</v>
      </c>
      <c r="L5413" s="56">
        <v>45138</v>
      </c>
      <c r="P5413" s="40"/>
      <c r="Q5413" s="61"/>
      <c r="R5413" s="61"/>
      <c r="S5413" s="40"/>
      <c r="T5413" s="38"/>
      <c r="U5413" s="38"/>
      <c r="V5413" s="38"/>
      <c r="W5413" s="60"/>
      <c r="AB5413" s="42"/>
      <c r="AC5413" s="35"/>
      <c r="AD5413" s="38"/>
      <c r="AE5413" s="38"/>
      <c r="AF5413" s="38"/>
      <c r="AG5413" s="38"/>
      <c r="AH5413" s="60"/>
    </row>
    <row r="5414" spans="1:34" ht="15.75" customHeight="1">
      <c r="A5414" s="75">
        <v>160</v>
      </c>
      <c r="B5414" s="78" t="s">
        <v>18742</v>
      </c>
      <c r="C5414" s="37" t="s">
        <v>46</v>
      </c>
      <c r="D5414" s="20" t="s">
        <v>18743</v>
      </c>
      <c r="E5414" s="20"/>
      <c r="F5414" s="37" t="s">
        <v>49</v>
      </c>
      <c r="G5414" s="19" t="s">
        <v>50</v>
      </c>
      <c r="H5414" s="37" t="s">
        <v>55</v>
      </c>
      <c r="I5414" s="37" t="s">
        <v>29</v>
      </c>
      <c r="J5414" s="155" t="str">
        <f t="shared" si="13"/>
        <v>TT</v>
      </c>
      <c r="K5414" s="22"/>
      <c r="L5414" s="56">
        <v>45138</v>
      </c>
      <c r="P5414" s="40"/>
      <c r="Q5414" s="61"/>
      <c r="R5414" s="61"/>
      <c r="S5414" s="40"/>
      <c r="T5414" s="38"/>
      <c r="U5414" s="38"/>
      <c r="V5414" s="38"/>
      <c r="W5414" s="60"/>
      <c r="AB5414" s="42"/>
      <c r="AC5414" s="35"/>
      <c r="AD5414" s="38"/>
      <c r="AE5414" s="38"/>
      <c r="AF5414" s="38"/>
      <c r="AG5414" s="38"/>
      <c r="AH5414" s="60"/>
    </row>
    <row r="5415" spans="1:34" ht="15.75" customHeight="1">
      <c r="A5415" s="35"/>
      <c r="B5415" s="78" t="s">
        <v>18744</v>
      </c>
      <c r="C5415" s="37" t="s">
        <v>46</v>
      </c>
      <c r="D5415" s="20" t="s">
        <v>18745</v>
      </c>
      <c r="E5415" s="20" t="s">
        <v>18746</v>
      </c>
      <c r="F5415" s="37" t="s">
        <v>49</v>
      </c>
      <c r="G5415" s="19" t="s">
        <v>50</v>
      </c>
      <c r="H5415" s="37" t="s">
        <v>55</v>
      </c>
      <c r="I5415" s="37" t="s">
        <v>29</v>
      </c>
      <c r="J5415" s="155" t="str">
        <f t="shared" si="13"/>
        <v>TT</v>
      </c>
      <c r="K5415" s="22" t="s">
        <v>18747</v>
      </c>
      <c r="L5415" s="56">
        <v>45138</v>
      </c>
      <c r="P5415" s="40"/>
      <c r="Q5415" s="61"/>
      <c r="R5415" s="61"/>
      <c r="S5415" s="40"/>
      <c r="T5415" s="38"/>
      <c r="U5415" s="38"/>
      <c r="V5415" s="38"/>
      <c r="W5415" s="60"/>
      <c r="AB5415" s="42"/>
      <c r="AC5415" s="35"/>
      <c r="AD5415" s="38"/>
      <c r="AE5415" s="38"/>
      <c r="AF5415" s="38"/>
      <c r="AG5415" s="38"/>
      <c r="AH5415" s="60"/>
    </row>
    <row r="5416" spans="1:34" ht="15.75" customHeight="1">
      <c r="A5416" s="35"/>
      <c r="B5416" s="78" t="s">
        <v>18748</v>
      </c>
      <c r="C5416" s="37" t="s">
        <v>46</v>
      </c>
      <c r="D5416" s="20" t="s">
        <v>18749</v>
      </c>
      <c r="E5416" s="20" t="s">
        <v>18750</v>
      </c>
      <c r="F5416" s="37" t="s">
        <v>49</v>
      </c>
      <c r="G5416" s="19" t="s">
        <v>50</v>
      </c>
      <c r="H5416" s="37" t="s">
        <v>55</v>
      </c>
      <c r="I5416" s="37" t="s">
        <v>29</v>
      </c>
      <c r="J5416" s="155" t="str">
        <f t="shared" si="13"/>
        <v>TT</v>
      </c>
      <c r="K5416" s="22" t="s">
        <v>18751</v>
      </c>
      <c r="L5416" s="56">
        <v>45138</v>
      </c>
      <c r="P5416" s="40"/>
      <c r="Q5416" s="61"/>
      <c r="R5416" s="61"/>
      <c r="S5416" s="40"/>
      <c r="T5416" s="38"/>
      <c r="U5416" s="38"/>
      <c r="V5416" s="38"/>
      <c r="W5416" s="60"/>
      <c r="AB5416" s="42"/>
      <c r="AC5416" s="35"/>
      <c r="AD5416" s="38"/>
      <c r="AE5416" s="38"/>
      <c r="AF5416" s="38"/>
      <c r="AG5416" s="38"/>
      <c r="AH5416" s="60"/>
    </row>
    <row r="5417" spans="1:34" ht="15.75" customHeight="1">
      <c r="A5417" s="35"/>
      <c r="B5417" s="78" t="s">
        <v>18752</v>
      </c>
      <c r="C5417" s="37" t="s">
        <v>46</v>
      </c>
      <c r="D5417" s="20" t="s">
        <v>18753</v>
      </c>
      <c r="E5417" s="20" t="s">
        <v>18754</v>
      </c>
      <c r="F5417" s="37" t="s">
        <v>49</v>
      </c>
      <c r="G5417" s="19" t="s">
        <v>50</v>
      </c>
      <c r="H5417" s="37" t="s">
        <v>55</v>
      </c>
      <c r="I5417" s="37" t="s">
        <v>29</v>
      </c>
      <c r="J5417" s="155" t="str">
        <f t="shared" si="13"/>
        <v>TT</v>
      </c>
      <c r="K5417" s="22" t="s">
        <v>18755</v>
      </c>
      <c r="L5417" s="56">
        <v>45138</v>
      </c>
      <c r="P5417" s="40"/>
      <c r="Q5417" s="61"/>
      <c r="R5417" s="61"/>
      <c r="S5417" s="40"/>
      <c r="T5417" s="38"/>
      <c r="U5417" s="38"/>
      <c r="V5417" s="38"/>
      <c r="W5417" s="60"/>
      <c r="AB5417" s="42"/>
      <c r="AC5417" s="35"/>
      <c r="AD5417" s="38"/>
      <c r="AE5417" s="38"/>
      <c r="AF5417" s="38"/>
      <c r="AG5417" s="38"/>
      <c r="AH5417" s="60"/>
    </row>
    <row r="5418" spans="1:34" ht="15.75" customHeight="1">
      <c r="A5418" s="35"/>
      <c r="B5418" s="78" t="s">
        <v>18756</v>
      </c>
      <c r="C5418" s="37" t="s">
        <v>46</v>
      </c>
      <c r="D5418" s="20" t="s">
        <v>18757</v>
      </c>
      <c r="E5418" s="20" t="s">
        <v>18758</v>
      </c>
      <c r="F5418" s="37" t="s">
        <v>49</v>
      </c>
      <c r="G5418" s="19" t="s">
        <v>50</v>
      </c>
      <c r="H5418" s="37" t="s">
        <v>55</v>
      </c>
      <c r="I5418" s="37" t="s">
        <v>29</v>
      </c>
      <c r="J5418" s="155" t="str">
        <f t="shared" si="13"/>
        <v>TT</v>
      </c>
      <c r="K5418" s="22" t="s">
        <v>18759</v>
      </c>
      <c r="L5418" s="56">
        <v>45138</v>
      </c>
      <c r="P5418" s="40"/>
      <c r="Q5418" s="61"/>
      <c r="R5418" s="61"/>
      <c r="S5418" s="40"/>
      <c r="T5418" s="38"/>
      <c r="U5418" s="38"/>
      <c r="V5418" s="38"/>
      <c r="W5418" s="60"/>
      <c r="AB5418" s="42"/>
      <c r="AC5418" s="35"/>
      <c r="AD5418" s="38"/>
      <c r="AE5418" s="38"/>
      <c r="AF5418" s="38"/>
      <c r="AG5418" s="38"/>
      <c r="AH5418" s="60"/>
    </row>
    <row r="5419" spans="1:34" ht="15.75" customHeight="1">
      <c r="A5419" s="35"/>
      <c r="B5419" s="78" t="s">
        <v>18760</v>
      </c>
      <c r="C5419" s="37" t="s">
        <v>1470</v>
      </c>
      <c r="D5419" s="20" t="s">
        <v>18761</v>
      </c>
      <c r="E5419" s="185"/>
      <c r="F5419" s="19" t="s">
        <v>3286</v>
      </c>
      <c r="G5419" s="19" t="s">
        <v>1461</v>
      </c>
      <c r="H5419" s="37" t="s">
        <v>55</v>
      </c>
      <c r="I5419" s="37" t="s">
        <v>233</v>
      </c>
      <c r="J5419" s="155" t="str">
        <f t="shared" si="13"/>
        <v>NTT</v>
      </c>
      <c r="K5419" s="274"/>
      <c r="L5419" s="56">
        <v>45138</v>
      </c>
      <c r="P5419" s="40"/>
      <c r="Q5419" s="61"/>
      <c r="R5419" s="61"/>
      <c r="S5419" s="40"/>
      <c r="T5419" s="38"/>
      <c r="U5419" s="38"/>
      <c r="V5419" s="38"/>
      <c r="W5419" s="60"/>
      <c r="AB5419" s="42"/>
      <c r="AC5419" s="35"/>
      <c r="AD5419" s="38"/>
      <c r="AE5419" s="38"/>
      <c r="AF5419" s="38"/>
      <c r="AG5419" s="38"/>
      <c r="AH5419" s="60"/>
    </row>
    <row r="5420" spans="1:34" ht="15.75" customHeight="1">
      <c r="A5420" s="35"/>
      <c r="B5420" s="78" t="s">
        <v>18762</v>
      </c>
      <c r="C5420" s="37" t="s">
        <v>1470</v>
      </c>
      <c r="D5420" s="20" t="s">
        <v>18763</v>
      </c>
      <c r="E5420" s="63"/>
      <c r="F5420" s="19" t="s">
        <v>3286</v>
      </c>
      <c r="G5420" s="37" t="s">
        <v>1461</v>
      </c>
      <c r="H5420" s="37" t="s">
        <v>55</v>
      </c>
      <c r="I5420" s="37" t="s">
        <v>233</v>
      </c>
      <c r="J5420" s="155" t="str">
        <f t="shared" si="13"/>
        <v>NTT</v>
      </c>
      <c r="K5420" s="65"/>
      <c r="L5420" s="56">
        <v>45138</v>
      </c>
      <c r="P5420" s="40"/>
      <c r="Q5420" s="61"/>
      <c r="R5420" s="61"/>
      <c r="S5420" s="40"/>
      <c r="T5420" s="38"/>
      <c r="U5420" s="38"/>
      <c r="V5420" s="38"/>
      <c r="W5420" s="60"/>
      <c r="AB5420" s="42"/>
      <c r="AC5420" s="35"/>
      <c r="AD5420" s="38"/>
      <c r="AE5420" s="38"/>
      <c r="AF5420" s="38"/>
      <c r="AG5420" s="38"/>
      <c r="AH5420" s="60"/>
    </row>
    <row r="5421" spans="1:34" ht="15.75" customHeight="1">
      <c r="A5421" s="35"/>
      <c r="B5421" s="78" t="s">
        <v>18764</v>
      </c>
      <c r="C5421" s="37" t="s">
        <v>1430</v>
      </c>
      <c r="D5421" s="20" t="s">
        <v>18765</v>
      </c>
      <c r="E5421" s="63"/>
      <c r="F5421" s="55" t="s">
        <v>1445</v>
      </c>
      <c r="G5421" s="55" t="s">
        <v>1432</v>
      </c>
      <c r="H5421" s="37" t="s">
        <v>55</v>
      </c>
      <c r="I5421" s="37" t="s">
        <v>233</v>
      </c>
      <c r="J5421" s="155" t="str">
        <f t="shared" si="13"/>
        <v>NTT</v>
      </c>
      <c r="K5421" s="65"/>
      <c r="L5421" s="56">
        <v>45138</v>
      </c>
      <c r="P5421" s="40"/>
      <c r="Q5421" s="61"/>
      <c r="R5421" s="61"/>
      <c r="S5421" s="40"/>
      <c r="T5421" s="38"/>
      <c r="U5421" s="38"/>
      <c r="V5421" s="38"/>
      <c r="W5421" s="60"/>
      <c r="AB5421" s="42"/>
      <c r="AC5421" s="35"/>
      <c r="AD5421" s="38"/>
      <c r="AE5421" s="38"/>
      <c r="AF5421" s="38"/>
      <c r="AG5421" s="38"/>
      <c r="AH5421" s="60"/>
    </row>
    <row r="5422" spans="1:34" ht="15.75" customHeight="1">
      <c r="A5422" s="35"/>
      <c r="B5422" s="78" t="s">
        <v>18766</v>
      </c>
      <c r="C5422" s="37" t="s">
        <v>1430</v>
      </c>
      <c r="D5422" s="20" t="s">
        <v>18767</v>
      </c>
      <c r="E5422" s="63"/>
      <c r="F5422" s="55" t="s">
        <v>1445</v>
      </c>
      <c r="G5422" s="55" t="s">
        <v>1432</v>
      </c>
      <c r="H5422" s="37" t="s">
        <v>55</v>
      </c>
      <c r="I5422" s="37" t="s">
        <v>233</v>
      </c>
      <c r="J5422" s="155" t="str">
        <f t="shared" si="13"/>
        <v>NTT</v>
      </c>
      <c r="K5422" s="65"/>
      <c r="L5422" s="56">
        <v>45138</v>
      </c>
      <c r="P5422" s="40"/>
      <c r="Q5422" s="61"/>
      <c r="R5422" s="61"/>
      <c r="S5422" s="40"/>
      <c r="T5422" s="38"/>
      <c r="U5422" s="38"/>
      <c r="V5422" s="38"/>
      <c r="W5422" s="60"/>
      <c r="AB5422" s="42"/>
      <c r="AC5422" s="35"/>
      <c r="AD5422" s="38"/>
      <c r="AE5422" s="38"/>
      <c r="AF5422" s="38"/>
      <c r="AG5422" s="38"/>
      <c r="AH5422" s="60"/>
    </row>
    <row r="5423" spans="1:34" ht="15.75" customHeight="1">
      <c r="A5423" s="35"/>
      <c r="B5423" s="78" t="s">
        <v>18768</v>
      </c>
      <c r="C5423" s="37" t="s">
        <v>1430</v>
      </c>
      <c r="D5423" s="20"/>
      <c r="E5423" s="20"/>
      <c r="F5423" s="55" t="s">
        <v>1445</v>
      </c>
      <c r="G5423" s="55" t="s">
        <v>1432</v>
      </c>
      <c r="H5423" s="37" t="s">
        <v>55</v>
      </c>
      <c r="I5423" s="37" t="s">
        <v>233</v>
      </c>
      <c r="J5423" s="155" t="str">
        <f t="shared" si="13"/>
        <v>NTT</v>
      </c>
      <c r="K5423" s="22"/>
      <c r="L5423" s="56">
        <v>45138</v>
      </c>
      <c r="P5423" s="40"/>
      <c r="Q5423" s="61"/>
      <c r="R5423" s="61"/>
      <c r="S5423" s="40"/>
      <c r="T5423" s="38"/>
      <c r="U5423" s="38"/>
      <c r="V5423" s="38"/>
      <c r="W5423" s="60"/>
      <c r="AB5423" s="42"/>
      <c r="AC5423" s="35"/>
      <c r="AD5423" s="38"/>
      <c r="AE5423" s="38"/>
      <c r="AF5423" s="38"/>
      <c r="AG5423" s="38"/>
      <c r="AH5423" s="60"/>
    </row>
    <row r="5424" spans="1:34" ht="15.75" customHeight="1">
      <c r="A5424" s="35"/>
      <c r="B5424" s="78" t="s">
        <v>18769</v>
      </c>
      <c r="C5424" s="37" t="s">
        <v>1430</v>
      </c>
      <c r="D5424" s="20" t="s">
        <v>18770</v>
      </c>
      <c r="E5424" s="63"/>
      <c r="F5424" s="55" t="s">
        <v>1445</v>
      </c>
      <c r="G5424" s="55" t="s">
        <v>1432</v>
      </c>
      <c r="H5424" s="37" t="s">
        <v>55</v>
      </c>
      <c r="I5424" s="37" t="s">
        <v>233</v>
      </c>
      <c r="J5424" s="155" t="str">
        <f t="shared" si="13"/>
        <v>NTT</v>
      </c>
      <c r="K5424" s="65"/>
      <c r="L5424" s="56">
        <v>45138</v>
      </c>
      <c r="P5424" s="40"/>
      <c r="Q5424" s="61"/>
      <c r="R5424" s="61"/>
      <c r="S5424" s="40"/>
      <c r="T5424" s="38"/>
      <c r="U5424" s="38"/>
      <c r="V5424" s="38"/>
      <c r="W5424" s="60"/>
      <c r="AB5424" s="42"/>
      <c r="AC5424" s="35"/>
      <c r="AD5424" s="38"/>
      <c r="AE5424" s="38"/>
      <c r="AF5424" s="38"/>
      <c r="AG5424" s="38"/>
      <c r="AH5424" s="60"/>
    </row>
    <row r="5425" spans="1:34" ht="15.75" customHeight="1">
      <c r="A5425" s="35"/>
      <c r="B5425" s="78" t="s">
        <v>18771</v>
      </c>
      <c r="C5425" s="37" t="s">
        <v>228</v>
      </c>
      <c r="D5425" s="20" t="s">
        <v>18772</v>
      </c>
      <c r="E5425" s="63"/>
      <c r="F5425" s="19" t="s">
        <v>231</v>
      </c>
      <c r="G5425" s="19" t="s">
        <v>232</v>
      </c>
      <c r="H5425" s="37" t="s">
        <v>55</v>
      </c>
      <c r="I5425" s="37" t="s">
        <v>233</v>
      </c>
      <c r="J5425" s="155" t="str">
        <f t="shared" si="13"/>
        <v>NTT</v>
      </c>
      <c r="K5425" s="65"/>
      <c r="L5425" s="56">
        <v>45138</v>
      </c>
      <c r="P5425" s="40"/>
      <c r="Q5425" s="61"/>
      <c r="R5425" s="61"/>
      <c r="S5425" s="40"/>
      <c r="T5425" s="38"/>
      <c r="U5425" s="38"/>
      <c r="V5425" s="38"/>
      <c r="W5425" s="60"/>
      <c r="AB5425" s="42"/>
      <c r="AC5425" s="35"/>
      <c r="AD5425" s="38"/>
      <c r="AE5425" s="38"/>
      <c r="AF5425" s="38"/>
      <c r="AG5425" s="38"/>
      <c r="AH5425" s="60"/>
    </row>
    <row r="5426" spans="1:34" ht="15.75" customHeight="1">
      <c r="A5426" s="35"/>
      <c r="B5426" s="78" t="s">
        <v>18773</v>
      </c>
      <c r="C5426" s="37" t="s">
        <v>1430</v>
      </c>
      <c r="D5426" s="20" t="s">
        <v>18774</v>
      </c>
      <c r="E5426" s="63"/>
      <c r="F5426" s="55" t="s">
        <v>1445</v>
      </c>
      <c r="G5426" s="55" t="s">
        <v>1432</v>
      </c>
      <c r="H5426" s="37" t="s">
        <v>55</v>
      </c>
      <c r="I5426" s="37" t="s">
        <v>233</v>
      </c>
      <c r="J5426" s="155" t="str">
        <f t="shared" si="13"/>
        <v>NTT</v>
      </c>
      <c r="K5426" s="65"/>
      <c r="L5426" s="56">
        <v>45138</v>
      </c>
      <c r="P5426" s="40"/>
      <c r="Q5426" s="61"/>
      <c r="R5426" s="61"/>
      <c r="S5426" s="40"/>
      <c r="T5426" s="38"/>
      <c r="U5426" s="38"/>
      <c r="V5426" s="38"/>
      <c r="W5426" s="60"/>
      <c r="AB5426" s="42"/>
      <c r="AC5426" s="35"/>
      <c r="AD5426" s="38"/>
      <c r="AE5426" s="38"/>
      <c r="AF5426" s="38"/>
      <c r="AG5426" s="38"/>
      <c r="AH5426" s="60"/>
    </row>
    <row r="5427" spans="1:34" ht="15.75" customHeight="1">
      <c r="A5427" s="35"/>
      <c r="B5427" s="78" t="s">
        <v>18775</v>
      </c>
      <c r="C5427" s="37" t="s">
        <v>228</v>
      </c>
      <c r="D5427" s="20" t="s">
        <v>18776</v>
      </c>
      <c r="E5427" s="63"/>
      <c r="F5427" s="19" t="s">
        <v>231</v>
      </c>
      <c r="G5427" s="19" t="s">
        <v>232</v>
      </c>
      <c r="H5427" s="37" t="s">
        <v>55</v>
      </c>
      <c r="I5427" s="37" t="s">
        <v>233</v>
      </c>
      <c r="J5427" s="155" t="str">
        <f t="shared" si="13"/>
        <v>NTT</v>
      </c>
      <c r="K5427" s="65"/>
      <c r="L5427" s="56">
        <v>45138</v>
      </c>
      <c r="P5427" s="40"/>
      <c r="Q5427" s="61"/>
      <c r="R5427" s="61"/>
      <c r="S5427" s="40"/>
      <c r="T5427" s="38"/>
      <c r="U5427" s="38"/>
      <c r="V5427" s="38"/>
      <c r="W5427" s="60"/>
      <c r="AB5427" s="42"/>
      <c r="AC5427" s="35"/>
      <c r="AD5427" s="38"/>
      <c r="AE5427" s="38"/>
      <c r="AF5427" s="38"/>
      <c r="AG5427" s="38"/>
      <c r="AH5427" s="60"/>
    </row>
    <row r="5428" spans="1:34" ht="15.75" customHeight="1">
      <c r="A5428" s="35"/>
      <c r="B5428" s="38"/>
      <c r="C5428" s="37"/>
      <c r="D5428" s="20"/>
      <c r="E5428" s="20"/>
      <c r="F5428" s="37"/>
      <c r="G5428" s="37"/>
      <c r="H5428" s="37"/>
      <c r="I5428" s="37"/>
      <c r="J5428" s="155">
        <f t="shared" si="13"/>
        <v>0</v>
      </c>
      <c r="K5428" s="22"/>
      <c r="L5428" s="39"/>
      <c r="P5428" s="40"/>
      <c r="Q5428" s="61"/>
      <c r="R5428" s="61"/>
      <c r="S5428" s="40"/>
      <c r="T5428" s="38"/>
      <c r="U5428" s="38"/>
      <c r="V5428" s="38"/>
      <c r="W5428" s="60"/>
      <c r="AB5428" s="42"/>
      <c r="AC5428" s="35"/>
      <c r="AD5428" s="38"/>
      <c r="AE5428" s="38"/>
      <c r="AF5428" s="38"/>
      <c r="AG5428" s="38"/>
      <c r="AH5428" s="60"/>
    </row>
    <row r="5429" spans="1:34" ht="15.75" customHeight="1">
      <c r="A5429" s="35" t="s">
        <v>18777</v>
      </c>
      <c r="B5429" s="78" t="s">
        <v>18778</v>
      </c>
      <c r="C5429" s="37" t="s">
        <v>87</v>
      </c>
      <c r="D5429" s="20" t="s">
        <v>18779</v>
      </c>
      <c r="E5429" s="20" t="s">
        <v>18780</v>
      </c>
      <c r="F5429" s="19" t="s">
        <v>90</v>
      </c>
      <c r="G5429" s="19" t="s">
        <v>91</v>
      </c>
      <c r="H5429" s="37" t="s">
        <v>55</v>
      </c>
      <c r="I5429" s="37" t="s">
        <v>29</v>
      </c>
      <c r="J5429" s="155" t="str">
        <f t="shared" si="13"/>
        <v>TT</v>
      </c>
      <c r="K5429" s="22" t="s">
        <v>18781</v>
      </c>
      <c r="L5429" s="56">
        <v>45138</v>
      </c>
      <c r="M5429" s="40"/>
      <c r="P5429" s="40"/>
      <c r="Q5429" s="61"/>
      <c r="R5429" s="61"/>
      <c r="S5429" s="40"/>
      <c r="T5429" s="38"/>
      <c r="U5429" s="38"/>
      <c r="V5429" s="38"/>
      <c r="W5429" s="60"/>
      <c r="AB5429" s="42"/>
      <c r="AC5429" s="35"/>
      <c r="AD5429" s="38"/>
      <c r="AE5429" s="38"/>
      <c r="AF5429" s="38"/>
      <c r="AG5429" s="38"/>
      <c r="AH5429" s="60"/>
    </row>
    <row r="5430" spans="1:34" ht="15.75" customHeight="1">
      <c r="A5430" s="71" t="s">
        <v>12252</v>
      </c>
      <c r="B5430" s="78" t="s">
        <v>18782</v>
      </c>
      <c r="C5430" s="37" t="s">
        <v>87</v>
      </c>
      <c r="D5430" s="20" t="s">
        <v>18783</v>
      </c>
      <c r="E5430" s="20" t="s">
        <v>18784</v>
      </c>
      <c r="F5430" s="19" t="s">
        <v>90</v>
      </c>
      <c r="G5430" s="19" t="s">
        <v>91</v>
      </c>
      <c r="H5430" s="37" t="s">
        <v>55</v>
      </c>
      <c r="I5430" s="37" t="s">
        <v>29</v>
      </c>
      <c r="J5430" s="155" t="str">
        <f t="shared" si="13"/>
        <v>TT</v>
      </c>
      <c r="K5430" s="22" t="s">
        <v>18785</v>
      </c>
      <c r="L5430" s="56">
        <v>45138</v>
      </c>
      <c r="P5430" s="40"/>
      <c r="Q5430" s="61"/>
      <c r="R5430" s="61"/>
      <c r="S5430" s="40"/>
      <c r="T5430" s="38"/>
      <c r="U5430" s="38"/>
      <c r="V5430" s="38"/>
      <c r="W5430" s="60"/>
      <c r="AB5430" s="42"/>
      <c r="AC5430" s="35"/>
      <c r="AD5430" s="38"/>
      <c r="AE5430" s="38"/>
      <c r="AF5430" s="38"/>
      <c r="AG5430" s="38"/>
      <c r="AH5430" s="60"/>
    </row>
    <row r="5431" spans="1:34" ht="15.75" customHeight="1">
      <c r="A5431" s="114" t="s">
        <v>39</v>
      </c>
      <c r="B5431" s="78" t="s">
        <v>18786</v>
      </c>
      <c r="C5431" s="19" t="s">
        <v>24</v>
      </c>
      <c r="D5431" s="20" t="s">
        <v>18787</v>
      </c>
      <c r="E5431" s="20" t="s">
        <v>18788</v>
      </c>
      <c r="F5431" s="19" t="s">
        <v>27</v>
      </c>
      <c r="G5431" s="19" t="s">
        <v>28</v>
      </c>
      <c r="H5431" s="37" t="s">
        <v>55</v>
      </c>
      <c r="I5431" s="37" t="s">
        <v>29</v>
      </c>
      <c r="J5431" s="155" t="str">
        <f t="shared" si="13"/>
        <v>TT</v>
      </c>
      <c r="K5431" s="22" t="s">
        <v>18789</v>
      </c>
      <c r="L5431" s="56">
        <v>45138</v>
      </c>
      <c r="P5431" s="40"/>
      <c r="Q5431" s="61"/>
      <c r="R5431" s="61"/>
      <c r="S5431" s="40"/>
      <c r="T5431" s="38"/>
      <c r="U5431" s="38"/>
      <c r="V5431" s="38"/>
      <c r="W5431" s="60"/>
      <c r="AB5431" s="42"/>
      <c r="AC5431" s="35"/>
      <c r="AD5431" s="38"/>
      <c r="AE5431" s="38"/>
      <c r="AF5431" s="38"/>
      <c r="AG5431" s="38"/>
      <c r="AH5431" s="60"/>
    </row>
    <row r="5432" spans="1:34" ht="15.75" customHeight="1">
      <c r="A5432" s="38" t="s">
        <v>18641</v>
      </c>
      <c r="B5432" s="78" t="s">
        <v>18790</v>
      </c>
      <c r="C5432" s="37" t="s">
        <v>46</v>
      </c>
      <c r="D5432" s="20" t="s">
        <v>18791</v>
      </c>
      <c r="E5432" s="20" t="s">
        <v>18792</v>
      </c>
      <c r="F5432" s="37" t="s">
        <v>49</v>
      </c>
      <c r="G5432" s="19" t="s">
        <v>50</v>
      </c>
      <c r="H5432" s="37" t="s">
        <v>55</v>
      </c>
      <c r="I5432" s="37" t="s">
        <v>29</v>
      </c>
      <c r="J5432" s="155" t="str">
        <f t="shared" si="13"/>
        <v>TT</v>
      </c>
      <c r="K5432" s="22" t="s">
        <v>18793</v>
      </c>
      <c r="L5432" s="56">
        <v>45138</v>
      </c>
      <c r="P5432" s="40"/>
      <c r="Q5432" s="61"/>
      <c r="R5432" s="61"/>
      <c r="S5432" s="40"/>
      <c r="T5432" s="38"/>
      <c r="U5432" s="38"/>
      <c r="V5432" s="38"/>
      <c r="W5432" s="60"/>
      <c r="AB5432" s="42"/>
      <c r="AC5432" s="35"/>
      <c r="AD5432" s="38"/>
      <c r="AE5432" s="38"/>
      <c r="AF5432" s="38"/>
      <c r="AG5432" s="38"/>
      <c r="AH5432" s="60"/>
    </row>
    <row r="5433" spans="1:34" ht="15.75" customHeight="1">
      <c r="A5433" s="75" t="s">
        <v>17192</v>
      </c>
      <c r="B5433" s="78" t="s">
        <v>18794</v>
      </c>
      <c r="C5433" s="37" t="s">
        <v>46</v>
      </c>
      <c r="D5433" s="20" t="s">
        <v>18795</v>
      </c>
      <c r="E5433" s="20" t="s">
        <v>18796</v>
      </c>
      <c r="F5433" s="37" t="s">
        <v>49</v>
      </c>
      <c r="G5433" s="19" t="s">
        <v>50</v>
      </c>
      <c r="H5433" s="37" t="s">
        <v>55</v>
      </c>
      <c r="I5433" s="37" t="s">
        <v>29</v>
      </c>
      <c r="J5433" s="155" t="str">
        <f t="shared" si="13"/>
        <v>TT</v>
      </c>
      <c r="K5433" s="22" t="s">
        <v>18797</v>
      </c>
      <c r="L5433" s="56">
        <v>45138</v>
      </c>
      <c r="P5433" s="40"/>
      <c r="Q5433" s="61"/>
      <c r="R5433" s="61"/>
      <c r="S5433" s="40"/>
      <c r="T5433" s="38"/>
      <c r="U5433" s="38"/>
      <c r="V5433" s="38"/>
      <c r="W5433" s="60"/>
      <c r="AB5433" s="42"/>
      <c r="AC5433" s="35"/>
      <c r="AD5433" s="38"/>
      <c r="AE5433" s="38"/>
      <c r="AF5433" s="38"/>
      <c r="AG5433" s="38"/>
      <c r="AH5433" s="60"/>
    </row>
    <row r="5434" spans="1:34" ht="15.75" customHeight="1">
      <c r="A5434" s="50" t="s">
        <v>56</v>
      </c>
      <c r="B5434" s="81" t="s">
        <v>18798</v>
      </c>
      <c r="C5434" s="37" t="s">
        <v>46</v>
      </c>
      <c r="D5434" s="20" t="s">
        <v>18799</v>
      </c>
      <c r="E5434" s="20" t="s">
        <v>18800</v>
      </c>
      <c r="F5434" s="37" t="s">
        <v>49</v>
      </c>
      <c r="G5434" s="19" t="s">
        <v>50</v>
      </c>
      <c r="H5434" s="37" t="s">
        <v>55</v>
      </c>
      <c r="I5434" s="37" t="s">
        <v>29</v>
      </c>
      <c r="J5434" s="155" t="str">
        <f t="shared" si="13"/>
        <v>TT</v>
      </c>
      <c r="K5434" s="22" t="s">
        <v>18801</v>
      </c>
      <c r="L5434" s="56">
        <v>45138</v>
      </c>
      <c r="P5434" s="40"/>
      <c r="Q5434" s="61"/>
      <c r="R5434" s="61"/>
      <c r="S5434" s="40"/>
      <c r="T5434" s="38"/>
      <c r="U5434" s="38"/>
      <c r="V5434" s="38"/>
      <c r="W5434" s="60"/>
      <c r="AB5434" s="42"/>
      <c r="AC5434" s="35"/>
      <c r="AD5434" s="38"/>
      <c r="AE5434" s="38"/>
      <c r="AF5434" s="38"/>
      <c r="AG5434" s="38"/>
      <c r="AH5434" s="60"/>
    </row>
    <row r="5435" spans="1:34" ht="15.75" customHeight="1">
      <c r="A5435" s="17">
        <v>35</v>
      </c>
      <c r="B5435" s="81" t="s">
        <v>18802</v>
      </c>
      <c r="C5435" s="37" t="s">
        <v>87</v>
      </c>
      <c r="D5435" s="20" t="s">
        <v>18803</v>
      </c>
      <c r="E5435" s="20" t="s">
        <v>18804</v>
      </c>
      <c r="F5435" s="19" t="s">
        <v>90</v>
      </c>
      <c r="G5435" s="19" t="s">
        <v>91</v>
      </c>
      <c r="H5435" s="37" t="s">
        <v>55</v>
      </c>
      <c r="I5435" s="37" t="s">
        <v>29</v>
      </c>
      <c r="J5435" s="155" t="str">
        <f t="shared" si="13"/>
        <v>TT</v>
      </c>
      <c r="K5435" s="22" t="s">
        <v>18805</v>
      </c>
      <c r="L5435" s="56">
        <v>45138</v>
      </c>
      <c r="P5435" s="40"/>
      <c r="Q5435" s="61"/>
      <c r="R5435" s="61"/>
      <c r="S5435" s="40"/>
      <c r="T5435" s="38"/>
      <c r="U5435" s="38"/>
      <c r="V5435" s="38"/>
      <c r="W5435" s="60"/>
      <c r="AB5435" s="42"/>
      <c r="AC5435" s="35"/>
      <c r="AD5435" s="38"/>
      <c r="AE5435" s="38"/>
      <c r="AF5435" s="38"/>
      <c r="AG5435" s="38"/>
      <c r="AH5435" s="60"/>
    </row>
    <row r="5436" spans="1:34" ht="15.75" customHeight="1">
      <c r="A5436" s="111" t="s">
        <v>64</v>
      </c>
      <c r="B5436" s="78" t="s">
        <v>18806</v>
      </c>
      <c r="C5436" s="37" t="s">
        <v>87</v>
      </c>
      <c r="D5436" s="20" t="s">
        <v>18807</v>
      </c>
      <c r="E5436" s="20"/>
      <c r="F5436" s="19" t="s">
        <v>90</v>
      </c>
      <c r="G5436" s="19" t="s">
        <v>91</v>
      </c>
      <c r="H5436" s="37" t="s">
        <v>55</v>
      </c>
      <c r="I5436" s="37" t="s">
        <v>29</v>
      </c>
      <c r="J5436" s="155" t="str">
        <f t="shared" si="13"/>
        <v>TT</v>
      </c>
      <c r="K5436" s="22"/>
      <c r="L5436" s="56">
        <v>45138</v>
      </c>
      <c r="P5436" s="40"/>
      <c r="Q5436" s="61"/>
      <c r="R5436" s="61"/>
      <c r="S5436" s="40"/>
      <c r="T5436" s="38"/>
      <c r="U5436" s="38"/>
      <c r="V5436" s="38"/>
      <c r="W5436" s="60"/>
      <c r="AB5436" s="42"/>
      <c r="AC5436" s="35"/>
      <c r="AD5436" s="38"/>
      <c r="AE5436" s="38"/>
      <c r="AF5436" s="38"/>
      <c r="AG5436" s="38"/>
      <c r="AH5436" s="60"/>
    </row>
    <row r="5437" spans="1:34" ht="15.75" customHeight="1">
      <c r="A5437" s="75">
        <v>2.1</v>
      </c>
      <c r="B5437" s="78" t="s">
        <v>18808</v>
      </c>
      <c r="C5437" s="19" t="s">
        <v>24</v>
      </c>
      <c r="D5437" s="20" t="s">
        <v>18809</v>
      </c>
      <c r="E5437" s="20"/>
      <c r="F5437" s="19" t="s">
        <v>27</v>
      </c>
      <c r="G5437" s="19" t="s">
        <v>28</v>
      </c>
      <c r="H5437" s="37" t="s">
        <v>55</v>
      </c>
      <c r="I5437" s="37" t="s">
        <v>29</v>
      </c>
      <c r="J5437" s="155" t="str">
        <f t="shared" si="13"/>
        <v>TT</v>
      </c>
      <c r="K5437" s="22"/>
      <c r="L5437" s="56">
        <v>45138</v>
      </c>
      <c r="P5437" s="40"/>
      <c r="Q5437" s="61"/>
      <c r="R5437" s="61"/>
      <c r="S5437" s="40"/>
      <c r="T5437" s="38"/>
      <c r="U5437" s="38"/>
      <c r="V5437" s="38"/>
      <c r="W5437" s="60"/>
      <c r="AB5437" s="42"/>
      <c r="AC5437" s="35"/>
      <c r="AD5437" s="38"/>
      <c r="AE5437" s="38"/>
      <c r="AF5437" s="38"/>
      <c r="AG5437" s="38"/>
      <c r="AH5437" s="60"/>
    </row>
    <row r="5438" spans="1:34" ht="15.75" customHeight="1">
      <c r="A5438" s="111" t="s">
        <v>73</v>
      </c>
      <c r="B5438" s="78" t="s">
        <v>18810</v>
      </c>
      <c r="C5438" s="37" t="s">
        <v>412</v>
      </c>
      <c r="D5438" s="20" t="s">
        <v>18811</v>
      </c>
      <c r="E5438" s="20" t="s">
        <v>18812</v>
      </c>
      <c r="F5438" s="19" t="s">
        <v>414</v>
      </c>
      <c r="G5438" s="19" t="s">
        <v>415</v>
      </c>
      <c r="H5438" s="37" t="s">
        <v>55</v>
      </c>
      <c r="I5438" s="37" t="s">
        <v>233</v>
      </c>
      <c r="J5438" s="155" t="str">
        <f t="shared" si="13"/>
        <v>NTT</v>
      </c>
      <c r="K5438" s="22" t="s">
        <v>18813</v>
      </c>
      <c r="L5438" s="56">
        <v>45138</v>
      </c>
      <c r="P5438" s="40"/>
      <c r="Q5438" s="61"/>
      <c r="R5438" s="61"/>
      <c r="S5438" s="40"/>
      <c r="T5438" s="38"/>
      <c r="U5438" s="38"/>
      <c r="V5438" s="38"/>
      <c r="W5438" s="60"/>
      <c r="AB5438" s="42"/>
      <c r="AC5438" s="35"/>
      <c r="AD5438" s="38"/>
      <c r="AE5438" s="38"/>
      <c r="AF5438" s="38"/>
      <c r="AG5438" s="38"/>
      <c r="AH5438" s="60"/>
    </row>
    <row r="5439" spans="1:34" ht="15.75" customHeight="1">
      <c r="A5439" s="75">
        <v>2.7</v>
      </c>
      <c r="B5439" s="78" t="s">
        <v>18814</v>
      </c>
      <c r="C5439" s="37" t="s">
        <v>87</v>
      </c>
      <c r="D5439" s="20" t="s">
        <v>18815</v>
      </c>
      <c r="E5439" s="20" t="s">
        <v>18816</v>
      </c>
      <c r="F5439" s="19" t="s">
        <v>90</v>
      </c>
      <c r="G5439" s="19" t="s">
        <v>91</v>
      </c>
      <c r="H5439" s="37" t="s">
        <v>55</v>
      </c>
      <c r="I5439" s="37" t="s">
        <v>29</v>
      </c>
      <c r="J5439" s="155" t="str">
        <f t="shared" si="13"/>
        <v>TT</v>
      </c>
      <c r="K5439" s="22" t="s">
        <v>18817</v>
      </c>
      <c r="L5439" s="56">
        <v>45138</v>
      </c>
      <c r="P5439" s="40"/>
      <c r="Q5439" s="61"/>
      <c r="R5439" s="61"/>
      <c r="S5439" s="40"/>
      <c r="T5439" s="38"/>
      <c r="U5439" s="38"/>
      <c r="V5439" s="38"/>
      <c r="W5439" s="60"/>
      <c r="AB5439" s="42"/>
      <c r="AC5439" s="35"/>
      <c r="AD5439" s="38"/>
      <c r="AE5439" s="38"/>
      <c r="AF5439" s="38"/>
      <c r="AG5439" s="38"/>
      <c r="AH5439" s="60"/>
    </row>
    <row r="5440" spans="1:34" ht="15.75" customHeight="1">
      <c r="A5440" s="111" t="s">
        <v>82</v>
      </c>
      <c r="B5440" s="78" t="s">
        <v>18818</v>
      </c>
      <c r="C5440" s="37" t="s">
        <v>46</v>
      </c>
      <c r="D5440" s="20" t="s">
        <v>18819</v>
      </c>
      <c r="E5440" s="20"/>
      <c r="F5440" s="37" t="s">
        <v>49</v>
      </c>
      <c r="G5440" s="19" t="s">
        <v>50</v>
      </c>
      <c r="H5440" s="37" t="s">
        <v>55</v>
      </c>
      <c r="I5440" s="37" t="s">
        <v>29</v>
      </c>
      <c r="J5440" s="155" t="str">
        <f t="shared" si="13"/>
        <v>TT</v>
      </c>
      <c r="K5440" s="22"/>
      <c r="L5440" s="56">
        <v>45138</v>
      </c>
      <c r="P5440" s="40"/>
      <c r="Q5440" s="61"/>
      <c r="R5440" s="61"/>
      <c r="S5440" s="40"/>
      <c r="T5440" s="38"/>
      <c r="U5440" s="38"/>
      <c r="V5440" s="38"/>
      <c r="W5440" s="60"/>
      <c r="AB5440" s="42"/>
      <c r="AC5440" s="35"/>
      <c r="AD5440" s="38"/>
      <c r="AE5440" s="38"/>
      <c r="AF5440" s="38"/>
      <c r="AG5440" s="38"/>
      <c r="AH5440" s="60"/>
    </row>
    <row r="5441" spans="1:34" ht="15.75" customHeight="1">
      <c r="A5441" s="75" t="s">
        <v>18820</v>
      </c>
      <c r="B5441" s="78" t="s">
        <v>18821</v>
      </c>
      <c r="C5441" s="37" t="s">
        <v>412</v>
      </c>
      <c r="D5441" s="20" t="s">
        <v>18822</v>
      </c>
      <c r="E5441" s="20"/>
      <c r="F5441" s="19" t="s">
        <v>414</v>
      </c>
      <c r="G5441" s="37" t="s">
        <v>415</v>
      </c>
      <c r="H5441" s="37" t="s">
        <v>55</v>
      </c>
      <c r="I5441" s="37" t="s">
        <v>233</v>
      </c>
      <c r="J5441" s="155" t="str">
        <f t="shared" si="13"/>
        <v>NTT</v>
      </c>
      <c r="K5441" s="22"/>
      <c r="L5441" s="56">
        <v>45138</v>
      </c>
      <c r="P5441" s="40"/>
      <c r="Q5441" s="61"/>
      <c r="R5441" s="61"/>
      <c r="S5441" s="40"/>
      <c r="T5441" s="38"/>
      <c r="U5441" s="38"/>
      <c r="V5441" s="38"/>
      <c r="W5441" s="60"/>
      <c r="AB5441" s="42"/>
      <c r="AC5441" s="35"/>
      <c r="AD5441" s="38"/>
      <c r="AE5441" s="38"/>
      <c r="AF5441" s="38"/>
      <c r="AG5441" s="38"/>
      <c r="AH5441" s="60"/>
    </row>
    <row r="5442" spans="1:34" ht="15.75" customHeight="1">
      <c r="A5442" s="111" t="s">
        <v>92</v>
      </c>
      <c r="B5442" s="78" t="s">
        <v>18823</v>
      </c>
      <c r="C5442" s="37" t="s">
        <v>412</v>
      </c>
      <c r="D5442" s="20" t="s">
        <v>18824</v>
      </c>
      <c r="E5442" s="20"/>
      <c r="F5442" s="19" t="s">
        <v>414</v>
      </c>
      <c r="G5442" s="19" t="s">
        <v>415</v>
      </c>
      <c r="H5442" s="37" t="s">
        <v>55</v>
      </c>
      <c r="I5442" s="37" t="s">
        <v>233</v>
      </c>
      <c r="J5442" s="155" t="str">
        <f t="shared" si="13"/>
        <v>NTT</v>
      </c>
      <c r="K5442" s="22"/>
      <c r="L5442" s="56">
        <v>45138</v>
      </c>
      <c r="P5442" s="40"/>
      <c r="Q5442" s="61"/>
      <c r="R5442" s="61"/>
      <c r="S5442" s="40"/>
      <c r="T5442" s="38"/>
      <c r="U5442" s="38"/>
      <c r="V5442" s="38"/>
      <c r="W5442" s="60"/>
      <c r="AB5442" s="42"/>
      <c r="AC5442" s="35"/>
      <c r="AD5442" s="38"/>
      <c r="AE5442" s="38"/>
      <c r="AF5442" s="38"/>
      <c r="AG5442" s="38"/>
      <c r="AH5442" s="60"/>
    </row>
    <row r="5443" spans="1:34" ht="15.75" customHeight="1">
      <c r="A5443" s="112">
        <v>184</v>
      </c>
      <c r="B5443" s="78" t="s">
        <v>18825</v>
      </c>
      <c r="C5443" s="37" t="s">
        <v>412</v>
      </c>
      <c r="D5443" s="20" t="s">
        <v>18826</v>
      </c>
      <c r="E5443" s="20"/>
      <c r="F5443" s="19" t="s">
        <v>414</v>
      </c>
      <c r="G5443" s="37" t="s">
        <v>415</v>
      </c>
      <c r="H5443" s="37" t="s">
        <v>55</v>
      </c>
      <c r="I5443" s="37" t="s">
        <v>233</v>
      </c>
      <c r="J5443" s="155" t="str">
        <f t="shared" si="13"/>
        <v>NTT</v>
      </c>
      <c r="K5443" s="22"/>
      <c r="L5443" s="56">
        <v>45138</v>
      </c>
      <c r="P5443" s="40"/>
      <c r="Q5443" s="61"/>
      <c r="R5443" s="61"/>
      <c r="S5443" s="40"/>
      <c r="T5443" s="38"/>
      <c r="U5443" s="38"/>
      <c r="V5443" s="38"/>
      <c r="W5443" s="60"/>
      <c r="AB5443" s="42"/>
      <c r="AC5443" s="35"/>
      <c r="AD5443" s="38"/>
      <c r="AE5443" s="38"/>
      <c r="AF5443" s="38"/>
      <c r="AG5443" s="38"/>
      <c r="AH5443" s="60"/>
    </row>
    <row r="5444" spans="1:34" ht="15.75" customHeight="1">
      <c r="A5444" s="111" t="s">
        <v>100</v>
      </c>
      <c r="B5444" s="78" t="s">
        <v>18827</v>
      </c>
      <c r="C5444" s="19" t="s">
        <v>87</v>
      </c>
      <c r="D5444" s="20" t="s">
        <v>18828</v>
      </c>
      <c r="E5444" s="20" t="s">
        <v>18829</v>
      </c>
      <c r="F5444" s="19" t="s">
        <v>90</v>
      </c>
      <c r="G5444" s="19" t="s">
        <v>91</v>
      </c>
      <c r="H5444" s="37" t="s">
        <v>55</v>
      </c>
      <c r="I5444" s="37" t="s">
        <v>29</v>
      </c>
      <c r="J5444" s="155" t="str">
        <f t="shared" si="13"/>
        <v>TT</v>
      </c>
      <c r="K5444" s="22" t="s">
        <v>18830</v>
      </c>
      <c r="L5444" s="56">
        <v>45138</v>
      </c>
      <c r="P5444" s="40"/>
      <c r="Q5444" s="61"/>
      <c r="R5444" s="61"/>
      <c r="S5444" s="40"/>
      <c r="T5444" s="38"/>
      <c r="U5444" s="38"/>
      <c r="V5444" s="38"/>
      <c r="W5444" s="60"/>
      <c r="AB5444" s="42"/>
      <c r="AC5444" s="35"/>
      <c r="AD5444" s="38"/>
      <c r="AE5444" s="38"/>
      <c r="AF5444" s="38"/>
      <c r="AG5444" s="38"/>
      <c r="AH5444" s="60"/>
    </row>
    <row r="5445" spans="1:34" ht="15.75" customHeight="1">
      <c r="A5445" s="75" t="s">
        <v>55</v>
      </c>
      <c r="B5445" s="38"/>
      <c r="C5445" s="37"/>
      <c r="D5445" s="20"/>
      <c r="E5445" s="20"/>
      <c r="F5445" s="37"/>
      <c r="G5445" s="37"/>
      <c r="H5445" s="37"/>
      <c r="I5445" s="37"/>
      <c r="J5445" s="155">
        <f t="shared" si="13"/>
        <v>0</v>
      </c>
      <c r="K5445" s="22"/>
      <c r="L5445" s="56"/>
      <c r="P5445" s="40"/>
      <c r="Q5445" s="61"/>
      <c r="R5445" s="61"/>
      <c r="S5445" s="40"/>
      <c r="T5445" s="38"/>
      <c r="U5445" s="38"/>
      <c r="V5445" s="38"/>
      <c r="W5445" s="60"/>
      <c r="AB5445" s="42"/>
      <c r="AC5445" s="35"/>
      <c r="AD5445" s="38"/>
      <c r="AE5445" s="38"/>
      <c r="AF5445" s="38"/>
      <c r="AG5445" s="38"/>
      <c r="AH5445" s="60"/>
    </row>
    <row r="5446" spans="1:34" ht="15.75" customHeight="1">
      <c r="A5446" s="35"/>
      <c r="B5446" s="38"/>
      <c r="C5446" s="37"/>
      <c r="D5446" s="20"/>
      <c r="E5446" s="20"/>
      <c r="F5446" s="37"/>
      <c r="G5446" s="37"/>
      <c r="H5446" s="37"/>
      <c r="I5446" s="37"/>
      <c r="J5446" s="155">
        <f t="shared" si="13"/>
        <v>0</v>
      </c>
      <c r="K5446" s="22"/>
      <c r="L5446" s="56"/>
      <c r="P5446" s="40"/>
      <c r="Q5446" s="61"/>
      <c r="R5446" s="61"/>
      <c r="S5446" s="40"/>
      <c r="T5446" s="38"/>
      <c r="U5446" s="38"/>
      <c r="V5446" s="38"/>
      <c r="W5446" s="60"/>
      <c r="AB5446" s="42"/>
      <c r="AC5446" s="35"/>
      <c r="AD5446" s="38"/>
      <c r="AE5446" s="38"/>
      <c r="AF5446" s="38"/>
      <c r="AG5446" s="38"/>
      <c r="AH5446" s="60"/>
    </row>
    <row r="5447" spans="1:34" ht="15.75" customHeight="1">
      <c r="A5447" s="35" t="s">
        <v>18831</v>
      </c>
      <c r="B5447" s="81" t="s">
        <v>18832</v>
      </c>
      <c r="C5447" s="19" t="s">
        <v>24</v>
      </c>
      <c r="D5447" s="20" t="s">
        <v>18833</v>
      </c>
      <c r="E5447" s="20" t="s">
        <v>18834</v>
      </c>
      <c r="F5447" s="19" t="s">
        <v>27</v>
      </c>
      <c r="G5447" s="19" t="s">
        <v>28</v>
      </c>
      <c r="H5447" s="37" t="s">
        <v>55</v>
      </c>
      <c r="I5447" s="37" t="s">
        <v>29</v>
      </c>
      <c r="J5447" s="155" t="str">
        <f t="shared" si="13"/>
        <v>TT</v>
      </c>
      <c r="K5447" s="22" t="s">
        <v>18835</v>
      </c>
      <c r="L5447" s="56">
        <v>45139</v>
      </c>
      <c r="M5447" s="40"/>
      <c r="P5447" s="40"/>
      <c r="Q5447" s="61"/>
      <c r="R5447" s="61"/>
      <c r="S5447" s="40"/>
      <c r="T5447" s="38"/>
      <c r="U5447" s="38"/>
      <c r="V5447" s="38"/>
      <c r="W5447" s="60"/>
      <c r="AB5447" s="42"/>
      <c r="AC5447" s="35"/>
      <c r="AD5447" s="38"/>
      <c r="AE5447" s="38"/>
      <c r="AF5447" s="38"/>
      <c r="AG5447" s="38"/>
      <c r="AH5447" s="60"/>
    </row>
    <row r="5448" spans="1:34" ht="15.75" customHeight="1">
      <c r="A5448" s="54" t="s">
        <v>2714</v>
      </c>
      <c r="B5448" s="78" t="s">
        <v>18836</v>
      </c>
      <c r="C5448" s="19" t="s">
        <v>87</v>
      </c>
      <c r="D5448" s="20" t="s">
        <v>18837</v>
      </c>
      <c r="E5448" s="20" t="s">
        <v>18838</v>
      </c>
      <c r="F5448" s="19" t="s">
        <v>90</v>
      </c>
      <c r="G5448" s="19" t="s">
        <v>91</v>
      </c>
      <c r="H5448" s="37" t="s">
        <v>55</v>
      </c>
      <c r="I5448" s="37" t="s">
        <v>29</v>
      </c>
      <c r="J5448" s="155" t="str">
        <f t="shared" si="13"/>
        <v>TT</v>
      </c>
      <c r="K5448" s="22" t="s">
        <v>18839</v>
      </c>
      <c r="L5448" s="56">
        <v>45139</v>
      </c>
      <c r="P5448" s="40"/>
      <c r="Q5448" s="61"/>
      <c r="R5448" s="61"/>
      <c r="S5448" s="40"/>
      <c r="T5448" s="38"/>
      <c r="U5448" s="38"/>
      <c r="V5448" s="38"/>
      <c r="W5448" s="60"/>
      <c r="AB5448" s="42"/>
      <c r="AC5448" s="35"/>
      <c r="AD5448" s="38"/>
      <c r="AE5448" s="38"/>
      <c r="AF5448" s="38"/>
      <c r="AG5448" s="38"/>
      <c r="AH5448" s="60"/>
    </row>
    <row r="5449" spans="1:34" ht="15.75" customHeight="1">
      <c r="A5449" s="114" t="s">
        <v>39</v>
      </c>
      <c r="B5449" s="78" t="s">
        <v>18840</v>
      </c>
      <c r="C5449" s="19" t="s">
        <v>1638</v>
      </c>
      <c r="D5449" s="20" t="s">
        <v>18841</v>
      </c>
      <c r="E5449" s="20" t="s">
        <v>18842</v>
      </c>
      <c r="F5449" s="37" t="s">
        <v>1399</v>
      </c>
      <c r="G5449" s="19" t="s">
        <v>1641</v>
      </c>
      <c r="H5449" s="37" t="s">
        <v>55</v>
      </c>
      <c r="I5449" s="21" t="s">
        <v>1371</v>
      </c>
      <c r="J5449" s="155" t="str">
        <f t="shared" si="13"/>
        <v>Other</v>
      </c>
      <c r="K5449" s="22" t="s">
        <v>18843</v>
      </c>
      <c r="L5449" s="56">
        <v>45139</v>
      </c>
      <c r="P5449" s="40"/>
      <c r="Q5449" s="61"/>
      <c r="R5449" s="61"/>
      <c r="S5449" s="40"/>
      <c r="T5449" s="38"/>
      <c r="U5449" s="38"/>
      <c r="V5449" s="38"/>
      <c r="W5449" s="60"/>
      <c r="AB5449" s="42"/>
      <c r="AC5449" s="35"/>
      <c r="AD5449" s="38"/>
      <c r="AE5449" s="38"/>
      <c r="AF5449" s="38"/>
      <c r="AG5449" s="38"/>
      <c r="AH5449" s="60"/>
    </row>
    <row r="5450" spans="1:34" ht="15.75" customHeight="1">
      <c r="A5450" s="38" t="s">
        <v>18641</v>
      </c>
      <c r="B5450" s="78" t="s">
        <v>18844</v>
      </c>
      <c r="C5450" s="19" t="s">
        <v>87</v>
      </c>
      <c r="D5450" s="20" t="s">
        <v>18845</v>
      </c>
      <c r="E5450" s="20" t="s">
        <v>18846</v>
      </c>
      <c r="F5450" s="19" t="s">
        <v>90</v>
      </c>
      <c r="G5450" s="19" t="s">
        <v>91</v>
      </c>
      <c r="H5450" s="37" t="s">
        <v>55</v>
      </c>
      <c r="I5450" s="37" t="s">
        <v>29</v>
      </c>
      <c r="J5450" s="155" t="str">
        <f t="shared" si="13"/>
        <v>TT</v>
      </c>
      <c r="K5450" s="22" t="s">
        <v>18847</v>
      </c>
      <c r="L5450" s="56">
        <v>45139</v>
      </c>
      <c r="P5450" s="40"/>
      <c r="Q5450" s="61"/>
      <c r="R5450" s="61"/>
      <c r="S5450" s="40"/>
      <c r="T5450" s="38"/>
      <c r="U5450" s="38"/>
      <c r="V5450" s="38"/>
      <c r="W5450" s="60"/>
      <c r="AB5450" s="42"/>
      <c r="AC5450" s="35"/>
      <c r="AD5450" s="38"/>
      <c r="AE5450" s="38"/>
      <c r="AF5450" s="38"/>
      <c r="AG5450" s="38"/>
      <c r="AH5450" s="60"/>
    </row>
    <row r="5451" spans="1:34" ht="15.75" customHeight="1">
      <c r="A5451" s="75" t="s">
        <v>14231</v>
      </c>
      <c r="B5451" s="78" t="s">
        <v>18848</v>
      </c>
      <c r="C5451" s="19" t="s">
        <v>46</v>
      </c>
      <c r="D5451" s="20" t="s">
        <v>18849</v>
      </c>
      <c r="E5451" s="20" t="s">
        <v>18850</v>
      </c>
      <c r="F5451" s="37" t="s">
        <v>49</v>
      </c>
      <c r="G5451" s="19" t="s">
        <v>50</v>
      </c>
      <c r="H5451" s="37" t="s">
        <v>55</v>
      </c>
      <c r="I5451" s="37" t="s">
        <v>29</v>
      </c>
      <c r="J5451" s="155" t="str">
        <f t="shared" si="13"/>
        <v>TT</v>
      </c>
      <c r="K5451" s="22" t="s">
        <v>18851</v>
      </c>
      <c r="L5451" s="56">
        <v>45139</v>
      </c>
      <c r="P5451" s="40"/>
      <c r="Q5451" s="61"/>
      <c r="R5451" s="61"/>
      <c r="S5451" s="40"/>
      <c r="T5451" s="38"/>
      <c r="U5451" s="38"/>
      <c r="V5451" s="38"/>
      <c r="W5451" s="60"/>
      <c r="AB5451" s="42"/>
      <c r="AC5451" s="35"/>
      <c r="AD5451" s="38"/>
      <c r="AE5451" s="38"/>
      <c r="AF5451" s="38"/>
      <c r="AG5451" s="38"/>
      <c r="AH5451" s="60"/>
    </row>
    <row r="5452" spans="1:34" ht="15.75" customHeight="1">
      <c r="A5452" s="50" t="s">
        <v>56</v>
      </c>
      <c r="B5452" s="78" t="s">
        <v>18852</v>
      </c>
      <c r="C5452" s="19" t="s">
        <v>87</v>
      </c>
      <c r="D5452" s="20" t="s">
        <v>18853</v>
      </c>
      <c r="E5452" s="20" t="s">
        <v>18854</v>
      </c>
      <c r="F5452" s="19" t="s">
        <v>90</v>
      </c>
      <c r="G5452" s="19" t="s">
        <v>91</v>
      </c>
      <c r="H5452" s="37" t="s">
        <v>55</v>
      </c>
      <c r="I5452" s="37" t="s">
        <v>29</v>
      </c>
      <c r="J5452" s="155" t="str">
        <f t="shared" si="13"/>
        <v>TT</v>
      </c>
      <c r="K5452" s="22" t="s">
        <v>18855</v>
      </c>
      <c r="L5452" s="56">
        <v>45139</v>
      </c>
      <c r="P5452" s="40"/>
      <c r="Q5452" s="61"/>
      <c r="R5452" s="61"/>
      <c r="S5452" s="40"/>
      <c r="T5452" s="38"/>
      <c r="U5452" s="38"/>
      <c r="V5452" s="38"/>
      <c r="W5452" s="60"/>
      <c r="AB5452" s="42"/>
      <c r="AC5452" s="35"/>
      <c r="AD5452" s="38"/>
      <c r="AE5452" s="38"/>
      <c r="AF5452" s="38"/>
      <c r="AG5452" s="38"/>
      <c r="AH5452" s="60"/>
    </row>
    <row r="5453" spans="1:34" ht="15.75" customHeight="1">
      <c r="A5453" s="17">
        <v>38</v>
      </c>
      <c r="B5453" s="78" t="s">
        <v>18856</v>
      </c>
      <c r="C5453" s="37" t="s">
        <v>1486</v>
      </c>
      <c r="D5453" s="20" t="s">
        <v>18857</v>
      </c>
      <c r="E5453" s="20" t="s">
        <v>18858</v>
      </c>
      <c r="F5453" s="37" t="s">
        <v>1489</v>
      </c>
      <c r="G5453" s="37" t="s">
        <v>1490</v>
      </c>
      <c r="H5453" s="37" t="s">
        <v>55</v>
      </c>
      <c r="I5453" s="21" t="s">
        <v>1371</v>
      </c>
      <c r="J5453" s="155" t="str">
        <f t="shared" si="13"/>
        <v>Other</v>
      </c>
      <c r="K5453" s="22" t="s">
        <v>18859</v>
      </c>
      <c r="L5453" s="56">
        <v>45139</v>
      </c>
      <c r="P5453" s="40"/>
      <c r="Q5453" s="61"/>
      <c r="R5453" s="61"/>
      <c r="S5453" s="40"/>
      <c r="T5453" s="38"/>
      <c r="U5453" s="38"/>
      <c r="V5453" s="38"/>
      <c r="W5453" s="60"/>
      <c r="AB5453" s="42"/>
      <c r="AC5453" s="35"/>
      <c r="AD5453" s="38"/>
      <c r="AE5453" s="38"/>
      <c r="AF5453" s="38"/>
      <c r="AG5453" s="38"/>
      <c r="AH5453" s="60"/>
    </row>
    <row r="5454" spans="1:34" ht="15.75" customHeight="1">
      <c r="A5454" s="111" t="s">
        <v>64</v>
      </c>
      <c r="B5454" s="78" t="s">
        <v>18860</v>
      </c>
      <c r="C5454" s="19" t="s">
        <v>24</v>
      </c>
      <c r="D5454" s="20" t="s">
        <v>18861</v>
      </c>
      <c r="E5454" s="20" t="s">
        <v>18862</v>
      </c>
      <c r="F5454" s="19" t="s">
        <v>27</v>
      </c>
      <c r="G5454" s="19" t="s">
        <v>28</v>
      </c>
      <c r="H5454" s="37" t="s">
        <v>55</v>
      </c>
      <c r="I5454" s="37" t="s">
        <v>29</v>
      </c>
      <c r="J5454" s="155" t="str">
        <f t="shared" si="13"/>
        <v>TT</v>
      </c>
      <c r="K5454" s="22" t="s">
        <v>18863</v>
      </c>
      <c r="L5454" s="56">
        <v>45139</v>
      </c>
      <c r="P5454" s="40"/>
      <c r="Q5454" s="61"/>
      <c r="R5454" s="61"/>
      <c r="S5454" s="40"/>
      <c r="T5454" s="38"/>
      <c r="U5454" s="38"/>
      <c r="V5454" s="38"/>
      <c r="W5454" s="60"/>
      <c r="AB5454" s="42"/>
      <c r="AC5454" s="35"/>
      <c r="AD5454" s="38"/>
      <c r="AE5454" s="38"/>
      <c r="AF5454" s="38"/>
      <c r="AG5454" s="38"/>
      <c r="AH5454" s="60"/>
    </row>
    <row r="5455" spans="1:34" ht="15.75" customHeight="1">
      <c r="A5455" s="75">
        <v>2.2999999999999998</v>
      </c>
      <c r="B5455" s="78" t="s">
        <v>18864</v>
      </c>
      <c r="C5455" s="19" t="s">
        <v>24</v>
      </c>
      <c r="D5455" s="20" t="s">
        <v>18865</v>
      </c>
      <c r="E5455" s="20" t="s">
        <v>18866</v>
      </c>
      <c r="F5455" s="19" t="s">
        <v>27</v>
      </c>
      <c r="G5455" s="19" t="s">
        <v>28</v>
      </c>
      <c r="H5455" s="37" t="s">
        <v>55</v>
      </c>
      <c r="I5455" s="37" t="s">
        <v>29</v>
      </c>
      <c r="J5455" s="155" t="str">
        <f t="shared" si="13"/>
        <v>TT</v>
      </c>
      <c r="K5455" s="22" t="s">
        <v>18867</v>
      </c>
      <c r="L5455" s="56">
        <v>45139</v>
      </c>
      <c r="P5455" s="40"/>
      <c r="Q5455" s="61"/>
      <c r="R5455" s="61"/>
      <c r="S5455" s="40"/>
      <c r="T5455" s="38"/>
      <c r="U5455" s="38"/>
      <c r="V5455" s="38"/>
      <c r="W5455" s="60"/>
      <c r="AB5455" s="42"/>
      <c r="AC5455" s="35"/>
      <c r="AD5455" s="38"/>
      <c r="AE5455" s="38"/>
      <c r="AF5455" s="38"/>
      <c r="AG5455" s="38"/>
      <c r="AH5455" s="60"/>
    </row>
    <row r="5456" spans="1:34" ht="15.75" customHeight="1">
      <c r="A5456" s="111" t="s">
        <v>73</v>
      </c>
      <c r="B5456" s="78" t="s">
        <v>18868</v>
      </c>
      <c r="C5456" s="19" t="s">
        <v>46</v>
      </c>
      <c r="D5456" s="20" t="s">
        <v>18869</v>
      </c>
      <c r="E5456" s="20" t="s">
        <v>18870</v>
      </c>
      <c r="F5456" s="37" t="s">
        <v>49</v>
      </c>
      <c r="G5456" s="19" t="s">
        <v>50</v>
      </c>
      <c r="H5456" s="37" t="s">
        <v>55</v>
      </c>
      <c r="I5456" s="37" t="s">
        <v>29</v>
      </c>
      <c r="J5456" s="155" t="str">
        <f t="shared" si="13"/>
        <v>TT</v>
      </c>
      <c r="K5456" s="22" t="s">
        <v>18871</v>
      </c>
      <c r="L5456" s="56">
        <v>45139</v>
      </c>
      <c r="P5456" s="40"/>
      <c r="Q5456" s="61"/>
      <c r="R5456" s="61"/>
      <c r="S5456" s="40"/>
      <c r="T5456" s="38"/>
      <c r="U5456" s="38"/>
      <c r="V5456" s="38"/>
      <c r="W5456" s="60"/>
      <c r="AB5456" s="42"/>
      <c r="AC5456" s="35"/>
      <c r="AD5456" s="38"/>
      <c r="AE5456" s="38"/>
      <c r="AF5456" s="38"/>
      <c r="AG5456" s="38"/>
      <c r="AH5456" s="60"/>
    </row>
    <row r="5457" spans="1:34" ht="15.75" customHeight="1">
      <c r="A5457" s="75">
        <v>2.8</v>
      </c>
      <c r="B5457" s="78" t="s">
        <v>18872</v>
      </c>
      <c r="C5457" s="19" t="s">
        <v>46</v>
      </c>
      <c r="D5457" s="20" t="s">
        <v>18873</v>
      </c>
      <c r="E5457" s="20" t="s">
        <v>18874</v>
      </c>
      <c r="F5457" s="37" t="s">
        <v>49</v>
      </c>
      <c r="G5457" s="19" t="s">
        <v>50</v>
      </c>
      <c r="H5457" s="37" t="s">
        <v>55</v>
      </c>
      <c r="I5457" s="37" t="s">
        <v>29</v>
      </c>
      <c r="J5457" s="155" t="str">
        <f t="shared" si="13"/>
        <v>TT</v>
      </c>
      <c r="K5457" s="22" t="s">
        <v>18875</v>
      </c>
      <c r="L5457" s="56">
        <v>45139</v>
      </c>
      <c r="P5457" s="40"/>
      <c r="Q5457" s="61"/>
      <c r="R5457" s="61"/>
      <c r="S5457" s="40"/>
      <c r="T5457" s="38"/>
      <c r="U5457" s="38"/>
      <c r="V5457" s="38"/>
      <c r="W5457" s="60"/>
      <c r="AB5457" s="42"/>
      <c r="AC5457" s="35"/>
      <c r="AD5457" s="38"/>
      <c r="AE5457" s="38"/>
      <c r="AF5457" s="38"/>
      <c r="AG5457" s="38"/>
      <c r="AH5457" s="60"/>
    </row>
    <row r="5458" spans="1:34" ht="15.75" customHeight="1">
      <c r="A5458" s="111" t="s">
        <v>82</v>
      </c>
      <c r="B5458" s="78" t="s">
        <v>18876</v>
      </c>
      <c r="C5458" s="19" t="s">
        <v>1366</v>
      </c>
      <c r="D5458" s="20" t="s">
        <v>18877</v>
      </c>
      <c r="E5458" s="20" t="s">
        <v>18878</v>
      </c>
      <c r="F5458" s="55" t="s">
        <v>1369</v>
      </c>
      <c r="G5458" s="55" t="s">
        <v>1370</v>
      </c>
      <c r="H5458" s="37" t="s">
        <v>55</v>
      </c>
      <c r="I5458" s="21" t="s">
        <v>1371</v>
      </c>
      <c r="J5458" s="155" t="str">
        <f t="shared" si="13"/>
        <v>Other</v>
      </c>
      <c r="K5458" s="22" t="s">
        <v>18879</v>
      </c>
      <c r="L5458" s="56">
        <v>45139</v>
      </c>
      <c r="P5458" s="40"/>
      <c r="Q5458" s="61"/>
      <c r="R5458" s="61"/>
      <c r="S5458" s="40"/>
      <c r="T5458" s="38"/>
      <c r="U5458" s="38"/>
      <c r="V5458" s="38"/>
      <c r="W5458" s="60"/>
      <c r="AB5458" s="42"/>
      <c r="AC5458" s="35"/>
      <c r="AD5458" s="38"/>
      <c r="AE5458" s="38"/>
      <c r="AF5458" s="38"/>
      <c r="AG5458" s="38"/>
      <c r="AH5458" s="60"/>
    </row>
    <row r="5459" spans="1:34" ht="15.75" customHeight="1">
      <c r="A5459" s="75" t="s">
        <v>18880</v>
      </c>
      <c r="B5459" s="78" t="s">
        <v>18881</v>
      </c>
      <c r="C5459" s="19" t="s">
        <v>87</v>
      </c>
      <c r="D5459" s="20" t="s">
        <v>18882</v>
      </c>
      <c r="E5459" s="20" t="s">
        <v>18883</v>
      </c>
      <c r="F5459" s="19" t="s">
        <v>90</v>
      </c>
      <c r="G5459" s="19" t="s">
        <v>91</v>
      </c>
      <c r="H5459" s="37" t="s">
        <v>55</v>
      </c>
      <c r="I5459" s="37" t="s">
        <v>29</v>
      </c>
      <c r="J5459" s="155" t="str">
        <f t="shared" si="13"/>
        <v>TT</v>
      </c>
      <c r="K5459" s="22" t="s">
        <v>18884</v>
      </c>
      <c r="L5459" s="56">
        <v>45139</v>
      </c>
      <c r="P5459" s="40"/>
      <c r="Q5459" s="61"/>
      <c r="R5459" s="61"/>
      <c r="S5459" s="40"/>
      <c r="T5459" s="38"/>
      <c r="U5459" s="38"/>
      <c r="V5459" s="38"/>
      <c r="W5459" s="60"/>
      <c r="AB5459" s="42"/>
      <c r="AC5459" s="35"/>
      <c r="AD5459" s="38"/>
      <c r="AE5459" s="38"/>
      <c r="AF5459" s="38"/>
      <c r="AG5459" s="38"/>
      <c r="AH5459" s="60"/>
    </row>
    <row r="5460" spans="1:34" ht="15.75" customHeight="1">
      <c r="A5460" s="111" t="s">
        <v>92</v>
      </c>
      <c r="B5460" s="78" t="s">
        <v>18885</v>
      </c>
      <c r="C5460" s="19" t="s">
        <v>46</v>
      </c>
      <c r="D5460" s="20" t="s">
        <v>18886</v>
      </c>
      <c r="E5460" s="20" t="s">
        <v>18887</v>
      </c>
      <c r="F5460" s="37" t="s">
        <v>49</v>
      </c>
      <c r="G5460" s="19" t="s">
        <v>50</v>
      </c>
      <c r="H5460" s="37" t="s">
        <v>55</v>
      </c>
      <c r="I5460" s="37" t="s">
        <v>29</v>
      </c>
      <c r="J5460" s="155" t="str">
        <f t="shared" si="13"/>
        <v>TT</v>
      </c>
      <c r="K5460" s="22" t="s">
        <v>18888</v>
      </c>
      <c r="L5460" s="56">
        <v>45139</v>
      </c>
      <c r="P5460" s="40"/>
      <c r="Q5460" s="61"/>
      <c r="R5460" s="61"/>
      <c r="S5460" s="40"/>
      <c r="T5460" s="38"/>
      <c r="U5460" s="38"/>
      <c r="V5460" s="38"/>
      <c r="W5460" s="60"/>
      <c r="AB5460" s="42"/>
      <c r="AC5460" s="35"/>
      <c r="AD5460" s="38"/>
      <c r="AE5460" s="38"/>
      <c r="AF5460" s="38"/>
      <c r="AG5460" s="38"/>
      <c r="AH5460" s="60"/>
    </row>
    <row r="5461" spans="1:34" ht="15.75" customHeight="1">
      <c r="A5461" s="112">
        <v>122</v>
      </c>
      <c r="B5461" s="78" t="s">
        <v>18889</v>
      </c>
      <c r="C5461" s="19" t="s">
        <v>24</v>
      </c>
      <c r="D5461" s="20" t="s">
        <v>18890</v>
      </c>
      <c r="E5461" s="20" t="s">
        <v>18891</v>
      </c>
      <c r="F5461" s="19" t="s">
        <v>27</v>
      </c>
      <c r="G5461" s="19" t="s">
        <v>28</v>
      </c>
      <c r="H5461" s="37" t="s">
        <v>55</v>
      </c>
      <c r="I5461" s="37" t="s">
        <v>29</v>
      </c>
      <c r="J5461" s="155" t="str">
        <f t="shared" si="13"/>
        <v>TT</v>
      </c>
      <c r="K5461" s="22" t="s">
        <v>18892</v>
      </c>
      <c r="L5461" s="56">
        <v>45139</v>
      </c>
      <c r="P5461" s="40"/>
      <c r="Q5461" s="61"/>
      <c r="R5461" s="61"/>
      <c r="S5461" s="40"/>
      <c r="T5461" s="38"/>
      <c r="U5461" s="38"/>
      <c r="V5461" s="38"/>
      <c r="W5461" s="60"/>
      <c r="AB5461" s="42"/>
      <c r="AC5461" s="35"/>
      <c r="AD5461" s="38"/>
      <c r="AE5461" s="38"/>
      <c r="AF5461" s="38"/>
      <c r="AG5461" s="38"/>
      <c r="AH5461" s="60"/>
    </row>
    <row r="5462" spans="1:34" ht="15.75" customHeight="1">
      <c r="A5462" s="111" t="s">
        <v>100</v>
      </c>
      <c r="B5462" s="78" t="s">
        <v>18893</v>
      </c>
      <c r="C5462" s="19" t="s">
        <v>46</v>
      </c>
      <c r="D5462" s="20" t="s">
        <v>18894</v>
      </c>
      <c r="E5462" s="20" t="s">
        <v>18895</v>
      </c>
      <c r="F5462" s="37" t="s">
        <v>49</v>
      </c>
      <c r="G5462" s="19" t="s">
        <v>50</v>
      </c>
      <c r="H5462" s="37" t="s">
        <v>55</v>
      </c>
      <c r="I5462" s="37" t="s">
        <v>29</v>
      </c>
      <c r="J5462" s="155" t="str">
        <f t="shared" si="13"/>
        <v>TT</v>
      </c>
      <c r="K5462" s="22" t="s">
        <v>18895</v>
      </c>
      <c r="L5462" s="56">
        <v>45139</v>
      </c>
      <c r="P5462" s="40"/>
      <c r="Q5462" s="61"/>
      <c r="R5462" s="61"/>
      <c r="S5462" s="40"/>
      <c r="T5462" s="38"/>
      <c r="U5462" s="38"/>
      <c r="V5462" s="38"/>
      <c r="W5462" s="60"/>
      <c r="AB5462" s="42"/>
      <c r="AC5462" s="35"/>
      <c r="AD5462" s="38"/>
      <c r="AE5462" s="38"/>
      <c r="AF5462" s="38"/>
      <c r="AG5462" s="38"/>
      <c r="AH5462" s="60"/>
    </row>
    <row r="5463" spans="1:34" ht="15.75" customHeight="1">
      <c r="A5463" s="75">
        <v>165</v>
      </c>
      <c r="B5463" s="38"/>
      <c r="C5463" s="37"/>
      <c r="D5463" s="20"/>
      <c r="E5463" s="20"/>
      <c r="F5463" s="37"/>
      <c r="G5463" s="37"/>
      <c r="H5463" s="37"/>
      <c r="I5463" s="37"/>
      <c r="J5463" s="155">
        <f t="shared" si="13"/>
        <v>0</v>
      </c>
      <c r="K5463" s="22"/>
      <c r="L5463" s="56"/>
      <c r="P5463" s="40"/>
      <c r="Q5463" s="61"/>
      <c r="R5463" s="61"/>
      <c r="S5463" s="40"/>
      <c r="T5463" s="38"/>
      <c r="U5463" s="38"/>
      <c r="V5463" s="38"/>
      <c r="W5463" s="60"/>
      <c r="AB5463" s="42"/>
      <c r="AC5463" s="35"/>
      <c r="AD5463" s="38"/>
      <c r="AE5463" s="38"/>
      <c r="AF5463" s="38"/>
      <c r="AG5463" s="38"/>
      <c r="AH5463" s="60"/>
    </row>
    <row r="5464" spans="1:34" ht="15.75" customHeight="1">
      <c r="A5464" s="35"/>
      <c r="B5464" s="38"/>
      <c r="C5464" s="37"/>
      <c r="D5464" s="20"/>
      <c r="E5464" s="20"/>
      <c r="F5464" s="37"/>
      <c r="G5464" s="37"/>
      <c r="H5464" s="37"/>
      <c r="I5464" s="37"/>
      <c r="J5464" s="155">
        <f t="shared" si="13"/>
        <v>0</v>
      </c>
      <c r="K5464" s="22"/>
      <c r="L5464" s="56"/>
      <c r="P5464" s="40"/>
      <c r="Q5464" s="61"/>
      <c r="R5464" s="61"/>
      <c r="S5464" s="40"/>
      <c r="T5464" s="38"/>
      <c r="U5464" s="38"/>
      <c r="V5464" s="38"/>
      <c r="W5464" s="60"/>
      <c r="AB5464" s="42"/>
      <c r="AC5464" s="35"/>
      <c r="AD5464" s="38"/>
      <c r="AE5464" s="38"/>
      <c r="AF5464" s="38"/>
      <c r="AG5464" s="38"/>
      <c r="AH5464" s="60"/>
    </row>
    <row r="5465" spans="1:34" ht="15.75" customHeight="1">
      <c r="A5465" s="35" t="s">
        <v>18896</v>
      </c>
      <c r="B5465" s="275"/>
      <c r="C5465" s="275"/>
      <c r="D5465" s="276"/>
      <c r="E5465" s="276"/>
      <c r="F5465" s="275"/>
      <c r="G5465" s="275"/>
      <c r="H5465" s="275"/>
      <c r="I5465" s="108"/>
      <c r="J5465" s="108"/>
      <c r="K5465" s="277"/>
      <c r="L5465" s="110"/>
      <c r="M5465" s="40"/>
      <c r="P5465" s="40"/>
      <c r="Q5465" s="61"/>
      <c r="R5465" s="61"/>
      <c r="S5465" s="40"/>
      <c r="T5465" s="38"/>
      <c r="U5465" s="38"/>
      <c r="V5465" s="38"/>
      <c r="W5465" s="60"/>
      <c r="AB5465" s="42"/>
      <c r="AC5465" s="35"/>
      <c r="AD5465" s="38"/>
      <c r="AE5465" s="38"/>
      <c r="AF5465" s="38"/>
      <c r="AG5465" s="38"/>
      <c r="AH5465" s="60"/>
    </row>
    <row r="5466" spans="1:34" ht="15.75" customHeight="1">
      <c r="A5466" s="54" t="s">
        <v>8241</v>
      </c>
      <c r="B5466" s="275"/>
      <c r="C5466" s="275"/>
      <c r="D5466" s="276"/>
      <c r="E5466" s="276"/>
      <c r="F5466" s="275"/>
      <c r="G5466" s="275"/>
      <c r="H5466" s="275"/>
      <c r="I5466" s="108"/>
      <c r="J5466" s="108"/>
      <c r="K5466" s="277"/>
      <c r="L5466" s="273"/>
      <c r="P5466" s="40"/>
      <c r="Q5466" s="61"/>
      <c r="R5466" s="61"/>
      <c r="S5466" s="40"/>
      <c r="T5466" s="38"/>
      <c r="U5466" s="38"/>
      <c r="V5466" s="38"/>
      <c r="W5466" s="60"/>
      <c r="AB5466" s="42"/>
      <c r="AC5466" s="35"/>
      <c r="AD5466" s="38"/>
      <c r="AE5466" s="38"/>
      <c r="AF5466" s="38"/>
      <c r="AG5466" s="38"/>
      <c r="AH5466" s="60"/>
    </row>
    <row r="5467" spans="1:34" ht="15.75" customHeight="1">
      <c r="A5467" s="114" t="s">
        <v>39</v>
      </c>
      <c r="B5467" s="275"/>
      <c r="C5467" s="275"/>
      <c r="D5467" s="276"/>
      <c r="E5467" s="276"/>
      <c r="F5467" s="275"/>
      <c r="G5467" s="275"/>
      <c r="H5467" s="275"/>
      <c r="I5467" s="108"/>
      <c r="J5467" s="108"/>
      <c r="K5467" s="277"/>
      <c r="L5467" s="273"/>
      <c r="P5467" s="40"/>
      <c r="Q5467" s="61"/>
      <c r="R5467" s="61"/>
      <c r="S5467" s="40"/>
      <c r="T5467" s="38"/>
      <c r="U5467" s="38"/>
      <c r="V5467" s="38"/>
      <c r="W5467" s="60"/>
      <c r="AB5467" s="42"/>
      <c r="AC5467" s="35"/>
      <c r="AD5467" s="38"/>
      <c r="AE5467" s="38"/>
      <c r="AF5467" s="38"/>
      <c r="AG5467" s="38"/>
      <c r="AH5467" s="60"/>
    </row>
    <row r="5468" spans="1:34" ht="15.75" customHeight="1">
      <c r="A5468" s="38" t="s">
        <v>18641</v>
      </c>
      <c r="B5468" s="275"/>
      <c r="C5468" s="275"/>
      <c r="D5468" s="276"/>
      <c r="E5468" s="276"/>
      <c r="F5468" s="275"/>
      <c r="G5468" s="275"/>
      <c r="H5468" s="275"/>
      <c r="I5468" s="108"/>
      <c r="J5468" s="108"/>
      <c r="K5468" s="277"/>
      <c r="L5468" s="273"/>
      <c r="P5468" s="40"/>
      <c r="Q5468" s="61"/>
      <c r="R5468" s="61"/>
      <c r="S5468" s="40"/>
      <c r="T5468" s="38"/>
      <c r="U5468" s="38"/>
      <c r="V5468" s="38"/>
      <c r="W5468" s="60"/>
      <c r="AB5468" s="42"/>
      <c r="AC5468" s="35"/>
      <c r="AD5468" s="38"/>
      <c r="AE5468" s="38"/>
      <c r="AF5468" s="38"/>
      <c r="AG5468" s="38"/>
      <c r="AH5468" s="60"/>
    </row>
    <row r="5469" spans="1:34" ht="15.75" customHeight="1">
      <c r="A5469" s="75" t="s">
        <v>16860</v>
      </c>
      <c r="B5469" s="275"/>
      <c r="C5469" s="275"/>
      <c r="D5469" s="276"/>
      <c r="E5469" s="276"/>
      <c r="F5469" s="275"/>
      <c r="G5469" s="275"/>
      <c r="H5469" s="275"/>
      <c r="I5469" s="108"/>
      <c r="J5469" s="108"/>
      <c r="K5469" s="277"/>
      <c r="L5469" s="273"/>
      <c r="P5469" s="40"/>
      <c r="Q5469" s="61"/>
      <c r="R5469" s="61"/>
      <c r="S5469" s="40"/>
      <c r="T5469" s="38"/>
      <c r="U5469" s="38"/>
      <c r="V5469" s="38"/>
      <c r="W5469" s="60"/>
      <c r="AB5469" s="42"/>
      <c r="AC5469" s="35"/>
      <c r="AD5469" s="38"/>
      <c r="AE5469" s="38"/>
      <c r="AF5469" s="38"/>
      <c r="AG5469" s="38"/>
      <c r="AH5469" s="60"/>
    </row>
    <row r="5470" spans="1:34" ht="15.75" customHeight="1">
      <c r="A5470" s="50" t="s">
        <v>56</v>
      </c>
      <c r="B5470" s="275"/>
      <c r="C5470" s="275"/>
      <c r="D5470" s="276"/>
      <c r="E5470" s="276"/>
      <c r="F5470" s="275"/>
      <c r="G5470" s="275"/>
      <c r="H5470" s="275"/>
      <c r="I5470" s="108"/>
      <c r="J5470" s="108"/>
      <c r="K5470" s="277"/>
      <c r="L5470" s="273"/>
      <c r="P5470" s="40"/>
      <c r="Q5470" s="61"/>
      <c r="R5470" s="61"/>
      <c r="S5470" s="40"/>
      <c r="T5470" s="38"/>
      <c r="U5470" s="38"/>
      <c r="V5470" s="38"/>
      <c r="W5470" s="60"/>
      <c r="AB5470" s="42"/>
      <c r="AC5470" s="35"/>
      <c r="AD5470" s="38"/>
      <c r="AE5470" s="38"/>
      <c r="AF5470" s="38"/>
      <c r="AG5470" s="38"/>
      <c r="AH5470" s="60"/>
    </row>
    <row r="5471" spans="1:34" ht="15.75" customHeight="1">
      <c r="A5471" s="17">
        <v>40</v>
      </c>
      <c r="B5471" s="275"/>
      <c r="C5471" s="275"/>
      <c r="D5471" s="276"/>
      <c r="E5471" s="276"/>
      <c r="F5471" s="275"/>
      <c r="G5471" s="275"/>
      <c r="H5471" s="275"/>
      <c r="I5471" s="108"/>
      <c r="J5471" s="108"/>
      <c r="K5471" s="277"/>
      <c r="L5471" s="273"/>
      <c r="P5471" s="40"/>
      <c r="Q5471" s="61"/>
      <c r="R5471" s="61"/>
      <c r="S5471" s="40"/>
      <c r="T5471" s="38"/>
      <c r="U5471" s="38"/>
      <c r="V5471" s="38"/>
      <c r="W5471" s="60"/>
      <c r="AB5471" s="42"/>
      <c r="AC5471" s="35"/>
      <c r="AD5471" s="38"/>
      <c r="AE5471" s="38"/>
      <c r="AF5471" s="38"/>
      <c r="AG5471" s="38"/>
      <c r="AH5471" s="60"/>
    </row>
    <row r="5472" spans="1:34" ht="15.75" customHeight="1">
      <c r="A5472" s="111" t="s">
        <v>64</v>
      </c>
      <c r="B5472" s="275"/>
      <c r="C5472" s="275"/>
      <c r="D5472" s="276"/>
      <c r="E5472" s="276"/>
      <c r="F5472" s="275"/>
      <c r="G5472" s="275"/>
      <c r="H5472" s="275"/>
      <c r="I5472" s="108"/>
      <c r="J5472" s="108"/>
      <c r="K5472" s="277"/>
      <c r="L5472" s="273"/>
      <c r="P5472" s="40"/>
      <c r="Q5472" s="61"/>
      <c r="R5472" s="61"/>
      <c r="S5472" s="40"/>
      <c r="T5472" s="38"/>
      <c r="U5472" s="38"/>
      <c r="V5472" s="38"/>
      <c r="W5472" s="60"/>
      <c r="AB5472" s="42"/>
      <c r="AC5472" s="35"/>
      <c r="AD5472" s="38"/>
      <c r="AE5472" s="38"/>
      <c r="AF5472" s="38"/>
      <c r="AG5472" s="38"/>
      <c r="AH5472" s="60"/>
    </row>
    <row r="5473" spans="1:34" ht="15.75" customHeight="1">
      <c r="A5473" s="75">
        <v>2.2000000000000002</v>
      </c>
      <c r="B5473" s="275"/>
      <c r="C5473" s="275"/>
      <c r="D5473" s="276"/>
      <c r="E5473" s="276"/>
      <c r="F5473" s="275"/>
      <c r="G5473" s="275"/>
      <c r="H5473" s="275"/>
      <c r="I5473" s="108"/>
      <c r="J5473" s="108"/>
      <c r="K5473" s="277"/>
      <c r="L5473" s="273"/>
      <c r="P5473" s="40"/>
      <c r="Q5473" s="61"/>
      <c r="R5473" s="61"/>
      <c r="S5473" s="40"/>
      <c r="T5473" s="38"/>
      <c r="U5473" s="38"/>
      <c r="V5473" s="38"/>
      <c r="W5473" s="60"/>
      <c r="AB5473" s="42"/>
      <c r="AC5473" s="35"/>
      <c r="AD5473" s="38"/>
      <c r="AE5473" s="38"/>
      <c r="AF5473" s="38"/>
      <c r="AG5473" s="38"/>
      <c r="AH5473" s="60"/>
    </row>
    <row r="5474" spans="1:34" ht="15.75" customHeight="1">
      <c r="A5474" s="111" t="s">
        <v>73</v>
      </c>
      <c r="B5474" s="275"/>
      <c r="C5474" s="275"/>
      <c r="D5474" s="276"/>
      <c r="E5474" s="276"/>
      <c r="F5474" s="275"/>
      <c r="G5474" s="275"/>
      <c r="H5474" s="275"/>
      <c r="I5474" s="108"/>
      <c r="J5474" s="108"/>
      <c r="K5474" s="277"/>
      <c r="L5474" s="273"/>
      <c r="P5474" s="40"/>
      <c r="Q5474" s="61"/>
      <c r="R5474" s="61"/>
      <c r="S5474" s="40"/>
      <c r="T5474" s="38"/>
      <c r="U5474" s="38"/>
      <c r="V5474" s="38"/>
      <c r="W5474" s="60"/>
      <c r="AB5474" s="42"/>
      <c r="AC5474" s="35"/>
      <c r="AD5474" s="38"/>
      <c r="AE5474" s="38"/>
      <c r="AF5474" s="38"/>
      <c r="AG5474" s="38"/>
      <c r="AH5474" s="60"/>
    </row>
    <row r="5475" spans="1:34" ht="15.75" customHeight="1">
      <c r="A5475" s="75">
        <v>2.8</v>
      </c>
      <c r="B5475" s="275"/>
      <c r="C5475" s="275"/>
      <c r="D5475" s="276"/>
      <c r="E5475" s="276"/>
      <c r="F5475" s="275"/>
      <c r="G5475" s="275"/>
      <c r="H5475" s="275"/>
      <c r="I5475" s="108"/>
      <c r="J5475" s="108"/>
      <c r="K5475" s="277"/>
      <c r="L5475" s="273"/>
      <c r="P5475" s="40"/>
      <c r="Q5475" s="61"/>
      <c r="R5475" s="61"/>
      <c r="S5475" s="40"/>
      <c r="T5475" s="38"/>
      <c r="U5475" s="38"/>
      <c r="V5475" s="38"/>
      <c r="W5475" s="60"/>
      <c r="AB5475" s="42"/>
      <c r="AC5475" s="35"/>
      <c r="AD5475" s="38"/>
      <c r="AE5475" s="38"/>
      <c r="AF5475" s="38"/>
      <c r="AG5475" s="38"/>
      <c r="AH5475" s="60"/>
    </row>
    <row r="5476" spans="1:34" ht="15.75" customHeight="1">
      <c r="A5476" s="111" t="s">
        <v>82</v>
      </c>
      <c r="B5476" s="275"/>
      <c r="C5476" s="275"/>
      <c r="D5476" s="276"/>
      <c r="E5476" s="276"/>
      <c r="F5476" s="275"/>
      <c r="G5476" s="275"/>
      <c r="H5476" s="275"/>
      <c r="I5476" s="108"/>
      <c r="J5476" s="108"/>
      <c r="K5476" s="277"/>
      <c r="L5476" s="273"/>
      <c r="P5476" s="40"/>
      <c r="Q5476" s="61"/>
      <c r="R5476" s="61"/>
      <c r="S5476" s="40"/>
      <c r="T5476" s="38"/>
      <c r="U5476" s="38"/>
      <c r="V5476" s="38"/>
      <c r="W5476" s="60"/>
      <c r="AB5476" s="42"/>
      <c r="AC5476" s="35"/>
      <c r="AD5476" s="38"/>
      <c r="AE5476" s="38"/>
      <c r="AF5476" s="38"/>
      <c r="AG5476" s="38"/>
      <c r="AH5476" s="60"/>
    </row>
    <row r="5477" spans="1:34" ht="15.75" customHeight="1">
      <c r="A5477" s="75" t="s">
        <v>55</v>
      </c>
      <c r="B5477" s="275"/>
      <c r="C5477" s="275"/>
      <c r="D5477" s="276"/>
      <c r="E5477" s="276"/>
      <c r="F5477" s="275"/>
      <c r="G5477" s="275"/>
      <c r="H5477" s="275"/>
      <c r="I5477" s="108"/>
      <c r="J5477" s="108"/>
      <c r="K5477" s="277"/>
      <c r="L5477" s="273"/>
      <c r="P5477" s="40"/>
      <c r="Q5477" s="61"/>
      <c r="R5477" s="61"/>
      <c r="S5477" s="40"/>
      <c r="T5477" s="38"/>
      <c r="U5477" s="38"/>
      <c r="V5477" s="38"/>
      <c r="W5477" s="60"/>
      <c r="AB5477" s="42"/>
      <c r="AC5477" s="35"/>
      <c r="AD5477" s="38"/>
      <c r="AE5477" s="38"/>
      <c r="AF5477" s="38"/>
      <c r="AG5477" s="38"/>
      <c r="AH5477" s="60"/>
    </row>
    <row r="5478" spans="1:34" ht="15.75" customHeight="1">
      <c r="A5478" s="111" t="s">
        <v>92</v>
      </c>
      <c r="B5478" s="275"/>
      <c r="C5478" s="275"/>
      <c r="D5478" s="276"/>
      <c r="E5478" s="276"/>
      <c r="F5478" s="275"/>
      <c r="G5478" s="275"/>
      <c r="H5478" s="275"/>
      <c r="I5478" s="108"/>
      <c r="J5478" s="108"/>
      <c r="K5478" s="277"/>
      <c r="L5478" s="273"/>
      <c r="P5478" s="40"/>
      <c r="Q5478" s="61"/>
      <c r="R5478" s="61"/>
      <c r="S5478" s="40"/>
      <c r="T5478" s="38"/>
      <c r="U5478" s="38"/>
      <c r="V5478" s="38"/>
      <c r="W5478" s="60"/>
      <c r="AB5478" s="42"/>
      <c r="AC5478" s="35"/>
      <c r="AD5478" s="38"/>
      <c r="AE5478" s="38"/>
      <c r="AF5478" s="38"/>
      <c r="AG5478" s="38"/>
      <c r="AH5478" s="60"/>
    </row>
    <row r="5479" spans="1:34" ht="15.75" customHeight="1">
      <c r="A5479" s="112">
        <v>241</v>
      </c>
      <c r="B5479" s="275"/>
      <c r="C5479" s="275"/>
      <c r="D5479" s="276"/>
      <c r="E5479" s="276"/>
      <c r="F5479" s="275"/>
      <c r="G5479" s="275"/>
      <c r="H5479" s="275"/>
      <c r="I5479" s="108"/>
      <c r="J5479" s="108"/>
      <c r="K5479" s="277"/>
      <c r="L5479" s="273"/>
      <c r="P5479" s="40"/>
      <c r="Q5479" s="61"/>
      <c r="R5479" s="61"/>
      <c r="S5479" s="40"/>
      <c r="T5479" s="38"/>
      <c r="U5479" s="38"/>
      <c r="V5479" s="38"/>
      <c r="W5479" s="60"/>
      <c r="AB5479" s="42"/>
      <c r="AC5479" s="35"/>
      <c r="AD5479" s="38"/>
      <c r="AE5479" s="38"/>
      <c r="AF5479" s="38"/>
      <c r="AG5479" s="38"/>
      <c r="AH5479" s="60"/>
    </row>
    <row r="5480" spans="1:34" ht="15.75" customHeight="1">
      <c r="A5480" s="111" t="s">
        <v>100</v>
      </c>
      <c r="B5480" s="275"/>
      <c r="C5480" s="275"/>
      <c r="D5480" s="276"/>
      <c r="E5480" s="276"/>
      <c r="F5480" s="275"/>
      <c r="G5480" s="275"/>
      <c r="H5480" s="275"/>
      <c r="I5480" s="108"/>
      <c r="J5480" s="108"/>
      <c r="K5480" s="277"/>
      <c r="L5480" s="273"/>
      <c r="P5480" s="40"/>
      <c r="Q5480" s="61"/>
      <c r="R5480" s="61"/>
      <c r="S5480" s="40"/>
      <c r="T5480" s="38"/>
      <c r="U5480" s="38"/>
      <c r="V5480" s="38"/>
      <c r="W5480" s="60"/>
      <c r="AB5480" s="42"/>
      <c r="AC5480" s="35"/>
      <c r="AD5480" s="38"/>
      <c r="AE5480" s="38"/>
      <c r="AF5480" s="38"/>
      <c r="AG5480" s="38"/>
      <c r="AH5480" s="60"/>
    </row>
    <row r="5481" spans="1:34" ht="15.75" customHeight="1">
      <c r="A5481" s="75" t="s">
        <v>55</v>
      </c>
      <c r="B5481" s="275"/>
      <c r="C5481" s="275"/>
      <c r="D5481" s="276"/>
      <c r="E5481" s="276"/>
      <c r="F5481" s="275"/>
      <c r="G5481" s="275"/>
      <c r="H5481" s="275"/>
      <c r="I5481" s="108"/>
      <c r="J5481" s="108"/>
      <c r="K5481" s="277"/>
      <c r="L5481" s="273"/>
      <c r="P5481" s="40"/>
      <c r="Q5481" s="61"/>
      <c r="R5481" s="61"/>
      <c r="S5481" s="40"/>
      <c r="T5481" s="38"/>
      <c r="U5481" s="38"/>
      <c r="V5481" s="38"/>
      <c r="W5481" s="60"/>
      <c r="AB5481" s="42"/>
      <c r="AC5481" s="35"/>
      <c r="AD5481" s="38"/>
      <c r="AE5481" s="38"/>
      <c r="AF5481" s="38"/>
      <c r="AG5481" s="38"/>
      <c r="AH5481" s="60"/>
    </row>
    <row r="5482" spans="1:34" ht="15.75" customHeight="1">
      <c r="A5482" s="278"/>
      <c r="B5482" s="49"/>
      <c r="C5482" s="19"/>
      <c r="D5482" s="204"/>
      <c r="E5482" s="204"/>
      <c r="F5482" s="19"/>
      <c r="G5482" s="19"/>
      <c r="H5482" s="19"/>
      <c r="I5482" s="21"/>
      <c r="J5482" s="155">
        <f t="shared" ref="J5482:J5736" si="14">IF(G5482="R","NA",I5482)</f>
        <v>0</v>
      </c>
      <c r="K5482" s="256"/>
      <c r="L5482" s="56"/>
      <c r="P5482" s="40"/>
      <c r="Q5482" s="61"/>
      <c r="R5482" s="61"/>
      <c r="S5482" s="40"/>
      <c r="T5482" s="38"/>
      <c r="U5482" s="38"/>
      <c r="V5482" s="38"/>
      <c r="W5482" s="60"/>
      <c r="AB5482" s="42"/>
      <c r="AC5482" s="35"/>
      <c r="AD5482" s="38"/>
      <c r="AE5482" s="38"/>
      <c r="AF5482" s="38"/>
      <c r="AG5482" s="38"/>
      <c r="AH5482" s="60"/>
    </row>
    <row r="5483" spans="1:34" ht="15.75" customHeight="1">
      <c r="A5483" s="35" t="s">
        <v>18897</v>
      </c>
      <c r="B5483" s="279" t="s">
        <v>18898</v>
      </c>
      <c r="C5483" s="19" t="s">
        <v>24</v>
      </c>
      <c r="D5483" s="204" t="s">
        <v>18899</v>
      </c>
      <c r="E5483" s="204" t="s">
        <v>18900</v>
      </c>
      <c r="F5483" s="19" t="s">
        <v>27</v>
      </c>
      <c r="G5483" s="19" t="s">
        <v>28</v>
      </c>
      <c r="H5483" s="19" t="s">
        <v>36</v>
      </c>
      <c r="I5483" s="21" t="s">
        <v>29</v>
      </c>
      <c r="J5483" s="155" t="str">
        <f t="shared" si="14"/>
        <v>TT</v>
      </c>
      <c r="K5483" s="256" t="s">
        <v>18901</v>
      </c>
      <c r="L5483" s="56">
        <v>45139</v>
      </c>
      <c r="M5483" s="40"/>
      <c r="P5483" s="40"/>
      <c r="Q5483" s="61"/>
      <c r="R5483" s="61"/>
      <c r="S5483" s="40"/>
      <c r="T5483" s="38"/>
      <c r="U5483" s="38"/>
      <c r="V5483" s="38"/>
      <c r="W5483" s="60"/>
      <c r="AB5483" s="42"/>
      <c r="AC5483" s="35"/>
      <c r="AD5483" s="38"/>
      <c r="AE5483" s="38"/>
      <c r="AF5483" s="38"/>
      <c r="AG5483" s="38"/>
      <c r="AH5483" s="60"/>
    </row>
    <row r="5484" spans="1:34" ht="15.75" customHeight="1">
      <c r="A5484" s="54" t="s">
        <v>2714</v>
      </c>
      <c r="B5484" s="280" t="s">
        <v>18902</v>
      </c>
      <c r="C5484" s="19" t="s">
        <v>46</v>
      </c>
      <c r="D5484" s="204" t="s">
        <v>18903</v>
      </c>
      <c r="E5484" s="204"/>
      <c r="F5484" s="37" t="s">
        <v>49</v>
      </c>
      <c r="G5484" s="19" t="s">
        <v>50</v>
      </c>
      <c r="H5484" s="19" t="s">
        <v>55</v>
      </c>
      <c r="I5484" s="21" t="s">
        <v>29</v>
      </c>
      <c r="J5484" s="155" t="str">
        <f t="shared" si="14"/>
        <v>TT</v>
      </c>
      <c r="K5484" s="256"/>
      <c r="L5484" s="56">
        <v>45139</v>
      </c>
      <c r="P5484" s="40"/>
      <c r="Q5484" s="61"/>
      <c r="R5484" s="61"/>
      <c r="S5484" s="40"/>
      <c r="T5484" s="38"/>
      <c r="U5484" s="38"/>
      <c r="V5484" s="38"/>
      <c r="W5484" s="60"/>
      <c r="AB5484" s="42"/>
      <c r="AC5484" s="35"/>
      <c r="AD5484" s="38"/>
      <c r="AE5484" s="38"/>
      <c r="AF5484" s="38"/>
      <c r="AG5484" s="38"/>
      <c r="AH5484" s="60"/>
    </row>
    <row r="5485" spans="1:34" ht="15.75" customHeight="1">
      <c r="A5485" s="114" t="s">
        <v>39</v>
      </c>
      <c r="B5485" s="280" t="s">
        <v>18904</v>
      </c>
      <c r="C5485" s="19" t="s">
        <v>24</v>
      </c>
      <c r="D5485" s="204" t="s">
        <v>18905</v>
      </c>
      <c r="E5485" s="204" t="s">
        <v>18906</v>
      </c>
      <c r="F5485" s="19" t="s">
        <v>27</v>
      </c>
      <c r="G5485" s="19" t="s">
        <v>28</v>
      </c>
      <c r="H5485" s="19" t="s">
        <v>55</v>
      </c>
      <c r="I5485" s="21" t="s">
        <v>29</v>
      </c>
      <c r="J5485" s="155" t="str">
        <f t="shared" si="14"/>
        <v>TT</v>
      </c>
      <c r="K5485" s="256" t="s">
        <v>18907</v>
      </c>
      <c r="L5485" s="56">
        <v>45139</v>
      </c>
      <c r="P5485" s="40"/>
      <c r="Q5485" s="61"/>
      <c r="R5485" s="61"/>
      <c r="S5485" s="40"/>
      <c r="T5485" s="38"/>
      <c r="U5485" s="38"/>
      <c r="V5485" s="38"/>
      <c r="W5485" s="60"/>
      <c r="AB5485" s="42"/>
      <c r="AC5485" s="35"/>
      <c r="AD5485" s="38"/>
      <c r="AE5485" s="38"/>
      <c r="AF5485" s="38"/>
      <c r="AG5485" s="38"/>
      <c r="AH5485" s="60"/>
    </row>
    <row r="5486" spans="1:34" ht="15.75" customHeight="1">
      <c r="A5486" s="38" t="s">
        <v>18641</v>
      </c>
      <c r="B5486" s="280" t="s">
        <v>18908</v>
      </c>
      <c r="C5486" s="19" t="s">
        <v>87</v>
      </c>
      <c r="D5486" s="204" t="s">
        <v>18909</v>
      </c>
      <c r="E5486" s="204" t="s">
        <v>18910</v>
      </c>
      <c r="F5486" s="19" t="s">
        <v>90</v>
      </c>
      <c r="G5486" s="19" t="s">
        <v>91</v>
      </c>
      <c r="H5486" s="19" t="s">
        <v>55</v>
      </c>
      <c r="I5486" s="21" t="s">
        <v>29</v>
      </c>
      <c r="J5486" s="155" t="str">
        <f t="shared" si="14"/>
        <v>TT</v>
      </c>
      <c r="K5486" s="256" t="s">
        <v>18911</v>
      </c>
      <c r="L5486" s="56">
        <v>45139</v>
      </c>
      <c r="P5486" s="40"/>
      <c r="Q5486" s="61"/>
      <c r="R5486" s="61"/>
      <c r="S5486" s="40"/>
      <c r="T5486" s="38"/>
      <c r="U5486" s="38"/>
      <c r="V5486" s="38"/>
      <c r="W5486" s="60"/>
      <c r="AB5486" s="42"/>
      <c r="AC5486" s="35"/>
      <c r="AD5486" s="38"/>
      <c r="AE5486" s="38"/>
      <c r="AF5486" s="38"/>
      <c r="AG5486" s="38"/>
      <c r="AH5486" s="60"/>
    </row>
    <row r="5487" spans="1:34" ht="15.75" customHeight="1">
      <c r="A5487" s="75" t="s">
        <v>14231</v>
      </c>
      <c r="B5487" s="280" t="s">
        <v>18912</v>
      </c>
      <c r="C5487" s="19" t="s">
        <v>87</v>
      </c>
      <c r="D5487" s="204" t="s">
        <v>18913</v>
      </c>
      <c r="E5487" s="204" t="s">
        <v>18914</v>
      </c>
      <c r="F5487" s="19" t="s">
        <v>90</v>
      </c>
      <c r="G5487" s="19" t="s">
        <v>91</v>
      </c>
      <c r="H5487" s="19" t="s">
        <v>55</v>
      </c>
      <c r="I5487" s="21" t="s">
        <v>29</v>
      </c>
      <c r="J5487" s="155" t="str">
        <f t="shared" si="14"/>
        <v>TT</v>
      </c>
      <c r="K5487" s="256" t="s">
        <v>18915</v>
      </c>
      <c r="L5487" s="56">
        <v>45139</v>
      </c>
      <c r="P5487" s="40"/>
      <c r="Q5487" s="61"/>
      <c r="R5487" s="61"/>
      <c r="S5487" s="40"/>
      <c r="T5487" s="38"/>
      <c r="U5487" s="38"/>
      <c r="V5487" s="38"/>
      <c r="W5487" s="60"/>
      <c r="AB5487" s="42"/>
      <c r="AC5487" s="35"/>
      <c r="AD5487" s="38"/>
      <c r="AE5487" s="38"/>
      <c r="AF5487" s="38"/>
      <c r="AG5487" s="38"/>
      <c r="AH5487" s="60"/>
    </row>
    <row r="5488" spans="1:34" ht="15.75" customHeight="1">
      <c r="A5488" s="50" t="s">
        <v>56</v>
      </c>
      <c r="B5488" s="280" t="s">
        <v>18916</v>
      </c>
      <c r="C5488" s="19" t="s">
        <v>1430</v>
      </c>
      <c r="D5488" s="204" t="s">
        <v>18917</v>
      </c>
      <c r="E5488" s="204"/>
      <c r="F5488" s="55" t="s">
        <v>1445</v>
      </c>
      <c r="G5488" s="55" t="s">
        <v>1432</v>
      </c>
      <c r="H5488" s="19" t="s">
        <v>55</v>
      </c>
      <c r="I5488" s="21" t="s">
        <v>29</v>
      </c>
      <c r="J5488" s="155" t="str">
        <f t="shared" si="14"/>
        <v>TT</v>
      </c>
      <c r="K5488" s="256"/>
      <c r="L5488" s="56">
        <v>45139</v>
      </c>
      <c r="P5488" s="40"/>
      <c r="Q5488" s="61"/>
      <c r="R5488" s="61"/>
      <c r="S5488" s="40"/>
      <c r="T5488" s="38"/>
      <c r="U5488" s="38"/>
      <c r="V5488" s="38"/>
      <c r="W5488" s="60"/>
      <c r="AB5488" s="42"/>
      <c r="AC5488" s="35"/>
      <c r="AD5488" s="38"/>
      <c r="AE5488" s="38"/>
      <c r="AF5488" s="38"/>
      <c r="AG5488" s="38"/>
      <c r="AH5488" s="60"/>
    </row>
    <row r="5489" spans="1:34" ht="15.75" customHeight="1">
      <c r="A5489" s="17">
        <v>38</v>
      </c>
      <c r="B5489" s="280" t="s">
        <v>18918</v>
      </c>
      <c r="C5489" s="19" t="s">
        <v>46</v>
      </c>
      <c r="D5489" s="204" t="s">
        <v>18919</v>
      </c>
      <c r="E5489" s="204" t="s">
        <v>18920</v>
      </c>
      <c r="F5489" s="37" t="s">
        <v>49</v>
      </c>
      <c r="G5489" s="19" t="s">
        <v>50</v>
      </c>
      <c r="H5489" s="19" t="s">
        <v>55</v>
      </c>
      <c r="I5489" s="21" t="s">
        <v>29</v>
      </c>
      <c r="J5489" s="155" t="str">
        <f t="shared" si="14"/>
        <v>TT</v>
      </c>
      <c r="K5489" s="256" t="s">
        <v>18921</v>
      </c>
      <c r="L5489" s="56">
        <v>45139</v>
      </c>
      <c r="P5489" s="40"/>
      <c r="Q5489" s="61"/>
      <c r="R5489" s="61"/>
      <c r="S5489" s="40"/>
      <c r="T5489" s="38"/>
      <c r="U5489" s="38"/>
      <c r="V5489" s="38"/>
      <c r="W5489" s="60"/>
      <c r="AB5489" s="42"/>
      <c r="AC5489" s="35"/>
      <c r="AD5489" s="38"/>
      <c r="AE5489" s="38"/>
      <c r="AF5489" s="38"/>
      <c r="AG5489" s="38"/>
      <c r="AH5489" s="60"/>
    </row>
    <row r="5490" spans="1:34" ht="15.75" customHeight="1">
      <c r="A5490" s="111" t="s">
        <v>64</v>
      </c>
      <c r="B5490" s="280" t="s">
        <v>18922</v>
      </c>
      <c r="C5490" s="19" t="s">
        <v>87</v>
      </c>
      <c r="D5490" s="204" t="s">
        <v>18923</v>
      </c>
      <c r="E5490" s="204" t="s">
        <v>18924</v>
      </c>
      <c r="F5490" s="19" t="s">
        <v>90</v>
      </c>
      <c r="G5490" s="19" t="s">
        <v>91</v>
      </c>
      <c r="H5490" s="19" t="s">
        <v>55</v>
      </c>
      <c r="I5490" s="21" t="s">
        <v>29</v>
      </c>
      <c r="J5490" s="155" t="str">
        <f t="shared" si="14"/>
        <v>TT</v>
      </c>
      <c r="K5490" s="256" t="s">
        <v>18925</v>
      </c>
      <c r="L5490" s="56">
        <v>45139</v>
      </c>
      <c r="P5490" s="40"/>
      <c r="Q5490" s="61"/>
      <c r="R5490" s="61"/>
      <c r="S5490" s="40"/>
      <c r="T5490" s="38"/>
      <c r="U5490" s="38"/>
      <c r="V5490" s="38"/>
      <c r="W5490" s="60"/>
      <c r="AB5490" s="42"/>
      <c r="AC5490" s="35"/>
      <c r="AD5490" s="38"/>
      <c r="AE5490" s="38"/>
      <c r="AF5490" s="38"/>
      <c r="AG5490" s="38"/>
      <c r="AH5490" s="60"/>
    </row>
    <row r="5491" spans="1:34" ht="15.75" customHeight="1">
      <c r="A5491" s="75">
        <v>2.2000000000000002</v>
      </c>
      <c r="B5491" s="280" t="s">
        <v>14201</v>
      </c>
      <c r="C5491" s="19" t="s">
        <v>24</v>
      </c>
      <c r="D5491" s="204" t="s">
        <v>18926</v>
      </c>
      <c r="E5491" s="204" t="s">
        <v>18927</v>
      </c>
      <c r="F5491" s="19" t="s">
        <v>27</v>
      </c>
      <c r="G5491" s="19" t="s">
        <v>28</v>
      </c>
      <c r="H5491" s="19" t="s">
        <v>55</v>
      </c>
      <c r="I5491" s="21" t="s">
        <v>29</v>
      </c>
      <c r="J5491" s="155" t="str">
        <f t="shared" si="14"/>
        <v>TT</v>
      </c>
      <c r="K5491" s="256" t="s">
        <v>18928</v>
      </c>
      <c r="L5491" s="56">
        <v>45139</v>
      </c>
      <c r="P5491" s="40"/>
      <c r="Q5491" s="61"/>
      <c r="R5491" s="61"/>
      <c r="S5491" s="40"/>
      <c r="T5491" s="38"/>
      <c r="U5491" s="38"/>
      <c r="V5491" s="38"/>
      <c r="W5491" s="60"/>
      <c r="AB5491" s="42"/>
      <c r="AC5491" s="35"/>
      <c r="AD5491" s="38"/>
      <c r="AE5491" s="38"/>
      <c r="AF5491" s="38"/>
      <c r="AG5491" s="38"/>
      <c r="AH5491" s="60"/>
    </row>
    <row r="5492" spans="1:34" ht="15.75" customHeight="1">
      <c r="A5492" s="111" t="s">
        <v>73</v>
      </c>
      <c r="B5492" s="280" t="s">
        <v>18929</v>
      </c>
      <c r="C5492" s="19" t="s">
        <v>46</v>
      </c>
      <c r="D5492" s="204" t="s">
        <v>18930</v>
      </c>
      <c r="E5492" s="204" t="s">
        <v>18931</v>
      </c>
      <c r="F5492" s="37" t="s">
        <v>49</v>
      </c>
      <c r="G5492" s="19" t="s">
        <v>50</v>
      </c>
      <c r="H5492" s="19" t="s">
        <v>55</v>
      </c>
      <c r="I5492" s="21" t="s">
        <v>29</v>
      </c>
      <c r="J5492" s="155" t="str">
        <f t="shared" si="14"/>
        <v>TT</v>
      </c>
      <c r="K5492" s="256" t="s">
        <v>18932</v>
      </c>
      <c r="L5492" s="56">
        <v>45139</v>
      </c>
      <c r="P5492" s="40"/>
      <c r="Q5492" s="61"/>
      <c r="R5492" s="61"/>
      <c r="S5492" s="40"/>
      <c r="T5492" s="38"/>
      <c r="U5492" s="38"/>
      <c r="V5492" s="38"/>
      <c r="W5492" s="60"/>
      <c r="AB5492" s="42"/>
      <c r="AC5492" s="35"/>
      <c r="AD5492" s="38"/>
      <c r="AE5492" s="38"/>
      <c r="AF5492" s="38"/>
      <c r="AG5492" s="38"/>
      <c r="AH5492" s="60"/>
    </row>
    <row r="5493" spans="1:34" ht="15.75" customHeight="1">
      <c r="A5493" s="75">
        <v>2.8</v>
      </c>
      <c r="B5493" s="280" t="s">
        <v>18933</v>
      </c>
      <c r="C5493" s="19" t="s">
        <v>24</v>
      </c>
      <c r="D5493" s="204" t="s">
        <v>18934</v>
      </c>
      <c r="E5493" s="204" t="s">
        <v>18935</v>
      </c>
      <c r="F5493" s="19" t="s">
        <v>27</v>
      </c>
      <c r="G5493" s="19" t="s">
        <v>28</v>
      </c>
      <c r="H5493" s="19" t="s">
        <v>36</v>
      </c>
      <c r="I5493" s="21" t="s">
        <v>29</v>
      </c>
      <c r="J5493" s="155" t="str">
        <f t="shared" si="14"/>
        <v>TT</v>
      </c>
      <c r="K5493" s="256" t="s">
        <v>18936</v>
      </c>
      <c r="L5493" s="56">
        <v>45139</v>
      </c>
      <c r="P5493" s="40"/>
      <c r="Q5493" s="61"/>
      <c r="R5493" s="61"/>
      <c r="S5493" s="40"/>
      <c r="T5493" s="38"/>
      <c r="U5493" s="38"/>
      <c r="V5493" s="38"/>
      <c r="W5493" s="60"/>
      <c r="AB5493" s="42"/>
      <c r="AC5493" s="35"/>
      <c r="AD5493" s="38"/>
      <c r="AE5493" s="38"/>
      <c r="AF5493" s="38"/>
      <c r="AG5493" s="38"/>
      <c r="AH5493" s="60"/>
    </row>
    <row r="5494" spans="1:34" ht="15.75" customHeight="1">
      <c r="A5494" s="111" t="s">
        <v>82</v>
      </c>
      <c r="B5494" s="281"/>
      <c r="C5494" s="37"/>
      <c r="D5494" s="282"/>
      <c r="E5494" s="20"/>
      <c r="F5494" s="37"/>
      <c r="G5494" s="37"/>
      <c r="H5494" s="37"/>
      <c r="I5494" s="37"/>
      <c r="J5494" s="155">
        <f t="shared" si="14"/>
        <v>0</v>
      </c>
      <c r="K5494" s="22"/>
      <c r="L5494" s="56"/>
      <c r="P5494" s="40"/>
      <c r="Q5494" s="61"/>
      <c r="R5494" s="61"/>
      <c r="S5494" s="40"/>
      <c r="T5494" s="38"/>
      <c r="U5494" s="38"/>
      <c r="V5494" s="38"/>
      <c r="W5494" s="60"/>
      <c r="AB5494" s="42"/>
      <c r="AC5494" s="35"/>
      <c r="AD5494" s="38"/>
      <c r="AE5494" s="38"/>
      <c r="AF5494" s="38"/>
      <c r="AG5494" s="38"/>
      <c r="AH5494" s="60"/>
    </row>
    <row r="5495" spans="1:34" ht="15.75" customHeight="1">
      <c r="A5495" s="75" t="s">
        <v>18937</v>
      </c>
      <c r="B5495" s="281"/>
      <c r="C5495" s="37"/>
      <c r="D5495" s="282"/>
      <c r="E5495" s="20"/>
      <c r="F5495" s="37"/>
      <c r="G5495" s="37"/>
      <c r="H5495" s="37"/>
      <c r="I5495" s="37"/>
      <c r="J5495" s="155">
        <f t="shared" si="14"/>
        <v>0</v>
      </c>
      <c r="K5495" s="22"/>
      <c r="L5495" s="56"/>
      <c r="P5495" s="40"/>
      <c r="Q5495" s="61"/>
      <c r="R5495" s="61"/>
      <c r="S5495" s="40"/>
      <c r="T5495" s="38"/>
      <c r="U5495" s="38"/>
      <c r="V5495" s="38"/>
      <c r="W5495" s="60"/>
      <c r="AB5495" s="42"/>
      <c r="AC5495" s="35"/>
      <c r="AD5495" s="38"/>
      <c r="AE5495" s="38"/>
      <c r="AF5495" s="38"/>
      <c r="AG5495" s="38"/>
      <c r="AH5495" s="60"/>
    </row>
    <row r="5496" spans="1:34" ht="15.75" customHeight="1">
      <c r="A5496" s="111" t="s">
        <v>92</v>
      </c>
      <c r="B5496" s="281"/>
      <c r="C5496" s="37"/>
      <c r="D5496" s="282"/>
      <c r="E5496" s="20"/>
      <c r="F5496" s="37"/>
      <c r="G5496" s="37"/>
      <c r="H5496" s="37"/>
      <c r="I5496" s="37"/>
      <c r="J5496" s="155">
        <f t="shared" si="14"/>
        <v>0</v>
      </c>
      <c r="K5496" s="22"/>
      <c r="L5496" s="56"/>
      <c r="P5496" s="40"/>
      <c r="Q5496" s="61"/>
      <c r="R5496" s="61"/>
      <c r="S5496" s="40"/>
      <c r="T5496" s="38"/>
      <c r="U5496" s="38"/>
      <c r="V5496" s="38"/>
      <c r="W5496" s="60"/>
      <c r="AB5496" s="42"/>
      <c r="AC5496" s="35"/>
      <c r="AD5496" s="38"/>
      <c r="AE5496" s="38"/>
      <c r="AF5496" s="38"/>
      <c r="AG5496" s="38"/>
      <c r="AH5496" s="60"/>
    </row>
    <row r="5497" spans="1:34" ht="15.75" customHeight="1">
      <c r="A5497" s="112">
        <v>131</v>
      </c>
      <c r="B5497" s="281"/>
      <c r="C5497" s="37"/>
      <c r="D5497" s="282"/>
      <c r="E5497" s="20"/>
      <c r="F5497" s="37"/>
      <c r="G5497" s="37"/>
      <c r="H5497" s="37"/>
      <c r="I5497" s="37"/>
      <c r="J5497" s="155">
        <f t="shared" si="14"/>
        <v>0</v>
      </c>
      <c r="K5497" s="22"/>
      <c r="L5497" s="56"/>
      <c r="P5497" s="40"/>
      <c r="Q5497" s="61"/>
      <c r="R5497" s="61"/>
      <c r="S5497" s="40"/>
      <c r="T5497" s="38"/>
      <c r="U5497" s="38"/>
      <c r="V5497" s="38"/>
      <c r="W5497" s="60"/>
      <c r="AB5497" s="42"/>
      <c r="AC5497" s="35"/>
      <c r="AD5497" s="38"/>
      <c r="AE5497" s="38"/>
      <c r="AF5497" s="38"/>
      <c r="AG5497" s="38"/>
      <c r="AH5497" s="60"/>
    </row>
    <row r="5498" spans="1:34" ht="15.75" customHeight="1">
      <c r="A5498" s="111" t="s">
        <v>100</v>
      </c>
      <c r="B5498" s="281"/>
      <c r="C5498" s="37"/>
      <c r="D5498" s="282"/>
      <c r="E5498" s="20"/>
      <c r="F5498" s="37"/>
      <c r="G5498" s="37"/>
      <c r="H5498" s="37"/>
      <c r="I5498" s="37"/>
      <c r="J5498" s="155">
        <f t="shared" si="14"/>
        <v>0</v>
      </c>
      <c r="K5498" s="22"/>
      <c r="L5498" s="56"/>
      <c r="P5498" s="40"/>
      <c r="Q5498" s="61"/>
      <c r="R5498" s="61"/>
      <c r="S5498" s="40"/>
      <c r="T5498" s="38"/>
      <c r="U5498" s="38"/>
      <c r="V5498" s="38"/>
      <c r="W5498" s="60"/>
      <c r="AB5498" s="42"/>
      <c r="AC5498" s="35"/>
      <c r="AD5498" s="38"/>
      <c r="AE5498" s="38"/>
      <c r="AF5498" s="38"/>
      <c r="AG5498" s="38"/>
      <c r="AH5498" s="60"/>
    </row>
    <row r="5499" spans="1:34" ht="15.75" customHeight="1">
      <c r="A5499" s="75">
        <v>158</v>
      </c>
      <c r="B5499" s="281"/>
      <c r="C5499" s="37"/>
      <c r="D5499" s="282"/>
      <c r="E5499" s="20"/>
      <c r="F5499" s="37"/>
      <c r="G5499" s="37"/>
      <c r="H5499" s="37"/>
      <c r="I5499" s="37"/>
      <c r="J5499" s="155">
        <f t="shared" si="14"/>
        <v>0</v>
      </c>
      <c r="K5499" s="22"/>
      <c r="L5499" s="56"/>
      <c r="P5499" s="40"/>
      <c r="Q5499" s="61"/>
      <c r="R5499" s="61"/>
      <c r="S5499" s="40"/>
      <c r="T5499" s="38"/>
      <c r="U5499" s="38"/>
      <c r="V5499" s="38"/>
      <c r="W5499" s="60"/>
      <c r="AB5499" s="42"/>
      <c r="AC5499" s="35"/>
      <c r="AD5499" s="38"/>
      <c r="AE5499" s="38"/>
      <c r="AF5499" s="38"/>
      <c r="AG5499" s="38"/>
      <c r="AH5499" s="60"/>
    </row>
    <row r="5500" spans="1:34" ht="15.75" customHeight="1">
      <c r="A5500" s="35"/>
      <c r="B5500" s="281"/>
      <c r="C5500" s="37"/>
      <c r="D5500" s="282"/>
      <c r="E5500" s="20"/>
      <c r="F5500" s="37"/>
      <c r="G5500" s="37"/>
      <c r="H5500" s="37"/>
      <c r="I5500" s="37"/>
      <c r="J5500" s="155">
        <f t="shared" si="14"/>
        <v>0</v>
      </c>
      <c r="K5500" s="22"/>
      <c r="L5500" s="56"/>
      <c r="P5500" s="40"/>
      <c r="Q5500" s="61"/>
      <c r="R5500" s="61"/>
      <c r="S5500" s="40"/>
      <c r="T5500" s="38"/>
      <c r="U5500" s="38"/>
      <c r="V5500" s="38"/>
      <c r="W5500" s="60"/>
      <c r="AB5500" s="42"/>
      <c r="AC5500" s="35"/>
      <c r="AD5500" s="38"/>
      <c r="AE5500" s="38"/>
      <c r="AF5500" s="38"/>
      <c r="AG5500" s="38"/>
      <c r="AH5500" s="60"/>
    </row>
    <row r="5501" spans="1:34" ht="15.75" customHeight="1">
      <c r="A5501" s="35" t="s">
        <v>18938</v>
      </c>
      <c r="B5501" s="49"/>
      <c r="C5501" s="19"/>
      <c r="D5501" s="204"/>
      <c r="E5501" s="204"/>
      <c r="F5501" s="19"/>
      <c r="G5501" s="19"/>
      <c r="H5501" s="19"/>
      <c r="I5501" s="37"/>
      <c r="J5501" s="155">
        <f t="shared" si="14"/>
        <v>0</v>
      </c>
      <c r="K5501" s="256"/>
      <c r="L5501" s="56"/>
      <c r="M5501" s="283"/>
      <c r="N5501" s="283"/>
      <c r="P5501" s="40"/>
      <c r="Q5501" s="61"/>
      <c r="R5501" s="61"/>
      <c r="S5501" s="40"/>
      <c r="T5501" s="38"/>
      <c r="U5501" s="38"/>
      <c r="V5501" s="38"/>
      <c r="W5501" s="60"/>
      <c r="AB5501" s="42"/>
      <c r="AC5501" s="35"/>
      <c r="AD5501" s="38"/>
      <c r="AE5501" s="38"/>
      <c r="AF5501" s="38"/>
      <c r="AG5501" s="38"/>
      <c r="AH5501" s="60"/>
    </row>
    <row r="5502" spans="1:34" ht="15.75" customHeight="1">
      <c r="A5502" s="54" t="s">
        <v>2714</v>
      </c>
      <c r="B5502" s="280" t="s">
        <v>18939</v>
      </c>
      <c r="C5502" s="37" t="s">
        <v>412</v>
      </c>
      <c r="D5502" s="204" t="s">
        <v>18940</v>
      </c>
      <c r="E5502" s="204"/>
      <c r="F5502" s="19" t="s">
        <v>414</v>
      </c>
      <c r="G5502" s="19" t="s">
        <v>415</v>
      </c>
      <c r="H5502" s="37" t="s">
        <v>55</v>
      </c>
      <c r="I5502" s="37" t="s">
        <v>233</v>
      </c>
      <c r="J5502" s="155" t="str">
        <f t="shared" si="14"/>
        <v>NTT</v>
      </c>
      <c r="K5502" s="256"/>
      <c r="L5502" s="56">
        <v>45139</v>
      </c>
      <c r="M5502" s="283"/>
      <c r="N5502" s="283"/>
      <c r="P5502" s="40"/>
      <c r="Q5502" s="61"/>
      <c r="R5502" s="61"/>
      <c r="S5502" s="40"/>
      <c r="T5502" s="38"/>
      <c r="U5502" s="38"/>
      <c r="V5502" s="38"/>
      <c r="W5502" s="60"/>
      <c r="AB5502" s="42"/>
      <c r="AC5502" s="35"/>
      <c r="AD5502" s="38"/>
      <c r="AE5502" s="38"/>
      <c r="AF5502" s="38"/>
      <c r="AG5502" s="38"/>
      <c r="AH5502" s="60"/>
    </row>
    <row r="5503" spans="1:34" ht="15.75" customHeight="1">
      <c r="A5503" s="114" t="s">
        <v>39</v>
      </c>
      <c r="B5503" s="280" t="s">
        <v>18941</v>
      </c>
      <c r="C5503" s="19" t="s">
        <v>87</v>
      </c>
      <c r="D5503" s="204" t="s">
        <v>18942</v>
      </c>
      <c r="E5503" s="204" t="s">
        <v>18943</v>
      </c>
      <c r="F5503" s="19" t="s">
        <v>90</v>
      </c>
      <c r="G5503" s="19" t="s">
        <v>91</v>
      </c>
      <c r="H5503" s="37" t="s">
        <v>55</v>
      </c>
      <c r="I5503" s="37" t="s">
        <v>29</v>
      </c>
      <c r="J5503" s="155" t="str">
        <f t="shared" si="14"/>
        <v>TT</v>
      </c>
      <c r="K5503" s="256" t="s">
        <v>18944</v>
      </c>
      <c r="L5503" s="56">
        <v>45139</v>
      </c>
      <c r="M5503" s="283"/>
      <c r="N5503" s="283"/>
      <c r="P5503" s="40"/>
      <c r="Q5503" s="61"/>
      <c r="R5503" s="61"/>
      <c r="S5503" s="40"/>
      <c r="T5503" s="38"/>
      <c r="U5503" s="38"/>
      <c r="V5503" s="38"/>
      <c r="W5503" s="60"/>
      <c r="AB5503" s="42"/>
      <c r="AC5503" s="35"/>
      <c r="AD5503" s="38"/>
      <c r="AE5503" s="38"/>
      <c r="AF5503" s="38"/>
      <c r="AG5503" s="38"/>
      <c r="AH5503" s="60"/>
    </row>
    <row r="5504" spans="1:34" ht="15.75" customHeight="1">
      <c r="A5504" s="38" t="s">
        <v>18641</v>
      </c>
      <c r="B5504" s="280" t="s">
        <v>18945</v>
      </c>
      <c r="C5504" s="19" t="s">
        <v>87</v>
      </c>
      <c r="D5504" s="204" t="s">
        <v>18946</v>
      </c>
      <c r="E5504" s="204" t="s">
        <v>18947</v>
      </c>
      <c r="F5504" s="19" t="s">
        <v>90</v>
      </c>
      <c r="G5504" s="19" t="s">
        <v>91</v>
      </c>
      <c r="H5504" s="37" t="s">
        <v>55</v>
      </c>
      <c r="I5504" s="37" t="s">
        <v>29</v>
      </c>
      <c r="J5504" s="155" t="str">
        <f t="shared" si="14"/>
        <v>TT</v>
      </c>
      <c r="K5504" s="256" t="s">
        <v>18948</v>
      </c>
      <c r="L5504" s="56">
        <v>45139</v>
      </c>
      <c r="M5504" s="283"/>
      <c r="N5504" s="283"/>
      <c r="P5504" s="40"/>
      <c r="Q5504" s="61"/>
      <c r="R5504" s="61"/>
      <c r="S5504" s="40"/>
      <c r="T5504" s="38"/>
      <c r="U5504" s="38"/>
      <c r="V5504" s="38"/>
      <c r="W5504" s="60"/>
      <c r="AB5504" s="42"/>
      <c r="AC5504" s="35"/>
      <c r="AD5504" s="38"/>
      <c r="AE5504" s="38"/>
      <c r="AF5504" s="38"/>
      <c r="AG5504" s="38"/>
      <c r="AH5504" s="60"/>
    </row>
    <row r="5505" spans="1:34" ht="15.75" customHeight="1">
      <c r="A5505" s="75" t="s">
        <v>17192</v>
      </c>
      <c r="B5505" s="280" t="s">
        <v>18949</v>
      </c>
      <c r="C5505" s="19" t="s">
        <v>87</v>
      </c>
      <c r="D5505" s="204" t="s">
        <v>18950</v>
      </c>
      <c r="E5505" s="204" t="s">
        <v>18951</v>
      </c>
      <c r="F5505" s="19" t="s">
        <v>90</v>
      </c>
      <c r="G5505" s="19" t="s">
        <v>91</v>
      </c>
      <c r="H5505" s="37" t="s">
        <v>55</v>
      </c>
      <c r="I5505" s="37" t="s">
        <v>29</v>
      </c>
      <c r="J5505" s="155" t="str">
        <f t="shared" si="14"/>
        <v>TT</v>
      </c>
      <c r="K5505" s="256" t="s">
        <v>18952</v>
      </c>
      <c r="L5505" s="56">
        <v>45139</v>
      </c>
      <c r="M5505" s="283"/>
      <c r="N5505" s="283"/>
      <c r="P5505" s="40"/>
      <c r="Q5505" s="61"/>
      <c r="R5505" s="61"/>
      <c r="S5505" s="40"/>
      <c r="T5505" s="38"/>
      <c r="U5505" s="38"/>
      <c r="V5505" s="38"/>
      <c r="W5505" s="60"/>
      <c r="AB5505" s="42"/>
      <c r="AC5505" s="35"/>
      <c r="AD5505" s="38"/>
      <c r="AE5505" s="38"/>
      <c r="AF5505" s="38"/>
      <c r="AG5505" s="38"/>
      <c r="AH5505" s="60"/>
    </row>
    <row r="5506" spans="1:34" ht="15.75" customHeight="1">
      <c r="A5506" s="50" t="s">
        <v>56</v>
      </c>
      <c r="B5506" s="280" t="s">
        <v>18953</v>
      </c>
      <c r="C5506" s="19" t="s">
        <v>46</v>
      </c>
      <c r="D5506" s="204" t="s">
        <v>18954</v>
      </c>
      <c r="E5506" s="204" t="s">
        <v>18955</v>
      </c>
      <c r="F5506" s="37" t="s">
        <v>49</v>
      </c>
      <c r="G5506" s="19" t="s">
        <v>50</v>
      </c>
      <c r="H5506" s="37" t="s">
        <v>55</v>
      </c>
      <c r="I5506" s="37" t="s">
        <v>29</v>
      </c>
      <c r="J5506" s="155" t="str">
        <f t="shared" si="14"/>
        <v>TT</v>
      </c>
      <c r="K5506" s="256" t="s">
        <v>18956</v>
      </c>
      <c r="L5506" s="56">
        <v>45139</v>
      </c>
      <c r="M5506" s="283"/>
      <c r="N5506" s="283"/>
      <c r="P5506" s="40"/>
      <c r="Q5506" s="61"/>
      <c r="R5506" s="61"/>
      <c r="S5506" s="40"/>
      <c r="T5506" s="38"/>
      <c r="U5506" s="38"/>
      <c r="V5506" s="38"/>
      <c r="W5506" s="60"/>
      <c r="AB5506" s="42"/>
      <c r="AC5506" s="35"/>
      <c r="AD5506" s="38"/>
      <c r="AE5506" s="38"/>
      <c r="AF5506" s="38"/>
      <c r="AG5506" s="38"/>
      <c r="AH5506" s="60"/>
    </row>
    <row r="5507" spans="1:34" ht="15.75" customHeight="1">
      <c r="A5507" s="17">
        <v>35</v>
      </c>
      <c r="B5507" s="280" t="s">
        <v>18957</v>
      </c>
      <c r="C5507" s="19" t="s">
        <v>46</v>
      </c>
      <c r="D5507" s="204" t="s">
        <v>18958</v>
      </c>
      <c r="E5507" s="204" t="s">
        <v>18959</v>
      </c>
      <c r="F5507" s="37" t="s">
        <v>49</v>
      </c>
      <c r="G5507" s="19" t="s">
        <v>50</v>
      </c>
      <c r="H5507" s="37" t="s">
        <v>55</v>
      </c>
      <c r="I5507" s="37" t="s">
        <v>29</v>
      </c>
      <c r="J5507" s="155" t="str">
        <f t="shared" si="14"/>
        <v>TT</v>
      </c>
      <c r="K5507" s="256" t="s">
        <v>18960</v>
      </c>
      <c r="L5507" s="56">
        <v>45139</v>
      </c>
      <c r="M5507" s="283"/>
      <c r="N5507" s="283"/>
      <c r="P5507" s="40"/>
      <c r="Q5507" s="61"/>
      <c r="R5507" s="61"/>
      <c r="S5507" s="40"/>
      <c r="T5507" s="38"/>
      <c r="U5507" s="38"/>
      <c r="V5507" s="38"/>
      <c r="W5507" s="60"/>
      <c r="AB5507" s="42"/>
      <c r="AC5507" s="35"/>
      <c r="AD5507" s="38"/>
      <c r="AE5507" s="38"/>
      <c r="AF5507" s="38"/>
      <c r="AG5507" s="38"/>
      <c r="AH5507" s="60"/>
    </row>
    <row r="5508" spans="1:34" ht="15.75" customHeight="1">
      <c r="A5508" s="111" t="s">
        <v>64</v>
      </c>
      <c r="B5508" s="280" t="s">
        <v>18961</v>
      </c>
      <c r="C5508" s="19" t="s">
        <v>412</v>
      </c>
      <c r="D5508" s="204" t="s">
        <v>18962</v>
      </c>
      <c r="E5508" s="204" t="s">
        <v>18963</v>
      </c>
      <c r="F5508" s="19" t="s">
        <v>414</v>
      </c>
      <c r="G5508" s="37" t="s">
        <v>415</v>
      </c>
      <c r="H5508" s="37" t="s">
        <v>55</v>
      </c>
      <c r="I5508" s="37" t="s">
        <v>233</v>
      </c>
      <c r="J5508" s="155" t="str">
        <f t="shared" si="14"/>
        <v>NTT</v>
      </c>
      <c r="K5508" s="256" t="s">
        <v>18964</v>
      </c>
      <c r="L5508" s="56">
        <v>45139</v>
      </c>
      <c r="M5508" s="283"/>
      <c r="N5508" s="283"/>
      <c r="P5508" s="40"/>
      <c r="Q5508" s="61"/>
      <c r="R5508" s="61"/>
      <c r="S5508" s="40"/>
      <c r="T5508" s="38"/>
      <c r="U5508" s="38"/>
      <c r="V5508" s="38"/>
      <c r="W5508" s="60"/>
      <c r="AB5508" s="42"/>
      <c r="AC5508" s="35"/>
      <c r="AD5508" s="38"/>
      <c r="AE5508" s="38"/>
      <c r="AF5508" s="38"/>
      <c r="AG5508" s="38"/>
      <c r="AH5508" s="60"/>
    </row>
    <row r="5509" spans="1:34" ht="15.75" customHeight="1">
      <c r="A5509" s="75">
        <v>2.2000000000000002</v>
      </c>
      <c r="B5509" s="280" t="s">
        <v>18965</v>
      </c>
      <c r="C5509" s="37" t="s">
        <v>412</v>
      </c>
      <c r="D5509" s="204" t="s">
        <v>18966</v>
      </c>
      <c r="E5509" s="204" t="s">
        <v>18967</v>
      </c>
      <c r="F5509" s="19" t="s">
        <v>414</v>
      </c>
      <c r="G5509" s="19" t="s">
        <v>415</v>
      </c>
      <c r="H5509" s="37" t="s">
        <v>55</v>
      </c>
      <c r="I5509" s="37" t="s">
        <v>233</v>
      </c>
      <c r="J5509" s="155" t="str">
        <f t="shared" si="14"/>
        <v>NTT</v>
      </c>
      <c r="K5509" s="256" t="s">
        <v>18968</v>
      </c>
      <c r="L5509" s="56">
        <v>45139</v>
      </c>
      <c r="M5509" s="283"/>
      <c r="N5509" s="283"/>
      <c r="P5509" s="40"/>
      <c r="Q5509" s="61"/>
      <c r="R5509" s="61"/>
      <c r="S5509" s="40"/>
      <c r="T5509" s="38"/>
      <c r="U5509" s="38"/>
      <c r="V5509" s="38"/>
      <c r="W5509" s="60"/>
      <c r="AB5509" s="42"/>
      <c r="AC5509" s="35"/>
      <c r="AD5509" s="38"/>
      <c r="AE5509" s="38"/>
      <c r="AF5509" s="38"/>
      <c r="AG5509" s="38"/>
      <c r="AH5509" s="60"/>
    </row>
    <row r="5510" spans="1:34" ht="15.75" customHeight="1">
      <c r="A5510" s="111" t="s">
        <v>73</v>
      </c>
      <c r="B5510" s="280" t="s">
        <v>18969</v>
      </c>
      <c r="C5510" s="19" t="s">
        <v>412</v>
      </c>
      <c r="D5510" s="204" t="s">
        <v>18970</v>
      </c>
      <c r="E5510" s="204" t="s">
        <v>18971</v>
      </c>
      <c r="F5510" s="19" t="s">
        <v>414</v>
      </c>
      <c r="G5510" s="37" t="s">
        <v>415</v>
      </c>
      <c r="H5510" s="37" t="s">
        <v>55</v>
      </c>
      <c r="I5510" s="37" t="s">
        <v>233</v>
      </c>
      <c r="J5510" s="155" t="str">
        <f t="shared" si="14"/>
        <v>NTT</v>
      </c>
      <c r="K5510" s="256" t="s">
        <v>18972</v>
      </c>
      <c r="L5510" s="56">
        <v>45139</v>
      </c>
      <c r="M5510" s="283"/>
      <c r="N5510" s="283"/>
      <c r="P5510" s="40"/>
      <c r="Q5510" s="61"/>
      <c r="R5510" s="61"/>
      <c r="S5510" s="40"/>
      <c r="T5510" s="38"/>
      <c r="U5510" s="38"/>
      <c r="V5510" s="38"/>
      <c r="W5510" s="60"/>
      <c r="AB5510" s="42"/>
      <c r="AC5510" s="35"/>
      <c r="AD5510" s="38"/>
      <c r="AE5510" s="38"/>
      <c r="AF5510" s="38"/>
      <c r="AG5510" s="38"/>
      <c r="AH5510" s="60"/>
    </row>
    <row r="5511" spans="1:34" ht="15.75" customHeight="1">
      <c r="A5511" s="75">
        <v>2.6</v>
      </c>
      <c r="B5511" s="280" t="s">
        <v>18973</v>
      </c>
      <c r="C5511" s="19" t="s">
        <v>46</v>
      </c>
      <c r="D5511" s="204" t="s">
        <v>18974</v>
      </c>
      <c r="E5511" s="204" t="s">
        <v>18975</v>
      </c>
      <c r="F5511" s="37" t="s">
        <v>49</v>
      </c>
      <c r="G5511" s="19" t="s">
        <v>50</v>
      </c>
      <c r="H5511" s="37" t="s">
        <v>55</v>
      </c>
      <c r="I5511" s="37" t="s">
        <v>29</v>
      </c>
      <c r="J5511" s="155" t="str">
        <f t="shared" si="14"/>
        <v>TT</v>
      </c>
      <c r="K5511" s="256" t="s">
        <v>18976</v>
      </c>
      <c r="L5511" s="56">
        <v>45139</v>
      </c>
      <c r="M5511" s="283"/>
      <c r="N5511" s="283"/>
      <c r="P5511" s="40"/>
      <c r="Q5511" s="61"/>
      <c r="R5511" s="61"/>
      <c r="S5511" s="40"/>
      <c r="T5511" s="38"/>
      <c r="U5511" s="38"/>
      <c r="V5511" s="38"/>
      <c r="W5511" s="60"/>
      <c r="AB5511" s="42"/>
      <c r="AC5511" s="35"/>
      <c r="AD5511" s="38"/>
      <c r="AE5511" s="38"/>
      <c r="AF5511" s="38"/>
      <c r="AG5511" s="38"/>
      <c r="AH5511" s="60"/>
    </row>
    <row r="5512" spans="1:34" ht="15.75" customHeight="1">
      <c r="A5512" s="111" t="s">
        <v>82</v>
      </c>
      <c r="B5512" s="280" t="s">
        <v>18977</v>
      </c>
      <c r="C5512" s="19" t="s">
        <v>46</v>
      </c>
      <c r="D5512" s="204" t="s">
        <v>18978</v>
      </c>
      <c r="E5512" s="204" t="s">
        <v>18979</v>
      </c>
      <c r="F5512" s="37" t="s">
        <v>49</v>
      </c>
      <c r="G5512" s="19" t="s">
        <v>50</v>
      </c>
      <c r="H5512" s="37" t="s">
        <v>55</v>
      </c>
      <c r="I5512" s="37" t="s">
        <v>29</v>
      </c>
      <c r="J5512" s="155" t="str">
        <f t="shared" si="14"/>
        <v>TT</v>
      </c>
      <c r="K5512" s="256" t="s">
        <v>18980</v>
      </c>
      <c r="L5512" s="56">
        <v>45139</v>
      </c>
      <c r="M5512" s="283"/>
      <c r="N5512" s="283"/>
      <c r="P5512" s="40"/>
      <c r="Q5512" s="61"/>
      <c r="R5512" s="61"/>
      <c r="S5512" s="40"/>
      <c r="T5512" s="38"/>
      <c r="U5512" s="38"/>
      <c r="V5512" s="38"/>
      <c r="W5512" s="60"/>
      <c r="AB5512" s="42"/>
      <c r="AC5512" s="35"/>
      <c r="AD5512" s="38"/>
      <c r="AE5512" s="38"/>
      <c r="AF5512" s="38"/>
      <c r="AG5512" s="38"/>
      <c r="AH5512" s="60"/>
    </row>
    <row r="5513" spans="1:34" ht="15.75" customHeight="1">
      <c r="A5513" s="75" t="s">
        <v>18981</v>
      </c>
      <c r="B5513" s="280" t="s">
        <v>18982</v>
      </c>
      <c r="C5513" s="19" t="s">
        <v>87</v>
      </c>
      <c r="D5513" s="204" t="s">
        <v>18983</v>
      </c>
      <c r="E5513" s="204" t="s">
        <v>18984</v>
      </c>
      <c r="F5513" s="19" t="s">
        <v>90</v>
      </c>
      <c r="G5513" s="19" t="s">
        <v>91</v>
      </c>
      <c r="H5513" s="37" t="s">
        <v>55</v>
      </c>
      <c r="I5513" s="37" t="s">
        <v>29</v>
      </c>
      <c r="J5513" s="155" t="str">
        <f t="shared" si="14"/>
        <v>TT</v>
      </c>
      <c r="K5513" s="256" t="s">
        <v>18985</v>
      </c>
      <c r="L5513" s="56">
        <v>45139</v>
      </c>
      <c r="M5513" s="283"/>
      <c r="N5513" s="283"/>
      <c r="P5513" s="40"/>
      <c r="Q5513" s="61"/>
      <c r="R5513" s="61"/>
      <c r="S5513" s="40"/>
      <c r="T5513" s="38"/>
      <c r="U5513" s="38"/>
      <c r="V5513" s="38"/>
      <c r="W5513" s="60"/>
      <c r="AB5513" s="42"/>
      <c r="AC5513" s="35"/>
      <c r="AD5513" s="38"/>
      <c r="AE5513" s="38"/>
      <c r="AF5513" s="38"/>
      <c r="AG5513" s="38"/>
      <c r="AH5513" s="60"/>
    </row>
    <row r="5514" spans="1:34" ht="15.75" customHeight="1">
      <c r="A5514" s="111" t="s">
        <v>92</v>
      </c>
      <c r="B5514" s="280" t="s">
        <v>18986</v>
      </c>
      <c r="C5514" s="19" t="s">
        <v>87</v>
      </c>
      <c r="D5514" s="204" t="s">
        <v>18987</v>
      </c>
      <c r="E5514" s="204" t="s">
        <v>18988</v>
      </c>
      <c r="F5514" s="19" t="s">
        <v>90</v>
      </c>
      <c r="G5514" s="19" t="s">
        <v>91</v>
      </c>
      <c r="H5514" s="37" t="s">
        <v>55</v>
      </c>
      <c r="I5514" s="37" t="s">
        <v>29</v>
      </c>
      <c r="J5514" s="155" t="str">
        <f t="shared" si="14"/>
        <v>TT</v>
      </c>
      <c r="K5514" s="256" t="s">
        <v>18989</v>
      </c>
      <c r="L5514" s="56">
        <v>45139</v>
      </c>
      <c r="M5514" s="283"/>
      <c r="N5514" s="283"/>
      <c r="P5514" s="40"/>
      <c r="Q5514" s="61"/>
      <c r="R5514" s="61"/>
      <c r="S5514" s="40"/>
      <c r="T5514" s="38"/>
      <c r="U5514" s="38"/>
      <c r="V5514" s="38"/>
      <c r="W5514" s="60"/>
      <c r="AB5514" s="42"/>
      <c r="AC5514" s="35"/>
      <c r="AD5514" s="38"/>
      <c r="AE5514" s="38"/>
      <c r="AF5514" s="38"/>
      <c r="AG5514" s="38"/>
      <c r="AH5514" s="60"/>
    </row>
    <row r="5515" spans="1:34" ht="15.75" customHeight="1">
      <c r="A5515" s="112">
        <v>534</v>
      </c>
      <c r="B5515" s="38"/>
      <c r="C5515" s="37"/>
      <c r="D5515" s="204"/>
      <c r="E5515" s="204"/>
      <c r="F5515" s="37"/>
      <c r="G5515" s="37"/>
      <c r="H5515" s="37"/>
      <c r="I5515" s="37"/>
      <c r="J5515" s="155">
        <f t="shared" si="14"/>
        <v>0</v>
      </c>
      <c r="K5515" s="256"/>
      <c r="L5515" s="284"/>
      <c r="M5515" s="283"/>
      <c r="N5515" s="283"/>
      <c r="P5515" s="40"/>
      <c r="Q5515" s="61"/>
      <c r="R5515" s="61"/>
      <c r="S5515" s="40"/>
      <c r="T5515" s="38"/>
      <c r="U5515" s="38"/>
      <c r="V5515" s="38"/>
      <c r="W5515" s="60"/>
      <c r="AB5515" s="42"/>
      <c r="AC5515" s="35"/>
      <c r="AD5515" s="38"/>
      <c r="AE5515" s="38"/>
      <c r="AF5515" s="38"/>
      <c r="AG5515" s="38"/>
      <c r="AH5515" s="60"/>
    </row>
    <row r="5516" spans="1:34" ht="15.75" customHeight="1">
      <c r="A5516" s="111" t="s">
        <v>100</v>
      </c>
      <c r="B5516" s="38"/>
      <c r="C5516" s="37"/>
      <c r="D5516" s="204"/>
      <c r="E5516" s="204"/>
      <c r="F5516" s="37"/>
      <c r="G5516" s="37"/>
      <c r="H5516" s="37"/>
      <c r="I5516" s="37"/>
      <c r="J5516" s="155">
        <f t="shared" si="14"/>
        <v>0</v>
      </c>
      <c r="K5516" s="256"/>
      <c r="L5516" s="284"/>
      <c r="M5516" s="283"/>
      <c r="N5516" s="283"/>
      <c r="P5516" s="40"/>
      <c r="Q5516" s="61"/>
      <c r="R5516" s="61"/>
      <c r="S5516" s="40"/>
      <c r="T5516" s="38"/>
      <c r="U5516" s="38"/>
      <c r="V5516" s="38"/>
      <c r="W5516" s="60"/>
      <c r="AB5516" s="42"/>
      <c r="AC5516" s="35"/>
      <c r="AD5516" s="38"/>
      <c r="AE5516" s="38"/>
      <c r="AF5516" s="38"/>
      <c r="AG5516" s="38"/>
      <c r="AH5516" s="60"/>
    </row>
    <row r="5517" spans="1:34" ht="15.75" customHeight="1">
      <c r="A5517" s="75" t="s">
        <v>55</v>
      </c>
      <c r="B5517" s="38"/>
      <c r="C5517" s="37"/>
      <c r="D5517" s="204"/>
      <c r="E5517" s="204"/>
      <c r="F5517" s="37"/>
      <c r="G5517" s="37"/>
      <c r="H5517" s="37"/>
      <c r="I5517" s="37"/>
      <c r="J5517" s="155">
        <f t="shared" si="14"/>
        <v>0</v>
      </c>
      <c r="K5517" s="256"/>
      <c r="L5517" s="284"/>
      <c r="M5517" s="283"/>
      <c r="N5517" s="283"/>
      <c r="P5517" s="40"/>
      <c r="Q5517" s="61"/>
      <c r="R5517" s="61"/>
      <c r="S5517" s="40"/>
      <c r="T5517" s="38"/>
      <c r="U5517" s="38"/>
      <c r="V5517" s="38"/>
      <c r="W5517" s="60"/>
      <c r="AB5517" s="42"/>
      <c r="AC5517" s="35"/>
      <c r="AD5517" s="38"/>
      <c r="AE5517" s="38"/>
      <c r="AF5517" s="38"/>
      <c r="AG5517" s="38"/>
      <c r="AH5517" s="60"/>
    </row>
    <row r="5518" spans="1:34" ht="15.75" customHeight="1">
      <c r="A5518" s="49"/>
      <c r="B5518" s="38"/>
      <c r="C5518" s="37"/>
      <c r="D5518" s="204"/>
      <c r="E5518" s="204"/>
      <c r="F5518" s="37"/>
      <c r="G5518" s="37"/>
      <c r="H5518" s="37"/>
      <c r="I5518" s="37"/>
      <c r="J5518" s="155">
        <f t="shared" si="14"/>
        <v>0</v>
      </c>
      <c r="K5518" s="256"/>
      <c r="L5518" s="284"/>
      <c r="M5518" s="283"/>
      <c r="N5518" s="283"/>
      <c r="P5518" s="40"/>
      <c r="Q5518" s="61"/>
      <c r="R5518" s="61"/>
      <c r="S5518" s="40"/>
      <c r="T5518" s="38"/>
      <c r="U5518" s="38"/>
      <c r="V5518" s="38"/>
      <c r="W5518" s="60"/>
      <c r="AB5518" s="42"/>
      <c r="AC5518" s="35"/>
      <c r="AD5518" s="38"/>
      <c r="AE5518" s="38"/>
      <c r="AF5518" s="38"/>
      <c r="AG5518" s="38"/>
      <c r="AH5518" s="60"/>
    </row>
    <row r="5519" spans="1:34" ht="15.75" customHeight="1">
      <c r="A5519" s="35" t="s">
        <v>18990</v>
      </c>
      <c r="B5519" s="285" t="s">
        <v>18991</v>
      </c>
      <c r="C5519" s="37" t="s">
        <v>87</v>
      </c>
      <c r="D5519" s="204" t="s">
        <v>18992</v>
      </c>
      <c r="E5519" s="20" t="s">
        <v>18993</v>
      </c>
      <c r="F5519" s="19" t="s">
        <v>90</v>
      </c>
      <c r="G5519" s="19" t="s">
        <v>91</v>
      </c>
      <c r="H5519" s="37" t="s">
        <v>55</v>
      </c>
      <c r="I5519" s="37" t="s">
        <v>29</v>
      </c>
      <c r="J5519" s="155" t="str">
        <f t="shared" si="14"/>
        <v>TT</v>
      </c>
      <c r="K5519" s="22" t="s">
        <v>18994</v>
      </c>
      <c r="L5519" s="56">
        <v>45139</v>
      </c>
      <c r="M5519" s="283"/>
      <c r="N5519" s="283"/>
      <c r="P5519" s="40"/>
      <c r="Q5519" s="61"/>
      <c r="R5519" s="61"/>
      <c r="S5519" s="40"/>
      <c r="T5519" s="38"/>
      <c r="U5519" s="38"/>
      <c r="V5519" s="38"/>
      <c r="W5519" s="60"/>
      <c r="AB5519" s="42"/>
      <c r="AC5519" s="35"/>
      <c r="AD5519" s="38"/>
      <c r="AE5519" s="38"/>
      <c r="AF5519" s="38"/>
      <c r="AG5519" s="38"/>
      <c r="AH5519" s="60"/>
    </row>
    <row r="5520" spans="1:34" ht="15.75" customHeight="1">
      <c r="A5520" s="54" t="s">
        <v>2714</v>
      </c>
      <c r="B5520" s="285" t="s">
        <v>18995</v>
      </c>
      <c r="C5520" s="37" t="s">
        <v>87</v>
      </c>
      <c r="D5520" s="204" t="s">
        <v>18996</v>
      </c>
      <c r="E5520" s="286" t="s">
        <v>18997</v>
      </c>
      <c r="F5520" s="19" t="s">
        <v>90</v>
      </c>
      <c r="G5520" s="19" t="s">
        <v>91</v>
      </c>
      <c r="H5520" s="37" t="s">
        <v>55</v>
      </c>
      <c r="I5520" s="37" t="s">
        <v>29</v>
      </c>
      <c r="J5520" s="155" t="str">
        <f t="shared" si="14"/>
        <v>TT</v>
      </c>
      <c r="K5520" s="224" t="s">
        <v>18998</v>
      </c>
      <c r="L5520" s="56">
        <v>45139</v>
      </c>
      <c r="M5520" s="283"/>
      <c r="N5520" s="283"/>
      <c r="P5520" s="40"/>
      <c r="Q5520" s="61"/>
      <c r="R5520" s="61"/>
      <c r="S5520" s="40"/>
      <c r="T5520" s="38"/>
      <c r="U5520" s="38"/>
      <c r="V5520" s="38"/>
      <c r="W5520" s="60"/>
      <c r="AB5520" s="42"/>
      <c r="AC5520" s="35"/>
      <c r="AD5520" s="38"/>
      <c r="AE5520" s="38"/>
      <c r="AF5520" s="38"/>
      <c r="AG5520" s="38"/>
      <c r="AH5520" s="60"/>
    </row>
    <row r="5521" spans="1:34" ht="15.75" customHeight="1">
      <c r="A5521" s="114" t="s">
        <v>39</v>
      </c>
      <c r="B5521" s="285" t="s">
        <v>18999</v>
      </c>
      <c r="C5521" s="37" t="s">
        <v>412</v>
      </c>
      <c r="D5521" s="204" t="s">
        <v>19000</v>
      </c>
      <c r="E5521" s="286" t="s">
        <v>19001</v>
      </c>
      <c r="F5521" s="19" t="s">
        <v>414</v>
      </c>
      <c r="G5521" s="19" t="s">
        <v>415</v>
      </c>
      <c r="H5521" s="37" t="s">
        <v>55</v>
      </c>
      <c r="I5521" s="37" t="s">
        <v>233</v>
      </c>
      <c r="J5521" s="155" t="str">
        <f t="shared" si="14"/>
        <v>NTT</v>
      </c>
      <c r="K5521" s="224" t="s">
        <v>19002</v>
      </c>
      <c r="L5521" s="56">
        <v>45139</v>
      </c>
      <c r="M5521" s="283"/>
      <c r="N5521" s="283"/>
      <c r="P5521" s="40"/>
      <c r="Q5521" s="61"/>
      <c r="R5521" s="61"/>
      <c r="S5521" s="40"/>
      <c r="T5521" s="38"/>
      <c r="U5521" s="38"/>
      <c r="V5521" s="38"/>
      <c r="W5521" s="60"/>
      <c r="AB5521" s="42"/>
      <c r="AC5521" s="35"/>
      <c r="AD5521" s="38"/>
      <c r="AE5521" s="38"/>
      <c r="AF5521" s="38"/>
      <c r="AG5521" s="38"/>
      <c r="AH5521" s="60"/>
    </row>
    <row r="5522" spans="1:34" ht="15.75" customHeight="1">
      <c r="A5522" s="38" t="s">
        <v>18641</v>
      </c>
      <c r="B5522" s="285" t="s">
        <v>19003</v>
      </c>
      <c r="C5522" s="37" t="s">
        <v>24</v>
      </c>
      <c r="D5522" s="204" t="s">
        <v>19004</v>
      </c>
      <c r="E5522" s="286" t="s">
        <v>19005</v>
      </c>
      <c r="F5522" s="19" t="s">
        <v>27</v>
      </c>
      <c r="G5522" s="19" t="s">
        <v>28</v>
      </c>
      <c r="H5522" s="19" t="s">
        <v>36</v>
      </c>
      <c r="I5522" s="37" t="s">
        <v>29</v>
      </c>
      <c r="J5522" s="155" t="str">
        <f t="shared" si="14"/>
        <v>TT</v>
      </c>
      <c r="K5522" s="224" t="s">
        <v>19006</v>
      </c>
      <c r="L5522" s="56">
        <v>45139</v>
      </c>
      <c r="M5522" s="283"/>
      <c r="N5522" s="283"/>
      <c r="P5522" s="40"/>
      <c r="Q5522" s="61"/>
      <c r="R5522" s="61"/>
      <c r="S5522" s="40"/>
      <c r="T5522" s="38"/>
      <c r="U5522" s="38"/>
      <c r="V5522" s="38"/>
      <c r="W5522" s="60"/>
      <c r="AB5522" s="42"/>
      <c r="AC5522" s="35"/>
      <c r="AD5522" s="38"/>
      <c r="AE5522" s="38"/>
      <c r="AF5522" s="38"/>
      <c r="AG5522" s="38"/>
      <c r="AH5522" s="60"/>
    </row>
    <row r="5523" spans="1:34" ht="15.75" customHeight="1">
      <c r="A5523" s="75" t="s">
        <v>18646</v>
      </c>
      <c r="B5523" s="287" t="s">
        <v>19007</v>
      </c>
      <c r="C5523" s="37" t="s">
        <v>24</v>
      </c>
      <c r="D5523" s="288" t="s">
        <v>19008</v>
      </c>
      <c r="E5523" s="286" t="s">
        <v>19009</v>
      </c>
      <c r="F5523" s="19" t="s">
        <v>27</v>
      </c>
      <c r="G5523" s="19" t="s">
        <v>28</v>
      </c>
      <c r="H5523" s="37" t="s">
        <v>55</v>
      </c>
      <c r="I5523" s="37" t="s">
        <v>29</v>
      </c>
      <c r="J5523" s="155" t="str">
        <f t="shared" si="14"/>
        <v>TT</v>
      </c>
      <c r="K5523" s="224" t="s">
        <v>19010</v>
      </c>
      <c r="L5523" s="56">
        <v>45139</v>
      </c>
      <c r="M5523" s="283"/>
      <c r="N5523" s="283"/>
      <c r="P5523" s="40"/>
      <c r="Q5523" s="61"/>
      <c r="R5523" s="61"/>
      <c r="S5523" s="40"/>
      <c r="T5523" s="38"/>
      <c r="U5523" s="38"/>
      <c r="V5523" s="38"/>
      <c r="W5523" s="60"/>
      <c r="AB5523" s="42"/>
      <c r="AC5523" s="35"/>
      <c r="AD5523" s="38"/>
      <c r="AE5523" s="38"/>
      <c r="AF5523" s="38"/>
      <c r="AG5523" s="38"/>
      <c r="AH5523" s="60"/>
    </row>
    <row r="5524" spans="1:34" ht="15.75" customHeight="1">
      <c r="A5524" s="50" t="s">
        <v>56</v>
      </c>
      <c r="B5524" s="285" t="s">
        <v>19011</v>
      </c>
      <c r="C5524" s="37" t="s">
        <v>412</v>
      </c>
      <c r="D5524" s="288" t="s">
        <v>19012</v>
      </c>
      <c r="E5524" s="286" t="s">
        <v>19013</v>
      </c>
      <c r="F5524" s="19" t="s">
        <v>414</v>
      </c>
      <c r="G5524" s="37" t="s">
        <v>415</v>
      </c>
      <c r="H5524" s="37" t="s">
        <v>55</v>
      </c>
      <c r="I5524" s="37" t="s">
        <v>233</v>
      </c>
      <c r="J5524" s="155" t="str">
        <f t="shared" si="14"/>
        <v>NTT</v>
      </c>
      <c r="K5524" s="224" t="s">
        <v>19014</v>
      </c>
      <c r="L5524" s="56">
        <v>45139</v>
      </c>
      <c r="M5524" s="283"/>
      <c r="N5524" s="283"/>
      <c r="P5524" s="40"/>
      <c r="Q5524" s="61"/>
      <c r="R5524" s="61"/>
      <c r="S5524" s="40"/>
      <c r="T5524" s="38"/>
      <c r="U5524" s="38"/>
      <c r="V5524" s="38"/>
      <c r="W5524" s="60"/>
      <c r="AB5524" s="42"/>
      <c r="AC5524" s="35"/>
      <c r="AD5524" s="38"/>
      <c r="AE5524" s="38"/>
      <c r="AF5524" s="38"/>
      <c r="AG5524" s="38"/>
      <c r="AH5524" s="60"/>
    </row>
    <row r="5525" spans="1:34" ht="15.75" customHeight="1">
      <c r="A5525" s="17" t="s">
        <v>18655</v>
      </c>
      <c r="B5525" s="285" t="s">
        <v>19015</v>
      </c>
      <c r="C5525" s="37" t="s">
        <v>412</v>
      </c>
      <c r="D5525" s="204" t="s">
        <v>19016</v>
      </c>
      <c r="E5525" s="286" t="s">
        <v>19017</v>
      </c>
      <c r="F5525" s="19" t="s">
        <v>414</v>
      </c>
      <c r="G5525" s="19" t="s">
        <v>415</v>
      </c>
      <c r="H5525" s="37" t="s">
        <v>55</v>
      </c>
      <c r="I5525" s="37" t="s">
        <v>233</v>
      </c>
      <c r="J5525" s="155" t="str">
        <f t="shared" si="14"/>
        <v>NTT</v>
      </c>
      <c r="K5525" s="224" t="s">
        <v>19018</v>
      </c>
      <c r="L5525" s="56">
        <v>45139</v>
      </c>
      <c r="M5525" s="283"/>
      <c r="N5525" s="283"/>
      <c r="P5525" s="40"/>
      <c r="Q5525" s="61"/>
      <c r="R5525" s="61"/>
      <c r="S5525" s="40"/>
      <c r="T5525" s="38"/>
      <c r="U5525" s="38"/>
      <c r="V5525" s="38"/>
      <c r="W5525" s="60"/>
      <c r="AB5525" s="42"/>
      <c r="AC5525" s="35"/>
      <c r="AD5525" s="38"/>
      <c r="AE5525" s="38"/>
      <c r="AF5525" s="38"/>
      <c r="AG5525" s="38"/>
      <c r="AH5525" s="60"/>
    </row>
    <row r="5526" spans="1:34" ht="15.75" customHeight="1">
      <c r="A5526" s="111" t="s">
        <v>64</v>
      </c>
      <c r="B5526" s="285" t="s">
        <v>19019</v>
      </c>
      <c r="C5526" s="37" t="s">
        <v>24</v>
      </c>
      <c r="D5526" s="204" t="s">
        <v>19020</v>
      </c>
      <c r="E5526" s="286" t="s">
        <v>19021</v>
      </c>
      <c r="F5526" s="19" t="s">
        <v>27</v>
      </c>
      <c r="G5526" s="19" t="s">
        <v>28</v>
      </c>
      <c r="H5526" s="37" t="s">
        <v>55</v>
      </c>
      <c r="I5526" s="37" t="s">
        <v>29</v>
      </c>
      <c r="J5526" s="155" t="str">
        <f t="shared" si="14"/>
        <v>TT</v>
      </c>
      <c r="K5526" s="224" t="s">
        <v>19022</v>
      </c>
      <c r="L5526" s="56">
        <v>45139</v>
      </c>
      <c r="M5526" s="283"/>
      <c r="N5526" s="283"/>
      <c r="P5526" s="40"/>
      <c r="Q5526" s="61"/>
      <c r="R5526" s="61"/>
      <c r="S5526" s="40"/>
      <c r="T5526" s="38"/>
      <c r="U5526" s="38"/>
      <c r="V5526" s="38"/>
      <c r="W5526" s="60"/>
      <c r="AB5526" s="42"/>
      <c r="AC5526" s="35"/>
      <c r="AD5526" s="38"/>
      <c r="AE5526" s="38"/>
      <c r="AF5526" s="38"/>
      <c r="AG5526" s="38"/>
      <c r="AH5526" s="60"/>
    </row>
    <row r="5527" spans="1:34" ht="15.75" customHeight="1">
      <c r="A5527" s="75">
        <v>2.1</v>
      </c>
      <c r="B5527" s="285" t="s">
        <v>19023</v>
      </c>
      <c r="C5527" s="37" t="s">
        <v>87</v>
      </c>
      <c r="D5527" s="204" t="s">
        <v>19024</v>
      </c>
      <c r="E5527" s="286" t="s">
        <v>19025</v>
      </c>
      <c r="F5527" s="19" t="s">
        <v>90</v>
      </c>
      <c r="G5527" s="19" t="s">
        <v>91</v>
      </c>
      <c r="H5527" s="37" t="s">
        <v>55</v>
      </c>
      <c r="I5527" s="37" t="s">
        <v>29</v>
      </c>
      <c r="J5527" s="155" t="str">
        <f t="shared" si="14"/>
        <v>TT</v>
      </c>
      <c r="K5527" s="224" t="s">
        <v>19026</v>
      </c>
      <c r="L5527" s="56">
        <v>45139</v>
      </c>
      <c r="M5527" s="283"/>
      <c r="N5527" s="283"/>
      <c r="P5527" s="40"/>
      <c r="Q5527" s="61"/>
      <c r="R5527" s="61"/>
      <c r="S5527" s="40"/>
      <c r="T5527" s="38"/>
      <c r="U5527" s="38"/>
      <c r="V5527" s="38"/>
      <c r="W5527" s="60"/>
      <c r="AB5527" s="42"/>
      <c r="AC5527" s="35"/>
      <c r="AD5527" s="38"/>
      <c r="AE5527" s="38"/>
      <c r="AF5527" s="38"/>
      <c r="AG5527" s="38"/>
      <c r="AH5527" s="60"/>
    </row>
    <row r="5528" spans="1:34" ht="15.75" customHeight="1">
      <c r="A5528" s="111" t="s">
        <v>73</v>
      </c>
      <c r="B5528" s="285" t="s">
        <v>19027</v>
      </c>
      <c r="C5528" s="37" t="s">
        <v>24</v>
      </c>
      <c r="D5528" s="204" t="s">
        <v>19028</v>
      </c>
      <c r="E5528" s="286" t="s">
        <v>19029</v>
      </c>
      <c r="F5528" s="19" t="s">
        <v>27</v>
      </c>
      <c r="G5528" s="19" t="s">
        <v>28</v>
      </c>
      <c r="H5528" s="37" t="s">
        <v>55</v>
      </c>
      <c r="I5528" s="37" t="s">
        <v>29</v>
      </c>
      <c r="J5528" s="155" t="str">
        <f t="shared" si="14"/>
        <v>TT</v>
      </c>
      <c r="K5528" s="224" t="s">
        <v>19030</v>
      </c>
      <c r="L5528" s="56">
        <v>45139</v>
      </c>
      <c r="M5528" s="283"/>
      <c r="N5528" s="283"/>
      <c r="P5528" s="40"/>
      <c r="Q5528" s="61"/>
      <c r="R5528" s="61"/>
      <c r="S5528" s="40"/>
      <c r="T5528" s="38"/>
      <c r="U5528" s="38"/>
      <c r="V5528" s="38"/>
      <c r="W5528" s="60"/>
      <c r="AB5528" s="42"/>
      <c r="AC5528" s="35"/>
      <c r="AD5528" s="38"/>
      <c r="AE5528" s="38"/>
      <c r="AF5528" s="38"/>
      <c r="AG5528" s="38"/>
      <c r="AH5528" s="60"/>
    </row>
    <row r="5529" spans="1:34" ht="15.75" customHeight="1">
      <c r="A5529" s="75">
        <v>2.8</v>
      </c>
      <c r="B5529" s="285" t="s">
        <v>19031</v>
      </c>
      <c r="C5529" s="37" t="s">
        <v>87</v>
      </c>
      <c r="D5529" s="204" t="s">
        <v>19032</v>
      </c>
      <c r="E5529" s="286" t="s">
        <v>19033</v>
      </c>
      <c r="F5529" s="19" t="s">
        <v>90</v>
      </c>
      <c r="G5529" s="19" t="s">
        <v>91</v>
      </c>
      <c r="H5529" s="37" t="s">
        <v>55</v>
      </c>
      <c r="I5529" s="37" t="s">
        <v>29</v>
      </c>
      <c r="J5529" s="155" t="str">
        <f t="shared" si="14"/>
        <v>TT</v>
      </c>
      <c r="K5529" s="224" t="s">
        <v>19034</v>
      </c>
      <c r="L5529" s="56">
        <v>45139</v>
      </c>
      <c r="M5529" s="283"/>
      <c r="N5529" s="283"/>
      <c r="P5529" s="40"/>
      <c r="Q5529" s="61"/>
      <c r="R5529" s="61"/>
      <c r="S5529" s="40"/>
      <c r="T5529" s="38"/>
      <c r="U5529" s="38"/>
      <c r="V5529" s="38"/>
      <c r="W5529" s="60"/>
      <c r="AB5529" s="42"/>
      <c r="AC5529" s="35"/>
      <c r="AD5529" s="38"/>
      <c r="AE5529" s="38"/>
      <c r="AF5529" s="38"/>
      <c r="AG5529" s="38"/>
      <c r="AH5529" s="60"/>
    </row>
    <row r="5530" spans="1:34" ht="15.75" customHeight="1">
      <c r="A5530" s="111" t="s">
        <v>82</v>
      </c>
      <c r="B5530" s="285" t="s">
        <v>19035</v>
      </c>
      <c r="C5530" s="37" t="s">
        <v>87</v>
      </c>
      <c r="D5530" s="204" t="s">
        <v>19036</v>
      </c>
      <c r="E5530" s="286" t="s">
        <v>19037</v>
      </c>
      <c r="F5530" s="19" t="s">
        <v>90</v>
      </c>
      <c r="G5530" s="19" t="s">
        <v>91</v>
      </c>
      <c r="H5530" s="37" t="s">
        <v>55</v>
      </c>
      <c r="I5530" s="37" t="s">
        <v>29</v>
      </c>
      <c r="J5530" s="155" t="str">
        <f t="shared" si="14"/>
        <v>TT</v>
      </c>
      <c r="K5530" s="224" t="s">
        <v>19038</v>
      </c>
      <c r="L5530" s="56">
        <v>45139</v>
      </c>
      <c r="M5530" s="283"/>
      <c r="N5530" s="283"/>
      <c r="P5530" s="40"/>
      <c r="Q5530" s="61"/>
      <c r="R5530" s="61"/>
      <c r="S5530" s="40"/>
      <c r="T5530" s="38"/>
      <c r="U5530" s="38"/>
      <c r="V5530" s="38"/>
      <c r="W5530" s="60"/>
      <c r="AB5530" s="42"/>
      <c r="AC5530" s="35"/>
      <c r="AD5530" s="38"/>
      <c r="AE5530" s="38"/>
      <c r="AF5530" s="38"/>
      <c r="AG5530" s="38"/>
      <c r="AH5530" s="60"/>
    </row>
    <row r="5531" spans="1:34" ht="15.75" customHeight="1">
      <c r="A5531" s="75" t="s">
        <v>19039</v>
      </c>
      <c r="B5531" s="285" t="s">
        <v>19040</v>
      </c>
      <c r="C5531" s="37" t="s">
        <v>46</v>
      </c>
      <c r="D5531" s="204" t="s">
        <v>19041</v>
      </c>
      <c r="E5531" s="286" t="s">
        <v>19042</v>
      </c>
      <c r="F5531" s="37" t="s">
        <v>49</v>
      </c>
      <c r="G5531" s="19" t="s">
        <v>50</v>
      </c>
      <c r="H5531" s="37" t="s">
        <v>55</v>
      </c>
      <c r="I5531" s="37" t="s">
        <v>29</v>
      </c>
      <c r="J5531" s="155" t="str">
        <f t="shared" si="14"/>
        <v>TT</v>
      </c>
      <c r="K5531" s="224" t="s">
        <v>19043</v>
      </c>
      <c r="L5531" s="56">
        <v>45139</v>
      </c>
      <c r="M5531" s="283"/>
      <c r="N5531" s="283"/>
      <c r="P5531" s="40"/>
      <c r="Q5531" s="61"/>
      <c r="R5531" s="61"/>
      <c r="S5531" s="40"/>
      <c r="T5531" s="38"/>
      <c r="U5531" s="38"/>
      <c r="V5531" s="38"/>
      <c r="W5531" s="60"/>
      <c r="AB5531" s="42"/>
      <c r="AC5531" s="35"/>
      <c r="AD5531" s="38"/>
      <c r="AE5531" s="38"/>
      <c r="AF5531" s="38"/>
      <c r="AG5531" s="38"/>
      <c r="AH5531" s="60"/>
    </row>
    <row r="5532" spans="1:34" ht="15.75" customHeight="1">
      <c r="A5532" s="111" t="s">
        <v>92</v>
      </c>
      <c r="B5532" s="285" t="s">
        <v>19044</v>
      </c>
      <c r="C5532" s="37" t="s">
        <v>412</v>
      </c>
      <c r="D5532" s="204" t="s">
        <v>19045</v>
      </c>
      <c r="E5532" s="286" t="s">
        <v>19046</v>
      </c>
      <c r="F5532" s="19" t="s">
        <v>414</v>
      </c>
      <c r="G5532" s="37" t="s">
        <v>415</v>
      </c>
      <c r="H5532" s="37" t="s">
        <v>55</v>
      </c>
      <c r="I5532" s="37" t="s">
        <v>233</v>
      </c>
      <c r="J5532" s="155" t="str">
        <f t="shared" si="14"/>
        <v>NTT</v>
      </c>
      <c r="K5532" s="224" t="s">
        <v>19047</v>
      </c>
      <c r="L5532" s="56">
        <v>45139</v>
      </c>
      <c r="M5532" s="283"/>
      <c r="N5532" s="283"/>
      <c r="P5532" s="40"/>
      <c r="Q5532" s="61"/>
      <c r="R5532" s="61"/>
      <c r="S5532" s="40"/>
      <c r="T5532" s="38"/>
      <c r="U5532" s="38"/>
      <c r="V5532" s="38"/>
      <c r="W5532" s="60"/>
      <c r="AB5532" s="42"/>
      <c r="AC5532" s="35"/>
      <c r="AD5532" s="38"/>
      <c r="AE5532" s="38"/>
      <c r="AF5532" s="38"/>
      <c r="AG5532" s="38"/>
      <c r="AH5532" s="60"/>
    </row>
    <row r="5533" spans="1:34" ht="15.75" customHeight="1">
      <c r="A5533" s="112">
        <v>589</v>
      </c>
      <c r="B5533" s="38"/>
      <c r="C5533" s="37"/>
      <c r="D5533" s="204"/>
      <c r="E5533" s="204"/>
      <c r="F5533" s="37"/>
      <c r="G5533" s="37"/>
      <c r="H5533" s="37"/>
      <c r="I5533" s="37"/>
      <c r="J5533" s="155">
        <f t="shared" si="14"/>
        <v>0</v>
      </c>
      <c r="K5533" s="256"/>
      <c r="L5533" s="284"/>
      <c r="M5533" s="283"/>
      <c r="N5533" s="283"/>
      <c r="P5533" s="40"/>
      <c r="Q5533" s="61"/>
      <c r="R5533" s="61"/>
      <c r="S5533" s="40"/>
      <c r="T5533" s="38"/>
      <c r="U5533" s="38"/>
      <c r="V5533" s="38"/>
      <c r="W5533" s="60"/>
      <c r="AB5533" s="42"/>
      <c r="AC5533" s="35"/>
      <c r="AD5533" s="38"/>
      <c r="AE5533" s="38"/>
      <c r="AF5533" s="38"/>
      <c r="AG5533" s="38"/>
      <c r="AH5533" s="60"/>
    </row>
    <row r="5534" spans="1:34" ht="15.75" customHeight="1">
      <c r="A5534" s="111" t="s">
        <v>100</v>
      </c>
      <c r="B5534" s="49"/>
      <c r="C5534" s="19"/>
      <c r="D5534" s="204"/>
      <c r="E5534" s="204"/>
      <c r="F5534" s="19"/>
      <c r="G5534" s="19"/>
      <c r="H5534" s="19"/>
      <c r="I5534" s="21"/>
      <c r="J5534" s="155">
        <f t="shared" si="14"/>
        <v>0</v>
      </c>
      <c r="K5534" s="256"/>
      <c r="L5534" s="284"/>
      <c r="M5534" s="283"/>
      <c r="N5534" s="283"/>
      <c r="P5534" s="40"/>
      <c r="Q5534" s="61"/>
      <c r="R5534" s="61"/>
      <c r="S5534" s="40"/>
      <c r="T5534" s="38"/>
      <c r="U5534" s="38"/>
      <c r="V5534" s="38"/>
      <c r="W5534" s="60"/>
      <c r="AB5534" s="42"/>
      <c r="AC5534" s="35"/>
      <c r="AD5534" s="38"/>
      <c r="AE5534" s="38"/>
      <c r="AF5534" s="38"/>
      <c r="AG5534" s="38"/>
      <c r="AH5534" s="60"/>
    </row>
    <row r="5535" spans="1:34" ht="15.75" customHeight="1">
      <c r="A5535" s="75">
        <v>163</v>
      </c>
      <c r="B5535" s="49"/>
      <c r="C5535" s="19"/>
      <c r="D5535" s="204"/>
      <c r="E5535" s="204"/>
      <c r="F5535" s="19"/>
      <c r="G5535" s="19"/>
      <c r="H5535" s="19"/>
      <c r="I5535" s="21"/>
      <c r="J5535" s="155">
        <f t="shared" si="14"/>
        <v>0</v>
      </c>
      <c r="K5535" s="256"/>
      <c r="L5535" s="284"/>
      <c r="M5535" s="283"/>
      <c r="N5535" s="283"/>
      <c r="P5535" s="40"/>
      <c r="Q5535" s="61"/>
      <c r="R5535" s="61"/>
      <c r="S5535" s="40"/>
      <c r="T5535" s="38"/>
      <c r="U5535" s="38"/>
      <c r="V5535" s="38"/>
      <c r="W5535" s="60"/>
      <c r="AB5535" s="42"/>
      <c r="AC5535" s="35"/>
      <c r="AD5535" s="38"/>
      <c r="AE5535" s="38"/>
      <c r="AF5535" s="38"/>
      <c r="AG5535" s="38"/>
      <c r="AH5535" s="60"/>
    </row>
    <row r="5536" spans="1:34" ht="15.75" customHeight="1">
      <c r="A5536" s="35"/>
      <c r="B5536" s="49"/>
      <c r="C5536" s="19"/>
      <c r="D5536" s="204"/>
      <c r="E5536" s="204"/>
      <c r="F5536" s="19"/>
      <c r="G5536" s="19"/>
      <c r="H5536" s="19"/>
      <c r="I5536" s="21"/>
      <c r="J5536" s="155">
        <f t="shared" si="14"/>
        <v>0</v>
      </c>
      <c r="K5536" s="256"/>
      <c r="L5536" s="284"/>
      <c r="M5536" s="283"/>
      <c r="N5536" s="283"/>
      <c r="P5536" s="40"/>
      <c r="Q5536" s="61"/>
      <c r="R5536" s="61"/>
      <c r="S5536" s="40"/>
      <c r="T5536" s="38"/>
      <c r="U5536" s="38"/>
      <c r="V5536" s="38"/>
      <c r="W5536" s="60"/>
      <c r="AB5536" s="42"/>
      <c r="AC5536" s="35"/>
      <c r="AD5536" s="38"/>
      <c r="AE5536" s="38"/>
      <c r="AF5536" s="38"/>
      <c r="AG5536" s="38"/>
      <c r="AH5536" s="60"/>
    </row>
    <row r="5537" spans="1:34" ht="15.75" customHeight="1">
      <c r="A5537" s="35" t="s">
        <v>19048</v>
      </c>
      <c r="B5537" s="285" t="s">
        <v>19049</v>
      </c>
      <c r="C5537" s="37" t="s">
        <v>87</v>
      </c>
      <c r="D5537" s="286" t="s">
        <v>19050</v>
      </c>
      <c r="E5537" s="20" t="s">
        <v>19051</v>
      </c>
      <c r="F5537" s="19" t="s">
        <v>90</v>
      </c>
      <c r="G5537" s="19" t="s">
        <v>91</v>
      </c>
      <c r="H5537" s="37" t="s">
        <v>55</v>
      </c>
      <c r="I5537" s="37" t="s">
        <v>29</v>
      </c>
      <c r="J5537" s="155" t="str">
        <f t="shared" si="14"/>
        <v>TT</v>
      </c>
      <c r="K5537" s="22" t="s">
        <v>19052</v>
      </c>
      <c r="L5537" s="56">
        <v>45139</v>
      </c>
      <c r="M5537" s="283"/>
      <c r="N5537" s="283"/>
      <c r="P5537" s="40"/>
      <c r="Q5537" s="61"/>
      <c r="R5537" s="61"/>
      <c r="S5537" s="40"/>
      <c r="T5537" s="38"/>
      <c r="U5537" s="38"/>
      <c r="V5537" s="38"/>
      <c r="W5537" s="60"/>
      <c r="AB5537" s="42"/>
      <c r="AC5537" s="35"/>
      <c r="AD5537" s="38"/>
      <c r="AE5537" s="38"/>
      <c r="AF5537" s="38"/>
      <c r="AG5537" s="38"/>
      <c r="AH5537" s="60"/>
    </row>
    <row r="5538" spans="1:34" ht="15.75" customHeight="1">
      <c r="A5538" s="54" t="s">
        <v>2714</v>
      </c>
      <c r="B5538" s="285" t="s">
        <v>19053</v>
      </c>
      <c r="C5538" s="37" t="s">
        <v>24</v>
      </c>
      <c r="D5538" s="286" t="s">
        <v>19054</v>
      </c>
      <c r="E5538" s="204" t="s">
        <v>19055</v>
      </c>
      <c r="F5538" s="19" t="s">
        <v>27</v>
      </c>
      <c r="G5538" s="19" t="s">
        <v>28</v>
      </c>
      <c r="H5538" s="37" t="s">
        <v>55</v>
      </c>
      <c r="I5538" s="37" t="s">
        <v>29</v>
      </c>
      <c r="J5538" s="155" t="str">
        <f t="shared" si="14"/>
        <v>TT</v>
      </c>
      <c r="K5538" s="256" t="s">
        <v>19056</v>
      </c>
      <c r="L5538" s="56">
        <v>45139</v>
      </c>
      <c r="M5538" s="283"/>
      <c r="N5538" s="283"/>
      <c r="P5538" s="40"/>
      <c r="Q5538" s="61"/>
      <c r="R5538" s="61"/>
      <c r="S5538" s="40"/>
      <c r="T5538" s="38"/>
      <c r="U5538" s="38"/>
      <c r="V5538" s="38"/>
      <c r="W5538" s="60"/>
      <c r="AB5538" s="42"/>
      <c r="AC5538" s="35"/>
      <c r="AD5538" s="38"/>
      <c r="AE5538" s="38"/>
      <c r="AF5538" s="38"/>
      <c r="AG5538" s="38"/>
      <c r="AH5538" s="60"/>
    </row>
    <row r="5539" spans="1:34" ht="15.75" customHeight="1">
      <c r="A5539" s="114" t="s">
        <v>39</v>
      </c>
      <c r="B5539" s="285" t="s">
        <v>19057</v>
      </c>
      <c r="C5539" s="37" t="s">
        <v>46</v>
      </c>
      <c r="D5539" s="286" t="s">
        <v>19058</v>
      </c>
      <c r="E5539" s="204" t="s">
        <v>19059</v>
      </c>
      <c r="F5539" s="37" t="s">
        <v>49</v>
      </c>
      <c r="G5539" s="19" t="s">
        <v>50</v>
      </c>
      <c r="H5539" s="37" t="s">
        <v>55</v>
      </c>
      <c r="I5539" s="37" t="s">
        <v>29</v>
      </c>
      <c r="J5539" s="155" t="str">
        <f t="shared" si="14"/>
        <v>TT</v>
      </c>
      <c r="K5539" s="256" t="s">
        <v>19060</v>
      </c>
      <c r="L5539" s="56">
        <v>45139</v>
      </c>
      <c r="M5539" s="283"/>
      <c r="N5539" s="283"/>
      <c r="P5539" s="40"/>
      <c r="Q5539" s="61"/>
      <c r="R5539" s="61"/>
      <c r="S5539" s="40"/>
      <c r="T5539" s="38"/>
      <c r="U5539" s="38"/>
      <c r="V5539" s="38"/>
      <c r="W5539" s="60"/>
      <c r="AB5539" s="42"/>
      <c r="AC5539" s="35"/>
      <c r="AD5539" s="38"/>
      <c r="AE5539" s="38"/>
      <c r="AF5539" s="38"/>
      <c r="AG5539" s="38"/>
      <c r="AH5539" s="60"/>
    </row>
    <row r="5540" spans="1:34" ht="15.75" customHeight="1">
      <c r="A5540" s="38" t="s">
        <v>18641</v>
      </c>
      <c r="B5540" s="285" t="s">
        <v>19061</v>
      </c>
      <c r="C5540" s="37" t="s">
        <v>24</v>
      </c>
      <c r="D5540" s="286" t="s">
        <v>19062</v>
      </c>
      <c r="E5540" s="204" t="s">
        <v>19063</v>
      </c>
      <c r="F5540" s="19" t="s">
        <v>27</v>
      </c>
      <c r="G5540" s="19" t="s">
        <v>28</v>
      </c>
      <c r="H5540" s="37" t="s">
        <v>55</v>
      </c>
      <c r="I5540" s="37" t="s">
        <v>29</v>
      </c>
      <c r="J5540" s="155" t="str">
        <f t="shared" si="14"/>
        <v>TT</v>
      </c>
      <c r="K5540" s="256" t="s">
        <v>19064</v>
      </c>
      <c r="L5540" s="56">
        <v>45139</v>
      </c>
      <c r="M5540" s="283"/>
      <c r="N5540" s="283"/>
      <c r="P5540" s="40"/>
      <c r="Q5540" s="61"/>
      <c r="R5540" s="61"/>
      <c r="S5540" s="40"/>
      <c r="T5540" s="38"/>
      <c r="U5540" s="38"/>
      <c r="V5540" s="38"/>
      <c r="W5540" s="60"/>
      <c r="AB5540" s="42"/>
      <c r="AC5540" s="35"/>
      <c r="AD5540" s="38"/>
      <c r="AE5540" s="38"/>
      <c r="AF5540" s="38"/>
      <c r="AG5540" s="38"/>
      <c r="AH5540" s="60"/>
    </row>
    <row r="5541" spans="1:34" ht="15.75" customHeight="1">
      <c r="A5541" s="75" t="s">
        <v>18646</v>
      </c>
      <c r="B5541" s="285" t="s">
        <v>19065</v>
      </c>
      <c r="C5541" s="37" t="s">
        <v>24</v>
      </c>
      <c r="D5541" s="286" t="s">
        <v>19066</v>
      </c>
      <c r="E5541" s="204"/>
      <c r="F5541" s="19" t="s">
        <v>27</v>
      </c>
      <c r="G5541" s="19" t="s">
        <v>28</v>
      </c>
      <c r="H5541" s="37" t="s">
        <v>55</v>
      </c>
      <c r="I5541" s="37" t="s">
        <v>29</v>
      </c>
      <c r="J5541" s="155" t="str">
        <f t="shared" si="14"/>
        <v>TT</v>
      </c>
      <c r="K5541" s="256"/>
      <c r="L5541" s="56">
        <v>45139</v>
      </c>
      <c r="M5541" s="283"/>
      <c r="N5541" s="283"/>
      <c r="P5541" s="40"/>
      <c r="Q5541" s="61"/>
      <c r="R5541" s="61"/>
      <c r="S5541" s="40"/>
      <c r="T5541" s="38"/>
      <c r="U5541" s="38"/>
      <c r="V5541" s="38"/>
      <c r="W5541" s="60"/>
      <c r="AB5541" s="42"/>
      <c r="AC5541" s="35"/>
      <c r="AD5541" s="38"/>
      <c r="AE5541" s="38"/>
      <c r="AF5541" s="38"/>
      <c r="AG5541" s="38"/>
      <c r="AH5541" s="60"/>
    </row>
    <row r="5542" spans="1:34" ht="15.75" customHeight="1">
      <c r="A5542" s="50" t="s">
        <v>56</v>
      </c>
      <c r="B5542" s="285" t="s">
        <v>19067</v>
      </c>
      <c r="C5542" s="37" t="s">
        <v>24</v>
      </c>
      <c r="D5542" s="286" t="s">
        <v>19068</v>
      </c>
      <c r="E5542" s="204" t="s">
        <v>19069</v>
      </c>
      <c r="F5542" s="19" t="s">
        <v>27</v>
      </c>
      <c r="G5542" s="19" t="s">
        <v>28</v>
      </c>
      <c r="H5542" s="37" t="s">
        <v>55</v>
      </c>
      <c r="I5542" s="37" t="s">
        <v>29</v>
      </c>
      <c r="J5542" s="155" t="str">
        <f t="shared" si="14"/>
        <v>TT</v>
      </c>
      <c r="K5542" s="256" t="s">
        <v>19070</v>
      </c>
      <c r="L5542" s="56">
        <v>45139</v>
      </c>
      <c r="M5542" s="283"/>
      <c r="N5542" s="283"/>
      <c r="P5542" s="40"/>
      <c r="Q5542" s="61"/>
      <c r="R5542" s="61"/>
      <c r="S5542" s="40"/>
      <c r="T5542" s="38"/>
      <c r="U5542" s="38"/>
      <c r="V5542" s="38"/>
      <c r="W5542" s="60"/>
      <c r="AB5542" s="42"/>
      <c r="AC5542" s="35"/>
      <c r="AD5542" s="38"/>
      <c r="AE5542" s="38"/>
      <c r="AF5542" s="38"/>
      <c r="AG5542" s="38"/>
      <c r="AH5542" s="60"/>
    </row>
    <row r="5543" spans="1:34" ht="15.75" customHeight="1">
      <c r="A5543" s="17" t="s">
        <v>18655</v>
      </c>
      <c r="B5543" s="285" t="s">
        <v>19071</v>
      </c>
      <c r="C5543" s="37" t="s">
        <v>24</v>
      </c>
      <c r="D5543" s="286" t="s">
        <v>19072</v>
      </c>
      <c r="E5543" s="204"/>
      <c r="F5543" s="19" t="s">
        <v>27</v>
      </c>
      <c r="G5543" s="19" t="s">
        <v>28</v>
      </c>
      <c r="H5543" s="37" t="s">
        <v>55</v>
      </c>
      <c r="I5543" s="37" t="s">
        <v>29</v>
      </c>
      <c r="J5543" s="155" t="str">
        <f t="shared" si="14"/>
        <v>TT</v>
      </c>
      <c r="K5543" s="256"/>
      <c r="L5543" s="56">
        <v>45139</v>
      </c>
      <c r="M5543" s="283"/>
      <c r="N5543" s="283"/>
      <c r="P5543" s="40"/>
      <c r="Q5543" s="61"/>
      <c r="R5543" s="61"/>
      <c r="S5543" s="40"/>
      <c r="T5543" s="38"/>
      <c r="U5543" s="38"/>
      <c r="V5543" s="38"/>
      <c r="W5543" s="60"/>
      <c r="AB5543" s="42"/>
      <c r="AC5543" s="35"/>
      <c r="AD5543" s="38"/>
      <c r="AE5543" s="38"/>
      <c r="AF5543" s="38"/>
      <c r="AG5543" s="38"/>
      <c r="AH5543" s="60"/>
    </row>
    <row r="5544" spans="1:34" ht="15.75" customHeight="1">
      <c r="A5544" s="111" t="s">
        <v>64</v>
      </c>
      <c r="B5544" s="285" t="s">
        <v>19073</v>
      </c>
      <c r="C5544" s="37" t="s">
        <v>46</v>
      </c>
      <c r="D5544" s="286" t="s">
        <v>19074</v>
      </c>
      <c r="E5544" s="204" t="s">
        <v>19075</v>
      </c>
      <c r="F5544" s="37" t="s">
        <v>49</v>
      </c>
      <c r="G5544" s="19" t="s">
        <v>50</v>
      </c>
      <c r="H5544" s="37" t="s">
        <v>55</v>
      </c>
      <c r="I5544" s="37" t="s">
        <v>29</v>
      </c>
      <c r="J5544" s="155" t="str">
        <f t="shared" si="14"/>
        <v>TT</v>
      </c>
      <c r="K5544" s="256" t="s">
        <v>19076</v>
      </c>
      <c r="L5544" s="56">
        <v>45139</v>
      </c>
      <c r="M5544" s="283"/>
      <c r="N5544" s="283"/>
      <c r="P5544" s="40"/>
      <c r="Q5544" s="61"/>
      <c r="R5544" s="61"/>
      <c r="S5544" s="40"/>
      <c r="T5544" s="38"/>
      <c r="U5544" s="38"/>
      <c r="V5544" s="38"/>
      <c r="W5544" s="60"/>
      <c r="AB5544" s="42"/>
      <c r="AC5544" s="35"/>
      <c r="AD5544" s="38"/>
      <c r="AE5544" s="38"/>
      <c r="AF5544" s="38"/>
      <c r="AG5544" s="38"/>
      <c r="AH5544" s="60"/>
    </row>
    <row r="5545" spans="1:34" ht="15.75" customHeight="1">
      <c r="A5545" s="75">
        <v>1.9</v>
      </c>
      <c r="B5545" s="285" t="s">
        <v>19077</v>
      </c>
      <c r="C5545" s="37" t="s">
        <v>24</v>
      </c>
      <c r="D5545" s="286" t="s">
        <v>19078</v>
      </c>
      <c r="E5545" s="204" t="s">
        <v>19079</v>
      </c>
      <c r="F5545" s="19" t="s">
        <v>27</v>
      </c>
      <c r="G5545" s="19" t="s">
        <v>28</v>
      </c>
      <c r="H5545" s="37" t="s">
        <v>55</v>
      </c>
      <c r="I5545" s="37" t="s">
        <v>29</v>
      </c>
      <c r="J5545" s="155" t="str">
        <f t="shared" si="14"/>
        <v>TT</v>
      </c>
      <c r="K5545" s="256" t="s">
        <v>19080</v>
      </c>
      <c r="L5545" s="56">
        <v>45139</v>
      </c>
      <c r="M5545" s="283"/>
      <c r="N5545" s="283"/>
      <c r="P5545" s="40"/>
      <c r="Q5545" s="61"/>
      <c r="R5545" s="61"/>
      <c r="S5545" s="40"/>
      <c r="T5545" s="38"/>
      <c r="U5545" s="38"/>
      <c r="V5545" s="38"/>
      <c r="W5545" s="60"/>
      <c r="AB5545" s="42"/>
      <c r="AC5545" s="35"/>
      <c r="AD5545" s="38"/>
      <c r="AE5545" s="38"/>
      <c r="AF5545" s="38"/>
      <c r="AG5545" s="38"/>
      <c r="AH5545" s="60"/>
    </row>
    <row r="5546" spans="1:34" ht="15.75" customHeight="1">
      <c r="A5546" s="111" t="s">
        <v>73</v>
      </c>
      <c r="B5546" s="285" t="s">
        <v>19081</v>
      </c>
      <c r="C5546" s="37" t="s">
        <v>87</v>
      </c>
      <c r="D5546" s="286" t="s">
        <v>19082</v>
      </c>
      <c r="E5546" s="204" t="s">
        <v>19083</v>
      </c>
      <c r="F5546" s="19" t="s">
        <v>90</v>
      </c>
      <c r="G5546" s="19" t="s">
        <v>91</v>
      </c>
      <c r="H5546" s="37" t="s">
        <v>55</v>
      </c>
      <c r="I5546" s="37" t="s">
        <v>29</v>
      </c>
      <c r="J5546" s="155" t="str">
        <f t="shared" si="14"/>
        <v>TT</v>
      </c>
      <c r="K5546" s="256" t="s">
        <v>19084</v>
      </c>
      <c r="L5546" s="56">
        <v>45139</v>
      </c>
      <c r="M5546" s="283"/>
      <c r="N5546" s="283"/>
      <c r="P5546" s="40"/>
      <c r="Q5546" s="61"/>
      <c r="R5546" s="61"/>
      <c r="S5546" s="40"/>
      <c r="T5546" s="38"/>
      <c r="U5546" s="38"/>
      <c r="V5546" s="38"/>
      <c r="W5546" s="60"/>
      <c r="AB5546" s="42"/>
      <c r="AC5546" s="35"/>
      <c r="AD5546" s="38"/>
      <c r="AE5546" s="38"/>
      <c r="AF5546" s="38"/>
      <c r="AG5546" s="38"/>
      <c r="AH5546" s="60"/>
    </row>
    <row r="5547" spans="1:34" ht="15.75" customHeight="1">
      <c r="A5547" s="75">
        <v>2.5</v>
      </c>
      <c r="B5547" s="285" t="s">
        <v>19085</v>
      </c>
      <c r="C5547" s="37" t="s">
        <v>46</v>
      </c>
      <c r="D5547" s="286" t="s">
        <v>19086</v>
      </c>
      <c r="E5547" s="204" t="s">
        <v>19087</v>
      </c>
      <c r="F5547" s="37" t="s">
        <v>49</v>
      </c>
      <c r="G5547" s="19" t="s">
        <v>50</v>
      </c>
      <c r="H5547" s="37" t="s">
        <v>55</v>
      </c>
      <c r="I5547" s="37" t="s">
        <v>29</v>
      </c>
      <c r="J5547" s="155" t="str">
        <f t="shared" si="14"/>
        <v>TT</v>
      </c>
      <c r="K5547" s="256" t="s">
        <v>19088</v>
      </c>
      <c r="L5547" s="56">
        <v>45139</v>
      </c>
      <c r="M5547" s="283"/>
      <c r="N5547" s="283"/>
      <c r="P5547" s="40"/>
      <c r="Q5547" s="61"/>
      <c r="R5547" s="61"/>
      <c r="S5547" s="40"/>
      <c r="T5547" s="38"/>
      <c r="U5547" s="38"/>
      <c r="V5547" s="38"/>
      <c r="W5547" s="60"/>
      <c r="AB5547" s="42"/>
      <c r="AC5547" s="35"/>
      <c r="AD5547" s="38"/>
      <c r="AE5547" s="38"/>
      <c r="AF5547" s="38"/>
      <c r="AG5547" s="38"/>
      <c r="AH5547" s="60"/>
    </row>
    <row r="5548" spans="1:34" ht="15.75" customHeight="1">
      <c r="A5548" s="111" t="s">
        <v>82</v>
      </c>
      <c r="B5548" s="285" t="s">
        <v>19089</v>
      </c>
      <c r="C5548" s="37" t="s">
        <v>24</v>
      </c>
      <c r="D5548" s="286" t="s">
        <v>19090</v>
      </c>
      <c r="E5548" s="204" t="s">
        <v>19091</v>
      </c>
      <c r="F5548" s="19" t="s">
        <v>27</v>
      </c>
      <c r="G5548" s="19" t="s">
        <v>28</v>
      </c>
      <c r="H5548" s="37" t="s">
        <v>55</v>
      </c>
      <c r="I5548" s="37" t="s">
        <v>29</v>
      </c>
      <c r="J5548" s="155" t="str">
        <f t="shared" si="14"/>
        <v>TT</v>
      </c>
      <c r="K5548" s="256" t="s">
        <v>19092</v>
      </c>
      <c r="L5548" s="56">
        <v>45139</v>
      </c>
      <c r="M5548" s="283"/>
      <c r="N5548" s="283"/>
      <c r="P5548" s="40"/>
      <c r="Q5548" s="61"/>
      <c r="R5548" s="61"/>
      <c r="S5548" s="40"/>
      <c r="T5548" s="38"/>
      <c r="U5548" s="38"/>
      <c r="V5548" s="38"/>
      <c r="W5548" s="60"/>
      <c r="AB5548" s="42"/>
      <c r="AC5548" s="35"/>
      <c r="AD5548" s="38"/>
      <c r="AE5548" s="38"/>
      <c r="AF5548" s="38"/>
      <c r="AG5548" s="38"/>
      <c r="AH5548" s="60"/>
    </row>
    <row r="5549" spans="1:34" ht="15.75" customHeight="1">
      <c r="A5549" s="75" t="s">
        <v>19093</v>
      </c>
      <c r="B5549" s="285" t="s">
        <v>19094</v>
      </c>
      <c r="C5549" s="37" t="s">
        <v>46</v>
      </c>
      <c r="D5549" s="286" t="s">
        <v>19095</v>
      </c>
      <c r="E5549" s="204" t="s">
        <v>19096</v>
      </c>
      <c r="F5549" s="37" t="s">
        <v>49</v>
      </c>
      <c r="G5549" s="19" t="s">
        <v>50</v>
      </c>
      <c r="H5549" s="37" t="s">
        <v>55</v>
      </c>
      <c r="I5549" s="37" t="s">
        <v>29</v>
      </c>
      <c r="J5549" s="155" t="str">
        <f t="shared" si="14"/>
        <v>TT</v>
      </c>
      <c r="K5549" s="256" t="s">
        <v>19097</v>
      </c>
      <c r="L5549" s="56">
        <v>45139</v>
      </c>
      <c r="M5549" s="283"/>
      <c r="N5549" s="283"/>
      <c r="P5549" s="40"/>
      <c r="Q5549" s="61"/>
      <c r="R5549" s="61"/>
      <c r="S5549" s="40"/>
      <c r="T5549" s="38"/>
      <c r="U5549" s="38"/>
      <c r="V5549" s="38"/>
      <c r="W5549" s="60"/>
      <c r="AB5549" s="42"/>
      <c r="AC5549" s="35"/>
      <c r="AD5549" s="38"/>
      <c r="AE5549" s="38"/>
      <c r="AF5549" s="38"/>
      <c r="AG5549" s="38"/>
      <c r="AH5549" s="60"/>
    </row>
    <row r="5550" spans="1:34" ht="15.75" customHeight="1">
      <c r="A5550" s="111" t="s">
        <v>92</v>
      </c>
      <c r="B5550" s="219" t="s">
        <v>19098</v>
      </c>
      <c r="C5550" s="37" t="s">
        <v>24</v>
      </c>
      <c r="D5550" s="20" t="s">
        <v>19099</v>
      </c>
      <c r="E5550" s="204" t="s">
        <v>19100</v>
      </c>
      <c r="F5550" s="19" t="s">
        <v>27</v>
      </c>
      <c r="G5550" s="19" t="s">
        <v>28</v>
      </c>
      <c r="H5550" s="37" t="s">
        <v>55</v>
      </c>
      <c r="I5550" s="37" t="s">
        <v>29</v>
      </c>
      <c r="J5550" s="155" t="str">
        <f t="shared" si="14"/>
        <v>TT</v>
      </c>
      <c r="K5550" s="256" t="s">
        <v>19101</v>
      </c>
      <c r="L5550" s="56">
        <v>45139</v>
      </c>
      <c r="M5550" s="283"/>
      <c r="N5550" s="283"/>
      <c r="P5550" s="40"/>
      <c r="Q5550" s="61"/>
      <c r="R5550" s="61"/>
      <c r="S5550" s="40"/>
      <c r="T5550" s="38"/>
      <c r="U5550" s="38"/>
      <c r="V5550" s="38"/>
      <c r="W5550" s="60"/>
      <c r="AB5550" s="42"/>
      <c r="AC5550" s="35"/>
      <c r="AD5550" s="38"/>
      <c r="AE5550" s="38"/>
      <c r="AF5550" s="38"/>
      <c r="AG5550" s="38"/>
      <c r="AH5550" s="60"/>
    </row>
    <row r="5551" spans="1:34" ht="15.75" customHeight="1">
      <c r="A5551" s="112">
        <v>180</v>
      </c>
      <c r="B5551" s="49"/>
      <c r="C5551" s="37"/>
      <c r="D5551" s="204"/>
      <c r="E5551" s="204"/>
      <c r="F5551" s="37"/>
      <c r="G5551" s="37"/>
      <c r="H5551" s="37"/>
      <c r="I5551" s="21"/>
      <c r="J5551" s="155">
        <f t="shared" si="14"/>
        <v>0</v>
      </c>
      <c r="K5551" s="256"/>
      <c r="L5551" s="284"/>
      <c r="M5551" s="283"/>
      <c r="N5551" s="283"/>
      <c r="P5551" s="40"/>
      <c r="Q5551" s="61"/>
      <c r="R5551" s="61"/>
      <c r="S5551" s="40"/>
      <c r="T5551" s="38"/>
      <c r="U5551" s="38"/>
      <c r="V5551" s="38"/>
      <c r="W5551" s="60"/>
      <c r="AB5551" s="42"/>
      <c r="AC5551" s="35"/>
      <c r="AD5551" s="38"/>
      <c r="AE5551" s="38"/>
      <c r="AF5551" s="38"/>
      <c r="AG5551" s="38"/>
      <c r="AH5551" s="60"/>
    </row>
    <row r="5552" spans="1:34" ht="15.75" customHeight="1">
      <c r="A5552" s="111" t="s">
        <v>100</v>
      </c>
      <c r="B5552" s="49"/>
      <c r="C5552" s="19"/>
      <c r="D5552" s="204"/>
      <c r="E5552" s="204"/>
      <c r="F5552" s="19"/>
      <c r="G5552" s="19"/>
      <c r="H5552" s="19"/>
      <c r="I5552" s="21"/>
      <c r="J5552" s="155">
        <f t="shared" si="14"/>
        <v>0</v>
      </c>
      <c r="K5552" s="256"/>
      <c r="L5552" s="284"/>
      <c r="M5552" s="283"/>
      <c r="N5552" s="283"/>
      <c r="P5552" s="40"/>
      <c r="Q5552" s="61"/>
      <c r="R5552" s="61"/>
      <c r="S5552" s="40"/>
      <c r="T5552" s="38"/>
      <c r="U5552" s="38"/>
      <c r="V5552" s="38"/>
      <c r="W5552" s="60"/>
      <c r="AB5552" s="42"/>
      <c r="AC5552" s="35"/>
      <c r="AD5552" s="38"/>
      <c r="AE5552" s="38"/>
      <c r="AF5552" s="38"/>
      <c r="AG5552" s="38"/>
      <c r="AH5552" s="60"/>
    </row>
    <row r="5553" spans="1:34" ht="15.75" customHeight="1">
      <c r="A5553" s="75">
        <v>164</v>
      </c>
      <c r="B5553" s="49"/>
      <c r="C5553" s="19"/>
      <c r="D5553" s="204"/>
      <c r="E5553" s="204"/>
      <c r="F5553" s="19"/>
      <c r="G5553" s="19"/>
      <c r="H5553" s="19"/>
      <c r="I5553" s="21"/>
      <c r="J5553" s="155">
        <f t="shared" si="14"/>
        <v>0</v>
      </c>
      <c r="K5553" s="256"/>
      <c r="L5553" s="284"/>
      <c r="M5553" s="283"/>
      <c r="N5553" s="283"/>
      <c r="P5553" s="40"/>
      <c r="Q5553" s="61"/>
      <c r="R5553" s="61"/>
      <c r="S5553" s="40"/>
      <c r="T5553" s="38"/>
      <c r="U5553" s="38"/>
      <c r="V5553" s="38"/>
      <c r="W5553" s="60"/>
      <c r="AB5553" s="42"/>
      <c r="AC5553" s="35"/>
      <c r="AD5553" s="38"/>
      <c r="AE5553" s="38"/>
      <c r="AF5553" s="38"/>
      <c r="AG5553" s="38"/>
      <c r="AH5553" s="60"/>
    </row>
    <row r="5554" spans="1:34" ht="15.75" customHeight="1">
      <c r="A5554" s="35"/>
      <c r="B5554" s="49"/>
      <c r="C5554" s="19"/>
      <c r="D5554" s="204"/>
      <c r="E5554" s="204"/>
      <c r="F5554" s="19"/>
      <c r="G5554" s="19"/>
      <c r="H5554" s="19"/>
      <c r="I5554" s="21"/>
      <c r="J5554" s="155">
        <f t="shared" si="14"/>
        <v>0</v>
      </c>
      <c r="K5554" s="256"/>
      <c r="L5554" s="284"/>
      <c r="M5554" s="283"/>
      <c r="N5554" s="283"/>
      <c r="P5554" s="40"/>
      <c r="Q5554" s="61"/>
      <c r="R5554" s="61"/>
      <c r="S5554" s="40"/>
      <c r="T5554" s="38"/>
      <c r="U5554" s="38"/>
      <c r="V5554" s="38"/>
      <c r="W5554" s="60"/>
      <c r="AB5554" s="42"/>
      <c r="AC5554" s="35"/>
      <c r="AD5554" s="38"/>
      <c r="AE5554" s="38"/>
      <c r="AF5554" s="38"/>
      <c r="AG5554" s="38"/>
      <c r="AH5554" s="60"/>
    </row>
    <row r="5555" spans="1:34" ht="15.75" customHeight="1">
      <c r="A5555" s="35" t="s">
        <v>19102</v>
      </c>
      <c r="B5555" s="81" t="s">
        <v>19103</v>
      </c>
      <c r="C5555" s="37" t="s">
        <v>24</v>
      </c>
      <c r="D5555" s="20" t="s">
        <v>19104</v>
      </c>
      <c r="E5555" s="20"/>
      <c r="F5555" s="19" t="s">
        <v>27</v>
      </c>
      <c r="G5555" s="19" t="s">
        <v>28</v>
      </c>
      <c r="H5555" s="37" t="s">
        <v>55</v>
      </c>
      <c r="I5555" s="37" t="s">
        <v>29</v>
      </c>
      <c r="J5555" s="155" t="str">
        <f t="shared" si="14"/>
        <v>TT</v>
      </c>
      <c r="K5555" s="22"/>
      <c r="L5555" s="56">
        <v>45139</v>
      </c>
      <c r="M5555" s="40"/>
      <c r="P5555" s="40"/>
      <c r="Q5555" s="61"/>
      <c r="R5555" s="61"/>
      <c r="S5555" s="40"/>
      <c r="T5555" s="38"/>
      <c r="U5555" s="38"/>
      <c r="V5555" s="38"/>
      <c r="W5555" s="60"/>
      <c r="AB5555" s="42"/>
      <c r="AC5555" s="35"/>
      <c r="AD5555" s="38"/>
      <c r="AE5555" s="38"/>
      <c r="AF5555" s="38"/>
      <c r="AG5555" s="38"/>
      <c r="AH5555" s="60"/>
    </row>
    <row r="5556" spans="1:34" ht="15.75" customHeight="1">
      <c r="A5556" s="54" t="s">
        <v>7101</v>
      </c>
      <c r="B5556" s="78" t="s">
        <v>19105</v>
      </c>
      <c r="C5556" s="37" t="s">
        <v>24</v>
      </c>
      <c r="D5556" s="20" t="s">
        <v>19106</v>
      </c>
      <c r="E5556" s="20" t="s">
        <v>19107</v>
      </c>
      <c r="F5556" s="19" t="s">
        <v>27</v>
      </c>
      <c r="G5556" s="19" t="s">
        <v>28</v>
      </c>
      <c r="H5556" s="37" t="s">
        <v>55</v>
      </c>
      <c r="I5556" s="37" t="s">
        <v>29</v>
      </c>
      <c r="J5556" s="155" t="str">
        <f t="shared" si="14"/>
        <v>TT</v>
      </c>
      <c r="K5556" s="22" t="s">
        <v>19108</v>
      </c>
      <c r="L5556" s="56">
        <v>45139</v>
      </c>
      <c r="M5556" s="283"/>
      <c r="N5556" s="283"/>
      <c r="P5556" s="40"/>
      <c r="Q5556" s="61"/>
      <c r="R5556" s="61"/>
      <c r="S5556" s="40"/>
      <c r="T5556" s="38"/>
      <c r="U5556" s="38"/>
      <c r="V5556" s="38"/>
      <c r="W5556" s="60"/>
      <c r="AB5556" s="42"/>
      <c r="AC5556" s="35"/>
      <c r="AD5556" s="38"/>
      <c r="AE5556" s="38"/>
      <c r="AF5556" s="38"/>
      <c r="AG5556" s="38"/>
      <c r="AH5556" s="60"/>
    </row>
    <row r="5557" spans="1:34" ht="15.75" customHeight="1">
      <c r="A5557" s="114" t="s">
        <v>39</v>
      </c>
      <c r="B5557" s="78" t="s">
        <v>19109</v>
      </c>
      <c r="C5557" s="37" t="s">
        <v>24</v>
      </c>
      <c r="D5557" s="20" t="s">
        <v>19110</v>
      </c>
      <c r="E5557" s="20" t="s">
        <v>19111</v>
      </c>
      <c r="F5557" s="19" t="s">
        <v>27</v>
      </c>
      <c r="G5557" s="19" t="s">
        <v>28</v>
      </c>
      <c r="H5557" s="37" t="s">
        <v>55</v>
      </c>
      <c r="I5557" s="37" t="s">
        <v>29</v>
      </c>
      <c r="J5557" s="155" t="str">
        <f t="shared" si="14"/>
        <v>TT</v>
      </c>
      <c r="K5557" s="22" t="s">
        <v>19112</v>
      </c>
      <c r="L5557" s="56">
        <v>45139</v>
      </c>
      <c r="M5557" s="283"/>
      <c r="N5557" s="283"/>
      <c r="P5557" s="40"/>
      <c r="Q5557" s="61"/>
      <c r="R5557" s="61"/>
      <c r="S5557" s="40"/>
      <c r="T5557" s="38"/>
      <c r="U5557" s="38"/>
      <c r="V5557" s="38"/>
      <c r="W5557" s="60"/>
      <c r="AB5557" s="42"/>
      <c r="AC5557" s="35"/>
      <c r="AD5557" s="38"/>
      <c r="AE5557" s="38"/>
      <c r="AF5557" s="38"/>
      <c r="AG5557" s="38"/>
      <c r="AH5557" s="60"/>
    </row>
    <row r="5558" spans="1:34" ht="15.75" customHeight="1">
      <c r="A5558" s="38" t="s">
        <v>18641</v>
      </c>
      <c r="B5558" s="78" t="s">
        <v>19113</v>
      </c>
      <c r="C5558" s="37" t="s">
        <v>46</v>
      </c>
      <c r="D5558" s="20" t="s">
        <v>19114</v>
      </c>
      <c r="E5558" s="20"/>
      <c r="F5558" s="37" t="s">
        <v>49</v>
      </c>
      <c r="G5558" s="19" t="s">
        <v>50</v>
      </c>
      <c r="H5558" s="37" t="s">
        <v>55</v>
      </c>
      <c r="I5558" s="37" t="s">
        <v>29</v>
      </c>
      <c r="J5558" s="155" t="str">
        <f t="shared" si="14"/>
        <v>TT</v>
      </c>
      <c r="K5558" s="22"/>
      <c r="L5558" s="56">
        <v>45139</v>
      </c>
      <c r="M5558" s="283"/>
      <c r="N5558" s="283"/>
      <c r="P5558" s="40"/>
      <c r="Q5558" s="61"/>
      <c r="R5558" s="61"/>
      <c r="S5558" s="40"/>
      <c r="T5558" s="38"/>
      <c r="U5558" s="38"/>
      <c r="V5558" s="38"/>
      <c r="W5558" s="60"/>
      <c r="AB5558" s="42"/>
      <c r="AC5558" s="35"/>
      <c r="AD5558" s="38"/>
      <c r="AE5558" s="38"/>
      <c r="AF5558" s="38"/>
      <c r="AG5558" s="38"/>
      <c r="AH5558" s="60"/>
    </row>
    <row r="5559" spans="1:34" ht="15.75" customHeight="1">
      <c r="A5559" s="75" t="s">
        <v>17325</v>
      </c>
      <c r="B5559" s="78" t="s">
        <v>19115</v>
      </c>
      <c r="C5559" s="37" t="s">
        <v>24</v>
      </c>
      <c r="D5559" s="20" t="s">
        <v>19116</v>
      </c>
      <c r="E5559" s="20"/>
      <c r="F5559" s="19" t="s">
        <v>27</v>
      </c>
      <c r="G5559" s="19" t="s">
        <v>28</v>
      </c>
      <c r="H5559" s="37" t="s">
        <v>55</v>
      </c>
      <c r="I5559" s="37" t="s">
        <v>29</v>
      </c>
      <c r="J5559" s="155" t="str">
        <f t="shared" si="14"/>
        <v>TT</v>
      </c>
      <c r="K5559" s="22"/>
      <c r="L5559" s="56">
        <v>45139</v>
      </c>
      <c r="M5559" s="283"/>
      <c r="N5559" s="283"/>
      <c r="P5559" s="40"/>
      <c r="Q5559" s="61"/>
      <c r="R5559" s="61"/>
      <c r="S5559" s="40"/>
      <c r="T5559" s="38"/>
      <c r="U5559" s="38"/>
      <c r="V5559" s="38"/>
      <c r="W5559" s="60"/>
      <c r="AB5559" s="42"/>
      <c r="AC5559" s="35"/>
      <c r="AD5559" s="38"/>
      <c r="AE5559" s="38"/>
      <c r="AF5559" s="38"/>
      <c r="AG5559" s="38"/>
      <c r="AH5559" s="60"/>
    </row>
    <row r="5560" spans="1:34" ht="15.75" customHeight="1">
      <c r="A5560" s="50" t="s">
        <v>56</v>
      </c>
      <c r="B5560" s="78" t="s">
        <v>19117</v>
      </c>
      <c r="C5560" s="37" t="s">
        <v>46</v>
      </c>
      <c r="D5560" s="20" t="s">
        <v>19118</v>
      </c>
      <c r="E5560" s="20" t="s">
        <v>19119</v>
      </c>
      <c r="F5560" s="37" t="s">
        <v>49</v>
      </c>
      <c r="G5560" s="19" t="s">
        <v>50</v>
      </c>
      <c r="H5560" s="37" t="s">
        <v>55</v>
      </c>
      <c r="I5560" s="37" t="s">
        <v>29</v>
      </c>
      <c r="J5560" s="155" t="str">
        <f t="shared" si="14"/>
        <v>TT</v>
      </c>
      <c r="K5560" s="22" t="s">
        <v>19120</v>
      </c>
      <c r="L5560" s="56">
        <v>45139</v>
      </c>
      <c r="M5560" s="283"/>
      <c r="N5560" s="283"/>
      <c r="P5560" s="40"/>
      <c r="Q5560" s="61"/>
      <c r="R5560" s="61"/>
      <c r="S5560" s="40"/>
      <c r="T5560" s="38"/>
      <c r="U5560" s="38"/>
      <c r="V5560" s="38"/>
      <c r="W5560" s="60"/>
      <c r="AB5560" s="42"/>
      <c r="AC5560" s="35"/>
      <c r="AD5560" s="38"/>
      <c r="AE5560" s="38"/>
      <c r="AF5560" s="38"/>
      <c r="AG5560" s="38"/>
      <c r="AH5560" s="60"/>
    </row>
    <row r="5561" spans="1:34" ht="15.75" customHeight="1">
      <c r="A5561" s="17">
        <v>26</v>
      </c>
      <c r="B5561" s="78" t="s">
        <v>19121</v>
      </c>
      <c r="C5561" s="37" t="s">
        <v>1430</v>
      </c>
      <c r="D5561" s="20" t="s">
        <v>19122</v>
      </c>
      <c r="E5561" s="20" t="s">
        <v>19123</v>
      </c>
      <c r="F5561" s="55" t="s">
        <v>1445</v>
      </c>
      <c r="G5561" s="55" t="s">
        <v>1432</v>
      </c>
      <c r="H5561" s="37" t="s">
        <v>55</v>
      </c>
      <c r="I5561" s="37" t="s">
        <v>233</v>
      </c>
      <c r="J5561" s="155" t="str">
        <f t="shared" si="14"/>
        <v>NTT</v>
      </c>
      <c r="K5561" s="22" t="s">
        <v>19124</v>
      </c>
      <c r="L5561" s="56">
        <v>45139</v>
      </c>
      <c r="M5561" s="283"/>
      <c r="N5561" s="283"/>
      <c r="P5561" s="40"/>
      <c r="Q5561" s="61"/>
      <c r="R5561" s="61"/>
      <c r="S5561" s="40"/>
      <c r="T5561" s="38"/>
      <c r="U5561" s="38"/>
      <c r="V5561" s="38"/>
      <c r="W5561" s="60"/>
      <c r="AB5561" s="42"/>
      <c r="AC5561" s="35"/>
      <c r="AD5561" s="38"/>
      <c r="AE5561" s="38"/>
      <c r="AF5561" s="38"/>
      <c r="AG5561" s="38"/>
      <c r="AH5561" s="60"/>
    </row>
    <row r="5562" spans="1:34" ht="15.75" customHeight="1">
      <c r="A5562" s="111" t="s">
        <v>64</v>
      </c>
      <c r="B5562" s="78" t="s">
        <v>19125</v>
      </c>
      <c r="C5562" s="37" t="s">
        <v>24</v>
      </c>
      <c r="D5562" s="20" t="s">
        <v>19126</v>
      </c>
      <c r="E5562" s="20" t="s">
        <v>19127</v>
      </c>
      <c r="F5562" s="19" t="s">
        <v>27</v>
      </c>
      <c r="G5562" s="19" t="s">
        <v>28</v>
      </c>
      <c r="H5562" s="37" t="s">
        <v>55</v>
      </c>
      <c r="I5562" s="37" t="s">
        <v>29</v>
      </c>
      <c r="J5562" s="155" t="str">
        <f t="shared" si="14"/>
        <v>TT</v>
      </c>
      <c r="K5562" s="22" t="s">
        <v>19128</v>
      </c>
      <c r="L5562" s="56">
        <v>45139</v>
      </c>
      <c r="M5562" s="283"/>
      <c r="N5562" s="283"/>
      <c r="P5562" s="40"/>
      <c r="Q5562" s="61"/>
      <c r="R5562" s="61"/>
      <c r="S5562" s="40"/>
      <c r="T5562" s="38"/>
      <c r="U5562" s="38"/>
      <c r="V5562" s="38"/>
      <c r="W5562" s="60"/>
      <c r="AB5562" s="42"/>
      <c r="AC5562" s="35"/>
      <c r="AD5562" s="38"/>
      <c r="AE5562" s="38"/>
      <c r="AF5562" s="38"/>
      <c r="AG5562" s="38"/>
      <c r="AH5562" s="60"/>
    </row>
    <row r="5563" spans="1:34" ht="15.75" customHeight="1">
      <c r="A5563" s="75">
        <v>2.2000000000000002</v>
      </c>
      <c r="B5563" s="78" t="s">
        <v>19129</v>
      </c>
      <c r="C5563" s="37" t="s">
        <v>24</v>
      </c>
      <c r="D5563" s="20" t="s">
        <v>19130</v>
      </c>
      <c r="E5563" s="20" t="s">
        <v>19131</v>
      </c>
      <c r="F5563" s="19" t="s">
        <v>27</v>
      </c>
      <c r="G5563" s="19" t="s">
        <v>28</v>
      </c>
      <c r="H5563" s="37" t="s">
        <v>55</v>
      </c>
      <c r="I5563" s="37" t="s">
        <v>29</v>
      </c>
      <c r="J5563" s="155" t="str">
        <f t="shared" si="14"/>
        <v>TT</v>
      </c>
      <c r="K5563" s="22" t="s">
        <v>19132</v>
      </c>
      <c r="L5563" s="56">
        <v>45139</v>
      </c>
      <c r="M5563" s="283"/>
      <c r="N5563" s="283"/>
      <c r="P5563" s="40"/>
      <c r="Q5563" s="61"/>
      <c r="R5563" s="61"/>
      <c r="S5563" s="40"/>
      <c r="T5563" s="38"/>
      <c r="U5563" s="38"/>
      <c r="V5563" s="38"/>
      <c r="W5563" s="60"/>
      <c r="AB5563" s="42"/>
      <c r="AC5563" s="35"/>
      <c r="AD5563" s="38"/>
      <c r="AE5563" s="38"/>
      <c r="AF5563" s="38"/>
      <c r="AG5563" s="38"/>
      <c r="AH5563" s="60"/>
    </row>
    <row r="5564" spans="1:34" ht="15.75" customHeight="1">
      <c r="A5564" s="111" t="s">
        <v>73</v>
      </c>
      <c r="B5564" s="78" t="s">
        <v>19133</v>
      </c>
      <c r="C5564" s="37" t="s">
        <v>46</v>
      </c>
      <c r="D5564" s="20" t="s">
        <v>19134</v>
      </c>
      <c r="E5564" s="20" t="s">
        <v>19135</v>
      </c>
      <c r="F5564" s="37" t="s">
        <v>49</v>
      </c>
      <c r="G5564" s="19" t="s">
        <v>50</v>
      </c>
      <c r="H5564" s="37" t="s">
        <v>55</v>
      </c>
      <c r="I5564" s="37" t="s">
        <v>29</v>
      </c>
      <c r="J5564" s="155" t="str">
        <f t="shared" si="14"/>
        <v>TT</v>
      </c>
      <c r="K5564" s="22" t="s">
        <v>19136</v>
      </c>
      <c r="L5564" s="56">
        <v>45139</v>
      </c>
      <c r="P5564" s="40"/>
      <c r="Q5564" s="61"/>
      <c r="R5564" s="61"/>
      <c r="S5564" s="40"/>
      <c r="T5564" s="38"/>
      <c r="U5564" s="38"/>
      <c r="V5564" s="38"/>
      <c r="W5564" s="60"/>
      <c r="AB5564" s="42"/>
      <c r="AC5564" s="35"/>
      <c r="AD5564" s="38"/>
      <c r="AE5564" s="38"/>
      <c r="AF5564" s="38"/>
      <c r="AG5564" s="38"/>
      <c r="AH5564" s="60"/>
    </row>
    <row r="5565" spans="1:34" ht="15.75" customHeight="1">
      <c r="A5565" s="75">
        <v>2.7</v>
      </c>
      <c r="B5565" s="78" t="s">
        <v>19137</v>
      </c>
      <c r="C5565" s="37" t="s">
        <v>24</v>
      </c>
      <c r="D5565" s="20" t="s">
        <v>19138</v>
      </c>
      <c r="E5565" s="20" t="s">
        <v>19139</v>
      </c>
      <c r="F5565" s="19" t="s">
        <v>27</v>
      </c>
      <c r="G5565" s="19" t="s">
        <v>28</v>
      </c>
      <c r="H5565" s="37" t="s">
        <v>55</v>
      </c>
      <c r="I5565" s="37" t="s">
        <v>29</v>
      </c>
      <c r="J5565" s="155" t="str">
        <f t="shared" si="14"/>
        <v>TT</v>
      </c>
      <c r="K5565" s="22" t="s">
        <v>19140</v>
      </c>
      <c r="L5565" s="56">
        <v>45139</v>
      </c>
      <c r="P5565" s="40"/>
      <c r="Q5565" s="61"/>
      <c r="R5565" s="61"/>
      <c r="S5565" s="40"/>
      <c r="T5565" s="38"/>
      <c r="U5565" s="38"/>
      <c r="V5565" s="38"/>
      <c r="W5565" s="60"/>
      <c r="AB5565" s="42"/>
      <c r="AC5565" s="35"/>
      <c r="AD5565" s="38"/>
      <c r="AE5565" s="38"/>
      <c r="AF5565" s="38"/>
      <c r="AG5565" s="38"/>
      <c r="AH5565" s="60"/>
    </row>
    <row r="5566" spans="1:34" ht="15.75" customHeight="1">
      <c r="A5566" s="111" t="s">
        <v>82</v>
      </c>
      <c r="B5566" s="78" t="s">
        <v>19141</v>
      </c>
      <c r="C5566" s="37" t="s">
        <v>46</v>
      </c>
      <c r="D5566" s="20" t="s">
        <v>19142</v>
      </c>
      <c r="E5566" s="20" t="s">
        <v>19143</v>
      </c>
      <c r="F5566" s="37" t="s">
        <v>49</v>
      </c>
      <c r="G5566" s="19" t="s">
        <v>50</v>
      </c>
      <c r="H5566" s="37" t="s">
        <v>55</v>
      </c>
      <c r="I5566" s="37" t="s">
        <v>29</v>
      </c>
      <c r="J5566" s="155" t="str">
        <f t="shared" si="14"/>
        <v>TT</v>
      </c>
      <c r="K5566" s="22" t="s">
        <v>19144</v>
      </c>
      <c r="L5566" s="56">
        <v>45139</v>
      </c>
      <c r="P5566" s="40"/>
      <c r="Q5566" s="61"/>
      <c r="R5566" s="61"/>
      <c r="S5566" s="40"/>
      <c r="T5566" s="38"/>
      <c r="U5566" s="38"/>
      <c r="V5566" s="38"/>
      <c r="W5566" s="60"/>
      <c r="AB5566" s="42"/>
      <c r="AC5566" s="35"/>
      <c r="AD5566" s="38"/>
      <c r="AE5566" s="38"/>
      <c r="AF5566" s="38"/>
      <c r="AG5566" s="38"/>
      <c r="AH5566" s="60"/>
    </row>
    <row r="5567" spans="1:34" ht="15.75" customHeight="1">
      <c r="A5567" s="75" t="s">
        <v>19145</v>
      </c>
      <c r="B5567" s="78" t="s">
        <v>19146</v>
      </c>
      <c r="C5567" s="37" t="s">
        <v>46</v>
      </c>
      <c r="D5567" s="20" t="s">
        <v>19147</v>
      </c>
      <c r="E5567" s="20" t="s">
        <v>19148</v>
      </c>
      <c r="F5567" s="37" t="s">
        <v>49</v>
      </c>
      <c r="G5567" s="19" t="s">
        <v>50</v>
      </c>
      <c r="H5567" s="37" t="s">
        <v>55</v>
      </c>
      <c r="I5567" s="37" t="s">
        <v>29</v>
      </c>
      <c r="J5567" s="155" t="str">
        <f t="shared" si="14"/>
        <v>TT</v>
      </c>
      <c r="K5567" s="22" t="s">
        <v>19149</v>
      </c>
      <c r="L5567" s="56">
        <v>45139</v>
      </c>
      <c r="P5567" s="40"/>
      <c r="Q5567" s="61"/>
      <c r="R5567" s="61"/>
      <c r="S5567" s="40"/>
      <c r="T5567" s="38"/>
      <c r="U5567" s="38"/>
      <c r="V5567" s="38"/>
      <c r="W5567" s="60"/>
      <c r="AB5567" s="42"/>
      <c r="AC5567" s="35"/>
      <c r="AD5567" s="38"/>
      <c r="AE5567" s="38"/>
      <c r="AF5567" s="38"/>
      <c r="AG5567" s="38"/>
      <c r="AH5567" s="60"/>
    </row>
    <row r="5568" spans="1:34" ht="15.75" customHeight="1">
      <c r="A5568" s="111" t="s">
        <v>92</v>
      </c>
      <c r="B5568" s="78" t="s">
        <v>19150</v>
      </c>
      <c r="C5568" s="37" t="s">
        <v>46</v>
      </c>
      <c r="D5568" s="20" t="s">
        <v>19151</v>
      </c>
      <c r="E5568" s="20" t="s">
        <v>19152</v>
      </c>
      <c r="F5568" s="37" t="s">
        <v>49</v>
      </c>
      <c r="G5568" s="19" t="s">
        <v>50</v>
      </c>
      <c r="H5568" s="37" t="s">
        <v>55</v>
      </c>
      <c r="I5568" s="37" t="s">
        <v>29</v>
      </c>
      <c r="J5568" s="155" t="str">
        <f t="shared" si="14"/>
        <v>TT</v>
      </c>
      <c r="K5568" s="22" t="s">
        <v>19153</v>
      </c>
      <c r="L5568" s="56">
        <v>45139</v>
      </c>
      <c r="P5568" s="40"/>
      <c r="Q5568" s="61"/>
      <c r="R5568" s="61"/>
      <c r="S5568" s="40"/>
      <c r="T5568" s="38"/>
      <c r="U5568" s="38"/>
      <c r="V5568" s="38"/>
      <c r="W5568" s="60"/>
      <c r="AB5568" s="42"/>
      <c r="AC5568" s="35"/>
      <c r="AD5568" s="38"/>
      <c r="AE5568" s="38"/>
      <c r="AF5568" s="38"/>
      <c r="AG5568" s="38"/>
      <c r="AH5568" s="60"/>
    </row>
    <row r="5569" spans="1:34" ht="15.75" customHeight="1">
      <c r="A5569" s="112">
        <v>298</v>
      </c>
      <c r="B5569" s="78" t="s">
        <v>19154</v>
      </c>
      <c r="C5569" s="37" t="s">
        <v>46</v>
      </c>
      <c r="D5569" s="20" t="s">
        <v>19155</v>
      </c>
      <c r="E5569" s="20" t="s">
        <v>19156</v>
      </c>
      <c r="F5569" s="37" t="s">
        <v>49</v>
      </c>
      <c r="G5569" s="19" t="s">
        <v>50</v>
      </c>
      <c r="H5569" s="37" t="s">
        <v>55</v>
      </c>
      <c r="I5569" s="37" t="s">
        <v>29</v>
      </c>
      <c r="J5569" s="155" t="str">
        <f t="shared" si="14"/>
        <v>TT</v>
      </c>
      <c r="K5569" s="22" t="s">
        <v>19157</v>
      </c>
      <c r="L5569" s="56">
        <v>45139</v>
      </c>
      <c r="P5569" s="40"/>
      <c r="Q5569" s="61"/>
      <c r="R5569" s="61"/>
      <c r="S5569" s="40"/>
      <c r="T5569" s="38"/>
      <c r="U5569" s="38"/>
      <c r="V5569" s="38"/>
      <c r="W5569" s="60"/>
      <c r="AB5569" s="42"/>
      <c r="AC5569" s="35"/>
      <c r="AD5569" s="38"/>
      <c r="AE5569" s="38"/>
      <c r="AF5569" s="38"/>
      <c r="AG5569" s="38"/>
      <c r="AH5569" s="60"/>
    </row>
    <row r="5570" spans="1:34" ht="15.75" customHeight="1">
      <c r="A5570" s="111" t="s">
        <v>100</v>
      </c>
      <c r="B5570" s="78" t="s">
        <v>19158</v>
      </c>
      <c r="C5570" s="37" t="s">
        <v>1470</v>
      </c>
      <c r="D5570" s="20" t="s">
        <v>19159</v>
      </c>
      <c r="E5570" s="20" t="s">
        <v>19160</v>
      </c>
      <c r="F5570" s="19" t="s">
        <v>3286</v>
      </c>
      <c r="G5570" s="19" t="s">
        <v>1461</v>
      </c>
      <c r="H5570" s="37" t="s">
        <v>55</v>
      </c>
      <c r="I5570" s="37" t="s">
        <v>233</v>
      </c>
      <c r="J5570" s="155" t="str">
        <f t="shared" si="14"/>
        <v>NTT</v>
      </c>
      <c r="K5570" s="22" t="s">
        <v>19161</v>
      </c>
      <c r="L5570" s="56">
        <v>45139</v>
      </c>
      <c r="P5570" s="40"/>
      <c r="Q5570" s="61"/>
      <c r="R5570" s="61"/>
      <c r="S5570" s="40"/>
      <c r="T5570" s="38"/>
      <c r="U5570" s="38"/>
      <c r="V5570" s="38"/>
      <c r="W5570" s="60"/>
      <c r="AB5570" s="42"/>
      <c r="AC5570" s="35"/>
      <c r="AD5570" s="38"/>
      <c r="AE5570" s="38"/>
      <c r="AF5570" s="38"/>
      <c r="AG5570" s="38"/>
      <c r="AH5570" s="60"/>
    </row>
    <row r="5571" spans="1:34" ht="15.75" customHeight="1">
      <c r="A5571" s="75">
        <v>150</v>
      </c>
      <c r="B5571" s="78" t="s">
        <v>19162</v>
      </c>
      <c r="C5571" s="37" t="s">
        <v>87</v>
      </c>
      <c r="D5571" s="20" t="s">
        <v>19163</v>
      </c>
      <c r="E5571" s="20" t="s">
        <v>19164</v>
      </c>
      <c r="F5571" s="19" t="s">
        <v>90</v>
      </c>
      <c r="G5571" s="19" t="s">
        <v>91</v>
      </c>
      <c r="H5571" s="37" t="s">
        <v>55</v>
      </c>
      <c r="I5571" s="37" t="s">
        <v>29</v>
      </c>
      <c r="J5571" s="155" t="str">
        <f t="shared" si="14"/>
        <v>TT</v>
      </c>
      <c r="K5571" s="22" t="s">
        <v>19165</v>
      </c>
      <c r="L5571" s="56">
        <v>45139</v>
      </c>
      <c r="P5571" s="40"/>
      <c r="Q5571" s="61"/>
      <c r="R5571" s="61"/>
      <c r="S5571" s="40"/>
      <c r="T5571" s="38"/>
      <c r="U5571" s="38"/>
      <c r="V5571" s="38"/>
      <c r="W5571" s="60"/>
      <c r="AB5571" s="42"/>
      <c r="AC5571" s="35"/>
      <c r="AD5571" s="38"/>
      <c r="AE5571" s="38"/>
      <c r="AF5571" s="38"/>
      <c r="AG5571" s="38"/>
      <c r="AH5571" s="60"/>
    </row>
    <row r="5572" spans="1:34" ht="15.75" customHeight="1">
      <c r="A5572" s="35"/>
      <c r="B5572" s="78" t="s">
        <v>19166</v>
      </c>
      <c r="C5572" s="37" t="s">
        <v>24</v>
      </c>
      <c r="D5572" s="20" t="s">
        <v>19167</v>
      </c>
      <c r="E5572" s="20" t="s">
        <v>19168</v>
      </c>
      <c r="F5572" s="19" t="s">
        <v>27</v>
      </c>
      <c r="G5572" s="19" t="s">
        <v>28</v>
      </c>
      <c r="H5572" s="37" t="s">
        <v>55</v>
      </c>
      <c r="I5572" s="37" t="s">
        <v>29</v>
      </c>
      <c r="J5572" s="155" t="str">
        <f t="shared" si="14"/>
        <v>TT</v>
      </c>
      <c r="K5572" s="22" t="s">
        <v>19169</v>
      </c>
      <c r="L5572" s="56">
        <v>45139</v>
      </c>
      <c r="P5572" s="40"/>
      <c r="Q5572" s="61"/>
      <c r="R5572" s="61"/>
      <c r="S5572" s="40"/>
      <c r="T5572" s="38"/>
      <c r="U5572" s="38"/>
      <c r="V5572" s="38"/>
      <c r="W5572" s="60"/>
      <c r="AB5572" s="42"/>
      <c r="AC5572" s="35"/>
      <c r="AD5572" s="38"/>
      <c r="AE5572" s="38"/>
      <c r="AF5572" s="38"/>
      <c r="AG5572" s="38"/>
      <c r="AH5572" s="60"/>
    </row>
    <row r="5573" spans="1:34" ht="15.75" customHeight="1">
      <c r="A5573" s="35"/>
      <c r="B5573" s="78" t="s">
        <v>19170</v>
      </c>
      <c r="C5573" s="37" t="s">
        <v>87</v>
      </c>
      <c r="D5573" s="20" t="s">
        <v>19171</v>
      </c>
      <c r="E5573" s="20" t="s">
        <v>19172</v>
      </c>
      <c r="F5573" s="19" t="s">
        <v>90</v>
      </c>
      <c r="G5573" s="19" t="s">
        <v>91</v>
      </c>
      <c r="H5573" s="37" t="s">
        <v>55</v>
      </c>
      <c r="I5573" s="37" t="s">
        <v>29</v>
      </c>
      <c r="J5573" s="155" t="str">
        <f t="shared" si="14"/>
        <v>TT</v>
      </c>
      <c r="K5573" s="22" t="s">
        <v>19173</v>
      </c>
      <c r="L5573" s="56">
        <v>45139</v>
      </c>
      <c r="P5573" s="40"/>
      <c r="Q5573" s="61"/>
      <c r="R5573" s="61"/>
      <c r="S5573" s="40"/>
      <c r="T5573" s="38"/>
      <c r="U5573" s="38"/>
      <c r="V5573" s="38"/>
      <c r="W5573" s="60"/>
      <c r="AB5573" s="42"/>
      <c r="AC5573" s="35"/>
      <c r="AD5573" s="38"/>
      <c r="AE5573" s="38"/>
      <c r="AF5573" s="38"/>
      <c r="AG5573" s="38"/>
      <c r="AH5573" s="60"/>
    </row>
    <row r="5574" spans="1:34" ht="15.75" customHeight="1">
      <c r="A5574" s="35"/>
      <c r="B5574" s="78" t="s">
        <v>19174</v>
      </c>
      <c r="C5574" s="37" t="s">
        <v>46</v>
      </c>
      <c r="D5574" s="20" t="s">
        <v>19175</v>
      </c>
      <c r="E5574" s="20"/>
      <c r="F5574" s="37" t="s">
        <v>49</v>
      </c>
      <c r="G5574" s="19" t="s">
        <v>50</v>
      </c>
      <c r="H5574" s="37" t="s">
        <v>55</v>
      </c>
      <c r="I5574" s="37" t="s">
        <v>29</v>
      </c>
      <c r="J5574" s="155" t="str">
        <f t="shared" si="14"/>
        <v>TT</v>
      </c>
      <c r="K5574" s="22"/>
      <c r="L5574" s="56">
        <v>45139</v>
      </c>
      <c r="P5574" s="40"/>
      <c r="Q5574" s="61"/>
      <c r="R5574" s="61"/>
      <c r="S5574" s="40"/>
      <c r="T5574" s="38"/>
      <c r="U5574" s="38"/>
      <c r="V5574" s="38"/>
      <c r="W5574" s="60"/>
      <c r="AB5574" s="42"/>
      <c r="AC5574" s="35"/>
      <c r="AD5574" s="38"/>
      <c r="AE5574" s="38"/>
      <c r="AF5574" s="38"/>
      <c r="AG5574" s="38"/>
      <c r="AH5574" s="60"/>
    </row>
    <row r="5575" spans="1:34" ht="15.75" customHeight="1">
      <c r="A5575" s="35"/>
      <c r="B5575" s="78" t="s">
        <v>19176</v>
      </c>
      <c r="C5575" s="37" t="s">
        <v>46</v>
      </c>
      <c r="D5575" s="20" t="s">
        <v>19177</v>
      </c>
      <c r="E5575" s="20" t="s">
        <v>19178</v>
      </c>
      <c r="F5575" s="37" t="s">
        <v>49</v>
      </c>
      <c r="G5575" s="19" t="s">
        <v>50</v>
      </c>
      <c r="H5575" s="37" t="s">
        <v>55</v>
      </c>
      <c r="I5575" s="37" t="s">
        <v>29</v>
      </c>
      <c r="J5575" s="155" t="str">
        <f t="shared" si="14"/>
        <v>TT</v>
      </c>
      <c r="K5575" s="22" t="s">
        <v>19179</v>
      </c>
      <c r="L5575" s="56">
        <v>45139</v>
      </c>
      <c r="P5575" s="40"/>
      <c r="Q5575" s="61"/>
      <c r="R5575" s="61"/>
      <c r="S5575" s="40"/>
      <c r="T5575" s="38"/>
      <c r="U5575" s="38"/>
      <c r="V5575" s="38"/>
      <c r="W5575" s="60"/>
      <c r="AB5575" s="42"/>
      <c r="AC5575" s="35"/>
      <c r="AD5575" s="38"/>
      <c r="AE5575" s="38"/>
      <c r="AF5575" s="38"/>
      <c r="AG5575" s="38"/>
      <c r="AH5575" s="60"/>
    </row>
    <row r="5576" spans="1:34" ht="15.75" customHeight="1">
      <c r="A5576" s="35"/>
      <c r="B5576" s="78" t="s">
        <v>19180</v>
      </c>
      <c r="C5576" s="37" t="s">
        <v>24</v>
      </c>
      <c r="D5576" s="20" t="s">
        <v>19181</v>
      </c>
      <c r="E5576" s="20" t="s">
        <v>19182</v>
      </c>
      <c r="F5576" s="19" t="s">
        <v>27</v>
      </c>
      <c r="G5576" s="19" t="s">
        <v>28</v>
      </c>
      <c r="H5576" s="37" t="s">
        <v>55</v>
      </c>
      <c r="I5576" s="37" t="s">
        <v>29</v>
      </c>
      <c r="J5576" s="155" t="str">
        <f t="shared" si="14"/>
        <v>TT</v>
      </c>
      <c r="K5576" s="22" t="s">
        <v>19183</v>
      </c>
      <c r="L5576" s="56">
        <v>45139</v>
      </c>
      <c r="P5576" s="40"/>
      <c r="Q5576" s="61"/>
      <c r="R5576" s="61"/>
      <c r="S5576" s="40"/>
      <c r="T5576" s="38"/>
      <c r="U5576" s="38"/>
      <c r="V5576" s="38"/>
      <c r="W5576" s="60"/>
      <c r="AB5576" s="42"/>
      <c r="AC5576" s="35"/>
      <c r="AD5576" s="38"/>
      <c r="AE5576" s="38"/>
      <c r="AF5576" s="38"/>
      <c r="AG5576" s="38"/>
      <c r="AH5576" s="60"/>
    </row>
    <row r="5577" spans="1:34" ht="15.75" customHeight="1">
      <c r="A5577" s="35"/>
      <c r="B5577" s="78" t="s">
        <v>19184</v>
      </c>
      <c r="C5577" s="37" t="s">
        <v>46</v>
      </c>
      <c r="D5577" s="20" t="s">
        <v>19185</v>
      </c>
      <c r="E5577" s="20"/>
      <c r="F5577" s="37" t="s">
        <v>49</v>
      </c>
      <c r="G5577" s="19" t="s">
        <v>50</v>
      </c>
      <c r="H5577" s="37" t="s">
        <v>55</v>
      </c>
      <c r="I5577" s="37" t="s">
        <v>29</v>
      </c>
      <c r="J5577" s="155" t="str">
        <f t="shared" si="14"/>
        <v>TT</v>
      </c>
      <c r="K5577" s="22"/>
      <c r="L5577" s="56">
        <v>45139</v>
      </c>
      <c r="P5577" s="40"/>
      <c r="Q5577" s="61"/>
      <c r="R5577" s="61"/>
      <c r="S5577" s="40"/>
      <c r="T5577" s="38"/>
      <c r="U5577" s="38"/>
      <c r="V5577" s="38"/>
      <c r="W5577" s="60"/>
      <c r="AB5577" s="42"/>
      <c r="AC5577" s="35"/>
      <c r="AD5577" s="38"/>
      <c r="AE5577" s="38"/>
      <c r="AF5577" s="38"/>
      <c r="AG5577" s="38"/>
      <c r="AH5577" s="60"/>
    </row>
    <row r="5578" spans="1:34" ht="15.75" customHeight="1">
      <c r="A5578" s="35"/>
      <c r="B5578" s="78" t="s">
        <v>19186</v>
      </c>
      <c r="C5578" s="37" t="s">
        <v>24</v>
      </c>
      <c r="D5578" s="20" t="s">
        <v>19187</v>
      </c>
      <c r="E5578" s="20" t="s">
        <v>19188</v>
      </c>
      <c r="F5578" s="19" t="s">
        <v>27</v>
      </c>
      <c r="G5578" s="19" t="s">
        <v>28</v>
      </c>
      <c r="H5578" s="37" t="s">
        <v>55</v>
      </c>
      <c r="I5578" s="37" t="s">
        <v>29</v>
      </c>
      <c r="J5578" s="155" t="str">
        <f t="shared" si="14"/>
        <v>TT</v>
      </c>
      <c r="K5578" s="22" t="s">
        <v>19189</v>
      </c>
      <c r="L5578" s="56">
        <v>45139</v>
      </c>
      <c r="P5578" s="40"/>
      <c r="Q5578" s="61"/>
      <c r="R5578" s="61"/>
      <c r="S5578" s="40"/>
      <c r="T5578" s="38"/>
      <c r="U5578" s="38"/>
      <c r="V5578" s="38"/>
      <c r="W5578" s="60"/>
      <c r="AB5578" s="42"/>
      <c r="AC5578" s="35"/>
      <c r="AD5578" s="38"/>
      <c r="AE5578" s="38"/>
      <c r="AF5578" s="38"/>
      <c r="AG5578" s="38"/>
      <c r="AH5578" s="60"/>
    </row>
    <row r="5579" spans="1:34" ht="15.75" customHeight="1">
      <c r="A5579" s="35"/>
      <c r="B5579" s="38"/>
      <c r="C5579" s="37"/>
      <c r="D5579" s="20"/>
      <c r="E5579" s="20"/>
      <c r="F5579" s="37"/>
      <c r="G5579" s="37"/>
      <c r="H5579" s="37"/>
      <c r="I5579" s="37"/>
      <c r="J5579" s="155">
        <f t="shared" si="14"/>
        <v>0</v>
      </c>
      <c r="K5579" s="22"/>
      <c r="L5579" s="39"/>
      <c r="P5579" s="40"/>
      <c r="Q5579" s="61"/>
      <c r="R5579" s="61"/>
      <c r="S5579" s="40"/>
      <c r="T5579" s="38"/>
      <c r="U5579" s="38"/>
      <c r="V5579" s="38"/>
      <c r="W5579" s="60"/>
      <c r="AB5579" s="42"/>
      <c r="AC5579" s="35"/>
      <c r="AD5579" s="38"/>
      <c r="AE5579" s="38"/>
      <c r="AF5579" s="38"/>
      <c r="AG5579" s="38"/>
      <c r="AH5579" s="60"/>
    </row>
    <row r="5580" spans="1:34" ht="15.75" customHeight="1">
      <c r="A5580" s="35" t="s">
        <v>19190</v>
      </c>
      <c r="B5580" s="78" t="s">
        <v>19191</v>
      </c>
      <c r="C5580" s="37" t="s">
        <v>24</v>
      </c>
      <c r="D5580" s="20" t="s">
        <v>19192</v>
      </c>
      <c r="E5580" s="20" t="s">
        <v>19193</v>
      </c>
      <c r="F5580" s="19" t="s">
        <v>27</v>
      </c>
      <c r="G5580" s="19" t="s">
        <v>28</v>
      </c>
      <c r="H5580" s="37" t="s">
        <v>55</v>
      </c>
      <c r="I5580" s="37" t="s">
        <v>29</v>
      </c>
      <c r="J5580" s="155" t="str">
        <f t="shared" si="14"/>
        <v>TT</v>
      </c>
      <c r="K5580" s="22" t="s">
        <v>19194</v>
      </c>
      <c r="L5580" s="56">
        <v>45139</v>
      </c>
      <c r="M5580" s="40"/>
      <c r="P5580" s="40"/>
      <c r="Q5580" s="61"/>
      <c r="R5580" s="61"/>
      <c r="S5580" s="40"/>
      <c r="T5580" s="38"/>
      <c r="U5580" s="38"/>
      <c r="V5580" s="38"/>
      <c r="W5580" s="60"/>
      <c r="AB5580" s="42"/>
      <c r="AC5580" s="35"/>
      <c r="AD5580" s="38"/>
      <c r="AE5580" s="38"/>
      <c r="AF5580" s="38"/>
      <c r="AG5580" s="38"/>
      <c r="AH5580" s="60"/>
    </row>
    <row r="5581" spans="1:34" ht="15.75" customHeight="1">
      <c r="A5581" s="54" t="s">
        <v>2714</v>
      </c>
      <c r="B5581" s="289" t="s">
        <v>19195</v>
      </c>
      <c r="C5581" s="19" t="s">
        <v>121</v>
      </c>
      <c r="D5581" s="20" t="s">
        <v>19196</v>
      </c>
      <c r="E5581" s="20" t="s">
        <v>19197</v>
      </c>
      <c r="F5581" s="19" t="s">
        <v>27</v>
      </c>
      <c r="G5581" s="37" t="s">
        <v>359</v>
      </c>
      <c r="H5581" s="37" t="s">
        <v>55</v>
      </c>
      <c r="I5581" s="37" t="s">
        <v>29</v>
      </c>
      <c r="J5581" s="155" t="str">
        <f t="shared" si="14"/>
        <v>TT</v>
      </c>
      <c r="K5581" s="22" t="s">
        <v>19198</v>
      </c>
      <c r="L5581" s="56">
        <v>45139</v>
      </c>
      <c r="P5581" s="40"/>
      <c r="Q5581" s="61"/>
      <c r="R5581" s="61"/>
      <c r="S5581" s="40"/>
      <c r="T5581" s="38"/>
      <c r="U5581" s="38"/>
      <c r="V5581" s="38"/>
      <c r="W5581" s="60"/>
      <c r="AB5581" s="42"/>
      <c r="AC5581" s="35"/>
      <c r="AD5581" s="38"/>
      <c r="AE5581" s="38"/>
      <c r="AF5581" s="38"/>
      <c r="AG5581" s="38"/>
      <c r="AH5581" s="60"/>
    </row>
    <row r="5582" spans="1:34" ht="15.75" customHeight="1">
      <c r="A5582" s="114" t="s">
        <v>39</v>
      </c>
      <c r="B5582" s="78" t="s">
        <v>19199</v>
      </c>
      <c r="C5582" s="37" t="s">
        <v>46</v>
      </c>
      <c r="D5582" s="20" t="s">
        <v>19200</v>
      </c>
      <c r="E5582" s="20" t="s">
        <v>19201</v>
      </c>
      <c r="F5582" s="37" t="s">
        <v>49</v>
      </c>
      <c r="G5582" s="19" t="s">
        <v>50</v>
      </c>
      <c r="H5582" s="37" t="s">
        <v>55</v>
      </c>
      <c r="I5582" s="37" t="s">
        <v>29</v>
      </c>
      <c r="J5582" s="155" t="str">
        <f t="shared" si="14"/>
        <v>TT</v>
      </c>
      <c r="K5582" s="22" t="s">
        <v>19202</v>
      </c>
      <c r="L5582" s="56">
        <v>45139</v>
      </c>
      <c r="P5582" s="40"/>
      <c r="Q5582" s="61"/>
      <c r="R5582" s="61"/>
      <c r="S5582" s="40"/>
      <c r="T5582" s="38"/>
      <c r="U5582" s="38"/>
      <c r="V5582" s="38"/>
      <c r="W5582" s="60"/>
      <c r="AB5582" s="42"/>
      <c r="AC5582" s="35"/>
      <c r="AD5582" s="38"/>
      <c r="AE5582" s="38"/>
      <c r="AF5582" s="38"/>
      <c r="AG5582" s="38"/>
      <c r="AH5582" s="60"/>
    </row>
    <row r="5583" spans="1:34" ht="15.75" customHeight="1">
      <c r="A5583" s="38" t="s">
        <v>18641</v>
      </c>
      <c r="B5583" s="78" t="s">
        <v>19203</v>
      </c>
      <c r="C5583" s="37" t="s">
        <v>1470</v>
      </c>
      <c r="D5583" s="20" t="s">
        <v>19204</v>
      </c>
      <c r="E5583" s="20" t="s">
        <v>19205</v>
      </c>
      <c r="F5583" s="19" t="s">
        <v>3286</v>
      </c>
      <c r="G5583" s="37" t="s">
        <v>1461</v>
      </c>
      <c r="H5583" s="37" t="s">
        <v>55</v>
      </c>
      <c r="I5583" s="37" t="s">
        <v>233</v>
      </c>
      <c r="J5583" s="155" t="str">
        <f t="shared" si="14"/>
        <v>NTT</v>
      </c>
      <c r="K5583" s="22" t="s">
        <v>19206</v>
      </c>
      <c r="L5583" s="56">
        <v>45139</v>
      </c>
      <c r="P5583" s="40"/>
      <c r="Q5583" s="61"/>
      <c r="R5583" s="61"/>
      <c r="S5583" s="40"/>
      <c r="T5583" s="38"/>
      <c r="U5583" s="38"/>
      <c r="V5583" s="38"/>
      <c r="W5583" s="60"/>
      <c r="AB5583" s="42"/>
      <c r="AC5583" s="35"/>
      <c r="AD5583" s="38"/>
      <c r="AE5583" s="38"/>
      <c r="AF5583" s="38"/>
      <c r="AG5583" s="38"/>
      <c r="AH5583" s="60"/>
    </row>
    <row r="5584" spans="1:34" ht="15.75" customHeight="1">
      <c r="A5584" s="75" t="s">
        <v>18646</v>
      </c>
      <c r="B5584" s="78" t="s">
        <v>19207</v>
      </c>
      <c r="C5584" s="37" t="s">
        <v>24</v>
      </c>
      <c r="D5584" s="20" t="s">
        <v>19208</v>
      </c>
      <c r="E5584" s="20" t="s">
        <v>19209</v>
      </c>
      <c r="F5584" s="19" t="s">
        <v>27</v>
      </c>
      <c r="G5584" s="19" t="s">
        <v>28</v>
      </c>
      <c r="H5584" s="37" t="s">
        <v>55</v>
      </c>
      <c r="I5584" s="37" t="s">
        <v>29</v>
      </c>
      <c r="J5584" s="155" t="str">
        <f t="shared" si="14"/>
        <v>TT</v>
      </c>
      <c r="K5584" s="22" t="s">
        <v>19210</v>
      </c>
      <c r="L5584" s="56">
        <v>45139</v>
      </c>
      <c r="P5584" s="40"/>
      <c r="Q5584" s="61"/>
      <c r="R5584" s="61"/>
      <c r="S5584" s="40"/>
      <c r="T5584" s="38"/>
      <c r="U5584" s="38"/>
      <c r="V5584" s="38"/>
      <c r="W5584" s="60"/>
      <c r="AB5584" s="42"/>
      <c r="AC5584" s="35"/>
      <c r="AD5584" s="38"/>
      <c r="AE5584" s="38"/>
      <c r="AF5584" s="38"/>
      <c r="AG5584" s="38"/>
      <c r="AH5584" s="60"/>
    </row>
    <row r="5585" spans="1:34" ht="15.75" customHeight="1">
      <c r="A5585" s="50" t="s">
        <v>56</v>
      </c>
      <c r="B5585" s="78" t="s">
        <v>19211</v>
      </c>
      <c r="C5585" s="37" t="s">
        <v>46</v>
      </c>
      <c r="D5585" s="20" t="s">
        <v>19212</v>
      </c>
      <c r="E5585" s="20" t="s">
        <v>19213</v>
      </c>
      <c r="F5585" s="37" t="s">
        <v>49</v>
      </c>
      <c r="G5585" s="19" t="s">
        <v>50</v>
      </c>
      <c r="H5585" s="37" t="s">
        <v>55</v>
      </c>
      <c r="I5585" s="37" t="s">
        <v>29</v>
      </c>
      <c r="J5585" s="155" t="str">
        <f t="shared" si="14"/>
        <v>TT</v>
      </c>
      <c r="K5585" s="22" t="s">
        <v>19214</v>
      </c>
      <c r="L5585" s="56">
        <v>45139</v>
      </c>
      <c r="P5585" s="40"/>
      <c r="Q5585" s="61"/>
      <c r="R5585" s="61"/>
      <c r="S5585" s="40"/>
      <c r="T5585" s="38"/>
      <c r="U5585" s="38"/>
      <c r="V5585" s="38"/>
      <c r="W5585" s="60"/>
      <c r="AB5585" s="42"/>
      <c r="AC5585" s="35"/>
      <c r="AD5585" s="38"/>
      <c r="AE5585" s="38"/>
      <c r="AF5585" s="38"/>
      <c r="AG5585" s="38"/>
      <c r="AH5585" s="60"/>
    </row>
    <row r="5586" spans="1:34" ht="15.75" customHeight="1">
      <c r="A5586" s="17" t="s">
        <v>18655</v>
      </c>
      <c r="B5586" s="78" t="s">
        <v>19215</v>
      </c>
      <c r="C5586" s="37" t="s">
        <v>87</v>
      </c>
      <c r="D5586" s="20" t="s">
        <v>19216</v>
      </c>
      <c r="E5586" s="20" t="s">
        <v>19217</v>
      </c>
      <c r="F5586" s="19" t="s">
        <v>90</v>
      </c>
      <c r="G5586" s="19" t="s">
        <v>91</v>
      </c>
      <c r="H5586" s="37" t="s">
        <v>55</v>
      </c>
      <c r="I5586" s="37" t="s">
        <v>29</v>
      </c>
      <c r="J5586" s="155" t="str">
        <f t="shared" si="14"/>
        <v>TT</v>
      </c>
      <c r="K5586" s="22" t="s">
        <v>19218</v>
      </c>
      <c r="L5586" s="56">
        <v>45139</v>
      </c>
      <c r="P5586" s="40"/>
      <c r="Q5586" s="61"/>
      <c r="R5586" s="61"/>
      <c r="S5586" s="40"/>
      <c r="T5586" s="38"/>
      <c r="U5586" s="38"/>
      <c r="V5586" s="38"/>
      <c r="W5586" s="60"/>
      <c r="AB5586" s="42"/>
      <c r="AC5586" s="35"/>
      <c r="AD5586" s="38"/>
      <c r="AE5586" s="38"/>
      <c r="AF5586" s="38"/>
      <c r="AG5586" s="38"/>
      <c r="AH5586" s="60"/>
    </row>
    <row r="5587" spans="1:34" ht="15.75" customHeight="1">
      <c r="A5587" s="111" t="s">
        <v>64</v>
      </c>
      <c r="B5587" s="78" t="s">
        <v>19219</v>
      </c>
      <c r="C5587" s="37" t="s">
        <v>46</v>
      </c>
      <c r="D5587" s="20" t="s">
        <v>19220</v>
      </c>
      <c r="E5587" s="20" t="s">
        <v>19221</v>
      </c>
      <c r="F5587" s="37" t="s">
        <v>49</v>
      </c>
      <c r="G5587" s="19" t="s">
        <v>50</v>
      </c>
      <c r="H5587" s="37" t="s">
        <v>55</v>
      </c>
      <c r="I5587" s="37" t="s">
        <v>29</v>
      </c>
      <c r="J5587" s="155" t="str">
        <f t="shared" si="14"/>
        <v>TT</v>
      </c>
      <c r="K5587" s="22" t="s">
        <v>19222</v>
      </c>
      <c r="L5587" s="56">
        <v>45139</v>
      </c>
      <c r="P5587" s="40"/>
      <c r="Q5587" s="61"/>
      <c r="R5587" s="61"/>
      <c r="S5587" s="40"/>
      <c r="T5587" s="38"/>
      <c r="U5587" s="38"/>
      <c r="V5587" s="38"/>
      <c r="W5587" s="60"/>
      <c r="AB5587" s="42"/>
      <c r="AC5587" s="35"/>
      <c r="AD5587" s="38"/>
      <c r="AE5587" s="38"/>
      <c r="AF5587" s="38"/>
      <c r="AG5587" s="38"/>
      <c r="AH5587" s="60"/>
    </row>
    <row r="5588" spans="1:34" ht="15.75" customHeight="1">
      <c r="A5588" s="75">
        <v>2.2000000000000002</v>
      </c>
      <c r="B5588" s="78" t="s">
        <v>19223</v>
      </c>
      <c r="C5588" s="37" t="s">
        <v>24</v>
      </c>
      <c r="D5588" s="20" t="s">
        <v>19224</v>
      </c>
      <c r="E5588" s="20" t="s">
        <v>19225</v>
      </c>
      <c r="F5588" s="19" t="s">
        <v>27</v>
      </c>
      <c r="G5588" s="19" t="s">
        <v>28</v>
      </c>
      <c r="H5588" s="37" t="s">
        <v>55</v>
      </c>
      <c r="I5588" s="37" t="s">
        <v>29</v>
      </c>
      <c r="J5588" s="155" t="str">
        <f t="shared" si="14"/>
        <v>TT</v>
      </c>
      <c r="K5588" s="22" t="s">
        <v>19226</v>
      </c>
      <c r="L5588" s="56">
        <v>45139</v>
      </c>
      <c r="P5588" s="40"/>
      <c r="Q5588" s="61"/>
      <c r="R5588" s="61"/>
      <c r="S5588" s="40"/>
      <c r="T5588" s="38"/>
      <c r="U5588" s="38"/>
      <c r="V5588" s="38"/>
      <c r="W5588" s="60"/>
      <c r="AB5588" s="42"/>
      <c r="AC5588" s="35"/>
      <c r="AD5588" s="38"/>
      <c r="AE5588" s="38"/>
      <c r="AF5588" s="38"/>
      <c r="AG5588" s="38"/>
      <c r="AH5588" s="60"/>
    </row>
    <row r="5589" spans="1:34" ht="15.75" customHeight="1">
      <c r="A5589" s="111" t="s">
        <v>73</v>
      </c>
      <c r="B5589" s="78" t="s">
        <v>19227</v>
      </c>
      <c r="C5589" s="37" t="s">
        <v>87</v>
      </c>
      <c r="D5589" s="20" t="s">
        <v>19228</v>
      </c>
      <c r="E5589" s="20" t="s">
        <v>19229</v>
      </c>
      <c r="F5589" s="19" t="s">
        <v>90</v>
      </c>
      <c r="G5589" s="19" t="s">
        <v>91</v>
      </c>
      <c r="H5589" s="37" t="s">
        <v>55</v>
      </c>
      <c r="I5589" s="37" t="s">
        <v>29</v>
      </c>
      <c r="J5589" s="155" t="str">
        <f t="shared" si="14"/>
        <v>TT</v>
      </c>
      <c r="K5589" s="22" t="s">
        <v>19229</v>
      </c>
      <c r="L5589" s="56">
        <v>45139</v>
      </c>
      <c r="P5589" s="40"/>
      <c r="Q5589" s="61"/>
      <c r="R5589" s="61"/>
      <c r="S5589" s="40"/>
      <c r="T5589" s="38"/>
      <c r="U5589" s="38"/>
      <c r="V5589" s="38"/>
      <c r="W5589" s="60"/>
      <c r="AB5589" s="42"/>
      <c r="AC5589" s="35"/>
      <c r="AD5589" s="38"/>
      <c r="AE5589" s="38"/>
      <c r="AF5589" s="38"/>
      <c r="AG5589" s="38"/>
      <c r="AH5589" s="60"/>
    </row>
    <row r="5590" spans="1:34" ht="15.75" customHeight="1">
      <c r="A5590" s="75">
        <v>2.5</v>
      </c>
      <c r="B5590" s="78" t="s">
        <v>19230</v>
      </c>
      <c r="C5590" s="19" t="s">
        <v>87</v>
      </c>
      <c r="D5590" s="20" t="s">
        <v>19231</v>
      </c>
      <c r="E5590" s="20" t="s">
        <v>19232</v>
      </c>
      <c r="F5590" s="19" t="s">
        <v>90</v>
      </c>
      <c r="G5590" s="19" t="s">
        <v>91</v>
      </c>
      <c r="H5590" s="37" t="s">
        <v>55</v>
      </c>
      <c r="I5590" s="37" t="s">
        <v>29</v>
      </c>
      <c r="J5590" s="155" t="str">
        <f t="shared" si="14"/>
        <v>TT</v>
      </c>
      <c r="K5590" s="22" t="s">
        <v>19232</v>
      </c>
      <c r="L5590" s="56">
        <v>45139</v>
      </c>
      <c r="P5590" s="40"/>
      <c r="Q5590" s="61"/>
      <c r="R5590" s="61"/>
      <c r="S5590" s="40"/>
      <c r="T5590" s="38"/>
      <c r="U5590" s="38"/>
      <c r="V5590" s="38"/>
      <c r="W5590" s="60"/>
      <c r="AB5590" s="42"/>
      <c r="AC5590" s="35"/>
      <c r="AD5590" s="38"/>
      <c r="AE5590" s="38"/>
      <c r="AF5590" s="38"/>
      <c r="AG5590" s="38"/>
      <c r="AH5590" s="60"/>
    </row>
    <row r="5591" spans="1:34" ht="15.75" customHeight="1">
      <c r="A5591" s="111" t="s">
        <v>82</v>
      </c>
      <c r="B5591" s="78" t="s">
        <v>19233</v>
      </c>
      <c r="C5591" s="37" t="s">
        <v>24</v>
      </c>
      <c r="D5591" s="20" t="s">
        <v>19234</v>
      </c>
      <c r="E5591" s="20"/>
      <c r="F5591" s="19" t="s">
        <v>27</v>
      </c>
      <c r="G5591" s="19" t="s">
        <v>28</v>
      </c>
      <c r="H5591" s="37" t="s">
        <v>55</v>
      </c>
      <c r="I5591" s="37" t="s">
        <v>29</v>
      </c>
      <c r="J5591" s="155" t="str">
        <f t="shared" si="14"/>
        <v>TT</v>
      </c>
      <c r="K5591" s="22"/>
      <c r="L5591" s="56">
        <v>45139</v>
      </c>
      <c r="P5591" s="40"/>
      <c r="Q5591" s="61"/>
      <c r="R5591" s="61"/>
      <c r="S5591" s="40"/>
      <c r="T5591" s="38"/>
      <c r="U5591" s="38"/>
      <c r="V5591" s="38"/>
      <c r="W5591" s="60"/>
      <c r="AB5591" s="42"/>
      <c r="AC5591" s="35"/>
      <c r="AD5591" s="38"/>
      <c r="AE5591" s="38"/>
      <c r="AF5591" s="38"/>
      <c r="AG5591" s="38"/>
      <c r="AH5591" s="60"/>
    </row>
    <row r="5592" spans="1:34" ht="15.75" customHeight="1">
      <c r="A5592" s="75" t="s">
        <v>19235</v>
      </c>
      <c r="B5592" s="78" t="s">
        <v>19236</v>
      </c>
      <c r="C5592" s="37" t="s">
        <v>24</v>
      </c>
      <c r="D5592" s="20" t="s">
        <v>19237</v>
      </c>
      <c r="E5592" s="20" t="s">
        <v>19238</v>
      </c>
      <c r="F5592" s="19" t="s">
        <v>27</v>
      </c>
      <c r="G5592" s="19" t="s">
        <v>28</v>
      </c>
      <c r="H5592" s="37" t="s">
        <v>55</v>
      </c>
      <c r="I5592" s="37" t="s">
        <v>29</v>
      </c>
      <c r="J5592" s="155" t="str">
        <f t="shared" si="14"/>
        <v>TT</v>
      </c>
      <c r="K5592" s="22" t="s">
        <v>19239</v>
      </c>
      <c r="L5592" s="56">
        <v>45139</v>
      </c>
      <c r="P5592" s="40"/>
      <c r="Q5592" s="61"/>
      <c r="R5592" s="61"/>
      <c r="S5592" s="40"/>
      <c r="T5592" s="38"/>
      <c r="U5592" s="38"/>
      <c r="V5592" s="38"/>
      <c r="W5592" s="60"/>
      <c r="AB5592" s="42"/>
      <c r="AC5592" s="35"/>
      <c r="AD5592" s="38"/>
      <c r="AE5592" s="38"/>
      <c r="AF5592" s="38"/>
      <c r="AG5592" s="38"/>
      <c r="AH5592" s="60"/>
    </row>
    <row r="5593" spans="1:34" ht="15.75" customHeight="1">
      <c r="A5593" s="111" t="s">
        <v>92</v>
      </c>
      <c r="B5593" s="78" t="s">
        <v>19240</v>
      </c>
      <c r="C5593" s="19" t="s">
        <v>46</v>
      </c>
      <c r="D5593" s="20" t="s">
        <v>19241</v>
      </c>
      <c r="E5593" s="20" t="s">
        <v>19242</v>
      </c>
      <c r="F5593" s="37" t="s">
        <v>49</v>
      </c>
      <c r="G5593" s="19" t="s">
        <v>50</v>
      </c>
      <c r="H5593" s="37" t="s">
        <v>55</v>
      </c>
      <c r="I5593" s="37" t="s">
        <v>29</v>
      </c>
      <c r="J5593" s="155" t="str">
        <f t="shared" si="14"/>
        <v>TT</v>
      </c>
      <c r="K5593" s="22" t="s">
        <v>19243</v>
      </c>
      <c r="L5593" s="56">
        <v>45139</v>
      </c>
      <c r="P5593" s="40"/>
      <c r="Q5593" s="61"/>
      <c r="R5593" s="61"/>
      <c r="S5593" s="40"/>
      <c r="T5593" s="38"/>
      <c r="U5593" s="38"/>
      <c r="V5593" s="38"/>
      <c r="W5593" s="60"/>
      <c r="AB5593" s="42"/>
      <c r="AC5593" s="35"/>
      <c r="AD5593" s="38"/>
      <c r="AE5593" s="38"/>
      <c r="AF5593" s="38"/>
      <c r="AG5593" s="38"/>
      <c r="AH5593" s="60"/>
    </row>
    <row r="5594" spans="1:34" ht="15.75" customHeight="1">
      <c r="A5594" s="112">
        <v>156</v>
      </c>
      <c r="B5594" s="81" t="s">
        <v>19244</v>
      </c>
      <c r="C5594" s="37" t="s">
        <v>24</v>
      </c>
      <c r="D5594" s="20" t="s">
        <v>19245</v>
      </c>
      <c r="E5594" s="20" t="s">
        <v>19246</v>
      </c>
      <c r="F5594" s="19" t="s">
        <v>27</v>
      </c>
      <c r="G5594" s="19" t="s">
        <v>28</v>
      </c>
      <c r="H5594" s="19" t="s">
        <v>36</v>
      </c>
      <c r="I5594" s="37" t="s">
        <v>29</v>
      </c>
      <c r="J5594" s="155" t="str">
        <f t="shared" si="14"/>
        <v>TT</v>
      </c>
      <c r="K5594" s="22" t="s">
        <v>19247</v>
      </c>
      <c r="L5594" s="56">
        <v>45139</v>
      </c>
      <c r="P5594" s="40"/>
      <c r="Q5594" s="61"/>
      <c r="R5594" s="61"/>
      <c r="S5594" s="40"/>
      <c r="T5594" s="38"/>
      <c r="U5594" s="38"/>
      <c r="V5594" s="38"/>
      <c r="W5594" s="60"/>
      <c r="AB5594" s="42"/>
      <c r="AC5594" s="35"/>
      <c r="AD5594" s="38"/>
      <c r="AE5594" s="38"/>
      <c r="AF5594" s="38"/>
      <c r="AG5594" s="38"/>
      <c r="AH5594" s="60"/>
    </row>
    <row r="5595" spans="1:34" ht="15.75" customHeight="1">
      <c r="A5595" s="111" t="s">
        <v>100</v>
      </c>
      <c r="B5595" s="78" t="s">
        <v>19248</v>
      </c>
      <c r="C5595" s="37" t="s">
        <v>24</v>
      </c>
      <c r="D5595" s="20" t="s">
        <v>19249</v>
      </c>
      <c r="E5595" s="20" t="s">
        <v>19250</v>
      </c>
      <c r="F5595" s="19" t="s">
        <v>27</v>
      </c>
      <c r="G5595" s="19" t="s">
        <v>28</v>
      </c>
      <c r="H5595" s="37" t="s">
        <v>55</v>
      </c>
      <c r="I5595" s="37" t="s">
        <v>29</v>
      </c>
      <c r="J5595" s="155" t="str">
        <f t="shared" si="14"/>
        <v>TT</v>
      </c>
      <c r="K5595" s="22" t="s">
        <v>19250</v>
      </c>
      <c r="L5595" s="56">
        <v>45139</v>
      </c>
      <c r="P5595" s="40"/>
      <c r="Q5595" s="61"/>
      <c r="R5595" s="61"/>
      <c r="S5595" s="40"/>
      <c r="T5595" s="38"/>
      <c r="U5595" s="38"/>
      <c r="V5595" s="38"/>
      <c r="W5595" s="60"/>
      <c r="AB5595" s="42"/>
      <c r="AC5595" s="35"/>
      <c r="AD5595" s="38"/>
      <c r="AE5595" s="38"/>
      <c r="AF5595" s="38"/>
      <c r="AG5595" s="38"/>
      <c r="AH5595" s="60"/>
    </row>
    <row r="5596" spans="1:34" ht="15.75" customHeight="1">
      <c r="A5596" s="75">
        <v>158</v>
      </c>
      <c r="B5596" s="38"/>
      <c r="C5596" s="37"/>
      <c r="D5596" s="20"/>
      <c r="E5596" s="20"/>
      <c r="F5596" s="37"/>
      <c r="G5596" s="37"/>
      <c r="H5596" s="37"/>
      <c r="I5596" s="37"/>
      <c r="J5596" s="155">
        <f t="shared" si="14"/>
        <v>0</v>
      </c>
      <c r="K5596" s="22"/>
      <c r="L5596" s="39"/>
      <c r="P5596" s="40"/>
      <c r="Q5596" s="61"/>
      <c r="R5596" s="61"/>
      <c r="S5596" s="40"/>
      <c r="T5596" s="38"/>
      <c r="U5596" s="38"/>
      <c r="V5596" s="38"/>
      <c r="W5596" s="60"/>
      <c r="AB5596" s="42"/>
      <c r="AC5596" s="35"/>
      <c r="AD5596" s="38"/>
      <c r="AE5596" s="38"/>
      <c r="AF5596" s="38"/>
      <c r="AG5596" s="38"/>
      <c r="AH5596" s="60"/>
    </row>
    <row r="5597" spans="1:34" ht="15.75" customHeight="1">
      <c r="A5597" s="35"/>
      <c r="B5597" s="38"/>
      <c r="C5597" s="37"/>
      <c r="D5597" s="20"/>
      <c r="E5597" s="20"/>
      <c r="F5597" s="37"/>
      <c r="G5597" s="37"/>
      <c r="H5597" s="37"/>
      <c r="I5597" s="37"/>
      <c r="J5597" s="155">
        <f t="shared" si="14"/>
        <v>0</v>
      </c>
      <c r="K5597" s="22"/>
      <c r="L5597" s="39"/>
      <c r="P5597" s="40"/>
      <c r="Q5597" s="61"/>
      <c r="R5597" s="61"/>
      <c r="S5597" s="40"/>
      <c r="T5597" s="38"/>
      <c r="U5597" s="38"/>
      <c r="V5597" s="38"/>
      <c r="W5597" s="60"/>
      <c r="AB5597" s="42"/>
      <c r="AC5597" s="35"/>
      <c r="AD5597" s="38"/>
      <c r="AE5597" s="38"/>
      <c r="AF5597" s="38"/>
      <c r="AG5597" s="38"/>
      <c r="AH5597" s="60"/>
    </row>
    <row r="5598" spans="1:34" ht="15.75" customHeight="1">
      <c r="A5598" s="35" t="s">
        <v>19251</v>
      </c>
      <c r="B5598" s="81" t="s">
        <v>19252</v>
      </c>
      <c r="C5598" s="37" t="s">
        <v>24</v>
      </c>
      <c r="D5598" s="20" t="s">
        <v>19253</v>
      </c>
      <c r="E5598" s="20" t="s">
        <v>19254</v>
      </c>
      <c r="F5598" s="19" t="s">
        <v>27</v>
      </c>
      <c r="G5598" s="19" t="s">
        <v>28</v>
      </c>
      <c r="H5598" s="37" t="s">
        <v>813</v>
      </c>
      <c r="I5598" s="37" t="s">
        <v>29</v>
      </c>
      <c r="J5598" s="155" t="str">
        <f t="shared" si="14"/>
        <v>TT</v>
      </c>
      <c r="K5598" s="22" t="s">
        <v>19255</v>
      </c>
      <c r="L5598" s="56">
        <v>45139</v>
      </c>
      <c r="M5598" s="40"/>
      <c r="P5598" s="40"/>
      <c r="Q5598" s="61"/>
      <c r="R5598" s="61"/>
      <c r="S5598" s="40"/>
      <c r="T5598" s="38"/>
      <c r="U5598" s="38"/>
      <c r="V5598" s="38"/>
      <c r="W5598" s="60"/>
      <c r="AB5598" s="42"/>
      <c r="AC5598" s="35"/>
      <c r="AD5598" s="38"/>
      <c r="AE5598" s="38"/>
      <c r="AF5598" s="38"/>
      <c r="AG5598" s="38"/>
      <c r="AH5598" s="60"/>
    </row>
    <row r="5599" spans="1:34" ht="15.75" customHeight="1">
      <c r="A5599" s="54" t="s">
        <v>2714</v>
      </c>
      <c r="B5599" s="158" t="s">
        <v>19256</v>
      </c>
      <c r="C5599" s="37" t="s">
        <v>24</v>
      </c>
      <c r="D5599" s="20" t="s">
        <v>19257</v>
      </c>
      <c r="E5599" s="20" t="s">
        <v>19258</v>
      </c>
      <c r="F5599" s="19" t="s">
        <v>27</v>
      </c>
      <c r="G5599" s="19" t="s">
        <v>28</v>
      </c>
      <c r="H5599" s="37" t="s">
        <v>55</v>
      </c>
      <c r="I5599" s="37" t="s">
        <v>29</v>
      </c>
      <c r="J5599" s="155" t="str">
        <f t="shared" si="14"/>
        <v>TT</v>
      </c>
      <c r="K5599" s="22" t="s">
        <v>19259</v>
      </c>
      <c r="L5599" s="56">
        <v>45139</v>
      </c>
      <c r="P5599" s="40"/>
      <c r="Q5599" s="61"/>
      <c r="R5599" s="61"/>
      <c r="S5599" s="40"/>
      <c r="T5599" s="38"/>
      <c r="U5599" s="38"/>
      <c r="V5599" s="38"/>
      <c r="W5599" s="60"/>
      <c r="AB5599" s="42"/>
      <c r="AC5599" s="35"/>
      <c r="AD5599" s="38"/>
      <c r="AE5599" s="38"/>
      <c r="AF5599" s="38"/>
      <c r="AG5599" s="38"/>
      <c r="AH5599" s="60"/>
    </row>
    <row r="5600" spans="1:34" ht="15.75" customHeight="1">
      <c r="A5600" s="114" t="s">
        <v>39</v>
      </c>
      <c r="B5600" s="158" t="s">
        <v>19260</v>
      </c>
      <c r="C5600" s="37" t="s">
        <v>87</v>
      </c>
      <c r="D5600" s="20" t="s">
        <v>19261</v>
      </c>
      <c r="E5600" s="20" t="s">
        <v>19262</v>
      </c>
      <c r="F5600" s="19" t="s">
        <v>90</v>
      </c>
      <c r="G5600" s="19" t="s">
        <v>91</v>
      </c>
      <c r="H5600" s="37" t="s">
        <v>55</v>
      </c>
      <c r="I5600" s="37" t="s">
        <v>29</v>
      </c>
      <c r="J5600" s="155" t="str">
        <f t="shared" si="14"/>
        <v>TT</v>
      </c>
      <c r="K5600" s="22" t="s">
        <v>19263</v>
      </c>
      <c r="L5600" s="56">
        <v>45139</v>
      </c>
      <c r="P5600" s="40"/>
      <c r="Q5600" s="61"/>
      <c r="R5600" s="61"/>
      <c r="S5600" s="40"/>
      <c r="T5600" s="38"/>
      <c r="U5600" s="38"/>
      <c r="V5600" s="38"/>
      <c r="W5600" s="60"/>
      <c r="AB5600" s="42"/>
      <c r="AC5600" s="35"/>
      <c r="AD5600" s="38"/>
      <c r="AE5600" s="38"/>
      <c r="AF5600" s="38"/>
      <c r="AG5600" s="38"/>
      <c r="AH5600" s="60"/>
    </row>
    <row r="5601" spans="1:34" ht="15.75" customHeight="1">
      <c r="A5601" s="38" t="s">
        <v>18641</v>
      </c>
      <c r="B5601" s="158" t="s">
        <v>19264</v>
      </c>
      <c r="C5601" s="37" t="s">
        <v>87</v>
      </c>
      <c r="D5601" s="20" t="s">
        <v>19265</v>
      </c>
      <c r="E5601" s="20" t="s">
        <v>19266</v>
      </c>
      <c r="F5601" s="19" t="s">
        <v>90</v>
      </c>
      <c r="G5601" s="19" t="s">
        <v>91</v>
      </c>
      <c r="H5601" s="37" t="s">
        <v>55</v>
      </c>
      <c r="I5601" s="37" t="s">
        <v>29</v>
      </c>
      <c r="J5601" s="155" t="str">
        <f t="shared" si="14"/>
        <v>TT</v>
      </c>
      <c r="K5601" s="22" t="s">
        <v>19267</v>
      </c>
      <c r="L5601" s="56">
        <v>45139</v>
      </c>
      <c r="P5601" s="40"/>
      <c r="Q5601" s="61"/>
      <c r="R5601" s="61"/>
      <c r="S5601" s="40"/>
      <c r="T5601" s="38"/>
      <c r="U5601" s="38"/>
      <c r="V5601" s="38"/>
      <c r="W5601" s="60"/>
      <c r="AB5601" s="42"/>
      <c r="AC5601" s="35"/>
      <c r="AD5601" s="38"/>
      <c r="AE5601" s="38"/>
      <c r="AF5601" s="38"/>
      <c r="AG5601" s="38"/>
      <c r="AH5601" s="60"/>
    </row>
    <row r="5602" spans="1:34" ht="15.75" customHeight="1">
      <c r="A5602" s="75" t="s">
        <v>19268</v>
      </c>
      <c r="B5602" s="78" t="s">
        <v>19269</v>
      </c>
      <c r="C5602" s="37" t="s">
        <v>46</v>
      </c>
      <c r="D5602" s="20" t="s">
        <v>19270</v>
      </c>
      <c r="E5602" s="20" t="s">
        <v>19271</v>
      </c>
      <c r="F5602" s="37" t="s">
        <v>49</v>
      </c>
      <c r="G5602" s="19" t="s">
        <v>50</v>
      </c>
      <c r="H5602" s="37" t="s">
        <v>55</v>
      </c>
      <c r="I5602" s="37" t="s">
        <v>29</v>
      </c>
      <c r="J5602" s="155" t="str">
        <f t="shared" si="14"/>
        <v>TT</v>
      </c>
      <c r="K5602" s="22" t="s">
        <v>19272</v>
      </c>
      <c r="L5602" s="56">
        <v>45139</v>
      </c>
      <c r="P5602" s="40"/>
      <c r="Q5602" s="61"/>
      <c r="R5602" s="61"/>
      <c r="S5602" s="40"/>
      <c r="T5602" s="38"/>
      <c r="U5602" s="38"/>
      <c r="V5602" s="38"/>
      <c r="W5602" s="60"/>
      <c r="AB5602" s="42"/>
      <c r="AC5602" s="35"/>
      <c r="AD5602" s="38"/>
      <c r="AE5602" s="38"/>
      <c r="AF5602" s="38"/>
      <c r="AG5602" s="38"/>
      <c r="AH5602" s="60"/>
    </row>
    <row r="5603" spans="1:34" ht="15.75" customHeight="1">
      <c r="A5603" s="50" t="s">
        <v>56</v>
      </c>
      <c r="B5603" s="78" t="s">
        <v>19273</v>
      </c>
      <c r="C5603" s="37" t="s">
        <v>87</v>
      </c>
      <c r="D5603" s="20" t="s">
        <v>19274</v>
      </c>
      <c r="E5603" s="20" t="s">
        <v>19275</v>
      </c>
      <c r="F5603" s="19" t="s">
        <v>90</v>
      </c>
      <c r="G5603" s="19" t="s">
        <v>91</v>
      </c>
      <c r="H5603" s="37" t="s">
        <v>55</v>
      </c>
      <c r="I5603" s="37" t="s">
        <v>29</v>
      </c>
      <c r="J5603" s="155" t="str">
        <f t="shared" si="14"/>
        <v>TT</v>
      </c>
      <c r="K5603" s="22" t="s">
        <v>19276</v>
      </c>
      <c r="L5603" s="56">
        <v>45139</v>
      </c>
      <c r="P5603" s="40"/>
      <c r="Q5603" s="61"/>
      <c r="R5603" s="61"/>
      <c r="S5603" s="40"/>
      <c r="T5603" s="38"/>
      <c r="U5603" s="38"/>
      <c r="V5603" s="38"/>
      <c r="W5603" s="60"/>
      <c r="AB5603" s="42"/>
      <c r="AC5603" s="35"/>
      <c r="AD5603" s="38"/>
      <c r="AE5603" s="38"/>
      <c r="AF5603" s="38"/>
      <c r="AG5603" s="38"/>
      <c r="AH5603" s="60"/>
    </row>
    <row r="5604" spans="1:34" ht="15.75" customHeight="1">
      <c r="A5604" s="17">
        <v>30</v>
      </c>
      <c r="B5604" s="78" t="s">
        <v>19277</v>
      </c>
      <c r="C5604" s="37" t="s">
        <v>87</v>
      </c>
      <c r="D5604" s="20" t="s">
        <v>19278</v>
      </c>
      <c r="E5604" s="20" t="s">
        <v>19279</v>
      </c>
      <c r="F5604" s="19" t="s">
        <v>90</v>
      </c>
      <c r="G5604" s="19" t="s">
        <v>91</v>
      </c>
      <c r="H5604" s="37" t="s">
        <v>55</v>
      </c>
      <c r="I5604" s="37" t="s">
        <v>29</v>
      </c>
      <c r="J5604" s="155" t="str">
        <f t="shared" si="14"/>
        <v>TT</v>
      </c>
      <c r="K5604" s="22" t="s">
        <v>19280</v>
      </c>
      <c r="L5604" s="56">
        <v>45139</v>
      </c>
      <c r="P5604" s="40"/>
      <c r="Q5604" s="61"/>
      <c r="R5604" s="61"/>
      <c r="S5604" s="40"/>
      <c r="T5604" s="38"/>
      <c r="U5604" s="38"/>
      <c r="V5604" s="38"/>
      <c r="W5604" s="60"/>
      <c r="AB5604" s="42"/>
      <c r="AC5604" s="35"/>
      <c r="AD5604" s="38"/>
      <c r="AE5604" s="38"/>
      <c r="AF5604" s="38"/>
      <c r="AG5604" s="38"/>
      <c r="AH5604" s="60"/>
    </row>
    <row r="5605" spans="1:34" ht="15.75" customHeight="1">
      <c r="A5605" s="111" t="s">
        <v>64</v>
      </c>
      <c r="B5605" s="78" t="s">
        <v>19281</v>
      </c>
      <c r="C5605" s="37" t="s">
        <v>1470</v>
      </c>
      <c r="D5605" s="20" t="s">
        <v>19282</v>
      </c>
      <c r="E5605" s="20" t="s">
        <v>19283</v>
      </c>
      <c r="F5605" s="19" t="s">
        <v>3286</v>
      </c>
      <c r="G5605" s="19" t="s">
        <v>1461</v>
      </c>
      <c r="H5605" s="37" t="s">
        <v>55</v>
      </c>
      <c r="I5605" s="37" t="s">
        <v>233</v>
      </c>
      <c r="J5605" s="155" t="str">
        <f t="shared" si="14"/>
        <v>NTT</v>
      </c>
      <c r="K5605" s="22" t="s">
        <v>19284</v>
      </c>
      <c r="L5605" s="56">
        <v>45139</v>
      </c>
      <c r="P5605" s="40"/>
      <c r="Q5605" s="61"/>
      <c r="R5605" s="61"/>
      <c r="S5605" s="40"/>
      <c r="T5605" s="38"/>
      <c r="U5605" s="38"/>
      <c r="V5605" s="38"/>
      <c r="W5605" s="60"/>
      <c r="AB5605" s="42"/>
      <c r="AC5605" s="35"/>
      <c r="AD5605" s="38"/>
      <c r="AE5605" s="38"/>
      <c r="AF5605" s="38"/>
      <c r="AG5605" s="38"/>
      <c r="AH5605" s="60"/>
    </row>
    <row r="5606" spans="1:34" ht="15.75" customHeight="1">
      <c r="A5606" s="75">
        <v>2.2000000000000002</v>
      </c>
      <c r="B5606" s="78" t="s">
        <v>19285</v>
      </c>
      <c r="C5606" s="37" t="s">
        <v>46</v>
      </c>
      <c r="D5606" s="20" t="s">
        <v>19286</v>
      </c>
      <c r="E5606" s="20" t="s">
        <v>19287</v>
      </c>
      <c r="F5606" s="37" t="s">
        <v>49</v>
      </c>
      <c r="G5606" s="19" t="s">
        <v>50</v>
      </c>
      <c r="H5606" s="37" t="s">
        <v>55</v>
      </c>
      <c r="I5606" s="37" t="s">
        <v>29</v>
      </c>
      <c r="J5606" s="155" t="str">
        <f t="shared" si="14"/>
        <v>TT</v>
      </c>
      <c r="K5606" s="22" t="s">
        <v>19288</v>
      </c>
      <c r="L5606" s="56">
        <v>45139</v>
      </c>
      <c r="P5606" s="40"/>
      <c r="Q5606" s="61"/>
      <c r="R5606" s="61"/>
      <c r="S5606" s="40"/>
      <c r="T5606" s="38"/>
      <c r="U5606" s="38"/>
      <c r="V5606" s="38"/>
      <c r="W5606" s="60"/>
      <c r="AB5606" s="42"/>
      <c r="AC5606" s="35"/>
      <c r="AD5606" s="38"/>
      <c r="AE5606" s="38"/>
      <c r="AF5606" s="38"/>
      <c r="AG5606" s="38"/>
      <c r="AH5606" s="60"/>
    </row>
    <row r="5607" spans="1:34" ht="15.75" customHeight="1">
      <c r="A5607" s="111" t="s">
        <v>73</v>
      </c>
      <c r="B5607" s="78" t="s">
        <v>19289</v>
      </c>
      <c r="C5607" s="37" t="s">
        <v>46</v>
      </c>
      <c r="D5607" s="20" t="s">
        <v>19290</v>
      </c>
      <c r="E5607" s="20" t="s">
        <v>19291</v>
      </c>
      <c r="F5607" s="37" t="s">
        <v>49</v>
      </c>
      <c r="G5607" s="19" t="s">
        <v>50</v>
      </c>
      <c r="H5607" s="37" t="s">
        <v>55</v>
      </c>
      <c r="I5607" s="37" t="s">
        <v>29</v>
      </c>
      <c r="J5607" s="155" t="str">
        <f t="shared" si="14"/>
        <v>TT</v>
      </c>
      <c r="K5607" s="22" t="s">
        <v>19292</v>
      </c>
      <c r="L5607" s="56">
        <v>45139</v>
      </c>
      <c r="P5607" s="40"/>
      <c r="Q5607" s="61"/>
      <c r="R5607" s="61"/>
      <c r="S5607" s="40"/>
      <c r="T5607" s="38"/>
      <c r="U5607" s="38"/>
      <c r="V5607" s="38"/>
      <c r="W5607" s="60"/>
      <c r="AB5607" s="42"/>
      <c r="AC5607" s="35"/>
      <c r="AD5607" s="38"/>
      <c r="AE5607" s="38"/>
      <c r="AF5607" s="38"/>
      <c r="AG5607" s="38"/>
      <c r="AH5607" s="60"/>
    </row>
    <row r="5608" spans="1:34" ht="15.75" customHeight="1">
      <c r="A5608" s="75">
        <v>2.5</v>
      </c>
      <c r="B5608" s="38" t="s">
        <v>19293</v>
      </c>
      <c r="C5608" s="37" t="s">
        <v>1430</v>
      </c>
      <c r="D5608" s="20" t="s">
        <v>19294</v>
      </c>
      <c r="E5608" s="20"/>
      <c r="F5608" s="55" t="s">
        <v>1445</v>
      </c>
      <c r="G5608" s="55" t="s">
        <v>1432</v>
      </c>
      <c r="H5608" s="37" t="s">
        <v>55</v>
      </c>
      <c r="I5608" s="37" t="s">
        <v>233</v>
      </c>
      <c r="J5608" s="155" t="str">
        <f t="shared" si="14"/>
        <v>NTT</v>
      </c>
      <c r="K5608" s="22"/>
      <c r="L5608" s="56">
        <v>45139</v>
      </c>
      <c r="P5608" s="40"/>
      <c r="Q5608" s="61"/>
      <c r="R5608" s="61"/>
      <c r="S5608" s="40"/>
      <c r="T5608" s="38"/>
      <c r="U5608" s="38"/>
      <c r="V5608" s="38"/>
      <c r="W5608" s="60"/>
      <c r="AB5608" s="42"/>
      <c r="AC5608" s="35"/>
      <c r="AD5608" s="38"/>
      <c r="AE5608" s="38"/>
      <c r="AF5608" s="38"/>
      <c r="AG5608" s="38"/>
      <c r="AH5608" s="60"/>
    </row>
    <row r="5609" spans="1:34" ht="15.75" customHeight="1">
      <c r="A5609" s="111" t="s">
        <v>82</v>
      </c>
      <c r="B5609" s="38"/>
      <c r="C5609" s="37"/>
      <c r="D5609" s="20"/>
      <c r="E5609" s="20"/>
      <c r="F5609" s="37"/>
      <c r="G5609" s="37"/>
      <c r="H5609" s="37"/>
      <c r="I5609" s="37"/>
      <c r="J5609" s="155">
        <f t="shared" si="14"/>
        <v>0</v>
      </c>
      <c r="K5609" s="22"/>
      <c r="L5609" s="56"/>
      <c r="P5609" s="40"/>
      <c r="Q5609" s="61"/>
      <c r="R5609" s="61"/>
      <c r="S5609" s="40"/>
      <c r="T5609" s="38"/>
      <c r="U5609" s="38"/>
      <c r="V5609" s="38"/>
      <c r="W5609" s="60"/>
      <c r="AB5609" s="42"/>
      <c r="AC5609" s="35"/>
      <c r="AD5609" s="38"/>
      <c r="AE5609" s="38"/>
      <c r="AF5609" s="38"/>
      <c r="AG5609" s="38"/>
      <c r="AH5609" s="60"/>
    </row>
    <row r="5610" spans="1:34" ht="15.75" customHeight="1">
      <c r="A5610" s="75" t="s">
        <v>19295</v>
      </c>
      <c r="B5610" s="38"/>
      <c r="C5610" s="37"/>
      <c r="D5610" s="20"/>
      <c r="E5610" s="20"/>
      <c r="F5610" s="37"/>
      <c r="G5610" s="37"/>
      <c r="H5610" s="37"/>
      <c r="I5610" s="37"/>
      <c r="J5610" s="155">
        <f t="shared" si="14"/>
        <v>0</v>
      </c>
      <c r="K5610" s="22"/>
      <c r="L5610" s="56"/>
      <c r="P5610" s="40"/>
      <c r="Q5610" s="61"/>
      <c r="R5610" s="61"/>
      <c r="S5610" s="40"/>
      <c r="T5610" s="38"/>
      <c r="U5610" s="38"/>
      <c r="V5610" s="38"/>
      <c r="W5610" s="60"/>
      <c r="AB5610" s="42"/>
      <c r="AC5610" s="35"/>
      <c r="AD5610" s="38"/>
      <c r="AE5610" s="38"/>
      <c r="AF5610" s="38"/>
      <c r="AG5610" s="38"/>
      <c r="AH5610" s="60"/>
    </row>
    <row r="5611" spans="1:34" ht="15.75" customHeight="1">
      <c r="A5611" s="111" t="s">
        <v>92</v>
      </c>
      <c r="B5611" s="38"/>
      <c r="C5611" s="37"/>
      <c r="D5611" s="20"/>
      <c r="E5611" s="20"/>
      <c r="F5611" s="37"/>
      <c r="G5611" s="37"/>
      <c r="H5611" s="37"/>
      <c r="I5611" s="37"/>
      <c r="J5611" s="155">
        <f t="shared" si="14"/>
        <v>0</v>
      </c>
      <c r="K5611" s="22"/>
      <c r="L5611" s="56"/>
      <c r="P5611" s="40"/>
      <c r="Q5611" s="61"/>
      <c r="R5611" s="61"/>
      <c r="S5611" s="40"/>
      <c r="T5611" s="38"/>
      <c r="U5611" s="38"/>
      <c r="V5611" s="38"/>
      <c r="W5611" s="60"/>
      <c r="AB5611" s="42"/>
      <c r="AC5611" s="35"/>
      <c r="AD5611" s="38"/>
      <c r="AE5611" s="38"/>
      <c r="AF5611" s="38"/>
      <c r="AG5611" s="38"/>
      <c r="AH5611" s="60"/>
    </row>
    <row r="5612" spans="1:34" ht="15.75" customHeight="1">
      <c r="A5612" s="112">
        <v>110</v>
      </c>
      <c r="B5612" s="38"/>
      <c r="C5612" s="37"/>
      <c r="D5612" s="20"/>
      <c r="E5612" s="20"/>
      <c r="F5612" s="37"/>
      <c r="G5612" s="37"/>
      <c r="H5612" s="37"/>
      <c r="I5612" s="37"/>
      <c r="J5612" s="155">
        <f t="shared" si="14"/>
        <v>0</v>
      </c>
      <c r="K5612" s="22"/>
      <c r="L5612" s="56"/>
      <c r="P5612" s="40"/>
      <c r="Q5612" s="61"/>
      <c r="R5612" s="61"/>
      <c r="S5612" s="40"/>
      <c r="T5612" s="38"/>
      <c r="U5612" s="38"/>
      <c r="V5612" s="38"/>
      <c r="W5612" s="60"/>
      <c r="AB5612" s="42"/>
      <c r="AC5612" s="35"/>
      <c r="AD5612" s="38"/>
      <c r="AE5612" s="38"/>
      <c r="AF5612" s="38"/>
      <c r="AG5612" s="38"/>
      <c r="AH5612" s="60"/>
    </row>
    <row r="5613" spans="1:34" ht="15.75" customHeight="1">
      <c r="A5613" s="111" t="s">
        <v>100</v>
      </c>
      <c r="B5613" s="38"/>
      <c r="C5613" s="37"/>
      <c r="D5613" s="20"/>
      <c r="E5613" s="20"/>
      <c r="F5613" s="37"/>
      <c r="G5613" s="37"/>
      <c r="H5613" s="37"/>
      <c r="I5613" s="37"/>
      <c r="J5613" s="155">
        <f t="shared" si="14"/>
        <v>0</v>
      </c>
      <c r="K5613" s="22"/>
      <c r="L5613" s="56"/>
      <c r="P5613" s="40"/>
      <c r="Q5613" s="61"/>
      <c r="R5613" s="61"/>
      <c r="S5613" s="40"/>
      <c r="T5613" s="38"/>
      <c r="U5613" s="38"/>
      <c r="V5613" s="38"/>
      <c r="W5613" s="60"/>
      <c r="AB5613" s="42"/>
      <c r="AC5613" s="35"/>
      <c r="AD5613" s="38"/>
      <c r="AE5613" s="38"/>
      <c r="AF5613" s="38"/>
      <c r="AG5613" s="38"/>
      <c r="AH5613" s="60"/>
    </row>
    <row r="5614" spans="1:34" ht="15.75" customHeight="1">
      <c r="A5614" s="75">
        <v>159</v>
      </c>
      <c r="B5614" s="38"/>
      <c r="C5614" s="37"/>
      <c r="D5614" s="20"/>
      <c r="E5614" s="20"/>
      <c r="F5614" s="37"/>
      <c r="G5614" s="37"/>
      <c r="H5614" s="37"/>
      <c r="I5614" s="37"/>
      <c r="J5614" s="155">
        <f t="shared" si="14"/>
        <v>0</v>
      </c>
      <c r="K5614" s="22"/>
      <c r="L5614" s="56"/>
      <c r="P5614" s="40"/>
      <c r="Q5614" s="61"/>
      <c r="R5614" s="61"/>
      <c r="S5614" s="40"/>
      <c r="T5614" s="38"/>
      <c r="U5614" s="38"/>
      <c r="V5614" s="38"/>
      <c r="W5614" s="60"/>
      <c r="AB5614" s="42"/>
      <c r="AC5614" s="35"/>
      <c r="AD5614" s="38"/>
      <c r="AE5614" s="38"/>
      <c r="AF5614" s="38"/>
      <c r="AG5614" s="38"/>
      <c r="AH5614" s="60"/>
    </row>
    <row r="5615" spans="1:34" ht="15.75" customHeight="1">
      <c r="A5615" s="35"/>
      <c r="B5615" s="38"/>
      <c r="C5615" s="37"/>
      <c r="D5615" s="20"/>
      <c r="E5615" s="20"/>
      <c r="F5615" s="37"/>
      <c r="G5615" s="37"/>
      <c r="H5615" s="37"/>
      <c r="I5615" s="37"/>
      <c r="J5615" s="155">
        <f t="shared" si="14"/>
        <v>0</v>
      </c>
      <c r="K5615" s="22"/>
      <c r="L5615" s="56"/>
      <c r="P5615" s="40"/>
      <c r="Q5615" s="61"/>
      <c r="R5615" s="61"/>
      <c r="S5615" s="40"/>
      <c r="T5615" s="38"/>
      <c r="U5615" s="38"/>
      <c r="V5615" s="38"/>
      <c r="W5615" s="60"/>
      <c r="AB5615" s="42"/>
      <c r="AC5615" s="35"/>
      <c r="AD5615" s="38"/>
      <c r="AE5615" s="38"/>
      <c r="AF5615" s="38"/>
      <c r="AG5615" s="38"/>
      <c r="AH5615" s="60"/>
    </row>
    <row r="5616" spans="1:34" ht="15.75" customHeight="1">
      <c r="A5616" s="35" t="s">
        <v>19296</v>
      </c>
      <c r="B5616" s="81" t="s">
        <v>19297</v>
      </c>
      <c r="C5616" s="37" t="s">
        <v>24</v>
      </c>
      <c r="D5616" s="20" t="s">
        <v>19298</v>
      </c>
      <c r="E5616" s="20" t="s">
        <v>19299</v>
      </c>
      <c r="F5616" s="19" t="s">
        <v>27</v>
      </c>
      <c r="G5616" s="19" t="s">
        <v>28</v>
      </c>
      <c r="H5616" s="37" t="s">
        <v>55</v>
      </c>
      <c r="I5616" s="37" t="s">
        <v>29</v>
      </c>
      <c r="J5616" s="155" t="str">
        <f t="shared" si="14"/>
        <v>TT</v>
      </c>
      <c r="K5616" s="22" t="s">
        <v>19300</v>
      </c>
      <c r="L5616" s="56">
        <v>45139</v>
      </c>
      <c r="M5616" s="40"/>
      <c r="P5616" s="40"/>
      <c r="Q5616" s="61"/>
      <c r="R5616" s="61"/>
      <c r="S5616" s="40"/>
      <c r="T5616" s="38"/>
      <c r="U5616" s="38"/>
      <c r="V5616" s="38"/>
      <c r="W5616" s="60"/>
      <c r="AB5616" s="42"/>
      <c r="AC5616" s="35"/>
      <c r="AD5616" s="38"/>
      <c r="AE5616" s="38"/>
      <c r="AF5616" s="38"/>
      <c r="AG5616" s="38"/>
      <c r="AH5616" s="60"/>
    </row>
    <row r="5617" spans="1:34" ht="15.75" customHeight="1">
      <c r="A5617" s="54" t="s">
        <v>2714</v>
      </c>
      <c r="B5617" s="158" t="s">
        <v>19301</v>
      </c>
      <c r="C5617" s="37" t="s">
        <v>24</v>
      </c>
      <c r="D5617" s="20" t="s">
        <v>19302</v>
      </c>
      <c r="E5617" s="20" t="s">
        <v>19303</v>
      </c>
      <c r="F5617" s="19" t="s">
        <v>27</v>
      </c>
      <c r="G5617" s="19" t="s">
        <v>28</v>
      </c>
      <c r="H5617" s="37" t="s">
        <v>55</v>
      </c>
      <c r="I5617" s="37" t="s">
        <v>29</v>
      </c>
      <c r="J5617" s="155" t="str">
        <f t="shared" si="14"/>
        <v>TT</v>
      </c>
      <c r="K5617" s="22" t="s">
        <v>19303</v>
      </c>
      <c r="L5617" s="56">
        <v>45139</v>
      </c>
      <c r="P5617" s="40"/>
      <c r="Q5617" s="61"/>
      <c r="R5617" s="61"/>
      <c r="S5617" s="40"/>
      <c r="T5617" s="38"/>
      <c r="U5617" s="38"/>
      <c r="V5617" s="38"/>
      <c r="W5617" s="60"/>
      <c r="AB5617" s="42"/>
      <c r="AC5617" s="35"/>
      <c r="AD5617" s="38"/>
      <c r="AE5617" s="38"/>
      <c r="AF5617" s="38"/>
      <c r="AG5617" s="38"/>
      <c r="AH5617" s="60"/>
    </row>
    <row r="5618" spans="1:34" ht="15.75" customHeight="1">
      <c r="A5618" s="114" t="s">
        <v>39</v>
      </c>
      <c r="B5618" s="158" t="s">
        <v>19304</v>
      </c>
      <c r="C5618" s="37" t="s">
        <v>46</v>
      </c>
      <c r="D5618" s="20" t="s">
        <v>19305</v>
      </c>
      <c r="E5618" s="20"/>
      <c r="F5618" s="37" t="s">
        <v>49</v>
      </c>
      <c r="G5618" s="19" t="s">
        <v>50</v>
      </c>
      <c r="H5618" s="37" t="s">
        <v>55</v>
      </c>
      <c r="I5618" s="37" t="s">
        <v>29</v>
      </c>
      <c r="J5618" s="155" t="str">
        <f t="shared" si="14"/>
        <v>TT</v>
      </c>
      <c r="K5618" s="22"/>
      <c r="L5618" s="56">
        <v>45139</v>
      </c>
      <c r="P5618" s="40"/>
      <c r="Q5618" s="61"/>
      <c r="R5618" s="61"/>
      <c r="S5618" s="40"/>
      <c r="T5618" s="38"/>
      <c r="U5618" s="38"/>
      <c r="V5618" s="38"/>
      <c r="W5618" s="60"/>
      <c r="AB5618" s="42"/>
      <c r="AC5618" s="35"/>
      <c r="AD5618" s="38"/>
      <c r="AE5618" s="38"/>
      <c r="AF5618" s="38"/>
      <c r="AG5618" s="38"/>
      <c r="AH5618" s="60"/>
    </row>
    <row r="5619" spans="1:34" ht="15.75" customHeight="1">
      <c r="A5619" s="38" t="s">
        <v>18641</v>
      </c>
      <c r="B5619" s="158" t="s">
        <v>19306</v>
      </c>
      <c r="C5619" s="37" t="s">
        <v>24</v>
      </c>
      <c r="D5619" s="20" t="s">
        <v>19307</v>
      </c>
      <c r="E5619" s="20"/>
      <c r="F5619" s="19" t="s">
        <v>27</v>
      </c>
      <c r="G5619" s="19" t="s">
        <v>28</v>
      </c>
      <c r="H5619" s="37" t="s">
        <v>55</v>
      </c>
      <c r="I5619" s="37" t="s">
        <v>29</v>
      </c>
      <c r="J5619" s="155" t="str">
        <f t="shared" si="14"/>
        <v>TT</v>
      </c>
      <c r="K5619" s="22"/>
      <c r="L5619" s="56">
        <v>45139</v>
      </c>
      <c r="P5619" s="40"/>
      <c r="Q5619" s="61"/>
      <c r="R5619" s="61"/>
      <c r="S5619" s="40"/>
      <c r="T5619" s="38"/>
      <c r="U5619" s="38"/>
      <c r="V5619" s="38"/>
      <c r="W5619" s="60"/>
      <c r="AB5619" s="42"/>
      <c r="AC5619" s="35"/>
      <c r="AD5619" s="38"/>
      <c r="AE5619" s="38"/>
      <c r="AF5619" s="38"/>
      <c r="AG5619" s="38"/>
      <c r="AH5619" s="60"/>
    </row>
    <row r="5620" spans="1:34" ht="15.75" customHeight="1">
      <c r="A5620" s="75" t="s">
        <v>15695</v>
      </c>
      <c r="B5620" s="158" t="s">
        <v>19308</v>
      </c>
      <c r="C5620" s="37" t="s">
        <v>46</v>
      </c>
      <c r="D5620" s="20" t="s">
        <v>19309</v>
      </c>
      <c r="E5620" s="20" t="s">
        <v>19310</v>
      </c>
      <c r="F5620" s="37" t="s">
        <v>49</v>
      </c>
      <c r="G5620" s="19" t="s">
        <v>50</v>
      </c>
      <c r="H5620" s="37" t="s">
        <v>55</v>
      </c>
      <c r="I5620" s="37" t="s">
        <v>29</v>
      </c>
      <c r="J5620" s="155" t="str">
        <f t="shared" si="14"/>
        <v>TT</v>
      </c>
      <c r="K5620" s="22" t="s">
        <v>19310</v>
      </c>
      <c r="L5620" s="56">
        <v>45139</v>
      </c>
      <c r="P5620" s="40"/>
      <c r="Q5620" s="61"/>
      <c r="R5620" s="61"/>
      <c r="S5620" s="40"/>
      <c r="T5620" s="38"/>
      <c r="U5620" s="38"/>
      <c r="V5620" s="38"/>
      <c r="W5620" s="60"/>
      <c r="AB5620" s="42"/>
      <c r="AC5620" s="35"/>
      <c r="AD5620" s="38"/>
      <c r="AE5620" s="38"/>
      <c r="AF5620" s="38"/>
      <c r="AG5620" s="38"/>
      <c r="AH5620" s="60"/>
    </row>
    <row r="5621" spans="1:34" ht="15.75" customHeight="1">
      <c r="A5621" s="50" t="s">
        <v>56</v>
      </c>
      <c r="B5621" s="158" t="s">
        <v>19311</v>
      </c>
      <c r="C5621" s="37" t="s">
        <v>87</v>
      </c>
      <c r="D5621" s="20" t="s">
        <v>19312</v>
      </c>
      <c r="E5621" s="20"/>
      <c r="F5621" s="19" t="s">
        <v>90</v>
      </c>
      <c r="G5621" s="19" t="s">
        <v>91</v>
      </c>
      <c r="H5621" s="37" t="s">
        <v>55</v>
      </c>
      <c r="I5621" s="37" t="s">
        <v>29</v>
      </c>
      <c r="J5621" s="155" t="str">
        <f t="shared" si="14"/>
        <v>TT</v>
      </c>
      <c r="K5621" s="22"/>
      <c r="L5621" s="56">
        <v>45139</v>
      </c>
      <c r="P5621" s="40"/>
      <c r="Q5621" s="61"/>
      <c r="R5621" s="61"/>
      <c r="S5621" s="40"/>
      <c r="T5621" s="38"/>
      <c r="U5621" s="38"/>
      <c r="V5621" s="38"/>
      <c r="W5621" s="60"/>
      <c r="AB5621" s="42"/>
      <c r="AC5621" s="35"/>
      <c r="AD5621" s="38"/>
      <c r="AE5621" s="38"/>
      <c r="AF5621" s="38"/>
      <c r="AG5621" s="38"/>
      <c r="AH5621" s="60"/>
    </row>
    <row r="5622" spans="1:34" ht="15.75" customHeight="1">
      <c r="A5622" s="17">
        <v>29</v>
      </c>
      <c r="B5622" s="158" t="s">
        <v>19313</v>
      </c>
      <c r="C5622" s="37" t="s">
        <v>24</v>
      </c>
      <c r="D5622" s="20" t="s">
        <v>19314</v>
      </c>
      <c r="E5622" s="20" t="s">
        <v>19315</v>
      </c>
      <c r="F5622" s="19" t="s">
        <v>27</v>
      </c>
      <c r="G5622" s="19" t="s">
        <v>28</v>
      </c>
      <c r="H5622" s="37" t="s">
        <v>813</v>
      </c>
      <c r="I5622" s="37" t="s">
        <v>29</v>
      </c>
      <c r="J5622" s="155" t="str">
        <f t="shared" si="14"/>
        <v>TT</v>
      </c>
      <c r="K5622" s="22" t="s">
        <v>19316</v>
      </c>
      <c r="L5622" s="56">
        <v>45139</v>
      </c>
      <c r="P5622" s="40"/>
      <c r="Q5622" s="61"/>
      <c r="R5622" s="61"/>
      <c r="S5622" s="40"/>
      <c r="T5622" s="38"/>
      <c r="U5622" s="38"/>
      <c r="V5622" s="38"/>
      <c r="W5622" s="60"/>
      <c r="AB5622" s="42"/>
      <c r="AC5622" s="35"/>
      <c r="AD5622" s="38"/>
      <c r="AE5622" s="38"/>
      <c r="AF5622" s="38"/>
      <c r="AG5622" s="38"/>
      <c r="AH5622" s="60"/>
    </row>
    <row r="5623" spans="1:34" ht="15.75" customHeight="1">
      <c r="A5623" s="111" t="s">
        <v>64</v>
      </c>
      <c r="B5623" s="158" t="s">
        <v>19317</v>
      </c>
      <c r="C5623" s="37" t="s">
        <v>87</v>
      </c>
      <c r="D5623" s="20" t="s">
        <v>19318</v>
      </c>
      <c r="E5623" s="20" t="s">
        <v>19319</v>
      </c>
      <c r="F5623" s="19" t="s">
        <v>90</v>
      </c>
      <c r="G5623" s="19" t="s">
        <v>91</v>
      </c>
      <c r="H5623" s="37" t="s">
        <v>55</v>
      </c>
      <c r="I5623" s="37" t="s">
        <v>29</v>
      </c>
      <c r="J5623" s="155" t="str">
        <f t="shared" si="14"/>
        <v>TT</v>
      </c>
      <c r="K5623" s="22" t="s">
        <v>19319</v>
      </c>
      <c r="L5623" s="56">
        <v>45139</v>
      </c>
      <c r="P5623" s="40"/>
      <c r="Q5623" s="61"/>
      <c r="R5623" s="61"/>
      <c r="S5623" s="40"/>
      <c r="T5623" s="38"/>
      <c r="U5623" s="38"/>
      <c r="V5623" s="38"/>
      <c r="W5623" s="60"/>
      <c r="AB5623" s="42"/>
      <c r="AC5623" s="35"/>
      <c r="AD5623" s="38"/>
      <c r="AE5623" s="38"/>
      <c r="AF5623" s="38"/>
      <c r="AG5623" s="38"/>
      <c r="AH5623" s="60"/>
    </row>
    <row r="5624" spans="1:34" ht="15.75" customHeight="1">
      <c r="A5624" s="75">
        <v>2.2000000000000002</v>
      </c>
      <c r="B5624" s="158" t="s">
        <v>19320</v>
      </c>
      <c r="C5624" s="37" t="s">
        <v>87</v>
      </c>
      <c r="D5624" s="20" t="s">
        <v>19321</v>
      </c>
      <c r="E5624" s="20"/>
      <c r="F5624" s="19" t="s">
        <v>90</v>
      </c>
      <c r="G5624" s="19" t="s">
        <v>91</v>
      </c>
      <c r="H5624" s="37" t="s">
        <v>55</v>
      </c>
      <c r="I5624" s="37" t="s">
        <v>29</v>
      </c>
      <c r="J5624" s="155" t="str">
        <f t="shared" si="14"/>
        <v>TT</v>
      </c>
      <c r="K5624" s="22"/>
      <c r="L5624" s="56">
        <v>45139</v>
      </c>
      <c r="P5624" s="40"/>
      <c r="Q5624" s="61"/>
      <c r="R5624" s="61"/>
      <c r="S5624" s="40"/>
      <c r="T5624" s="38"/>
      <c r="U5624" s="38"/>
      <c r="V5624" s="38"/>
      <c r="W5624" s="60"/>
      <c r="AB5624" s="42"/>
      <c r="AC5624" s="35"/>
      <c r="AD5624" s="38"/>
      <c r="AE5624" s="38"/>
      <c r="AF5624" s="38"/>
      <c r="AG5624" s="38"/>
      <c r="AH5624" s="60"/>
    </row>
    <row r="5625" spans="1:34" ht="15.75" customHeight="1">
      <c r="A5625" s="111" t="s">
        <v>73</v>
      </c>
      <c r="B5625" s="158" t="s">
        <v>19322</v>
      </c>
      <c r="C5625" s="37" t="s">
        <v>24</v>
      </c>
      <c r="D5625" s="20" t="s">
        <v>19323</v>
      </c>
      <c r="E5625" s="20" t="s">
        <v>19324</v>
      </c>
      <c r="F5625" s="19" t="s">
        <v>27</v>
      </c>
      <c r="G5625" s="19" t="s">
        <v>28</v>
      </c>
      <c r="H5625" s="37" t="s">
        <v>55</v>
      </c>
      <c r="I5625" s="37" t="s">
        <v>29</v>
      </c>
      <c r="J5625" s="155" t="str">
        <f t="shared" si="14"/>
        <v>TT</v>
      </c>
      <c r="K5625" s="22" t="s">
        <v>19324</v>
      </c>
      <c r="L5625" s="56">
        <v>45139</v>
      </c>
      <c r="P5625" s="40"/>
      <c r="Q5625" s="61"/>
      <c r="R5625" s="61"/>
      <c r="S5625" s="40"/>
      <c r="T5625" s="38"/>
      <c r="U5625" s="38"/>
      <c r="V5625" s="38"/>
      <c r="W5625" s="60"/>
      <c r="AB5625" s="42"/>
      <c r="AC5625" s="35"/>
      <c r="AD5625" s="38"/>
      <c r="AE5625" s="38"/>
      <c r="AF5625" s="38"/>
      <c r="AG5625" s="38"/>
      <c r="AH5625" s="60"/>
    </row>
    <row r="5626" spans="1:34" ht="15.75" customHeight="1">
      <c r="A5626" s="75">
        <v>2.5</v>
      </c>
      <c r="B5626" s="158" t="s">
        <v>19325</v>
      </c>
      <c r="C5626" s="37" t="s">
        <v>24</v>
      </c>
      <c r="D5626" s="20" t="s">
        <v>19326</v>
      </c>
      <c r="E5626" s="20" t="s">
        <v>19327</v>
      </c>
      <c r="F5626" s="19" t="s">
        <v>27</v>
      </c>
      <c r="G5626" s="19" t="s">
        <v>28</v>
      </c>
      <c r="H5626" s="37" t="s">
        <v>55</v>
      </c>
      <c r="I5626" s="37" t="s">
        <v>29</v>
      </c>
      <c r="J5626" s="155" t="str">
        <f t="shared" si="14"/>
        <v>TT</v>
      </c>
      <c r="K5626" s="22" t="s">
        <v>19327</v>
      </c>
      <c r="L5626" s="56">
        <v>45139</v>
      </c>
      <c r="P5626" s="40"/>
      <c r="Q5626" s="61"/>
      <c r="R5626" s="61"/>
      <c r="S5626" s="40"/>
      <c r="T5626" s="38"/>
      <c r="U5626" s="38"/>
      <c r="V5626" s="38"/>
      <c r="W5626" s="60"/>
      <c r="AB5626" s="42"/>
      <c r="AC5626" s="35"/>
      <c r="AD5626" s="38"/>
      <c r="AE5626" s="38"/>
      <c r="AF5626" s="38"/>
      <c r="AG5626" s="38"/>
      <c r="AH5626" s="60"/>
    </row>
    <row r="5627" spans="1:34" ht="15.75" customHeight="1">
      <c r="A5627" s="111" t="s">
        <v>82</v>
      </c>
      <c r="B5627" s="158" t="s">
        <v>19328</v>
      </c>
      <c r="C5627" s="37" t="s">
        <v>24</v>
      </c>
      <c r="D5627" s="20" t="s">
        <v>19329</v>
      </c>
      <c r="E5627" s="20" t="s">
        <v>19330</v>
      </c>
      <c r="F5627" s="19" t="s">
        <v>27</v>
      </c>
      <c r="G5627" s="19" t="s">
        <v>28</v>
      </c>
      <c r="H5627" s="19" t="s">
        <v>36</v>
      </c>
      <c r="I5627" s="37" t="s">
        <v>29</v>
      </c>
      <c r="J5627" s="155" t="str">
        <f t="shared" si="14"/>
        <v>TT</v>
      </c>
      <c r="K5627" s="22" t="s">
        <v>19331</v>
      </c>
      <c r="L5627" s="56">
        <v>45139</v>
      </c>
      <c r="P5627" s="40"/>
      <c r="Q5627" s="61"/>
      <c r="R5627" s="61"/>
      <c r="S5627" s="40"/>
      <c r="T5627" s="38"/>
      <c r="U5627" s="38"/>
      <c r="V5627" s="38"/>
      <c r="W5627" s="60"/>
      <c r="AB5627" s="42"/>
      <c r="AC5627" s="35"/>
      <c r="AD5627" s="38"/>
      <c r="AE5627" s="38"/>
      <c r="AF5627" s="38"/>
      <c r="AG5627" s="38"/>
      <c r="AH5627" s="60"/>
    </row>
    <row r="5628" spans="1:34" ht="15.75" customHeight="1">
      <c r="A5628" s="75" t="s">
        <v>19332</v>
      </c>
      <c r="B5628" s="158" t="s">
        <v>19333</v>
      </c>
      <c r="C5628" s="37" t="s">
        <v>46</v>
      </c>
      <c r="D5628" s="20" t="s">
        <v>19334</v>
      </c>
      <c r="E5628" s="20"/>
      <c r="F5628" s="37" t="s">
        <v>49</v>
      </c>
      <c r="G5628" s="19" t="s">
        <v>50</v>
      </c>
      <c r="H5628" s="37" t="s">
        <v>55</v>
      </c>
      <c r="I5628" s="37" t="s">
        <v>29</v>
      </c>
      <c r="J5628" s="155" t="str">
        <f t="shared" si="14"/>
        <v>TT</v>
      </c>
      <c r="K5628" s="22"/>
      <c r="L5628" s="56">
        <v>45139</v>
      </c>
      <c r="P5628" s="40"/>
      <c r="Q5628" s="61"/>
      <c r="R5628" s="61"/>
      <c r="S5628" s="40"/>
      <c r="T5628" s="38"/>
      <c r="U5628" s="38"/>
      <c r="V5628" s="38"/>
      <c r="W5628" s="60"/>
      <c r="AB5628" s="42"/>
      <c r="AC5628" s="35"/>
      <c r="AD5628" s="38"/>
      <c r="AE5628" s="38"/>
      <c r="AF5628" s="38"/>
      <c r="AG5628" s="38"/>
      <c r="AH5628" s="60"/>
    </row>
    <row r="5629" spans="1:34" ht="15.75" customHeight="1">
      <c r="A5629" s="111" t="s">
        <v>92</v>
      </c>
      <c r="B5629" s="158" t="s">
        <v>19335</v>
      </c>
      <c r="C5629" s="37" t="s">
        <v>46</v>
      </c>
      <c r="D5629" s="20" t="s">
        <v>19336</v>
      </c>
      <c r="E5629" s="20"/>
      <c r="F5629" s="37" t="s">
        <v>49</v>
      </c>
      <c r="G5629" s="19" t="s">
        <v>50</v>
      </c>
      <c r="H5629" s="37" t="s">
        <v>55</v>
      </c>
      <c r="I5629" s="37" t="s">
        <v>29</v>
      </c>
      <c r="J5629" s="155" t="str">
        <f t="shared" si="14"/>
        <v>TT</v>
      </c>
      <c r="K5629" s="22"/>
      <c r="L5629" s="56">
        <v>45139</v>
      </c>
      <c r="P5629" s="40"/>
      <c r="Q5629" s="61"/>
      <c r="R5629" s="61"/>
      <c r="S5629" s="40"/>
      <c r="T5629" s="38"/>
      <c r="U5629" s="38"/>
      <c r="V5629" s="38"/>
      <c r="W5629" s="60"/>
      <c r="AB5629" s="42"/>
      <c r="AC5629" s="35"/>
      <c r="AD5629" s="38"/>
      <c r="AE5629" s="38"/>
      <c r="AF5629" s="38"/>
      <c r="AG5629" s="38"/>
      <c r="AH5629" s="60"/>
    </row>
    <row r="5630" spans="1:34" ht="15.75" customHeight="1">
      <c r="A5630" s="112">
        <v>314</v>
      </c>
      <c r="B5630" s="158" t="s">
        <v>19337</v>
      </c>
      <c r="C5630" s="37" t="s">
        <v>24</v>
      </c>
      <c r="D5630" s="20" t="s">
        <v>19338</v>
      </c>
      <c r="E5630" s="20" t="s">
        <v>19339</v>
      </c>
      <c r="F5630" s="19" t="s">
        <v>27</v>
      </c>
      <c r="G5630" s="19" t="s">
        <v>28</v>
      </c>
      <c r="H5630" s="37" t="s">
        <v>55</v>
      </c>
      <c r="I5630" s="37" t="s">
        <v>29</v>
      </c>
      <c r="J5630" s="155" t="str">
        <f t="shared" si="14"/>
        <v>TT</v>
      </c>
      <c r="K5630" s="22" t="s">
        <v>19339</v>
      </c>
      <c r="L5630" s="56">
        <v>45139</v>
      </c>
      <c r="P5630" s="40"/>
      <c r="Q5630" s="61"/>
      <c r="R5630" s="61"/>
      <c r="S5630" s="40"/>
      <c r="T5630" s="38"/>
      <c r="U5630" s="38"/>
      <c r="V5630" s="38"/>
      <c r="W5630" s="60"/>
      <c r="AB5630" s="42"/>
      <c r="AC5630" s="35"/>
      <c r="AD5630" s="38"/>
      <c r="AE5630" s="38"/>
      <c r="AF5630" s="38"/>
      <c r="AG5630" s="38"/>
      <c r="AH5630" s="60"/>
    </row>
    <row r="5631" spans="1:34" ht="15.75" customHeight="1">
      <c r="A5631" s="111" t="s">
        <v>100</v>
      </c>
      <c r="B5631" s="158" t="s">
        <v>19340</v>
      </c>
      <c r="C5631" s="37" t="s">
        <v>24</v>
      </c>
      <c r="D5631" s="20" t="s">
        <v>19341</v>
      </c>
      <c r="E5631" s="20" t="s">
        <v>19342</v>
      </c>
      <c r="F5631" s="19" t="s">
        <v>27</v>
      </c>
      <c r="G5631" s="19" t="s">
        <v>28</v>
      </c>
      <c r="H5631" s="37" t="s">
        <v>55</v>
      </c>
      <c r="I5631" s="37" t="s">
        <v>29</v>
      </c>
      <c r="J5631" s="155" t="str">
        <f t="shared" si="14"/>
        <v>TT</v>
      </c>
      <c r="K5631" s="22" t="s">
        <v>19343</v>
      </c>
      <c r="L5631" s="56">
        <v>45139</v>
      </c>
      <c r="P5631" s="40"/>
      <c r="Q5631" s="61"/>
      <c r="R5631" s="61"/>
      <c r="S5631" s="40"/>
      <c r="T5631" s="38"/>
      <c r="U5631" s="38"/>
      <c r="V5631" s="38"/>
      <c r="W5631" s="60"/>
      <c r="AB5631" s="42"/>
      <c r="AC5631" s="35"/>
      <c r="AD5631" s="38"/>
      <c r="AE5631" s="38"/>
      <c r="AF5631" s="38"/>
      <c r="AG5631" s="38"/>
      <c r="AH5631" s="60"/>
    </row>
    <row r="5632" spans="1:34" ht="15.75" customHeight="1">
      <c r="A5632" s="75">
        <v>159</v>
      </c>
      <c r="B5632" s="158" t="s">
        <v>19344</v>
      </c>
      <c r="C5632" s="37" t="s">
        <v>46</v>
      </c>
      <c r="D5632" s="20" t="s">
        <v>19345</v>
      </c>
      <c r="E5632" s="20"/>
      <c r="F5632" s="37" t="s">
        <v>49</v>
      </c>
      <c r="G5632" s="19" t="s">
        <v>50</v>
      </c>
      <c r="H5632" s="37" t="s">
        <v>55</v>
      </c>
      <c r="I5632" s="37" t="s">
        <v>29</v>
      </c>
      <c r="J5632" s="155" t="str">
        <f t="shared" si="14"/>
        <v>TT</v>
      </c>
      <c r="K5632" s="22"/>
      <c r="L5632" s="56">
        <v>45139</v>
      </c>
      <c r="P5632" s="40"/>
      <c r="Q5632" s="61"/>
      <c r="R5632" s="61"/>
      <c r="S5632" s="40"/>
      <c r="T5632" s="38"/>
      <c r="U5632" s="38"/>
      <c r="V5632" s="38"/>
      <c r="W5632" s="60"/>
      <c r="AB5632" s="42"/>
      <c r="AC5632" s="35"/>
      <c r="AD5632" s="38"/>
      <c r="AE5632" s="38"/>
      <c r="AF5632" s="38"/>
      <c r="AG5632" s="38"/>
      <c r="AH5632" s="60"/>
    </row>
    <row r="5633" spans="1:34" ht="15.75" customHeight="1">
      <c r="A5633" s="35"/>
      <c r="B5633" s="158" t="s">
        <v>19346</v>
      </c>
      <c r="C5633" s="37" t="s">
        <v>87</v>
      </c>
      <c r="D5633" s="20" t="s">
        <v>19347</v>
      </c>
      <c r="E5633" s="20" t="s">
        <v>19348</v>
      </c>
      <c r="F5633" s="19" t="s">
        <v>90</v>
      </c>
      <c r="G5633" s="19" t="s">
        <v>91</v>
      </c>
      <c r="H5633" s="37" t="s">
        <v>55</v>
      </c>
      <c r="I5633" s="37" t="s">
        <v>29</v>
      </c>
      <c r="J5633" s="155" t="str">
        <f t="shared" si="14"/>
        <v>TT</v>
      </c>
      <c r="K5633" s="22" t="s">
        <v>19348</v>
      </c>
      <c r="L5633" s="56">
        <v>45139</v>
      </c>
      <c r="P5633" s="40"/>
      <c r="Q5633" s="61"/>
      <c r="R5633" s="61"/>
      <c r="S5633" s="40"/>
      <c r="T5633" s="38"/>
      <c r="U5633" s="38"/>
      <c r="V5633" s="38"/>
      <c r="W5633" s="60"/>
      <c r="AB5633" s="42"/>
      <c r="AC5633" s="35"/>
      <c r="AD5633" s="38"/>
      <c r="AE5633" s="38"/>
      <c r="AF5633" s="38"/>
      <c r="AG5633" s="38"/>
      <c r="AH5633" s="60"/>
    </row>
    <row r="5634" spans="1:34" ht="15.75" customHeight="1">
      <c r="A5634" s="50"/>
      <c r="B5634" s="158" t="s">
        <v>19349</v>
      </c>
      <c r="C5634" s="37" t="s">
        <v>24</v>
      </c>
      <c r="D5634" s="20" t="s">
        <v>19350</v>
      </c>
      <c r="E5634" s="20" t="s">
        <v>19351</v>
      </c>
      <c r="F5634" s="19" t="s">
        <v>27</v>
      </c>
      <c r="G5634" s="19" t="s">
        <v>28</v>
      </c>
      <c r="H5634" s="37" t="s">
        <v>55</v>
      </c>
      <c r="I5634" s="37" t="s">
        <v>29</v>
      </c>
      <c r="J5634" s="155" t="str">
        <f t="shared" si="14"/>
        <v>TT</v>
      </c>
      <c r="K5634" s="22" t="s">
        <v>19351</v>
      </c>
      <c r="L5634" s="56">
        <v>45139</v>
      </c>
      <c r="P5634" s="40"/>
      <c r="Q5634" s="61"/>
      <c r="R5634" s="61"/>
      <c r="S5634" s="40"/>
      <c r="T5634" s="38"/>
      <c r="U5634" s="38"/>
      <c r="V5634" s="38"/>
      <c r="W5634" s="60"/>
      <c r="AB5634" s="42"/>
      <c r="AC5634" s="35"/>
      <c r="AD5634" s="38"/>
      <c r="AE5634" s="38"/>
      <c r="AF5634" s="38"/>
      <c r="AG5634" s="38"/>
      <c r="AH5634" s="60"/>
    </row>
    <row r="5635" spans="1:34" ht="15.75" customHeight="1">
      <c r="A5635" s="114"/>
      <c r="B5635" s="158" t="s">
        <v>19352</v>
      </c>
      <c r="C5635" s="37" t="s">
        <v>24</v>
      </c>
      <c r="D5635" s="20" t="s">
        <v>19353</v>
      </c>
      <c r="E5635" s="20" t="s">
        <v>19354</v>
      </c>
      <c r="F5635" s="19" t="s">
        <v>27</v>
      </c>
      <c r="G5635" s="19" t="s">
        <v>28</v>
      </c>
      <c r="H5635" s="37" t="s">
        <v>55</v>
      </c>
      <c r="I5635" s="37" t="s">
        <v>29</v>
      </c>
      <c r="J5635" s="155" t="str">
        <f t="shared" si="14"/>
        <v>TT</v>
      </c>
      <c r="K5635" s="22" t="s">
        <v>19355</v>
      </c>
      <c r="L5635" s="56">
        <v>45139</v>
      </c>
      <c r="P5635" s="40"/>
      <c r="Q5635" s="61"/>
      <c r="R5635" s="61"/>
      <c r="S5635" s="40"/>
      <c r="T5635" s="38"/>
      <c r="U5635" s="38"/>
      <c r="V5635" s="38"/>
      <c r="W5635" s="60"/>
      <c r="AB5635" s="42"/>
      <c r="AC5635" s="35"/>
      <c r="AD5635" s="38"/>
      <c r="AE5635" s="38"/>
      <c r="AF5635" s="38"/>
      <c r="AG5635" s="38"/>
      <c r="AH5635" s="60"/>
    </row>
    <row r="5636" spans="1:34" ht="15.75" customHeight="1">
      <c r="A5636" s="290"/>
      <c r="B5636" s="38"/>
      <c r="C5636" s="37"/>
      <c r="D5636" s="20"/>
      <c r="E5636" s="20"/>
      <c r="F5636" s="37"/>
      <c r="G5636" s="37"/>
      <c r="H5636" s="37"/>
      <c r="I5636" s="37"/>
      <c r="J5636" s="155">
        <f t="shared" si="14"/>
        <v>0</v>
      </c>
      <c r="K5636" s="22"/>
      <c r="L5636" s="39"/>
      <c r="P5636" s="40"/>
      <c r="Q5636" s="61"/>
      <c r="R5636" s="61"/>
      <c r="S5636" s="40"/>
      <c r="T5636" s="38"/>
      <c r="U5636" s="38"/>
      <c r="V5636" s="38"/>
      <c r="W5636" s="60"/>
      <c r="AB5636" s="42"/>
      <c r="AC5636" s="35"/>
      <c r="AD5636" s="38"/>
      <c r="AE5636" s="38"/>
      <c r="AF5636" s="38"/>
      <c r="AG5636" s="38"/>
      <c r="AH5636" s="60"/>
    </row>
    <row r="5637" spans="1:34" ht="15.75" customHeight="1">
      <c r="A5637" s="35" t="s">
        <v>19356</v>
      </c>
      <c r="B5637" s="78" t="s">
        <v>19357</v>
      </c>
      <c r="C5637" s="37" t="s">
        <v>1430</v>
      </c>
      <c r="D5637" s="20" t="s">
        <v>19358</v>
      </c>
      <c r="E5637" s="20"/>
      <c r="F5637" s="55" t="s">
        <v>1445</v>
      </c>
      <c r="G5637" s="55" t="s">
        <v>1432</v>
      </c>
      <c r="H5637" s="37" t="s">
        <v>55</v>
      </c>
      <c r="I5637" s="37" t="s">
        <v>233</v>
      </c>
      <c r="J5637" s="155" t="str">
        <f t="shared" si="14"/>
        <v>NTT</v>
      </c>
      <c r="K5637" s="22"/>
      <c r="L5637" s="56">
        <v>45139</v>
      </c>
      <c r="M5637" s="40"/>
      <c r="P5637" s="40"/>
      <c r="Q5637" s="61"/>
      <c r="R5637" s="61"/>
      <c r="S5637" s="40"/>
      <c r="T5637" s="38"/>
      <c r="U5637" s="38"/>
      <c r="V5637" s="38"/>
      <c r="W5637" s="60"/>
      <c r="AB5637" s="42"/>
      <c r="AC5637" s="35"/>
      <c r="AD5637" s="38"/>
      <c r="AE5637" s="38"/>
      <c r="AF5637" s="38"/>
      <c r="AG5637" s="38"/>
      <c r="AH5637" s="60"/>
    </row>
    <row r="5638" spans="1:34" ht="15.75" customHeight="1">
      <c r="A5638" s="54" t="s">
        <v>2714</v>
      </c>
      <c r="B5638" s="78" t="s">
        <v>19359</v>
      </c>
      <c r="C5638" s="37" t="s">
        <v>87</v>
      </c>
      <c r="D5638" s="20" t="s">
        <v>19360</v>
      </c>
      <c r="E5638" s="20" t="s">
        <v>19361</v>
      </c>
      <c r="F5638" s="19" t="s">
        <v>90</v>
      </c>
      <c r="G5638" s="19" t="s">
        <v>91</v>
      </c>
      <c r="H5638" s="37" t="s">
        <v>55</v>
      </c>
      <c r="I5638" s="37" t="s">
        <v>29</v>
      </c>
      <c r="J5638" s="155" t="str">
        <f t="shared" si="14"/>
        <v>TT</v>
      </c>
      <c r="K5638" s="22" t="s">
        <v>19362</v>
      </c>
      <c r="L5638" s="56">
        <v>45139</v>
      </c>
      <c r="P5638" s="40"/>
      <c r="Q5638" s="61"/>
      <c r="R5638" s="61"/>
      <c r="S5638" s="40"/>
      <c r="T5638" s="38"/>
      <c r="U5638" s="38"/>
      <c r="V5638" s="38"/>
      <c r="W5638" s="60"/>
      <c r="AB5638" s="42"/>
      <c r="AC5638" s="35"/>
      <c r="AD5638" s="38"/>
      <c r="AE5638" s="38"/>
      <c r="AF5638" s="38"/>
      <c r="AG5638" s="38"/>
      <c r="AH5638" s="60"/>
    </row>
    <row r="5639" spans="1:34" ht="15.75" customHeight="1">
      <c r="A5639" s="114" t="s">
        <v>39</v>
      </c>
      <c r="B5639" s="78" t="s">
        <v>19363</v>
      </c>
      <c r="C5639" s="37" t="s">
        <v>24</v>
      </c>
      <c r="D5639" s="20" t="s">
        <v>19364</v>
      </c>
      <c r="E5639" s="20" t="s">
        <v>19365</v>
      </c>
      <c r="F5639" s="19" t="s">
        <v>27</v>
      </c>
      <c r="G5639" s="19" t="s">
        <v>28</v>
      </c>
      <c r="H5639" s="37" t="s">
        <v>55</v>
      </c>
      <c r="I5639" s="37" t="s">
        <v>29</v>
      </c>
      <c r="J5639" s="155" t="str">
        <f t="shared" si="14"/>
        <v>TT</v>
      </c>
      <c r="K5639" s="22" t="s">
        <v>19366</v>
      </c>
      <c r="L5639" s="56">
        <v>45139</v>
      </c>
      <c r="P5639" s="40"/>
      <c r="Q5639" s="61"/>
      <c r="R5639" s="61"/>
      <c r="S5639" s="40"/>
      <c r="T5639" s="38"/>
      <c r="U5639" s="38"/>
      <c r="V5639" s="38"/>
      <c r="W5639" s="60"/>
      <c r="AB5639" s="42"/>
      <c r="AC5639" s="35"/>
      <c r="AD5639" s="38"/>
      <c r="AE5639" s="38"/>
      <c r="AF5639" s="38"/>
      <c r="AG5639" s="38"/>
      <c r="AH5639" s="60"/>
    </row>
    <row r="5640" spans="1:34" ht="15.75" customHeight="1">
      <c r="A5640" s="38" t="s">
        <v>18641</v>
      </c>
      <c r="B5640" s="78" t="s">
        <v>19367</v>
      </c>
      <c r="C5640" s="37" t="s">
        <v>24</v>
      </c>
      <c r="D5640" s="20" t="s">
        <v>19368</v>
      </c>
      <c r="E5640" s="20" t="s">
        <v>19369</v>
      </c>
      <c r="F5640" s="19" t="s">
        <v>27</v>
      </c>
      <c r="G5640" s="19" t="s">
        <v>28</v>
      </c>
      <c r="H5640" s="37" t="s">
        <v>55</v>
      </c>
      <c r="I5640" s="37" t="s">
        <v>29</v>
      </c>
      <c r="J5640" s="155" t="str">
        <f t="shared" si="14"/>
        <v>TT</v>
      </c>
      <c r="K5640" s="22" t="s">
        <v>19370</v>
      </c>
      <c r="L5640" s="56">
        <v>45139</v>
      </c>
      <c r="P5640" s="40"/>
      <c r="Q5640" s="61"/>
      <c r="R5640" s="61"/>
      <c r="S5640" s="40"/>
      <c r="T5640" s="38"/>
      <c r="U5640" s="38"/>
      <c r="V5640" s="38"/>
      <c r="W5640" s="60"/>
      <c r="AB5640" s="42"/>
      <c r="AC5640" s="35"/>
      <c r="AD5640" s="38"/>
      <c r="AE5640" s="38"/>
      <c r="AF5640" s="38"/>
      <c r="AG5640" s="38"/>
      <c r="AH5640" s="60"/>
    </row>
    <row r="5641" spans="1:34" ht="15.75" customHeight="1">
      <c r="A5641" s="75" t="s">
        <v>16860</v>
      </c>
      <c r="B5641" s="78" t="s">
        <v>19371</v>
      </c>
      <c r="C5641" s="37" t="s">
        <v>24</v>
      </c>
      <c r="D5641" s="20" t="s">
        <v>19372</v>
      </c>
      <c r="E5641" s="20" t="s">
        <v>19373</v>
      </c>
      <c r="F5641" s="19" t="s">
        <v>27</v>
      </c>
      <c r="G5641" s="19" t="s">
        <v>28</v>
      </c>
      <c r="H5641" s="37" t="s">
        <v>55</v>
      </c>
      <c r="I5641" s="37" t="s">
        <v>29</v>
      </c>
      <c r="J5641" s="155" t="str">
        <f t="shared" si="14"/>
        <v>TT</v>
      </c>
      <c r="K5641" s="22" t="s">
        <v>19374</v>
      </c>
      <c r="L5641" s="56">
        <v>45139</v>
      </c>
      <c r="P5641" s="40"/>
      <c r="Q5641" s="61"/>
      <c r="R5641" s="61"/>
      <c r="S5641" s="40"/>
      <c r="T5641" s="38"/>
      <c r="U5641" s="38"/>
      <c r="V5641" s="38"/>
      <c r="W5641" s="60"/>
      <c r="AB5641" s="42"/>
      <c r="AC5641" s="35"/>
      <c r="AD5641" s="38"/>
      <c r="AE5641" s="38"/>
      <c r="AF5641" s="38"/>
      <c r="AG5641" s="38"/>
      <c r="AH5641" s="60"/>
    </row>
    <row r="5642" spans="1:34" ht="15.75" customHeight="1">
      <c r="A5642" s="50" t="s">
        <v>56</v>
      </c>
      <c r="B5642" s="78" t="s">
        <v>19375</v>
      </c>
      <c r="C5642" s="37" t="s">
        <v>24</v>
      </c>
      <c r="D5642" s="20" t="s">
        <v>19376</v>
      </c>
      <c r="E5642" s="20" t="s">
        <v>19377</v>
      </c>
      <c r="F5642" s="19" t="s">
        <v>27</v>
      </c>
      <c r="G5642" s="19" t="s">
        <v>28</v>
      </c>
      <c r="H5642" s="37" t="s">
        <v>55</v>
      </c>
      <c r="I5642" s="37" t="s">
        <v>29</v>
      </c>
      <c r="J5642" s="155" t="str">
        <f t="shared" si="14"/>
        <v>TT</v>
      </c>
      <c r="K5642" s="22" t="s">
        <v>19378</v>
      </c>
      <c r="L5642" s="56">
        <v>45139</v>
      </c>
      <c r="P5642" s="40"/>
      <c r="Q5642" s="61"/>
      <c r="R5642" s="61"/>
      <c r="S5642" s="40"/>
      <c r="T5642" s="38"/>
      <c r="U5642" s="38"/>
      <c r="V5642" s="38"/>
      <c r="W5642" s="60"/>
      <c r="AB5642" s="42"/>
      <c r="AC5642" s="35"/>
      <c r="AD5642" s="38"/>
      <c r="AE5642" s="38"/>
      <c r="AF5642" s="38"/>
      <c r="AG5642" s="38"/>
      <c r="AH5642" s="60"/>
    </row>
    <row r="5643" spans="1:34" ht="15.75" customHeight="1">
      <c r="A5643" s="17">
        <v>40</v>
      </c>
      <c r="B5643" s="78" t="s">
        <v>19379</v>
      </c>
      <c r="C5643" s="37" t="s">
        <v>1638</v>
      </c>
      <c r="D5643" s="20" t="s">
        <v>19380</v>
      </c>
      <c r="E5643" s="20" t="s">
        <v>19381</v>
      </c>
      <c r="F5643" s="37" t="s">
        <v>1399</v>
      </c>
      <c r="G5643" s="19" t="s">
        <v>1641</v>
      </c>
      <c r="H5643" s="37" t="s">
        <v>55</v>
      </c>
      <c r="I5643" s="21" t="s">
        <v>1371</v>
      </c>
      <c r="J5643" s="155" t="str">
        <f t="shared" si="14"/>
        <v>Other</v>
      </c>
      <c r="K5643" s="22" t="s">
        <v>19382</v>
      </c>
      <c r="L5643" s="56">
        <v>45139</v>
      </c>
      <c r="P5643" s="40"/>
      <c r="Q5643" s="61"/>
      <c r="R5643" s="61"/>
      <c r="S5643" s="40"/>
      <c r="T5643" s="38"/>
      <c r="U5643" s="38"/>
      <c r="V5643" s="38"/>
      <c r="W5643" s="60"/>
      <c r="AB5643" s="42"/>
      <c r="AC5643" s="35"/>
      <c r="AD5643" s="38"/>
      <c r="AE5643" s="38"/>
      <c r="AF5643" s="38"/>
      <c r="AG5643" s="38"/>
      <c r="AH5643" s="60"/>
    </row>
    <row r="5644" spans="1:34" ht="15.75" customHeight="1">
      <c r="A5644" s="111" t="s">
        <v>64</v>
      </c>
      <c r="B5644" s="78" t="s">
        <v>19383</v>
      </c>
      <c r="C5644" s="37" t="s">
        <v>87</v>
      </c>
      <c r="D5644" s="20" t="s">
        <v>19384</v>
      </c>
      <c r="E5644" s="20" t="s">
        <v>19385</v>
      </c>
      <c r="F5644" s="19" t="s">
        <v>90</v>
      </c>
      <c r="G5644" s="19" t="s">
        <v>91</v>
      </c>
      <c r="H5644" s="37" t="s">
        <v>55</v>
      </c>
      <c r="I5644" s="37" t="s">
        <v>29</v>
      </c>
      <c r="J5644" s="155" t="str">
        <f t="shared" si="14"/>
        <v>TT</v>
      </c>
      <c r="K5644" s="22" t="s">
        <v>19386</v>
      </c>
      <c r="L5644" s="56">
        <v>45139</v>
      </c>
      <c r="P5644" s="40"/>
      <c r="Q5644" s="61"/>
      <c r="R5644" s="61"/>
      <c r="S5644" s="40"/>
      <c r="T5644" s="38"/>
      <c r="U5644" s="38"/>
      <c r="V5644" s="38"/>
      <c r="W5644" s="60"/>
      <c r="AB5644" s="42"/>
      <c r="AC5644" s="35"/>
      <c r="AD5644" s="38"/>
      <c r="AE5644" s="38"/>
      <c r="AF5644" s="38"/>
      <c r="AG5644" s="38"/>
      <c r="AH5644" s="60"/>
    </row>
    <row r="5645" spans="1:34" ht="15.75" customHeight="1">
      <c r="A5645" s="75">
        <v>2.1</v>
      </c>
      <c r="B5645" s="78" t="s">
        <v>19387</v>
      </c>
      <c r="C5645" s="37" t="s">
        <v>24</v>
      </c>
      <c r="D5645" s="20" t="s">
        <v>19388</v>
      </c>
      <c r="E5645" s="20" t="s">
        <v>19389</v>
      </c>
      <c r="F5645" s="19" t="s">
        <v>27</v>
      </c>
      <c r="G5645" s="19" t="s">
        <v>28</v>
      </c>
      <c r="H5645" s="37" t="s">
        <v>55</v>
      </c>
      <c r="I5645" s="37" t="s">
        <v>29</v>
      </c>
      <c r="J5645" s="155" t="str">
        <f t="shared" si="14"/>
        <v>TT</v>
      </c>
      <c r="K5645" s="22" t="s">
        <v>19390</v>
      </c>
      <c r="L5645" s="56">
        <v>45139</v>
      </c>
      <c r="P5645" s="40"/>
      <c r="Q5645" s="61"/>
      <c r="R5645" s="61"/>
      <c r="S5645" s="40"/>
      <c r="T5645" s="38"/>
      <c r="U5645" s="38"/>
      <c r="V5645" s="38"/>
      <c r="W5645" s="60"/>
      <c r="AB5645" s="42"/>
      <c r="AC5645" s="35"/>
      <c r="AD5645" s="38"/>
      <c r="AE5645" s="38"/>
      <c r="AF5645" s="38"/>
      <c r="AG5645" s="38"/>
      <c r="AH5645" s="60"/>
    </row>
    <row r="5646" spans="1:34" ht="15.75" customHeight="1">
      <c r="A5646" s="111" t="s">
        <v>73</v>
      </c>
      <c r="B5646" s="78" t="s">
        <v>19391</v>
      </c>
      <c r="C5646" s="37" t="s">
        <v>24</v>
      </c>
      <c r="D5646" s="20" t="s">
        <v>19392</v>
      </c>
      <c r="E5646" s="20"/>
      <c r="F5646" s="19" t="s">
        <v>27</v>
      </c>
      <c r="G5646" s="19" t="s">
        <v>28</v>
      </c>
      <c r="H5646" s="37" t="s">
        <v>55</v>
      </c>
      <c r="I5646" s="37" t="s">
        <v>29</v>
      </c>
      <c r="J5646" s="155" t="str">
        <f t="shared" si="14"/>
        <v>TT</v>
      </c>
      <c r="K5646" s="22"/>
      <c r="L5646" s="56">
        <v>45139</v>
      </c>
      <c r="P5646" s="40"/>
      <c r="Q5646" s="61"/>
      <c r="R5646" s="61"/>
      <c r="S5646" s="40"/>
      <c r="T5646" s="38"/>
      <c r="U5646" s="38"/>
      <c r="V5646" s="38"/>
      <c r="W5646" s="60"/>
      <c r="AB5646" s="42"/>
      <c r="AC5646" s="35"/>
      <c r="AD5646" s="38"/>
      <c r="AE5646" s="38"/>
      <c r="AF5646" s="38"/>
      <c r="AG5646" s="38"/>
      <c r="AH5646" s="60"/>
    </row>
    <row r="5647" spans="1:34" ht="15.75" customHeight="1">
      <c r="A5647" s="75">
        <v>2.6</v>
      </c>
      <c r="B5647" s="78" t="s">
        <v>19393</v>
      </c>
      <c r="C5647" s="37" t="s">
        <v>1430</v>
      </c>
      <c r="D5647" s="20" t="s">
        <v>19394</v>
      </c>
      <c r="E5647" s="20"/>
      <c r="F5647" s="55" t="s">
        <v>1445</v>
      </c>
      <c r="G5647" s="55" t="s">
        <v>1432</v>
      </c>
      <c r="H5647" s="37" t="s">
        <v>55</v>
      </c>
      <c r="I5647" s="37" t="s">
        <v>233</v>
      </c>
      <c r="J5647" s="155" t="str">
        <f t="shared" si="14"/>
        <v>NTT</v>
      </c>
      <c r="K5647" s="22"/>
      <c r="L5647" s="56">
        <v>45139</v>
      </c>
      <c r="P5647" s="40"/>
      <c r="Q5647" s="61"/>
      <c r="R5647" s="61"/>
      <c r="S5647" s="40"/>
      <c r="T5647" s="38"/>
      <c r="U5647" s="38"/>
      <c r="V5647" s="38"/>
      <c r="W5647" s="60"/>
      <c r="AB5647" s="42"/>
      <c r="AC5647" s="35"/>
      <c r="AD5647" s="38"/>
      <c r="AE5647" s="38"/>
      <c r="AF5647" s="38"/>
      <c r="AG5647" s="38"/>
      <c r="AH5647" s="60"/>
    </row>
    <row r="5648" spans="1:34" ht="15.75" customHeight="1">
      <c r="A5648" s="111" t="s">
        <v>82</v>
      </c>
      <c r="B5648" s="78" t="s">
        <v>19395</v>
      </c>
      <c r="C5648" s="37" t="s">
        <v>46</v>
      </c>
      <c r="D5648" s="20" t="s">
        <v>19396</v>
      </c>
      <c r="E5648" s="20" t="s">
        <v>19397</v>
      </c>
      <c r="F5648" s="37" t="s">
        <v>49</v>
      </c>
      <c r="G5648" s="19" t="s">
        <v>50</v>
      </c>
      <c r="H5648" s="37" t="s">
        <v>55</v>
      </c>
      <c r="I5648" s="37" t="s">
        <v>29</v>
      </c>
      <c r="J5648" s="155" t="str">
        <f t="shared" si="14"/>
        <v>TT</v>
      </c>
      <c r="K5648" s="22" t="s">
        <v>19398</v>
      </c>
      <c r="L5648" s="56">
        <v>45139</v>
      </c>
      <c r="P5648" s="40"/>
      <c r="Q5648" s="61"/>
      <c r="R5648" s="61"/>
      <c r="S5648" s="40"/>
      <c r="T5648" s="38"/>
      <c r="U5648" s="38"/>
      <c r="V5648" s="38"/>
      <c r="W5648" s="60"/>
      <c r="AB5648" s="42"/>
      <c r="AC5648" s="35"/>
      <c r="AD5648" s="38"/>
      <c r="AE5648" s="38"/>
      <c r="AF5648" s="38"/>
      <c r="AG5648" s="38"/>
      <c r="AH5648" s="60"/>
    </row>
    <row r="5649" spans="1:34" ht="15.75" customHeight="1">
      <c r="A5649" s="75" t="s">
        <v>19399</v>
      </c>
      <c r="B5649" s="78" t="s">
        <v>19400</v>
      </c>
      <c r="C5649" s="37" t="s">
        <v>24</v>
      </c>
      <c r="D5649" s="20" t="s">
        <v>19401</v>
      </c>
      <c r="E5649" s="20" t="s">
        <v>19402</v>
      </c>
      <c r="F5649" s="19" t="s">
        <v>27</v>
      </c>
      <c r="G5649" s="19" t="s">
        <v>28</v>
      </c>
      <c r="H5649" s="37" t="s">
        <v>55</v>
      </c>
      <c r="I5649" s="37" t="s">
        <v>29</v>
      </c>
      <c r="J5649" s="155" t="str">
        <f t="shared" si="14"/>
        <v>TT</v>
      </c>
      <c r="K5649" s="22" t="s">
        <v>19402</v>
      </c>
      <c r="L5649" s="56">
        <v>45139</v>
      </c>
      <c r="P5649" s="40"/>
      <c r="Q5649" s="61"/>
      <c r="R5649" s="61"/>
      <c r="S5649" s="40"/>
      <c r="T5649" s="38"/>
      <c r="U5649" s="38"/>
      <c r="V5649" s="38"/>
      <c r="W5649" s="60"/>
      <c r="AB5649" s="42"/>
      <c r="AC5649" s="35"/>
      <c r="AD5649" s="38"/>
      <c r="AE5649" s="38"/>
      <c r="AF5649" s="38"/>
      <c r="AG5649" s="38"/>
      <c r="AH5649" s="60"/>
    </row>
    <row r="5650" spans="1:34" ht="15.75" customHeight="1">
      <c r="A5650" s="111" t="s">
        <v>92</v>
      </c>
      <c r="B5650" s="78" t="s">
        <v>19403</v>
      </c>
      <c r="C5650" s="37" t="s">
        <v>24</v>
      </c>
      <c r="D5650" s="20" t="s">
        <v>19404</v>
      </c>
      <c r="E5650" s="20" t="s">
        <v>19405</v>
      </c>
      <c r="F5650" s="19" t="s">
        <v>27</v>
      </c>
      <c r="G5650" s="19" t="s">
        <v>28</v>
      </c>
      <c r="H5650" s="37" t="s">
        <v>55</v>
      </c>
      <c r="I5650" s="37" t="s">
        <v>29</v>
      </c>
      <c r="J5650" s="155" t="str">
        <f t="shared" si="14"/>
        <v>TT</v>
      </c>
      <c r="K5650" s="22" t="s">
        <v>19406</v>
      </c>
      <c r="L5650" s="56">
        <v>45139</v>
      </c>
      <c r="P5650" s="40"/>
      <c r="Q5650" s="61"/>
      <c r="R5650" s="61"/>
      <c r="S5650" s="40"/>
      <c r="T5650" s="38"/>
      <c r="U5650" s="38"/>
      <c r="V5650" s="38"/>
      <c r="W5650" s="60"/>
      <c r="AB5650" s="42"/>
      <c r="AC5650" s="35"/>
      <c r="AD5650" s="38"/>
      <c r="AE5650" s="38"/>
      <c r="AF5650" s="38"/>
      <c r="AG5650" s="38"/>
      <c r="AH5650" s="60"/>
    </row>
    <row r="5651" spans="1:34" ht="15.75" customHeight="1">
      <c r="A5651" s="112">
        <v>2280</v>
      </c>
      <c r="B5651" s="78" t="s">
        <v>19407</v>
      </c>
      <c r="C5651" s="37" t="s">
        <v>24</v>
      </c>
      <c r="D5651" s="20" t="s">
        <v>19408</v>
      </c>
      <c r="E5651" s="20" t="s">
        <v>19409</v>
      </c>
      <c r="F5651" s="19" t="s">
        <v>27</v>
      </c>
      <c r="G5651" s="19" t="s">
        <v>28</v>
      </c>
      <c r="H5651" s="37" t="s">
        <v>55</v>
      </c>
      <c r="I5651" s="37" t="s">
        <v>29</v>
      </c>
      <c r="J5651" s="155" t="str">
        <f t="shared" si="14"/>
        <v>TT</v>
      </c>
      <c r="K5651" s="22" t="s">
        <v>19410</v>
      </c>
      <c r="L5651" s="56">
        <v>45139</v>
      </c>
      <c r="P5651" s="40"/>
      <c r="Q5651" s="61"/>
      <c r="R5651" s="61"/>
      <c r="S5651" s="40"/>
      <c r="T5651" s="38"/>
      <c r="U5651" s="38"/>
      <c r="V5651" s="38"/>
      <c r="W5651" s="60"/>
      <c r="AB5651" s="42"/>
      <c r="AC5651" s="35"/>
      <c r="AD5651" s="38"/>
      <c r="AE5651" s="38"/>
      <c r="AF5651" s="38"/>
      <c r="AG5651" s="38"/>
      <c r="AH5651" s="60"/>
    </row>
    <row r="5652" spans="1:34" ht="15.75" customHeight="1">
      <c r="A5652" s="111" t="s">
        <v>100</v>
      </c>
      <c r="B5652" s="78" t="s">
        <v>19411</v>
      </c>
      <c r="C5652" s="37" t="s">
        <v>24</v>
      </c>
      <c r="D5652" s="20" t="s">
        <v>19412</v>
      </c>
      <c r="E5652" s="20" t="s">
        <v>19413</v>
      </c>
      <c r="F5652" s="19" t="s">
        <v>27</v>
      </c>
      <c r="G5652" s="19" t="s">
        <v>28</v>
      </c>
      <c r="H5652" s="37" t="s">
        <v>55</v>
      </c>
      <c r="I5652" s="37" t="s">
        <v>29</v>
      </c>
      <c r="J5652" s="155" t="str">
        <f t="shared" si="14"/>
        <v>TT</v>
      </c>
      <c r="K5652" s="22" t="s">
        <v>19414</v>
      </c>
      <c r="L5652" s="56">
        <v>45139</v>
      </c>
      <c r="P5652" s="40"/>
      <c r="Q5652" s="61"/>
      <c r="R5652" s="61"/>
      <c r="S5652" s="40"/>
      <c r="T5652" s="38"/>
      <c r="U5652" s="38"/>
      <c r="V5652" s="38"/>
      <c r="W5652" s="60"/>
      <c r="AB5652" s="42"/>
      <c r="AC5652" s="35"/>
      <c r="AD5652" s="38"/>
      <c r="AE5652" s="38"/>
      <c r="AF5652" s="38"/>
      <c r="AG5652" s="38"/>
      <c r="AH5652" s="60"/>
    </row>
    <row r="5653" spans="1:34" ht="15.75" customHeight="1">
      <c r="A5653" s="75">
        <v>165</v>
      </c>
      <c r="B5653" s="78" t="s">
        <v>19415</v>
      </c>
      <c r="C5653" s="37" t="s">
        <v>1430</v>
      </c>
      <c r="D5653" s="20" t="s">
        <v>19416</v>
      </c>
      <c r="E5653" s="20" t="s">
        <v>19417</v>
      </c>
      <c r="F5653" s="55" t="s">
        <v>1445</v>
      </c>
      <c r="G5653" s="55" t="s">
        <v>1432</v>
      </c>
      <c r="H5653" s="37" t="s">
        <v>55</v>
      </c>
      <c r="I5653" s="37" t="s">
        <v>233</v>
      </c>
      <c r="J5653" s="155" t="str">
        <f t="shared" si="14"/>
        <v>NTT</v>
      </c>
      <c r="K5653" s="22" t="s">
        <v>19418</v>
      </c>
      <c r="L5653" s="56">
        <v>45139</v>
      </c>
      <c r="P5653" s="40"/>
      <c r="Q5653" s="61"/>
      <c r="R5653" s="61"/>
      <c r="S5653" s="40"/>
      <c r="T5653" s="38"/>
      <c r="U5653" s="38"/>
      <c r="V5653" s="38"/>
      <c r="W5653" s="60"/>
      <c r="AB5653" s="42"/>
      <c r="AC5653" s="35"/>
      <c r="AD5653" s="38"/>
      <c r="AE5653" s="38"/>
      <c r="AF5653" s="38"/>
      <c r="AG5653" s="38"/>
      <c r="AH5653" s="60"/>
    </row>
    <row r="5654" spans="1:34" ht="15.75" customHeight="1">
      <c r="A5654" s="35"/>
      <c r="B5654" s="78" t="s">
        <v>19419</v>
      </c>
      <c r="C5654" s="37" t="s">
        <v>1430</v>
      </c>
      <c r="D5654" s="20" t="s">
        <v>19420</v>
      </c>
      <c r="E5654" s="20"/>
      <c r="F5654" s="55" t="s">
        <v>1445</v>
      </c>
      <c r="G5654" s="55" t="s">
        <v>1432</v>
      </c>
      <c r="H5654" s="37" t="s">
        <v>55</v>
      </c>
      <c r="I5654" s="37" t="s">
        <v>233</v>
      </c>
      <c r="J5654" s="155" t="str">
        <f t="shared" si="14"/>
        <v>NTT</v>
      </c>
      <c r="K5654" s="22"/>
      <c r="L5654" s="56">
        <v>45139</v>
      </c>
      <c r="P5654" s="40"/>
      <c r="Q5654" s="61"/>
      <c r="R5654" s="61"/>
      <c r="S5654" s="40"/>
      <c r="T5654" s="38"/>
      <c r="U5654" s="38"/>
      <c r="V5654" s="38"/>
      <c r="W5654" s="60"/>
      <c r="AB5654" s="42"/>
      <c r="AC5654" s="35"/>
      <c r="AD5654" s="38"/>
      <c r="AE5654" s="38"/>
      <c r="AF5654" s="38"/>
      <c r="AG5654" s="38"/>
      <c r="AH5654" s="60"/>
    </row>
    <row r="5655" spans="1:34" ht="15.75" customHeight="1">
      <c r="A5655" s="291"/>
      <c r="B5655" s="78" t="s">
        <v>19421</v>
      </c>
      <c r="C5655" s="37" t="s">
        <v>1430</v>
      </c>
      <c r="D5655" s="20" t="s">
        <v>19422</v>
      </c>
      <c r="E5655" s="20"/>
      <c r="F5655" s="55" t="s">
        <v>1445</v>
      </c>
      <c r="G5655" s="55" t="s">
        <v>1432</v>
      </c>
      <c r="H5655" s="37" t="s">
        <v>55</v>
      </c>
      <c r="I5655" s="37" t="s">
        <v>233</v>
      </c>
      <c r="J5655" s="155" t="str">
        <f t="shared" si="14"/>
        <v>NTT</v>
      </c>
      <c r="K5655" s="22"/>
      <c r="L5655" s="56">
        <v>45139</v>
      </c>
      <c r="P5655" s="40"/>
      <c r="Q5655" s="61"/>
      <c r="R5655" s="61"/>
      <c r="S5655" s="40"/>
      <c r="T5655" s="38"/>
      <c r="U5655" s="38"/>
      <c r="V5655" s="38"/>
      <c r="W5655" s="60"/>
      <c r="AB5655" s="42"/>
      <c r="AC5655" s="35"/>
      <c r="AD5655" s="38"/>
      <c r="AE5655" s="38"/>
      <c r="AF5655" s="38"/>
      <c r="AG5655" s="38"/>
      <c r="AH5655" s="60"/>
    </row>
    <row r="5656" spans="1:34" ht="15.75" customHeight="1">
      <c r="A5656" s="291"/>
      <c r="B5656" s="78" t="s">
        <v>19423</v>
      </c>
      <c r="C5656" s="37" t="s">
        <v>1366</v>
      </c>
      <c r="D5656" s="20" t="s">
        <v>19424</v>
      </c>
      <c r="E5656" s="20" t="s">
        <v>19425</v>
      </c>
      <c r="F5656" s="55" t="s">
        <v>1369</v>
      </c>
      <c r="G5656" s="55" t="s">
        <v>1370</v>
      </c>
      <c r="H5656" s="37" t="s">
        <v>813</v>
      </c>
      <c r="I5656" s="21" t="s">
        <v>1371</v>
      </c>
      <c r="J5656" s="155" t="str">
        <f t="shared" si="14"/>
        <v>Other</v>
      </c>
      <c r="K5656" s="22" t="s">
        <v>19426</v>
      </c>
      <c r="L5656" s="56">
        <v>45139</v>
      </c>
      <c r="P5656" s="40"/>
      <c r="Q5656" s="61"/>
      <c r="R5656" s="61"/>
      <c r="S5656" s="40"/>
      <c r="T5656" s="38"/>
      <c r="U5656" s="38"/>
      <c r="V5656" s="38"/>
      <c r="W5656" s="60"/>
      <c r="AB5656" s="42"/>
      <c r="AC5656" s="35"/>
      <c r="AD5656" s="38"/>
      <c r="AE5656" s="38"/>
      <c r="AF5656" s="38"/>
      <c r="AG5656" s="38"/>
      <c r="AH5656" s="60"/>
    </row>
    <row r="5657" spans="1:34" ht="15.75" customHeight="1">
      <c r="A5657" s="291"/>
      <c r="B5657" s="78" t="s">
        <v>19427</v>
      </c>
      <c r="C5657" s="37" t="s">
        <v>46</v>
      </c>
      <c r="D5657" s="20" t="s">
        <v>19428</v>
      </c>
      <c r="E5657" s="20" t="s">
        <v>19429</v>
      </c>
      <c r="F5657" s="37" t="s">
        <v>49</v>
      </c>
      <c r="G5657" s="19" t="s">
        <v>50</v>
      </c>
      <c r="H5657" s="37" t="s">
        <v>55</v>
      </c>
      <c r="I5657" s="37" t="s">
        <v>29</v>
      </c>
      <c r="J5657" s="155" t="str">
        <f t="shared" si="14"/>
        <v>TT</v>
      </c>
      <c r="K5657" s="22" t="s">
        <v>19430</v>
      </c>
      <c r="L5657" s="56">
        <v>45139</v>
      </c>
      <c r="P5657" s="40"/>
      <c r="Q5657" s="61"/>
      <c r="R5657" s="61"/>
      <c r="S5657" s="40"/>
      <c r="T5657" s="38"/>
      <c r="U5657" s="38"/>
      <c r="V5657" s="38"/>
      <c r="W5657" s="60"/>
      <c r="AB5657" s="42"/>
      <c r="AC5657" s="35"/>
      <c r="AD5657" s="38"/>
      <c r="AE5657" s="38"/>
      <c r="AF5657" s="38"/>
      <c r="AG5657" s="38"/>
      <c r="AH5657" s="60"/>
    </row>
    <row r="5658" spans="1:34" ht="15.75" customHeight="1">
      <c r="A5658" s="291"/>
      <c r="B5658" s="81" t="s">
        <v>19431</v>
      </c>
      <c r="C5658" s="37" t="s">
        <v>24</v>
      </c>
      <c r="D5658" s="20" t="s">
        <v>19432</v>
      </c>
      <c r="E5658" s="20"/>
      <c r="F5658" s="19" t="s">
        <v>27</v>
      </c>
      <c r="G5658" s="19" t="s">
        <v>28</v>
      </c>
      <c r="H5658" s="37" t="s">
        <v>55</v>
      </c>
      <c r="I5658" s="37" t="s">
        <v>29</v>
      </c>
      <c r="J5658" s="155" t="str">
        <f t="shared" si="14"/>
        <v>TT</v>
      </c>
      <c r="K5658" s="22"/>
      <c r="L5658" s="56">
        <v>45139</v>
      </c>
      <c r="P5658" s="40"/>
      <c r="Q5658" s="61"/>
      <c r="R5658" s="61"/>
      <c r="S5658" s="40"/>
      <c r="T5658" s="38"/>
      <c r="U5658" s="38"/>
      <c r="V5658" s="38"/>
      <c r="W5658" s="60"/>
      <c r="AB5658" s="42"/>
      <c r="AC5658" s="35"/>
      <c r="AD5658" s="38"/>
      <c r="AE5658" s="38"/>
      <c r="AF5658" s="38"/>
      <c r="AG5658" s="38"/>
      <c r="AH5658" s="60"/>
    </row>
    <row r="5659" spans="1:34" ht="15.75" customHeight="1">
      <c r="A5659" s="291"/>
      <c r="B5659" s="78" t="s">
        <v>19433</v>
      </c>
      <c r="C5659" s="37" t="s">
        <v>24</v>
      </c>
      <c r="D5659" s="20" t="s">
        <v>19434</v>
      </c>
      <c r="E5659" s="20"/>
      <c r="F5659" s="19" t="s">
        <v>27</v>
      </c>
      <c r="G5659" s="19" t="s">
        <v>28</v>
      </c>
      <c r="H5659" s="37" t="s">
        <v>55</v>
      </c>
      <c r="I5659" s="37" t="s">
        <v>29</v>
      </c>
      <c r="J5659" s="155" t="str">
        <f t="shared" si="14"/>
        <v>TT</v>
      </c>
      <c r="K5659" s="22"/>
      <c r="L5659" s="56">
        <v>45139</v>
      </c>
      <c r="P5659" s="40"/>
      <c r="Q5659" s="61"/>
      <c r="R5659" s="61"/>
      <c r="S5659" s="40"/>
      <c r="T5659" s="38"/>
      <c r="U5659" s="38"/>
      <c r="V5659" s="38"/>
      <c r="W5659" s="60"/>
      <c r="AB5659" s="42"/>
      <c r="AC5659" s="35"/>
      <c r="AD5659" s="38"/>
      <c r="AE5659" s="38"/>
      <c r="AF5659" s="38"/>
      <c r="AG5659" s="38"/>
      <c r="AH5659" s="60"/>
    </row>
    <row r="5660" spans="1:34" ht="15.75" customHeight="1">
      <c r="A5660" s="291"/>
      <c r="B5660" s="78" t="s">
        <v>19435</v>
      </c>
      <c r="C5660" s="37" t="s">
        <v>46</v>
      </c>
      <c r="D5660" s="20" t="s">
        <v>19436</v>
      </c>
      <c r="E5660" s="20" t="s">
        <v>19437</v>
      </c>
      <c r="F5660" s="37" t="s">
        <v>49</v>
      </c>
      <c r="G5660" s="19" t="s">
        <v>50</v>
      </c>
      <c r="H5660" s="37" t="s">
        <v>55</v>
      </c>
      <c r="I5660" s="37" t="s">
        <v>29</v>
      </c>
      <c r="J5660" s="155" t="str">
        <f t="shared" si="14"/>
        <v>TT</v>
      </c>
      <c r="K5660" s="22" t="s">
        <v>19438</v>
      </c>
      <c r="L5660" s="56">
        <v>45139</v>
      </c>
      <c r="P5660" s="40"/>
      <c r="Q5660" s="61"/>
      <c r="R5660" s="61"/>
      <c r="S5660" s="40"/>
      <c r="T5660" s="38"/>
      <c r="U5660" s="38"/>
      <c r="V5660" s="38"/>
      <c r="W5660" s="60"/>
      <c r="AB5660" s="42"/>
      <c r="AC5660" s="35"/>
      <c r="AD5660" s="38"/>
      <c r="AE5660" s="38"/>
      <c r="AF5660" s="38"/>
      <c r="AG5660" s="38"/>
      <c r="AH5660" s="60"/>
    </row>
    <row r="5661" spans="1:34" ht="15.75" customHeight="1">
      <c r="A5661" s="291"/>
      <c r="B5661" s="78" t="s">
        <v>19439</v>
      </c>
      <c r="C5661" s="37" t="s">
        <v>1470</v>
      </c>
      <c r="D5661" s="20" t="s">
        <v>19440</v>
      </c>
      <c r="E5661" s="20" t="s">
        <v>19441</v>
      </c>
      <c r="F5661" s="19" t="s">
        <v>3286</v>
      </c>
      <c r="G5661" s="37" t="s">
        <v>1461</v>
      </c>
      <c r="H5661" s="37" t="s">
        <v>55</v>
      </c>
      <c r="I5661" s="37" t="s">
        <v>233</v>
      </c>
      <c r="J5661" s="155" t="str">
        <f t="shared" si="14"/>
        <v>NTT</v>
      </c>
      <c r="K5661" s="22" t="s">
        <v>19442</v>
      </c>
      <c r="L5661" s="56">
        <v>45139</v>
      </c>
      <c r="P5661" s="40"/>
      <c r="Q5661" s="61"/>
      <c r="R5661" s="61"/>
      <c r="S5661" s="40"/>
      <c r="T5661" s="38"/>
      <c r="U5661" s="38"/>
      <c r="V5661" s="38"/>
      <c r="W5661" s="60"/>
      <c r="AB5661" s="42"/>
      <c r="AC5661" s="35"/>
      <c r="AD5661" s="38"/>
      <c r="AE5661" s="38"/>
      <c r="AF5661" s="38"/>
      <c r="AG5661" s="38"/>
      <c r="AH5661" s="60"/>
    </row>
    <row r="5662" spans="1:34" ht="15.75" customHeight="1">
      <c r="A5662" s="291"/>
      <c r="B5662" s="78" t="s">
        <v>19443</v>
      </c>
      <c r="C5662" s="37" t="s">
        <v>1430</v>
      </c>
      <c r="D5662" s="20" t="s">
        <v>19444</v>
      </c>
      <c r="E5662" s="20" t="s">
        <v>19445</v>
      </c>
      <c r="F5662" s="55" t="s">
        <v>1445</v>
      </c>
      <c r="G5662" s="55" t="s">
        <v>1432</v>
      </c>
      <c r="H5662" s="37" t="s">
        <v>55</v>
      </c>
      <c r="I5662" s="37" t="s">
        <v>233</v>
      </c>
      <c r="J5662" s="155" t="str">
        <f t="shared" si="14"/>
        <v>NTT</v>
      </c>
      <c r="K5662" s="22" t="s">
        <v>19446</v>
      </c>
      <c r="L5662" s="56">
        <v>45139</v>
      </c>
      <c r="P5662" s="40"/>
      <c r="Q5662" s="61"/>
      <c r="R5662" s="61"/>
      <c r="S5662" s="40"/>
      <c r="T5662" s="38"/>
      <c r="U5662" s="38"/>
      <c r="V5662" s="38"/>
      <c r="W5662" s="60"/>
      <c r="AB5662" s="42"/>
      <c r="AC5662" s="35"/>
      <c r="AD5662" s="38"/>
      <c r="AE5662" s="38"/>
      <c r="AF5662" s="38"/>
      <c r="AG5662" s="38"/>
      <c r="AH5662" s="60"/>
    </row>
    <row r="5663" spans="1:34" ht="15.75" customHeight="1">
      <c r="A5663" s="291"/>
      <c r="B5663" s="78" t="s">
        <v>19447</v>
      </c>
      <c r="C5663" s="37" t="s">
        <v>87</v>
      </c>
      <c r="D5663" s="20" t="s">
        <v>19448</v>
      </c>
      <c r="E5663" s="20"/>
      <c r="F5663" s="19" t="s">
        <v>90</v>
      </c>
      <c r="G5663" s="19" t="s">
        <v>91</v>
      </c>
      <c r="H5663" s="37" t="s">
        <v>55</v>
      </c>
      <c r="I5663" s="37" t="s">
        <v>29</v>
      </c>
      <c r="J5663" s="155" t="str">
        <f t="shared" si="14"/>
        <v>TT</v>
      </c>
      <c r="K5663" s="22"/>
      <c r="L5663" s="56">
        <v>45139</v>
      </c>
      <c r="P5663" s="40"/>
      <c r="Q5663" s="61"/>
      <c r="R5663" s="61"/>
      <c r="S5663" s="40"/>
      <c r="T5663" s="38"/>
      <c r="U5663" s="38"/>
      <c r="V5663" s="38"/>
      <c r="W5663" s="60"/>
      <c r="AB5663" s="42"/>
      <c r="AC5663" s="35"/>
      <c r="AD5663" s="38"/>
      <c r="AE5663" s="38"/>
      <c r="AF5663" s="38"/>
      <c r="AG5663" s="38"/>
      <c r="AH5663" s="60"/>
    </row>
    <row r="5664" spans="1:34" ht="15.75" customHeight="1">
      <c r="A5664" s="291"/>
      <c r="B5664" s="78" t="s">
        <v>19449</v>
      </c>
      <c r="C5664" s="37" t="s">
        <v>24</v>
      </c>
      <c r="D5664" s="20" t="s">
        <v>19450</v>
      </c>
      <c r="E5664" s="20" t="s">
        <v>19451</v>
      </c>
      <c r="F5664" s="19" t="s">
        <v>27</v>
      </c>
      <c r="G5664" s="19" t="s">
        <v>28</v>
      </c>
      <c r="H5664" s="37" t="s">
        <v>55</v>
      </c>
      <c r="I5664" s="37" t="s">
        <v>29</v>
      </c>
      <c r="J5664" s="155" t="str">
        <f t="shared" si="14"/>
        <v>TT</v>
      </c>
      <c r="K5664" s="22" t="s">
        <v>19452</v>
      </c>
      <c r="L5664" s="56">
        <v>45139</v>
      </c>
      <c r="P5664" s="40"/>
      <c r="Q5664" s="61"/>
      <c r="R5664" s="61"/>
      <c r="S5664" s="40"/>
      <c r="T5664" s="38"/>
      <c r="U5664" s="38"/>
      <c r="V5664" s="38"/>
      <c r="W5664" s="60"/>
      <c r="AB5664" s="42"/>
      <c r="AC5664" s="35"/>
      <c r="AD5664" s="38"/>
      <c r="AE5664" s="38"/>
      <c r="AF5664" s="38"/>
      <c r="AG5664" s="38"/>
      <c r="AH5664" s="60"/>
    </row>
    <row r="5665" spans="1:34" ht="15.75" customHeight="1">
      <c r="A5665" s="291"/>
      <c r="B5665" s="78" t="s">
        <v>19453</v>
      </c>
      <c r="C5665" s="37" t="s">
        <v>24</v>
      </c>
      <c r="D5665" s="20" t="s">
        <v>19454</v>
      </c>
      <c r="E5665" s="20"/>
      <c r="F5665" s="19" t="s">
        <v>27</v>
      </c>
      <c r="G5665" s="19" t="s">
        <v>28</v>
      </c>
      <c r="H5665" s="37" t="s">
        <v>55</v>
      </c>
      <c r="I5665" s="37" t="s">
        <v>29</v>
      </c>
      <c r="J5665" s="155" t="str">
        <f t="shared" si="14"/>
        <v>TT</v>
      </c>
      <c r="K5665" s="22"/>
      <c r="L5665" s="56">
        <v>45139</v>
      </c>
      <c r="P5665" s="40"/>
      <c r="Q5665" s="61"/>
      <c r="R5665" s="61"/>
      <c r="S5665" s="40"/>
      <c r="T5665" s="38"/>
      <c r="U5665" s="38"/>
      <c r="V5665" s="38"/>
      <c r="W5665" s="60"/>
      <c r="AB5665" s="42"/>
      <c r="AC5665" s="35"/>
      <c r="AD5665" s="38"/>
      <c r="AE5665" s="38"/>
      <c r="AF5665" s="38"/>
      <c r="AG5665" s="38"/>
      <c r="AH5665" s="60"/>
    </row>
    <row r="5666" spans="1:34" ht="15.75" customHeight="1">
      <c r="A5666" s="291"/>
      <c r="B5666" s="78" t="s">
        <v>19455</v>
      </c>
      <c r="C5666" s="37" t="s">
        <v>46</v>
      </c>
      <c r="D5666" s="20" t="s">
        <v>19456</v>
      </c>
      <c r="E5666" s="20" t="s">
        <v>19457</v>
      </c>
      <c r="F5666" s="37" t="s">
        <v>49</v>
      </c>
      <c r="G5666" s="19" t="s">
        <v>50</v>
      </c>
      <c r="H5666" s="37" t="s">
        <v>55</v>
      </c>
      <c r="I5666" s="37" t="s">
        <v>29</v>
      </c>
      <c r="J5666" s="155" t="str">
        <f t="shared" si="14"/>
        <v>TT</v>
      </c>
      <c r="K5666" s="22" t="s">
        <v>19458</v>
      </c>
      <c r="L5666" s="56">
        <v>45139</v>
      </c>
      <c r="P5666" s="40"/>
      <c r="Q5666" s="61"/>
      <c r="R5666" s="61"/>
      <c r="S5666" s="40"/>
      <c r="T5666" s="38"/>
      <c r="U5666" s="38"/>
      <c r="V5666" s="38"/>
      <c r="W5666" s="60"/>
      <c r="AB5666" s="42"/>
      <c r="AC5666" s="35"/>
      <c r="AD5666" s="38"/>
      <c r="AE5666" s="38"/>
      <c r="AF5666" s="38"/>
      <c r="AG5666" s="38"/>
      <c r="AH5666" s="60"/>
    </row>
    <row r="5667" spans="1:34" ht="15.75" customHeight="1">
      <c r="A5667" s="291"/>
      <c r="B5667" s="38"/>
      <c r="C5667" s="37"/>
      <c r="D5667" s="20"/>
      <c r="E5667" s="20"/>
      <c r="F5667" s="37"/>
      <c r="G5667" s="37"/>
      <c r="H5667" s="37"/>
      <c r="I5667" s="37"/>
      <c r="J5667" s="155">
        <f t="shared" si="14"/>
        <v>0</v>
      </c>
      <c r="K5667" s="22"/>
      <c r="L5667" s="56"/>
      <c r="P5667" s="40"/>
      <c r="Q5667" s="61"/>
      <c r="R5667" s="61"/>
      <c r="S5667" s="40"/>
      <c r="T5667" s="38"/>
      <c r="U5667" s="38"/>
      <c r="V5667" s="38"/>
      <c r="W5667" s="60"/>
      <c r="AB5667" s="42"/>
      <c r="AC5667" s="35"/>
      <c r="AD5667" s="38"/>
      <c r="AE5667" s="38"/>
      <c r="AF5667" s="38"/>
      <c r="AG5667" s="38"/>
      <c r="AH5667" s="60"/>
    </row>
    <row r="5668" spans="1:34" ht="15.75" customHeight="1">
      <c r="A5668" s="35" t="s">
        <v>19459</v>
      </c>
      <c r="B5668" s="81" t="s">
        <v>19460</v>
      </c>
      <c r="C5668" s="37" t="s">
        <v>24</v>
      </c>
      <c r="D5668" s="20" t="s">
        <v>19461</v>
      </c>
      <c r="E5668" s="20" t="s">
        <v>19462</v>
      </c>
      <c r="F5668" s="19" t="s">
        <v>27</v>
      </c>
      <c r="G5668" s="19" t="s">
        <v>28</v>
      </c>
      <c r="H5668" s="37" t="s">
        <v>55</v>
      </c>
      <c r="I5668" s="37" t="s">
        <v>29</v>
      </c>
      <c r="J5668" s="155" t="str">
        <f t="shared" si="14"/>
        <v>TT</v>
      </c>
      <c r="K5668" s="22" t="s">
        <v>19463</v>
      </c>
      <c r="L5668" s="56">
        <v>45139</v>
      </c>
      <c r="M5668" s="40"/>
      <c r="P5668" s="40"/>
      <c r="Q5668" s="61"/>
      <c r="R5668" s="61"/>
      <c r="S5668" s="40"/>
      <c r="T5668" s="38"/>
      <c r="U5668" s="38"/>
      <c r="V5668" s="38"/>
      <c r="W5668" s="60"/>
      <c r="AB5668" s="42"/>
      <c r="AC5668" s="35"/>
      <c r="AD5668" s="38"/>
      <c r="AE5668" s="38"/>
      <c r="AF5668" s="38"/>
      <c r="AG5668" s="38"/>
      <c r="AH5668" s="60"/>
    </row>
    <row r="5669" spans="1:34" ht="15.75" customHeight="1">
      <c r="A5669" s="54" t="s">
        <v>12252</v>
      </c>
      <c r="B5669" s="78" t="s">
        <v>19464</v>
      </c>
      <c r="C5669" s="37" t="s">
        <v>87</v>
      </c>
      <c r="D5669" s="20" t="s">
        <v>19465</v>
      </c>
      <c r="E5669" s="20" t="s">
        <v>19466</v>
      </c>
      <c r="F5669" s="19" t="s">
        <v>90</v>
      </c>
      <c r="G5669" s="19" t="s">
        <v>91</v>
      </c>
      <c r="H5669" s="37" t="s">
        <v>55</v>
      </c>
      <c r="I5669" s="37" t="s">
        <v>29</v>
      </c>
      <c r="J5669" s="155" t="str">
        <f t="shared" si="14"/>
        <v>TT</v>
      </c>
      <c r="K5669" s="22" t="s">
        <v>19467</v>
      </c>
      <c r="L5669" s="56">
        <v>45139</v>
      </c>
      <c r="P5669" s="40"/>
      <c r="Q5669" s="61"/>
      <c r="R5669" s="61"/>
      <c r="S5669" s="40"/>
      <c r="T5669" s="38"/>
      <c r="U5669" s="38"/>
      <c r="V5669" s="38"/>
      <c r="W5669" s="60"/>
      <c r="AB5669" s="42"/>
      <c r="AC5669" s="35"/>
      <c r="AD5669" s="38"/>
      <c r="AE5669" s="38"/>
      <c r="AF5669" s="38"/>
      <c r="AG5669" s="38"/>
      <c r="AH5669" s="60"/>
    </row>
    <row r="5670" spans="1:34" ht="15.75" customHeight="1">
      <c r="A5670" s="114" t="s">
        <v>39</v>
      </c>
      <c r="B5670" s="78" t="s">
        <v>19468</v>
      </c>
      <c r="C5670" s="37" t="s">
        <v>87</v>
      </c>
      <c r="D5670" s="20" t="s">
        <v>19469</v>
      </c>
      <c r="E5670" s="20" t="s">
        <v>19470</v>
      </c>
      <c r="F5670" s="19" t="s">
        <v>90</v>
      </c>
      <c r="G5670" s="19" t="s">
        <v>91</v>
      </c>
      <c r="H5670" s="37" t="s">
        <v>55</v>
      </c>
      <c r="I5670" s="37" t="s">
        <v>29</v>
      </c>
      <c r="J5670" s="155" t="str">
        <f t="shared" si="14"/>
        <v>TT</v>
      </c>
      <c r="K5670" s="22" t="s">
        <v>19471</v>
      </c>
      <c r="L5670" s="56">
        <v>45139</v>
      </c>
      <c r="P5670" s="40"/>
      <c r="Q5670" s="61"/>
      <c r="R5670" s="61"/>
      <c r="S5670" s="40"/>
      <c r="T5670" s="38"/>
      <c r="U5670" s="38"/>
      <c r="V5670" s="38"/>
      <c r="W5670" s="60"/>
      <c r="AB5670" s="42"/>
      <c r="AC5670" s="35"/>
      <c r="AD5670" s="38"/>
      <c r="AE5670" s="38"/>
      <c r="AF5670" s="38"/>
      <c r="AG5670" s="38"/>
      <c r="AH5670" s="60"/>
    </row>
    <row r="5671" spans="1:34" ht="15.75" customHeight="1">
      <c r="A5671" s="38" t="s">
        <v>18641</v>
      </c>
      <c r="B5671" s="78" t="s">
        <v>19472</v>
      </c>
      <c r="C5671" s="37" t="s">
        <v>412</v>
      </c>
      <c r="D5671" s="20" t="s">
        <v>19473</v>
      </c>
      <c r="E5671" s="20"/>
      <c r="F5671" s="19" t="s">
        <v>414</v>
      </c>
      <c r="G5671" s="19" t="s">
        <v>415</v>
      </c>
      <c r="H5671" s="37" t="s">
        <v>55</v>
      </c>
      <c r="I5671" s="37" t="s">
        <v>233</v>
      </c>
      <c r="J5671" s="155" t="str">
        <f t="shared" si="14"/>
        <v>NTT</v>
      </c>
      <c r="K5671" s="22"/>
      <c r="L5671" s="56">
        <v>45139</v>
      </c>
      <c r="P5671" s="40"/>
      <c r="Q5671" s="61"/>
      <c r="R5671" s="61"/>
      <c r="S5671" s="40"/>
      <c r="T5671" s="38"/>
      <c r="U5671" s="38"/>
      <c r="V5671" s="38"/>
      <c r="W5671" s="60"/>
      <c r="AB5671" s="42"/>
      <c r="AC5671" s="35"/>
      <c r="AD5671" s="38"/>
      <c r="AE5671" s="38"/>
      <c r="AF5671" s="38"/>
      <c r="AG5671" s="38"/>
      <c r="AH5671" s="60"/>
    </row>
    <row r="5672" spans="1:34" ht="15.75" customHeight="1">
      <c r="A5672" s="75" t="s">
        <v>16842</v>
      </c>
      <c r="B5672" s="78" t="s">
        <v>19474</v>
      </c>
      <c r="C5672" s="37" t="s">
        <v>24</v>
      </c>
      <c r="D5672" s="20" t="s">
        <v>19475</v>
      </c>
      <c r="E5672" s="20" t="s">
        <v>19476</v>
      </c>
      <c r="F5672" s="19" t="s">
        <v>27</v>
      </c>
      <c r="G5672" s="19" t="s">
        <v>28</v>
      </c>
      <c r="H5672" s="37" t="s">
        <v>55</v>
      </c>
      <c r="I5672" s="37" t="s">
        <v>29</v>
      </c>
      <c r="J5672" s="155" t="str">
        <f t="shared" si="14"/>
        <v>TT</v>
      </c>
      <c r="K5672" s="22" t="s">
        <v>19477</v>
      </c>
      <c r="L5672" s="56">
        <v>45139</v>
      </c>
      <c r="P5672" s="40"/>
      <c r="Q5672" s="61"/>
      <c r="R5672" s="61"/>
      <c r="S5672" s="40"/>
      <c r="T5672" s="38"/>
      <c r="U5672" s="38"/>
      <c r="V5672" s="38"/>
      <c r="W5672" s="60"/>
      <c r="AB5672" s="42"/>
      <c r="AC5672" s="35"/>
      <c r="AD5672" s="38"/>
      <c r="AE5672" s="38"/>
      <c r="AF5672" s="38"/>
      <c r="AG5672" s="38"/>
      <c r="AH5672" s="60"/>
    </row>
    <row r="5673" spans="1:34" ht="15.75" customHeight="1">
      <c r="A5673" s="50" t="s">
        <v>56</v>
      </c>
      <c r="B5673" s="78" t="s">
        <v>19478</v>
      </c>
      <c r="C5673" s="37" t="s">
        <v>24</v>
      </c>
      <c r="D5673" s="20" t="s">
        <v>19479</v>
      </c>
      <c r="E5673" s="20"/>
      <c r="F5673" s="19" t="s">
        <v>27</v>
      </c>
      <c r="G5673" s="19" t="s">
        <v>28</v>
      </c>
      <c r="H5673" s="37" t="s">
        <v>55</v>
      </c>
      <c r="I5673" s="37" t="s">
        <v>29</v>
      </c>
      <c r="J5673" s="155" t="str">
        <f t="shared" si="14"/>
        <v>TT</v>
      </c>
      <c r="K5673" s="22"/>
      <c r="L5673" s="56">
        <v>45139</v>
      </c>
      <c r="P5673" s="40"/>
      <c r="Q5673" s="61"/>
      <c r="R5673" s="61"/>
      <c r="S5673" s="40"/>
      <c r="T5673" s="38"/>
      <c r="U5673" s="38"/>
      <c r="V5673" s="38"/>
      <c r="W5673" s="60"/>
      <c r="AB5673" s="42"/>
      <c r="AC5673" s="35"/>
      <c r="AD5673" s="38"/>
      <c r="AE5673" s="38"/>
      <c r="AF5673" s="38"/>
      <c r="AG5673" s="38"/>
      <c r="AH5673" s="60"/>
    </row>
    <row r="5674" spans="1:34" ht="15.75" customHeight="1">
      <c r="A5674" s="17">
        <v>36</v>
      </c>
      <c r="B5674" s="78" t="s">
        <v>19480</v>
      </c>
      <c r="C5674" s="37" t="s">
        <v>24</v>
      </c>
      <c r="D5674" s="20" t="s">
        <v>19481</v>
      </c>
      <c r="E5674" s="20" t="s">
        <v>19482</v>
      </c>
      <c r="F5674" s="19" t="s">
        <v>27</v>
      </c>
      <c r="G5674" s="19" t="s">
        <v>28</v>
      </c>
      <c r="H5674" s="37" t="s">
        <v>55</v>
      </c>
      <c r="I5674" s="37" t="s">
        <v>29</v>
      </c>
      <c r="J5674" s="155" t="str">
        <f t="shared" si="14"/>
        <v>TT</v>
      </c>
      <c r="K5674" s="22" t="s">
        <v>19483</v>
      </c>
      <c r="L5674" s="56">
        <v>45139</v>
      </c>
      <c r="P5674" s="40"/>
      <c r="Q5674" s="61"/>
      <c r="R5674" s="61"/>
      <c r="S5674" s="40"/>
      <c r="T5674" s="38"/>
      <c r="U5674" s="38"/>
      <c r="V5674" s="38"/>
      <c r="W5674" s="60"/>
      <c r="AB5674" s="42"/>
      <c r="AC5674" s="35"/>
      <c r="AD5674" s="38"/>
      <c r="AE5674" s="38"/>
      <c r="AF5674" s="38"/>
      <c r="AG5674" s="38"/>
      <c r="AH5674" s="60"/>
    </row>
    <row r="5675" spans="1:34" ht="15.75" customHeight="1">
      <c r="A5675" s="111" t="s">
        <v>64</v>
      </c>
      <c r="B5675" s="78" t="s">
        <v>19484</v>
      </c>
      <c r="C5675" s="37" t="s">
        <v>24</v>
      </c>
      <c r="D5675" s="20" t="s">
        <v>19485</v>
      </c>
      <c r="E5675" s="20" t="s">
        <v>19486</v>
      </c>
      <c r="F5675" s="19" t="s">
        <v>27</v>
      </c>
      <c r="G5675" s="19" t="s">
        <v>28</v>
      </c>
      <c r="H5675" s="37" t="s">
        <v>55</v>
      </c>
      <c r="I5675" s="37" t="s">
        <v>29</v>
      </c>
      <c r="J5675" s="155" t="str">
        <f t="shared" si="14"/>
        <v>TT</v>
      </c>
      <c r="K5675" s="22" t="s">
        <v>19487</v>
      </c>
      <c r="L5675" s="56">
        <v>45139</v>
      </c>
      <c r="P5675" s="40"/>
      <c r="Q5675" s="61"/>
      <c r="R5675" s="61"/>
      <c r="S5675" s="40"/>
      <c r="T5675" s="38"/>
      <c r="U5675" s="38"/>
      <c r="V5675" s="38"/>
      <c r="W5675" s="60"/>
      <c r="AB5675" s="42"/>
      <c r="AC5675" s="35"/>
      <c r="AD5675" s="38"/>
      <c r="AE5675" s="38"/>
      <c r="AF5675" s="38"/>
      <c r="AG5675" s="38"/>
      <c r="AH5675" s="60"/>
    </row>
    <row r="5676" spans="1:34" ht="15.75" customHeight="1">
      <c r="A5676" s="75">
        <v>2</v>
      </c>
      <c r="B5676" s="78" t="s">
        <v>19488</v>
      </c>
      <c r="C5676" s="37" t="s">
        <v>87</v>
      </c>
      <c r="D5676" s="20" t="s">
        <v>19489</v>
      </c>
      <c r="E5676" s="20" t="s">
        <v>19490</v>
      </c>
      <c r="F5676" s="19" t="s">
        <v>90</v>
      </c>
      <c r="G5676" s="19" t="s">
        <v>91</v>
      </c>
      <c r="H5676" s="37" t="s">
        <v>55</v>
      </c>
      <c r="I5676" s="37" t="s">
        <v>29</v>
      </c>
      <c r="J5676" s="155" t="str">
        <f t="shared" si="14"/>
        <v>TT</v>
      </c>
      <c r="K5676" s="22" t="s">
        <v>19491</v>
      </c>
      <c r="L5676" s="56">
        <v>45139</v>
      </c>
      <c r="P5676" s="40"/>
      <c r="Q5676" s="61"/>
      <c r="R5676" s="61"/>
      <c r="S5676" s="40"/>
      <c r="T5676" s="38"/>
      <c r="U5676" s="38"/>
      <c r="V5676" s="38"/>
      <c r="W5676" s="60"/>
      <c r="AB5676" s="42"/>
      <c r="AC5676" s="35"/>
      <c r="AD5676" s="38"/>
      <c r="AE5676" s="38"/>
      <c r="AF5676" s="38"/>
      <c r="AG5676" s="38"/>
      <c r="AH5676" s="60"/>
    </row>
    <row r="5677" spans="1:34" ht="15.75" customHeight="1">
      <c r="A5677" s="111" t="s">
        <v>73</v>
      </c>
      <c r="B5677" s="78" t="s">
        <v>19492</v>
      </c>
      <c r="C5677" s="37" t="s">
        <v>24</v>
      </c>
      <c r="D5677" s="20" t="s">
        <v>19493</v>
      </c>
      <c r="E5677" s="20" t="s">
        <v>19494</v>
      </c>
      <c r="F5677" s="19" t="s">
        <v>27</v>
      </c>
      <c r="G5677" s="19" t="s">
        <v>28</v>
      </c>
      <c r="H5677" s="37" t="s">
        <v>55</v>
      </c>
      <c r="I5677" s="37" t="s">
        <v>29</v>
      </c>
      <c r="J5677" s="155" t="str">
        <f t="shared" si="14"/>
        <v>TT</v>
      </c>
      <c r="K5677" s="22" t="s">
        <v>19495</v>
      </c>
      <c r="L5677" s="56">
        <v>45139</v>
      </c>
      <c r="P5677" s="40"/>
      <c r="Q5677" s="61"/>
      <c r="R5677" s="61"/>
      <c r="S5677" s="40"/>
      <c r="T5677" s="38"/>
      <c r="U5677" s="38"/>
      <c r="V5677" s="38"/>
      <c r="W5677" s="60"/>
      <c r="AB5677" s="42"/>
      <c r="AC5677" s="35"/>
      <c r="AD5677" s="38"/>
      <c r="AE5677" s="38"/>
      <c r="AF5677" s="38"/>
      <c r="AG5677" s="38"/>
      <c r="AH5677" s="60"/>
    </row>
    <row r="5678" spans="1:34" ht="15.75" customHeight="1">
      <c r="A5678" s="75">
        <v>2.5</v>
      </c>
      <c r="B5678" s="78" t="s">
        <v>19496</v>
      </c>
      <c r="C5678" s="37" t="s">
        <v>24</v>
      </c>
      <c r="D5678" s="20" t="s">
        <v>19497</v>
      </c>
      <c r="E5678" s="20"/>
      <c r="F5678" s="19" t="s">
        <v>27</v>
      </c>
      <c r="G5678" s="19" t="s">
        <v>28</v>
      </c>
      <c r="H5678" s="37" t="s">
        <v>55</v>
      </c>
      <c r="I5678" s="37" t="s">
        <v>29</v>
      </c>
      <c r="J5678" s="155" t="str">
        <f t="shared" si="14"/>
        <v>TT</v>
      </c>
      <c r="K5678" s="22"/>
      <c r="L5678" s="56">
        <v>45139</v>
      </c>
      <c r="P5678" s="40"/>
      <c r="Q5678" s="61"/>
      <c r="R5678" s="61"/>
      <c r="S5678" s="40"/>
      <c r="T5678" s="38"/>
      <c r="U5678" s="38"/>
      <c r="V5678" s="38"/>
      <c r="W5678" s="60"/>
      <c r="AB5678" s="42"/>
      <c r="AC5678" s="35"/>
      <c r="AD5678" s="38"/>
      <c r="AE5678" s="38"/>
      <c r="AF5678" s="38"/>
      <c r="AG5678" s="38"/>
      <c r="AH5678" s="60"/>
    </row>
    <row r="5679" spans="1:34" ht="15.75" customHeight="1">
      <c r="A5679" s="111" t="s">
        <v>82</v>
      </c>
      <c r="B5679" s="78" t="s">
        <v>19498</v>
      </c>
      <c r="C5679" s="37" t="s">
        <v>24</v>
      </c>
      <c r="D5679" s="20" t="s">
        <v>19499</v>
      </c>
      <c r="E5679" s="20" t="s">
        <v>19500</v>
      </c>
      <c r="F5679" s="19" t="s">
        <v>27</v>
      </c>
      <c r="G5679" s="19" t="s">
        <v>28</v>
      </c>
      <c r="H5679" s="37" t="s">
        <v>55</v>
      </c>
      <c r="I5679" s="37" t="s">
        <v>29</v>
      </c>
      <c r="J5679" s="155" t="str">
        <f t="shared" si="14"/>
        <v>TT</v>
      </c>
      <c r="K5679" s="22" t="s">
        <v>19501</v>
      </c>
      <c r="L5679" s="56">
        <v>45139</v>
      </c>
      <c r="P5679" s="40"/>
      <c r="Q5679" s="61"/>
      <c r="R5679" s="61"/>
      <c r="S5679" s="40"/>
      <c r="T5679" s="38"/>
      <c r="U5679" s="38"/>
      <c r="V5679" s="38"/>
      <c r="W5679" s="60"/>
      <c r="AB5679" s="42"/>
      <c r="AC5679" s="35"/>
      <c r="AD5679" s="38"/>
      <c r="AE5679" s="38"/>
      <c r="AF5679" s="38"/>
      <c r="AG5679" s="38"/>
      <c r="AH5679" s="60"/>
    </row>
    <row r="5680" spans="1:34" ht="15.75" customHeight="1">
      <c r="A5680" s="75" t="s">
        <v>19502</v>
      </c>
      <c r="B5680" s="81" t="s">
        <v>19503</v>
      </c>
      <c r="C5680" s="37" t="s">
        <v>87</v>
      </c>
      <c r="D5680" s="20" t="s">
        <v>19504</v>
      </c>
      <c r="E5680" s="20"/>
      <c r="F5680" s="19" t="s">
        <v>90</v>
      </c>
      <c r="G5680" s="19" t="s">
        <v>91</v>
      </c>
      <c r="H5680" s="37" t="s">
        <v>55</v>
      </c>
      <c r="I5680" s="37" t="s">
        <v>29</v>
      </c>
      <c r="J5680" s="155" t="str">
        <f t="shared" si="14"/>
        <v>TT</v>
      </c>
      <c r="K5680" s="22"/>
      <c r="L5680" s="56">
        <v>45139</v>
      </c>
      <c r="P5680" s="40"/>
      <c r="Q5680" s="61"/>
      <c r="R5680" s="61"/>
      <c r="S5680" s="40"/>
      <c r="T5680" s="38"/>
      <c r="U5680" s="38"/>
      <c r="V5680" s="38"/>
      <c r="W5680" s="60"/>
      <c r="AB5680" s="42"/>
      <c r="AC5680" s="35"/>
      <c r="AD5680" s="38"/>
      <c r="AE5680" s="38"/>
      <c r="AF5680" s="38"/>
      <c r="AG5680" s="38"/>
      <c r="AH5680" s="60"/>
    </row>
    <row r="5681" spans="1:34" ht="15.75" customHeight="1">
      <c r="A5681" s="111" t="s">
        <v>92</v>
      </c>
      <c r="B5681" s="78" t="s">
        <v>19505</v>
      </c>
      <c r="C5681" s="37" t="s">
        <v>24</v>
      </c>
      <c r="D5681" s="20" t="s">
        <v>19506</v>
      </c>
      <c r="E5681" s="20" t="s">
        <v>19507</v>
      </c>
      <c r="F5681" s="19" t="s">
        <v>27</v>
      </c>
      <c r="G5681" s="19" t="s">
        <v>28</v>
      </c>
      <c r="H5681" s="37" t="s">
        <v>55</v>
      </c>
      <c r="I5681" s="37" t="s">
        <v>29</v>
      </c>
      <c r="J5681" s="155" t="str">
        <f t="shared" si="14"/>
        <v>TT</v>
      </c>
      <c r="K5681" s="22" t="s">
        <v>19508</v>
      </c>
      <c r="L5681" s="56">
        <v>45139</v>
      </c>
      <c r="P5681" s="40"/>
      <c r="Q5681" s="61"/>
      <c r="R5681" s="61"/>
      <c r="S5681" s="40"/>
      <c r="T5681" s="38"/>
      <c r="U5681" s="38"/>
      <c r="V5681" s="38"/>
      <c r="W5681" s="60"/>
      <c r="AB5681" s="42"/>
      <c r="AC5681" s="35"/>
      <c r="AD5681" s="38"/>
      <c r="AE5681" s="38"/>
      <c r="AF5681" s="38"/>
      <c r="AG5681" s="38"/>
      <c r="AH5681" s="60"/>
    </row>
    <row r="5682" spans="1:34" ht="15.75" customHeight="1">
      <c r="A5682" s="112">
        <v>751</v>
      </c>
      <c r="B5682" s="78" t="s">
        <v>19509</v>
      </c>
      <c r="C5682" s="37" t="s">
        <v>87</v>
      </c>
      <c r="D5682" s="20" t="s">
        <v>19510</v>
      </c>
      <c r="E5682" s="20" t="s">
        <v>19511</v>
      </c>
      <c r="F5682" s="19" t="s">
        <v>90</v>
      </c>
      <c r="G5682" s="19" t="s">
        <v>91</v>
      </c>
      <c r="H5682" s="37" t="s">
        <v>55</v>
      </c>
      <c r="I5682" s="37" t="s">
        <v>29</v>
      </c>
      <c r="J5682" s="155" t="str">
        <f t="shared" si="14"/>
        <v>TT</v>
      </c>
      <c r="K5682" s="22" t="s">
        <v>19512</v>
      </c>
      <c r="L5682" s="56">
        <v>45139</v>
      </c>
      <c r="P5682" s="40"/>
      <c r="Q5682" s="61"/>
      <c r="R5682" s="61"/>
      <c r="S5682" s="40"/>
      <c r="T5682" s="38"/>
      <c r="U5682" s="38"/>
      <c r="V5682" s="38"/>
      <c r="W5682" s="60"/>
      <c r="AB5682" s="42"/>
      <c r="AC5682" s="35"/>
      <c r="AD5682" s="38"/>
      <c r="AE5682" s="38"/>
      <c r="AF5682" s="38"/>
      <c r="AG5682" s="38"/>
      <c r="AH5682" s="60"/>
    </row>
    <row r="5683" spans="1:34" ht="15.75" customHeight="1">
      <c r="A5683" s="111" t="s">
        <v>100</v>
      </c>
      <c r="B5683" s="78" t="s">
        <v>19513</v>
      </c>
      <c r="C5683" s="37" t="s">
        <v>87</v>
      </c>
      <c r="D5683" s="20" t="s">
        <v>19514</v>
      </c>
      <c r="E5683" s="20" t="s">
        <v>19515</v>
      </c>
      <c r="F5683" s="19" t="s">
        <v>90</v>
      </c>
      <c r="G5683" s="19" t="s">
        <v>91</v>
      </c>
      <c r="H5683" s="37" t="s">
        <v>55</v>
      </c>
      <c r="I5683" s="37"/>
      <c r="J5683" s="155">
        <f t="shared" si="14"/>
        <v>0</v>
      </c>
      <c r="K5683" s="22" t="s">
        <v>19516</v>
      </c>
      <c r="L5683" s="56">
        <v>45139</v>
      </c>
      <c r="P5683" s="40"/>
      <c r="Q5683" s="61"/>
      <c r="R5683" s="61"/>
      <c r="S5683" s="40"/>
      <c r="T5683" s="38"/>
      <c r="U5683" s="38"/>
      <c r="V5683" s="38"/>
      <c r="W5683" s="60"/>
      <c r="AB5683" s="42"/>
      <c r="AC5683" s="35"/>
      <c r="AD5683" s="38"/>
      <c r="AE5683" s="38"/>
      <c r="AF5683" s="38"/>
      <c r="AG5683" s="38"/>
      <c r="AH5683" s="60"/>
    </row>
    <row r="5684" spans="1:34" ht="15.75" customHeight="1">
      <c r="A5684" s="75">
        <v>161</v>
      </c>
      <c r="B5684" s="38"/>
      <c r="C5684" s="37"/>
      <c r="D5684" s="20"/>
      <c r="E5684" s="20"/>
      <c r="F5684" s="37"/>
      <c r="G5684" s="37"/>
      <c r="H5684" s="37"/>
      <c r="I5684" s="37"/>
      <c r="J5684" s="155">
        <f t="shared" si="14"/>
        <v>0</v>
      </c>
      <c r="K5684" s="22"/>
      <c r="L5684" s="56"/>
      <c r="P5684" s="40"/>
      <c r="Q5684" s="61"/>
      <c r="R5684" s="61"/>
      <c r="S5684" s="40"/>
      <c r="T5684" s="38"/>
      <c r="U5684" s="38"/>
      <c r="V5684" s="38"/>
      <c r="W5684" s="60"/>
      <c r="AB5684" s="42"/>
      <c r="AC5684" s="35"/>
      <c r="AD5684" s="38"/>
      <c r="AE5684" s="38"/>
      <c r="AF5684" s="38"/>
      <c r="AG5684" s="38"/>
      <c r="AH5684" s="60"/>
    </row>
    <row r="5685" spans="1:34" ht="15.75" customHeight="1">
      <c r="A5685" s="35"/>
      <c r="B5685" s="38"/>
      <c r="C5685" s="37"/>
      <c r="D5685" s="20"/>
      <c r="E5685" s="20"/>
      <c r="F5685" s="37"/>
      <c r="G5685" s="37"/>
      <c r="H5685" s="37"/>
      <c r="I5685" s="37"/>
      <c r="J5685" s="155">
        <f t="shared" si="14"/>
        <v>0</v>
      </c>
      <c r="K5685" s="22"/>
      <c r="L5685" s="56"/>
      <c r="P5685" s="40"/>
      <c r="Q5685" s="61"/>
      <c r="R5685" s="61"/>
      <c r="S5685" s="40"/>
      <c r="T5685" s="38"/>
      <c r="U5685" s="38"/>
      <c r="V5685" s="38"/>
      <c r="W5685" s="60"/>
      <c r="AB5685" s="42"/>
      <c r="AC5685" s="35"/>
      <c r="AD5685" s="38"/>
      <c r="AE5685" s="38"/>
      <c r="AF5685" s="38"/>
      <c r="AG5685" s="38"/>
      <c r="AH5685" s="60"/>
    </row>
    <row r="5686" spans="1:34" ht="15.75" customHeight="1">
      <c r="A5686" s="35" t="s">
        <v>19517</v>
      </c>
      <c r="B5686" s="78" t="s">
        <v>19518</v>
      </c>
      <c r="C5686" s="37" t="s">
        <v>87</v>
      </c>
      <c r="D5686" s="20" t="s">
        <v>19519</v>
      </c>
      <c r="E5686" s="20" t="s">
        <v>19520</v>
      </c>
      <c r="F5686" s="19" t="s">
        <v>90</v>
      </c>
      <c r="G5686" s="19" t="s">
        <v>91</v>
      </c>
      <c r="H5686" s="37" t="s">
        <v>55</v>
      </c>
      <c r="I5686" s="37" t="s">
        <v>29</v>
      </c>
      <c r="J5686" s="155" t="str">
        <f t="shared" si="14"/>
        <v>TT</v>
      </c>
      <c r="K5686" s="22" t="s">
        <v>19521</v>
      </c>
      <c r="L5686" s="56">
        <v>45139</v>
      </c>
      <c r="M5686" s="40"/>
      <c r="P5686" s="40"/>
      <c r="Q5686" s="61"/>
      <c r="R5686" s="61"/>
      <c r="S5686" s="40"/>
      <c r="T5686" s="38"/>
      <c r="U5686" s="38"/>
      <c r="V5686" s="38"/>
      <c r="W5686" s="60"/>
      <c r="AB5686" s="42"/>
      <c r="AC5686" s="35"/>
      <c r="AD5686" s="38"/>
      <c r="AE5686" s="38"/>
      <c r="AF5686" s="38"/>
      <c r="AG5686" s="38"/>
      <c r="AH5686" s="60"/>
    </row>
    <row r="5687" spans="1:34" ht="15.75" customHeight="1">
      <c r="A5687" s="71" t="s">
        <v>19522</v>
      </c>
      <c r="B5687" s="78" t="s">
        <v>19523</v>
      </c>
      <c r="C5687" s="19" t="s">
        <v>24</v>
      </c>
      <c r="D5687" s="20" t="s">
        <v>19524</v>
      </c>
      <c r="E5687" s="20" t="s">
        <v>19525</v>
      </c>
      <c r="F5687" s="19" t="s">
        <v>27</v>
      </c>
      <c r="G5687" s="19" t="s">
        <v>28</v>
      </c>
      <c r="H5687" s="37" t="s">
        <v>55</v>
      </c>
      <c r="I5687" s="37" t="s">
        <v>29</v>
      </c>
      <c r="J5687" s="155" t="str">
        <f t="shared" si="14"/>
        <v>TT</v>
      </c>
      <c r="K5687" s="22" t="s">
        <v>19526</v>
      </c>
      <c r="L5687" s="56">
        <v>45139</v>
      </c>
      <c r="P5687" s="40"/>
      <c r="Q5687" s="61"/>
      <c r="R5687" s="61"/>
      <c r="S5687" s="40"/>
      <c r="T5687" s="38"/>
      <c r="U5687" s="38"/>
      <c r="V5687" s="38"/>
      <c r="W5687" s="60"/>
      <c r="AB5687" s="42"/>
      <c r="AC5687" s="35"/>
      <c r="AD5687" s="38"/>
      <c r="AE5687" s="38"/>
      <c r="AF5687" s="38"/>
      <c r="AG5687" s="38"/>
      <c r="AH5687" s="60"/>
    </row>
    <row r="5688" spans="1:34" ht="15.75" customHeight="1">
      <c r="A5688" s="114" t="s">
        <v>39</v>
      </c>
      <c r="B5688" s="81" t="s">
        <v>19527</v>
      </c>
      <c r="C5688" s="19" t="s">
        <v>24</v>
      </c>
      <c r="D5688" s="20" t="s">
        <v>19528</v>
      </c>
      <c r="E5688" s="20" t="s">
        <v>19529</v>
      </c>
      <c r="F5688" s="19" t="s">
        <v>27</v>
      </c>
      <c r="G5688" s="19" t="s">
        <v>28</v>
      </c>
      <c r="H5688" s="37" t="s">
        <v>55</v>
      </c>
      <c r="I5688" s="37" t="s">
        <v>29</v>
      </c>
      <c r="J5688" s="155" t="str">
        <f t="shared" si="14"/>
        <v>TT</v>
      </c>
      <c r="K5688" s="22" t="s">
        <v>19530</v>
      </c>
      <c r="L5688" s="56">
        <v>45139</v>
      </c>
      <c r="P5688" s="40"/>
      <c r="Q5688" s="61"/>
      <c r="R5688" s="61"/>
      <c r="S5688" s="40"/>
      <c r="T5688" s="38"/>
      <c r="U5688" s="38"/>
      <c r="V5688" s="38"/>
      <c r="W5688" s="60"/>
      <c r="AB5688" s="42"/>
      <c r="AC5688" s="35"/>
      <c r="AD5688" s="38"/>
      <c r="AE5688" s="38"/>
      <c r="AF5688" s="38"/>
      <c r="AG5688" s="38"/>
      <c r="AH5688" s="60"/>
    </row>
    <row r="5689" spans="1:34" ht="15.75" customHeight="1">
      <c r="A5689" s="38" t="s">
        <v>19531</v>
      </c>
      <c r="B5689" s="78" t="s">
        <v>19532</v>
      </c>
      <c r="C5689" s="37" t="s">
        <v>24</v>
      </c>
      <c r="D5689" s="20" t="s">
        <v>19533</v>
      </c>
      <c r="E5689" s="20" t="s">
        <v>19534</v>
      </c>
      <c r="F5689" s="19" t="s">
        <v>27</v>
      </c>
      <c r="G5689" s="19" t="s">
        <v>28</v>
      </c>
      <c r="H5689" s="37" t="s">
        <v>55</v>
      </c>
      <c r="I5689" s="37" t="s">
        <v>29</v>
      </c>
      <c r="J5689" s="155" t="str">
        <f t="shared" si="14"/>
        <v>TT</v>
      </c>
      <c r="K5689" s="22" t="s">
        <v>19535</v>
      </c>
      <c r="L5689" s="56">
        <v>45139</v>
      </c>
      <c r="P5689" s="40"/>
      <c r="Q5689" s="61"/>
      <c r="R5689" s="61"/>
      <c r="S5689" s="40"/>
      <c r="T5689" s="38"/>
      <c r="U5689" s="38"/>
      <c r="V5689" s="38"/>
      <c r="W5689" s="60"/>
      <c r="AB5689" s="42"/>
      <c r="AC5689" s="35"/>
      <c r="AD5689" s="38"/>
      <c r="AE5689" s="38"/>
      <c r="AF5689" s="38"/>
      <c r="AG5689" s="38"/>
      <c r="AH5689" s="60"/>
    </row>
    <row r="5690" spans="1:34" ht="15.75" customHeight="1">
      <c r="A5690" s="75" t="s">
        <v>16635</v>
      </c>
      <c r="B5690" s="78" t="s">
        <v>19536</v>
      </c>
      <c r="C5690" s="37" t="s">
        <v>24</v>
      </c>
      <c r="D5690" s="20" t="s">
        <v>19537</v>
      </c>
      <c r="E5690" s="20" t="s">
        <v>19538</v>
      </c>
      <c r="F5690" s="19" t="s">
        <v>27</v>
      </c>
      <c r="G5690" s="19" t="s">
        <v>28</v>
      </c>
      <c r="H5690" s="19" t="s">
        <v>36</v>
      </c>
      <c r="I5690" s="37" t="s">
        <v>29</v>
      </c>
      <c r="J5690" s="155" t="str">
        <f t="shared" si="14"/>
        <v>TT</v>
      </c>
      <c r="K5690" s="22" t="s">
        <v>19539</v>
      </c>
      <c r="L5690" s="56">
        <v>45139</v>
      </c>
      <c r="P5690" s="40"/>
      <c r="Q5690" s="61"/>
      <c r="R5690" s="61"/>
      <c r="S5690" s="40"/>
      <c r="T5690" s="38"/>
      <c r="U5690" s="38"/>
      <c r="V5690" s="38"/>
      <c r="W5690" s="60"/>
      <c r="AB5690" s="42"/>
      <c r="AC5690" s="35"/>
      <c r="AD5690" s="38"/>
      <c r="AE5690" s="38"/>
      <c r="AF5690" s="38"/>
      <c r="AG5690" s="38"/>
      <c r="AH5690" s="60"/>
    </row>
    <row r="5691" spans="1:34" ht="15.75" customHeight="1">
      <c r="A5691" s="50" t="s">
        <v>56</v>
      </c>
      <c r="B5691" s="78" t="s">
        <v>19540</v>
      </c>
      <c r="C5691" s="37" t="s">
        <v>87</v>
      </c>
      <c r="D5691" s="20" t="s">
        <v>19541</v>
      </c>
      <c r="E5691" s="20" t="s">
        <v>19542</v>
      </c>
      <c r="F5691" s="19" t="s">
        <v>90</v>
      </c>
      <c r="G5691" s="19" t="s">
        <v>91</v>
      </c>
      <c r="H5691" s="37" t="s">
        <v>55</v>
      </c>
      <c r="I5691" s="37" t="s">
        <v>29</v>
      </c>
      <c r="J5691" s="155" t="str">
        <f t="shared" si="14"/>
        <v>TT</v>
      </c>
      <c r="K5691" s="22" t="s">
        <v>19543</v>
      </c>
      <c r="L5691" s="56">
        <v>45139</v>
      </c>
      <c r="P5691" s="40"/>
      <c r="Q5691" s="61"/>
      <c r="R5691" s="61"/>
      <c r="S5691" s="40"/>
      <c r="T5691" s="38"/>
      <c r="U5691" s="38"/>
      <c r="V5691" s="38"/>
      <c r="W5691" s="60"/>
      <c r="AB5691" s="42"/>
      <c r="AC5691" s="35"/>
      <c r="AD5691" s="38"/>
      <c r="AE5691" s="38"/>
      <c r="AF5691" s="38"/>
      <c r="AG5691" s="38"/>
      <c r="AH5691" s="60"/>
    </row>
    <row r="5692" spans="1:34" ht="15.75" customHeight="1">
      <c r="A5692" s="17">
        <v>39</v>
      </c>
      <c r="B5692" s="78" t="s">
        <v>19544</v>
      </c>
      <c r="C5692" s="37" t="s">
        <v>24</v>
      </c>
      <c r="D5692" s="20" t="s">
        <v>19545</v>
      </c>
      <c r="E5692" s="20" t="s">
        <v>19546</v>
      </c>
      <c r="F5692" s="19" t="s">
        <v>27</v>
      </c>
      <c r="G5692" s="19" t="s">
        <v>28</v>
      </c>
      <c r="H5692" s="37" t="s">
        <v>55</v>
      </c>
      <c r="I5692" s="37" t="s">
        <v>29</v>
      </c>
      <c r="J5692" s="155" t="str">
        <f t="shared" si="14"/>
        <v>TT</v>
      </c>
      <c r="K5692" s="22" t="s">
        <v>19547</v>
      </c>
      <c r="L5692" s="56">
        <v>45139</v>
      </c>
      <c r="P5692" s="40"/>
      <c r="Q5692" s="61"/>
      <c r="R5692" s="61"/>
      <c r="S5692" s="40"/>
      <c r="T5692" s="38"/>
      <c r="U5692" s="38"/>
      <c r="V5692" s="38"/>
      <c r="W5692" s="60"/>
      <c r="AB5692" s="42"/>
      <c r="AC5692" s="35"/>
      <c r="AD5692" s="38"/>
      <c r="AE5692" s="38"/>
      <c r="AF5692" s="38"/>
      <c r="AG5692" s="38"/>
      <c r="AH5692" s="60"/>
    </row>
    <row r="5693" spans="1:34" ht="15.75" customHeight="1">
      <c r="A5693" s="111" t="s">
        <v>64</v>
      </c>
      <c r="B5693" s="78" t="s">
        <v>19548</v>
      </c>
      <c r="C5693" s="37" t="s">
        <v>87</v>
      </c>
      <c r="D5693" s="20" t="s">
        <v>19549</v>
      </c>
      <c r="E5693" s="20" t="s">
        <v>19550</v>
      </c>
      <c r="F5693" s="19" t="s">
        <v>90</v>
      </c>
      <c r="G5693" s="19" t="s">
        <v>91</v>
      </c>
      <c r="H5693" s="37" t="s">
        <v>55</v>
      </c>
      <c r="I5693" s="37" t="s">
        <v>29</v>
      </c>
      <c r="J5693" s="155" t="str">
        <f t="shared" si="14"/>
        <v>TT</v>
      </c>
      <c r="K5693" s="22" t="s">
        <v>19551</v>
      </c>
      <c r="L5693" s="56">
        <v>45139</v>
      </c>
      <c r="P5693" s="40"/>
      <c r="Q5693" s="61"/>
      <c r="R5693" s="61"/>
      <c r="S5693" s="40"/>
      <c r="T5693" s="38"/>
      <c r="U5693" s="38"/>
      <c r="V5693" s="38"/>
      <c r="W5693" s="60"/>
      <c r="AB5693" s="42"/>
      <c r="AC5693" s="35"/>
      <c r="AD5693" s="38"/>
      <c r="AE5693" s="38"/>
      <c r="AF5693" s="38"/>
      <c r="AG5693" s="38"/>
      <c r="AH5693" s="60"/>
    </row>
    <row r="5694" spans="1:34" ht="15.75" customHeight="1">
      <c r="A5694" s="75">
        <v>2</v>
      </c>
      <c r="B5694" s="78" t="s">
        <v>19552</v>
      </c>
      <c r="C5694" s="37" t="s">
        <v>1366</v>
      </c>
      <c r="D5694" s="20" t="s">
        <v>19553</v>
      </c>
      <c r="E5694" s="20" t="s">
        <v>19554</v>
      </c>
      <c r="F5694" s="55" t="s">
        <v>1369</v>
      </c>
      <c r="G5694" s="55" t="s">
        <v>1370</v>
      </c>
      <c r="H5694" s="37" t="s">
        <v>813</v>
      </c>
      <c r="I5694" s="21" t="s">
        <v>1371</v>
      </c>
      <c r="J5694" s="155" t="str">
        <f t="shared" si="14"/>
        <v>Other</v>
      </c>
      <c r="K5694" s="22" t="s">
        <v>19555</v>
      </c>
      <c r="L5694" s="56">
        <v>45139</v>
      </c>
      <c r="P5694" s="40"/>
      <c r="Q5694" s="61"/>
      <c r="R5694" s="61"/>
      <c r="S5694" s="40"/>
      <c r="T5694" s="38"/>
      <c r="U5694" s="38"/>
      <c r="V5694" s="38"/>
      <c r="W5694" s="60"/>
      <c r="AB5694" s="42"/>
      <c r="AC5694" s="35"/>
      <c r="AD5694" s="38"/>
      <c r="AE5694" s="38"/>
      <c r="AF5694" s="38"/>
      <c r="AG5694" s="38"/>
      <c r="AH5694" s="60"/>
    </row>
    <row r="5695" spans="1:34" ht="15.75" customHeight="1">
      <c r="A5695" s="111" t="s">
        <v>73</v>
      </c>
      <c r="B5695" s="78" t="s">
        <v>19556</v>
      </c>
      <c r="C5695" s="37" t="s">
        <v>24</v>
      </c>
      <c r="D5695" s="20" t="s">
        <v>19557</v>
      </c>
      <c r="E5695" s="20" t="s">
        <v>19558</v>
      </c>
      <c r="F5695" s="19" t="s">
        <v>27</v>
      </c>
      <c r="G5695" s="19" t="s">
        <v>28</v>
      </c>
      <c r="H5695" s="37" t="s">
        <v>55</v>
      </c>
      <c r="I5695" s="37" t="s">
        <v>29</v>
      </c>
      <c r="J5695" s="155" t="str">
        <f t="shared" si="14"/>
        <v>TT</v>
      </c>
      <c r="K5695" s="22" t="s">
        <v>19559</v>
      </c>
      <c r="L5695" s="56">
        <v>45139</v>
      </c>
      <c r="P5695" s="40"/>
      <c r="Q5695" s="61"/>
      <c r="R5695" s="61"/>
      <c r="S5695" s="40"/>
      <c r="T5695" s="38"/>
      <c r="U5695" s="38"/>
      <c r="V5695" s="38"/>
      <c r="W5695" s="60"/>
      <c r="AB5695" s="42"/>
      <c r="AC5695" s="35"/>
      <c r="AD5695" s="38"/>
      <c r="AE5695" s="38"/>
      <c r="AF5695" s="38"/>
      <c r="AG5695" s="38"/>
      <c r="AH5695" s="60"/>
    </row>
    <row r="5696" spans="1:34" ht="15.75" customHeight="1">
      <c r="A5696" s="75">
        <v>2.6</v>
      </c>
      <c r="B5696" s="78" t="s">
        <v>19560</v>
      </c>
      <c r="C5696" s="37" t="s">
        <v>24</v>
      </c>
      <c r="D5696" s="20" t="s">
        <v>19561</v>
      </c>
      <c r="E5696" s="20" t="s">
        <v>19562</v>
      </c>
      <c r="F5696" s="19" t="s">
        <v>27</v>
      </c>
      <c r="G5696" s="19" t="s">
        <v>28</v>
      </c>
      <c r="H5696" s="37" t="s">
        <v>55</v>
      </c>
      <c r="I5696" s="37" t="s">
        <v>29</v>
      </c>
      <c r="J5696" s="155" t="str">
        <f t="shared" si="14"/>
        <v>TT</v>
      </c>
      <c r="K5696" s="22" t="s">
        <v>19563</v>
      </c>
      <c r="L5696" s="56">
        <v>45139</v>
      </c>
      <c r="P5696" s="40"/>
      <c r="Q5696" s="61"/>
      <c r="R5696" s="61"/>
      <c r="S5696" s="40"/>
      <c r="T5696" s="38"/>
      <c r="U5696" s="38"/>
      <c r="V5696" s="38"/>
      <c r="W5696" s="60"/>
      <c r="AB5696" s="42"/>
      <c r="AC5696" s="35"/>
      <c r="AD5696" s="38"/>
      <c r="AE5696" s="38"/>
      <c r="AF5696" s="38"/>
      <c r="AG5696" s="38"/>
      <c r="AH5696" s="60"/>
    </row>
    <row r="5697" spans="1:34" ht="15.75" customHeight="1">
      <c r="A5697" s="111" t="s">
        <v>82</v>
      </c>
      <c r="B5697" s="78" t="s">
        <v>19564</v>
      </c>
      <c r="C5697" s="37" t="s">
        <v>24</v>
      </c>
      <c r="D5697" s="20" t="s">
        <v>19565</v>
      </c>
      <c r="E5697" s="20" t="s">
        <v>19566</v>
      </c>
      <c r="F5697" s="19" t="s">
        <v>27</v>
      </c>
      <c r="G5697" s="19" t="s">
        <v>28</v>
      </c>
      <c r="H5697" s="37" t="s">
        <v>55</v>
      </c>
      <c r="I5697" s="37" t="s">
        <v>29</v>
      </c>
      <c r="J5697" s="155" t="str">
        <f t="shared" si="14"/>
        <v>TT</v>
      </c>
      <c r="K5697" s="22" t="s">
        <v>19567</v>
      </c>
      <c r="L5697" s="56">
        <v>45139</v>
      </c>
      <c r="P5697" s="40"/>
      <c r="Q5697" s="61"/>
      <c r="R5697" s="61"/>
      <c r="S5697" s="40"/>
      <c r="T5697" s="38"/>
      <c r="U5697" s="38"/>
      <c r="V5697" s="38"/>
      <c r="W5697" s="60"/>
      <c r="AB5697" s="42"/>
      <c r="AC5697" s="35"/>
      <c r="AD5697" s="38"/>
      <c r="AE5697" s="38"/>
      <c r="AF5697" s="38"/>
      <c r="AG5697" s="38"/>
      <c r="AH5697" s="60"/>
    </row>
    <row r="5698" spans="1:34" ht="15.75" customHeight="1">
      <c r="A5698" s="75" t="s">
        <v>19568</v>
      </c>
      <c r="B5698" s="78" t="s">
        <v>19569</v>
      </c>
      <c r="C5698" s="37" t="s">
        <v>87</v>
      </c>
      <c r="D5698" s="20" t="s">
        <v>19570</v>
      </c>
      <c r="E5698" s="20" t="s">
        <v>19571</v>
      </c>
      <c r="F5698" s="19" t="s">
        <v>90</v>
      </c>
      <c r="G5698" s="19" t="s">
        <v>91</v>
      </c>
      <c r="H5698" s="37" t="s">
        <v>55</v>
      </c>
      <c r="I5698" s="37" t="s">
        <v>29</v>
      </c>
      <c r="J5698" s="155" t="str">
        <f t="shared" si="14"/>
        <v>TT</v>
      </c>
      <c r="K5698" s="22" t="s">
        <v>19572</v>
      </c>
      <c r="L5698" s="56">
        <v>45139</v>
      </c>
      <c r="P5698" s="40"/>
      <c r="Q5698" s="61"/>
      <c r="R5698" s="61"/>
      <c r="S5698" s="40"/>
      <c r="T5698" s="38"/>
      <c r="U5698" s="38"/>
      <c r="V5698" s="38"/>
      <c r="W5698" s="60"/>
      <c r="AB5698" s="42"/>
      <c r="AC5698" s="35"/>
      <c r="AD5698" s="38"/>
      <c r="AE5698" s="38"/>
      <c r="AF5698" s="38"/>
      <c r="AG5698" s="38"/>
      <c r="AH5698" s="60"/>
    </row>
    <row r="5699" spans="1:34" ht="15.75" customHeight="1">
      <c r="A5699" s="111" t="s">
        <v>92</v>
      </c>
      <c r="B5699" s="78" t="s">
        <v>19573</v>
      </c>
      <c r="C5699" s="37" t="s">
        <v>87</v>
      </c>
      <c r="D5699" s="20" t="s">
        <v>19574</v>
      </c>
      <c r="E5699" s="20" t="s">
        <v>19575</v>
      </c>
      <c r="F5699" s="19" t="s">
        <v>90</v>
      </c>
      <c r="G5699" s="19" t="s">
        <v>91</v>
      </c>
      <c r="H5699" s="37" t="s">
        <v>55</v>
      </c>
      <c r="I5699" s="37" t="s">
        <v>29</v>
      </c>
      <c r="J5699" s="155" t="str">
        <f t="shared" si="14"/>
        <v>TT</v>
      </c>
      <c r="K5699" s="22" t="s">
        <v>19576</v>
      </c>
      <c r="L5699" s="56">
        <v>45139</v>
      </c>
      <c r="P5699" s="40"/>
      <c r="Q5699" s="61"/>
      <c r="R5699" s="61"/>
      <c r="S5699" s="40"/>
      <c r="T5699" s="38"/>
      <c r="U5699" s="38"/>
      <c r="V5699" s="38"/>
      <c r="W5699" s="60"/>
      <c r="AB5699" s="42"/>
      <c r="AC5699" s="35"/>
      <c r="AD5699" s="38"/>
      <c r="AE5699" s="38"/>
      <c r="AF5699" s="38"/>
      <c r="AG5699" s="38"/>
      <c r="AH5699" s="60"/>
    </row>
    <row r="5700" spans="1:34" ht="15.75" customHeight="1">
      <c r="A5700" s="112">
        <v>400</v>
      </c>
      <c r="B5700" s="78" t="s">
        <v>19577</v>
      </c>
      <c r="C5700" s="37" t="s">
        <v>24</v>
      </c>
      <c r="D5700" s="20" t="s">
        <v>19578</v>
      </c>
      <c r="E5700" s="20" t="s">
        <v>19579</v>
      </c>
      <c r="F5700" s="19" t="s">
        <v>27</v>
      </c>
      <c r="G5700" s="19" t="s">
        <v>28</v>
      </c>
      <c r="H5700" s="37" t="s">
        <v>55</v>
      </c>
      <c r="I5700" s="37" t="s">
        <v>29</v>
      </c>
      <c r="J5700" s="155" t="str">
        <f t="shared" si="14"/>
        <v>TT</v>
      </c>
      <c r="K5700" s="22" t="s">
        <v>19580</v>
      </c>
      <c r="L5700" s="56">
        <v>45139</v>
      </c>
      <c r="P5700" s="40"/>
      <c r="Q5700" s="61"/>
      <c r="R5700" s="61"/>
      <c r="S5700" s="40"/>
      <c r="T5700" s="38"/>
      <c r="U5700" s="38"/>
      <c r="V5700" s="38"/>
      <c r="W5700" s="60"/>
      <c r="AB5700" s="42"/>
      <c r="AC5700" s="35"/>
      <c r="AD5700" s="38"/>
      <c r="AE5700" s="38"/>
      <c r="AF5700" s="38"/>
      <c r="AG5700" s="38"/>
      <c r="AH5700" s="60"/>
    </row>
    <row r="5701" spans="1:34" ht="15.75" customHeight="1">
      <c r="A5701" s="111" t="s">
        <v>100</v>
      </c>
      <c r="B5701" s="78" t="s">
        <v>19581</v>
      </c>
      <c r="C5701" s="37" t="s">
        <v>24</v>
      </c>
      <c r="D5701" s="20" t="s">
        <v>19582</v>
      </c>
      <c r="E5701" s="20" t="s">
        <v>19583</v>
      </c>
      <c r="F5701" s="19" t="s">
        <v>27</v>
      </c>
      <c r="G5701" s="19" t="s">
        <v>28</v>
      </c>
      <c r="H5701" s="37" t="s">
        <v>55</v>
      </c>
      <c r="I5701" s="37" t="s">
        <v>29</v>
      </c>
      <c r="J5701" s="155" t="str">
        <f t="shared" si="14"/>
        <v>TT</v>
      </c>
      <c r="K5701" s="22" t="s">
        <v>19584</v>
      </c>
      <c r="L5701" s="56">
        <v>45139</v>
      </c>
      <c r="P5701" s="40"/>
      <c r="Q5701" s="61"/>
      <c r="R5701" s="61"/>
      <c r="S5701" s="40"/>
      <c r="T5701" s="38"/>
      <c r="U5701" s="38"/>
      <c r="V5701" s="38"/>
      <c r="W5701" s="60"/>
      <c r="AB5701" s="42"/>
      <c r="AC5701" s="35"/>
      <c r="AD5701" s="38"/>
      <c r="AE5701" s="38"/>
      <c r="AF5701" s="38"/>
      <c r="AG5701" s="38"/>
      <c r="AH5701" s="60"/>
    </row>
    <row r="5702" spans="1:34" ht="15.75" customHeight="1">
      <c r="A5702" s="75">
        <v>157</v>
      </c>
      <c r="B5702" s="78" t="s">
        <v>19585</v>
      </c>
      <c r="C5702" s="37" t="s">
        <v>46</v>
      </c>
      <c r="D5702" s="20" t="s">
        <v>19586</v>
      </c>
      <c r="E5702" s="20" t="s">
        <v>19587</v>
      </c>
      <c r="F5702" s="37" t="s">
        <v>49</v>
      </c>
      <c r="G5702" s="19" t="s">
        <v>50</v>
      </c>
      <c r="H5702" s="37" t="s">
        <v>55</v>
      </c>
      <c r="I5702" s="37" t="s">
        <v>29</v>
      </c>
      <c r="J5702" s="155" t="str">
        <f t="shared" si="14"/>
        <v>TT</v>
      </c>
      <c r="K5702" s="22" t="s">
        <v>19588</v>
      </c>
      <c r="L5702" s="56">
        <v>45139</v>
      </c>
      <c r="P5702" s="40"/>
      <c r="Q5702" s="61"/>
      <c r="R5702" s="61"/>
      <c r="S5702" s="40"/>
      <c r="T5702" s="38"/>
      <c r="U5702" s="38"/>
      <c r="V5702" s="38"/>
      <c r="W5702" s="60"/>
      <c r="AB5702" s="42"/>
      <c r="AC5702" s="35"/>
      <c r="AD5702" s="38"/>
      <c r="AE5702" s="38"/>
      <c r="AF5702" s="38"/>
      <c r="AG5702" s="38"/>
      <c r="AH5702" s="60"/>
    </row>
    <row r="5703" spans="1:34" ht="15.75" customHeight="1">
      <c r="A5703" s="35"/>
      <c r="B5703" s="78" t="s">
        <v>19589</v>
      </c>
      <c r="C5703" s="37" t="s">
        <v>87</v>
      </c>
      <c r="D5703" s="20" t="s">
        <v>19590</v>
      </c>
      <c r="E5703" s="20" t="s">
        <v>19591</v>
      </c>
      <c r="F5703" s="19" t="s">
        <v>90</v>
      </c>
      <c r="G5703" s="19" t="s">
        <v>91</v>
      </c>
      <c r="H5703" s="37" t="s">
        <v>55</v>
      </c>
      <c r="I5703" s="37" t="s">
        <v>29</v>
      </c>
      <c r="J5703" s="155" t="str">
        <f t="shared" si="14"/>
        <v>TT</v>
      </c>
      <c r="K5703" s="22" t="s">
        <v>19592</v>
      </c>
      <c r="L5703" s="56">
        <v>45139</v>
      </c>
      <c r="P5703" s="40"/>
      <c r="Q5703" s="61"/>
      <c r="R5703" s="61"/>
      <c r="S5703" s="40"/>
      <c r="T5703" s="38"/>
      <c r="U5703" s="38"/>
      <c r="V5703" s="38"/>
      <c r="W5703" s="60"/>
      <c r="AB5703" s="42"/>
      <c r="AC5703" s="35"/>
      <c r="AD5703" s="38"/>
      <c r="AE5703" s="38"/>
      <c r="AF5703" s="38"/>
      <c r="AG5703" s="38"/>
      <c r="AH5703" s="60"/>
    </row>
    <row r="5704" spans="1:34" ht="15.75" customHeight="1">
      <c r="A5704" s="35"/>
      <c r="B5704" s="78" t="s">
        <v>19593</v>
      </c>
      <c r="C5704" s="37" t="s">
        <v>46</v>
      </c>
      <c r="D5704" s="20" t="s">
        <v>19594</v>
      </c>
      <c r="E5704" s="20" t="s">
        <v>19595</v>
      </c>
      <c r="F5704" s="37" t="s">
        <v>49</v>
      </c>
      <c r="G5704" s="19" t="s">
        <v>50</v>
      </c>
      <c r="H5704" s="37" t="s">
        <v>55</v>
      </c>
      <c r="I5704" s="37" t="s">
        <v>29</v>
      </c>
      <c r="J5704" s="155" t="str">
        <f t="shared" si="14"/>
        <v>TT</v>
      </c>
      <c r="K5704" s="22" t="s">
        <v>19596</v>
      </c>
      <c r="L5704" s="56">
        <v>45139</v>
      </c>
      <c r="P5704" s="40"/>
      <c r="Q5704" s="61"/>
      <c r="R5704" s="61"/>
      <c r="S5704" s="40"/>
      <c r="T5704" s="38"/>
      <c r="U5704" s="38"/>
      <c r="V5704" s="38"/>
      <c r="W5704" s="60"/>
      <c r="AB5704" s="42"/>
      <c r="AC5704" s="35"/>
      <c r="AD5704" s="38"/>
      <c r="AE5704" s="38"/>
      <c r="AF5704" s="38"/>
      <c r="AG5704" s="38"/>
      <c r="AH5704" s="60"/>
    </row>
    <row r="5705" spans="1:34" ht="15.75" customHeight="1">
      <c r="A5705" s="35"/>
      <c r="B5705" s="78" t="s">
        <v>19597</v>
      </c>
      <c r="C5705" s="37" t="s">
        <v>24</v>
      </c>
      <c r="D5705" s="20" t="s">
        <v>19598</v>
      </c>
      <c r="E5705" s="20" t="s">
        <v>19599</v>
      </c>
      <c r="F5705" s="19" t="s">
        <v>27</v>
      </c>
      <c r="G5705" s="19" t="s">
        <v>28</v>
      </c>
      <c r="H5705" s="37" t="s">
        <v>55</v>
      </c>
      <c r="I5705" s="37" t="s">
        <v>29</v>
      </c>
      <c r="J5705" s="155" t="str">
        <f t="shared" si="14"/>
        <v>TT</v>
      </c>
      <c r="K5705" s="22" t="s">
        <v>19600</v>
      </c>
      <c r="L5705" s="56">
        <v>45139</v>
      </c>
      <c r="P5705" s="40"/>
      <c r="Q5705" s="61"/>
      <c r="R5705" s="61"/>
      <c r="S5705" s="40"/>
      <c r="T5705" s="38"/>
      <c r="U5705" s="38"/>
      <c r="V5705" s="38"/>
      <c r="W5705" s="60"/>
      <c r="AB5705" s="42"/>
      <c r="AC5705" s="35"/>
      <c r="AD5705" s="38"/>
      <c r="AE5705" s="38"/>
      <c r="AF5705" s="38"/>
      <c r="AG5705" s="38"/>
      <c r="AH5705" s="60"/>
    </row>
    <row r="5706" spans="1:34" ht="15.75" customHeight="1">
      <c r="A5706" s="35"/>
      <c r="B5706" s="78" t="s">
        <v>19601</v>
      </c>
      <c r="C5706" s="37" t="s">
        <v>24</v>
      </c>
      <c r="D5706" s="20" t="s">
        <v>19602</v>
      </c>
      <c r="E5706" s="20" t="s">
        <v>19603</v>
      </c>
      <c r="F5706" s="19" t="s">
        <v>27</v>
      </c>
      <c r="G5706" s="19" t="s">
        <v>28</v>
      </c>
      <c r="H5706" s="37" t="s">
        <v>55</v>
      </c>
      <c r="I5706" s="37" t="s">
        <v>29</v>
      </c>
      <c r="J5706" s="155" t="str">
        <f t="shared" si="14"/>
        <v>TT</v>
      </c>
      <c r="K5706" s="22" t="s">
        <v>19604</v>
      </c>
      <c r="L5706" s="56">
        <v>45139</v>
      </c>
      <c r="P5706" s="40"/>
      <c r="Q5706" s="61"/>
      <c r="R5706" s="61"/>
      <c r="S5706" s="40"/>
      <c r="T5706" s="38"/>
      <c r="U5706" s="38"/>
      <c r="V5706" s="38"/>
      <c r="W5706" s="60"/>
      <c r="AB5706" s="42"/>
      <c r="AC5706" s="35"/>
      <c r="AD5706" s="38"/>
      <c r="AE5706" s="38"/>
      <c r="AF5706" s="38"/>
      <c r="AG5706" s="38"/>
      <c r="AH5706" s="60"/>
    </row>
    <row r="5707" spans="1:34" ht="15.75" customHeight="1">
      <c r="A5707" s="35"/>
      <c r="B5707" s="78" t="s">
        <v>19605</v>
      </c>
      <c r="C5707" s="37" t="s">
        <v>24</v>
      </c>
      <c r="D5707" s="20" t="s">
        <v>19606</v>
      </c>
      <c r="E5707" s="20" t="s">
        <v>19607</v>
      </c>
      <c r="F5707" s="19" t="s">
        <v>27</v>
      </c>
      <c r="G5707" s="19" t="s">
        <v>28</v>
      </c>
      <c r="H5707" s="37" t="s">
        <v>55</v>
      </c>
      <c r="I5707" s="37" t="s">
        <v>29</v>
      </c>
      <c r="J5707" s="155" t="str">
        <f t="shared" si="14"/>
        <v>TT</v>
      </c>
      <c r="K5707" s="22" t="s">
        <v>19608</v>
      </c>
      <c r="L5707" s="56">
        <v>45139</v>
      </c>
      <c r="P5707" s="40"/>
      <c r="Q5707" s="61"/>
      <c r="R5707" s="61"/>
      <c r="S5707" s="40"/>
      <c r="T5707" s="38"/>
      <c r="U5707" s="38"/>
      <c r="V5707" s="38"/>
      <c r="W5707" s="60"/>
      <c r="AB5707" s="42"/>
      <c r="AC5707" s="35"/>
      <c r="AD5707" s="38"/>
      <c r="AE5707" s="38"/>
      <c r="AF5707" s="38"/>
      <c r="AG5707" s="38"/>
      <c r="AH5707" s="60"/>
    </row>
    <row r="5708" spans="1:34" ht="15.75" customHeight="1">
      <c r="A5708" s="35"/>
      <c r="B5708" s="78" t="s">
        <v>19609</v>
      </c>
      <c r="C5708" s="37" t="s">
        <v>24</v>
      </c>
      <c r="D5708" s="20" t="s">
        <v>19610</v>
      </c>
      <c r="E5708" s="20" t="s">
        <v>19611</v>
      </c>
      <c r="F5708" s="19" t="s">
        <v>27</v>
      </c>
      <c r="G5708" s="19" t="s">
        <v>28</v>
      </c>
      <c r="H5708" s="37" t="s">
        <v>55</v>
      </c>
      <c r="I5708" s="37" t="s">
        <v>29</v>
      </c>
      <c r="J5708" s="155" t="str">
        <f t="shared" si="14"/>
        <v>TT</v>
      </c>
      <c r="K5708" s="22" t="s">
        <v>19612</v>
      </c>
      <c r="L5708" s="56">
        <v>45139</v>
      </c>
      <c r="P5708" s="40"/>
      <c r="Q5708" s="61"/>
      <c r="R5708" s="61"/>
      <c r="S5708" s="40"/>
      <c r="T5708" s="38"/>
      <c r="U5708" s="38"/>
      <c r="V5708" s="38"/>
      <c r="W5708" s="60"/>
      <c r="AB5708" s="42"/>
      <c r="AC5708" s="35"/>
      <c r="AD5708" s="38"/>
      <c r="AE5708" s="38"/>
      <c r="AF5708" s="38"/>
      <c r="AG5708" s="38"/>
      <c r="AH5708" s="60"/>
    </row>
    <row r="5709" spans="1:34" ht="15.75" customHeight="1">
      <c r="A5709" s="35"/>
      <c r="B5709" s="78" t="s">
        <v>19613</v>
      </c>
      <c r="C5709" s="37" t="s">
        <v>46</v>
      </c>
      <c r="D5709" s="20" t="s">
        <v>19614</v>
      </c>
      <c r="E5709" s="20" t="s">
        <v>19615</v>
      </c>
      <c r="F5709" s="37" t="s">
        <v>49</v>
      </c>
      <c r="G5709" s="19" t="s">
        <v>50</v>
      </c>
      <c r="H5709" s="37" t="s">
        <v>55</v>
      </c>
      <c r="I5709" s="37" t="s">
        <v>29</v>
      </c>
      <c r="J5709" s="155" t="str">
        <f t="shared" si="14"/>
        <v>TT</v>
      </c>
      <c r="K5709" s="22" t="s">
        <v>19616</v>
      </c>
      <c r="L5709" s="56">
        <v>45139</v>
      </c>
      <c r="P5709" s="40"/>
      <c r="Q5709" s="61"/>
      <c r="R5709" s="61"/>
      <c r="S5709" s="40"/>
      <c r="T5709" s="38"/>
      <c r="U5709" s="38"/>
      <c r="V5709" s="38"/>
      <c r="W5709" s="60"/>
      <c r="AB5709" s="42"/>
      <c r="AC5709" s="35"/>
      <c r="AD5709" s="38"/>
      <c r="AE5709" s="38"/>
      <c r="AF5709" s="38"/>
      <c r="AG5709" s="38"/>
      <c r="AH5709" s="60"/>
    </row>
    <row r="5710" spans="1:34" ht="15.75" customHeight="1">
      <c r="A5710" s="35"/>
      <c r="B5710" s="78" t="s">
        <v>19617</v>
      </c>
      <c r="C5710" s="37" t="s">
        <v>46</v>
      </c>
      <c r="D5710" s="20" t="s">
        <v>19618</v>
      </c>
      <c r="E5710" s="20" t="s">
        <v>19619</v>
      </c>
      <c r="F5710" s="37" t="s">
        <v>49</v>
      </c>
      <c r="G5710" s="19" t="s">
        <v>50</v>
      </c>
      <c r="H5710" s="37" t="s">
        <v>55</v>
      </c>
      <c r="I5710" s="37" t="s">
        <v>29</v>
      </c>
      <c r="J5710" s="155" t="str">
        <f t="shared" si="14"/>
        <v>TT</v>
      </c>
      <c r="K5710" s="22" t="s">
        <v>19620</v>
      </c>
      <c r="L5710" s="56">
        <v>45139</v>
      </c>
      <c r="P5710" s="40"/>
      <c r="Q5710" s="61"/>
      <c r="R5710" s="61"/>
      <c r="S5710" s="40"/>
      <c r="T5710" s="38"/>
      <c r="U5710" s="38"/>
      <c r="V5710" s="38"/>
      <c r="W5710" s="60"/>
      <c r="AB5710" s="42"/>
      <c r="AC5710" s="35"/>
      <c r="AD5710" s="38"/>
      <c r="AE5710" s="38"/>
      <c r="AF5710" s="38"/>
      <c r="AG5710" s="38"/>
      <c r="AH5710" s="60"/>
    </row>
    <row r="5711" spans="1:34" ht="15.75" customHeight="1">
      <c r="A5711" s="35"/>
      <c r="B5711" s="38"/>
      <c r="C5711" s="37"/>
      <c r="D5711" s="20"/>
      <c r="E5711" s="20"/>
      <c r="F5711" s="37"/>
      <c r="G5711" s="37"/>
      <c r="H5711" s="37"/>
      <c r="I5711" s="37"/>
      <c r="J5711" s="155">
        <f t="shared" si="14"/>
        <v>0</v>
      </c>
      <c r="K5711" s="22"/>
      <c r="L5711" s="56"/>
      <c r="P5711" s="40"/>
      <c r="Q5711" s="61"/>
      <c r="R5711" s="61"/>
      <c r="S5711" s="40"/>
      <c r="T5711" s="38"/>
      <c r="U5711" s="38"/>
      <c r="V5711" s="38"/>
      <c r="W5711" s="60"/>
      <c r="AB5711" s="42"/>
      <c r="AC5711" s="35"/>
      <c r="AD5711" s="38"/>
      <c r="AE5711" s="38"/>
      <c r="AF5711" s="38"/>
      <c r="AG5711" s="38"/>
      <c r="AH5711" s="60"/>
    </row>
    <row r="5712" spans="1:34" ht="15.75" customHeight="1">
      <c r="A5712" s="35" t="s">
        <v>19621</v>
      </c>
      <c r="B5712" s="78" t="s">
        <v>19622</v>
      </c>
      <c r="C5712" s="37" t="s">
        <v>24</v>
      </c>
      <c r="D5712" s="20" t="s">
        <v>19623</v>
      </c>
      <c r="E5712" s="20" t="s">
        <v>19624</v>
      </c>
      <c r="F5712" s="19" t="s">
        <v>27</v>
      </c>
      <c r="G5712" s="19" t="s">
        <v>28</v>
      </c>
      <c r="H5712" s="37" t="s">
        <v>55</v>
      </c>
      <c r="I5712" s="37" t="s">
        <v>29</v>
      </c>
      <c r="J5712" s="155" t="str">
        <f t="shared" si="14"/>
        <v>TT</v>
      </c>
      <c r="K5712" s="22" t="s">
        <v>19625</v>
      </c>
      <c r="L5712" s="56">
        <v>45139</v>
      </c>
      <c r="M5712" s="40"/>
      <c r="P5712" s="40"/>
      <c r="Q5712" s="61"/>
      <c r="R5712" s="61"/>
      <c r="S5712" s="40"/>
      <c r="T5712" s="38"/>
      <c r="U5712" s="38"/>
      <c r="V5712" s="38"/>
      <c r="W5712" s="60"/>
      <c r="AB5712" s="42"/>
      <c r="AC5712" s="35"/>
      <c r="AD5712" s="38"/>
      <c r="AE5712" s="38"/>
      <c r="AF5712" s="38"/>
      <c r="AG5712" s="38"/>
      <c r="AH5712" s="60"/>
    </row>
    <row r="5713" spans="1:34" ht="15.75" customHeight="1">
      <c r="A5713" s="54" t="s">
        <v>2714</v>
      </c>
      <c r="B5713" s="78" t="s">
        <v>19626</v>
      </c>
      <c r="C5713" s="37" t="s">
        <v>24</v>
      </c>
      <c r="D5713" s="20" t="s">
        <v>19627</v>
      </c>
      <c r="E5713" s="20" t="s">
        <v>19628</v>
      </c>
      <c r="F5713" s="19" t="s">
        <v>27</v>
      </c>
      <c r="G5713" s="19" t="s">
        <v>28</v>
      </c>
      <c r="H5713" s="37" t="s">
        <v>55</v>
      </c>
      <c r="I5713" s="37" t="s">
        <v>29</v>
      </c>
      <c r="J5713" s="155" t="str">
        <f t="shared" si="14"/>
        <v>TT</v>
      </c>
      <c r="K5713" s="22" t="s">
        <v>19629</v>
      </c>
      <c r="L5713" s="56">
        <v>45139</v>
      </c>
      <c r="P5713" s="40"/>
      <c r="Q5713" s="61"/>
      <c r="R5713" s="61"/>
      <c r="S5713" s="40"/>
      <c r="T5713" s="38"/>
      <c r="U5713" s="38"/>
      <c r="V5713" s="38"/>
      <c r="W5713" s="60"/>
      <c r="AB5713" s="42"/>
      <c r="AC5713" s="35"/>
      <c r="AD5713" s="38"/>
      <c r="AE5713" s="38"/>
      <c r="AF5713" s="38"/>
      <c r="AG5713" s="38"/>
      <c r="AH5713" s="60"/>
    </row>
    <row r="5714" spans="1:34" ht="15.75" customHeight="1">
      <c r="A5714" s="114" t="s">
        <v>39</v>
      </c>
      <c r="B5714" s="38" t="s">
        <v>19630</v>
      </c>
      <c r="C5714" s="37" t="s">
        <v>46</v>
      </c>
      <c r="D5714" s="20" t="s">
        <v>19631</v>
      </c>
      <c r="E5714" s="20" t="s">
        <v>19632</v>
      </c>
      <c r="F5714" s="37" t="s">
        <v>49</v>
      </c>
      <c r="G5714" s="19" t="s">
        <v>50</v>
      </c>
      <c r="H5714" s="37" t="s">
        <v>55</v>
      </c>
      <c r="I5714" s="37" t="s">
        <v>29</v>
      </c>
      <c r="J5714" s="155" t="str">
        <f t="shared" si="14"/>
        <v>TT</v>
      </c>
      <c r="K5714" s="22" t="s">
        <v>19633</v>
      </c>
      <c r="L5714" s="56">
        <v>45139</v>
      </c>
      <c r="P5714" s="40"/>
      <c r="Q5714" s="61"/>
      <c r="R5714" s="61"/>
      <c r="S5714" s="40"/>
      <c r="T5714" s="38"/>
      <c r="U5714" s="38"/>
      <c r="V5714" s="38"/>
      <c r="W5714" s="60"/>
      <c r="AB5714" s="42"/>
      <c r="AC5714" s="35"/>
      <c r="AD5714" s="38"/>
      <c r="AE5714" s="38"/>
      <c r="AF5714" s="38"/>
      <c r="AG5714" s="38"/>
      <c r="AH5714" s="60"/>
    </row>
    <row r="5715" spans="1:34" ht="15.75" customHeight="1">
      <c r="A5715" s="38" t="s">
        <v>19531</v>
      </c>
      <c r="B5715" s="38" t="s">
        <v>19634</v>
      </c>
      <c r="C5715" s="37" t="s">
        <v>46</v>
      </c>
      <c r="D5715" s="20" t="s">
        <v>19635</v>
      </c>
      <c r="E5715" s="20" t="s">
        <v>19636</v>
      </c>
      <c r="F5715" s="37" t="s">
        <v>49</v>
      </c>
      <c r="G5715" s="19" t="s">
        <v>50</v>
      </c>
      <c r="H5715" s="37" t="s">
        <v>55</v>
      </c>
      <c r="I5715" s="37" t="s">
        <v>29</v>
      </c>
      <c r="J5715" s="155" t="str">
        <f t="shared" si="14"/>
        <v>TT</v>
      </c>
      <c r="K5715" s="22" t="s">
        <v>19637</v>
      </c>
      <c r="L5715" s="56">
        <v>45139</v>
      </c>
      <c r="P5715" s="40"/>
      <c r="Q5715" s="61"/>
      <c r="R5715" s="61"/>
      <c r="S5715" s="40"/>
      <c r="T5715" s="38"/>
      <c r="U5715" s="38"/>
      <c r="V5715" s="38"/>
      <c r="W5715" s="60"/>
      <c r="AB5715" s="42"/>
      <c r="AC5715" s="35"/>
      <c r="AD5715" s="38"/>
      <c r="AE5715" s="38"/>
      <c r="AF5715" s="38"/>
      <c r="AG5715" s="38"/>
      <c r="AH5715" s="60"/>
    </row>
    <row r="5716" spans="1:34" ht="15.75" customHeight="1">
      <c r="A5716" s="75" t="s">
        <v>18286</v>
      </c>
      <c r="B5716" s="38" t="s">
        <v>19638</v>
      </c>
      <c r="C5716" s="37" t="s">
        <v>24</v>
      </c>
      <c r="D5716" s="20" t="s">
        <v>19639</v>
      </c>
      <c r="E5716" s="20" t="s">
        <v>19640</v>
      </c>
      <c r="F5716" s="19" t="s">
        <v>27</v>
      </c>
      <c r="G5716" s="19" t="s">
        <v>28</v>
      </c>
      <c r="H5716" s="37" t="s">
        <v>55</v>
      </c>
      <c r="I5716" s="37" t="s">
        <v>29</v>
      </c>
      <c r="J5716" s="155" t="str">
        <f t="shared" si="14"/>
        <v>TT</v>
      </c>
      <c r="K5716" s="22" t="s">
        <v>19641</v>
      </c>
      <c r="L5716" s="56">
        <v>45139</v>
      </c>
      <c r="P5716" s="40"/>
      <c r="Q5716" s="61"/>
      <c r="R5716" s="61"/>
      <c r="S5716" s="40"/>
      <c r="T5716" s="38"/>
      <c r="U5716" s="38"/>
      <c r="V5716" s="38"/>
      <c r="W5716" s="60"/>
      <c r="AB5716" s="42"/>
      <c r="AC5716" s="35"/>
      <c r="AD5716" s="38"/>
      <c r="AE5716" s="38"/>
      <c r="AF5716" s="38"/>
      <c r="AG5716" s="38"/>
      <c r="AH5716" s="60"/>
    </row>
    <row r="5717" spans="1:34" ht="15.75" customHeight="1">
      <c r="A5717" s="50" t="s">
        <v>56</v>
      </c>
      <c r="B5717" s="38" t="s">
        <v>19642</v>
      </c>
      <c r="C5717" s="37" t="s">
        <v>24</v>
      </c>
      <c r="D5717" s="20" t="s">
        <v>19643</v>
      </c>
      <c r="E5717" s="20" t="s">
        <v>19644</v>
      </c>
      <c r="F5717" s="19" t="s">
        <v>27</v>
      </c>
      <c r="G5717" s="19" t="s">
        <v>28</v>
      </c>
      <c r="H5717" s="37" t="s">
        <v>55</v>
      </c>
      <c r="I5717" s="37" t="s">
        <v>29</v>
      </c>
      <c r="J5717" s="155" t="str">
        <f t="shared" si="14"/>
        <v>TT</v>
      </c>
      <c r="K5717" s="22" t="s">
        <v>19645</v>
      </c>
      <c r="L5717" s="56">
        <v>45139</v>
      </c>
      <c r="P5717" s="40"/>
      <c r="Q5717" s="61"/>
      <c r="R5717" s="61"/>
      <c r="S5717" s="40"/>
      <c r="T5717" s="38"/>
      <c r="U5717" s="38"/>
      <c r="V5717" s="38"/>
      <c r="W5717" s="60"/>
      <c r="AB5717" s="42"/>
      <c r="AC5717" s="35"/>
      <c r="AD5717" s="38"/>
      <c r="AE5717" s="38"/>
      <c r="AF5717" s="38"/>
      <c r="AG5717" s="38"/>
      <c r="AH5717" s="60"/>
    </row>
    <row r="5718" spans="1:34" ht="15.75" customHeight="1">
      <c r="A5718" s="17">
        <v>28</v>
      </c>
      <c r="B5718" s="38" t="s">
        <v>19646</v>
      </c>
      <c r="C5718" s="37" t="s">
        <v>87</v>
      </c>
      <c r="D5718" s="20" t="s">
        <v>19647</v>
      </c>
      <c r="E5718" s="20" t="s">
        <v>19648</v>
      </c>
      <c r="F5718" s="19" t="s">
        <v>90</v>
      </c>
      <c r="G5718" s="19" t="s">
        <v>91</v>
      </c>
      <c r="H5718" s="37" t="s">
        <v>55</v>
      </c>
      <c r="I5718" s="37" t="s">
        <v>29</v>
      </c>
      <c r="J5718" s="155" t="str">
        <f t="shared" si="14"/>
        <v>TT</v>
      </c>
      <c r="K5718" s="22" t="s">
        <v>19649</v>
      </c>
      <c r="L5718" s="56">
        <v>45139</v>
      </c>
      <c r="P5718" s="40"/>
      <c r="Q5718" s="61"/>
      <c r="R5718" s="61"/>
      <c r="S5718" s="40"/>
      <c r="T5718" s="38"/>
      <c r="U5718" s="38"/>
      <c r="V5718" s="38"/>
      <c r="W5718" s="60"/>
      <c r="AB5718" s="42"/>
      <c r="AC5718" s="35"/>
      <c r="AD5718" s="38"/>
      <c r="AE5718" s="38"/>
      <c r="AF5718" s="38"/>
      <c r="AG5718" s="38"/>
      <c r="AH5718" s="60"/>
    </row>
    <row r="5719" spans="1:34" ht="15.75" customHeight="1">
      <c r="A5719" s="111" t="s">
        <v>64</v>
      </c>
      <c r="B5719" s="78" t="s">
        <v>19650</v>
      </c>
      <c r="C5719" s="37" t="s">
        <v>46</v>
      </c>
      <c r="D5719" s="20" t="s">
        <v>19651</v>
      </c>
      <c r="E5719" s="20" t="s">
        <v>19652</v>
      </c>
      <c r="F5719" s="37" t="s">
        <v>49</v>
      </c>
      <c r="G5719" s="19" t="s">
        <v>50</v>
      </c>
      <c r="H5719" s="37" t="s">
        <v>55</v>
      </c>
      <c r="I5719" s="37" t="s">
        <v>29</v>
      </c>
      <c r="J5719" s="155" t="str">
        <f t="shared" si="14"/>
        <v>TT</v>
      </c>
      <c r="K5719" s="22" t="s">
        <v>19653</v>
      </c>
      <c r="L5719" s="56">
        <v>45139</v>
      </c>
      <c r="P5719" s="40"/>
      <c r="Q5719" s="61"/>
      <c r="R5719" s="61"/>
      <c r="S5719" s="40"/>
      <c r="T5719" s="38"/>
      <c r="U5719" s="38"/>
      <c r="V5719" s="38"/>
      <c r="W5719" s="60"/>
      <c r="AB5719" s="42"/>
      <c r="AC5719" s="35"/>
      <c r="AD5719" s="38"/>
      <c r="AE5719" s="38"/>
      <c r="AF5719" s="38"/>
      <c r="AG5719" s="38"/>
      <c r="AH5719" s="60"/>
    </row>
    <row r="5720" spans="1:34" ht="15.75" customHeight="1">
      <c r="A5720" s="75">
        <v>2</v>
      </c>
      <c r="B5720" s="78" t="s">
        <v>19654</v>
      </c>
      <c r="C5720" s="37" t="s">
        <v>87</v>
      </c>
      <c r="D5720" s="20" t="s">
        <v>19655</v>
      </c>
      <c r="E5720" s="20" t="s">
        <v>19656</v>
      </c>
      <c r="F5720" s="19" t="s">
        <v>90</v>
      </c>
      <c r="G5720" s="19" t="s">
        <v>91</v>
      </c>
      <c r="H5720" s="37" t="s">
        <v>55</v>
      </c>
      <c r="I5720" s="37" t="s">
        <v>29</v>
      </c>
      <c r="J5720" s="155" t="str">
        <f t="shared" si="14"/>
        <v>TT</v>
      </c>
      <c r="K5720" s="22" t="s">
        <v>19657</v>
      </c>
      <c r="L5720" s="56">
        <v>45139</v>
      </c>
      <c r="P5720" s="40"/>
      <c r="Q5720" s="61"/>
      <c r="R5720" s="61"/>
      <c r="S5720" s="40"/>
      <c r="T5720" s="38"/>
      <c r="U5720" s="38"/>
      <c r="V5720" s="38"/>
      <c r="W5720" s="60"/>
      <c r="AB5720" s="42"/>
      <c r="AC5720" s="35"/>
      <c r="AD5720" s="38"/>
      <c r="AE5720" s="38"/>
      <c r="AF5720" s="38"/>
      <c r="AG5720" s="38"/>
      <c r="AH5720" s="60"/>
    </row>
    <row r="5721" spans="1:34" ht="15.75" customHeight="1">
      <c r="A5721" s="111" t="s">
        <v>73</v>
      </c>
      <c r="B5721" s="38" t="s">
        <v>19658</v>
      </c>
      <c r="C5721" s="37" t="s">
        <v>87</v>
      </c>
      <c r="D5721" s="20" t="s">
        <v>19659</v>
      </c>
      <c r="E5721" s="20" t="s">
        <v>19660</v>
      </c>
      <c r="F5721" s="19" t="s">
        <v>90</v>
      </c>
      <c r="G5721" s="19" t="s">
        <v>91</v>
      </c>
      <c r="H5721" s="37" t="s">
        <v>55</v>
      </c>
      <c r="I5721" s="37" t="s">
        <v>29</v>
      </c>
      <c r="J5721" s="155" t="str">
        <f t="shared" si="14"/>
        <v>TT</v>
      </c>
      <c r="K5721" s="22" t="s">
        <v>19661</v>
      </c>
      <c r="L5721" s="56">
        <v>45139</v>
      </c>
      <c r="P5721" s="40"/>
      <c r="Q5721" s="61"/>
      <c r="R5721" s="61"/>
      <c r="S5721" s="40"/>
      <c r="T5721" s="38"/>
      <c r="U5721" s="38"/>
      <c r="V5721" s="38"/>
      <c r="W5721" s="60"/>
      <c r="AB5721" s="42"/>
      <c r="AC5721" s="35"/>
      <c r="AD5721" s="38"/>
      <c r="AE5721" s="38"/>
      <c r="AF5721" s="38"/>
      <c r="AG5721" s="38"/>
      <c r="AH5721" s="60"/>
    </row>
    <row r="5722" spans="1:34" ht="15.75" customHeight="1">
      <c r="A5722" s="75">
        <v>2.2999999999999998</v>
      </c>
      <c r="B5722" s="38" t="s">
        <v>19662</v>
      </c>
      <c r="C5722" s="37" t="s">
        <v>24</v>
      </c>
      <c r="D5722" s="20" t="s">
        <v>19663</v>
      </c>
      <c r="E5722" s="20" t="s">
        <v>19664</v>
      </c>
      <c r="F5722" s="19" t="s">
        <v>27</v>
      </c>
      <c r="G5722" s="19" t="s">
        <v>28</v>
      </c>
      <c r="H5722" s="37" t="s">
        <v>55</v>
      </c>
      <c r="I5722" s="37" t="s">
        <v>29</v>
      </c>
      <c r="J5722" s="155" t="str">
        <f t="shared" si="14"/>
        <v>TT</v>
      </c>
      <c r="K5722" s="22" t="s">
        <v>19665</v>
      </c>
      <c r="L5722" s="56">
        <v>45139</v>
      </c>
      <c r="P5722" s="40"/>
      <c r="Q5722" s="61"/>
      <c r="R5722" s="61"/>
      <c r="S5722" s="40"/>
      <c r="T5722" s="38"/>
      <c r="U5722" s="38"/>
      <c r="V5722" s="38"/>
      <c r="W5722" s="60"/>
      <c r="AB5722" s="42"/>
      <c r="AC5722" s="35"/>
      <c r="AD5722" s="38"/>
      <c r="AE5722" s="38"/>
      <c r="AF5722" s="38"/>
      <c r="AG5722" s="38"/>
      <c r="AH5722" s="60"/>
    </row>
    <row r="5723" spans="1:34" ht="15.75" customHeight="1">
      <c r="A5723" s="111" t="s">
        <v>82</v>
      </c>
      <c r="B5723" s="38" t="s">
        <v>19666</v>
      </c>
      <c r="C5723" s="37" t="s">
        <v>46</v>
      </c>
      <c r="D5723" s="20" t="s">
        <v>19667</v>
      </c>
      <c r="E5723" s="20" t="s">
        <v>19668</v>
      </c>
      <c r="F5723" s="37" t="s">
        <v>49</v>
      </c>
      <c r="G5723" s="19" t="s">
        <v>50</v>
      </c>
      <c r="H5723" s="37" t="s">
        <v>55</v>
      </c>
      <c r="I5723" s="37" t="s">
        <v>29</v>
      </c>
      <c r="J5723" s="155" t="str">
        <f t="shared" si="14"/>
        <v>TT</v>
      </c>
      <c r="K5723" s="22" t="s">
        <v>19669</v>
      </c>
      <c r="L5723" s="56">
        <v>45139</v>
      </c>
      <c r="P5723" s="40"/>
      <c r="Q5723" s="61"/>
      <c r="R5723" s="61"/>
      <c r="S5723" s="40"/>
      <c r="T5723" s="38"/>
      <c r="U5723" s="38"/>
      <c r="V5723" s="38"/>
      <c r="W5723" s="60"/>
      <c r="AB5723" s="42"/>
      <c r="AC5723" s="35"/>
      <c r="AD5723" s="38"/>
      <c r="AE5723" s="38"/>
      <c r="AF5723" s="38"/>
      <c r="AG5723" s="38"/>
      <c r="AH5723" s="60"/>
    </row>
    <row r="5724" spans="1:34" ht="15.75" customHeight="1">
      <c r="A5724" s="75" t="s">
        <v>19670</v>
      </c>
      <c r="B5724" s="38" t="s">
        <v>19671</v>
      </c>
      <c r="C5724" s="37" t="s">
        <v>87</v>
      </c>
      <c r="D5724" s="20" t="s">
        <v>19672</v>
      </c>
      <c r="E5724" s="20" t="s">
        <v>19673</v>
      </c>
      <c r="F5724" s="19" t="s">
        <v>90</v>
      </c>
      <c r="G5724" s="19" t="s">
        <v>91</v>
      </c>
      <c r="H5724" s="37" t="s">
        <v>55</v>
      </c>
      <c r="I5724" s="37" t="s">
        <v>29</v>
      </c>
      <c r="J5724" s="155" t="str">
        <f t="shared" si="14"/>
        <v>TT</v>
      </c>
      <c r="K5724" s="22" t="s">
        <v>19674</v>
      </c>
      <c r="L5724" s="56">
        <v>45139</v>
      </c>
      <c r="P5724" s="40"/>
      <c r="Q5724" s="61"/>
      <c r="R5724" s="61"/>
      <c r="S5724" s="40"/>
      <c r="T5724" s="38"/>
      <c r="U5724" s="38"/>
      <c r="V5724" s="38"/>
      <c r="W5724" s="60"/>
      <c r="AB5724" s="42"/>
      <c r="AC5724" s="35"/>
      <c r="AD5724" s="38"/>
      <c r="AE5724" s="38"/>
      <c r="AF5724" s="38"/>
      <c r="AG5724" s="38"/>
      <c r="AH5724" s="60"/>
    </row>
    <row r="5725" spans="1:34" ht="15.75" customHeight="1">
      <c r="A5725" s="111" t="s">
        <v>92</v>
      </c>
      <c r="B5725" s="78" t="s">
        <v>19675</v>
      </c>
      <c r="C5725" s="37" t="s">
        <v>87</v>
      </c>
      <c r="D5725" s="20" t="s">
        <v>19676</v>
      </c>
      <c r="E5725" s="20" t="s">
        <v>19677</v>
      </c>
      <c r="F5725" s="19" t="s">
        <v>90</v>
      </c>
      <c r="G5725" s="19" t="s">
        <v>91</v>
      </c>
      <c r="H5725" s="37" t="s">
        <v>55</v>
      </c>
      <c r="I5725" s="37" t="s">
        <v>29</v>
      </c>
      <c r="J5725" s="155" t="str">
        <f t="shared" si="14"/>
        <v>TT</v>
      </c>
      <c r="K5725" s="22" t="s">
        <v>19678</v>
      </c>
      <c r="L5725" s="56">
        <v>45139</v>
      </c>
      <c r="P5725" s="40"/>
      <c r="Q5725" s="61"/>
      <c r="R5725" s="61"/>
      <c r="S5725" s="40"/>
      <c r="T5725" s="38"/>
      <c r="U5725" s="38"/>
      <c r="V5725" s="38"/>
      <c r="W5725" s="60"/>
      <c r="AB5725" s="42"/>
      <c r="AC5725" s="35"/>
      <c r="AD5725" s="38"/>
      <c r="AE5725" s="38"/>
      <c r="AF5725" s="38"/>
      <c r="AG5725" s="38"/>
      <c r="AH5725" s="60"/>
    </row>
    <row r="5726" spans="1:34" ht="15.75" customHeight="1">
      <c r="A5726" s="112">
        <v>170</v>
      </c>
      <c r="B5726" s="78" t="s">
        <v>19679</v>
      </c>
      <c r="C5726" s="37" t="s">
        <v>24</v>
      </c>
      <c r="D5726" s="20" t="s">
        <v>19680</v>
      </c>
      <c r="E5726" s="20" t="s">
        <v>19681</v>
      </c>
      <c r="F5726" s="19" t="s">
        <v>27</v>
      </c>
      <c r="G5726" s="19" t="s">
        <v>28</v>
      </c>
      <c r="H5726" s="37" t="s">
        <v>55</v>
      </c>
      <c r="I5726" s="37" t="s">
        <v>29</v>
      </c>
      <c r="J5726" s="155" t="str">
        <f t="shared" si="14"/>
        <v>TT</v>
      </c>
      <c r="K5726" s="22" t="s">
        <v>19682</v>
      </c>
      <c r="L5726" s="56">
        <v>45139</v>
      </c>
      <c r="P5726" s="40"/>
      <c r="Q5726" s="61"/>
      <c r="R5726" s="61"/>
      <c r="S5726" s="40"/>
      <c r="T5726" s="38"/>
      <c r="U5726" s="38"/>
      <c r="V5726" s="38"/>
      <c r="W5726" s="60"/>
      <c r="AB5726" s="42"/>
      <c r="AC5726" s="35"/>
      <c r="AD5726" s="38"/>
      <c r="AE5726" s="38"/>
      <c r="AF5726" s="38"/>
      <c r="AG5726" s="38"/>
      <c r="AH5726" s="60"/>
    </row>
    <row r="5727" spans="1:34" ht="15.75" customHeight="1">
      <c r="A5727" s="111" t="s">
        <v>100</v>
      </c>
      <c r="B5727" s="78" t="s">
        <v>19683</v>
      </c>
      <c r="C5727" s="37" t="s">
        <v>87</v>
      </c>
      <c r="D5727" s="20" t="s">
        <v>19684</v>
      </c>
      <c r="E5727" s="20" t="s">
        <v>19685</v>
      </c>
      <c r="F5727" s="19" t="s">
        <v>90</v>
      </c>
      <c r="G5727" s="19" t="s">
        <v>91</v>
      </c>
      <c r="H5727" s="37" t="s">
        <v>55</v>
      </c>
      <c r="I5727" s="37" t="s">
        <v>29</v>
      </c>
      <c r="J5727" s="155" t="str">
        <f t="shared" si="14"/>
        <v>TT</v>
      </c>
      <c r="K5727" s="22" t="s">
        <v>19686</v>
      </c>
      <c r="L5727" s="56">
        <v>45139</v>
      </c>
      <c r="P5727" s="40"/>
      <c r="Q5727" s="61"/>
      <c r="R5727" s="61"/>
      <c r="S5727" s="40"/>
      <c r="T5727" s="38"/>
      <c r="U5727" s="38"/>
      <c r="V5727" s="38"/>
      <c r="W5727" s="60"/>
      <c r="AB5727" s="42"/>
      <c r="AC5727" s="35"/>
      <c r="AD5727" s="38"/>
      <c r="AE5727" s="38"/>
      <c r="AF5727" s="38"/>
      <c r="AG5727" s="38"/>
      <c r="AH5727" s="60"/>
    </row>
    <row r="5728" spans="1:34" ht="15.75" customHeight="1">
      <c r="A5728" s="75">
        <v>157</v>
      </c>
      <c r="B5728" s="38"/>
      <c r="C5728" s="37"/>
      <c r="D5728" s="20"/>
      <c r="E5728" s="20"/>
      <c r="F5728" s="37"/>
      <c r="G5728" s="37"/>
      <c r="H5728" s="37"/>
      <c r="I5728" s="37"/>
      <c r="J5728" s="155">
        <f t="shared" si="14"/>
        <v>0</v>
      </c>
      <c r="K5728" s="22"/>
      <c r="L5728" s="56"/>
      <c r="P5728" s="40"/>
      <c r="Q5728" s="61"/>
      <c r="R5728" s="61"/>
      <c r="S5728" s="40"/>
      <c r="T5728" s="38"/>
      <c r="U5728" s="38"/>
      <c r="V5728" s="38"/>
      <c r="W5728" s="60"/>
      <c r="AB5728" s="42"/>
      <c r="AC5728" s="35"/>
      <c r="AD5728" s="38"/>
      <c r="AE5728" s="38"/>
      <c r="AF5728" s="38"/>
      <c r="AG5728" s="38"/>
      <c r="AH5728" s="60"/>
    </row>
    <row r="5729" spans="1:34" ht="15.75" customHeight="1">
      <c r="A5729" s="35"/>
      <c r="B5729" s="38"/>
      <c r="C5729" s="37"/>
      <c r="D5729" s="20"/>
      <c r="E5729" s="20"/>
      <c r="F5729" s="37"/>
      <c r="G5729" s="37"/>
      <c r="H5729" s="37"/>
      <c r="I5729" s="37"/>
      <c r="J5729" s="155">
        <f t="shared" si="14"/>
        <v>0</v>
      </c>
      <c r="K5729" s="22"/>
      <c r="L5729" s="56"/>
      <c r="P5729" s="40"/>
      <c r="Q5729" s="61"/>
      <c r="R5729" s="61"/>
      <c r="S5729" s="40"/>
      <c r="T5729" s="38"/>
      <c r="U5729" s="38"/>
      <c r="V5729" s="38"/>
      <c r="W5729" s="60"/>
      <c r="AB5729" s="42"/>
      <c r="AC5729" s="35"/>
      <c r="AD5729" s="38"/>
      <c r="AE5729" s="38"/>
      <c r="AF5729" s="38"/>
      <c r="AG5729" s="38"/>
      <c r="AH5729" s="60"/>
    </row>
    <row r="5730" spans="1:34" ht="15.75" customHeight="1">
      <c r="A5730" s="35" t="s">
        <v>19687</v>
      </c>
      <c r="B5730" s="78" t="s">
        <v>19688</v>
      </c>
      <c r="C5730" s="37" t="s">
        <v>412</v>
      </c>
      <c r="D5730" s="20" t="s">
        <v>19689</v>
      </c>
      <c r="E5730" s="20"/>
      <c r="F5730" s="19" t="s">
        <v>414</v>
      </c>
      <c r="G5730" s="37" t="s">
        <v>415</v>
      </c>
      <c r="H5730" s="37" t="s">
        <v>55</v>
      </c>
      <c r="I5730" s="37" t="s">
        <v>233</v>
      </c>
      <c r="J5730" s="155" t="str">
        <f t="shared" si="14"/>
        <v>NTT</v>
      </c>
      <c r="K5730" s="22"/>
      <c r="L5730" s="56">
        <v>45139</v>
      </c>
      <c r="M5730" s="40"/>
      <c r="P5730" s="40"/>
      <c r="Q5730" s="61"/>
      <c r="R5730" s="61"/>
      <c r="S5730" s="40"/>
      <c r="T5730" s="38"/>
      <c r="U5730" s="38"/>
      <c r="V5730" s="38"/>
      <c r="W5730" s="60"/>
      <c r="AB5730" s="42"/>
      <c r="AC5730" s="35"/>
      <c r="AD5730" s="38"/>
      <c r="AE5730" s="38"/>
      <c r="AF5730" s="38"/>
      <c r="AG5730" s="38"/>
      <c r="AH5730" s="60"/>
    </row>
    <row r="5731" spans="1:34" ht="15.75" customHeight="1">
      <c r="A5731" s="54" t="s">
        <v>2714</v>
      </c>
      <c r="B5731" s="81" t="s">
        <v>19690</v>
      </c>
      <c r="C5731" s="37" t="s">
        <v>24</v>
      </c>
      <c r="D5731" s="20" t="s">
        <v>19691</v>
      </c>
      <c r="E5731" s="20" t="s">
        <v>19692</v>
      </c>
      <c r="F5731" s="19" t="s">
        <v>27</v>
      </c>
      <c r="G5731" s="19" t="s">
        <v>28</v>
      </c>
      <c r="H5731" s="37" t="s">
        <v>55</v>
      </c>
      <c r="I5731" s="37" t="s">
        <v>29</v>
      </c>
      <c r="J5731" s="155" t="str">
        <f t="shared" si="14"/>
        <v>TT</v>
      </c>
      <c r="K5731" s="22" t="s">
        <v>19693</v>
      </c>
      <c r="L5731" s="56">
        <v>45139</v>
      </c>
      <c r="P5731" s="40"/>
      <c r="Q5731" s="61"/>
      <c r="R5731" s="61"/>
      <c r="S5731" s="40"/>
      <c r="T5731" s="38"/>
      <c r="U5731" s="38"/>
      <c r="V5731" s="38"/>
      <c r="W5731" s="60"/>
      <c r="AB5731" s="42"/>
      <c r="AC5731" s="35"/>
      <c r="AD5731" s="38"/>
      <c r="AE5731" s="38"/>
      <c r="AF5731" s="38"/>
      <c r="AG5731" s="38"/>
      <c r="AH5731" s="60"/>
    </row>
    <row r="5732" spans="1:34" ht="15.75" customHeight="1">
      <c r="A5732" s="114" t="s">
        <v>39</v>
      </c>
      <c r="B5732" s="78" t="s">
        <v>19694</v>
      </c>
      <c r="C5732" s="37" t="s">
        <v>46</v>
      </c>
      <c r="D5732" s="20" t="s">
        <v>19695</v>
      </c>
      <c r="E5732" s="20" t="s">
        <v>19696</v>
      </c>
      <c r="F5732" s="37" t="s">
        <v>49</v>
      </c>
      <c r="G5732" s="19" t="s">
        <v>50</v>
      </c>
      <c r="H5732" s="37" t="s">
        <v>55</v>
      </c>
      <c r="I5732" s="37" t="s">
        <v>29</v>
      </c>
      <c r="J5732" s="155" t="str">
        <f t="shared" si="14"/>
        <v>TT</v>
      </c>
      <c r="K5732" s="22" t="s">
        <v>19697</v>
      </c>
      <c r="L5732" s="56">
        <v>45139</v>
      </c>
      <c r="P5732" s="40"/>
      <c r="Q5732" s="61"/>
      <c r="R5732" s="61"/>
      <c r="S5732" s="40"/>
      <c r="T5732" s="38"/>
      <c r="U5732" s="38"/>
      <c r="V5732" s="38"/>
      <c r="W5732" s="60"/>
      <c r="AB5732" s="42"/>
      <c r="AC5732" s="35"/>
      <c r="AD5732" s="38"/>
      <c r="AE5732" s="38"/>
      <c r="AF5732" s="38"/>
      <c r="AG5732" s="38"/>
      <c r="AH5732" s="60"/>
    </row>
    <row r="5733" spans="1:34" ht="15.75" customHeight="1">
      <c r="A5733" s="38" t="s">
        <v>19531</v>
      </c>
      <c r="B5733" s="78" t="s">
        <v>19698</v>
      </c>
      <c r="C5733" s="37" t="s">
        <v>46</v>
      </c>
      <c r="D5733" s="20" t="s">
        <v>19699</v>
      </c>
      <c r="E5733" s="20" t="s">
        <v>19700</v>
      </c>
      <c r="F5733" s="37" t="s">
        <v>49</v>
      </c>
      <c r="G5733" s="19" t="s">
        <v>50</v>
      </c>
      <c r="H5733" s="37" t="s">
        <v>55</v>
      </c>
      <c r="I5733" s="37" t="s">
        <v>29</v>
      </c>
      <c r="J5733" s="155" t="str">
        <f t="shared" si="14"/>
        <v>TT</v>
      </c>
      <c r="K5733" s="22" t="s">
        <v>19701</v>
      </c>
      <c r="L5733" s="56">
        <v>45139</v>
      </c>
      <c r="P5733" s="40"/>
      <c r="Q5733" s="61"/>
      <c r="R5733" s="61"/>
      <c r="S5733" s="40"/>
      <c r="T5733" s="38"/>
      <c r="U5733" s="38"/>
      <c r="V5733" s="38"/>
      <c r="W5733" s="60"/>
      <c r="AB5733" s="42"/>
      <c r="AC5733" s="35"/>
      <c r="AD5733" s="38"/>
      <c r="AE5733" s="38"/>
      <c r="AF5733" s="38"/>
      <c r="AG5733" s="38"/>
      <c r="AH5733" s="60"/>
    </row>
    <row r="5734" spans="1:34" ht="15.75" customHeight="1">
      <c r="A5734" s="75" t="s">
        <v>19702</v>
      </c>
      <c r="B5734" s="78" t="s">
        <v>19703</v>
      </c>
      <c r="C5734" s="37" t="s">
        <v>1430</v>
      </c>
      <c r="D5734" s="20" t="s">
        <v>19704</v>
      </c>
      <c r="E5734" s="20"/>
      <c r="F5734" s="55" t="s">
        <v>1445</v>
      </c>
      <c r="G5734" s="55" t="s">
        <v>1432</v>
      </c>
      <c r="H5734" s="37" t="s">
        <v>55</v>
      </c>
      <c r="I5734" s="37" t="s">
        <v>233</v>
      </c>
      <c r="J5734" s="155" t="str">
        <f t="shared" si="14"/>
        <v>NTT</v>
      </c>
      <c r="K5734" s="22"/>
      <c r="L5734" s="56">
        <v>45139</v>
      </c>
      <c r="P5734" s="40"/>
      <c r="Q5734" s="61"/>
      <c r="R5734" s="61"/>
      <c r="S5734" s="40"/>
      <c r="T5734" s="38"/>
      <c r="U5734" s="38"/>
      <c r="V5734" s="38"/>
      <c r="W5734" s="60"/>
      <c r="AB5734" s="42"/>
      <c r="AC5734" s="35"/>
      <c r="AD5734" s="38"/>
      <c r="AE5734" s="38"/>
      <c r="AF5734" s="38"/>
      <c r="AG5734" s="38"/>
      <c r="AH5734" s="60"/>
    </row>
    <row r="5735" spans="1:34" ht="15.75" customHeight="1">
      <c r="A5735" s="50" t="s">
        <v>56</v>
      </c>
      <c r="B5735" s="78" t="s">
        <v>19705</v>
      </c>
      <c r="C5735" s="37" t="s">
        <v>24</v>
      </c>
      <c r="D5735" s="20" t="s">
        <v>19706</v>
      </c>
      <c r="E5735" s="20" t="s">
        <v>19707</v>
      </c>
      <c r="F5735" s="19" t="s">
        <v>27</v>
      </c>
      <c r="G5735" s="19" t="s">
        <v>28</v>
      </c>
      <c r="H5735" s="37" t="s">
        <v>55</v>
      </c>
      <c r="I5735" s="37" t="s">
        <v>29</v>
      </c>
      <c r="J5735" s="155" t="str">
        <f t="shared" si="14"/>
        <v>TT</v>
      </c>
      <c r="K5735" s="22" t="s">
        <v>19708</v>
      </c>
      <c r="L5735" s="56">
        <v>45139</v>
      </c>
      <c r="P5735" s="40"/>
      <c r="Q5735" s="61"/>
      <c r="R5735" s="61"/>
      <c r="S5735" s="40"/>
      <c r="T5735" s="38"/>
      <c r="U5735" s="38"/>
      <c r="V5735" s="38"/>
      <c r="W5735" s="60"/>
      <c r="AB5735" s="42"/>
      <c r="AC5735" s="35"/>
      <c r="AD5735" s="38"/>
      <c r="AE5735" s="38"/>
      <c r="AF5735" s="38"/>
      <c r="AG5735" s="38"/>
      <c r="AH5735" s="60"/>
    </row>
    <row r="5736" spans="1:34" ht="15.75" customHeight="1">
      <c r="A5736" s="17" t="s">
        <v>18655</v>
      </c>
      <c r="B5736" s="78" t="s">
        <v>19709</v>
      </c>
      <c r="C5736" s="37" t="s">
        <v>46</v>
      </c>
      <c r="D5736" s="20" t="s">
        <v>19710</v>
      </c>
      <c r="E5736" s="20" t="s">
        <v>19711</v>
      </c>
      <c r="F5736" s="37" t="s">
        <v>49</v>
      </c>
      <c r="G5736" s="19" t="s">
        <v>50</v>
      </c>
      <c r="H5736" s="37" t="s">
        <v>55</v>
      </c>
      <c r="I5736" s="37" t="s">
        <v>29</v>
      </c>
      <c r="J5736" s="155" t="str">
        <f t="shared" si="14"/>
        <v>TT</v>
      </c>
      <c r="K5736" s="22" t="s">
        <v>2890</v>
      </c>
      <c r="L5736" s="56">
        <v>45139</v>
      </c>
      <c r="P5736" s="40"/>
      <c r="Q5736" s="61"/>
      <c r="R5736" s="61"/>
      <c r="S5736" s="40"/>
      <c r="T5736" s="38"/>
      <c r="U5736" s="38"/>
      <c r="V5736" s="38"/>
      <c r="W5736" s="60"/>
      <c r="AB5736" s="42"/>
      <c r="AC5736" s="35"/>
      <c r="AD5736" s="38"/>
      <c r="AE5736" s="38"/>
      <c r="AF5736" s="38"/>
      <c r="AG5736" s="38"/>
      <c r="AH5736" s="60"/>
    </row>
    <row r="5737" spans="1:34" ht="15.75" customHeight="1">
      <c r="A5737" s="111" t="s">
        <v>64</v>
      </c>
      <c r="B5737" s="78" t="s">
        <v>19712</v>
      </c>
      <c r="C5737" s="37" t="s">
        <v>1430</v>
      </c>
      <c r="D5737" s="20" t="s">
        <v>19713</v>
      </c>
      <c r="E5737" s="20"/>
      <c r="F5737" s="55" t="s">
        <v>1445</v>
      </c>
      <c r="G5737" s="55" t="s">
        <v>1432</v>
      </c>
      <c r="H5737" s="37" t="s">
        <v>55</v>
      </c>
      <c r="I5737" s="37" t="s">
        <v>233</v>
      </c>
      <c r="J5737" s="155" t="str">
        <f t="shared" ref="J5737:J5877" si="15">IF(G5737="R","NA",I5737)</f>
        <v>NTT</v>
      </c>
      <c r="K5737" s="22"/>
      <c r="L5737" s="56">
        <v>45139</v>
      </c>
      <c r="P5737" s="40"/>
      <c r="Q5737" s="61"/>
      <c r="R5737" s="61"/>
      <c r="S5737" s="40"/>
      <c r="T5737" s="38"/>
      <c r="U5737" s="38"/>
      <c r="V5737" s="38"/>
      <c r="W5737" s="60"/>
      <c r="AB5737" s="42"/>
      <c r="AC5737" s="35"/>
      <c r="AD5737" s="38"/>
      <c r="AE5737" s="38"/>
      <c r="AF5737" s="38"/>
      <c r="AG5737" s="38"/>
      <c r="AH5737" s="60"/>
    </row>
    <row r="5738" spans="1:34" ht="15.75" customHeight="1">
      <c r="A5738" s="75" t="s">
        <v>55</v>
      </c>
      <c r="B5738" s="78" t="s">
        <v>19714</v>
      </c>
      <c r="C5738" s="37" t="s">
        <v>87</v>
      </c>
      <c r="D5738" s="20" t="s">
        <v>19715</v>
      </c>
      <c r="E5738" s="20" t="s">
        <v>19716</v>
      </c>
      <c r="F5738" s="19" t="s">
        <v>90</v>
      </c>
      <c r="G5738" s="19" t="s">
        <v>91</v>
      </c>
      <c r="H5738" s="37" t="s">
        <v>55</v>
      </c>
      <c r="I5738" s="37" t="s">
        <v>29</v>
      </c>
      <c r="J5738" s="155" t="str">
        <f t="shared" si="15"/>
        <v>TT</v>
      </c>
      <c r="K5738" s="22" t="s">
        <v>19717</v>
      </c>
      <c r="L5738" s="56">
        <v>45139</v>
      </c>
      <c r="P5738" s="40"/>
      <c r="Q5738" s="61"/>
      <c r="R5738" s="61"/>
      <c r="S5738" s="40"/>
      <c r="T5738" s="38"/>
      <c r="U5738" s="38"/>
      <c r="V5738" s="38"/>
      <c r="W5738" s="60"/>
      <c r="AB5738" s="42"/>
      <c r="AC5738" s="35"/>
      <c r="AD5738" s="38"/>
      <c r="AE5738" s="38"/>
      <c r="AF5738" s="38"/>
      <c r="AG5738" s="38"/>
      <c r="AH5738" s="60"/>
    </row>
    <row r="5739" spans="1:34" ht="15.75" customHeight="1">
      <c r="A5739" s="111" t="s">
        <v>73</v>
      </c>
      <c r="B5739" s="78" t="s">
        <v>19718</v>
      </c>
      <c r="C5739" s="37" t="s">
        <v>1430</v>
      </c>
      <c r="D5739" s="20" t="s">
        <v>19719</v>
      </c>
      <c r="E5739" s="20"/>
      <c r="F5739" s="55" t="s">
        <v>1445</v>
      </c>
      <c r="G5739" s="55" t="s">
        <v>1432</v>
      </c>
      <c r="H5739" s="37" t="s">
        <v>55</v>
      </c>
      <c r="I5739" s="37" t="s">
        <v>233</v>
      </c>
      <c r="J5739" s="155" t="str">
        <f t="shared" si="15"/>
        <v>NTT</v>
      </c>
      <c r="K5739" s="22"/>
      <c r="L5739" s="56">
        <v>45139</v>
      </c>
      <c r="P5739" s="40"/>
      <c r="Q5739" s="61"/>
      <c r="R5739" s="61"/>
      <c r="S5739" s="40"/>
      <c r="T5739" s="38"/>
      <c r="U5739" s="38"/>
      <c r="V5739" s="38"/>
      <c r="W5739" s="60"/>
      <c r="AB5739" s="42"/>
      <c r="AC5739" s="35"/>
      <c r="AD5739" s="38"/>
      <c r="AE5739" s="38"/>
      <c r="AF5739" s="38"/>
      <c r="AG5739" s="38"/>
      <c r="AH5739" s="60"/>
    </row>
    <row r="5740" spans="1:34" ht="15.75" customHeight="1">
      <c r="A5740" s="75" t="s">
        <v>55</v>
      </c>
      <c r="B5740" s="78" t="s">
        <v>19720</v>
      </c>
      <c r="C5740" s="37" t="s">
        <v>46</v>
      </c>
      <c r="D5740" s="20" t="s">
        <v>19721</v>
      </c>
      <c r="E5740" s="20" t="s">
        <v>19722</v>
      </c>
      <c r="F5740" s="37" t="s">
        <v>49</v>
      </c>
      <c r="G5740" s="19" t="s">
        <v>50</v>
      </c>
      <c r="H5740" s="37" t="s">
        <v>55</v>
      </c>
      <c r="I5740" s="37" t="s">
        <v>29</v>
      </c>
      <c r="J5740" s="155" t="str">
        <f t="shared" si="15"/>
        <v>TT</v>
      </c>
      <c r="K5740" s="22" t="s">
        <v>19723</v>
      </c>
      <c r="L5740" s="56">
        <v>45139</v>
      </c>
      <c r="P5740" s="40"/>
      <c r="Q5740" s="61"/>
      <c r="R5740" s="61"/>
      <c r="S5740" s="40"/>
      <c r="T5740" s="38"/>
      <c r="U5740" s="38"/>
      <c r="V5740" s="38"/>
      <c r="W5740" s="60"/>
      <c r="AB5740" s="42"/>
      <c r="AC5740" s="35"/>
      <c r="AD5740" s="38"/>
      <c r="AE5740" s="38"/>
      <c r="AF5740" s="38"/>
      <c r="AG5740" s="38"/>
      <c r="AH5740" s="60"/>
    </row>
    <row r="5741" spans="1:34" ht="15.75" customHeight="1">
      <c r="A5741" s="111" t="s">
        <v>82</v>
      </c>
      <c r="B5741" s="78" t="s">
        <v>19724</v>
      </c>
      <c r="C5741" s="37" t="s">
        <v>87</v>
      </c>
      <c r="D5741" s="20" t="s">
        <v>19725</v>
      </c>
      <c r="E5741" s="20" t="s">
        <v>19726</v>
      </c>
      <c r="F5741" s="19" t="s">
        <v>90</v>
      </c>
      <c r="G5741" s="19" t="s">
        <v>91</v>
      </c>
      <c r="H5741" s="37" t="s">
        <v>55</v>
      </c>
      <c r="I5741" s="37" t="s">
        <v>29</v>
      </c>
      <c r="J5741" s="155" t="str">
        <f t="shared" si="15"/>
        <v>TT</v>
      </c>
      <c r="K5741" s="22" t="s">
        <v>19727</v>
      </c>
      <c r="L5741" s="56">
        <v>45139</v>
      </c>
      <c r="P5741" s="40"/>
      <c r="Q5741" s="61"/>
      <c r="R5741" s="61"/>
      <c r="S5741" s="40"/>
      <c r="T5741" s="38"/>
      <c r="U5741" s="38"/>
      <c r="V5741" s="38"/>
      <c r="W5741" s="60"/>
      <c r="AB5741" s="42"/>
      <c r="AC5741" s="35"/>
      <c r="AD5741" s="38"/>
      <c r="AE5741" s="38"/>
      <c r="AF5741" s="38"/>
      <c r="AG5741" s="38"/>
      <c r="AH5741" s="60"/>
    </row>
    <row r="5742" spans="1:34" ht="15.75" customHeight="1">
      <c r="A5742" s="75" t="s">
        <v>55</v>
      </c>
      <c r="B5742" s="78" t="s">
        <v>19728</v>
      </c>
      <c r="C5742" s="37" t="s">
        <v>24</v>
      </c>
      <c r="D5742" s="20" t="s">
        <v>19729</v>
      </c>
      <c r="E5742" s="20" t="s">
        <v>19730</v>
      </c>
      <c r="F5742" s="19" t="s">
        <v>27</v>
      </c>
      <c r="G5742" s="19" t="s">
        <v>28</v>
      </c>
      <c r="H5742" s="37" t="s">
        <v>55</v>
      </c>
      <c r="I5742" s="37" t="s">
        <v>29</v>
      </c>
      <c r="J5742" s="155" t="str">
        <f t="shared" si="15"/>
        <v>TT</v>
      </c>
      <c r="K5742" s="22" t="s">
        <v>19731</v>
      </c>
      <c r="L5742" s="56">
        <v>45139</v>
      </c>
      <c r="P5742" s="40"/>
      <c r="Q5742" s="61"/>
      <c r="R5742" s="61"/>
      <c r="S5742" s="40"/>
      <c r="T5742" s="38"/>
      <c r="U5742" s="38"/>
      <c r="V5742" s="38"/>
      <c r="W5742" s="60"/>
      <c r="AB5742" s="42"/>
      <c r="AC5742" s="35"/>
      <c r="AD5742" s="38"/>
      <c r="AE5742" s="38"/>
      <c r="AF5742" s="38"/>
      <c r="AG5742" s="38"/>
      <c r="AH5742" s="60"/>
    </row>
    <row r="5743" spans="1:34" ht="15.75" customHeight="1">
      <c r="A5743" s="111" t="s">
        <v>92</v>
      </c>
      <c r="B5743" s="78" t="s">
        <v>19732</v>
      </c>
      <c r="C5743" s="37" t="s">
        <v>46</v>
      </c>
      <c r="D5743" s="20" t="s">
        <v>19733</v>
      </c>
      <c r="E5743" s="20" t="s">
        <v>19734</v>
      </c>
      <c r="F5743" s="37" t="s">
        <v>49</v>
      </c>
      <c r="G5743" s="19" t="s">
        <v>50</v>
      </c>
      <c r="H5743" s="37" t="s">
        <v>55</v>
      </c>
      <c r="I5743" s="37" t="s">
        <v>29</v>
      </c>
      <c r="J5743" s="155" t="str">
        <f t="shared" si="15"/>
        <v>TT</v>
      </c>
      <c r="K5743" s="22" t="s">
        <v>19735</v>
      </c>
      <c r="L5743" s="56">
        <v>45139</v>
      </c>
      <c r="P5743" s="40"/>
      <c r="Q5743" s="61"/>
      <c r="R5743" s="61"/>
      <c r="S5743" s="40"/>
      <c r="T5743" s="38"/>
      <c r="U5743" s="38"/>
      <c r="V5743" s="38"/>
      <c r="W5743" s="60"/>
      <c r="AB5743" s="42"/>
      <c r="AC5743" s="35"/>
      <c r="AD5743" s="38"/>
      <c r="AE5743" s="38"/>
      <c r="AF5743" s="38"/>
      <c r="AG5743" s="38"/>
      <c r="AH5743" s="60"/>
    </row>
    <row r="5744" spans="1:34" ht="15.75" customHeight="1">
      <c r="A5744" s="112" t="s">
        <v>55</v>
      </c>
      <c r="B5744" s="78" t="s">
        <v>19736</v>
      </c>
      <c r="C5744" s="37" t="s">
        <v>1470</v>
      </c>
      <c r="D5744" s="20" t="s">
        <v>19737</v>
      </c>
      <c r="E5744" s="20"/>
      <c r="F5744" s="19" t="s">
        <v>3286</v>
      </c>
      <c r="G5744" s="19" t="s">
        <v>1461</v>
      </c>
      <c r="H5744" s="37" t="s">
        <v>55</v>
      </c>
      <c r="I5744" s="37" t="s">
        <v>233</v>
      </c>
      <c r="J5744" s="155" t="str">
        <f t="shared" si="15"/>
        <v>NTT</v>
      </c>
      <c r="K5744" s="22"/>
      <c r="L5744" s="56">
        <v>45139</v>
      </c>
      <c r="P5744" s="40"/>
      <c r="Q5744" s="61"/>
      <c r="R5744" s="61"/>
      <c r="S5744" s="40"/>
      <c r="T5744" s="38"/>
      <c r="U5744" s="38"/>
      <c r="V5744" s="38"/>
      <c r="W5744" s="60"/>
      <c r="AB5744" s="42"/>
      <c r="AC5744" s="35"/>
      <c r="AD5744" s="38"/>
      <c r="AE5744" s="38"/>
      <c r="AF5744" s="38"/>
      <c r="AG5744" s="38"/>
      <c r="AH5744" s="60"/>
    </row>
    <row r="5745" spans="1:34" ht="15.75" customHeight="1">
      <c r="A5745" s="111" t="s">
        <v>100</v>
      </c>
      <c r="B5745" s="78" t="s">
        <v>19738</v>
      </c>
      <c r="C5745" s="37" t="s">
        <v>228</v>
      </c>
      <c r="D5745" s="20" t="s">
        <v>19739</v>
      </c>
      <c r="E5745" s="20"/>
      <c r="F5745" s="19" t="s">
        <v>231</v>
      </c>
      <c r="G5745" s="19" t="s">
        <v>232</v>
      </c>
      <c r="H5745" s="37" t="s">
        <v>55</v>
      </c>
      <c r="I5745" s="37" t="s">
        <v>233</v>
      </c>
      <c r="J5745" s="155" t="str">
        <f t="shared" si="15"/>
        <v>NTT</v>
      </c>
      <c r="K5745" s="22"/>
      <c r="L5745" s="56">
        <v>45139</v>
      </c>
      <c r="P5745" s="40"/>
      <c r="Q5745" s="61"/>
      <c r="R5745" s="61"/>
      <c r="S5745" s="40"/>
      <c r="T5745" s="38"/>
      <c r="U5745" s="38"/>
      <c r="V5745" s="38"/>
      <c r="W5745" s="60"/>
      <c r="AB5745" s="42"/>
      <c r="AC5745" s="35"/>
      <c r="AD5745" s="38"/>
      <c r="AE5745" s="38"/>
      <c r="AF5745" s="38"/>
      <c r="AG5745" s="38"/>
      <c r="AH5745" s="60"/>
    </row>
    <row r="5746" spans="1:34" ht="15.75" customHeight="1">
      <c r="A5746" s="75" t="s">
        <v>55</v>
      </c>
      <c r="B5746" s="38"/>
      <c r="C5746" s="37"/>
      <c r="D5746" s="20"/>
      <c r="E5746" s="25"/>
      <c r="F5746" s="37"/>
      <c r="G5746" s="37"/>
      <c r="H5746" s="37"/>
      <c r="I5746" s="37"/>
      <c r="J5746" s="155">
        <f t="shared" si="15"/>
        <v>0</v>
      </c>
      <c r="K5746" s="22"/>
      <c r="L5746" s="39"/>
      <c r="P5746" s="40"/>
      <c r="Q5746" s="61"/>
      <c r="R5746" s="61"/>
      <c r="S5746" s="40"/>
      <c r="T5746" s="38"/>
      <c r="U5746" s="38"/>
      <c r="V5746" s="38"/>
      <c r="W5746" s="60"/>
      <c r="AB5746" s="42"/>
      <c r="AC5746" s="35"/>
      <c r="AD5746" s="38"/>
      <c r="AE5746" s="38"/>
      <c r="AF5746" s="38"/>
      <c r="AG5746" s="38"/>
      <c r="AH5746" s="60"/>
    </row>
    <row r="5747" spans="1:34" ht="15.75" customHeight="1">
      <c r="A5747" s="292"/>
      <c r="B5747" s="38"/>
      <c r="C5747" s="37"/>
      <c r="D5747" s="20"/>
      <c r="E5747" s="25"/>
      <c r="F5747" s="37"/>
      <c r="G5747" s="37"/>
      <c r="H5747" s="37"/>
      <c r="I5747" s="37"/>
      <c r="J5747" s="155">
        <f t="shared" si="15"/>
        <v>0</v>
      </c>
      <c r="K5747" s="22"/>
      <c r="L5747" s="39"/>
      <c r="P5747" s="40"/>
      <c r="Q5747" s="61"/>
      <c r="R5747" s="61"/>
      <c r="S5747" s="40"/>
      <c r="T5747" s="38"/>
      <c r="U5747" s="38"/>
      <c r="V5747" s="38"/>
      <c r="W5747" s="60"/>
      <c r="AB5747" s="42"/>
      <c r="AC5747" s="35"/>
      <c r="AD5747" s="38"/>
      <c r="AE5747" s="38"/>
      <c r="AF5747" s="38"/>
      <c r="AG5747" s="38"/>
      <c r="AH5747" s="60"/>
    </row>
    <row r="5748" spans="1:34" ht="15.75" customHeight="1">
      <c r="A5748" s="35" t="s">
        <v>19740</v>
      </c>
      <c r="B5748" s="81" t="s">
        <v>19741</v>
      </c>
      <c r="C5748" s="37" t="s">
        <v>24</v>
      </c>
      <c r="D5748" s="20" t="s">
        <v>19742</v>
      </c>
      <c r="E5748" s="20" t="s">
        <v>19743</v>
      </c>
      <c r="F5748" s="19" t="s">
        <v>27</v>
      </c>
      <c r="G5748" s="19" t="s">
        <v>28</v>
      </c>
      <c r="H5748" s="19" t="s">
        <v>36</v>
      </c>
      <c r="I5748" s="37" t="s">
        <v>29</v>
      </c>
      <c r="J5748" s="155" t="str">
        <f t="shared" si="15"/>
        <v>TT</v>
      </c>
      <c r="K5748" s="22" t="s">
        <v>19744</v>
      </c>
      <c r="L5748" s="56">
        <v>45140</v>
      </c>
      <c r="M5748" s="40"/>
      <c r="P5748" s="40"/>
      <c r="Q5748" s="61"/>
      <c r="R5748" s="61"/>
      <c r="S5748" s="40"/>
      <c r="T5748" s="38"/>
      <c r="U5748" s="38"/>
      <c r="V5748" s="38"/>
      <c r="W5748" s="60"/>
      <c r="AB5748" s="42"/>
      <c r="AC5748" s="35"/>
      <c r="AD5748" s="38"/>
      <c r="AE5748" s="38"/>
      <c r="AF5748" s="38"/>
      <c r="AG5748" s="38"/>
      <c r="AH5748" s="60"/>
    </row>
    <row r="5749" spans="1:34" ht="15.75" customHeight="1">
      <c r="A5749" s="54" t="s">
        <v>2714</v>
      </c>
      <c r="B5749" s="78" t="s">
        <v>19745</v>
      </c>
      <c r="C5749" s="37" t="s">
        <v>46</v>
      </c>
      <c r="D5749" s="20" t="s">
        <v>19746</v>
      </c>
      <c r="E5749" s="20" t="s">
        <v>19747</v>
      </c>
      <c r="F5749" s="37" t="s">
        <v>49</v>
      </c>
      <c r="G5749" s="19" t="s">
        <v>50</v>
      </c>
      <c r="H5749" s="37" t="s">
        <v>55</v>
      </c>
      <c r="I5749" s="37" t="s">
        <v>29</v>
      </c>
      <c r="J5749" s="155" t="str">
        <f t="shared" si="15"/>
        <v>TT</v>
      </c>
      <c r="K5749" s="22" t="s">
        <v>19747</v>
      </c>
      <c r="L5749" s="56">
        <v>45140</v>
      </c>
      <c r="P5749" s="40"/>
      <c r="Q5749" s="61"/>
      <c r="R5749" s="61"/>
      <c r="S5749" s="40"/>
      <c r="T5749" s="38"/>
      <c r="U5749" s="38"/>
      <c r="V5749" s="38"/>
      <c r="W5749" s="60"/>
      <c r="AB5749" s="42"/>
      <c r="AC5749" s="35"/>
      <c r="AD5749" s="38"/>
      <c r="AE5749" s="38"/>
      <c r="AF5749" s="38"/>
      <c r="AG5749" s="38"/>
      <c r="AH5749" s="60"/>
    </row>
    <row r="5750" spans="1:34" ht="15.75" customHeight="1">
      <c r="A5750" s="114" t="s">
        <v>39</v>
      </c>
      <c r="B5750" s="78" t="s">
        <v>19748</v>
      </c>
      <c r="C5750" s="37" t="s">
        <v>412</v>
      </c>
      <c r="D5750" s="20" t="s">
        <v>19749</v>
      </c>
      <c r="E5750" s="20"/>
      <c r="F5750" s="19" t="s">
        <v>414</v>
      </c>
      <c r="G5750" s="19" t="s">
        <v>415</v>
      </c>
      <c r="H5750" s="37" t="s">
        <v>55</v>
      </c>
      <c r="I5750" s="37" t="s">
        <v>233</v>
      </c>
      <c r="J5750" s="155" t="str">
        <f t="shared" si="15"/>
        <v>NTT</v>
      </c>
      <c r="K5750" s="22"/>
      <c r="L5750" s="56">
        <v>45140</v>
      </c>
      <c r="P5750" s="40"/>
      <c r="Q5750" s="61"/>
      <c r="R5750" s="61"/>
      <c r="S5750" s="40"/>
      <c r="T5750" s="38"/>
      <c r="U5750" s="38"/>
      <c r="V5750" s="38"/>
      <c r="W5750" s="60"/>
      <c r="AB5750" s="42"/>
      <c r="AC5750" s="35"/>
      <c r="AD5750" s="38"/>
      <c r="AE5750" s="38"/>
      <c r="AF5750" s="38"/>
      <c r="AG5750" s="38"/>
      <c r="AH5750" s="60"/>
    </row>
    <row r="5751" spans="1:34" ht="15.75" customHeight="1">
      <c r="A5751" s="38" t="s">
        <v>19531</v>
      </c>
      <c r="B5751" s="78" t="s">
        <v>11551</v>
      </c>
      <c r="C5751" s="37" t="s">
        <v>46</v>
      </c>
      <c r="D5751" s="20" t="s">
        <v>19750</v>
      </c>
      <c r="E5751" s="20" t="s">
        <v>19751</v>
      </c>
      <c r="F5751" s="37" t="s">
        <v>49</v>
      </c>
      <c r="G5751" s="19" t="s">
        <v>50</v>
      </c>
      <c r="H5751" s="37" t="s">
        <v>55</v>
      </c>
      <c r="I5751" s="37" t="s">
        <v>29</v>
      </c>
      <c r="J5751" s="155" t="str">
        <f t="shared" si="15"/>
        <v>TT</v>
      </c>
      <c r="K5751" s="22" t="s">
        <v>19751</v>
      </c>
      <c r="L5751" s="56">
        <v>45140</v>
      </c>
      <c r="P5751" s="40"/>
      <c r="Q5751" s="61"/>
      <c r="R5751" s="61"/>
      <c r="S5751" s="40"/>
      <c r="T5751" s="38"/>
      <c r="U5751" s="38"/>
      <c r="V5751" s="38"/>
      <c r="W5751" s="60"/>
      <c r="AB5751" s="42"/>
      <c r="AC5751" s="35"/>
      <c r="AD5751" s="38"/>
      <c r="AE5751" s="38"/>
      <c r="AF5751" s="38"/>
      <c r="AG5751" s="38"/>
      <c r="AH5751" s="60"/>
    </row>
    <row r="5752" spans="1:34" ht="15.75" customHeight="1">
      <c r="A5752" s="75" t="s">
        <v>19702</v>
      </c>
      <c r="B5752" s="78" t="s">
        <v>19752</v>
      </c>
      <c r="C5752" s="37" t="s">
        <v>87</v>
      </c>
      <c r="D5752" s="20" t="s">
        <v>19753</v>
      </c>
      <c r="E5752" s="20" t="s">
        <v>19754</v>
      </c>
      <c r="F5752" s="19" t="s">
        <v>90</v>
      </c>
      <c r="G5752" s="19" t="s">
        <v>91</v>
      </c>
      <c r="H5752" s="37" t="s">
        <v>55</v>
      </c>
      <c r="I5752" s="37" t="s">
        <v>29</v>
      </c>
      <c r="J5752" s="155" t="str">
        <f t="shared" si="15"/>
        <v>TT</v>
      </c>
      <c r="K5752" s="22" t="s">
        <v>19755</v>
      </c>
      <c r="L5752" s="56">
        <v>45140</v>
      </c>
      <c r="P5752" s="40"/>
      <c r="Q5752" s="61"/>
      <c r="R5752" s="61"/>
      <c r="S5752" s="40"/>
      <c r="T5752" s="38"/>
      <c r="U5752" s="38"/>
      <c r="V5752" s="38"/>
      <c r="W5752" s="60"/>
      <c r="AB5752" s="42"/>
      <c r="AC5752" s="35"/>
      <c r="AD5752" s="38"/>
      <c r="AE5752" s="38"/>
      <c r="AF5752" s="38"/>
      <c r="AG5752" s="38"/>
      <c r="AH5752" s="60"/>
    </row>
    <row r="5753" spans="1:34" ht="15.75" customHeight="1">
      <c r="A5753" s="50" t="s">
        <v>56</v>
      </c>
      <c r="B5753" s="78" t="s">
        <v>19756</v>
      </c>
      <c r="C5753" s="37" t="s">
        <v>24</v>
      </c>
      <c r="D5753" s="20" t="s">
        <v>19757</v>
      </c>
      <c r="E5753" s="20" t="s">
        <v>19758</v>
      </c>
      <c r="F5753" s="19" t="s">
        <v>27</v>
      </c>
      <c r="G5753" s="19" t="s">
        <v>28</v>
      </c>
      <c r="H5753" s="37" t="s">
        <v>55</v>
      </c>
      <c r="I5753" s="37" t="s">
        <v>29</v>
      </c>
      <c r="J5753" s="155" t="str">
        <f t="shared" si="15"/>
        <v>TT</v>
      </c>
      <c r="K5753" s="22" t="s">
        <v>19759</v>
      </c>
      <c r="L5753" s="56">
        <v>45140</v>
      </c>
      <c r="P5753" s="40"/>
      <c r="Q5753" s="61"/>
      <c r="R5753" s="61"/>
      <c r="S5753" s="40"/>
      <c r="T5753" s="38"/>
      <c r="U5753" s="38"/>
      <c r="V5753" s="38"/>
      <c r="W5753" s="60"/>
      <c r="AB5753" s="42"/>
      <c r="AC5753" s="35"/>
      <c r="AD5753" s="38"/>
      <c r="AE5753" s="38"/>
      <c r="AF5753" s="38"/>
      <c r="AG5753" s="38"/>
      <c r="AH5753" s="60"/>
    </row>
    <row r="5754" spans="1:34" ht="15.75" customHeight="1">
      <c r="A5754" s="17" t="s">
        <v>18655</v>
      </c>
      <c r="B5754" s="78" t="s">
        <v>19760</v>
      </c>
      <c r="C5754" s="37" t="s">
        <v>24</v>
      </c>
      <c r="D5754" s="20" t="s">
        <v>19761</v>
      </c>
      <c r="E5754" s="20" t="s">
        <v>19762</v>
      </c>
      <c r="F5754" s="19" t="s">
        <v>27</v>
      </c>
      <c r="G5754" s="19" t="s">
        <v>28</v>
      </c>
      <c r="H5754" s="37" t="s">
        <v>55</v>
      </c>
      <c r="I5754" s="37" t="s">
        <v>29</v>
      </c>
      <c r="J5754" s="155" t="str">
        <f t="shared" si="15"/>
        <v>TT</v>
      </c>
      <c r="K5754" s="22" t="s">
        <v>19763</v>
      </c>
      <c r="L5754" s="56">
        <v>45140</v>
      </c>
      <c r="P5754" s="40"/>
      <c r="Q5754" s="61"/>
      <c r="R5754" s="61"/>
      <c r="S5754" s="40"/>
      <c r="T5754" s="38"/>
      <c r="U5754" s="38"/>
      <c r="V5754" s="38"/>
      <c r="W5754" s="60"/>
      <c r="AB5754" s="42"/>
      <c r="AC5754" s="35"/>
      <c r="AD5754" s="38"/>
      <c r="AE5754" s="38"/>
      <c r="AF5754" s="38"/>
      <c r="AG5754" s="38"/>
      <c r="AH5754" s="60"/>
    </row>
    <row r="5755" spans="1:34" ht="15.75" customHeight="1">
      <c r="A5755" s="111" t="s">
        <v>64</v>
      </c>
      <c r="B5755" s="78" t="s">
        <v>19764</v>
      </c>
      <c r="C5755" s="37" t="s">
        <v>87</v>
      </c>
      <c r="D5755" s="20" t="s">
        <v>19765</v>
      </c>
      <c r="E5755" s="20" t="s">
        <v>19766</v>
      </c>
      <c r="F5755" s="19" t="s">
        <v>90</v>
      </c>
      <c r="G5755" s="19" t="s">
        <v>91</v>
      </c>
      <c r="H5755" s="37" t="s">
        <v>55</v>
      </c>
      <c r="I5755" s="37" t="s">
        <v>29</v>
      </c>
      <c r="J5755" s="155" t="str">
        <f t="shared" si="15"/>
        <v>TT</v>
      </c>
      <c r="K5755" s="22" t="s">
        <v>19766</v>
      </c>
      <c r="L5755" s="56">
        <v>45140</v>
      </c>
      <c r="P5755" s="40"/>
      <c r="Q5755" s="61"/>
      <c r="R5755" s="61"/>
      <c r="S5755" s="40"/>
      <c r="T5755" s="38"/>
      <c r="U5755" s="38"/>
      <c r="V5755" s="38"/>
      <c r="W5755" s="60"/>
      <c r="AB5755" s="42"/>
      <c r="AC5755" s="35"/>
      <c r="AD5755" s="38"/>
      <c r="AE5755" s="38"/>
      <c r="AF5755" s="38"/>
      <c r="AG5755" s="38"/>
      <c r="AH5755" s="60"/>
    </row>
    <row r="5756" spans="1:34" ht="15.75" customHeight="1">
      <c r="A5756" s="75" t="s">
        <v>55</v>
      </c>
      <c r="B5756" s="78" t="s">
        <v>19767</v>
      </c>
      <c r="C5756" s="37" t="s">
        <v>87</v>
      </c>
      <c r="D5756" s="20" t="s">
        <v>19768</v>
      </c>
      <c r="E5756" s="20" t="s">
        <v>19769</v>
      </c>
      <c r="F5756" s="19" t="s">
        <v>90</v>
      </c>
      <c r="G5756" s="19" t="s">
        <v>91</v>
      </c>
      <c r="H5756" s="37" t="s">
        <v>55</v>
      </c>
      <c r="I5756" s="37" t="s">
        <v>29</v>
      </c>
      <c r="J5756" s="155" t="str">
        <f t="shared" si="15"/>
        <v>TT</v>
      </c>
      <c r="K5756" s="22" t="s">
        <v>19770</v>
      </c>
      <c r="L5756" s="56">
        <v>45140</v>
      </c>
      <c r="P5756" s="40"/>
      <c r="Q5756" s="61"/>
      <c r="R5756" s="61"/>
      <c r="S5756" s="40"/>
      <c r="T5756" s="38"/>
      <c r="U5756" s="38"/>
      <c r="V5756" s="38"/>
      <c r="W5756" s="60"/>
      <c r="AB5756" s="42"/>
      <c r="AC5756" s="35"/>
      <c r="AD5756" s="38"/>
      <c r="AE5756" s="38"/>
      <c r="AF5756" s="38"/>
      <c r="AG5756" s="38"/>
      <c r="AH5756" s="60"/>
    </row>
    <row r="5757" spans="1:34" ht="15.75" customHeight="1">
      <c r="A5757" s="111" t="s">
        <v>73</v>
      </c>
      <c r="B5757" s="78" t="s">
        <v>19771</v>
      </c>
      <c r="C5757" s="37" t="s">
        <v>412</v>
      </c>
      <c r="D5757" s="20" t="s">
        <v>19772</v>
      </c>
      <c r="E5757" s="20"/>
      <c r="F5757" s="19" t="s">
        <v>414</v>
      </c>
      <c r="G5757" s="37" t="s">
        <v>415</v>
      </c>
      <c r="H5757" s="37" t="s">
        <v>55</v>
      </c>
      <c r="I5757" s="37" t="s">
        <v>233</v>
      </c>
      <c r="J5757" s="155" t="str">
        <f t="shared" si="15"/>
        <v>NTT</v>
      </c>
      <c r="K5757" s="22"/>
      <c r="L5757" s="56">
        <v>45140</v>
      </c>
      <c r="P5757" s="40"/>
      <c r="Q5757" s="61"/>
      <c r="R5757" s="61"/>
      <c r="S5757" s="40"/>
      <c r="T5757" s="38"/>
      <c r="U5757" s="38"/>
      <c r="V5757" s="38"/>
      <c r="W5757" s="60"/>
      <c r="AB5757" s="42"/>
      <c r="AC5757" s="35"/>
      <c r="AD5757" s="38"/>
      <c r="AE5757" s="38"/>
      <c r="AF5757" s="38"/>
      <c r="AG5757" s="38"/>
      <c r="AH5757" s="60"/>
    </row>
    <row r="5758" spans="1:34" ht="15.75" customHeight="1">
      <c r="A5758" s="75" t="s">
        <v>55</v>
      </c>
      <c r="B5758" s="78" t="s">
        <v>19773</v>
      </c>
      <c r="C5758" s="37" t="s">
        <v>412</v>
      </c>
      <c r="D5758" s="20" t="s">
        <v>19774</v>
      </c>
      <c r="E5758" s="20"/>
      <c r="F5758" s="19" t="s">
        <v>414</v>
      </c>
      <c r="G5758" s="19" t="s">
        <v>415</v>
      </c>
      <c r="H5758" s="37" t="s">
        <v>55</v>
      </c>
      <c r="I5758" s="37" t="s">
        <v>233</v>
      </c>
      <c r="J5758" s="155" t="str">
        <f t="shared" si="15"/>
        <v>NTT</v>
      </c>
      <c r="K5758" s="22"/>
      <c r="L5758" s="56">
        <v>45140</v>
      </c>
      <c r="P5758" s="40"/>
      <c r="Q5758" s="61"/>
      <c r="R5758" s="61"/>
      <c r="S5758" s="40"/>
      <c r="T5758" s="38"/>
      <c r="U5758" s="38"/>
      <c r="V5758" s="38"/>
      <c r="W5758" s="60"/>
      <c r="AB5758" s="42"/>
      <c r="AC5758" s="35"/>
      <c r="AD5758" s="38"/>
      <c r="AE5758" s="38"/>
      <c r="AF5758" s="38"/>
      <c r="AG5758" s="38"/>
      <c r="AH5758" s="60"/>
    </row>
    <row r="5759" spans="1:34" ht="15.75" customHeight="1">
      <c r="A5759" s="111" t="s">
        <v>82</v>
      </c>
      <c r="B5759" s="78" t="s">
        <v>19775</v>
      </c>
      <c r="C5759" s="37" t="s">
        <v>412</v>
      </c>
      <c r="D5759" s="20" t="s">
        <v>19776</v>
      </c>
      <c r="E5759" s="20" t="s">
        <v>19777</v>
      </c>
      <c r="F5759" s="19" t="s">
        <v>414</v>
      </c>
      <c r="G5759" s="37" t="s">
        <v>415</v>
      </c>
      <c r="H5759" s="37" t="s">
        <v>55</v>
      </c>
      <c r="I5759" s="37" t="s">
        <v>233</v>
      </c>
      <c r="J5759" s="155" t="str">
        <f t="shared" si="15"/>
        <v>NTT</v>
      </c>
      <c r="K5759" s="22" t="s">
        <v>19778</v>
      </c>
      <c r="L5759" s="56">
        <v>45140</v>
      </c>
      <c r="P5759" s="40"/>
      <c r="Q5759" s="61"/>
      <c r="R5759" s="61"/>
      <c r="S5759" s="40"/>
      <c r="T5759" s="38"/>
      <c r="U5759" s="38"/>
      <c r="V5759" s="38"/>
      <c r="W5759" s="60"/>
      <c r="AB5759" s="42"/>
      <c r="AC5759" s="35"/>
      <c r="AD5759" s="38"/>
      <c r="AE5759" s="38"/>
      <c r="AF5759" s="38"/>
      <c r="AG5759" s="38"/>
      <c r="AH5759" s="60"/>
    </row>
    <row r="5760" spans="1:34" ht="15.75" customHeight="1">
      <c r="A5760" s="75" t="s">
        <v>55</v>
      </c>
      <c r="B5760" s="78" t="s">
        <v>19779</v>
      </c>
      <c r="C5760" s="37" t="s">
        <v>412</v>
      </c>
      <c r="D5760" s="20" t="s">
        <v>19780</v>
      </c>
      <c r="E5760" s="20"/>
      <c r="F5760" s="19" t="s">
        <v>414</v>
      </c>
      <c r="G5760" s="19" t="s">
        <v>415</v>
      </c>
      <c r="H5760" s="37" t="s">
        <v>55</v>
      </c>
      <c r="I5760" s="37" t="s">
        <v>233</v>
      </c>
      <c r="J5760" s="155" t="str">
        <f t="shared" si="15"/>
        <v>NTT</v>
      </c>
      <c r="K5760" s="22"/>
      <c r="L5760" s="56">
        <v>45140</v>
      </c>
      <c r="P5760" s="40"/>
      <c r="Q5760" s="61"/>
      <c r="R5760" s="61"/>
      <c r="S5760" s="40"/>
      <c r="T5760" s="38"/>
      <c r="U5760" s="38"/>
      <c r="V5760" s="38"/>
      <c r="W5760" s="60"/>
      <c r="AB5760" s="42"/>
      <c r="AC5760" s="35"/>
      <c r="AD5760" s="38"/>
      <c r="AE5760" s="38"/>
      <c r="AF5760" s="38"/>
      <c r="AG5760" s="38"/>
      <c r="AH5760" s="60"/>
    </row>
    <row r="5761" spans="1:34" ht="15.75" customHeight="1">
      <c r="A5761" s="111" t="s">
        <v>92</v>
      </c>
      <c r="B5761" s="38"/>
      <c r="C5761" s="37"/>
      <c r="D5761" s="20"/>
      <c r="E5761" s="20"/>
      <c r="F5761" s="37"/>
      <c r="G5761" s="37"/>
      <c r="H5761" s="37"/>
      <c r="I5761" s="37"/>
      <c r="J5761" s="155">
        <f t="shared" si="15"/>
        <v>0</v>
      </c>
      <c r="K5761" s="22"/>
      <c r="L5761" s="39"/>
      <c r="P5761" s="40"/>
      <c r="Q5761" s="61"/>
      <c r="R5761" s="61"/>
      <c r="S5761" s="40"/>
      <c r="T5761" s="38"/>
      <c r="U5761" s="38"/>
      <c r="V5761" s="38"/>
      <c r="W5761" s="60"/>
      <c r="AB5761" s="42"/>
      <c r="AC5761" s="35"/>
      <c r="AD5761" s="38"/>
      <c r="AE5761" s="38"/>
      <c r="AF5761" s="38"/>
      <c r="AG5761" s="38"/>
      <c r="AH5761" s="60"/>
    </row>
    <row r="5762" spans="1:34" ht="15.75" customHeight="1">
      <c r="A5762" s="112" t="s">
        <v>55</v>
      </c>
      <c r="B5762" s="38"/>
      <c r="C5762" s="37"/>
      <c r="D5762" s="20"/>
      <c r="E5762" s="20"/>
      <c r="F5762" s="37"/>
      <c r="G5762" s="37"/>
      <c r="H5762" s="37"/>
      <c r="I5762" s="37"/>
      <c r="J5762" s="155">
        <f t="shared" si="15"/>
        <v>0</v>
      </c>
      <c r="K5762" s="22"/>
      <c r="L5762" s="39"/>
      <c r="P5762" s="40"/>
      <c r="Q5762" s="61"/>
      <c r="R5762" s="61"/>
      <c r="S5762" s="40"/>
      <c r="T5762" s="38"/>
      <c r="U5762" s="38"/>
      <c r="V5762" s="38"/>
      <c r="W5762" s="60"/>
      <c r="AB5762" s="42"/>
      <c r="AC5762" s="35"/>
      <c r="AD5762" s="38"/>
      <c r="AE5762" s="38"/>
      <c r="AF5762" s="38"/>
      <c r="AG5762" s="38"/>
      <c r="AH5762" s="60"/>
    </row>
    <row r="5763" spans="1:34" ht="15.75" customHeight="1">
      <c r="A5763" s="111" t="s">
        <v>100</v>
      </c>
      <c r="B5763" s="38"/>
      <c r="C5763" s="37"/>
      <c r="D5763" s="20"/>
      <c r="E5763" s="20"/>
      <c r="F5763" s="37"/>
      <c r="G5763" s="37"/>
      <c r="H5763" s="37"/>
      <c r="I5763" s="37"/>
      <c r="J5763" s="155">
        <f t="shared" si="15"/>
        <v>0</v>
      </c>
      <c r="K5763" s="22"/>
      <c r="L5763" s="39"/>
      <c r="P5763" s="40"/>
      <c r="Q5763" s="61"/>
      <c r="R5763" s="61"/>
      <c r="S5763" s="40"/>
      <c r="T5763" s="38"/>
      <c r="U5763" s="38"/>
      <c r="V5763" s="38"/>
      <c r="W5763" s="60"/>
      <c r="AB5763" s="42"/>
      <c r="AC5763" s="35"/>
      <c r="AD5763" s="38"/>
      <c r="AE5763" s="38"/>
      <c r="AF5763" s="38"/>
      <c r="AG5763" s="38"/>
      <c r="AH5763" s="60"/>
    </row>
    <row r="5764" spans="1:34" ht="15.75" customHeight="1">
      <c r="A5764" s="75" t="s">
        <v>55</v>
      </c>
      <c r="B5764" s="38"/>
      <c r="C5764" s="37"/>
      <c r="D5764" s="20"/>
      <c r="E5764" s="20"/>
      <c r="F5764" s="37"/>
      <c r="G5764" s="37"/>
      <c r="H5764" s="37"/>
      <c r="I5764" s="37"/>
      <c r="J5764" s="155">
        <f t="shared" si="15"/>
        <v>0</v>
      </c>
      <c r="K5764" s="22"/>
      <c r="L5764" s="39"/>
      <c r="P5764" s="40"/>
      <c r="Q5764" s="61"/>
      <c r="R5764" s="61"/>
      <c r="S5764" s="40"/>
      <c r="T5764" s="38"/>
      <c r="U5764" s="38"/>
      <c r="V5764" s="38"/>
      <c r="W5764" s="60"/>
      <c r="AB5764" s="42"/>
      <c r="AC5764" s="35"/>
      <c r="AD5764" s="38"/>
      <c r="AE5764" s="38"/>
      <c r="AF5764" s="38"/>
      <c r="AG5764" s="38"/>
      <c r="AH5764" s="60"/>
    </row>
    <row r="5765" spans="1:34" ht="15.75" customHeight="1">
      <c r="A5765" s="293"/>
      <c r="B5765" s="38"/>
      <c r="C5765" s="37"/>
      <c r="D5765" s="20"/>
      <c r="E5765" s="20"/>
      <c r="F5765" s="37"/>
      <c r="G5765" s="37"/>
      <c r="H5765" s="37"/>
      <c r="I5765" s="37"/>
      <c r="J5765" s="155">
        <f t="shared" si="15"/>
        <v>0</v>
      </c>
      <c r="K5765" s="22"/>
      <c r="L5765" s="56"/>
      <c r="P5765" s="40"/>
      <c r="Q5765" s="61"/>
      <c r="R5765" s="61"/>
      <c r="S5765" s="40"/>
      <c r="T5765" s="38"/>
      <c r="U5765" s="38"/>
      <c r="V5765" s="38"/>
      <c r="W5765" s="60"/>
      <c r="AB5765" s="42"/>
      <c r="AC5765" s="35"/>
      <c r="AD5765" s="38"/>
      <c r="AE5765" s="38"/>
      <c r="AF5765" s="38"/>
      <c r="AG5765" s="38"/>
      <c r="AH5765" s="60"/>
    </row>
    <row r="5766" spans="1:34" ht="15.75" customHeight="1">
      <c r="A5766" s="35" t="s">
        <v>19781</v>
      </c>
      <c r="B5766" s="158" t="s">
        <v>19782</v>
      </c>
      <c r="C5766" s="37" t="s">
        <v>87</v>
      </c>
      <c r="D5766" s="20" t="s">
        <v>19783</v>
      </c>
      <c r="E5766" s="20" t="s">
        <v>19784</v>
      </c>
      <c r="F5766" s="19" t="s">
        <v>90</v>
      </c>
      <c r="G5766" s="19" t="s">
        <v>91</v>
      </c>
      <c r="H5766" s="37" t="s">
        <v>55</v>
      </c>
      <c r="I5766" s="37" t="s">
        <v>29</v>
      </c>
      <c r="J5766" s="155" t="str">
        <f t="shared" si="15"/>
        <v>TT</v>
      </c>
      <c r="K5766" s="22" t="s">
        <v>19785</v>
      </c>
      <c r="L5766" s="56">
        <v>45140</v>
      </c>
      <c r="M5766" s="40"/>
      <c r="P5766" s="40"/>
      <c r="Q5766" s="61"/>
      <c r="R5766" s="61"/>
      <c r="S5766" s="40"/>
      <c r="T5766" s="38"/>
      <c r="U5766" s="38"/>
      <c r="V5766" s="38"/>
      <c r="W5766" s="60"/>
      <c r="AB5766" s="42"/>
      <c r="AC5766" s="35"/>
      <c r="AD5766" s="38"/>
      <c r="AE5766" s="38"/>
      <c r="AF5766" s="38"/>
      <c r="AG5766" s="38"/>
      <c r="AH5766" s="60"/>
    </row>
    <row r="5767" spans="1:34" ht="15.75" customHeight="1">
      <c r="A5767" s="71" t="s">
        <v>2714</v>
      </c>
      <c r="B5767" s="158" t="s">
        <v>19786</v>
      </c>
      <c r="C5767" s="37" t="s">
        <v>1430</v>
      </c>
      <c r="D5767" s="20" t="s">
        <v>19787</v>
      </c>
      <c r="E5767" s="20" t="s">
        <v>19788</v>
      </c>
      <c r="F5767" s="55" t="s">
        <v>1445</v>
      </c>
      <c r="G5767" s="55" t="s">
        <v>1432</v>
      </c>
      <c r="H5767" s="37" t="s">
        <v>55</v>
      </c>
      <c r="I5767" s="37" t="s">
        <v>233</v>
      </c>
      <c r="J5767" s="155" t="str">
        <f t="shared" si="15"/>
        <v>NTT</v>
      </c>
      <c r="K5767" s="22" t="s">
        <v>19789</v>
      </c>
      <c r="L5767" s="56">
        <v>45140</v>
      </c>
      <c r="P5767" s="40"/>
      <c r="Q5767" s="61"/>
      <c r="R5767" s="61"/>
      <c r="S5767" s="40"/>
      <c r="T5767" s="38"/>
      <c r="U5767" s="38"/>
      <c r="V5767" s="38"/>
      <c r="W5767" s="60"/>
      <c r="AB5767" s="42"/>
      <c r="AC5767" s="35"/>
      <c r="AD5767" s="38"/>
      <c r="AE5767" s="38"/>
      <c r="AF5767" s="38"/>
      <c r="AG5767" s="38"/>
      <c r="AH5767" s="60"/>
    </row>
    <row r="5768" spans="1:34" ht="15.75" customHeight="1">
      <c r="A5768" s="114" t="s">
        <v>39</v>
      </c>
      <c r="B5768" s="158" t="s">
        <v>19790</v>
      </c>
      <c r="C5768" s="37" t="s">
        <v>24</v>
      </c>
      <c r="D5768" s="20" t="s">
        <v>19791</v>
      </c>
      <c r="E5768" s="20"/>
      <c r="F5768" s="19" t="s">
        <v>27</v>
      </c>
      <c r="G5768" s="19" t="s">
        <v>28</v>
      </c>
      <c r="H5768" s="37" t="s">
        <v>55</v>
      </c>
      <c r="I5768" s="37" t="s">
        <v>29</v>
      </c>
      <c r="J5768" s="155" t="str">
        <f t="shared" si="15"/>
        <v>TT</v>
      </c>
      <c r="K5768" s="22"/>
      <c r="L5768" s="56">
        <v>45140</v>
      </c>
      <c r="P5768" s="40"/>
      <c r="Q5768" s="61"/>
      <c r="R5768" s="61"/>
      <c r="S5768" s="40"/>
      <c r="T5768" s="38"/>
      <c r="U5768" s="38"/>
      <c r="V5768" s="38"/>
      <c r="W5768" s="60"/>
      <c r="AB5768" s="42"/>
      <c r="AC5768" s="35"/>
      <c r="AD5768" s="38"/>
      <c r="AE5768" s="38"/>
      <c r="AF5768" s="38"/>
      <c r="AG5768" s="38"/>
      <c r="AH5768" s="60"/>
    </row>
    <row r="5769" spans="1:34" ht="15.75" customHeight="1">
      <c r="A5769" s="38" t="s">
        <v>19531</v>
      </c>
      <c r="B5769" s="158" t="s">
        <v>19792</v>
      </c>
      <c r="C5769" s="37" t="s">
        <v>24</v>
      </c>
      <c r="D5769" s="20" t="s">
        <v>19793</v>
      </c>
      <c r="E5769" s="20" t="s">
        <v>19794</v>
      </c>
      <c r="F5769" s="19" t="s">
        <v>27</v>
      </c>
      <c r="G5769" s="19" t="s">
        <v>28</v>
      </c>
      <c r="H5769" s="37" t="s">
        <v>55</v>
      </c>
      <c r="I5769" s="37" t="s">
        <v>29</v>
      </c>
      <c r="J5769" s="155" t="str">
        <f t="shared" si="15"/>
        <v>TT</v>
      </c>
      <c r="K5769" s="22" t="s">
        <v>19795</v>
      </c>
      <c r="L5769" s="56">
        <v>45140</v>
      </c>
      <c r="P5769" s="40"/>
      <c r="Q5769" s="61"/>
      <c r="R5769" s="61"/>
      <c r="S5769" s="40"/>
      <c r="T5769" s="38"/>
      <c r="U5769" s="38"/>
      <c r="V5769" s="38"/>
      <c r="W5769" s="60"/>
      <c r="AB5769" s="42"/>
      <c r="AC5769" s="35"/>
      <c r="AD5769" s="38"/>
      <c r="AE5769" s="38"/>
      <c r="AF5769" s="38"/>
      <c r="AG5769" s="38"/>
      <c r="AH5769" s="60"/>
    </row>
    <row r="5770" spans="1:34" ht="15.75" customHeight="1">
      <c r="A5770" s="75" t="s">
        <v>18646</v>
      </c>
      <c r="B5770" s="158" t="s">
        <v>19796</v>
      </c>
      <c r="C5770" s="37" t="s">
        <v>87</v>
      </c>
      <c r="D5770" s="20" t="s">
        <v>19797</v>
      </c>
      <c r="E5770" s="20" t="s">
        <v>19798</v>
      </c>
      <c r="F5770" s="19" t="s">
        <v>90</v>
      </c>
      <c r="G5770" s="19" t="s">
        <v>91</v>
      </c>
      <c r="H5770" s="37" t="s">
        <v>55</v>
      </c>
      <c r="I5770" s="37" t="s">
        <v>29</v>
      </c>
      <c r="J5770" s="155" t="str">
        <f t="shared" si="15"/>
        <v>TT</v>
      </c>
      <c r="K5770" s="22" t="s">
        <v>19799</v>
      </c>
      <c r="L5770" s="56">
        <v>45140</v>
      </c>
      <c r="P5770" s="40"/>
      <c r="Q5770" s="61"/>
      <c r="R5770" s="61"/>
      <c r="S5770" s="40"/>
      <c r="T5770" s="38"/>
      <c r="U5770" s="38"/>
      <c r="V5770" s="38"/>
      <c r="W5770" s="60"/>
      <c r="AB5770" s="42"/>
      <c r="AC5770" s="35"/>
      <c r="AD5770" s="38"/>
      <c r="AE5770" s="38"/>
      <c r="AF5770" s="38"/>
      <c r="AG5770" s="38"/>
      <c r="AH5770" s="60"/>
    </row>
    <row r="5771" spans="1:34" ht="15.75" customHeight="1">
      <c r="A5771" s="50" t="s">
        <v>56</v>
      </c>
      <c r="B5771" s="158" t="s">
        <v>19800</v>
      </c>
      <c r="C5771" s="37" t="s">
        <v>46</v>
      </c>
      <c r="D5771" s="20" t="s">
        <v>19801</v>
      </c>
      <c r="E5771" s="20" t="s">
        <v>19802</v>
      </c>
      <c r="F5771" s="37" t="s">
        <v>49</v>
      </c>
      <c r="G5771" s="19" t="s">
        <v>50</v>
      </c>
      <c r="H5771" s="37" t="s">
        <v>55</v>
      </c>
      <c r="I5771" s="37" t="s">
        <v>29</v>
      </c>
      <c r="J5771" s="155" t="str">
        <f t="shared" si="15"/>
        <v>TT</v>
      </c>
      <c r="K5771" s="22" t="s">
        <v>19803</v>
      </c>
      <c r="L5771" s="56">
        <v>45140</v>
      </c>
      <c r="P5771" s="40"/>
      <c r="Q5771" s="61"/>
      <c r="R5771" s="61"/>
      <c r="S5771" s="40"/>
      <c r="T5771" s="38"/>
      <c r="U5771" s="38"/>
      <c r="V5771" s="38"/>
      <c r="W5771" s="60"/>
      <c r="AB5771" s="42"/>
      <c r="AC5771" s="35"/>
      <c r="AD5771" s="38"/>
      <c r="AE5771" s="38"/>
      <c r="AF5771" s="38"/>
      <c r="AG5771" s="38"/>
      <c r="AH5771" s="60"/>
    </row>
    <row r="5772" spans="1:34" ht="15.75" customHeight="1">
      <c r="A5772" s="17" t="s">
        <v>18655</v>
      </c>
      <c r="B5772" s="158" t="s">
        <v>19804</v>
      </c>
      <c r="C5772" s="37" t="s">
        <v>87</v>
      </c>
      <c r="D5772" s="20" t="s">
        <v>19805</v>
      </c>
      <c r="E5772" s="20" t="s">
        <v>19806</v>
      </c>
      <c r="F5772" s="19" t="s">
        <v>90</v>
      </c>
      <c r="G5772" s="19" t="s">
        <v>91</v>
      </c>
      <c r="H5772" s="37" t="s">
        <v>55</v>
      </c>
      <c r="I5772" s="37" t="s">
        <v>29</v>
      </c>
      <c r="J5772" s="155" t="str">
        <f t="shared" si="15"/>
        <v>TT</v>
      </c>
      <c r="K5772" s="22" t="s">
        <v>19807</v>
      </c>
      <c r="L5772" s="56">
        <v>45140</v>
      </c>
      <c r="P5772" s="40"/>
      <c r="Q5772" s="61"/>
      <c r="R5772" s="61"/>
      <c r="S5772" s="40"/>
      <c r="T5772" s="38"/>
      <c r="U5772" s="38"/>
      <c r="V5772" s="38"/>
      <c r="W5772" s="60"/>
      <c r="AB5772" s="42"/>
      <c r="AC5772" s="35"/>
      <c r="AD5772" s="38"/>
      <c r="AE5772" s="38"/>
      <c r="AF5772" s="38"/>
      <c r="AG5772" s="38"/>
      <c r="AH5772" s="60"/>
    </row>
    <row r="5773" spans="1:34" ht="15.75" customHeight="1">
      <c r="A5773" s="111" t="s">
        <v>64</v>
      </c>
      <c r="B5773" s="158" t="s">
        <v>19808</v>
      </c>
      <c r="C5773" s="37" t="s">
        <v>24</v>
      </c>
      <c r="D5773" s="20" t="s">
        <v>19809</v>
      </c>
      <c r="E5773" s="20" t="s">
        <v>19810</v>
      </c>
      <c r="F5773" s="19" t="s">
        <v>27</v>
      </c>
      <c r="G5773" s="19" t="s">
        <v>28</v>
      </c>
      <c r="H5773" s="37" t="s">
        <v>55</v>
      </c>
      <c r="I5773" s="37" t="s">
        <v>29</v>
      </c>
      <c r="J5773" s="155" t="str">
        <f t="shared" si="15"/>
        <v>TT</v>
      </c>
      <c r="K5773" s="22" t="s">
        <v>19811</v>
      </c>
      <c r="L5773" s="56">
        <v>45140</v>
      </c>
      <c r="P5773" s="40"/>
      <c r="Q5773" s="61"/>
      <c r="R5773" s="61"/>
      <c r="S5773" s="40"/>
      <c r="T5773" s="38"/>
      <c r="U5773" s="38"/>
      <c r="V5773" s="38"/>
      <c r="W5773" s="60"/>
      <c r="AB5773" s="42"/>
      <c r="AC5773" s="35"/>
      <c r="AD5773" s="38"/>
      <c r="AE5773" s="38"/>
      <c r="AF5773" s="38"/>
      <c r="AG5773" s="38"/>
      <c r="AH5773" s="60"/>
    </row>
    <row r="5774" spans="1:34" ht="15.75" customHeight="1">
      <c r="A5774" s="75">
        <v>1.9</v>
      </c>
      <c r="B5774" s="158" t="s">
        <v>19812</v>
      </c>
      <c r="C5774" s="37" t="s">
        <v>24</v>
      </c>
      <c r="D5774" s="20" t="s">
        <v>19813</v>
      </c>
      <c r="E5774" s="20" t="s">
        <v>19814</v>
      </c>
      <c r="F5774" s="19" t="s">
        <v>27</v>
      </c>
      <c r="G5774" s="19" t="s">
        <v>28</v>
      </c>
      <c r="H5774" s="37" t="s">
        <v>55</v>
      </c>
      <c r="I5774" s="37" t="s">
        <v>29</v>
      </c>
      <c r="J5774" s="155" t="str">
        <f t="shared" si="15"/>
        <v>TT</v>
      </c>
      <c r="K5774" s="22" t="s">
        <v>19815</v>
      </c>
      <c r="L5774" s="56">
        <v>45140</v>
      </c>
      <c r="P5774" s="40"/>
      <c r="Q5774" s="61"/>
      <c r="R5774" s="61"/>
      <c r="S5774" s="40"/>
      <c r="T5774" s="38"/>
      <c r="U5774" s="38"/>
      <c r="V5774" s="38"/>
      <c r="W5774" s="60"/>
      <c r="AB5774" s="42"/>
      <c r="AC5774" s="35"/>
      <c r="AD5774" s="38"/>
      <c r="AE5774" s="38"/>
      <c r="AF5774" s="38"/>
      <c r="AG5774" s="38"/>
      <c r="AH5774" s="60"/>
    </row>
    <row r="5775" spans="1:34" ht="15.75" customHeight="1">
      <c r="A5775" s="111" t="s">
        <v>73</v>
      </c>
      <c r="B5775" s="158" t="s">
        <v>19816</v>
      </c>
      <c r="C5775" s="37" t="s">
        <v>87</v>
      </c>
      <c r="D5775" s="20" t="s">
        <v>19817</v>
      </c>
      <c r="E5775" s="20" t="s">
        <v>19818</v>
      </c>
      <c r="F5775" s="19" t="s">
        <v>90</v>
      </c>
      <c r="G5775" s="19" t="s">
        <v>91</v>
      </c>
      <c r="H5775" s="37" t="s">
        <v>55</v>
      </c>
      <c r="I5775" s="37" t="s">
        <v>29</v>
      </c>
      <c r="J5775" s="155" t="str">
        <f t="shared" si="15"/>
        <v>TT</v>
      </c>
      <c r="K5775" s="22" t="s">
        <v>19819</v>
      </c>
      <c r="L5775" s="56">
        <v>45140</v>
      </c>
      <c r="P5775" s="40"/>
      <c r="Q5775" s="61"/>
      <c r="R5775" s="61"/>
      <c r="S5775" s="40"/>
      <c r="T5775" s="38"/>
      <c r="U5775" s="38"/>
      <c r="V5775" s="38"/>
      <c r="W5775" s="60"/>
      <c r="AB5775" s="42"/>
      <c r="AC5775" s="35"/>
      <c r="AD5775" s="38"/>
      <c r="AE5775" s="38"/>
      <c r="AF5775" s="38"/>
      <c r="AG5775" s="38"/>
      <c r="AH5775" s="60"/>
    </row>
    <row r="5776" spans="1:34" ht="15.75" customHeight="1">
      <c r="A5776" s="75">
        <v>2.4</v>
      </c>
      <c r="B5776" s="159" t="s">
        <v>19820</v>
      </c>
      <c r="C5776" s="37" t="s">
        <v>87</v>
      </c>
      <c r="D5776" s="20" t="s">
        <v>19821</v>
      </c>
      <c r="E5776" s="20" t="s">
        <v>19822</v>
      </c>
      <c r="F5776" s="19" t="s">
        <v>90</v>
      </c>
      <c r="G5776" s="19" t="s">
        <v>91</v>
      </c>
      <c r="H5776" s="37" t="s">
        <v>55</v>
      </c>
      <c r="I5776" s="37" t="s">
        <v>29</v>
      </c>
      <c r="J5776" s="155" t="str">
        <f t="shared" si="15"/>
        <v>TT</v>
      </c>
      <c r="K5776" s="22" t="s">
        <v>19823</v>
      </c>
      <c r="L5776" s="56">
        <v>45140</v>
      </c>
      <c r="P5776" s="40"/>
      <c r="Q5776" s="61"/>
      <c r="R5776" s="61"/>
      <c r="S5776" s="40"/>
      <c r="T5776" s="38"/>
      <c r="U5776" s="38"/>
      <c r="V5776" s="38"/>
      <c r="W5776" s="60"/>
      <c r="AB5776" s="42"/>
      <c r="AC5776" s="35"/>
      <c r="AD5776" s="38"/>
      <c r="AE5776" s="38"/>
      <c r="AF5776" s="38"/>
      <c r="AG5776" s="38"/>
      <c r="AH5776" s="60"/>
    </row>
    <row r="5777" spans="1:34" ht="15.75" customHeight="1">
      <c r="A5777" s="111" t="s">
        <v>82</v>
      </c>
      <c r="B5777" s="158" t="s">
        <v>19824</v>
      </c>
      <c r="C5777" s="37" t="s">
        <v>87</v>
      </c>
      <c r="D5777" s="20" t="s">
        <v>19825</v>
      </c>
      <c r="E5777" s="20" t="s">
        <v>19826</v>
      </c>
      <c r="F5777" s="19" t="s">
        <v>90</v>
      </c>
      <c r="G5777" s="19" t="s">
        <v>91</v>
      </c>
      <c r="H5777" s="37" t="s">
        <v>55</v>
      </c>
      <c r="I5777" s="37" t="s">
        <v>29</v>
      </c>
      <c r="J5777" s="155" t="str">
        <f t="shared" si="15"/>
        <v>TT</v>
      </c>
      <c r="K5777" s="22" t="s">
        <v>19827</v>
      </c>
      <c r="L5777" s="56">
        <v>45140</v>
      </c>
      <c r="P5777" s="40"/>
      <c r="Q5777" s="61"/>
      <c r="R5777" s="61"/>
      <c r="S5777" s="40"/>
      <c r="T5777" s="38"/>
      <c r="U5777" s="38"/>
      <c r="V5777" s="38"/>
      <c r="W5777" s="60"/>
      <c r="AB5777" s="42"/>
      <c r="AC5777" s="35"/>
      <c r="AD5777" s="38"/>
      <c r="AE5777" s="38"/>
      <c r="AF5777" s="38"/>
      <c r="AG5777" s="38"/>
      <c r="AH5777" s="60"/>
    </row>
    <row r="5778" spans="1:34" ht="15.75" customHeight="1">
      <c r="A5778" s="75" t="s">
        <v>17004</v>
      </c>
      <c r="B5778" s="38" t="s">
        <v>19828</v>
      </c>
      <c r="C5778" s="37" t="s">
        <v>412</v>
      </c>
      <c r="D5778" s="20" t="s">
        <v>19829</v>
      </c>
      <c r="E5778" s="20"/>
      <c r="F5778" s="19" t="s">
        <v>414</v>
      </c>
      <c r="G5778" s="37" t="s">
        <v>415</v>
      </c>
      <c r="H5778" s="37" t="s">
        <v>55</v>
      </c>
      <c r="I5778" s="37" t="s">
        <v>233</v>
      </c>
      <c r="J5778" s="155" t="str">
        <f t="shared" si="15"/>
        <v>NTT</v>
      </c>
      <c r="K5778" s="22"/>
      <c r="L5778" s="56">
        <v>45140</v>
      </c>
      <c r="P5778" s="40"/>
      <c r="Q5778" s="61"/>
      <c r="R5778" s="61"/>
      <c r="S5778" s="40"/>
      <c r="T5778" s="38"/>
      <c r="U5778" s="38"/>
      <c r="V5778" s="38"/>
      <c r="W5778" s="60"/>
      <c r="AB5778" s="42"/>
      <c r="AC5778" s="35"/>
      <c r="AD5778" s="38"/>
      <c r="AE5778" s="38"/>
      <c r="AF5778" s="38"/>
      <c r="AG5778" s="38"/>
      <c r="AH5778" s="60"/>
    </row>
    <row r="5779" spans="1:34" ht="15.75" customHeight="1">
      <c r="A5779" s="111" t="s">
        <v>19830</v>
      </c>
      <c r="B5779" s="38" t="s">
        <v>19831</v>
      </c>
      <c r="C5779" s="37" t="s">
        <v>412</v>
      </c>
      <c r="D5779" s="20" t="s">
        <v>19832</v>
      </c>
      <c r="E5779" s="20"/>
      <c r="F5779" s="19" t="s">
        <v>414</v>
      </c>
      <c r="G5779" s="19" t="s">
        <v>415</v>
      </c>
      <c r="H5779" s="37" t="s">
        <v>55</v>
      </c>
      <c r="I5779" s="37" t="s">
        <v>233</v>
      </c>
      <c r="J5779" s="155" t="str">
        <f t="shared" si="15"/>
        <v>NTT</v>
      </c>
      <c r="K5779" s="22"/>
      <c r="L5779" s="56">
        <v>45140</v>
      </c>
      <c r="P5779" s="40"/>
      <c r="Q5779" s="61"/>
      <c r="R5779" s="61"/>
      <c r="S5779" s="40"/>
      <c r="T5779" s="38"/>
      <c r="U5779" s="38"/>
      <c r="V5779" s="38"/>
      <c r="W5779" s="60"/>
      <c r="AB5779" s="42"/>
      <c r="AC5779" s="35"/>
      <c r="AD5779" s="38"/>
      <c r="AE5779" s="38"/>
      <c r="AF5779" s="38"/>
      <c r="AG5779" s="38"/>
      <c r="AH5779" s="60"/>
    </row>
    <row r="5780" spans="1:34" ht="15.75" customHeight="1">
      <c r="A5780" s="112" t="s">
        <v>92</v>
      </c>
      <c r="B5780" s="38" t="s">
        <v>19833</v>
      </c>
      <c r="C5780" s="37" t="s">
        <v>412</v>
      </c>
      <c r="D5780" s="20" t="s">
        <v>19834</v>
      </c>
      <c r="E5780" s="20"/>
      <c r="F5780" s="19" t="s">
        <v>414</v>
      </c>
      <c r="G5780" s="37" t="s">
        <v>415</v>
      </c>
      <c r="H5780" s="37" t="s">
        <v>55</v>
      </c>
      <c r="I5780" s="37" t="s">
        <v>233</v>
      </c>
      <c r="J5780" s="155" t="str">
        <f t="shared" si="15"/>
        <v>NTT</v>
      </c>
      <c r="K5780" s="22"/>
      <c r="L5780" s="56">
        <v>45140</v>
      </c>
      <c r="P5780" s="40"/>
      <c r="Q5780" s="61"/>
      <c r="R5780" s="61"/>
      <c r="S5780" s="40"/>
      <c r="T5780" s="38"/>
      <c r="U5780" s="38"/>
      <c r="V5780" s="38"/>
      <c r="W5780" s="60"/>
      <c r="AB5780" s="42"/>
      <c r="AC5780" s="35"/>
      <c r="AD5780" s="38"/>
      <c r="AE5780" s="38"/>
      <c r="AF5780" s="38"/>
      <c r="AG5780" s="38"/>
      <c r="AH5780" s="60"/>
    </row>
    <row r="5781" spans="1:34" ht="15.75" customHeight="1">
      <c r="A5781" s="111">
        <v>123</v>
      </c>
      <c r="B5781" s="38" t="s">
        <v>19835</v>
      </c>
      <c r="C5781" s="37" t="s">
        <v>412</v>
      </c>
      <c r="D5781" s="20" t="s">
        <v>19836</v>
      </c>
      <c r="E5781" s="20"/>
      <c r="F5781" s="19" t="s">
        <v>414</v>
      </c>
      <c r="G5781" s="19" t="s">
        <v>415</v>
      </c>
      <c r="H5781" s="37" t="s">
        <v>55</v>
      </c>
      <c r="I5781" s="37" t="s">
        <v>233</v>
      </c>
      <c r="J5781" s="155" t="str">
        <f t="shared" si="15"/>
        <v>NTT</v>
      </c>
      <c r="K5781" s="22"/>
      <c r="L5781" s="56">
        <v>45140</v>
      </c>
      <c r="P5781" s="40"/>
      <c r="Q5781" s="61"/>
      <c r="R5781" s="61"/>
      <c r="S5781" s="40"/>
      <c r="T5781" s="38"/>
      <c r="U5781" s="38"/>
      <c r="V5781" s="38"/>
      <c r="W5781" s="60"/>
      <c r="AB5781" s="42"/>
      <c r="AC5781" s="35"/>
      <c r="AD5781" s="38"/>
      <c r="AE5781" s="38"/>
      <c r="AF5781" s="38"/>
      <c r="AG5781" s="38"/>
      <c r="AH5781" s="60"/>
    </row>
    <row r="5782" spans="1:34" ht="15.75" customHeight="1">
      <c r="A5782" s="75" t="s">
        <v>100</v>
      </c>
      <c r="B5782" s="38" t="s">
        <v>19837</v>
      </c>
      <c r="C5782" s="37" t="s">
        <v>412</v>
      </c>
      <c r="D5782" s="20" t="s">
        <v>19838</v>
      </c>
      <c r="E5782" s="20"/>
      <c r="F5782" s="19" t="s">
        <v>414</v>
      </c>
      <c r="G5782" s="37" t="s">
        <v>415</v>
      </c>
      <c r="H5782" s="37" t="s">
        <v>55</v>
      </c>
      <c r="I5782" s="37" t="s">
        <v>233</v>
      </c>
      <c r="J5782" s="155" t="str">
        <f t="shared" si="15"/>
        <v>NTT</v>
      </c>
      <c r="K5782" s="22"/>
      <c r="L5782" s="56">
        <v>45140</v>
      </c>
      <c r="P5782" s="40"/>
      <c r="Q5782" s="61"/>
      <c r="R5782" s="61"/>
      <c r="S5782" s="40"/>
      <c r="T5782" s="38"/>
      <c r="U5782" s="38"/>
      <c r="V5782" s="38"/>
      <c r="W5782" s="60"/>
      <c r="AB5782" s="42"/>
      <c r="AC5782" s="35"/>
      <c r="AD5782" s="38"/>
      <c r="AE5782" s="38"/>
      <c r="AF5782" s="38"/>
      <c r="AG5782" s="38"/>
      <c r="AH5782" s="60"/>
    </row>
    <row r="5783" spans="1:34" ht="15.75" customHeight="1">
      <c r="A5783" s="258">
        <v>152</v>
      </c>
      <c r="B5783" s="38" t="s">
        <v>19839</v>
      </c>
      <c r="C5783" s="37" t="s">
        <v>412</v>
      </c>
      <c r="D5783" s="20" t="s">
        <v>19840</v>
      </c>
      <c r="E5783" s="20"/>
      <c r="F5783" s="19" t="s">
        <v>414</v>
      </c>
      <c r="G5783" s="19" t="s">
        <v>415</v>
      </c>
      <c r="H5783" s="37" t="s">
        <v>55</v>
      </c>
      <c r="I5783" s="37" t="s">
        <v>233</v>
      </c>
      <c r="J5783" s="155" t="str">
        <f t="shared" si="15"/>
        <v>NTT</v>
      </c>
      <c r="K5783" s="22"/>
      <c r="L5783" s="56">
        <v>45140</v>
      </c>
      <c r="P5783" s="40"/>
      <c r="Q5783" s="61"/>
      <c r="R5783" s="61"/>
      <c r="S5783" s="40"/>
      <c r="T5783" s="38"/>
      <c r="U5783" s="38"/>
      <c r="V5783" s="38"/>
      <c r="W5783" s="60"/>
      <c r="AB5783" s="42"/>
      <c r="AC5783" s="35"/>
      <c r="AD5783" s="38"/>
      <c r="AE5783" s="38"/>
      <c r="AF5783" s="38"/>
      <c r="AG5783" s="38"/>
      <c r="AH5783" s="60"/>
    </row>
    <row r="5784" spans="1:34" ht="15.75" customHeight="1">
      <c r="A5784" s="35"/>
      <c r="B5784" s="38" t="s">
        <v>19841</v>
      </c>
      <c r="C5784" s="37" t="s">
        <v>412</v>
      </c>
      <c r="D5784" s="20" t="s">
        <v>19842</v>
      </c>
      <c r="E5784" s="20"/>
      <c r="F5784" s="19" t="s">
        <v>414</v>
      </c>
      <c r="G5784" s="37" t="s">
        <v>415</v>
      </c>
      <c r="H5784" s="37" t="s">
        <v>55</v>
      </c>
      <c r="I5784" s="37" t="s">
        <v>233</v>
      </c>
      <c r="J5784" s="155" t="str">
        <f t="shared" si="15"/>
        <v>NTT</v>
      </c>
      <c r="K5784" s="22"/>
      <c r="L5784" s="56">
        <v>45140</v>
      </c>
      <c r="P5784" s="40"/>
      <c r="Q5784" s="61"/>
      <c r="R5784" s="61"/>
      <c r="S5784" s="40"/>
      <c r="T5784" s="38"/>
      <c r="U5784" s="38"/>
      <c r="V5784" s="38"/>
      <c r="W5784" s="60"/>
      <c r="AB5784" s="42"/>
      <c r="AC5784" s="35"/>
      <c r="AD5784" s="38"/>
      <c r="AE5784" s="38"/>
      <c r="AF5784" s="38"/>
      <c r="AG5784" s="38"/>
      <c r="AH5784" s="60"/>
    </row>
    <row r="5785" spans="1:34" ht="15.75" customHeight="1">
      <c r="A5785" s="294"/>
      <c r="B5785" s="295"/>
      <c r="C5785" s="37"/>
      <c r="D5785" s="20"/>
      <c r="E5785" s="20"/>
      <c r="F5785" s="37"/>
      <c r="G5785" s="37"/>
      <c r="H5785" s="37"/>
      <c r="I5785" s="37"/>
      <c r="J5785" s="155">
        <f t="shared" si="15"/>
        <v>0</v>
      </c>
      <c r="K5785" s="22"/>
      <c r="L5785" s="56"/>
      <c r="P5785" s="40"/>
      <c r="Q5785" s="61"/>
      <c r="R5785" s="61"/>
      <c r="S5785" s="40"/>
      <c r="T5785" s="38"/>
      <c r="U5785" s="38"/>
      <c r="V5785" s="38"/>
      <c r="W5785" s="60"/>
      <c r="AB5785" s="42"/>
      <c r="AC5785" s="35"/>
      <c r="AD5785" s="38"/>
      <c r="AE5785" s="38"/>
      <c r="AF5785" s="38"/>
      <c r="AG5785" s="38"/>
      <c r="AH5785" s="60"/>
    </row>
    <row r="5786" spans="1:34" ht="15.75" customHeight="1">
      <c r="A5786" s="35" t="s">
        <v>19843</v>
      </c>
      <c r="B5786" s="159" t="s">
        <v>19844</v>
      </c>
      <c r="C5786" s="37" t="s">
        <v>24</v>
      </c>
      <c r="D5786" s="20" t="s">
        <v>19845</v>
      </c>
      <c r="E5786" s="20"/>
      <c r="F5786" s="19" t="s">
        <v>27</v>
      </c>
      <c r="G5786" s="19" t="s">
        <v>28</v>
      </c>
      <c r="H5786" s="37" t="s">
        <v>55</v>
      </c>
      <c r="I5786" s="37" t="s">
        <v>29</v>
      </c>
      <c r="J5786" s="155" t="str">
        <f t="shared" si="15"/>
        <v>TT</v>
      </c>
      <c r="K5786" s="22"/>
      <c r="L5786" s="56">
        <v>45140</v>
      </c>
      <c r="M5786" s="40"/>
      <c r="P5786" s="40"/>
      <c r="Q5786" s="61"/>
      <c r="R5786" s="61"/>
      <c r="S5786" s="40"/>
      <c r="T5786" s="38"/>
      <c r="U5786" s="38"/>
      <c r="V5786" s="38"/>
      <c r="W5786" s="60"/>
      <c r="AB5786" s="42"/>
      <c r="AC5786" s="35"/>
      <c r="AD5786" s="38"/>
      <c r="AE5786" s="38"/>
      <c r="AF5786" s="38"/>
      <c r="AG5786" s="38"/>
      <c r="AH5786" s="60"/>
    </row>
    <row r="5787" spans="1:34" ht="15.75" customHeight="1">
      <c r="A5787" s="54" t="s">
        <v>2714</v>
      </c>
      <c r="B5787" s="158" t="s">
        <v>19846</v>
      </c>
      <c r="C5787" s="37" t="s">
        <v>87</v>
      </c>
      <c r="D5787" s="20" t="s">
        <v>19847</v>
      </c>
      <c r="E5787" s="20"/>
      <c r="F5787" s="19" t="s">
        <v>90</v>
      </c>
      <c r="G5787" s="19" t="s">
        <v>91</v>
      </c>
      <c r="H5787" s="37" t="s">
        <v>55</v>
      </c>
      <c r="I5787" s="37" t="s">
        <v>29</v>
      </c>
      <c r="J5787" s="155" t="str">
        <f t="shared" si="15"/>
        <v>TT</v>
      </c>
      <c r="K5787" s="22"/>
      <c r="L5787" s="56">
        <v>45140</v>
      </c>
      <c r="P5787" s="40"/>
      <c r="Q5787" s="61"/>
      <c r="R5787" s="61"/>
      <c r="S5787" s="40"/>
      <c r="T5787" s="38"/>
      <c r="U5787" s="38"/>
      <c r="V5787" s="38"/>
      <c r="W5787" s="60"/>
      <c r="AB5787" s="42"/>
      <c r="AC5787" s="35"/>
      <c r="AD5787" s="38"/>
      <c r="AE5787" s="38"/>
      <c r="AF5787" s="38"/>
      <c r="AG5787" s="38"/>
      <c r="AH5787" s="60"/>
    </row>
    <row r="5788" spans="1:34" ht="15.75" customHeight="1">
      <c r="A5788" s="114" t="s">
        <v>39</v>
      </c>
      <c r="B5788" s="158" t="s">
        <v>19848</v>
      </c>
      <c r="C5788" s="37" t="s">
        <v>87</v>
      </c>
      <c r="D5788" s="20" t="s">
        <v>19849</v>
      </c>
      <c r="E5788" s="20"/>
      <c r="F5788" s="19" t="s">
        <v>90</v>
      </c>
      <c r="G5788" s="19" t="s">
        <v>91</v>
      </c>
      <c r="H5788" s="37" t="s">
        <v>55</v>
      </c>
      <c r="I5788" s="37" t="s">
        <v>29</v>
      </c>
      <c r="J5788" s="155" t="str">
        <f t="shared" si="15"/>
        <v>TT</v>
      </c>
      <c r="K5788" s="22"/>
      <c r="L5788" s="56">
        <v>45140</v>
      </c>
      <c r="P5788" s="40"/>
      <c r="Q5788" s="61"/>
      <c r="R5788" s="61"/>
      <c r="S5788" s="40"/>
      <c r="T5788" s="38"/>
      <c r="U5788" s="38"/>
      <c r="V5788" s="38"/>
      <c r="W5788" s="60"/>
      <c r="AB5788" s="42"/>
      <c r="AC5788" s="35"/>
      <c r="AD5788" s="38"/>
      <c r="AE5788" s="38"/>
      <c r="AF5788" s="38"/>
      <c r="AG5788" s="38"/>
      <c r="AH5788" s="60"/>
    </row>
    <row r="5789" spans="1:34" ht="15.75" customHeight="1">
      <c r="A5789" s="38" t="s">
        <v>19531</v>
      </c>
      <c r="B5789" s="158" t="s">
        <v>19850</v>
      </c>
      <c r="C5789" s="37" t="s">
        <v>24</v>
      </c>
      <c r="D5789" s="20" t="s">
        <v>19851</v>
      </c>
      <c r="E5789" s="20"/>
      <c r="F5789" s="19" t="s">
        <v>27</v>
      </c>
      <c r="G5789" s="19" t="s">
        <v>28</v>
      </c>
      <c r="H5789" s="37" t="s">
        <v>55</v>
      </c>
      <c r="I5789" s="37" t="s">
        <v>29</v>
      </c>
      <c r="J5789" s="155" t="str">
        <f t="shared" si="15"/>
        <v>TT</v>
      </c>
      <c r="K5789" s="22"/>
      <c r="L5789" s="56">
        <v>45140</v>
      </c>
      <c r="P5789" s="40"/>
      <c r="Q5789" s="61"/>
      <c r="R5789" s="61"/>
      <c r="S5789" s="40"/>
      <c r="T5789" s="38"/>
      <c r="U5789" s="38"/>
      <c r="V5789" s="38"/>
      <c r="W5789" s="60"/>
      <c r="AB5789" s="42"/>
      <c r="AC5789" s="35"/>
      <c r="AD5789" s="38"/>
      <c r="AE5789" s="38"/>
      <c r="AF5789" s="38"/>
      <c r="AG5789" s="38"/>
      <c r="AH5789" s="60"/>
    </row>
    <row r="5790" spans="1:34" ht="15.75" customHeight="1">
      <c r="A5790" s="75" t="s">
        <v>18286</v>
      </c>
      <c r="B5790" s="296"/>
      <c r="C5790" s="37"/>
      <c r="D5790" s="20"/>
      <c r="E5790" s="20"/>
      <c r="F5790" s="37"/>
      <c r="G5790" s="37"/>
      <c r="H5790" s="37"/>
      <c r="I5790" s="37"/>
      <c r="J5790" s="155">
        <f t="shared" si="15"/>
        <v>0</v>
      </c>
      <c r="K5790" s="22"/>
      <c r="L5790" s="56"/>
      <c r="P5790" s="40"/>
      <c r="Q5790" s="61"/>
      <c r="R5790" s="61"/>
      <c r="S5790" s="40"/>
      <c r="T5790" s="38"/>
      <c r="U5790" s="38"/>
      <c r="V5790" s="38"/>
      <c r="W5790" s="60"/>
      <c r="AB5790" s="42"/>
      <c r="AC5790" s="35"/>
      <c r="AD5790" s="38"/>
      <c r="AE5790" s="38"/>
      <c r="AF5790" s="38"/>
      <c r="AG5790" s="38"/>
      <c r="AH5790" s="60"/>
    </row>
    <row r="5791" spans="1:34" ht="15.75" customHeight="1">
      <c r="A5791" s="50" t="s">
        <v>56</v>
      </c>
      <c r="B5791" s="296"/>
      <c r="C5791" s="37"/>
      <c r="D5791" s="20"/>
      <c r="E5791" s="20"/>
      <c r="F5791" s="37"/>
      <c r="G5791" s="37"/>
      <c r="H5791" s="37"/>
      <c r="I5791" s="37"/>
      <c r="J5791" s="155">
        <f t="shared" si="15"/>
        <v>0</v>
      </c>
      <c r="K5791" s="22"/>
      <c r="L5791" s="56"/>
      <c r="P5791" s="40"/>
      <c r="Q5791" s="61"/>
      <c r="R5791" s="61"/>
      <c r="S5791" s="40"/>
      <c r="T5791" s="38"/>
      <c r="U5791" s="38"/>
      <c r="V5791" s="38"/>
      <c r="W5791" s="60"/>
      <c r="AB5791" s="42"/>
      <c r="AC5791" s="35"/>
      <c r="AD5791" s="38"/>
      <c r="AE5791" s="38"/>
      <c r="AF5791" s="38"/>
      <c r="AG5791" s="38"/>
      <c r="AH5791" s="60"/>
    </row>
    <row r="5792" spans="1:34" ht="15.75" customHeight="1">
      <c r="A5792" s="17">
        <v>28</v>
      </c>
      <c r="B5792" s="38"/>
      <c r="C5792" s="37"/>
      <c r="D5792" s="20"/>
      <c r="E5792" s="20"/>
      <c r="F5792" s="37"/>
      <c r="G5792" s="37"/>
      <c r="H5792" s="37"/>
      <c r="I5792" s="37"/>
      <c r="J5792" s="155">
        <f t="shared" si="15"/>
        <v>0</v>
      </c>
      <c r="K5792" s="22"/>
      <c r="L5792" s="56"/>
      <c r="P5792" s="40"/>
      <c r="Q5792" s="61"/>
      <c r="R5792" s="61"/>
      <c r="S5792" s="40"/>
      <c r="T5792" s="38"/>
      <c r="U5792" s="38"/>
      <c r="V5792" s="38"/>
      <c r="W5792" s="60"/>
      <c r="AB5792" s="42"/>
      <c r="AC5792" s="35"/>
      <c r="AD5792" s="38"/>
      <c r="AE5792" s="38"/>
      <c r="AF5792" s="38"/>
      <c r="AG5792" s="38"/>
      <c r="AH5792" s="60"/>
    </row>
    <row r="5793" spans="1:34" ht="15.75" customHeight="1">
      <c r="A5793" s="111" t="s">
        <v>64</v>
      </c>
      <c r="B5793" s="38"/>
      <c r="C5793" s="37"/>
      <c r="D5793" s="20"/>
      <c r="E5793" s="20"/>
      <c r="F5793" s="37"/>
      <c r="G5793" s="37"/>
      <c r="H5793" s="37"/>
      <c r="I5793" s="37"/>
      <c r="J5793" s="155">
        <f t="shared" si="15"/>
        <v>0</v>
      </c>
      <c r="K5793" s="22"/>
      <c r="L5793" s="56"/>
      <c r="P5793" s="40"/>
      <c r="Q5793" s="61"/>
      <c r="R5793" s="61"/>
      <c r="S5793" s="40"/>
      <c r="T5793" s="38"/>
      <c r="U5793" s="38"/>
      <c r="V5793" s="38"/>
      <c r="W5793" s="60"/>
      <c r="AB5793" s="42"/>
      <c r="AC5793" s="35"/>
      <c r="AD5793" s="38"/>
      <c r="AE5793" s="38"/>
      <c r="AF5793" s="38"/>
      <c r="AG5793" s="38"/>
      <c r="AH5793" s="60"/>
    </row>
    <row r="5794" spans="1:34" ht="15.75" customHeight="1">
      <c r="A5794" s="75">
        <v>1.8</v>
      </c>
      <c r="B5794" s="38"/>
      <c r="C5794" s="37"/>
      <c r="D5794" s="20"/>
      <c r="E5794" s="20"/>
      <c r="F5794" s="37"/>
      <c r="G5794" s="37"/>
      <c r="H5794" s="37"/>
      <c r="I5794" s="37"/>
      <c r="J5794" s="155">
        <f t="shared" si="15"/>
        <v>0</v>
      </c>
      <c r="K5794" s="22"/>
      <c r="L5794" s="56"/>
      <c r="P5794" s="40"/>
      <c r="Q5794" s="61"/>
      <c r="R5794" s="61"/>
      <c r="S5794" s="40"/>
      <c r="T5794" s="38"/>
      <c r="U5794" s="38"/>
      <c r="V5794" s="38"/>
      <c r="W5794" s="60"/>
      <c r="AB5794" s="42"/>
      <c r="AC5794" s="35"/>
      <c r="AD5794" s="38"/>
      <c r="AE5794" s="38"/>
      <c r="AF5794" s="38"/>
      <c r="AG5794" s="38"/>
      <c r="AH5794" s="60"/>
    </row>
    <row r="5795" spans="1:34" ht="15.75" customHeight="1">
      <c r="A5795" s="111" t="s">
        <v>73</v>
      </c>
      <c r="B5795" s="38"/>
      <c r="C5795" s="37"/>
      <c r="D5795" s="20"/>
      <c r="E5795" s="20"/>
      <c r="F5795" s="37"/>
      <c r="G5795" s="37"/>
      <c r="H5795" s="37"/>
      <c r="I5795" s="37"/>
      <c r="J5795" s="155">
        <f t="shared" si="15"/>
        <v>0</v>
      </c>
      <c r="K5795" s="22"/>
      <c r="L5795" s="56"/>
      <c r="P5795" s="40"/>
      <c r="Q5795" s="61"/>
      <c r="R5795" s="61"/>
      <c r="S5795" s="40"/>
      <c r="T5795" s="38"/>
      <c r="U5795" s="38"/>
      <c r="V5795" s="38"/>
      <c r="W5795" s="60"/>
      <c r="AB5795" s="42"/>
      <c r="AC5795" s="35"/>
      <c r="AD5795" s="38"/>
      <c r="AE5795" s="38"/>
      <c r="AF5795" s="38"/>
      <c r="AG5795" s="38"/>
      <c r="AH5795" s="60"/>
    </row>
    <row r="5796" spans="1:34" ht="15.75" customHeight="1">
      <c r="A5796" s="75">
        <v>1.9</v>
      </c>
      <c r="B5796" s="38"/>
      <c r="C5796" s="37"/>
      <c r="D5796" s="20"/>
      <c r="E5796" s="20"/>
      <c r="F5796" s="37"/>
      <c r="G5796" s="37"/>
      <c r="H5796" s="37"/>
      <c r="I5796" s="37"/>
      <c r="J5796" s="155">
        <f t="shared" si="15"/>
        <v>0</v>
      </c>
      <c r="K5796" s="22"/>
      <c r="L5796" s="56"/>
      <c r="P5796" s="40"/>
      <c r="Q5796" s="61"/>
      <c r="R5796" s="61"/>
      <c r="S5796" s="40"/>
      <c r="T5796" s="38"/>
      <c r="U5796" s="38"/>
      <c r="V5796" s="38"/>
      <c r="W5796" s="60"/>
      <c r="AB5796" s="42"/>
      <c r="AC5796" s="35"/>
      <c r="AD5796" s="38"/>
      <c r="AE5796" s="38"/>
      <c r="AF5796" s="38"/>
      <c r="AG5796" s="38"/>
      <c r="AH5796" s="60"/>
    </row>
    <row r="5797" spans="1:34" ht="15.75" customHeight="1">
      <c r="A5797" s="111" t="s">
        <v>82</v>
      </c>
      <c r="B5797" s="38"/>
      <c r="C5797" s="37"/>
      <c r="D5797" s="20"/>
      <c r="E5797" s="20"/>
      <c r="F5797" s="37"/>
      <c r="G5797" s="37"/>
      <c r="H5797" s="37"/>
      <c r="I5797" s="37"/>
      <c r="J5797" s="155">
        <f t="shared" si="15"/>
        <v>0</v>
      </c>
      <c r="K5797" s="22"/>
      <c r="L5797" s="56"/>
      <c r="P5797" s="40"/>
      <c r="Q5797" s="61"/>
      <c r="R5797" s="61"/>
      <c r="S5797" s="40"/>
      <c r="T5797" s="38"/>
      <c r="U5797" s="38"/>
      <c r="V5797" s="38"/>
      <c r="W5797" s="60"/>
      <c r="AB5797" s="42"/>
      <c r="AC5797" s="35"/>
      <c r="AD5797" s="38"/>
      <c r="AE5797" s="38"/>
      <c r="AF5797" s="38"/>
      <c r="AG5797" s="38"/>
      <c r="AH5797" s="60"/>
    </row>
    <row r="5798" spans="1:34" ht="15.75" customHeight="1">
      <c r="A5798" s="75" t="s">
        <v>19852</v>
      </c>
      <c r="B5798" s="38"/>
      <c r="C5798" s="37"/>
      <c r="D5798" s="20"/>
      <c r="E5798" s="20"/>
      <c r="F5798" s="37"/>
      <c r="G5798" s="37"/>
      <c r="H5798" s="37"/>
      <c r="I5798" s="37"/>
      <c r="J5798" s="155">
        <f t="shared" si="15"/>
        <v>0</v>
      </c>
      <c r="K5798" s="22"/>
      <c r="L5798" s="56"/>
      <c r="P5798" s="40"/>
      <c r="Q5798" s="61"/>
      <c r="R5798" s="61"/>
      <c r="S5798" s="40"/>
      <c r="T5798" s="38"/>
      <c r="U5798" s="38"/>
      <c r="V5798" s="38"/>
      <c r="W5798" s="60"/>
      <c r="AB5798" s="42"/>
      <c r="AC5798" s="35"/>
      <c r="AD5798" s="38"/>
      <c r="AE5798" s="38"/>
      <c r="AF5798" s="38"/>
      <c r="AG5798" s="38"/>
      <c r="AH5798" s="60"/>
    </row>
    <row r="5799" spans="1:34" ht="15.75" customHeight="1">
      <c r="A5799" s="111" t="s">
        <v>92</v>
      </c>
      <c r="B5799" s="38"/>
      <c r="C5799" s="37"/>
      <c r="D5799" s="20"/>
      <c r="E5799" s="20"/>
      <c r="F5799" s="37"/>
      <c r="G5799" s="37"/>
      <c r="H5799" s="37"/>
      <c r="I5799" s="37"/>
      <c r="J5799" s="155">
        <f t="shared" si="15"/>
        <v>0</v>
      </c>
      <c r="K5799" s="22"/>
      <c r="L5799" s="56"/>
      <c r="P5799" s="40"/>
      <c r="Q5799" s="61"/>
      <c r="R5799" s="61"/>
      <c r="S5799" s="40"/>
      <c r="T5799" s="38"/>
      <c r="U5799" s="38"/>
      <c r="V5799" s="38"/>
      <c r="W5799" s="60"/>
      <c r="AB5799" s="42"/>
      <c r="AC5799" s="35"/>
      <c r="AD5799" s="38"/>
      <c r="AE5799" s="38"/>
      <c r="AF5799" s="38"/>
      <c r="AG5799" s="38"/>
      <c r="AH5799" s="60"/>
    </row>
    <row r="5800" spans="1:34" ht="15.75" customHeight="1">
      <c r="A5800" s="112">
        <v>249</v>
      </c>
      <c r="B5800" s="38"/>
      <c r="C5800" s="37"/>
      <c r="D5800" s="20"/>
      <c r="E5800" s="20"/>
      <c r="F5800" s="37"/>
      <c r="G5800" s="37"/>
      <c r="H5800" s="37"/>
      <c r="I5800" s="37"/>
      <c r="J5800" s="155">
        <f t="shared" si="15"/>
        <v>0</v>
      </c>
      <c r="K5800" s="22"/>
      <c r="L5800" s="56"/>
      <c r="P5800" s="40"/>
      <c r="Q5800" s="61"/>
      <c r="R5800" s="61"/>
      <c r="S5800" s="40"/>
      <c r="T5800" s="38"/>
      <c r="U5800" s="38"/>
      <c r="V5800" s="38"/>
      <c r="W5800" s="60"/>
      <c r="AB5800" s="42"/>
      <c r="AC5800" s="35"/>
      <c r="AD5800" s="38"/>
      <c r="AE5800" s="38"/>
      <c r="AF5800" s="38"/>
      <c r="AG5800" s="38"/>
      <c r="AH5800" s="60"/>
    </row>
    <row r="5801" spans="1:34" ht="15.75" customHeight="1">
      <c r="A5801" s="111" t="s">
        <v>100</v>
      </c>
      <c r="B5801" s="38"/>
      <c r="C5801" s="37"/>
      <c r="D5801" s="20"/>
      <c r="E5801" s="20"/>
      <c r="F5801" s="37"/>
      <c r="G5801" s="37"/>
      <c r="H5801" s="37"/>
      <c r="I5801" s="37"/>
      <c r="J5801" s="155">
        <f t="shared" si="15"/>
        <v>0</v>
      </c>
      <c r="K5801" s="22"/>
      <c r="L5801" s="56"/>
      <c r="P5801" s="40"/>
      <c r="Q5801" s="61"/>
      <c r="R5801" s="61"/>
      <c r="S5801" s="40"/>
      <c r="T5801" s="38"/>
      <c r="U5801" s="38"/>
      <c r="V5801" s="38"/>
      <c r="W5801" s="60"/>
      <c r="AB5801" s="42"/>
      <c r="AC5801" s="35"/>
      <c r="AD5801" s="38"/>
      <c r="AE5801" s="38"/>
      <c r="AF5801" s="38"/>
      <c r="AG5801" s="38"/>
      <c r="AH5801" s="60"/>
    </row>
    <row r="5802" spans="1:34" ht="15.75" customHeight="1">
      <c r="A5802" s="75">
        <v>154</v>
      </c>
      <c r="B5802" s="38"/>
      <c r="C5802" s="37"/>
      <c r="D5802" s="20"/>
      <c r="E5802" s="20"/>
      <c r="F5802" s="37"/>
      <c r="G5802" s="37"/>
      <c r="H5802" s="37"/>
      <c r="I5802" s="37"/>
      <c r="J5802" s="155">
        <f t="shared" si="15"/>
        <v>0</v>
      </c>
      <c r="K5802" s="22"/>
      <c r="L5802" s="56"/>
      <c r="P5802" s="40"/>
      <c r="Q5802" s="61"/>
      <c r="R5802" s="61"/>
      <c r="S5802" s="40"/>
      <c r="T5802" s="38"/>
      <c r="U5802" s="38"/>
      <c r="V5802" s="38"/>
      <c r="W5802" s="60"/>
      <c r="AB5802" s="42"/>
      <c r="AC5802" s="35"/>
      <c r="AD5802" s="38"/>
      <c r="AE5802" s="38"/>
      <c r="AF5802" s="38"/>
      <c r="AG5802" s="38"/>
      <c r="AH5802" s="60"/>
    </row>
    <row r="5803" spans="1:34" ht="15.75" customHeight="1">
      <c r="A5803" s="258"/>
      <c r="B5803" s="38"/>
      <c r="C5803" s="37"/>
      <c r="D5803" s="20"/>
      <c r="E5803" s="20"/>
      <c r="F5803" s="37"/>
      <c r="G5803" s="37"/>
      <c r="H5803" s="37"/>
      <c r="I5803" s="37"/>
      <c r="J5803" s="155">
        <f t="shared" si="15"/>
        <v>0</v>
      </c>
      <c r="K5803" s="22"/>
      <c r="L5803" s="56"/>
      <c r="P5803" s="40"/>
      <c r="Q5803" s="61"/>
      <c r="R5803" s="61"/>
      <c r="S5803" s="40"/>
      <c r="T5803" s="38"/>
      <c r="U5803" s="38"/>
      <c r="V5803" s="38"/>
      <c r="W5803" s="60"/>
      <c r="AB5803" s="42"/>
      <c r="AC5803" s="35"/>
      <c r="AD5803" s="38"/>
      <c r="AE5803" s="38"/>
      <c r="AF5803" s="38"/>
      <c r="AG5803" s="38"/>
      <c r="AH5803" s="60"/>
    </row>
    <row r="5804" spans="1:34" ht="15.75" customHeight="1">
      <c r="A5804" s="35" t="s">
        <v>19853</v>
      </c>
      <c r="B5804" s="159" t="s">
        <v>19854</v>
      </c>
      <c r="C5804" s="37" t="s">
        <v>24</v>
      </c>
      <c r="D5804" s="20" t="s">
        <v>19855</v>
      </c>
      <c r="E5804" s="20" t="s">
        <v>19856</v>
      </c>
      <c r="F5804" s="19" t="s">
        <v>27</v>
      </c>
      <c r="G5804" s="19" t="s">
        <v>28</v>
      </c>
      <c r="H5804" s="19" t="s">
        <v>36</v>
      </c>
      <c r="I5804" s="37" t="s">
        <v>29</v>
      </c>
      <c r="J5804" s="155" t="str">
        <f t="shared" si="15"/>
        <v>TT</v>
      </c>
      <c r="K5804" s="22" t="s">
        <v>19857</v>
      </c>
      <c r="L5804" s="56">
        <v>45140</v>
      </c>
      <c r="M5804" s="40"/>
      <c r="P5804" s="40"/>
      <c r="Q5804" s="61"/>
      <c r="R5804" s="61"/>
      <c r="S5804" s="40"/>
      <c r="T5804" s="38"/>
      <c r="U5804" s="38"/>
      <c r="V5804" s="38"/>
      <c r="W5804" s="60"/>
      <c r="AB5804" s="42"/>
      <c r="AC5804" s="35"/>
      <c r="AD5804" s="38"/>
      <c r="AE5804" s="38"/>
      <c r="AF5804" s="38"/>
      <c r="AG5804" s="38"/>
      <c r="AH5804" s="60"/>
    </row>
    <row r="5805" spans="1:34" ht="15.75" customHeight="1">
      <c r="A5805" s="54" t="s">
        <v>2714</v>
      </c>
      <c r="B5805" s="158" t="s">
        <v>19858</v>
      </c>
      <c r="C5805" s="37" t="s">
        <v>46</v>
      </c>
      <c r="D5805" s="20" t="s">
        <v>19859</v>
      </c>
      <c r="E5805" s="20" t="s">
        <v>19860</v>
      </c>
      <c r="F5805" s="37" t="s">
        <v>49</v>
      </c>
      <c r="G5805" s="19" t="s">
        <v>50</v>
      </c>
      <c r="H5805" s="37" t="s">
        <v>55</v>
      </c>
      <c r="I5805" s="37" t="s">
        <v>29</v>
      </c>
      <c r="J5805" s="155" t="str">
        <f t="shared" si="15"/>
        <v>TT</v>
      </c>
      <c r="K5805" s="22" t="s">
        <v>19861</v>
      </c>
      <c r="L5805" s="56">
        <v>45140</v>
      </c>
      <c r="P5805" s="40"/>
      <c r="Q5805" s="61"/>
      <c r="R5805" s="61"/>
      <c r="S5805" s="40"/>
      <c r="T5805" s="38"/>
      <c r="U5805" s="38"/>
      <c r="V5805" s="38"/>
      <c r="W5805" s="60"/>
      <c r="AB5805" s="42"/>
      <c r="AC5805" s="35"/>
      <c r="AD5805" s="38"/>
      <c r="AE5805" s="38"/>
      <c r="AF5805" s="38"/>
      <c r="AG5805" s="38"/>
      <c r="AH5805" s="60"/>
    </row>
    <row r="5806" spans="1:34" ht="15.75" customHeight="1">
      <c r="A5806" s="114" t="s">
        <v>39</v>
      </c>
      <c r="B5806" s="158" t="s">
        <v>19862</v>
      </c>
      <c r="C5806" s="37" t="s">
        <v>46</v>
      </c>
      <c r="D5806" s="20" t="s">
        <v>19863</v>
      </c>
      <c r="E5806" s="20" t="s">
        <v>19864</v>
      </c>
      <c r="F5806" s="37" t="s">
        <v>49</v>
      </c>
      <c r="G5806" s="19" t="s">
        <v>50</v>
      </c>
      <c r="H5806" s="37" t="s">
        <v>55</v>
      </c>
      <c r="I5806" s="37" t="s">
        <v>29</v>
      </c>
      <c r="J5806" s="155" t="str">
        <f t="shared" si="15"/>
        <v>TT</v>
      </c>
      <c r="K5806" s="22" t="s">
        <v>19865</v>
      </c>
      <c r="L5806" s="56">
        <v>45140</v>
      </c>
      <c r="P5806" s="40"/>
      <c r="Q5806" s="61"/>
      <c r="R5806" s="61"/>
      <c r="S5806" s="40"/>
      <c r="T5806" s="38"/>
      <c r="U5806" s="38"/>
      <c r="V5806" s="38"/>
      <c r="W5806" s="60"/>
      <c r="AB5806" s="42"/>
      <c r="AC5806" s="35"/>
      <c r="AD5806" s="38"/>
      <c r="AE5806" s="38"/>
      <c r="AF5806" s="38"/>
      <c r="AG5806" s="38"/>
      <c r="AH5806" s="60"/>
    </row>
    <row r="5807" spans="1:34" ht="15.75" customHeight="1">
      <c r="A5807" s="38" t="s">
        <v>19531</v>
      </c>
      <c r="B5807" s="158" t="s">
        <v>19866</v>
      </c>
      <c r="C5807" s="37" t="s">
        <v>87</v>
      </c>
      <c r="D5807" s="20" t="s">
        <v>19867</v>
      </c>
      <c r="E5807" s="20" t="s">
        <v>19868</v>
      </c>
      <c r="F5807" s="19" t="s">
        <v>90</v>
      </c>
      <c r="G5807" s="19" t="s">
        <v>91</v>
      </c>
      <c r="H5807" s="19" t="s">
        <v>36</v>
      </c>
      <c r="I5807" s="37" t="s">
        <v>29</v>
      </c>
      <c r="J5807" s="155" t="str">
        <f t="shared" si="15"/>
        <v>TT</v>
      </c>
      <c r="K5807" s="22" t="s">
        <v>19869</v>
      </c>
      <c r="L5807" s="56">
        <v>45140</v>
      </c>
      <c r="P5807" s="40"/>
      <c r="Q5807" s="61"/>
      <c r="R5807" s="61"/>
      <c r="S5807" s="40"/>
      <c r="T5807" s="38"/>
      <c r="U5807" s="38"/>
      <c r="V5807" s="38"/>
      <c r="W5807" s="60"/>
      <c r="AB5807" s="42"/>
      <c r="AC5807" s="35"/>
      <c r="AD5807" s="38"/>
      <c r="AE5807" s="38"/>
      <c r="AF5807" s="38"/>
      <c r="AG5807" s="38"/>
      <c r="AH5807" s="60"/>
    </row>
    <row r="5808" spans="1:34" ht="15.75" customHeight="1">
      <c r="A5808" s="75" t="s">
        <v>16842</v>
      </c>
      <c r="B5808" s="158" t="s">
        <v>19870</v>
      </c>
      <c r="C5808" s="37" t="s">
        <v>46</v>
      </c>
      <c r="D5808" s="20" t="s">
        <v>19871</v>
      </c>
      <c r="E5808" s="20"/>
      <c r="F5808" s="37" t="s">
        <v>49</v>
      </c>
      <c r="G5808" s="19" t="s">
        <v>50</v>
      </c>
      <c r="H5808" s="37" t="s">
        <v>55</v>
      </c>
      <c r="I5808" s="37" t="s">
        <v>29</v>
      </c>
      <c r="J5808" s="155" t="str">
        <f t="shared" si="15"/>
        <v>TT</v>
      </c>
      <c r="K5808" s="22"/>
      <c r="L5808" s="56">
        <v>45140</v>
      </c>
      <c r="P5808" s="40"/>
      <c r="Q5808" s="61"/>
      <c r="R5808" s="61"/>
      <c r="S5808" s="40"/>
      <c r="T5808" s="38"/>
      <c r="U5808" s="38"/>
      <c r="V5808" s="38"/>
      <c r="W5808" s="60"/>
      <c r="AB5808" s="42"/>
      <c r="AC5808" s="35"/>
      <c r="AD5808" s="38"/>
      <c r="AE5808" s="38"/>
      <c r="AF5808" s="38"/>
      <c r="AG5808" s="38"/>
      <c r="AH5808" s="60"/>
    </row>
    <row r="5809" spans="1:34" ht="15.75" customHeight="1">
      <c r="A5809" s="50" t="s">
        <v>56</v>
      </c>
      <c r="B5809" s="158" t="s">
        <v>19872</v>
      </c>
      <c r="C5809" s="37" t="s">
        <v>46</v>
      </c>
      <c r="D5809" s="20" t="s">
        <v>19873</v>
      </c>
      <c r="E5809" s="20"/>
      <c r="F5809" s="37" t="s">
        <v>49</v>
      </c>
      <c r="G5809" s="19" t="s">
        <v>50</v>
      </c>
      <c r="H5809" s="37" t="s">
        <v>55</v>
      </c>
      <c r="I5809" s="37" t="s">
        <v>29</v>
      </c>
      <c r="J5809" s="155" t="str">
        <f t="shared" si="15"/>
        <v>TT</v>
      </c>
      <c r="K5809" s="22"/>
      <c r="L5809" s="56">
        <v>45140</v>
      </c>
      <c r="P5809" s="40"/>
      <c r="Q5809" s="61"/>
      <c r="R5809" s="61"/>
      <c r="S5809" s="40"/>
      <c r="T5809" s="38"/>
      <c r="U5809" s="38"/>
      <c r="V5809" s="38"/>
      <c r="W5809" s="60"/>
      <c r="AB5809" s="42"/>
      <c r="AC5809" s="35"/>
      <c r="AD5809" s="38"/>
      <c r="AE5809" s="38"/>
      <c r="AF5809" s="38"/>
      <c r="AG5809" s="38"/>
      <c r="AH5809" s="60"/>
    </row>
    <row r="5810" spans="1:34" ht="15.75" customHeight="1">
      <c r="A5810" s="17">
        <v>36</v>
      </c>
      <c r="B5810" s="159" t="s">
        <v>19874</v>
      </c>
      <c r="C5810" s="37" t="s">
        <v>46</v>
      </c>
      <c r="D5810" s="20" t="s">
        <v>19875</v>
      </c>
      <c r="E5810" s="20"/>
      <c r="F5810" s="37" t="s">
        <v>49</v>
      </c>
      <c r="G5810" s="19" t="s">
        <v>50</v>
      </c>
      <c r="H5810" s="37" t="s">
        <v>55</v>
      </c>
      <c r="I5810" s="37" t="s">
        <v>29</v>
      </c>
      <c r="J5810" s="155" t="str">
        <f t="shared" si="15"/>
        <v>TT</v>
      </c>
      <c r="K5810" s="22"/>
      <c r="L5810" s="56">
        <v>45140</v>
      </c>
      <c r="P5810" s="40"/>
      <c r="Q5810" s="61"/>
      <c r="R5810" s="61"/>
      <c r="S5810" s="40"/>
      <c r="T5810" s="38"/>
      <c r="U5810" s="38"/>
      <c r="V5810" s="38"/>
      <c r="W5810" s="60"/>
      <c r="AB5810" s="42"/>
      <c r="AC5810" s="35"/>
      <c r="AD5810" s="38"/>
      <c r="AE5810" s="38"/>
      <c r="AF5810" s="38"/>
      <c r="AG5810" s="38"/>
      <c r="AH5810" s="60"/>
    </row>
    <row r="5811" spans="1:34" ht="15.75" customHeight="1">
      <c r="A5811" s="111" t="s">
        <v>64</v>
      </c>
      <c r="B5811" s="158" t="s">
        <v>19876</v>
      </c>
      <c r="C5811" s="37" t="s">
        <v>46</v>
      </c>
      <c r="D5811" s="20" t="s">
        <v>19877</v>
      </c>
      <c r="E5811" s="20"/>
      <c r="F5811" s="37" t="s">
        <v>49</v>
      </c>
      <c r="G5811" s="19" t="s">
        <v>50</v>
      </c>
      <c r="H5811" s="37" t="s">
        <v>55</v>
      </c>
      <c r="I5811" s="37" t="s">
        <v>29</v>
      </c>
      <c r="J5811" s="155" t="str">
        <f t="shared" si="15"/>
        <v>TT</v>
      </c>
      <c r="K5811" s="22"/>
      <c r="L5811" s="56">
        <v>45140</v>
      </c>
      <c r="P5811" s="40"/>
      <c r="Q5811" s="61"/>
      <c r="R5811" s="61"/>
      <c r="S5811" s="40"/>
      <c r="T5811" s="38"/>
      <c r="U5811" s="38"/>
      <c r="V5811" s="38"/>
      <c r="W5811" s="60"/>
      <c r="AB5811" s="42"/>
      <c r="AC5811" s="35"/>
      <c r="AD5811" s="38"/>
      <c r="AE5811" s="38"/>
      <c r="AF5811" s="38"/>
      <c r="AG5811" s="38"/>
      <c r="AH5811" s="60"/>
    </row>
    <row r="5812" spans="1:34" ht="15.75" customHeight="1">
      <c r="A5812" s="75">
        <v>2</v>
      </c>
      <c r="B5812" s="158" t="s">
        <v>19878</v>
      </c>
      <c r="C5812" s="37" t="s">
        <v>24</v>
      </c>
      <c r="D5812" s="20" t="s">
        <v>19879</v>
      </c>
      <c r="E5812" s="20" t="s">
        <v>19880</v>
      </c>
      <c r="F5812" s="19" t="s">
        <v>27</v>
      </c>
      <c r="G5812" s="19" t="s">
        <v>28</v>
      </c>
      <c r="H5812" s="37" t="s">
        <v>55</v>
      </c>
      <c r="I5812" s="37" t="s">
        <v>29</v>
      </c>
      <c r="J5812" s="155" t="str">
        <f t="shared" si="15"/>
        <v>TT</v>
      </c>
      <c r="K5812" s="22" t="s">
        <v>19881</v>
      </c>
      <c r="L5812" s="56">
        <v>45140</v>
      </c>
      <c r="P5812" s="40"/>
      <c r="Q5812" s="61"/>
      <c r="R5812" s="61"/>
      <c r="S5812" s="40"/>
      <c r="T5812" s="38"/>
      <c r="U5812" s="38"/>
      <c r="V5812" s="38"/>
      <c r="W5812" s="60"/>
      <c r="AB5812" s="42"/>
      <c r="AC5812" s="35"/>
      <c r="AD5812" s="38"/>
      <c r="AE5812" s="38"/>
      <c r="AF5812" s="38"/>
      <c r="AG5812" s="38"/>
      <c r="AH5812" s="60"/>
    </row>
    <row r="5813" spans="1:34" ht="15.75" customHeight="1">
      <c r="A5813" s="111" t="s">
        <v>73</v>
      </c>
      <c r="B5813" s="158" t="s">
        <v>19882</v>
      </c>
      <c r="C5813" s="37" t="s">
        <v>24</v>
      </c>
      <c r="D5813" s="20" t="s">
        <v>19883</v>
      </c>
      <c r="E5813" s="20" t="s">
        <v>19884</v>
      </c>
      <c r="F5813" s="19" t="s">
        <v>27</v>
      </c>
      <c r="G5813" s="19" t="s">
        <v>28</v>
      </c>
      <c r="H5813" s="37" t="s">
        <v>55</v>
      </c>
      <c r="I5813" s="37" t="s">
        <v>29</v>
      </c>
      <c r="J5813" s="155" t="str">
        <f t="shared" si="15"/>
        <v>TT</v>
      </c>
      <c r="K5813" s="22" t="s">
        <v>19885</v>
      </c>
      <c r="L5813" s="56">
        <v>45140</v>
      </c>
      <c r="P5813" s="40"/>
      <c r="Q5813" s="61"/>
      <c r="R5813" s="61"/>
      <c r="S5813" s="40"/>
      <c r="T5813" s="38"/>
      <c r="U5813" s="38"/>
      <c r="V5813" s="38"/>
      <c r="W5813" s="60"/>
      <c r="AB5813" s="42"/>
      <c r="AC5813" s="35"/>
      <c r="AD5813" s="38"/>
      <c r="AE5813" s="38"/>
      <c r="AF5813" s="38"/>
      <c r="AG5813" s="38"/>
      <c r="AH5813" s="60"/>
    </row>
    <row r="5814" spans="1:34" ht="15.75" customHeight="1">
      <c r="A5814" s="75">
        <v>2.2000000000000002</v>
      </c>
      <c r="B5814" s="158" t="s">
        <v>19886</v>
      </c>
      <c r="C5814" s="37" t="s">
        <v>1430</v>
      </c>
      <c r="D5814" s="20" t="s">
        <v>19887</v>
      </c>
      <c r="E5814" s="20"/>
      <c r="F5814" s="55" t="s">
        <v>1445</v>
      </c>
      <c r="G5814" s="55" t="s">
        <v>1432</v>
      </c>
      <c r="H5814" s="37" t="s">
        <v>55</v>
      </c>
      <c r="I5814" s="37" t="s">
        <v>233</v>
      </c>
      <c r="J5814" s="155" t="str">
        <f t="shared" si="15"/>
        <v>NTT</v>
      </c>
      <c r="K5814" s="22"/>
      <c r="L5814" s="56">
        <v>45140</v>
      </c>
      <c r="P5814" s="40"/>
      <c r="Q5814" s="61"/>
      <c r="R5814" s="61"/>
      <c r="S5814" s="40"/>
      <c r="T5814" s="38"/>
      <c r="U5814" s="38"/>
      <c r="V5814" s="38"/>
      <c r="W5814" s="60"/>
      <c r="AB5814" s="42"/>
      <c r="AC5814" s="35"/>
      <c r="AD5814" s="38"/>
      <c r="AE5814" s="38"/>
      <c r="AF5814" s="38"/>
      <c r="AG5814" s="38"/>
      <c r="AH5814" s="60"/>
    </row>
    <row r="5815" spans="1:34" ht="15.75" customHeight="1">
      <c r="A5815" s="111" t="s">
        <v>82</v>
      </c>
      <c r="B5815" s="158" t="s">
        <v>19888</v>
      </c>
      <c r="C5815" s="37" t="s">
        <v>46</v>
      </c>
      <c r="D5815" s="20" t="s">
        <v>19889</v>
      </c>
      <c r="E5815" s="20"/>
      <c r="F5815" s="37" t="s">
        <v>49</v>
      </c>
      <c r="G5815" s="19" t="s">
        <v>50</v>
      </c>
      <c r="H5815" s="37" t="s">
        <v>55</v>
      </c>
      <c r="I5815" s="37" t="s">
        <v>29</v>
      </c>
      <c r="J5815" s="155" t="str">
        <f t="shared" si="15"/>
        <v>TT</v>
      </c>
      <c r="K5815" s="22"/>
      <c r="L5815" s="56">
        <v>45140</v>
      </c>
      <c r="P5815" s="40"/>
      <c r="Q5815" s="61"/>
      <c r="R5815" s="61"/>
      <c r="S5815" s="40"/>
      <c r="T5815" s="38"/>
      <c r="U5815" s="38"/>
      <c r="V5815" s="38"/>
      <c r="W5815" s="60"/>
      <c r="AB5815" s="42"/>
      <c r="AC5815" s="35"/>
      <c r="AD5815" s="38"/>
      <c r="AE5815" s="38"/>
      <c r="AF5815" s="38"/>
      <c r="AG5815" s="38"/>
      <c r="AH5815" s="60"/>
    </row>
    <row r="5816" spans="1:34" ht="15.75" customHeight="1">
      <c r="A5816" s="75" t="s">
        <v>19890</v>
      </c>
      <c r="B5816" s="158" t="s">
        <v>19891</v>
      </c>
      <c r="C5816" s="37" t="s">
        <v>24</v>
      </c>
      <c r="D5816" s="20" t="s">
        <v>19892</v>
      </c>
      <c r="E5816" s="20"/>
      <c r="F5816" s="19" t="s">
        <v>27</v>
      </c>
      <c r="G5816" s="19" t="s">
        <v>28</v>
      </c>
      <c r="H5816" s="37" t="s">
        <v>55</v>
      </c>
      <c r="I5816" s="37" t="s">
        <v>29</v>
      </c>
      <c r="J5816" s="155" t="str">
        <f t="shared" si="15"/>
        <v>TT</v>
      </c>
      <c r="K5816" s="22"/>
      <c r="L5816" s="56">
        <v>45140</v>
      </c>
      <c r="P5816" s="40"/>
      <c r="Q5816" s="61"/>
      <c r="R5816" s="61"/>
      <c r="S5816" s="40"/>
      <c r="T5816" s="38"/>
      <c r="U5816" s="38"/>
      <c r="V5816" s="38"/>
      <c r="W5816" s="60"/>
      <c r="AB5816" s="42"/>
      <c r="AC5816" s="35"/>
      <c r="AD5816" s="38"/>
      <c r="AE5816" s="38"/>
      <c r="AF5816" s="38"/>
      <c r="AG5816" s="38"/>
      <c r="AH5816" s="60"/>
    </row>
    <row r="5817" spans="1:34" ht="15.75" customHeight="1">
      <c r="A5817" s="111" t="s">
        <v>92</v>
      </c>
      <c r="B5817" s="38"/>
      <c r="C5817" s="37"/>
      <c r="D5817" s="20"/>
      <c r="E5817" s="20"/>
      <c r="F5817" s="37"/>
      <c r="G5817" s="37"/>
      <c r="H5817" s="37"/>
      <c r="I5817" s="37"/>
      <c r="J5817" s="155">
        <f t="shared" si="15"/>
        <v>0</v>
      </c>
      <c r="K5817" s="22"/>
      <c r="L5817" s="56"/>
      <c r="P5817" s="40"/>
      <c r="Q5817" s="61"/>
      <c r="R5817" s="61"/>
      <c r="S5817" s="40"/>
      <c r="T5817" s="38"/>
      <c r="U5817" s="38"/>
      <c r="V5817" s="38"/>
      <c r="W5817" s="60"/>
      <c r="AB5817" s="42"/>
      <c r="AC5817" s="35"/>
      <c r="AD5817" s="38"/>
      <c r="AE5817" s="38"/>
      <c r="AF5817" s="38"/>
      <c r="AG5817" s="38"/>
      <c r="AH5817" s="60"/>
    </row>
    <row r="5818" spans="1:34" ht="15.75" customHeight="1">
      <c r="A5818" s="112">
        <v>366</v>
      </c>
      <c r="B5818" s="38"/>
      <c r="C5818" s="37"/>
      <c r="D5818" s="20"/>
      <c r="E5818" s="20"/>
      <c r="F5818" s="37"/>
      <c r="G5818" s="37"/>
      <c r="H5818" s="37"/>
      <c r="I5818" s="37"/>
      <c r="J5818" s="155">
        <f t="shared" si="15"/>
        <v>0</v>
      </c>
      <c r="K5818" s="22"/>
      <c r="L5818" s="56"/>
      <c r="P5818" s="40"/>
      <c r="Q5818" s="61"/>
      <c r="R5818" s="61"/>
      <c r="S5818" s="40"/>
      <c r="T5818" s="38"/>
      <c r="U5818" s="38"/>
      <c r="V5818" s="38"/>
      <c r="W5818" s="60"/>
      <c r="AB5818" s="42"/>
      <c r="AC5818" s="35"/>
      <c r="AD5818" s="38"/>
      <c r="AE5818" s="38"/>
      <c r="AF5818" s="38"/>
      <c r="AG5818" s="38"/>
      <c r="AH5818" s="60"/>
    </row>
    <row r="5819" spans="1:34" ht="15.75" customHeight="1">
      <c r="A5819" s="111" t="s">
        <v>100</v>
      </c>
      <c r="B5819" s="38"/>
      <c r="C5819" s="37"/>
      <c r="D5819" s="20"/>
      <c r="E5819" s="20"/>
      <c r="F5819" s="37"/>
      <c r="G5819" s="37"/>
      <c r="H5819" s="37"/>
      <c r="I5819" s="37"/>
      <c r="J5819" s="155">
        <f t="shared" si="15"/>
        <v>0</v>
      </c>
      <c r="K5819" s="22"/>
      <c r="L5819" s="56"/>
      <c r="P5819" s="40"/>
      <c r="Q5819" s="61"/>
      <c r="R5819" s="61"/>
      <c r="S5819" s="40"/>
      <c r="T5819" s="38"/>
      <c r="U5819" s="38"/>
      <c r="V5819" s="38"/>
      <c r="W5819" s="60"/>
      <c r="AB5819" s="42"/>
      <c r="AC5819" s="35"/>
      <c r="AD5819" s="38"/>
      <c r="AE5819" s="38"/>
      <c r="AF5819" s="38"/>
      <c r="AG5819" s="38"/>
      <c r="AH5819" s="60"/>
    </row>
    <row r="5820" spans="1:34" ht="15.75" customHeight="1">
      <c r="A5820" s="75">
        <v>162</v>
      </c>
      <c r="B5820" s="38"/>
      <c r="C5820" s="37"/>
      <c r="D5820" s="20"/>
      <c r="E5820" s="20"/>
      <c r="F5820" s="37"/>
      <c r="G5820" s="37"/>
      <c r="H5820" s="37"/>
      <c r="I5820" s="37"/>
      <c r="J5820" s="155">
        <f t="shared" si="15"/>
        <v>0</v>
      </c>
      <c r="K5820" s="22"/>
      <c r="L5820" s="56"/>
      <c r="P5820" s="40"/>
      <c r="Q5820" s="61"/>
      <c r="R5820" s="61"/>
      <c r="S5820" s="40"/>
      <c r="T5820" s="38"/>
      <c r="U5820" s="38"/>
      <c r="V5820" s="38"/>
      <c r="W5820" s="60"/>
      <c r="AB5820" s="42"/>
      <c r="AC5820" s="35"/>
      <c r="AD5820" s="38"/>
      <c r="AE5820" s="38"/>
      <c r="AF5820" s="38"/>
      <c r="AG5820" s="38"/>
      <c r="AH5820" s="60"/>
    </row>
    <row r="5821" spans="1:34" ht="15.75" customHeight="1">
      <c r="A5821" s="35"/>
      <c r="B5821" s="38"/>
      <c r="C5821" s="37"/>
      <c r="D5821" s="20"/>
      <c r="E5821" s="20"/>
      <c r="F5821" s="37"/>
      <c r="G5821" s="37"/>
      <c r="H5821" s="37"/>
      <c r="I5821" s="37"/>
      <c r="J5821" s="155">
        <f t="shared" si="15"/>
        <v>0</v>
      </c>
      <c r="K5821" s="22"/>
      <c r="L5821" s="56"/>
      <c r="P5821" s="40"/>
      <c r="Q5821" s="61"/>
      <c r="R5821" s="61"/>
      <c r="S5821" s="40"/>
      <c r="T5821" s="38"/>
      <c r="U5821" s="38"/>
      <c r="V5821" s="38"/>
      <c r="W5821" s="60"/>
      <c r="AB5821" s="42"/>
      <c r="AC5821" s="35"/>
      <c r="AD5821" s="38"/>
      <c r="AE5821" s="38"/>
      <c r="AF5821" s="38"/>
      <c r="AG5821" s="38"/>
      <c r="AH5821" s="60"/>
    </row>
    <row r="5822" spans="1:34" ht="15.75" customHeight="1">
      <c r="A5822" s="35" t="s">
        <v>19893</v>
      </c>
      <c r="B5822" s="81" t="s">
        <v>19894</v>
      </c>
      <c r="C5822" s="37" t="s">
        <v>24</v>
      </c>
      <c r="D5822" s="20" t="s">
        <v>19895</v>
      </c>
      <c r="E5822" s="20" t="s">
        <v>19896</v>
      </c>
      <c r="F5822" s="19" t="s">
        <v>27</v>
      </c>
      <c r="G5822" s="19" t="s">
        <v>28</v>
      </c>
      <c r="H5822" s="37" t="s">
        <v>55</v>
      </c>
      <c r="I5822" s="37" t="s">
        <v>29</v>
      </c>
      <c r="J5822" s="155" t="str">
        <f t="shared" si="15"/>
        <v>TT</v>
      </c>
      <c r="K5822" s="22" t="s">
        <v>19897</v>
      </c>
      <c r="L5822" s="56">
        <v>45140</v>
      </c>
      <c r="M5822" s="40"/>
      <c r="P5822" s="40"/>
      <c r="Q5822" s="61"/>
      <c r="R5822" s="61"/>
      <c r="S5822" s="40"/>
      <c r="T5822" s="38"/>
      <c r="U5822" s="38"/>
      <c r="V5822" s="38"/>
      <c r="W5822" s="60"/>
      <c r="AB5822" s="42"/>
      <c r="AC5822" s="35"/>
      <c r="AD5822" s="38"/>
      <c r="AE5822" s="38"/>
      <c r="AF5822" s="38"/>
      <c r="AG5822" s="38"/>
      <c r="AH5822" s="60"/>
    </row>
    <row r="5823" spans="1:34" ht="15.75" customHeight="1">
      <c r="A5823" s="54" t="s">
        <v>2714</v>
      </c>
      <c r="B5823" s="78" t="s">
        <v>19898</v>
      </c>
      <c r="C5823" s="37" t="s">
        <v>46</v>
      </c>
      <c r="D5823" s="20" t="s">
        <v>19899</v>
      </c>
      <c r="E5823" s="20" t="s">
        <v>19900</v>
      </c>
      <c r="F5823" s="37" t="s">
        <v>49</v>
      </c>
      <c r="G5823" s="19" t="s">
        <v>50</v>
      </c>
      <c r="H5823" s="37" t="s">
        <v>55</v>
      </c>
      <c r="I5823" s="37" t="s">
        <v>29</v>
      </c>
      <c r="J5823" s="155" t="str">
        <f t="shared" si="15"/>
        <v>TT</v>
      </c>
      <c r="K5823" s="22" t="s">
        <v>19901</v>
      </c>
      <c r="L5823" s="56">
        <v>45140</v>
      </c>
      <c r="P5823" s="40"/>
      <c r="Q5823" s="61"/>
      <c r="R5823" s="61"/>
      <c r="S5823" s="40"/>
      <c r="T5823" s="38"/>
      <c r="U5823" s="38"/>
      <c r="V5823" s="38"/>
      <c r="W5823" s="60"/>
      <c r="AB5823" s="42"/>
      <c r="AC5823" s="35"/>
      <c r="AD5823" s="38"/>
      <c r="AE5823" s="38"/>
      <c r="AF5823" s="38"/>
      <c r="AG5823" s="38"/>
      <c r="AH5823" s="60"/>
    </row>
    <row r="5824" spans="1:34" ht="15.75" customHeight="1">
      <c r="A5824" s="114" t="s">
        <v>39</v>
      </c>
      <c r="B5824" s="78" t="s">
        <v>19902</v>
      </c>
      <c r="C5824" s="37" t="s">
        <v>46</v>
      </c>
      <c r="D5824" s="20" t="s">
        <v>19903</v>
      </c>
      <c r="E5824" s="20"/>
      <c r="F5824" s="37" t="s">
        <v>49</v>
      </c>
      <c r="G5824" s="19" t="s">
        <v>50</v>
      </c>
      <c r="H5824" s="37" t="s">
        <v>55</v>
      </c>
      <c r="I5824" s="37" t="s">
        <v>29</v>
      </c>
      <c r="J5824" s="155" t="str">
        <f t="shared" si="15"/>
        <v>TT</v>
      </c>
      <c r="K5824" s="22"/>
      <c r="L5824" s="56">
        <v>45140</v>
      </c>
      <c r="P5824" s="40"/>
      <c r="Q5824" s="61"/>
      <c r="R5824" s="61"/>
      <c r="S5824" s="40"/>
      <c r="T5824" s="38"/>
      <c r="U5824" s="38"/>
      <c r="V5824" s="38"/>
      <c r="W5824" s="60"/>
      <c r="AB5824" s="42"/>
      <c r="AC5824" s="35"/>
      <c r="AD5824" s="38"/>
      <c r="AE5824" s="38"/>
      <c r="AF5824" s="38"/>
      <c r="AG5824" s="38"/>
      <c r="AH5824" s="60"/>
    </row>
    <row r="5825" spans="1:34" ht="15.75" customHeight="1">
      <c r="A5825" s="38" t="s">
        <v>19531</v>
      </c>
      <c r="B5825" s="78" t="s">
        <v>19904</v>
      </c>
      <c r="C5825" s="37" t="s">
        <v>24</v>
      </c>
      <c r="D5825" s="20" t="s">
        <v>19905</v>
      </c>
      <c r="E5825" s="20" t="s">
        <v>19906</v>
      </c>
      <c r="F5825" s="19" t="s">
        <v>27</v>
      </c>
      <c r="G5825" s="19" t="s">
        <v>28</v>
      </c>
      <c r="H5825" s="37" t="s">
        <v>55</v>
      </c>
      <c r="I5825" s="37" t="s">
        <v>29</v>
      </c>
      <c r="J5825" s="155" t="str">
        <f t="shared" si="15"/>
        <v>TT</v>
      </c>
      <c r="K5825" s="22" t="s">
        <v>19907</v>
      </c>
      <c r="L5825" s="56">
        <v>45140</v>
      </c>
      <c r="P5825" s="40"/>
      <c r="Q5825" s="61"/>
      <c r="R5825" s="61"/>
      <c r="S5825" s="40"/>
      <c r="T5825" s="38"/>
      <c r="U5825" s="38"/>
      <c r="V5825" s="38"/>
      <c r="W5825" s="60"/>
      <c r="AB5825" s="42"/>
      <c r="AC5825" s="35"/>
      <c r="AD5825" s="38"/>
      <c r="AE5825" s="38"/>
      <c r="AF5825" s="38"/>
      <c r="AG5825" s="38"/>
      <c r="AH5825" s="60"/>
    </row>
    <row r="5826" spans="1:34" ht="15.75" customHeight="1">
      <c r="A5826" s="75" t="s">
        <v>14231</v>
      </c>
      <c r="B5826" s="78" t="s">
        <v>19908</v>
      </c>
      <c r="C5826" s="37" t="s">
        <v>46</v>
      </c>
      <c r="D5826" s="20" t="s">
        <v>19909</v>
      </c>
      <c r="E5826" s="20" t="s">
        <v>19910</v>
      </c>
      <c r="F5826" s="37" t="s">
        <v>49</v>
      </c>
      <c r="G5826" s="19" t="s">
        <v>50</v>
      </c>
      <c r="H5826" s="37" t="s">
        <v>55</v>
      </c>
      <c r="I5826" s="37" t="s">
        <v>29</v>
      </c>
      <c r="J5826" s="155" t="str">
        <f t="shared" si="15"/>
        <v>TT</v>
      </c>
      <c r="K5826" s="22" t="s">
        <v>19911</v>
      </c>
      <c r="L5826" s="56">
        <v>45140</v>
      </c>
      <c r="P5826" s="40"/>
      <c r="Q5826" s="61"/>
      <c r="R5826" s="61"/>
      <c r="S5826" s="40"/>
      <c r="T5826" s="38"/>
      <c r="U5826" s="38"/>
      <c r="V5826" s="38"/>
      <c r="W5826" s="60"/>
      <c r="AB5826" s="42"/>
      <c r="AC5826" s="35"/>
      <c r="AD5826" s="38"/>
      <c r="AE5826" s="38"/>
      <c r="AF5826" s="38"/>
      <c r="AG5826" s="38"/>
      <c r="AH5826" s="60"/>
    </row>
    <row r="5827" spans="1:34" ht="15.75" customHeight="1">
      <c r="A5827" s="50" t="s">
        <v>56</v>
      </c>
      <c r="B5827" s="78" t="s">
        <v>19912</v>
      </c>
      <c r="C5827" s="37" t="s">
        <v>24</v>
      </c>
      <c r="D5827" s="20" t="s">
        <v>19913</v>
      </c>
      <c r="E5827" s="20" t="s">
        <v>19914</v>
      </c>
      <c r="F5827" s="19" t="s">
        <v>27</v>
      </c>
      <c r="G5827" s="19" t="s">
        <v>28</v>
      </c>
      <c r="H5827" s="37" t="s">
        <v>55</v>
      </c>
      <c r="I5827" s="37" t="s">
        <v>29</v>
      </c>
      <c r="J5827" s="155" t="str">
        <f t="shared" si="15"/>
        <v>TT</v>
      </c>
      <c r="K5827" s="22" t="s">
        <v>19915</v>
      </c>
      <c r="L5827" s="56">
        <v>45140</v>
      </c>
      <c r="P5827" s="40"/>
      <c r="Q5827" s="61"/>
      <c r="R5827" s="61"/>
      <c r="S5827" s="40"/>
      <c r="T5827" s="38"/>
      <c r="U5827" s="38"/>
      <c r="V5827" s="38"/>
      <c r="W5827" s="60"/>
      <c r="AB5827" s="42"/>
      <c r="AC5827" s="35"/>
      <c r="AD5827" s="38"/>
      <c r="AE5827" s="38"/>
      <c r="AF5827" s="38"/>
      <c r="AG5827" s="38"/>
      <c r="AH5827" s="60"/>
    </row>
    <row r="5828" spans="1:34" ht="15.75" customHeight="1">
      <c r="A5828" s="17">
        <v>38</v>
      </c>
      <c r="B5828" s="78" t="s">
        <v>19916</v>
      </c>
      <c r="C5828" s="37" t="s">
        <v>24</v>
      </c>
      <c r="D5828" s="20" t="s">
        <v>19917</v>
      </c>
      <c r="E5828" s="20" t="s">
        <v>19918</v>
      </c>
      <c r="F5828" s="19" t="s">
        <v>27</v>
      </c>
      <c r="G5828" s="19" t="s">
        <v>28</v>
      </c>
      <c r="H5828" s="37" t="s">
        <v>55</v>
      </c>
      <c r="I5828" s="37" t="s">
        <v>29</v>
      </c>
      <c r="J5828" s="155" t="str">
        <f t="shared" si="15"/>
        <v>TT</v>
      </c>
      <c r="K5828" s="22" t="s">
        <v>19919</v>
      </c>
      <c r="L5828" s="56">
        <v>45140</v>
      </c>
      <c r="P5828" s="40"/>
      <c r="Q5828" s="61"/>
      <c r="R5828" s="61"/>
      <c r="S5828" s="40"/>
      <c r="T5828" s="38"/>
      <c r="U5828" s="38"/>
      <c r="V5828" s="38"/>
      <c r="W5828" s="60"/>
      <c r="AB5828" s="42"/>
      <c r="AC5828" s="35"/>
      <c r="AD5828" s="38"/>
      <c r="AE5828" s="38"/>
      <c r="AF5828" s="38"/>
      <c r="AG5828" s="38"/>
      <c r="AH5828" s="60"/>
    </row>
    <row r="5829" spans="1:34" ht="15.75" customHeight="1">
      <c r="A5829" s="111" t="s">
        <v>64</v>
      </c>
      <c r="B5829" s="78" t="s">
        <v>19920</v>
      </c>
      <c r="C5829" s="37" t="s">
        <v>46</v>
      </c>
      <c r="D5829" s="20" t="s">
        <v>19921</v>
      </c>
      <c r="E5829" s="20"/>
      <c r="F5829" s="37" t="s">
        <v>49</v>
      </c>
      <c r="G5829" s="19" t="s">
        <v>50</v>
      </c>
      <c r="H5829" s="37" t="s">
        <v>55</v>
      </c>
      <c r="I5829" s="37" t="s">
        <v>29</v>
      </c>
      <c r="J5829" s="155" t="str">
        <f t="shared" si="15"/>
        <v>TT</v>
      </c>
      <c r="K5829" s="22"/>
      <c r="L5829" s="56">
        <v>45140</v>
      </c>
      <c r="P5829" s="40"/>
      <c r="Q5829" s="61"/>
      <c r="R5829" s="61"/>
      <c r="S5829" s="40"/>
      <c r="T5829" s="38"/>
      <c r="U5829" s="38"/>
      <c r="V5829" s="38"/>
      <c r="W5829" s="60"/>
      <c r="AB5829" s="42"/>
      <c r="AC5829" s="35"/>
      <c r="AD5829" s="38"/>
      <c r="AE5829" s="38"/>
      <c r="AF5829" s="38"/>
      <c r="AG5829" s="38"/>
      <c r="AH5829" s="60"/>
    </row>
    <row r="5830" spans="1:34" ht="15.75" customHeight="1">
      <c r="A5830" s="75">
        <v>1.9</v>
      </c>
      <c r="B5830" s="78" t="s">
        <v>19922</v>
      </c>
      <c r="C5830" s="37" t="s">
        <v>87</v>
      </c>
      <c r="D5830" s="20" t="s">
        <v>19923</v>
      </c>
      <c r="E5830" s="20" t="s">
        <v>19924</v>
      </c>
      <c r="F5830" s="19" t="s">
        <v>90</v>
      </c>
      <c r="G5830" s="19" t="s">
        <v>91</v>
      </c>
      <c r="H5830" s="37" t="s">
        <v>55</v>
      </c>
      <c r="I5830" s="37" t="s">
        <v>29</v>
      </c>
      <c r="J5830" s="155" t="str">
        <f t="shared" si="15"/>
        <v>TT</v>
      </c>
      <c r="K5830" s="22" t="s">
        <v>19925</v>
      </c>
      <c r="L5830" s="56">
        <v>45140</v>
      </c>
      <c r="P5830" s="40"/>
      <c r="Q5830" s="61"/>
      <c r="R5830" s="61"/>
      <c r="S5830" s="40"/>
      <c r="T5830" s="38"/>
      <c r="U5830" s="38"/>
      <c r="V5830" s="38"/>
      <c r="W5830" s="60"/>
      <c r="AB5830" s="42"/>
      <c r="AC5830" s="35"/>
      <c r="AD5830" s="38"/>
      <c r="AE5830" s="38"/>
      <c r="AF5830" s="38"/>
      <c r="AG5830" s="38"/>
      <c r="AH5830" s="60"/>
    </row>
    <row r="5831" spans="1:34" ht="15.75" customHeight="1">
      <c r="A5831" s="111" t="s">
        <v>73</v>
      </c>
      <c r="B5831" s="78" t="s">
        <v>19926</v>
      </c>
      <c r="C5831" s="37" t="s">
        <v>24</v>
      </c>
      <c r="D5831" s="20" t="s">
        <v>19927</v>
      </c>
      <c r="E5831" s="20" t="s">
        <v>19928</v>
      </c>
      <c r="F5831" s="19" t="s">
        <v>27</v>
      </c>
      <c r="G5831" s="19" t="s">
        <v>28</v>
      </c>
      <c r="H5831" s="37" t="s">
        <v>55</v>
      </c>
      <c r="I5831" s="37" t="s">
        <v>29</v>
      </c>
      <c r="J5831" s="155" t="str">
        <f t="shared" si="15"/>
        <v>TT</v>
      </c>
      <c r="K5831" s="22" t="s">
        <v>19929</v>
      </c>
      <c r="L5831" s="56">
        <v>45140</v>
      </c>
      <c r="P5831" s="40"/>
      <c r="Q5831" s="61"/>
      <c r="R5831" s="61"/>
      <c r="S5831" s="40"/>
      <c r="T5831" s="38"/>
      <c r="U5831" s="38"/>
      <c r="V5831" s="38"/>
      <c r="W5831" s="60"/>
      <c r="AB5831" s="42"/>
      <c r="AC5831" s="35"/>
      <c r="AD5831" s="38"/>
      <c r="AE5831" s="38"/>
      <c r="AF5831" s="38"/>
      <c r="AG5831" s="38"/>
      <c r="AH5831" s="60"/>
    </row>
    <row r="5832" spans="1:34" ht="15.75" customHeight="1">
      <c r="A5832" s="75">
        <v>2.6</v>
      </c>
      <c r="B5832" s="78" t="s">
        <v>19930</v>
      </c>
      <c r="C5832" s="37" t="s">
        <v>24</v>
      </c>
      <c r="D5832" s="20" t="s">
        <v>19931</v>
      </c>
      <c r="E5832" s="20" t="s">
        <v>19932</v>
      </c>
      <c r="F5832" s="19" t="s">
        <v>27</v>
      </c>
      <c r="G5832" s="19" t="s">
        <v>28</v>
      </c>
      <c r="H5832" s="37" t="s">
        <v>762</v>
      </c>
      <c r="I5832" s="37" t="s">
        <v>29</v>
      </c>
      <c r="J5832" s="155" t="str">
        <f t="shared" si="15"/>
        <v>TT</v>
      </c>
      <c r="K5832" s="22" t="s">
        <v>19933</v>
      </c>
      <c r="L5832" s="56">
        <v>45140</v>
      </c>
      <c r="P5832" s="40"/>
      <c r="Q5832" s="61"/>
      <c r="R5832" s="61"/>
      <c r="S5832" s="40"/>
      <c r="T5832" s="38"/>
      <c r="U5832" s="38"/>
      <c r="V5832" s="38"/>
      <c r="W5832" s="60"/>
      <c r="AB5832" s="42"/>
      <c r="AC5832" s="35"/>
      <c r="AD5832" s="38"/>
      <c r="AE5832" s="38"/>
      <c r="AF5832" s="38"/>
      <c r="AG5832" s="38"/>
      <c r="AH5832" s="60"/>
    </row>
    <row r="5833" spans="1:34" ht="15.75" customHeight="1">
      <c r="A5833" s="111" t="s">
        <v>82</v>
      </c>
      <c r="B5833" s="38"/>
      <c r="C5833" s="37"/>
      <c r="D5833" s="20"/>
      <c r="E5833" s="20"/>
      <c r="F5833" s="37"/>
      <c r="G5833" s="37"/>
      <c r="H5833" s="37"/>
      <c r="I5833" s="37"/>
      <c r="J5833" s="155">
        <f t="shared" si="15"/>
        <v>0</v>
      </c>
      <c r="K5833" s="22"/>
      <c r="L5833" s="56"/>
      <c r="P5833" s="40"/>
      <c r="Q5833" s="61"/>
      <c r="R5833" s="61"/>
      <c r="S5833" s="40"/>
      <c r="T5833" s="38"/>
      <c r="U5833" s="38"/>
      <c r="V5833" s="38"/>
      <c r="W5833" s="60"/>
      <c r="AB5833" s="42"/>
      <c r="AC5833" s="35"/>
      <c r="AD5833" s="38"/>
      <c r="AE5833" s="38"/>
      <c r="AF5833" s="38"/>
      <c r="AG5833" s="38"/>
      <c r="AH5833" s="60"/>
    </row>
    <row r="5834" spans="1:34" ht="15.75" customHeight="1">
      <c r="A5834" s="75" t="s">
        <v>19934</v>
      </c>
      <c r="B5834" s="38"/>
      <c r="C5834" s="37"/>
      <c r="D5834" s="20"/>
      <c r="E5834" s="20"/>
      <c r="F5834" s="37"/>
      <c r="G5834" s="37"/>
      <c r="H5834" s="37"/>
      <c r="I5834" s="37"/>
      <c r="J5834" s="155">
        <f t="shared" si="15"/>
        <v>0</v>
      </c>
      <c r="K5834" s="22"/>
      <c r="L5834" s="56"/>
      <c r="P5834" s="40"/>
      <c r="Q5834" s="61"/>
      <c r="R5834" s="61"/>
      <c r="S5834" s="40"/>
      <c r="T5834" s="38"/>
      <c r="U5834" s="38"/>
      <c r="V5834" s="38"/>
      <c r="W5834" s="60"/>
      <c r="AB5834" s="42"/>
      <c r="AC5834" s="35"/>
      <c r="AD5834" s="38"/>
      <c r="AE5834" s="38"/>
      <c r="AF5834" s="38"/>
      <c r="AG5834" s="38"/>
      <c r="AH5834" s="60"/>
    </row>
    <row r="5835" spans="1:34" ht="15.75" customHeight="1">
      <c r="A5835" s="111" t="s">
        <v>92</v>
      </c>
      <c r="B5835" s="38"/>
      <c r="C5835" s="37"/>
      <c r="D5835" s="20"/>
      <c r="E5835" s="20"/>
      <c r="F5835" s="37"/>
      <c r="G5835" s="37"/>
      <c r="H5835" s="37"/>
      <c r="I5835" s="37"/>
      <c r="J5835" s="155">
        <f t="shared" si="15"/>
        <v>0</v>
      </c>
      <c r="K5835" s="22"/>
      <c r="L5835" s="56"/>
      <c r="P5835" s="40"/>
      <c r="Q5835" s="61"/>
      <c r="R5835" s="61"/>
      <c r="S5835" s="40"/>
      <c r="T5835" s="38"/>
      <c r="U5835" s="38"/>
      <c r="V5835" s="38"/>
      <c r="W5835" s="60"/>
      <c r="AB5835" s="42"/>
      <c r="AC5835" s="35"/>
      <c r="AD5835" s="38"/>
      <c r="AE5835" s="38"/>
      <c r="AF5835" s="38"/>
      <c r="AG5835" s="38"/>
      <c r="AH5835" s="60"/>
    </row>
    <row r="5836" spans="1:34" ht="15.75" customHeight="1">
      <c r="A5836" s="112">
        <v>196</v>
      </c>
      <c r="B5836" s="38"/>
      <c r="C5836" s="37"/>
      <c r="D5836" s="20"/>
      <c r="E5836" s="20"/>
      <c r="F5836" s="37"/>
      <c r="G5836" s="37"/>
      <c r="H5836" s="37"/>
      <c r="I5836" s="37"/>
      <c r="J5836" s="155">
        <f t="shared" si="15"/>
        <v>0</v>
      </c>
      <c r="K5836" s="22"/>
      <c r="L5836" s="56"/>
      <c r="P5836" s="40"/>
      <c r="Q5836" s="61"/>
      <c r="R5836" s="61"/>
      <c r="S5836" s="40"/>
      <c r="T5836" s="38"/>
      <c r="U5836" s="38"/>
      <c r="V5836" s="38"/>
      <c r="W5836" s="60"/>
      <c r="AB5836" s="42"/>
      <c r="AC5836" s="35"/>
      <c r="AD5836" s="38"/>
      <c r="AE5836" s="38"/>
      <c r="AF5836" s="38"/>
      <c r="AG5836" s="38"/>
      <c r="AH5836" s="60"/>
    </row>
    <row r="5837" spans="1:34" ht="15.75" customHeight="1">
      <c r="A5837" s="111" t="s">
        <v>100</v>
      </c>
      <c r="B5837" s="38"/>
      <c r="C5837" s="37"/>
      <c r="D5837" s="20"/>
      <c r="E5837" s="20"/>
      <c r="F5837" s="37"/>
      <c r="G5837" s="37"/>
      <c r="H5837" s="37"/>
      <c r="I5837" s="37"/>
      <c r="J5837" s="155">
        <f t="shared" si="15"/>
        <v>0</v>
      </c>
      <c r="K5837" s="22"/>
      <c r="L5837" s="56"/>
      <c r="P5837" s="40"/>
      <c r="Q5837" s="61"/>
      <c r="R5837" s="61"/>
      <c r="S5837" s="40"/>
      <c r="T5837" s="38"/>
      <c r="U5837" s="38"/>
      <c r="V5837" s="38"/>
      <c r="W5837" s="60"/>
      <c r="AB5837" s="42"/>
      <c r="AC5837" s="35"/>
      <c r="AD5837" s="38"/>
      <c r="AE5837" s="38"/>
      <c r="AF5837" s="38"/>
      <c r="AG5837" s="38"/>
      <c r="AH5837" s="60"/>
    </row>
    <row r="5838" spans="1:34" ht="15.75" customHeight="1">
      <c r="A5838" s="75">
        <v>159</v>
      </c>
      <c r="B5838" s="38"/>
      <c r="C5838" s="37"/>
      <c r="D5838" s="20"/>
      <c r="E5838" s="20"/>
      <c r="F5838" s="37"/>
      <c r="G5838" s="37"/>
      <c r="H5838" s="37"/>
      <c r="I5838" s="37"/>
      <c r="J5838" s="155">
        <f t="shared" si="15"/>
        <v>0</v>
      </c>
      <c r="K5838" s="22"/>
      <c r="L5838" s="56"/>
      <c r="P5838" s="40"/>
      <c r="Q5838" s="61"/>
      <c r="R5838" s="61"/>
      <c r="S5838" s="40"/>
      <c r="T5838" s="38"/>
      <c r="U5838" s="38"/>
      <c r="V5838" s="38"/>
      <c r="W5838" s="60"/>
      <c r="AB5838" s="42"/>
      <c r="AC5838" s="35"/>
      <c r="AD5838" s="38"/>
      <c r="AE5838" s="38"/>
      <c r="AF5838" s="38"/>
      <c r="AG5838" s="38"/>
      <c r="AH5838" s="60"/>
    </row>
    <row r="5839" spans="1:34" ht="15.75" customHeight="1">
      <c r="A5839" s="35"/>
      <c r="B5839" s="38"/>
      <c r="C5839" s="37"/>
      <c r="D5839" s="20"/>
      <c r="E5839" s="20"/>
      <c r="F5839" s="37"/>
      <c r="G5839" s="37"/>
      <c r="H5839" s="37"/>
      <c r="I5839" s="37"/>
      <c r="J5839" s="155">
        <f t="shared" si="15"/>
        <v>0</v>
      </c>
      <c r="K5839" s="22"/>
      <c r="L5839" s="56"/>
      <c r="P5839" s="40"/>
      <c r="Q5839" s="61"/>
      <c r="R5839" s="61"/>
      <c r="S5839" s="40"/>
      <c r="T5839" s="38"/>
      <c r="U5839" s="38"/>
      <c r="V5839" s="38"/>
      <c r="W5839" s="60"/>
      <c r="AB5839" s="42"/>
      <c r="AC5839" s="35"/>
      <c r="AD5839" s="38"/>
      <c r="AE5839" s="38"/>
      <c r="AF5839" s="38"/>
      <c r="AG5839" s="38"/>
      <c r="AH5839" s="60"/>
    </row>
    <row r="5840" spans="1:34" ht="15.75" customHeight="1">
      <c r="A5840" s="71" t="s">
        <v>19935</v>
      </c>
      <c r="B5840" s="81" t="s">
        <v>19936</v>
      </c>
      <c r="C5840" s="37" t="s">
        <v>24</v>
      </c>
      <c r="D5840" s="20" t="s">
        <v>19937</v>
      </c>
      <c r="E5840" s="20" t="s">
        <v>19938</v>
      </c>
      <c r="F5840" s="19" t="s">
        <v>27</v>
      </c>
      <c r="G5840" s="19" t="s">
        <v>28</v>
      </c>
      <c r="H5840" s="37" t="s">
        <v>55</v>
      </c>
      <c r="I5840" s="37" t="s">
        <v>29</v>
      </c>
      <c r="J5840" s="155" t="str">
        <f t="shared" si="15"/>
        <v>TT</v>
      </c>
      <c r="K5840" s="22" t="s">
        <v>19939</v>
      </c>
      <c r="L5840" s="56">
        <v>45146</v>
      </c>
      <c r="M5840" s="40"/>
      <c r="P5840" s="40"/>
      <c r="Q5840" s="61"/>
      <c r="R5840" s="61"/>
      <c r="S5840" s="40"/>
      <c r="T5840" s="38"/>
      <c r="U5840" s="38"/>
      <c r="V5840" s="38"/>
      <c r="W5840" s="60"/>
      <c r="AB5840" s="42"/>
      <c r="AC5840" s="35"/>
      <c r="AD5840" s="38"/>
      <c r="AE5840" s="38"/>
      <c r="AF5840" s="38"/>
      <c r="AG5840" s="38"/>
      <c r="AH5840" s="60"/>
    </row>
    <row r="5841" spans="1:34" ht="15.75" customHeight="1">
      <c r="A5841" s="54" t="s">
        <v>2628</v>
      </c>
      <c r="B5841" s="78" t="s">
        <v>19940</v>
      </c>
      <c r="C5841" s="37" t="s">
        <v>24</v>
      </c>
      <c r="D5841" s="20" t="s">
        <v>19941</v>
      </c>
      <c r="E5841" s="20" t="s">
        <v>19942</v>
      </c>
      <c r="F5841" s="19" t="s">
        <v>27</v>
      </c>
      <c r="G5841" s="19" t="s">
        <v>28</v>
      </c>
      <c r="H5841" s="37" t="s">
        <v>55</v>
      </c>
      <c r="I5841" s="37" t="s">
        <v>29</v>
      </c>
      <c r="J5841" s="155" t="str">
        <f t="shared" si="15"/>
        <v>TT</v>
      </c>
      <c r="K5841" s="22" t="s">
        <v>19943</v>
      </c>
      <c r="L5841" s="56">
        <v>45146</v>
      </c>
      <c r="P5841" s="40"/>
      <c r="Q5841" s="61"/>
      <c r="R5841" s="61"/>
      <c r="S5841" s="40"/>
      <c r="T5841" s="38"/>
      <c r="U5841" s="38"/>
      <c r="V5841" s="38"/>
      <c r="W5841" s="60"/>
      <c r="AB5841" s="42"/>
      <c r="AC5841" s="35"/>
      <c r="AD5841" s="38"/>
      <c r="AE5841" s="38"/>
      <c r="AF5841" s="38"/>
      <c r="AG5841" s="38"/>
      <c r="AH5841" s="60"/>
    </row>
    <row r="5842" spans="1:34" ht="15.75" customHeight="1">
      <c r="A5842" s="114" t="s">
        <v>39</v>
      </c>
      <c r="B5842" s="78" t="s">
        <v>19944</v>
      </c>
      <c r="C5842" s="37" t="s">
        <v>24</v>
      </c>
      <c r="D5842" s="20" t="s">
        <v>19945</v>
      </c>
      <c r="E5842" s="20" t="s">
        <v>19946</v>
      </c>
      <c r="F5842" s="19" t="s">
        <v>27</v>
      </c>
      <c r="G5842" s="19" t="s">
        <v>28</v>
      </c>
      <c r="H5842" s="37" t="s">
        <v>55</v>
      </c>
      <c r="I5842" s="37" t="s">
        <v>29</v>
      </c>
      <c r="J5842" s="155" t="str">
        <f t="shared" si="15"/>
        <v>TT</v>
      </c>
      <c r="K5842" s="22" t="s">
        <v>19947</v>
      </c>
      <c r="L5842" s="56">
        <v>45146</v>
      </c>
      <c r="P5842" s="40"/>
      <c r="Q5842" s="61"/>
      <c r="R5842" s="61"/>
      <c r="S5842" s="40"/>
      <c r="T5842" s="38"/>
      <c r="U5842" s="38"/>
      <c r="V5842" s="38"/>
      <c r="W5842" s="60"/>
      <c r="AB5842" s="42"/>
      <c r="AC5842" s="35"/>
      <c r="AD5842" s="38"/>
      <c r="AE5842" s="38"/>
      <c r="AF5842" s="38"/>
      <c r="AG5842" s="38"/>
      <c r="AH5842" s="60"/>
    </row>
    <row r="5843" spans="1:34" ht="15.75" customHeight="1">
      <c r="A5843" s="38" t="s">
        <v>19531</v>
      </c>
      <c r="B5843" s="78" t="s">
        <v>19948</v>
      </c>
      <c r="C5843" s="37" t="s">
        <v>87</v>
      </c>
      <c r="D5843" s="20" t="s">
        <v>19949</v>
      </c>
      <c r="E5843" s="20" t="s">
        <v>19950</v>
      </c>
      <c r="F5843" s="19" t="s">
        <v>90</v>
      </c>
      <c r="G5843" s="19" t="s">
        <v>91</v>
      </c>
      <c r="H5843" s="37" t="s">
        <v>55</v>
      </c>
      <c r="I5843" s="37" t="s">
        <v>29</v>
      </c>
      <c r="J5843" s="155" t="str">
        <f t="shared" si="15"/>
        <v>TT</v>
      </c>
      <c r="K5843" s="22" t="s">
        <v>19951</v>
      </c>
      <c r="L5843" s="56">
        <v>45146</v>
      </c>
      <c r="P5843" s="40"/>
      <c r="Q5843" s="61"/>
      <c r="R5843" s="61"/>
      <c r="S5843" s="40"/>
      <c r="T5843" s="38"/>
      <c r="U5843" s="38"/>
      <c r="V5843" s="38"/>
      <c r="W5843" s="60"/>
      <c r="AB5843" s="42"/>
      <c r="AC5843" s="35"/>
      <c r="AD5843" s="38"/>
      <c r="AE5843" s="38"/>
      <c r="AF5843" s="38"/>
      <c r="AG5843" s="38"/>
      <c r="AH5843" s="60"/>
    </row>
    <row r="5844" spans="1:34" ht="15.75" customHeight="1">
      <c r="A5844" s="75" t="s">
        <v>14231</v>
      </c>
      <c r="B5844" s="78" t="s">
        <v>19952</v>
      </c>
      <c r="C5844" s="37" t="s">
        <v>24</v>
      </c>
      <c r="D5844" s="20" t="s">
        <v>19953</v>
      </c>
      <c r="E5844" s="20" t="s">
        <v>19954</v>
      </c>
      <c r="F5844" s="19" t="s">
        <v>27</v>
      </c>
      <c r="G5844" s="19" t="s">
        <v>28</v>
      </c>
      <c r="H5844" s="37" t="s">
        <v>55</v>
      </c>
      <c r="I5844" s="37" t="s">
        <v>29</v>
      </c>
      <c r="J5844" s="155" t="str">
        <f t="shared" si="15"/>
        <v>TT</v>
      </c>
      <c r="K5844" s="22" t="s">
        <v>19955</v>
      </c>
      <c r="L5844" s="56">
        <v>45146</v>
      </c>
      <c r="P5844" s="40"/>
      <c r="Q5844" s="61"/>
      <c r="R5844" s="61"/>
      <c r="S5844" s="40"/>
      <c r="T5844" s="38"/>
      <c r="U5844" s="38"/>
      <c r="V5844" s="38"/>
      <c r="W5844" s="60"/>
      <c r="AB5844" s="42"/>
      <c r="AC5844" s="35"/>
      <c r="AD5844" s="38"/>
      <c r="AE5844" s="38"/>
      <c r="AF5844" s="38"/>
      <c r="AG5844" s="38"/>
      <c r="AH5844" s="60"/>
    </row>
    <row r="5845" spans="1:34" ht="15.75" customHeight="1">
      <c r="A5845" s="50" t="s">
        <v>56</v>
      </c>
      <c r="B5845" s="78" t="s">
        <v>19956</v>
      </c>
      <c r="C5845" s="37" t="s">
        <v>24</v>
      </c>
      <c r="D5845" s="20" t="s">
        <v>19957</v>
      </c>
      <c r="E5845" s="20" t="s">
        <v>19958</v>
      </c>
      <c r="F5845" s="19" t="s">
        <v>27</v>
      </c>
      <c r="G5845" s="19" t="s">
        <v>28</v>
      </c>
      <c r="H5845" s="37" t="s">
        <v>55</v>
      </c>
      <c r="I5845" s="37" t="s">
        <v>29</v>
      </c>
      <c r="J5845" s="155" t="str">
        <f t="shared" si="15"/>
        <v>TT</v>
      </c>
      <c r="K5845" s="22" t="s">
        <v>19959</v>
      </c>
      <c r="L5845" s="56">
        <v>45146</v>
      </c>
      <c r="P5845" s="40"/>
      <c r="Q5845" s="61"/>
      <c r="R5845" s="61"/>
      <c r="S5845" s="40"/>
      <c r="T5845" s="38"/>
      <c r="U5845" s="38"/>
      <c r="V5845" s="38"/>
      <c r="W5845" s="60"/>
      <c r="AB5845" s="42"/>
      <c r="AC5845" s="35"/>
      <c r="AD5845" s="38"/>
      <c r="AE5845" s="38"/>
      <c r="AF5845" s="38"/>
      <c r="AG5845" s="38"/>
      <c r="AH5845" s="60"/>
    </row>
    <row r="5846" spans="1:34" ht="15.75" customHeight="1">
      <c r="A5846" s="17" t="s">
        <v>18655</v>
      </c>
      <c r="B5846" s="78" t="s">
        <v>19960</v>
      </c>
      <c r="C5846" s="37" t="s">
        <v>24</v>
      </c>
      <c r="D5846" s="20" t="s">
        <v>19961</v>
      </c>
      <c r="E5846" s="20" t="s">
        <v>19962</v>
      </c>
      <c r="F5846" s="19" t="s">
        <v>27</v>
      </c>
      <c r="G5846" s="19" t="s">
        <v>28</v>
      </c>
      <c r="H5846" s="37" t="s">
        <v>55</v>
      </c>
      <c r="I5846" s="37" t="s">
        <v>29</v>
      </c>
      <c r="J5846" s="155" t="str">
        <f t="shared" si="15"/>
        <v>TT</v>
      </c>
      <c r="K5846" s="22" t="s">
        <v>19963</v>
      </c>
      <c r="L5846" s="56">
        <v>45146</v>
      </c>
      <c r="P5846" s="40"/>
      <c r="Q5846" s="61"/>
      <c r="R5846" s="61"/>
      <c r="S5846" s="40"/>
      <c r="T5846" s="38"/>
      <c r="U5846" s="38"/>
      <c r="V5846" s="38"/>
      <c r="W5846" s="60"/>
      <c r="AB5846" s="42"/>
      <c r="AC5846" s="35"/>
      <c r="AD5846" s="38"/>
      <c r="AE5846" s="38"/>
      <c r="AF5846" s="38"/>
      <c r="AG5846" s="38"/>
      <c r="AH5846" s="60"/>
    </row>
    <row r="5847" spans="1:34" ht="15.75" customHeight="1">
      <c r="A5847" s="111" t="s">
        <v>64</v>
      </c>
      <c r="B5847" s="78" t="s">
        <v>19964</v>
      </c>
      <c r="C5847" s="37" t="s">
        <v>24</v>
      </c>
      <c r="D5847" s="20" t="s">
        <v>19965</v>
      </c>
      <c r="E5847" s="20" t="s">
        <v>19966</v>
      </c>
      <c r="F5847" s="19" t="s">
        <v>27</v>
      </c>
      <c r="G5847" s="19" t="s">
        <v>28</v>
      </c>
      <c r="H5847" s="37" t="s">
        <v>55</v>
      </c>
      <c r="I5847" s="37" t="s">
        <v>29</v>
      </c>
      <c r="J5847" s="155" t="str">
        <f t="shared" si="15"/>
        <v>TT</v>
      </c>
      <c r="K5847" s="22" t="s">
        <v>19967</v>
      </c>
      <c r="L5847" s="56">
        <v>45146</v>
      </c>
      <c r="P5847" s="40"/>
      <c r="Q5847" s="61"/>
      <c r="R5847" s="61"/>
      <c r="S5847" s="40"/>
      <c r="T5847" s="38"/>
      <c r="U5847" s="38"/>
      <c r="V5847" s="38"/>
      <c r="W5847" s="60"/>
      <c r="AB5847" s="42"/>
      <c r="AC5847" s="35"/>
      <c r="AD5847" s="38"/>
      <c r="AE5847" s="38"/>
      <c r="AF5847" s="38"/>
      <c r="AG5847" s="38"/>
      <c r="AH5847" s="60"/>
    </row>
    <row r="5848" spans="1:34" ht="15.75" customHeight="1">
      <c r="A5848" s="75">
        <v>1.9</v>
      </c>
      <c r="B5848" s="78" t="s">
        <v>19968</v>
      </c>
      <c r="C5848" s="37" t="s">
        <v>46</v>
      </c>
      <c r="D5848" s="20" t="s">
        <v>19969</v>
      </c>
      <c r="E5848" s="20" t="s">
        <v>19970</v>
      </c>
      <c r="F5848" s="37" t="s">
        <v>49</v>
      </c>
      <c r="G5848" s="19" t="s">
        <v>50</v>
      </c>
      <c r="H5848" s="37" t="s">
        <v>55</v>
      </c>
      <c r="I5848" s="37" t="s">
        <v>29</v>
      </c>
      <c r="J5848" s="155" t="str">
        <f t="shared" si="15"/>
        <v>TT</v>
      </c>
      <c r="K5848" s="22" t="s">
        <v>19971</v>
      </c>
      <c r="L5848" s="56">
        <v>45146</v>
      </c>
      <c r="P5848" s="40"/>
      <c r="Q5848" s="61"/>
      <c r="R5848" s="61"/>
      <c r="S5848" s="40"/>
      <c r="T5848" s="38"/>
      <c r="U5848" s="38"/>
      <c r="V5848" s="38"/>
      <c r="W5848" s="60"/>
      <c r="AB5848" s="42"/>
      <c r="AC5848" s="35"/>
      <c r="AD5848" s="38"/>
      <c r="AE5848" s="38"/>
      <c r="AF5848" s="38"/>
      <c r="AG5848" s="38"/>
      <c r="AH5848" s="60"/>
    </row>
    <row r="5849" spans="1:34" ht="15.75" customHeight="1">
      <c r="A5849" s="111" t="s">
        <v>73</v>
      </c>
      <c r="B5849" s="78" t="s">
        <v>19972</v>
      </c>
      <c r="C5849" s="37" t="s">
        <v>24</v>
      </c>
      <c r="D5849" s="20" t="s">
        <v>19973</v>
      </c>
      <c r="E5849" s="20" t="s">
        <v>19974</v>
      </c>
      <c r="F5849" s="19" t="s">
        <v>27</v>
      </c>
      <c r="G5849" s="19" t="s">
        <v>28</v>
      </c>
      <c r="H5849" s="37" t="s">
        <v>55</v>
      </c>
      <c r="I5849" s="37" t="s">
        <v>29</v>
      </c>
      <c r="J5849" s="155" t="str">
        <f t="shared" si="15"/>
        <v>TT</v>
      </c>
      <c r="K5849" s="22" t="s">
        <v>19975</v>
      </c>
      <c r="L5849" s="56">
        <v>45146</v>
      </c>
      <c r="P5849" s="40"/>
      <c r="Q5849" s="61"/>
      <c r="R5849" s="61"/>
      <c r="S5849" s="40"/>
      <c r="T5849" s="38"/>
      <c r="U5849" s="38"/>
      <c r="V5849" s="38"/>
      <c r="W5849" s="60"/>
      <c r="AB5849" s="42"/>
      <c r="AC5849" s="35"/>
      <c r="AD5849" s="38"/>
      <c r="AE5849" s="38"/>
      <c r="AF5849" s="38"/>
      <c r="AG5849" s="38"/>
      <c r="AH5849" s="60"/>
    </row>
    <row r="5850" spans="1:34" ht="15.75" customHeight="1">
      <c r="A5850" s="75">
        <v>2.4</v>
      </c>
      <c r="B5850" s="78" t="s">
        <v>19976</v>
      </c>
      <c r="C5850" s="37" t="s">
        <v>24</v>
      </c>
      <c r="D5850" s="20" t="s">
        <v>19977</v>
      </c>
      <c r="E5850" s="20" t="s">
        <v>19978</v>
      </c>
      <c r="F5850" s="19" t="s">
        <v>27</v>
      </c>
      <c r="G5850" s="19" t="s">
        <v>28</v>
      </c>
      <c r="H5850" s="37" t="s">
        <v>55</v>
      </c>
      <c r="I5850" s="37" t="s">
        <v>29</v>
      </c>
      <c r="J5850" s="155" t="str">
        <f t="shared" si="15"/>
        <v>TT</v>
      </c>
      <c r="K5850" s="22" t="s">
        <v>19979</v>
      </c>
      <c r="L5850" s="56">
        <v>45146</v>
      </c>
      <c r="P5850" s="40"/>
      <c r="Q5850" s="61"/>
      <c r="R5850" s="61"/>
      <c r="S5850" s="40"/>
      <c r="T5850" s="38"/>
      <c r="U5850" s="38"/>
      <c r="V5850" s="38"/>
      <c r="W5850" s="60"/>
      <c r="AB5850" s="42"/>
      <c r="AC5850" s="35"/>
      <c r="AD5850" s="38"/>
      <c r="AE5850" s="38"/>
      <c r="AF5850" s="38"/>
      <c r="AG5850" s="38"/>
      <c r="AH5850" s="60"/>
    </row>
    <row r="5851" spans="1:34" ht="15.75" customHeight="1">
      <c r="A5851" s="111" t="s">
        <v>82</v>
      </c>
      <c r="B5851" s="78" t="s">
        <v>19980</v>
      </c>
      <c r="C5851" s="37" t="s">
        <v>24</v>
      </c>
      <c r="D5851" s="20" t="s">
        <v>19981</v>
      </c>
      <c r="E5851" s="20" t="s">
        <v>19982</v>
      </c>
      <c r="F5851" s="19" t="s">
        <v>27</v>
      </c>
      <c r="G5851" s="19" t="s">
        <v>28</v>
      </c>
      <c r="H5851" s="37" t="s">
        <v>55</v>
      </c>
      <c r="I5851" s="37" t="s">
        <v>29</v>
      </c>
      <c r="J5851" s="155" t="str">
        <f t="shared" si="15"/>
        <v>TT</v>
      </c>
      <c r="K5851" s="22" t="s">
        <v>19983</v>
      </c>
      <c r="L5851" s="56">
        <v>45146</v>
      </c>
      <c r="P5851" s="40"/>
      <c r="Q5851" s="61"/>
      <c r="R5851" s="61"/>
      <c r="S5851" s="40"/>
      <c r="T5851" s="38"/>
      <c r="U5851" s="38"/>
      <c r="V5851" s="38"/>
      <c r="W5851" s="60"/>
      <c r="AB5851" s="42"/>
      <c r="AC5851" s="35"/>
      <c r="AD5851" s="38"/>
      <c r="AE5851" s="38"/>
      <c r="AF5851" s="38"/>
      <c r="AG5851" s="38"/>
      <c r="AH5851" s="60"/>
    </row>
    <row r="5852" spans="1:34" ht="15.75" customHeight="1">
      <c r="A5852" s="75" t="s">
        <v>19984</v>
      </c>
      <c r="B5852" s="78" t="s">
        <v>19985</v>
      </c>
      <c r="C5852" s="37" t="s">
        <v>24</v>
      </c>
      <c r="D5852" s="20" t="s">
        <v>19986</v>
      </c>
      <c r="E5852" s="20" t="s">
        <v>19987</v>
      </c>
      <c r="F5852" s="19" t="s">
        <v>27</v>
      </c>
      <c r="G5852" s="19" t="s">
        <v>28</v>
      </c>
      <c r="H5852" s="19" t="s">
        <v>36</v>
      </c>
      <c r="I5852" s="37" t="s">
        <v>29</v>
      </c>
      <c r="J5852" s="155" t="str">
        <f t="shared" si="15"/>
        <v>TT</v>
      </c>
      <c r="K5852" s="22" t="s">
        <v>19988</v>
      </c>
      <c r="L5852" s="56">
        <v>45146</v>
      </c>
      <c r="P5852" s="40"/>
      <c r="Q5852" s="61"/>
      <c r="R5852" s="61"/>
      <c r="S5852" s="40"/>
      <c r="T5852" s="38"/>
      <c r="U5852" s="38"/>
      <c r="V5852" s="38"/>
      <c r="W5852" s="60"/>
      <c r="AB5852" s="42"/>
      <c r="AC5852" s="35"/>
      <c r="AD5852" s="38"/>
      <c r="AE5852" s="38"/>
      <c r="AF5852" s="38"/>
      <c r="AG5852" s="38"/>
      <c r="AH5852" s="60"/>
    </row>
    <row r="5853" spans="1:34" ht="15.75" customHeight="1">
      <c r="A5853" s="111" t="s">
        <v>92</v>
      </c>
      <c r="B5853" s="78" t="s">
        <v>19989</v>
      </c>
      <c r="C5853" s="37" t="s">
        <v>24</v>
      </c>
      <c r="D5853" s="20" t="s">
        <v>19990</v>
      </c>
      <c r="E5853" s="20" t="s">
        <v>19991</v>
      </c>
      <c r="F5853" s="19" t="s">
        <v>27</v>
      </c>
      <c r="G5853" s="19" t="s">
        <v>28</v>
      </c>
      <c r="H5853" s="37" t="s">
        <v>55</v>
      </c>
      <c r="I5853" s="37" t="s">
        <v>29</v>
      </c>
      <c r="J5853" s="155" t="str">
        <f t="shared" si="15"/>
        <v>TT</v>
      </c>
      <c r="K5853" s="22" t="s">
        <v>19992</v>
      </c>
      <c r="L5853" s="56">
        <v>45146</v>
      </c>
      <c r="P5853" s="40"/>
      <c r="Q5853" s="61"/>
      <c r="R5853" s="61"/>
      <c r="S5853" s="40"/>
      <c r="T5853" s="38"/>
      <c r="U5853" s="38"/>
      <c r="V5853" s="38"/>
      <c r="W5853" s="60"/>
      <c r="AB5853" s="42"/>
      <c r="AC5853" s="35"/>
      <c r="AD5853" s="38"/>
      <c r="AE5853" s="38"/>
      <c r="AF5853" s="38"/>
      <c r="AG5853" s="38"/>
      <c r="AH5853" s="60"/>
    </row>
    <row r="5854" spans="1:34" ht="15.75" customHeight="1">
      <c r="A5854" s="112">
        <v>241</v>
      </c>
      <c r="B5854" s="78" t="s">
        <v>19993</v>
      </c>
      <c r="C5854" s="37" t="s">
        <v>87</v>
      </c>
      <c r="D5854" s="20" t="s">
        <v>19994</v>
      </c>
      <c r="E5854" s="20" t="s">
        <v>19995</v>
      </c>
      <c r="F5854" s="19" t="s">
        <v>90</v>
      </c>
      <c r="G5854" s="19" t="s">
        <v>91</v>
      </c>
      <c r="H5854" s="37" t="s">
        <v>55</v>
      </c>
      <c r="I5854" s="37" t="s">
        <v>29</v>
      </c>
      <c r="J5854" s="155" t="str">
        <f t="shared" si="15"/>
        <v>TT</v>
      </c>
      <c r="K5854" s="22" t="s">
        <v>19996</v>
      </c>
      <c r="L5854" s="56">
        <v>45146</v>
      </c>
      <c r="P5854" s="40"/>
      <c r="Q5854" s="61"/>
      <c r="R5854" s="61"/>
      <c r="S5854" s="40"/>
      <c r="T5854" s="38"/>
      <c r="U5854" s="38"/>
      <c r="V5854" s="38"/>
      <c r="W5854" s="60"/>
      <c r="AB5854" s="42"/>
      <c r="AC5854" s="35"/>
      <c r="AD5854" s="38"/>
      <c r="AE5854" s="38"/>
      <c r="AF5854" s="38"/>
      <c r="AG5854" s="38"/>
      <c r="AH5854" s="60"/>
    </row>
    <row r="5855" spans="1:34" ht="15.75" customHeight="1">
      <c r="A5855" s="111" t="s">
        <v>100</v>
      </c>
      <c r="B5855" s="78" t="s">
        <v>19997</v>
      </c>
      <c r="C5855" s="37" t="s">
        <v>46</v>
      </c>
      <c r="D5855" s="20" t="s">
        <v>19998</v>
      </c>
      <c r="E5855" s="20"/>
      <c r="F5855" s="37" t="s">
        <v>49</v>
      </c>
      <c r="G5855" s="19" t="s">
        <v>50</v>
      </c>
      <c r="H5855" s="37" t="s">
        <v>55</v>
      </c>
      <c r="I5855" s="37" t="s">
        <v>29</v>
      </c>
      <c r="J5855" s="155" t="str">
        <f t="shared" si="15"/>
        <v>TT</v>
      </c>
      <c r="K5855" s="22"/>
      <c r="L5855" s="56">
        <v>45146</v>
      </c>
      <c r="P5855" s="40"/>
      <c r="Q5855" s="61"/>
      <c r="R5855" s="61"/>
      <c r="S5855" s="40"/>
      <c r="T5855" s="38"/>
      <c r="U5855" s="38"/>
      <c r="V5855" s="38"/>
      <c r="W5855" s="60"/>
      <c r="AB5855" s="42"/>
      <c r="AC5855" s="35"/>
      <c r="AD5855" s="38"/>
      <c r="AE5855" s="38"/>
      <c r="AF5855" s="38"/>
      <c r="AG5855" s="38"/>
      <c r="AH5855" s="60"/>
    </row>
    <row r="5856" spans="1:34" ht="15.75" customHeight="1">
      <c r="A5856" s="75">
        <v>148</v>
      </c>
      <c r="B5856" s="78" t="s">
        <v>19999</v>
      </c>
      <c r="C5856" s="37" t="s">
        <v>24</v>
      </c>
      <c r="D5856" s="25" t="s">
        <v>20000</v>
      </c>
      <c r="E5856" s="20" t="s">
        <v>20001</v>
      </c>
      <c r="F5856" s="19" t="s">
        <v>27</v>
      </c>
      <c r="G5856" s="19" t="s">
        <v>28</v>
      </c>
      <c r="H5856" s="37" t="s">
        <v>55</v>
      </c>
      <c r="I5856" s="37" t="s">
        <v>29</v>
      </c>
      <c r="J5856" s="155" t="str">
        <f t="shared" si="15"/>
        <v>TT</v>
      </c>
      <c r="K5856" s="22" t="s">
        <v>20002</v>
      </c>
      <c r="L5856" s="56">
        <v>45146</v>
      </c>
      <c r="P5856" s="40"/>
      <c r="Q5856" s="61"/>
      <c r="R5856" s="61"/>
      <c r="S5856" s="40"/>
      <c r="T5856" s="38"/>
      <c r="U5856" s="38"/>
      <c r="V5856" s="38"/>
      <c r="W5856" s="60"/>
      <c r="AB5856" s="42"/>
      <c r="AC5856" s="35"/>
      <c r="AD5856" s="38"/>
      <c r="AE5856" s="38"/>
      <c r="AF5856" s="38"/>
      <c r="AG5856" s="38"/>
      <c r="AH5856" s="60"/>
    </row>
    <row r="5857" spans="1:34" ht="15.75" customHeight="1">
      <c r="A5857" s="35"/>
      <c r="B5857" s="78" t="s">
        <v>20003</v>
      </c>
      <c r="C5857" s="37" t="s">
        <v>46</v>
      </c>
      <c r="D5857" s="20" t="s">
        <v>20004</v>
      </c>
      <c r="E5857" s="20" t="s">
        <v>20005</v>
      </c>
      <c r="F5857" s="37" t="s">
        <v>49</v>
      </c>
      <c r="G5857" s="19" t="s">
        <v>50</v>
      </c>
      <c r="H5857" s="37" t="s">
        <v>55</v>
      </c>
      <c r="I5857" s="37" t="s">
        <v>29</v>
      </c>
      <c r="J5857" s="155" t="str">
        <f t="shared" si="15"/>
        <v>TT</v>
      </c>
      <c r="K5857" s="22" t="s">
        <v>20006</v>
      </c>
      <c r="L5857" s="56">
        <v>45146</v>
      </c>
      <c r="P5857" s="40"/>
      <c r="Q5857" s="61"/>
      <c r="R5857" s="61"/>
      <c r="S5857" s="40"/>
      <c r="T5857" s="38"/>
      <c r="U5857" s="38"/>
      <c r="V5857" s="38"/>
      <c r="W5857" s="60"/>
      <c r="AB5857" s="42"/>
      <c r="AC5857" s="35"/>
      <c r="AD5857" s="38"/>
      <c r="AE5857" s="38"/>
      <c r="AF5857" s="38"/>
      <c r="AG5857" s="38"/>
      <c r="AH5857" s="60"/>
    </row>
    <row r="5858" spans="1:34" ht="15.75" customHeight="1">
      <c r="A5858" s="35"/>
      <c r="B5858" s="78" t="s">
        <v>20007</v>
      </c>
      <c r="C5858" s="37" t="s">
        <v>24</v>
      </c>
      <c r="D5858" s="20" t="s">
        <v>20008</v>
      </c>
      <c r="E5858" s="20" t="s">
        <v>20009</v>
      </c>
      <c r="F5858" s="19" t="s">
        <v>27</v>
      </c>
      <c r="G5858" s="19" t="s">
        <v>28</v>
      </c>
      <c r="H5858" s="37" t="s">
        <v>55</v>
      </c>
      <c r="I5858" s="37" t="s">
        <v>29</v>
      </c>
      <c r="J5858" s="155" t="str">
        <f t="shared" si="15"/>
        <v>TT</v>
      </c>
      <c r="K5858" s="22" t="s">
        <v>20010</v>
      </c>
      <c r="L5858" s="56">
        <v>45146</v>
      </c>
      <c r="P5858" s="40"/>
      <c r="Q5858" s="61"/>
      <c r="R5858" s="61"/>
      <c r="S5858" s="40"/>
      <c r="T5858" s="38"/>
      <c r="U5858" s="38"/>
      <c r="V5858" s="38"/>
      <c r="W5858" s="60"/>
      <c r="AB5858" s="42"/>
      <c r="AC5858" s="35"/>
      <c r="AD5858" s="38"/>
      <c r="AE5858" s="38"/>
      <c r="AF5858" s="38"/>
      <c r="AG5858" s="38"/>
      <c r="AH5858" s="60"/>
    </row>
    <row r="5859" spans="1:34" ht="15.75" customHeight="1">
      <c r="A5859" s="297"/>
      <c r="B5859" s="38"/>
      <c r="C5859" s="37"/>
      <c r="D5859" s="20"/>
      <c r="E5859" s="25"/>
      <c r="F5859" s="37"/>
      <c r="G5859" s="37"/>
      <c r="H5859" s="37"/>
      <c r="I5859" s="37"/>
      <c r="J5859" s="155">
        <f t="shared" si="15"/>
        <v>0</v>
      </c>
      <c r="K5859" s="22"/>
      <c r="L5859" s="39"/>
      <c r="P5859" s="40"/>
      <c r="Q5859" s="61"/>
      <c r="R5859" s="61"/>
      <c r="S5859" s="40"/>
      <c r="T5859" s="38"/>
      <c r="U5859" s="38"/>
      <c r="V5859" s="38"/>
      <c r="W5859" s="60"/>
      <c r="AB5859" s="42"/>
      <c r="AC5859" s="35"/>
      <c r="AD5859" s="38"/>
      <c r="AE5859" s="38"/>
      <c r="AF5859" s="38"/>
      <c r="AG5859" s="38"/>
      <c r="AH5859" s="60"/>
    </row>
    <row r="5860" spans="1:34" ht="15.75" customHeight="1">
      <c r="A5860" s="35" t="s">
        <v>20011</v>
      </c>
      <c r="B5860" s="81" t="s">
        <v>20012</v>
      </c>
      <c r="C5860" s="37" t="s">
        <v>24</v>
      </c>
      <c r="D5860" s="20" t="s">
        <v>20013</v>
      </c>
      <c r="E5860" s="20" t="s">
        <v>20014</v>
      </c>
      <c r="F5860" s="19" t="s">
        <v>27</v>
      </c>
      <c r="G5860" s="19" t="s">
        <v>28</v>
      </c>
      <c r="H5860" s="37" t="s">
        <v>55</v>
      </c>
      <c r="I5860" s="37" t="s">
        <v>29</v>
      </c>
      <c r="J5860" s="155" t="str">
        <f t="shared" si="15"/>
        <v>TT</v>
      </c>
      <c r="K5860" s="22" t="s">
        <v>20015</v>
      </c>
      <c r="L5860" s="56">
        <v>45146</v>
      </c>
      <c r="M5860" s="40"/>
      <c r="P5860" s="40"/>
      <c r="Q5860" s="61"/>
      <c r="R5860" s="61"/>
      <c r="S5860" s="40"/>
      <c r="T5860" s="38"/>
      <c r="U5860" s="38"/>
      <c r="V5860" s="38"/>
      <c r="W5860" s="60"/>
      <c r="AB5860" s="42"/>
      <c r="AC5860" s="35"/>
      <c r="AD5860" s="38"/>
      <c r="AE5860" s="38"/>
      <c r="AF5860" s="38"/>
      <c r="AG5860" s="38"/>
      <c r="AH5860" s="60"/>
    </row>
    <row r="5861" spans="1:34" ht="15.75" customHeight="1">
      <c r="A5861" s="54" t="s">
        <v>2714</v>
      </c>
      <c r="B5861" s="78" t="s">
        <v>20016</v>
      </c>
      <c r="C5861" s="37" t="s">
        <v>24</v>
      </c>
      <c r="D5861" s="20" t="s">
        <v>20017</v>
      </c>
      <c r="E5861" s="20" t="s">
        <v>20018</v>
      </c>
      <c r="F5861" s="19" t="s">
        <v>27</v>
      </c>
      <c r="G5861" s="19" t="s">
        <v>28</v>
      </c>
      <c r="H5861" s="37" t="s">
        <v>55</v>
      </c>
      <c r="I5861" s="37" t="s">
        <v>29</v>
      </c>
      <c r="J5861" s="155" t="str">
        <f t="shared" si="15"/>
        <v>TT</v>
      </c>
      <c r="K5861" s="22" t="s">
        <v>20019</v>
      </c>
      <c r="L5861" s="56">
        <v>45146</v>
      </c>
      <c r="P5861" s="40"/>
      <c r="Q5861" s="61"/>
      <c r="R5861" s="61"/>
      <c r="S5861" s="40"/>
      <c r="T5861" s="38"/>
      <c r="U5861" s="38"/>
      <c r="V5861" s="38"/>
      <c r="W5861" s="60"/>
      <c r="AB5861" s="42"/>
      <c r="AC5861" s="35"/>
      <c r="AD5861" s="38"/>
      <c r="AE5861" s="38"/>
      <c r="AF5861" s="38"/>
      <c r="AG5861" s="38"/>
      <c r="AH5861" s="60"/>
    </row>
    <row r="5862" spans="1:34" ht="15.75" customHeight="1">
      <c r="A5862" s="114" t="s">
        <v>39</v>
      </c>
      <c r="B5862" s="78" t="s">
        <v>20020</v>
      </c>
      <c r="C5862" s="37" t="s">
        <v>24</v>
      </c>
      <c r="D5862" s="20" t="s">
        <v>20021</v>
      </c>
      <c r="E5862" s="20" t="s">
        <v>20022</v>
      </c>
      <c r="F5862" s="19" t="s">
        <v>27</v>
      </c>
      <c r="G5862" s="19" t="s">
        <v>28</v>
      </c>
      <c r="H5862" s="19" t="s">
        <v>36</v>
      </c>
      <c r="I5862" s="37" t="s">
        <v>29</v>
      </c>
      <c r="J5862" s="155" t="str">
        <f t="shared" si="15"/>
        <v>TT</v>
      </c>
      <c r="K5862" s="22" t="s">
        <v>20023</v>
      </c>
      <c r="L5862" s="56">
        <v>45146</v>
      </c>
      <c r="P5862" s="40"/>
      <c r="Q5862" s="61"/>
      <c r="R5862" s="61"/>
      <c r="S5862" s="40"/>
      <c r="T5862" s="38"/>
      <c r="U5862" s="38"/>
      <c r="V5862" s="38"/>
      <c r="W5862" s="60"/>
      <c r="AB5862" s="42"/>
      <c r="AC5862" s="35"/>
      <c r="AD5862" s="38"/>
      <c r="AE5862" s="38"/>
      <c r="AF5862" s="38"/>
      <c r="AG5862" s="38"/>
      <c r="AH5862" s="60"/>
    </row>
    <row r="5863" spans="1:34" ht="15.75" customHeight="1">
      <c r="A5863" s="38" t="s">
        <v>19531</v>
      </c>
      <c r="B5863" s="78" t="s">
        <v>20024</v>
      </c>
      <c r="C5863" s="37" t="s">
        <v>24</v>
      </c>
      <c r="D5863" s="20" t="s">
        <v>20025</v>
      </c>
      <c r="E5863" s="20" t="s">
        <v>20026</v>
      </c>
      <c r="F5863" s="19" t="s">
        <v>27</v>
      </c>
      <c r="G5863" s="19" t="s">
        <v>28</v>
      </c>
      <c r="H5863" s="37" t="s">
        <v>55</v>
      </c>
      <c r="I5863" s="37" t="s">
        <v>29</v>
      </c>
      <c r="J5863" s="155" t="str">
        <f t="shared" si="15"/>
        <v>TT</v>
      </c>
      <c r="K5863" s="22" t="s">
        <v>20027</v>
      </c>
      <c r="L5863" s="56">
        <v>45146</v>
      </c>
      <c r="P5863" s="40"/>
      <c r="Q5863" s="61"/>
      <c r="R5863" s="61"/>
      <c r="S5863" s="40"/>
      <c r="T5863" s="38"/>
      <c r="U5863" s="38"/>
      <c r="V5863" s="38"/>
      <c r="W5863" s="60"/>
      <c r="AB5863" s="42"/>
      <c r="AC5863" s="35"/>
      <c r="AD5863" s="38"/>
      <c r="AE5863" s="38"/>
      <c r="AF5863" s="38"/>
      <c r="AG5863" s="38"/>
      <c r="AH5863" s="60"/>
    </row>
    <row r="5864" spans="1:34" ht="15.75" customHeight="1">
      <c r="A5864" s="75" t="s">
        <v>18646</v>
      </c>
      <c r="B5864" s="78" t="s">
        <v>20028</v>
      </c>
      <c r="C5864" s="37" t="s">
        <v>87</v>
      </c>
      <c r="D5864" s="20" t="s">
        <v>20029</v>
      </c>
      <c r="E5864" s="20" t="s">
        <v>20030</v>
      </c>
      <c r="F5864" s="19" t="s">
        <v>90</v>
      </c>
      <c r="G5864" s="19" t="s">
        <v>91</v>
      </c>
      <c r="H5864" s="37" t="s">
        <v>55</v>
      </c>
      <c r="I5864" s="37" t="s">
        <v>29</v>
      </c>
      <c r="J5864" s="155" t="str">
        <f t="shared" si="15"/>
        <v>TT</v>
      </c>
      <c r="K5864" s="22" t="s">
        <v>20031</v>
      </c>
      <c r="L5864" s="56">
        <v>45146</v>
      </c>
      <c r="P5864" s="40"/>
      <c r="Q5864" s="61"/>
      <c r="R5864" s="61"/>
      <c r="S5864" s="40"/>
      <c r="T5864" s="38"/>
      <c r="U5864" s="38"/>
      <c r="V5864" s="38"/>
      <c r="W5864" s="60"/>
      <c r="AB5864" s="42"/>
      <c r="AC5864" s="35"/>
      <c r="AD5864" s="38"/>
      <c r="AE5864" s="38"/>
      <c r="AF5864" s="38"/>
      <c r="AG5864" s="38"/>
      <c r="AH5864" s="60"/>
    </row>
    <row r="5865" spans="1:34" ht="15.75" customHeight="1">
      <c r="A5865" s="50" t="s">
        <v>56</v>
      </c>
      <c r="B5865" s="78" t="s">
        <v>20032</v>
      </c>
      <c r="C5865" s="37" t="s">
        <v>87</v>
      </c>
      <c r="D5865" s="20" t="s">
        <v>20033</v>
      </c>
      <c r="E5865" s="20" t="s">
        <v>20034</v>
      </c>
      <c r="F5865" s="19" t="s">
        <v>90</v>
      </c>
      <c r="G5865" s="19" t="s">
        <v>91</v>
      </c>
      <c r="H5865" s="37" t="s">
        <v>55</v>
      </c>
      <c r="I5865" s="37" t="s">
        <v>29</v>
      </c>
      <c r="J5865" s="155" t="str">
        <f t="shared" si="15"/>
        <v>TT</v>
      </c>
      <c r="K5865" s="22" t="s">
        <v>20035</v>
      </c>
      <c r="L5865" s="56">
        <v>45146</v>
      </c>
      <c r="P5865" s="40"/>
      <c r="Q5865" s="61"/>
      <c r="R5865" s="61"/>
      <c r="S5865" s="40"/>
      <c r="T5865" s="38"/>
      <c r="U5865" s="38"/>
      <c r="V5865" s="38"/>
      <c r="W5865" s="60"/>
      <c r="AB5865" s="42"/>
      <c r="AC5865" s="35"/>
      <c r="AD5865" s="38"/>
      <c r="AE5865" s="38"/>
      <c r="AF5865" s="38"/>
      <c r="AG5865" s="38"/>
      <c r="AH5865" s="60"/>
    </row>
    <row r="5866" spans="1:34" ht="15.75" customHeight="1">
      <c r="A5866" s="17" t="s">
        <v>18655</v>
      </c>
      <c r="B5866" s="78" t="s">
        <v>20036</v>
      </c>
      <c r="C5866" s="37" t="s">
        <v>46</v>
      </c>
      <c r="D5866" s="20" t="s">
        <v>20037</v>
      </c>
      <c r="E5866" s="20" t="s">
        <v>20038</v>
      </c>
      <c r="F5866" s="37" t="s">
        <v>49</v>
      </c>
      <c r="G5866" s="19" t="s">
        <v>50</v>
      </c>
      <c r="H5866" s="37" t="s">
        <v>55</v>
      </c>
      <c r="I5866" s="37" t="s">
        <v>29</v>
      </c>
      <c r="J5866" s="155" t="str">
        <f t="shared" si="15"/>
        <v>TT</v>
      </c>
      <c r="K5866" s="22" t="s">
        <v>20039</v>
      </c>
      <c r="L5866" s="56">
        <v>45146</v>
      </c>
      <c r="P5866" s="40"/>
      <c r="Q5866" s="61"/>
      <c r="R5866" s="61"/>
      <c r="S5866" s="40"/>
      <c r="T5866" s="38"/>
      <c r="U5866" s="38"/>
      <c r="V5866" s="38"/>
      <c r="W5866" s="60"/>
      <c r="AB5866" s="42"/>
      <c r="AC5866" s="35"/>
      <c r="AD5866" s="38"/>
      <c r="AE5866" s="38"/>
      <c r="AF5866" s="38"/>
      <c r="AG5866" s="38"/>
      <c r="AH5866" s="60"/>
    </row>
    <row r="5867" spans="1:34" ht="15.75" customHeight="1">
      <c r="A5867" s="111" t="s">
        <v>64</v>
      </c>
      <c r="B5867" s="78" t="s">
        <v>20040</v>
      </c>
      <c r="C5867" s="37" t="s">
        <v>46</v>
      </c>
      <c r="D5867" s="20" t="s">
        <v>20041</v>
      </c>
      <c r="E5867" s="20" t="s">
        <v>20042</v>
      </c>
      <c r="F5867" s="37" t="s">
        <v>49</v>
      </c>
      <c r="G5867" s="19" t="s">
        <v>50</v>
      </c>
      <c r="H5867" s="37" t="s">
        <v>55</v>
      </c>
      <c r="I5867" s="37" t="s">
        <v>29</v>
      </c>
      <c r="J5867" s="155" t="str">
        <f t="shared" si="15"/>
        <v>TT</v>
      </c>
      <c r="K5867" s="22" t="s">
        <v>20043</v>
      </c>
      <c r="L5867" s="56">
        <v>45146</v>
      </c>
      <c r="P5867" s="40"/>
      <c r="Q5867" s="61"/>
      <c r="R5867" s="61"/>
      <c r="S5867" s="40"/>
      <c r="T5867" s="38"/>
      <c r="U5867" s="38"/>
      <c r="V5867" s="38"/>
      <c r="W5867" s="60"/>
      <c r="AB5867" s="42"/>
      <c r="AC5867" s="35"/>
      <c r="AD5867" s="38"/>
      <c r="AE5867" s="38"/>
      <c r="AF5867" s="38"/>
      <c r="AG5867" s="38"/>
      <c r="AH5867" s="60"/>
    </row>
    <row r="5868" spans="1:34" ht="15.75" customHeight="1">
      <c r="A5868" s="75">
        <v>1.7</v>
      </c>
      <c r="B5868" s="78" t="s">
        <v>20044</v>
      </c>
      <c r="C5868" s="37" t="s">
        <v>46</v>
      </c>
      <c r="D5868" s="20" t="s">
        <v>20045</v>
      </c>
      <c r="E5868" s="20" t="s">
        <v>20046</v>
      </c>
      <c r="F5868" s="37" t="s">
        <v>49</v>
      </c>
      <c r="G5868" s="19" t="s">
        <v>50</v>
      </c>
      <c r="H5868" s="37" t="s">
        <v>55</v>
      </c>
      <c r="I5868" s="37" t="s">
        <v>29</v>
      </c>
      <c r="J5868" s="155" t="str">
        <f t="shared" si="15"/>
        <v>TT</v>
      </c>
      <c r="K5868" s="22" t="s">
        <v>20047</v>
      </c>
      <c r="L5868" s="56">
        <v>45146</v>
      </c>
      <c r="P5868" s="40"/>
      <c r="Q5868" s="61"/>
      <c r="R5868" s="61"/>
      <c r="S5868" s="40"/>
      <c r="T5868" s="38"/>
      <c r="U5868" s="38"/>
      <c r="V5868" s="38"/>
      <c r="W5868" s="60"/>
      <c r="AB5868" s="42"/>
      <c r="AC5868" s="35"/>
      <c r="AD5868" s="38"/>
      <c r="AE5868" s="38"/>
      <c r="AF5868" s="38"/>
      <c r="AG5868" s="38"/>
      <c r="AH5868" s="60"/>
    </row>
    <row r="5869" spans="1:34" ht="15.75" customHeight="1">
      <c r="A5869" s="111" t="s">
        <v>73</v>
      </c>
      <c r="B5869" s="38"/>
      <c r="C5869" s="37"/>
      <c r="D5869" s="20"/>
      <c r="E5869" s="25"/>
      <c r="F5869" s="37"/>
      <c r="G5869" s="37"/>
      <c r="H5869" s="37"/>
      <c r="I5869" s="37"/>
      <c r="J5869" s="155">
        <f t="shared" si="15"/>
        <v>0</v>
      </c>
      <c r="K5869" s="22"/>
      <c r="L5869" s="56"/>
      <c r="P5869" s="40"/>
      <c r="Q5869" s="61"/>
      <c r="R5869" s="61"/>
      <c r="S5869" s="40"/>
      <c r="T5869" s="38"/>
      <c r="U5869" s="38"/>
      <c r="V5869" s="38"/>
      <c r="W5869" s="60"/>
      <c r="AB5869" s="42"/>
      <c r="AC5869" s="35"/>
      <c r="AD5869" s="38"/>
      <c r="AE5869" s="38"/>
      <c r="AF5869" s="38"/>
      <c r="AG5869" s="38"/>
      <c r="AH5869" s="60"/>
    </row>
    <row r="5870" spans="1:34" ht="15.75" customHeight="1">
      <c r="A5870" s="75">
        <v>2</v>
      </c>
      <c r="B5870" s="78"/>
      <c r="C5870" s="37"/>
      <c r="D5870" s="20"/>
      <c r="E5870" s="20"/>
      <c r="F5870" s="37"/>
      <c r="G5870" s="37"/>
      <c r="H5870" s="37"/>
      <c r="I5870" s="37"/>
      <c r="J5870" s="155">
        <f t="shared" si="15"/>
        <v>0</v>
      </c>
      <c r="K5870" s="22"/>
      <c r="L5870" s="56"/>
      <c r="P5870" s="40"/>
      <c r="Q5870" s="61"/>
      <c r="R5870" s="61"/>
      <c r="S5870" s="40"/>
      <c r="T5870" s="38"/>
      <c r="U5870" s="38"/>
      <c r="V5870" s="38"/>
      <c r="W5870" s="60"/>
      <c r="AB5870" s="42"/>
      <c r="AC5870" s="35"/>
      <c r="AD5870" s="38"/>
      <c r="AE5870" s="38"/>
      <c r="AF5870" s="38"/>
      <c r="AG5870" s="38"/>
      <c r="AH5870" s="60"/>
    </row>
    <row r="5871" spans="1:34" ht="15.75" customHeight="1">
      <c r="A5871" s="111" t="s">
        <v>82</v>
      </c>
      <c r="B5871" s="38"/>
      <c r="C5871" s="37"/>
      <c r="D5871" s="20"/>
      <c r="E5871" s="20"/>
      <c r="F5871" s="37"/>
      <c r="G5871" s="37"/>
      <c r="H5871" s="37"/>
      <c r="I5871" s="37"/>
      <c r="J5871" s="155">
        <f t="shared" si="15"/>
        <v>0</v>
      </c>
      <c r="K5871" s="22"/>
      <c r="L5871" s="56"/>
      <c r="P5871" s="40"/>
      <c r="Q5871" s="61"/>
      <c r="R5871" s="61"/>
      <c r="S5871" s="40"/>
      <c r="T5871" s="38"/>
      <c r="U5871" s="38"/>
      <c r="V5871" s="38"/>
      <c r="W5871" s="60"/>
      <c r="AB5871" s="42"/>
      <c r="AC5871" s="35"/>
      <c r="AD5871" s="38"/>
      <c r="AE5871" s="38"/>
      <c r="AF5871" s="38"/>
      <c r="AG5871" s="38"/>
      <c r="AH5871" s="60"/>
    </row>
    <row r="5872" spans="1:34" ht="15.75" customHeight="1">
      <c r="A5872" s="75" t="s">
        <v>20048</v>
      </c>
      <c r="B5872" s="38"/>
      <c r="C5872" s="37"/>
      <c r="D5872" s="20"/>
      <c r="E5872" s="20"/>
      <c r="F5872" s="37"/>
      <c r="G5872" s="37"/>
      <c r="H5872" s="37"/>
      <c r="I5872" s="37"/>
      <c r="J5872" s="155">
        <f t="shared" si="15"/>
        <v>0</v>
      </c>
      <c r="K5872" s="22"/>
      <c r="L5872" s="56"/>
      <c r="P5872" s="40"/>
      <c r="Q5872" s="61"/>
      <c r="R5872" s="61"/>
      <c r="S5872" s="40"/>
      <c r="T5872" s="38"/>
      <c r="U5872" s="38"/>
      <c r="V5872" s="38"/>
      <c r="W5872" s="60"/>
      <c r="AB5872" s="42"/>
      <c r="AC5872" s="35"/>
      <c r="AD5872" s="38"/>
      <c r="AE5872" s="38"/>
      <c r="AF5872" s="38"/>
      <c r="AG5872" s="38"/>
      <c r="AH5872" s="60"/>
    </row>
    <row r="5873" spans="1:34" ht="15.75" customHeight="1">
      <c r="A5873" s="111" t="s">
        <v>92</v>
      </c>
      <c r="B5873" s="38"/>
      <c r="C5873" s="37"/>
      <c r="D5873" s="20"/>
      <c r="E5873" s="20"/>
      <c r="F5873" s="37"/>
      <c r="G5873" s="37"/>
      <c r="H5873" s="37"/>
      <c r="I5873" s="37"/>
      <c r="J5873" s="155">
        <f t="shared" si="15"/>
        <v>0</v>
      </c>
      <c r="K5873" s="22"/>
      <c r="L5873" s="56"/>
      <c r="P5873" s="40"/>
      <c r="Q5873" s="61"/>
      <c r="R5873" s="61"/>
      <c r="S5873" s="40"/>
      <c r="T5873" s="38"/>
      <c r="U5873" s="38"/>
      <c r="V5873" s="38"/>
      <c r="W5873" s="60"/>
      <c r="AB5873" s="42"/>
      <c r="AC5873" s="35"/>
      <c r="AD5873" s="38"/>
      <c r="AE5873" s="38"/>
      <c r="AF5873" s="38"/>
      <c r="AG5873" s="38"/>
      <c r="AH5873" s="60"/>
    </row>
    <row r="5874" spans="1:34" ht="15.75" customHeight="1">
      <c r="A5874" s="112">
        <v>707</v>
      </c>
      <c r="B5874" s="38"/>
      <c r="C5874" s="37"/>
      <c r="D5874" s="20"/>
      <c r="E5874" s="20"/>
      <c r="F5874" s="37"/>
      <c r="G5874" s="37"/>
      <c r="H5874" s="37"/>
      <c r="I5874" s="37"/>
      <c r="J5874" s="155">
        <f t="shared" si="15"/>
        <v>0</v>
      </c>
      <c r="K5874" s="22"/>
      <c r="L5874" s="56"/>
      <c r="P5874" s="40"/>
      <c r="Q5874" s="61"/>
      <c r="R5874" s="61"/>
      <c r="S5874" s="40"/>
      <c r="T5874" s="38"/>
      <c r="U5874" s="38"/>
      <c r="V5874" s="38"/>
      <c r="W5874" s="60"/>
      <c r="AB5874" s="42"/>
      <c r="AC5874" s="35"/>
      <c r="AD5874" s="38"/>
      <c r="AE5874" s="38"/>
      <c r="AF5874" s="38"/>
      <c r="AG5874" s="38"/>
      <c r="AH5874" s="60"/>
    </row>
    <row r="5875" spans="1:34" ht="15.75" customHeight="1">
      <c r="A5875" s="111" t="s">
        <v>100</v>
      </c>
      <c r="B5875" s="38"/>
      <c r="C5875" s="37"/>
      <c r="D5875" s="20"/>
      <c r="E5875" s="20"/>
      <c r="F5875" s="37"/>
      <c r="G5875" s="37"/>
      <c r="H5875" s="37"/>
      <c r="I5875" s="37"/>
      <c r="J5875" s="155">
        <f t="shared" si="15"/>
        <v>0</v>
      </c>
      <c r="K5875" s="22"/>
      <c r="L5875" s="56"/>
      <c r="P5875" s="40"/>
      <c r="Q5875" s="61"/>
      <c r="R5875" s="61"/>
      <c r="S5875" s="40"/>
      <c r="T5875" s="38"/>
      <c r="U5875" s="38"/>
      <c r="V5875" s="38"/>
      <c r="W5875" s="60"/>
      <c r="AB5875" s="42"/>
      <c r="AC5875" s="35"/>
      <c r="AD5875" s="38"/>
      <c r="AE5875" s="38"/>
      <c r="AF5875" s="38"/>
      <c r="AG5875" s="38"/>
      <c r="AH5875" s="60"/>
    </row>
    <row r="5876" spans="1:34" ht="15.75" customHeight="1">
      <c r="A5876" s="75" t="s">
        <v>55</v>
      </c>
      <c r="B5876" s="38"/>
      <c r="C5876" s="37"/>
      <c r="D5876" s="20"/>
      <c r="E5876" s="20"/>
      <c r="F5876" s="37"/>
      <c r="G5876" s="37"/>
      <c r="H5876" s="37"/>
      <c r="I5876" s="37"/>
      <c r="J5876" s="155">
        <f t="shared" si="15"/>
        <v>0</v>
      </c>
      <c r="K5876" s="22"/>
      <c r="L5876" s="56"/>
      <c r="P5876" s="40"/>
      <c r="Q5876" s="61"/>
      <c r="R5876" s="61"/>
      <c r="S5876" s="40"/>
      <c r="T5876" s="38"/>
      <c r="U5876" s="38"/>
      <c r="V5876" s="38"/>
      <c r="W5876" s="60"/>
      <c r="AB5876" s="42"/>
      <c r="AC5876" s="35"/>
      <c r="AD5876" s="38"/>
      <c r="AE5876" s="38"/>
      <c r="AF5876" s="38"/>
      <c r="AG5876" s="38"/>
      <c r="AH5876" s="60"/>
    </row>
    <row r="5877" spans="1:34" ht="15.75" customHeight="1">
      <c r="A5877" s="35"/>
      <c r="B5877" s="38"/>
      <c r="C5877" s="37"/>
      <c r="D5877" s="20"/>
      <c r="E5877" s="20"/>
      <c r="F5877" s="37"/>
      <c r="G5877" s="37"/>
      <c r="H5877" s="37"/>
      <c r="I5877" s="37"/>
      <c r="J5877" s="155">
        <f t="shared" si="15"/>
        <v>0</v>
      </c>
      <c r="K5877" s="22"/>
      <c r="L5877" s="56"/>
      <c r="P5877" s="40"/>
      <c r="Q5877" s="61"/>
      <c r="R5877" s="61"/>
      <c r="S5877" s="40"/>
      <c r="T5877" s="38"/>
      <c r="U5877" s="38"/>
      <c r="V5877" s="38"/>
      <c r="W5877" s="60"/>
      <c r="AB5877" s="42"/>
      <c r="AC5877" s="35"/>
      <c r="AD5877" s="38"/>
      <c r="AE5877" s="38"/>
      <c r="AF5877" s="38"/>
      <c r="AG5877" s="38"/>
      <c r="AH5877" s="60"/>
    </row>
    <row r="5878" spans="1:34" ht="15.75" customHeight="1">
      <c r="A5878" s="35" t="s">
        <v>20049</v>
      </c>
      <c r="B5878" s="298"/>
      <c r="C5878" s="298"/>
      <c r="D5878" s="107"/>
      <c r="E5878" s="107"/>
      <c r="F5878" s="298"/>
      <c r="G5878" s="298"/>
      <c r="H5878" s="298"/>
      <c r="I5878" s="106"/>
      <c r="J5878" s="106"/>
      <c r="K5878" s="109"/>
      <c r="L5878" s="273"/>
      <c r="M5878" s="40"/>
      <c r="P5878" s="40"/>
      <c r="Q5878" s="61"/>
      <c r="R5878" s="61"/>
      <c r="S5878" s="40"/>
      <c r="T5878" s="38"/>
      <c r="U5878" s="38"/>
      <c r="V5878" s="38"/>
      <c r="W5878" s="60"/>
      <c r="AB5878" s="42"/>
      <c r="AC5878" s="35"/>
      <c r="AD5878" s="38"/>
      <c r="AE5878" s="38"/>
      <c r="AF5878" s="38"/>
      <c r="AG5878" s="38"/>
      <c r="AH5878" s="60"/>
    </row>
    <row r="5879" spans="1:34" ht="15.75" customHeight="1">
      <c r="A5879" s="54" t="s">
        <v>20050</v>
      </c>
      <c r="B5879" s="298"/>
      <c r="C5879" s="298"/>
      <c r="D5879" s="107"/>
      <c r="E5879" s="107"/>
      <c r="F5879" s="298"/>
      <c r="G5879" s="298"/>
      <c r="H5879" s="298"/>
      <c r="I5879" s="106"/>
      <c r="J5879" s="106"/>
      <c r="K5879" s="109"/>
      <c r="L5879" s="273"/>
      <c r="P5879" s="40"/>
      <c r="Q5879" s="61"/>
      <c r="R5879" s="61"/>
      <c r="S5879" s="40"/>
      <c r="T5879" s="38"/>
      <c r="U5879" s="38"/>
      <c r="V5879" s="38"/>
      <c r="W5879" s="60"/>
      <c r="AB5879" s="42"/>
      <c r="AC5879" s="35"/>
      <c r="AD5879" s="38"/>
      <c r="AE5879" s="38"/>
      <c r="AF5879" s="38"/>
      <c r="AG5879" s="38"/>
      <c r="AH5879" s="60"/>
    </row>
    <row r="5880" spans="1:34" ht="15.75" customHeight="1">
      <c r="A5880" s="114" t="s">
        <v>39</v>
      </c>
      <c r="B5880" s="298"/>
      <c r="C5880" s="298"/>
      <c r="D5880" s="107"/>
      <c r="E5880" s="107"/>
      <c r="F5880" s="298"/>
      <c r="G5880" s="298"/>
      <c r="H5880" s="298"/>
      <c r="I5880" s="106"/>
      <c r="J5880" s="106"/>
      <c r="K5880" s="109"/>
      <c r="L5880" s="273"/>
      <c r="P5880" s="40"/>
      <c r="Q5880" s="61"/>
      <c r="R5880" s="61"/>
      <c r="S5880" s="40"/>
      <c r="T5880" s="38"/>
      <c r="U5880" s="38"/>
      <c r="V5880" s="38"/>
      <c r="W5880" s="60"/>
      <c r="AB5880" s="42"/>
      <c r="AC5880" s="35"/>
      <c r="AD5880" s="38"/>
      <c r="AE5880" s="38"/>
      <c r="AF5880" s="38"/>
      <c r="AG5880" s="38"/>
      <c r="AH5880" s="60"/>
    </row>
    <row r="5881" spans="1:34" ht="15.75" customHeight="1">
      <c r="A5881" s="38" t="s">
        <v>20051</v>
      </c>
      <c r="B5881" s="298"/>
      <c r="C5881" s="298"/>
      <c r="D5881" s="107"/>
      <c r="E5881" s="107"/>
      <c r="F5881" s="298"/>
      <c r="G5881" s="298"/>
      <c r="H5881" s="298"/>
      <c r="I5881" s="106"/>
      <c r="J5881" s="106"/>
      <c r="K5881" s="109"/>
      <c r="L5881" s="273"/>
      <c r="P5881" s="40"/>
      <c r="Q5881" s="61"/>
      <c r="R5881" s="61"/>
      <c r="S5881" s="40"/>
      <c r="T5881" s="38"/>
      <c r="U5881" s="38"/>
      <c r="V5881" s="38"/>
      <c r="W5881" s="60"/>
      <c r="AB5881" s="42"/>
      <c r="AC5881" s="35"/>
      <c r="AD5881" s="38"/>
      <c r="AE5881" s="38"/>
      <c r="AF5881" s="38"/>
      <c r="AG5881" s="38"/>
      <c r="AH5881" s="60"/>
    </row>
    <row r="5882" spans="1:34" ht="15.75" customHeight="1">
      <c r="A5882" s="75" t="s">
        <v>18646</v>
      </c>
      <c r="B5882" s="298"/>
      <c r="C5882" s="298"/>
      <c r="D5882" s="107"/>
      <c r="E5882" s="107"/>
      <c r="F5882" s="298"/>
      <c r="G5882" s="298"/>
      <c r="H5882" s="298"/>
      <c r="I5882" s="106"/>
      <c r="J5882" s="106"/>
      <c r="K5882" s="109"/>
      <c r="L5882" s="273"/>
      <c r="P5882" s="40"/>
      <c r="Q5882" s="61"/>
      <c r="R5882" s="61"/>
      <c r="S5882" s="40"/>
      <c r="T5882" s="38"/>
      <c r="U5882" s="38"/>
      <c r="V5882" s="38"/>
      <c r="W5882" s="60"/>
      <c r="AB5882" s="42"/>
      <c r="AC5882" s="35"/>
      <c r="AD5882" s="38"/>
      <c r="AE5882" s="38"/>
      <c r="AF5882" s="38"/>
      <c r="AG5882" s="38"/>
      <c r="AH5882" s="60"/>
    </row>
    <row r="5883" spans="1:34" ht="15.75" customHeight="1">
      <c r="A5883" s="50" t="s">
        <v>56</v>
      </c>
      <c r="B5883" s="298"/>
      <c r="C5883" s="298"/>
      <c r="D5883" s="107"/>
      <c r="E5883" s="107"/>
      <c r="F5883" s="298"/>
      <c r="G5883" s="298"/>
      <c r="H5883" s="298"/>
      <c r="I5883" s="106"/>
      <c r="J5883" s="106"/>
      <c r="K5883" s="109"/>
      <c r="L5883" s="273"/>
      <c r="P5883" s="40"/>
      <c r="Q5883" s="61"/>
      <c r="R5883" s="61"/>
      <c r="S5883" s="40"/>
      <c r="T5883" s="38"/>
      <c r="U5883" s="38"/>
      <c r="V5883" s="38"/>
      <c r="W5883" s="60"/>
      <c r="AB5883" s="42"/>
      <c r="AC5883" s="35"/>
      <c r="AD5883" s="38"/>
      <c r="AE5883" s="38"/>
      <c r="AF5883" s="38"/>
      <c r="AG5883" s="38"/>
      <c r="AH5883" s="60"/>
    </row>
    <row r="5884" spans="1:34" ht="15.75" customHeight="1">
      <c r="A5884" s="17" t="s">
        <v>18655</v>
      </c>
      <c r="B5884" s="298"/>
      <c r="C5884" s="298"/>
      <c r="D5884" s="107"/>
      <c r="E5884" s="107"/>
      <c r="F5884" s="298"/>
      <c r="G5884" s="298"/>
      <c r="H5884" s="298"/>
      <c r="I5884" s="106"/>
      <c r="J5884" s="106"/>
      <c r="K5884" s="109"/>
      <c r="L5884" s="273"/>
      <c r="P5884" s="40"/>
      <c r="Q5884" s="61"/>
      <c r="R5884" s="61"/>
      <c r="S5884" s="40"/>
      <c r="T5884" s="38"/>
      <c r="U5884" s="38"/>
      <c r="V5884" s="38"/>
      <c r="W5884" s="60"/>
      <c r="AB5884" s="42"/>
      <c r="AC5884" s="35"/>
      <c r="AD5884" s="38"/>
      <c r="AE5884" s="38"/>
      <c r="AF5884" s="38"/>
      <c r="AG5884" s="38"/>
      <c r="AH5884" s="60"/>
    </row>
    <row r="5885" spans="1:34" ht="15.75" customHeight="1">
      <c r="A5885" s="111" t="s">
        <v>64</v>
      </c>
      <c r="B5885" s="298"/>
      <c r="C5885" s="298"/>
      <c r="D5885" s="107"/>
      <c r="E5885" s="107"/>
      <c r="F5885" s="298"/>
      <c r="G5885" s="298"/>
      <c r="H5885" s="298"/>
      <c r="I5885" s="106"/>
      <c r="J5885" s="106"/>
      <c r="K5885" s="109"/>
      <c r="L5885" s="273"/>
      <c r="P5885" s="40"/>
      <c r="Q5885" s="61"/>
      <c r="R5885" s="61"/>
      <c r="S5885" s="40"/>
      <c r="T5885" s="38"/>
      <c r="U5885" s="38"/>
      <c r="V5885" s="38"/>
      <c r="W5885" s="60"/>
      <c r="AB5885" s="42"/>
      <c r="AC5885" s="35"/>
      <c r="AD5885" s="38"/>
      <c r="AE5885" s="38"/>
      <c r="AF5885" s="38"/>
      <c r="AG5885" s="38"/>
      <c r="AH5885" s="60"/>
    </row>
    <row r="5886" spans="1:34" ht="15.75" customHeight="1">
      <c r="A5886" s="75">
        <v>1.9</v>
      </c>
      <c r="B5886" s="298"/>
      <c r="C5886" s="298"/>
      <c r="D5886" s="107"/>
      <c r="E5886" s="107"/>
      <c r="F5886" s="298"/>
      <c r="G5886" s="298"/>
      <c r="H5886" s="298"/>
      <c r="I5886" s="106"/>
      <c r="J5886" s="106"/>
      <c r="K5886" s="109"/>
      <c r="L5886" s="273"/>
      <c r="P5886" s="40"/>
      <c r="Q5886" s="61"/>
      <c r="R5886" s="61"/>
      <c r="S5886" s="40"/>
      <c r="T5886" s="38"/>
      <c r="U5886" s="38"/>
      <c r="V5886" s="38"/>
      <c r="W5886" s="60"/>
      <c r="AB5886" s="42"/>
      <c r="AC5886" s="35"/>
      <c r="AD5886" s="38"/>
      <c r="AE5886" s="38"/>
      <c r="AF5886" s="38"/>
      <c r="AG5886" s="38"/>
      <c r="AH5886" s="60"/>
    </row>
    <row r="5887" spans="1:34" ht="15.75" customHeight="1">
      <c r="A5887" s="111" t="s">
        <v>73</v>
      </c>
      <c r="B5887" s="298"/>
      <c r="C5887" s="298"/>
      <c r="D5887" s="107"/>
      <c r="E5887" s="107"/>
      <c r="F5887" s="298"/>
      <c r="G5887" s="298"/>
      <c r="H5887" s="298"/>
      <c r="I5887" s="106"/>
      <c r="J5887" s="106"/>
      <c r="K5887" s="109"/>
      <c r="L5887" s="273"/>
      <c r="P5887" s="40"/>
      <c r="Q5887" s="61"/>
      <c r="R5887" s="61"/>
      <c r="S5887" s="40"/>
      <c r="T5887" s="38"/>
      <c r="U5887" s="38"/>
      <c r="V5887" s="38"/>
      <c r="W5887" s="60"/>
      <c r="AB5887" s="42"/>
      <c r="AC5887" s="35"/>
      <c r="AD5887" s="38"/>
      <c r="AE5887" s="38"/>
      <c r="AF5887" s="38"/>
      <c r="AG5887" s="38"/>
      <c r="AH5887" s="60"/>
    </row>
    <row r="5888" spans="1:34" ht="15.75" customHeight="1">
      <c r="A5888" s="75">
        <v>2.6</v>
      </c>
      <c r="B5888" s="298"/>
      <c r="C5888" s="298"/>
      <c r="D5888" s="107"/>
      <c r="E5888" s="107"/>
      <c r="F5888" s="298"/>
      <c r="G5888" s="298"/>
      <c r="H5888" s="298"/>
      <c r="I5888" s="106"/>
      <c r="J5888" s="106"/>
      <c r="K5888" s="109"/>
      <c r="L5888" s="273"/>
      <c r="P5888" s="40"/>
      <c r="Q5888" s="61"/>
      <c r="R5888" s="61"/>
      <c r="S5888" s="40"/>
      <c r="T5888" s="38"/>
      <c r="U5888" s="38"/>
      <c r="V5888" s="38"/>
      <c r="W5888" s="60"/>
      <c r="AB5888" s="42"/>
      <c r="AC5888" s="35"/>
      <c r="AD5888" s="38"/>
      <c r="AE5888" s="38"/>
      <c r="AF5888" s="38"/>
      <c r="AG5888" s="38"/>
      <c r="AH5888" s="60"/>
    </row>
    <row r="5889" spans="1:34" ht="15.75" customHeight="1">
      <c r="A5889" s="111" t="s">
        <v>82</v>
      </c>
      <c r="B5889" s="298"/>
      <c r="C5889" s="298"/>
      <c r="D5889" s="107"/>
      <c r="E5889" s="107"/>
      <c r="F5889" s="298"/>
      <c r="G5889" s="298"/>
      <c r="H5889" s="298"/>
      <c r="I5889" s="106"/>
      <c r="J5889" s="106"/>
      <c r="K5889" s="109"/>
      <c r="L5889" s="273"/>
      <c r="P5889" s="40"/>
      <c r="Q5889" s="61"/>
      <c r="R5889" s="61"/>
      <c r="S5889" s="40"/>
      <c r="T5889" s="38"/>
      <c r="U5889" s="38"/>
      <c r="V5889" s="38"/>
      <c r="W5889" s="60"/>
      <c r="AB5889" s="42"/>
      <c r="AC5889" s="35"/>
      <c r="AD5889" s="38"/>
      <c r="AE5889" s="38"/>
      <c r="AF5889" s="38"/>
      <c r="AG5889" s="38"/>
      <c r="AH5889" s="60"/>
    </row>
    <row r="5890" spans="1:34" ht="15.75" customHeight="1">
      <c r="A5890" s="75" t="s">
        <v>20052</v>
      </c>
      <c r="B5890" s="298"/>
      <c r="C5890" s="298"/>
      <c r="D5890" s="107"/>
      <c r="E5890" s="107"/>
      <c r="F5890" s="298"/>
      <c r="G5890" s="298"/>
      <c r="H5890" s="298"/>
      <c r="I5890" s="106"/>
      <c r="J5890" s="106"/>
      <c r="K5890" s="109"/>
      <c r="L5890" s="273"/>
      <c r="P5890" s="40"/>
      <c r="Q5890" s="61"/>
      <c r="R5890" s="61"/>
      <c r="S5890" s="40"/>
      <c r="T5890" s="38"/>
      <c r="U5890" s="38"/>
      <c r="V5890" s="38"/>
      <c r="W5890" s="60"/>
      <c r="AB5890" s="42"/>
      <c r="AC5890" s="35"/>
      <c r="AD5890" s="38"/>
      <c r="AE5890" s="38"/>
      <c r="AF5890" s="38"/>
      <c r="AG5890" s="38"/>
      <c r="AH5890" s="60"/>
    </row>
    <row r="5891" spans="1:34" ht="15.75" customHeight="1">
      <c r="A5891" s="111" t="s">
        <v>92</v>
      </c>
      <c r="B5891" s="298"/>
      <c r="C5891" s="298"/>
      <c r="D5891" s="107"/>
      <c r="E5891" s="107"/>
      <c r="F5891" s="298"/>
      <c r="G5891" s="298"/>
      <c r="H5891" s="298"/>
      <c r="I5891" s="106"/>
      <c r="J5891" s="106"/>
      <c r="K5891" s="109"/>
      <c r="L5891" s="273"/>
      <c r="P5891" s="40"/>
      <c r="Q5891" s="61"/>
      <c r="R5891" s="61"/>
      <c r="S5891" s="40"/>
      <c r="T5891" s="38"/>
      <c r="U5891" s="38"/>
      <c r="V5891" s="38"/>
      <c r="W5891" s="60"/>
      <c r="AB5891" s="42"/>
      <c r="AC5891" s="35"/>
      <c r="AD5891" s="38"/>
      <c r="AE5891" s="38"/>
      <c r="AF5891" s="38"/>
      <c r="AG5891" s="38"/>
      <c r="AH5891" s="60"/>
    </row>
    <row r="5892" spans="1:34" ht="15.75" customHeight="1">
      <c r="A5892" s="112">
        <v>28</v>
      </c>
      <c r="B5892" s="298"/>
      <c r="C5892" s="298"/>
      <c r="D5892" s="107"/>
      <c r="E5892" s="107"/>
      <c r="F5892" s="298"/>
      <c r="G5892" s="298"/>
      <c r="H5892" s="298"/>
      <c r="I5892" s="106"/>
      <c r="J5892" s="106"/>
      <c r="K5892" s="109"/>
      <c r="L5892" s="273"/>
      <c r="P5892" s="40"/>
      <c r="Q5892" s="61"/>
      <c r="R5892" s="61"/>
      <c r="S5892" s="40"/>
      <c r="T5892" s="38"/>
      <c r="U5892" s="38"/>
      <c r="V5892" s="38"/>
      <c r="W5892" s="60"/>
      <c r="AB5892" s="42"/>
      <c r="AC5892" s="35"/>
      <c r="AD5892" s="38"/>
      <c r="AE5892" s="38"/>
      <c r="AF5892" s="38"/>
      <c r="AG5892" s="38"/>
      <c r="AH5892" s="60"/>
    </row>
    <row r="5893" spans="1:34" ht="15.75" customHeight="1">
      <c r="A5893" s="111" t="s">
        <v>100</v>
      </c>
      <c r="B5893" s="298"/>
      <c r="C5893" s="298"/>
      <c r="D5893" s="107"/>
      <c r="E5893" s="107"/>
      <c r="F5893" s="298"/>
      <c r="G5893" s="298"/>
      <c r="H5893" s="298"/>
      <c r="I5893" s="106"/>
      <c r="J5893" s="106"/>
      <c r="K5893" s="109"/>
      <c r="L5893" s="273"/>
      <c r="P5893" s="40"/>
      <c r="Q5893" s="61"/>
      <c r="R5893" s="61"/>
      <c r="S5893" s="40"/>
      <c r="T5893" s="38"/>
      <c r="U5893" s="38"/>
      <c r="V5893" s="38"/>
      <c r="W5893" s="60"/>
      <c r="AB5893" s="42"/>
      <c r="AC5893" s="35"/>
      <c r="AD5893" s="38"/>
      <c r="AE5893" s="38"/>
      <c r="AF5893" s="38"/>
      <c r="AG5893" s="38"/>
      <c r="AH5893" s="60"/>
    </row>
    <row r="5894" spans="1:34" ht="15.75" customHeight="1">
      <c r="A5894" s="75" t="s">
        <v>55</v>
      </c>
      <c r="B5894" s="78"/>
      <c r="C5894" s="37"/>
      <c r="D5894" s="20"/>
      <c r="E5894" s="20"/>
      <c r="F5894" s="37"/>
      <c r="G5894" s="37"/>
      <c r="H5894" s="37"/>
      <c r="I5894" s="37"/>
      <c r="J5894" s="155">
        <f t="shared" ref="J5894:J5899" si="16">IF(G5894="R","NA",I5894)</f>
        <v>0</v>
      </c>
      <c r="K5894" s="22"/>
      <c r="L5894" s="56"/>
      <c r="P5894" s="40"/>
      <c r="Q5894" s="61"/>
      <c r="R5894" s="61"/>
      <c r="S5894" s="40"/>
      <c r="T5894" s="38"/>
      <c r="U5894" s="38"/>
      <c r="V5894" s="38"/>
      <c r="W5894" s="60"/>
      <c r="AB5894" s="42"/>
      <c r="AC5894" s="35"/>
      <c r="AD5894" s="38"/>
      <c r="AE5894" s="38"/>
      <c r="AF5894" s="38"/>
      <c r="AG5894" s="38"/>
      <c r="AH5894" s="60"/>
    </row>
    <row r="5895" spans="1:34" ht="15.75" customHeight="1">
      <c r="A5895" s="35"/>
      <c r="B5895" s="78"/>
      <c r="C5895" s="37"/>
      <c r="D5895" s="20"/>
      <c r="E5895" s="20"/>
      <c r="F5895" s="37"/>
      <c r="G5895" s="37"/>
      <c r="H5895" s="37"/>
      <c r="I5895" s="37"/>
      <c r="J5895" s="155">
        <f t="shared" si="16"/>
        <v>0</v>
      </c>
      <c r="K5895" s="22"/>
      <c r="L5895" s="56"/>
      <c r="P5895" s="40"/>
      <c r="Q5895" s="61"/>
      <c r="R5895" s="61"/>
      <c r="S5895" s="40"/>
      <c r="T5895" s="38"/>
      <c r="U5895" s="38"/>
      <c r="V5895" s="38"/>
      <c r="W5895" s="60"/>
      <c r="AB5895" s="42"/>
      <c r="AC5895" s="35"/>
      <c r="AD5895" s="38"/>
      <c r="AE5895" s="38"/>
      <c r="AF5895" s="38"/>
      <c r="AG5895" s="38"/>
      <c r="AH5895" s="60"/>
    </row>
    <row r="5896" spans="1:34" ht="15.75" customHeight="1">
      <c r="A5896" s="35" t="s">
        <v>20053</v>
      </c>
      <c r="B5896" s="81" t="s">
        <v>20054</v>
      </c>
      <c r="C5896" s="37" t="s">
        <v>87</v>
      </c>
      <c r="D5896" s="20" t="s">
        <v>20055</v>
      </c>
      <c r="E5896" s="20" t="s">
        <v>20056</v>
      </c>
      <c r="F5896" s="19" t="s">
        <v>90</v>
      </c>
      <c r="G5896" s="19" t="s">
        <v>91</v>
      </c>
      <c r="H5896" s="37" t="s">
        <v>55</v>
      </c>
      <c r="I5896" s="37" t="s">
        <v>29</v>
      </c>
      <c r="J5896" s="155" t="str">
        <f t="shared" si="16"/>
        <v>TT</v>
      </c>
      <c r="K5896" s="22" t="s">
        <v>20057</v>
      </c>
      <c r="L5896" s="56">
        <v>45146</v>
      </c>
      <c r="M5896" s="40"/>
      <c r="P5896" s="40"/>
      <c r="Q5896" s="61"/>
      <c r="R5896" s="61"/>
      <c r="S5896" s="40"/>
      <c r="T5896" s="38"/>
      <c r="U5896" s="38"/>
      <c r="V5896" s="38"/>
      <c r="W5896" s="60"/>
      <c r="AB5896" s="42"/>
      <c r="AC5896" s="35"/>
      <c r="AD5896" s="38"/>
      <c r="AE5896" s="38"/>
      <c r="AF5896" s="38"/>
      <c r="AG5896" s="38"/>
      <c r="AH5896" s="60"/>
    </row>
    <row r="5897" spans="1:34" ht="15.75" customHeight="1">
      <c r="A5897" s="54" t="s">
        <v>2714</v>
      </c>
      <c r="B5897" s="78" t="s">
        <v>20058</v>
      </c>
      <c r="C5897" s="37" t="s">
        <v>24</v>
      </c>
      <c r="D5897" s="20" t="s">
        <v>20059</v>
      </c>
      <c r="E5897" s="20" t="s">
        <v>20060</v>
      </c>
      <c r="F5897" s="19" t="s">
        <v>27</v>
      </c>
      <c r="G5897" s="19" t="s">
        <v>28</v>
      </c>
      <c r="H5897" s="37" t="s">
        <v>55</v>
      </c>
      <c r="I5897" s="37" t="s">
        <v>29</v>
      </c>
      <c r="J5897" s="155" t="str">
        <f t="shared" si="16"/>
        <v>TT</v>
      </c>
      <c r="K5897" s="22" t="s">
        <v>20061</v>
      </c>
      <c r="L5897" s="56">
        <v>45146</v>
      </c>
      <c r="P5897" s="40"/>
      <c r="Q5897" s="61"/>
      <c r="R5897" s="61"/>
      <c r="S5897" s="40"/>
      <c r="T5897" s="38"/>
      <c r="U5897" s="38"/>
      <c r="V5897" s="38"/>
      <c r="W5897" s="60"/>
      <c r="AB5897" s="42"/>
      <c r="AC5897" s="35"/>
      <c r="AD5897" s="38"/>
      <c r="AE5897" s="38"/>
      <c r="AF5897" s="38"/>
      <c r="AG5897" s="38"/>
      <c r="AH5897" s="60"/>
    </row>
    <row r="5898" spans="1:34" ht="15.75" customHeight="1">
      <c r="A5898" s="114" t="s">
        <v>39</v>
      </c>
      <c r="B5898" s="78" t="s">
        <v>20062</v>
      </c>
      <c r="C5898" s="37" t="s">
        <v>24</v>
      </c>
      <c r="D5898" s="20" t="s">
        <v>20063</v>
      </c>
      <c r="E5898" s="20" t="s">
        <v>20064</v>
      </c>
      <c r="F5898" s="19" t="s">
        <v>27</v>
      </c>
      <c r="G5898" s="19" t="s">
        <v>28</v>
      </c>
      <c r="H5898" s="37" t="s">
        <v>55</v>
      </c>
      <c r="I5898" s="37" t="s">
        <v>29</v>
      </c>
      <c r="J5898" s="155" t="str">
        <f t="shared" si="16"/>
        <v>TT</v>
      </c>
      <c r="K5898" s="22" t="s">
        <v>20065</v>
      </c>
      <c r="L5898" s="56">
        <v>45146</v>
      </c>
      <c r="P5898" s="40"/>
      <c r="Q5898" s="61"/>
      <c r="R5898" s="61"/>
      <c r="S5898" s="40"/>
      <c r="T5898" s="38"/>
      <c r="U5898" s="38"/>
      <c r="V5898" s="38"/>
      <c r="W5898" s="60"/>
      <c r="AB5898" s="42"/>
      <c r="AC5898" s="35"/>
      <c r="AD5898" s="38"/>
      <c r="AE5898" s="38"/>
      <c r="AF5898" s="38"/>
      <c r="AG5898" s="38"/>
      <c r="AH5898" s="60"/>
    </row>
    <row r="5899" spans="1:34" ht="15.75" customHeight="1">
      <c r="A5899" s="38" t="s">
        <v>20051</v>
      </c>
      <c r="B5899" s="78" t="s">
        <v>20066</v>
      </c>
      <c r="C5899" s="37" t="s">
        <v>87</v>
      </c>
      <c r="D5899" s="20" t="s">
        <v>20067</v>
      </c>
      <c r="E5899" s="20" t="s">
        <v>20068</v>
      </c>
      <c r="F5899" s="19" t="s">
        <v>90</v>
      </c>
      <c r="G5899" s="19" t="s">
        <v>91</v>
      </c>
      <c r="H5899" s="37" t="s">
        <v>55</v>
      </c>
      <c r="I5899" s="37" t="s">
        <v>29</v>
      </c>
      <c r="J5899" s="155" t="str">
        <f t="shared" si="16"/>
        <v>TT</v>
      </c>
      <c r="K5899" s="22" t="s">
        <v>20069</v>
      </c>
      <c r="L5899" s="56">
        <v>45146</v>
      </c>
      <c r="P5899" s="40"/>
      <c r="Q5899" s="61"/>
      <c r="R5899" s="61"/>
      <c r="S5899" s="40"/>
      <c r="T5899" s="38"/>
      <c r="U5899" s="38"/>
      <c r="V5899" s="38"/>
      <c r="W5899" s="60"/>
      <c r="AB5899" s="42"/>
      <c r="AC5899" s="35"/>
      <c r="AD5899" s="38"/>
      <c r="AE5899" s="38"/>
      <c r="AF5899" s="38"/>
      <c r="AG5899" s="38"/>
      <c r="AH5899" s="60"/>
    </row>
    <row r="5900" spans="1:34" ht="15.75" customHeight="1">
      <c r="A5900" s="75" t="s">
        <v>12680</v>
      </c>
      <c r="B5900" s="78" t="s">
        <v>20070</v>
      </c>
      <c r="C5900" s="37" t="s">
        <v>1603</v>
      </c>
      <c r="D5900" s="20" t="s">
        <v>20071</v>
      </c>
      <c r="E5900" s="20" t="s">
        <v>20072</v>
      </c>
      <c r="F5900" s="37" t="s">
        <v>20073</v>
      </c>
      <c r="G5900" s="37" t="s">
        <v>1606</v>
      </c>
      <c r="H5900" s="37" t="s">
        <v>55</v>
      </c>
      <c r="I5900" s="37" t="s">
        <v>233</v>
      </c>
      <c r="J5900" s="155" t="s">
        <v>233</v>
      </c>
      <c r="K5900" s="22" t="s">
        <v>20074</v>
      </c>
      <c r="L5900" s="56">
        <v>45146</v>
      </c>
      <c r="P5900" s="40"/>
      <c r="Q5900" s="61"/>
      <c r="R5900" s="61"/>
      <c r="S5900" s="40"/>
      <c r="T5900" s="38"/>
      <c r="U5900" s="38"/>
      <c r="V5900" s="38"/>
      <c r="W5900" s="60"/>
      <c r="AB5900" s="42"/>
      <c r="AC5900" s="35"/>
      <c r="AD5900" s="38"/>
      <c r="AE5900" s="38"/>
      <c r="AF5900" s="38"/>
      <c r="AG5900" s="38"/>
      <c r="AH5900" s="60"/>
    </row>
    <row r="5901" spans="1:34" ht="15.75" customHeight="1">
      <c r="A5901" s="50" t="s">
        <v>56</v>
      </c>
      <c r="B5901" s="78" t="s">
        <v>20075</v>
      </c>
      <c r="C5901" s="37" t="s">
        <v>87</v>
      </c>
      <c r="D5901" s="20" t="s">
        <v>20076</v>
      </c>
      <c r="E5901" s="20" t="s">
        <v>20077</v>
      </c>
      <c r="F5901" s="19" t="s">
        <v>90</v>
      </c>
      <c r="G5901" s="19" t="s">
        <v>91</v>
      </c>
      <c r="H5901" s="37" t="s">
        <v>55</v>
      </c>
      <c r="I5901" s="37" t="s">
        <v>29</v>
      </c>
      <c r="J5901" s="155" t="str">
        <f t="shared" ref="J5901:J5954" si="17">IF(G5901="R","NA",I5901)</f>
        <v>TT</v>
      </c>
      <c r="K5901" s="22" t="s">
        <v>20078</v>
      </c>
      <c r="L5901" s="56">
        <v>45146</v>
      </c>
      <c r="P5901" s="40"/>
      <c r="Q5901" s="61"/>
      <c r="R5901" s="61"/>
      <c r="S5901" s="40"/>
      <c r="T5901" s="38"/>
      <c r="U5901" s="38"/>
      <c r="V5901" s="38"/>
      <c r="W5901" s="60"/>
      <c r="AB5901" s="42"/>
      <c r="AC5901" s="35"/>
      <c r="AD5901" s="38"/>
      <c r="AE5901" s="38"/>
      <c r="AF5901" s="38"/>
      <c r="AG5901" s="38"/>
      <c r="AH5901" s="60"/>
    </row>
    <row r="5902" spans="1:34" ht="15.75" customHeight="1">
      <c r="A5902" s="17">
        <v>42</v>
      </c>
      <c r="B5902" s="78" t="s">
        <v>20079</v>
      </c>
      <c r="C5902" s="37" t="s">
        <v>87</v>
      </c>
      <c r="D5902" s="20" t="s">
        <v>20080</v>
      </c>
      <c r="E5902" s="20" t="s">
        <v>20081</v>
      </c>
      <c r="F5902" s="19" t="s">
        <v>90</v>
      </c>
      <c r="G5902" s="19" t="s">
        <v>91</v>
      </c>
      <c r="H5902" s="37" t="s">
        <v>55</v>
      </c>
      <c r="I5902" s="37" t="s">
        <v>29</v>
      </c>
      <c r="J5902" s="155" t="str">
        <f t="shared" si="17"/>
        <v>TT</v>
      </c>
      <c r="K5902" s="22" t="s">
        <v>20082</v>
      </c>
      <c r="L5902" s="56">
        <v>45146</v>
      </c>
      <c r="P5902" s="40"/>
      <c r="Q5902" s="61"/>
      <c r="R5902" s="61"/>
      <c r="S5902" s="40"/>
      <c r="T5902" s="38"/>
      <c r="U5902" s="38"/>
      <c r="V5902" s="38"/>
      <c r="W5902" s="60"/>
      <c r="AB5902" s="42"/>
      <c r="AC5902" s="35"/>
      <c r="AD5902" s="38"/>
      <c r="AE5902" s="38"/>
      <c r="AF5902" s="38"/>
      <c r="AG5902" s="38"/>
      <c r="AH5902" s="60"/>
    </row>
    <row r="5903" spans="1:34" ht="15.75" customHeight="1">
      <c r="A5903" s="111" t="s">
        <v>64</v>
      </c>
      <c r="B5903" s="78" t="s">
        <v>20083</v>
      </c>
      <c r="C5903" s="37" t="s">
        <v>87</v>
      </c>
      <c r="D5903" s="20" t="s">
        <v>20084</v>
      </c>
      <c r="E5903" s="20" t="s">
        <v>20085</v>
      </c>
      <c r="F5903" s="19" t="s">
        <v>90</v>
      </c>
      <c r="G5903" s="19" t="s">
        <v>91</v>
      </c>
      <c r="H5903" s="37" t="s">
        <v>55</v>
      </c>
      <c r="I5903" s="37" t="s">
        <v>29</v>
      </c>
      <c r="J5903" s="155" t="str">
        <f t="shared" si="17"/>
        <v>TT</v>
      </c>
      <c r="K5903" s="22" t="s">
        <v>20086</v>
      </c>
      <c r="L5903" s="56">
        <v>45146</v>
      </c>
      <c r="P5903" s="40"/>
      <c r="Q5903" s="61"/>
      <c r="R5903" s="61"/>
      <c r="S5903" s="40"/>
      <c r="T5903" s="38"/>
      <c r="U5903" s="38"/>
      <c r="V5903" s="38"/>
      <c r="W5903" s="60"/>
      <c r="AB5903" s="42"/>
      <c r="AC5903" s="35"/>
      <c r="AD5903" s="38"/>
      <c r="AE5903" s="38"/>
      <c r="AF5903" s="38"/>
      <c r="AG5903" s="38"/>
      <c r="AH5903" s="60"/>
    </row>
    <row r="5904" spans="1:34" ht="15.75" customHeight="1">
      <c r="A5904" s="75">
        <v>2.1</v>
      </c>
      <c r="B5904" s="78" t="s">
        <v>20087</v>
      </c>
      <c r="C5904" s="143" t="s">
        <v>46</v>
      </c>
      <c r="D5904" s="20" t="s">
        <v>20088</v>
      </c>
      <c r="E5904" s="20" t="s">
        <v>20089</v>
      </c>
      <c r="F5904" s="37" t="s">
        <v>49</v>
      </c>
      <c r="G5904" s="19" t="s">
        <v>50</v>
      </c>
      <c r="H5904" s="37" t="s">
        <v>55</v>
      </c>
      <c r="I5904" s="37" t="s">
        <v>29</v>
      </c>
      <c r="J5904" s="155" t="str">
        <f t="shared" si="17"/>
        <v>TT</v>
      </c>
      <c r="K5904" s="22" t="s">
        <v>20090</v>
      </c>
      <c r="L5904" s="56">
        <v>45146</v>
      </c>
      <c r="P5904" s="40"/>
      <c r="Q5904" s="61"/>
      <c r="R5904" s="61"/>
      <c r="S5904" s="40"/>
      <c r="T5904" s="38"/>
      <c r="U5904" s="38"/>
      <c r="V5904" s="38"/>
      <c r="W5904" s="60"/>
      <c r="AB5904" s="42"/>
      <c r="AC5904" s="35"/>
      <c r="AD5904" s="38"/>
      <c r="AE5904" s="38"/>
      <c r="AF5904" s="38"/>
      <c r="AG5904" s="38"/>
      <c r="AH5904" s="60"/>
    </row>
    <row r="5905" spans="1:34" ht="15.75" customHeight="1">
      <c r="A5905" s="111" t="s">
        <v>73</v>
      </c>
      <c r="B5905" s="78" t="s">
        <v>20091</v>
      </c>
      <c r="C5905" s="37" t="s">
        <v>87</v>
      </c>
      <c r="D5905" s="20" t="s">
        <v>20092</v>
      </c>
      <c r="E5905" s="20" t="s">
        <v>20093</v>
      </c>
      <c r="F5905" s="19" t="s">
        <v>90</v>
      </c>
      <c r="G5905" s="19" t="s">
        <v>91</v>
      </c>
      <c r="H5905" s="37" t="s">
        <v>55</v>
      </c>
      <c r="I5905" s="37" t="s">
        <v>29</v>
      </c>
      <c r="J5905" s="155" t="str">
        <f t="shared" si="17"/>
        <v>TT</v>
      </c>
      <c r="K5905" s="22" t="s">
        <v>20094</v>
      </c>
      <c r="L5905" s="56">
        <v>45146</v>
      </c>
      <c r="P5905" s="40"/>
      <c r="Q5905" s="61"/>
      <c r="R5905" s="61"/>
      <c r="S5905" s="40"/>
      <c r="T5905" s="38"/>
      <c r="U5905" s="38"/>
      <c r="V5905" s="38"/>
      <c r="W5905" s="60"/>
      <c r="AB5905" s="42"/>
      <c r="AC5905" s="35"/>
      <c r="AD5905" s="38"/>
      <c r="AE5905" s="38"/>
      <c r="AF5905" s="38"/>
      <c r="AG5905" s="38"/>
      <c r="AH5905" s="60"/>
    </row>
    <row r="5906" spans="1:34" ht="15.75" customHeight="1">
      <c r="A5906" s="75">
        <v>2.7</v>
      </c>
      <c r="B5906" s="78" t="s">
        <v>20095</v>
      </c>
      <c r="C5906" s="37" t="s">
        <v>87</v>
      </c>
      <c r="D5906" s="20" t="s">
        <v>20096</v>
      </c>
      <c r="E5906" s="20" t="s">
        <v>20097</v>
      </c>
      <c r="F5906" s="19" t="s">
        <v>90</v>
      </c>
      <c r="G5906" s="19" t="s">
        <v>91</v>
      </c>
      <c r="H5906" s="37" t="s">
        <v>55</v>
      </c>
      <c r="I5906" s="37" t="s">
        <v>29</v>
      </c>
      <c r="J5906" s="155" t="str">
        <f t="shared" si="17"/>
        <v>TT</v>
      </c>
      <c r="K5906" s="22" t="s">
        <v>20098</v>
      </c>
      <c r="L5906" s="56">
        <v>45146</v>
      </c>
      <c r="P5906" s="40"/>
      <c r="Q5906" s="61"/>
      <c r="R5906" s="61"/>
      <c r="S5906" s="40"/>
      <c r="T5906" s="38"/>
      <c r="U5906" s="38"/>
      <c r="V5906" s="38"/>
      <c r="W5906" s="60"/>
      <c r="AB5906" s="42"/>
      <c r="AC5906" s="35"/>
      <c r="AD5906" s="38"/>
      <c r="AE5906" s="38"/>
      <c r="AF5906" s="38"/>
      <c r="AG5906" s="38"/>
      <c r="AH5906" s="60"/>
    </row>
    <row r="5907" spans="1:34" ht="15.75" customHeight="1">
      <c r="A5907" s="111" t="s">
        <v>82</v>
      </c>
      <c r="B5907" s="78" t="s">
        <v>20099</v>
      </c>
      <c r="C5907" s="37" t="s">
        <v>24</v>
      </c>
      <c r="D5907" s="20" t="s">
        <v>20100</v>
      </c>
      <c r="E5907" s="20" t="s">
        <v>20101</v>
      </c>
      <c r="F5907" s="19" t="s">
        <v>27</v>
      </c>
      <c r="G5907" s="19" t="s">
        <v>28</v>
      </c>
      <c r="H5907" s="37" t="s">
        <v>55</v>
      </c>
      <c r="I5907" s="37" t="s">
        <v>29</v>
      </c>
      <c r="J5907" s="155" t="str">
        <f t="shared" si="17"/>
        <v>TT</v>
      </c>
      <c r="K5907" s="22" t="s">
        <v>20102</v>
      </c>
      <c r="L5907" s="56">
        <v>45146</v>
      </c>
      <c r="P5907" s="40"/>
      <c r="Q5907" s="61"/>
      <c r="R5907" s="61"/>
      <c r="S5907" s="40"/>
      <c r="T5907" s="38"/>
      <c r="U5907" s="38"/>
      <c r="V5907" s="38"/>
      <c r="W5907" s="60"/>
      <c r="AB5907" s="42"/>
      <c r="AC5907" s="35"/>
      <c r="AD5907" s="38"/>
      <c r="AE5907" s="38"/>
      <c r="AF5907" s="38"/>
      <c r="AG5907" s="38"/>
      <c r="AH5907" s="60"/>
    </row>
    <row r="5908" spans="1:34" ht="15.75" customHeight="1">
      <c r="A5908" s="75" t="s">
        <v>20103</v>
      </c>
      <c r="B5908" s="38"/>
      <c r="C5908" s="37"/>
      <c r="D5908" s="20"/>
      <c r="E5908" s="20"/>
      <c r="F5908" s="37"/>
      <c r="G5908" s="37"/>
      <c r="H5908" s="37"/>
      <c r="I5908" s="37"/>
      <c r="J5908" s="155">
        <f t="shared" si="17"/>
        <v>0</v>
      </c>
      <c r="K5908" s="22"/>
      <c r="L5908" s="56"/>
      <c r="P5908" s="40"/>
      <c r="Q5908" s="61"/>
      <c r="R5908" s="61"/>
      <c r="S5908" s="40"/>
      <c r="T5908" s="38"/>
      <c r="U5908" s="38"/>
      <c r="V5908" s="38"/>
      <c r="W5908" s="60"/>
      <c r="AB5908" s="42"/>
      <c r="AC5908" s="35"/>
      <c r="AD5908" s="38"/>
      <c r="AE5908" s="38"/>
      <c r="AF5908" s="38"/>
      <c r="AG5908" s="38"/>
      <c r="AH5908" s="60"/>
    </row>
    <row r="5909" spans="1:34" ht="15.75" customHeight="1">
      <c r="A5909" s="111" t="s">
        <v>92</v>
      </c>
      <c r="B5909" s="38"/>
      <c r="C5909" s="37"/>
      <c r="D5909" s="20"/>
      <c r="E5909" s="20"/>
      <c r="F5909" s="37"/>
      <c r="G5909" s="37"/>
      <c r="H5909" s="37"/>
      <c r="I5909" s="37"/>
      <c r="J5909" s="155">
        <f t="shared" si="17"/>
        <v>0</v>
      </c>
      <c r="K5909" s="22"/>
      <c r="L5909" s="56"/>
      <c r="P5909" s="40"/>
      <c r="Q5909" s="61"/>
      <c r="R5909" s="61"/>
      <c r="S5909" s="40"/>
      <c r="T5909" s="38"/>
      <c r="U5909" s="38"/>
      <c r="V5909" s="38"/>
      <c r="W5909" s="60"/>
      <c r="AB5909" s="42"/>
      <c r="AC5909" s="35"/>
      <c r="AD5909" s="38"/>
      <c r="AE5909" s="38"/>
      <c r="AF5909" s="38"/>
      <c r="AG5909" s="38"/>
      <c r="AH5909" s="60"/>
    </row>
    <row r="5910" spans="1:34" ht="15.75" customHeight="1">
      <c r="A5910" s="112">
        <v>138</v>
      </c>
      <c r="B5910" s="38"/>
      <c r="C5910" s="37"/>
      <c r="D5910" s="20"/>
      <c r="E5910" s="20"/>
      <c r="F5910" s="37"/>
      <c r="G5910" s="37"/>
      <c r="H5910" s="37"/>
      <c r="I5910" s="37"/>
      <c r="J5910" s="155">
        <f t="shared" si="17"/>
        <v>0</v>
      </c>
      <c r="K5910" s="22"/>
      <c r="L5910" s="56"/>
      <c r="P5910" s="40"/>
      <c r="Q5910" s="61"/>
      <c r="R5910" s="61"/>
      <c r="S5910" s="40"/>
      <c r="T5910" s="38"/>
      <c r="U5910" s="38"/>
      <c r="V5910" s="38"/>
      <c r="W5910" s="60"/>
      <c r="AB5910" s="42"/>
      <c r="AC5910" s="35"/>
      <c r="AD5910" s="38"/>
      <c r="AE5910" s="38"/>
      <c r="AF5910" s="38"/>
      <c r="AG5910" s="38"/>
      <c r="AH5910" s="60"/>
    </row>
    <row r="5911" spans="1:34" ht="15.75" customHeight="1">
      <c r="A5911" s="111" t="s">
        <v>100</v>
      </c>
      <c r="B5911" s="38"/>
      <c r="C5911" s="37"/>
      <c r="D5911" s="20"/>
      <c r="E5911" s="20"/>
      <c r="F5911" s="37"/>
      <c r="G5911" s="37"/>
      <c r="H5911" s="37"/>
      <c r="I5911" s="37"/>
      <c r="J5911" s="155">
        <f t="shared" si="17"/>
        <v>0</v>
      </c>
      <c r="K5911" s="22"/>
      <c r="L5911" s="56"/>
      <c r="P5911" s="40"/>
      <c r="Q5911" s="61"/>
      <c r="R5911" s="61"/>
      <c r="S5911" s="40"/>
      <c r="T5911" s="38"/>
      <c r="U5911" s="38"/>
      <c r="V5911" s="38"/>
      <c r="W5911" s="60"/>
      <c r="AB5911" s="42"/>
      <c r="AC5911" s="35"/>
      <c r="AD5911" s="38"/>
      <c r="AE5911" s="38"/>
      <c r="AF5911" s="38"/>
      <c r="AG5911" s="38"/>
      <c r="AH5911" s="60"/>
    </row>
    <row r="5912" spans="1:34" ht="15.75" customHeight="1">
      <c r="A5912" s="75">
        <v>154</v>
      </c>
      <c r="B5912" s="38"/>
      <c r="C5912" s="37"/>
      <c r="D5912" s="20"/>
      <c r="E5912" s="20"/>
      <c r="F5912" s="37"/>
      <c r="G5912" s="37"/>
      <c r="H5912" s="37"/>
      <c r="I5912" s="37"/>
      <c r="J5912" s="155">
        <f t="shared" si="17"/>
        <v>0</v>
      </c>
      <c r="K5912" s="22"/>
      <c r="L5912" s="56"/>
      <c r="P5912" s="40"/>
      <c r="Q5912" s="61"/>
      <c r="R5912" s="61"/>
      <c r="S5912" s="40"/>
      <c r="T5912" s="38"/>
      <c r="U5912" s="38"/>
      <c r="V5912" s="38"/>
      <c r="W5912" s="60"/>
      <c r="AB5912" s="42"/>
      <c r="AC5912" s="35"/>
      <c r="AD5912" s="38"/>
      <c r="AE5912" s="38"/>
      <c r="AF5912" s="38"/>
      <c r="AG5912" s="38"/>
      <c r="AH5912" s="60"/>
    </row>
    <row r="5913" spans="1:34" ht="15.75" customHeight="1">
      <c r="A5913" s="35"/>
      <c r="B5913" s="38"/>
      <c r="C5913" s="37"/>
      <c r="D5913" s="20"/>
      <c r="E5913" s="20"/>
      <c r="F5913" s="37"/>
      <c r="G5913" s="37"/>
      <c r="H5913" s="37"/>
      <c r="I5913" s="37"/>
      <c r="J5913" s="155">
        <f t="shared" si="17"/>
        <v>0</v>
      </c>
      <c r="K5913" s="22"/>
      <c r="L5913" s="56"/>
      <c r="P5913" s="40"/>
      <c r="Q5913" s="61"/>
      <c r="R5913" s="61"/>
      <c r="S5913" s="40"/>
      <c r="T5913" s="38"/>
      <c r="U5913" s="38"/>
      <c r="V5913" s="38"/>
      <c r="W5913" s="60"/>
      <c r="AB5913" s="42"/>
      <c r="AC5913" s="35"/>
      <c r="AD5913" s="38"/>
      <c r="AE5913" s="38"/>
      <c r="AF5913" s="38"/>
      <c r="AG5913" s="38"/>
      <c r="AH5913" s="60"/>
    </row>
    <row r="5914" spans="1:34" ht="15.75" customHeight="1">
      <c r="A5914" s="35" t="s">
        <v>20104</v>
      </c>
      <c r="B5914" s="81" t="s">
        <v>20105</v>
      </c>
      <c r="C5914" s="37" t="s">
        <v>24</v>
      </c>
      <c r="D5914" s="20" t="s">
        <v>20106</v>
      </c>
      <c r="E5914" s="20" t="s">
        <v>20107</v>
      </c>
      <c r="F5914" s="19" t="s">
        <v>27</v>
      </c>
      <c r="G5914" s="19" t="s">
        <v>28</v>
      </c>
      <c r="H5914" s="37" t="s">
        <v>55</v>
      </c>
      <c r="I5914" s="37" t="s">
        <v>29</v>
      </c>
      <c r="J5914" s="155" t="str">
        <f t="shared" si="17"/>
        <v>TT</v>
      </c>
      <c r="K5914" s="22" t="s">
        <v>20108</v>
      </c>
      <c r="L5914" s="56">
        <v>45146</v>
      </c>
      <c r="M5914" s="40"/>
      <c r="P5914" s="40"/>
      <c r="Q5914" s="61"/>
      <c r="R5914" s="61"/>
      <c r="S5914" s="40"/>
      <c r="T5914" s="38"/>
      <c r="U5914" s="38"/>
      <c r="V5914" s="38"/>
      <c r="W5914" s="60"/>
      <c r="AB5914" s="42"/>
      <c r="AC5914" s="35"/>
      <c r="AD5914" s="38"/>
      <c r="AE5914" s="38"/>
      <c r="AF5914" s="38"/>
      <c r="AG5914" s="38"/>
      <c r="AH5914" s="60"/>
    </row>
    <row r="5915" spans="1:34" ht="15.75" customHeight="1">
      <c r="A5915" s="54" t="s">
        <v>2714</v>
      </c>
      <c r="B5915" s="78" t="s">
        <v>20109</v>
      </c>
      <c r="C5915" s="37" t="s">
        <v>24</v>
      </c>
      <c r="D5915" s="20" t="s">
        <v>20110</v>
      </c>
      <c r="E5915" s="20" t="s">
        <v>20111</v>
      </c>
      <c r="F5915" s="19" t="s">
        <v>27</v>
      </c>
      <c r="G5915" s="19" t="s">
        <v>28</v>
      </c>
      <c r="H5915" s="37" t="s">
        <v>55</v>
      </c>
      <c r="I5915" s="37" t="s">
        <v>29</v>
      </c>
      <c r="J5915" s="155" t="str">
        <f t="shared" si="17"/>
        <v>TT</v>
      </c>
      <c r="K5915" s="22" t="s">
        <v>20112</v>
      </c>
      <c r="L5915" s="56">
        <v>45146</v>
      </c>
      <c r="P5915" s="40"/>
      <c r="Q5915" s="61"/>
      <c r="R5915" s="61"/>
      <c r="S5915" s="40"/>
      <c r="T5915" s="38"/>
      <c r="U5915" s="38"/>
      <c r="V5915" s="38"/>
      <c r="W5915" s="60"/>
      <c r="AB5915" s="42"/>
      <c r="AC5915" s="35"/>
      <c r="AD5915" s="38"/>
      <c r="AE5915" s="38"/>
      <c r="AF5915" s="38"/>
      <c r="AG5915" s="38"/>
      <c r="AH5915" s="60"/>
    </row>
    <row r="5916" spans="1:34" ht="15.75" customHeight="1">
      <c r="A5916" s="114" t="s">
        <v>39</v>
      </c>
      <c r="B5916" s="38" t="s">
        <v>20113</v>
      </c>
      <c r="C5916" s="143" t="s">
        <v>46</v>
      </c>
      <c r="D5916" s="20" t="s">
        <v>20114</v>
      </c>
      <c r="E5916" s="20"/>
      <c r="F5916" s="37" t="s">
        <v>49</v>
      </c>
      <c r="G5916" s="19" t="s">
        <v>50</v>
      </c>
      <c r="H5916" s="37" t="s">
        <v>55</v>
      </c>
      <c r="I5916" s="37" t="s">
        <v>29</v>
      </c>
      <c r="J5916" s="155" t="str">
        <f t="shared" si="17"/>
        <v>TT</v>
      </c>
      <c r="K5916" s="22"/>
      <c r="L5916" s="56">
        <v>45146</v>
      </c>
      <c r="P5916" s="40"/>
      <c r="Q5916" s="61"/>
      <c r="R5916" s="61"/>
      <c r="S5916" s="40"/>
      <c r="T5916" s="38"/>
      <c r="U5916" s="38"/>
      <c r="V5916" s="38"/>
      <c r="W5916" s="60"/>
      <c r="AB5916" s="42"/>
      <c r="AC5916" s="35"/>
      <c r="AD5916" s="38"/>
      <c r="AE5916" s="38"/>
      <c r="AF5916" s="38"/>
      <c r="AG5916" s="38"/>
      <c r="AH5916" s="60"/>
    </row>
    <row r="5917" spans="1:34" ht="15.75" customHeight="1">
      <c r="A5917" s="38" t="s">
        <v>20051</v>
      </c>
      <c r="B5917" s="78" t="s">
        <v>20115</v>
      </c>
      <c r="C5917" s="37" t="s">
        <v>87</v>
      </c>
      <c r="D5917" s="20" t="s">
        <v>20116</v>
      </c>
      <c r="E5917" s="20" t="s">
        <v>20117</v>
      </c>
      <c r="F5917" s="19" t="s">
        <v>90</v>
      </c>
      <c r="G5917" s="19" t="s">
        <v>91</v>
      </c>
      <c r="H5917" s="37" t="s">
        <v>55</v>
      </c>
      <c r="I5917" s="37" t="s">
        <v>29</v>
      </c>
      <c r="J5917" s="155" t="str">
        <f t="shared" si="17"/>
        <v>TT</v>
      </c>
      <c r="K5917" s="22" t="s">
        <v>20118</v>
      </c>
      <c r="L5917" s="56">
        <v>45146</v>
      </c>
      <c r="P5917" s="40"/>
      <c r="Q5917" s="61"/>
      <c r="R5917" s="61"/>
      <c r="S5917" s="40"/>
      <c r="T5917" s="38"/>
      <c r="U5917" s="38"/>
      <c r="V5917" s="38"/>
      <c r="W5917" s="60"/>
      <c r="AB5917" s="42"/>
      <c r="AC5917" s="35"/>
      <c r="AD5917" s="38"/>
      <c r="AE5917" s="38"/>
      <c r="AF5917" s="38"/>
      <c r="AG5917" s="38"/>
      <c r="AH5917" s="60"/>
    </row>
    <row r="5918" spans="1:34" ht="15.75" customHeight="1">
      <c r="A5918" s="75" t="s">
        <v>18646</v>
      </c>
      <c r="B5918" s="57" t="s">
        <v>20119</v>
      </c>
      <c r="C5918" s="37" t="s">
        <v>87</v>
      </c>
      <c r="D5918" s="20" t="s">
        <v>20120</v>
      </c>
      <c r="E5918" s="20"/>
      <c r="F5918" s="37" t="s">
        <v>49</v>
      </c>
      <c r="G5918" s="19" t="s">
        <v>50</v>
      </c>
      <c r="H5918" s="37" t="s">
        <v>55</v>
      </c>
      <c r="I5918" s="37" t="s">
        <v>29</v>
      </c>
      <c r="J5918" s="155" t="str">
        <f t="shared" si="17"/>
        <v>TT</v>
      </c>
      <c r="K5918" s="22"/>
      <c r="L5918" s="56">
        <v>45146</v>
      </c>
      <c r="P5918" s="40"/>
      <c r="Q5918" s="61"/>
      <c r="R5918" s="61"/>
      <c r="S5918" s="40"/>
      <c r="T5918" s="38"/>
      <c r="U5918" s="38"/>
      <c r="V5918" s="38"/>
      <c r="W5918" s="60"/>
      <c r="AB5918" s="42"/>
      <c r="AC5918" s="35"/>
      <c r="AD5918" s="38"/>
      <c r="AE5918" s="38"/>
      <c r="AF5918" s="38"/>
      <c r="AG5918" s="38"/>
      <c r="AH5918" s="60"/>
    </row>
    <row r="5919" spans="1:34" ht="15.75" customHeight="1">
      <c r="A5919" s="50" t="s">
        <v>56</v>
      </c>
      <c r="B5919" s="78" t="s">
        <v>20121</v>
      </c>
      <c r="C5919" s="143" t="s">
        <v>46</v>
      </c>
      <c r="D5919" s="20" t="s">
        <v>20122</v>
      </c>
      <c r="E5919" s="20" t="s">
        <v>20123</v>
      </c>
      <c r="F5919" s="37" t="s">
        <v>49</v>
      </c>
      <c r="G5919" s="19" t="s">
        <v>50</v>
      </c>
      <c r="H5919" s="37" t="s">
        <v>55</v>
      </c>
      <c r="I5919" s="37" t="s">
        <v>29</v>
      </c>
      <c r="J5919" s="155" t="str">
        <f t="shared" si="17"/>
        <v>TT</v>
      </c>
      <c r="K5919" s="22" t="s">
        <v>20124</v>
      </c>
      <c r="L5919" s="56">
        <v>45146</v>
      </c>
      <c r="P5919" s="40"/>
      <c r="Q5919" s="61"/>
      <c r="R5919" s="61"/>
      <c r="S5919" s="40"/>
      <c r="T5919" s="38"/>
      <c r="U5919" s="38"/>
      <c r="V5919" s="38"/>
      <c r="W5919" s="60"/>
      <c r="AB5919" s="42"/>
      <c r="AC5919" s="35"/>
      <c r="AD5919" s="38"/>
      <c r="AE5919" s="38"/>
      <c r="AF5919" s="38"/>
      <c r="AG5919" s="38"/>
      <c r="AH5919" s="60"/>
    </row>
    <row r="5920" spans="1:34" ht="15.75" customHeight="1">
      <c r="A5920" s="17" t="s">
        <v>18655</v>
      </c>
      <c r="B5920" s="38" t="s">
        <v>20125</v>
      </c>
      <c r="C5920" s="143" t="s">
        <v>46</v>
      </c>
      <c r="D5920" s="20" t="s">
        <v>20126</v>
      </c>
      <c r="E5920" s="20"/>
      <c r="F5920" s="37" t="s">
        <v>49</v>
      </c>
      <c r="G5920" s="19" t="s">
        <v>50</v>
      </c>
      <c r="H5920" s="37" t="s">
        <v>55</v>
      </c>
      <c r="I5920" s="37" t="s">
        <v>29</v>
      </c>
      <c r="J5920" s="155" t="str">
        <f t="shared" si="17"/>
        <v>TT</v>
      </c>
      <c r="K5920" s="22"/>
      <c r="L5920" s="56">
        <v>45146</v>
      </c>
      <c r="P5920" s="40"/>
      <c r="Q5920" s="61"/>
      <c r="R5920" s="61"/>
      <c r="S5920" s="40"/>
      <c r="T5920" s="38"/>
      <c r="U5920" s="38"/>
      <c r="V5920" s="38"/>
      <c r="W5920" s="60"/>
      <c r="AB5920" s="42"/>
      <c r="AC5920" s="35"/>
      <c r="AD5920" s="38"/>
      <c r="AE5920" s="38"/>
      <c r="AF5920" s="38"/>
      <c r="AG5920" s="38"/>
      <c r="AH5920" s="60"/>
    </row>
    <row r="5921" spans="1:34" ht="15.75" customHeight="1">
      <c r="A5921" s="111" t="s">
        <v>64</v>
      </c>
      <c r="B5921" s="78" t="s">
        <v>20127</v>
      </c>
      <c r="C5921" s="37" t="s">
        <v>24</v>
      </c>
      <c r="D5921" s="20" t="s">
        <v>20128</v>
      </c>
      <c r="E5921" s="20" t="s">
        <v>20129</v>
      </c>
      <c r="F5921" s="19" t="s">
        <v>27</v>
      </c>
      <c r="G5921" s="19" t="s">
        <v>28</v>
      </c>
      <c r="H5921" s="37" t="s">
        <v>55</v>
      </c>
      <c r="I5921" s="37" t="s">
        <v>29</v>
      </c>
      <c r="J5921" s="155" t="str">
        <f t="shared" si="17"/>
        <v>TT</v>
      </c>
      <c r="K5921" s="22" t="s">
        <v>20130</v>
      </c>
      <c r="L5921" s="56">
        <v>45146</v>
      </c>
      <c r="P5921" s="40"/>
      <c r="Q5921" s="61"/>
      <c r="R5921" s="61"/>
      <c r="S5921" s="40"/>
      <c r="T5921" s="38"/>
      <c r="U5921" s="38"/>
      <c r="V5921" s="38"/>
      <c r="W5921" s="60"/>
      <c r="AB5921" s="42"/>
      <c r="AC5921" s="35"/>
      <c r="AD5921" s="38"/>
      <c r="AE5921" s="38"/>
      <c r="AF5921" s="38"/>
      <c r="AG5921" s="38"/>
      <c r="AH5921" s="60"/>
    </row>
    <row r="5922" spans="1:34" ht="15.75" customHeight="1">
      <c r="A5922" s="75">
        <v>1.8</v>
      </c>
      <c r="B5922" s="78" t="s">
        <v>20131</v>
      </c>
      <c r="C5922" s="37" t="s">
        <v>24</v>
      </c>
      <c r="D5922" s="20" t="s">
        <v>20132</v>
      </c>
      <c r="E5922" s="20" t="s">
        <v>20133</v>
      </c>
      <c r="F5922" s="19" t="s">
        <v>27</v>
      </c>
      <c r="G5922" s="19" t="s">
        <v>28</v>
      </c>
      <c r="H5922" s="37" t="s">
        <v>55</v>
      </c>
      <c r="I5922" s="37" t="s">
        <v>29</v>
      </c>
      <c r="J5922" s="155" t="str">
        <f t="shared" si="17"/>
        <v>TT</v>
      </c>
      <c r="K5922" s="22" t="s">
        <v>20134</v>
      </c>
      <c r="L5922" s="56">
        <v>45146</v>
      </c>
      <c r="P5922" s="40"/>
      <c r="Q5922" s="61"/>
      <c r="R5922" s="61"/>
      <c r="S5922" s="40"/>
      <c r="T5922" s="38"/>
      <c r="U5922" s="38"/>
      <c r="V5922" s="38"/>
      <c r="W5922" s="60"/>
      <c r="AB5922" s="42"/>
      <c r="AC5922" s="35"/>
      <c r="AD5922" s="38"/>
      <c r="AE5922" s="38"/>
      <c r="AF5922" s="38"/>
      <c r="AG5922" s="38"/>
      <c r="AH5922" s="60"/>
    </row>
    <row r="5923" spans="1:34" ht="15.75" customHeight="1">
      <c r="A5923" s="111" t="s">
        <v>73</v>
      </c>
      <c r="B5923" s="78" t="s">
        <v>20135</v>
      </c>
      <c r="C5923" s="37" t="s">
        <v>24</v>
      </c>
      <c r="D5923" s="20" t="s">
        <v>20136</v>
      </c>
      <c r="E5923" s="20" t="s">
        <v>20137</v>
      </c>
      <c r="F5923" s="19" t="s">
        <v>27</v>
      </c>
      <c r="G5923" s="19" t="s">
        <v>28</v>
      </c>
      <c r="H5923" s="37" t="s">
        <v>55</v>
      </c>
      <c r="I5923" s="37" t="s">
        <v>29</v>
      </c>
      <c r="J5923" s="155" t="str">
        <f t="shared" si="17"/>
        <v>TT</v>
      </c>
      <c r="K5923" s="22" t="s">
        <v>20138</v>
      </c>
      <c r="L5923" s="56">
        <v>45146</v>
      </c>
      <c r="P5923" s="40"/>
      <c r="Q5923" s="61"/>
      <c r="R5923" s="61"/>
      <c r="S5923" s="40"/>
      <c r="T5923" s="38"/>
      <c r="U5923" s="38"/>
      <c r="V5923" s="38"/>
      <c r="W5923" s="60"/>
      <c r="AB5923" s="42"/>
      <c r="AC5923" s="35"/>
      <c r="AD5923" s="38"/>
      <c r="AE5923" s="38"/>
      <c r="AF5923" s="38"/>
      <c r="AG5923" s="38"/>
      <c r="AH5923" s="60"/>
    </row>
    <row r="5924" spans="1:34" ht="15.75" customHeight="1">
      <c r="A5924" s="75">
        <v>2.4</v>
      </c>
      <c r="B5924" s="78" t="s">
        <v>20139</v>
      </c>
      <c r="C5924" s="37" t="s">
        <v>87</v>
      </c>
      <c r="D5924" s="20" t="s">
        <v>20140</v>
      </c>
      <c r="E5924" s="20" t="s">
        <v>20141</v>
      </c>
      <c r="F5924" s="19" t="s">
        <v>90</v>
      </c>
      <c r="G5924" s="19" t="s">
        <v>91</v>
      </c>
      <c r="H5924" s="37" t="s">
        <v>55</v>
      </c>
      <c r="I5924" s="37" t="s">
        <v>29</v>
      </c>
      <c r="J5924" s="155" t="str">
        <f t="shared" si="17"/>
        <v>TT</v>
      </c>
      <c r="K5924" s="22" t="s">
        <v>20142</v>
      </c>
      <c r="L5924" s="56">
        <v>45146</v>
      </c>
      <c r="P5924" s="40"/>
      <c r="Q5924" s="61"/>
      <c r="R5924" s="61"/>
      <c r="S5924" s="40"/>
      <c r="T5924" s="38"/>
      <c r="U5924" s="38"/>
      <c r="V5924" s="38"/>
      <c r="W5924" s="60"/>
      <c r="AB5924" s="42"/>
      <c r="AC5924" s="35"/>
      <c r="AD5924" s="38"/>
      <c r="AE5924" s="38"/>
      <c r="AF5924" s="38"/>
      <c r="AG5924" s="38"/>
      <c r="AH5924" s="60"/>
    </row>
    <row r="5925" spans="1:34" ht="15.75" customHeight="1">
      <c r="A5925" s="111" t="s">
        <v>82</v>
      </c>
      <c r="B5925" s="78" t="s">
        <v>20143</v>
      </c>
      <c r="C5925" s="37" t="s">
        <v>87</v>
      </c>
      <c r="D5925" s="20" t="s">
        <v>20144</v>
      </c>
      <c r="E5925" s="20" t="s">
        <v>20145</v>
      </c>
      <c r="F5925" s="19" t="s">
        <v>90</v>
      </c>
      <c r="G5925" s="19" t="s">
        <v>91</v>
      </c>
      <c r="H5925" s="37" t="s">
        <v>55</v>
      </c>
      <c r="I5925" s="37" t="s">
        <v>29</v>
      </c>
      <c r="J5925" s="155" t="str">
        <f t="shared" si="17"/>
        <v>TT</v>
      </c>
      <c r="K5925" s="22" t="s">
        <v>20146</v>
      </c>
      <c r="L5925" s="56">
        <v>45146</v>
      </c>
      <c r="P5925" s="40"/>
      <c r="Q5925" s="61"/>
      <c r="R5925" s="61"/>
      <c r="S5925" s="40"/>
      <c r="T5925" s="38"/>
      <c r="U5925" s="38"/>
      <c r="V5925" s="38"/>
      <c r="W5925" s="60"/>
      <c r="AB5925" s="42"/>
      <c r="AC5925" s="35"/>
      <c r="AD5925" s="38"/>
      <c r="AE5925" s="38"/>
      <c r="AF5925" s="38"/>
      <c r="AG5925" s="38"/>
      <c r="AH5925" s="60"/>
    </row>
    <row r="5926" spans="1:34" ht="15.75" customHeight="1">
      <c r="A5926" s="75" t="s">
        <v>20147</v>
      </c>
      <c r="B5926" s="78" t="s">
        <v>20148</v>
      </c>
      <c r="C5926" s="37" t="s">
        <v>87</v>
      </c>
      <c r="D5926" s="20" t="s">
        <v>20149</v>
      </c>
      <c r="E5926" s="20" t="s">
        <v>20150</v>
      </c>
      <c r="F5926" s="19" t="s">
        <v>90</v>
      </c>
      <c r="G5926" s="19" t="s">
        <v>91</v>
      </c>
      <c r="H5926" s="37" t="s">
        <v>55</v>
      </c>
      <c r="I5926" s="37" t="s">
        <v>29</v>
      </c>
      <c r="J5926" s="155" t="str">
        <f t="shared" si="17"/>
        <v>TT</v>
      </c>
      <c r="K5926" s="22" t="s">
        <v>20151</v>
      </c>
      <c r="L5926" s="56">
        <v>45146</v>
      </c>
      <c r="P5926" s="40"/>
      <c r="Q5926" s="61"/>
      <c r="R5926" s="61"/>
      <c r="S5926" s="40"/>
      <c r="T5926" s="38"/>
      <c r="U5926" s="38"/>
      <c r="V5926" s="38"/>
      <c r="W5926" s="60"/>
      <c r="AB5926" s="42"/>
      <c r="AC5926" s="35"/>
      <c r="AD5926" s="38"/>
      <c r="AE5926" s="38"/>
      <c r="AF5926" s="38"/>
      <c r="AG5926" s="38"/>
      <c r="AH5926" s="60"/>
    </row>
    <row r="5927" spans="1:34" ht="15.75" customHeight="1">
      <c r="A5927" s="111" t="s">
        <v>92</v>
      </c>
      <c r="B5927" s="78" t="s">
        <v>20152</v>
      </c>
      <c r="C5927" s="143" t="s">
        <v>46</v>
      </c>
      <c r="D5927" s="20" t="s">
        <v>20153</v>
      </c>
      <c r="E5927" s="20" t="s">
        <v>20154</v>
      </c>
      <c r="F5927" s="37" t="s">
        <v>49</v>
      </c>
      <c r="G5927" s="19" t="s">
        <v>50</v>
      </c>
      <c r="H5927" s="37" t="s">
        <v>55</v>
      </c>
      <c r="I5927" s="37" t="s">
        <v>29</v>
      </c>
      <c r="J5927" s="155" t="str">
        <f t="shared" si="17"/>
        <v>TT</v>
      </c>
      <c r="K5927" s="22" t="s">
        <v>20155</v>
      </c>
      <c r="L5927" s="56">
        <v>45146</v>
      </c>
      <c r="P5927" s="40"/>
      <c r="Q5927" s="61"/>
      <c r="R5927" s="61"/>
      <c r="S5927" s="40"/>
      <c r="T5927" s="38"/>
      <c r="U5927" s="38"/>
      <c r="V5927" s="38"/>
      <c r="W5927" s="60"/>
      <c r="AB5927" s="42"/>
      <c r="AC5927" s="35"/>
      <c r="AD5927" s="38"/>
      <c r="AE5927" s="38"/>
      <c r="AF5927" s="38"/>
      <c r="AG5927" s="38"/>
      <c r="AH5927" s="60"/>
    </row>
    <row r="5928" spans="1:34" ht="15.75" customHeight="1">
      <c r="A5928" s="112">
        <v>311</v>
      </c>
      <c r="B5928" s="78" t="s">
        <v>20156</v>
      </c>
      <c r="C5928" s="37" t="s">
        <v>24</v>
      </c>
      <c r="D5928" s="20" t="s">
        <v>20157</v>
      </c>
      <c r="E5928" s="20" t="s">
        <v>20158</v>
      </c>
      <c r="F5928" s="19" t="s">
        <v>27</v>
      </c>
      <c r="G5928" s="19" t="s">
        <v>28</v>
      </c>
      <c r="H5928" s="37" t="s">
        <v>813</v>
      </c>
      <c r="I5928" s="37" t="s">
        <v>29</v>
      </c>
      <c r="J5928" s="155" t="str">
        <f t="shared" si="17"/>
        <v>TT</v>
      </c>
      <c r="K5928" s="22" t="s">
        <v>20159</v>
      </c>
      <c r="L5928" s="56">
        <v>45146</v>
      </c>
      <c r="P5928" s="40"/>
      <c r="Q5928" s="61"/>
      <c r="R5928" s="61"/>
      <c r="S5928" s="40"/>
      <c r="T5928" s="38"/>
      <c r="U5928" s="38"/>
      <c r="V5928" s="38"/>
      <c r="W5928" s="60"/>
      <c r="AB5928" s="42"/>
      <c r="AC5928" s="35"/>
      <c r="AD5928" s="38"/>
      <c r="AE5928" s="38"/>
      <c r="AF5928" s="38"/>
      <c r="AG5928" s="38"/>
      <c r="AH5928" s="60"/>
    </row>
    <row r="5929" spans="1:34" ht="15.75" customHeight="1">
      <c r="A5929" s="111" t="s">
        <v>100</v>
      </c>
      <c r="B5929" s="78" t="s">
        <v>20160</v>
      </c>
      <c r="C5929" s="37" t="s">
        <v>24</v>
      </c>
      <c r="D5929" s="20" t="s">
        <v>20161</v>
      </c>
      <c r="E5929" s="20" t="s">
        <v>20162</v>
      </c>
      <c r="F5929" s="19" t="s">
        <v>27</v>
      </c>
      <c r="G5929" s="19" t="s">
        <v>28</v>
      </c>
      <c r="H5929" s="37" t="s">
        <v>813</v>
      </c>
      <c r="I5929" s="37" t="s">
        <v>29</v>
      </c>
      <c r="J5929" s="155" t="str">
        <f t="shared" si="17"/>
        <v>TT</v>
      </c>
      <c r="K5929" s="22" t="s">
        <v>20163</v>
      </c>
      <c r="L5929" s="56">
        <v>45146</v>
      </c>
      <c r="P5929" s="40"/>
      <c r="Q5929" s="61"/>
      <c r="R5929" s="61"/>
      <c r="S5929" s="40"/>
      <c r="T5929" s="38"/>
      <c r="U5929" s="38"/>
      <c r="V5929" s="38"/>
      <c r="W5929" s="60"/>
      <c r="AB5929" s="42"/>
      <c r="AC5929" s="35"/>
      <c r="AD5929" s="38"/>
      <c r="AE5929" s="38"/>
      <c r="AF5929" s="38"/>
      <c r="AG5929" s="38"/>
      <c r="AH5929" s="60"/>
    </row>
    <row r="5930" spans="1:34" ht="15.75" customHeight="1">
      <c r="A5930" s="75" t="s">
        <v>55</v>
      </c>
      <c r="B5930" s="78" t="s">
        <v>20164</v>
      </c>
      <c r="C5930" s="37" t="s">
        <v>24</v>
      </c>
      <c r="D5930" s="20" t="s">
        <v>20165</v>
      </c>
      <c r="E5930" s="20" t="s">
        <v>20166</v>
      </c>
      <c r="F5930" s="19" t="s">
        <v>27</v>
      </c>
      <c r="G5930" s="19" t="s">
        <v>28</v>
      </c>
      <c r="H5930" s="37" t="s">
        <v>55</v>
      </c>
      <c r="I5930" s="37" t="s">
        <v>29</v>
      </c>
      <c r="J5930" s="155" t="str">
        <f t="shared" si="17"/>
        <v>TT</v>
      </c>
      <c r="K5930" s="22" t="s">
        <v>20167</v>
      </c>
      <c r="L5930" s="56">
        <v>45146</v>
      </c>
      <c r="P5930" s="40"/>
      <c r="Q5930" s="61"/>
      <c r="R5930" s="61"/>
      <c r="S5930" s="40"/>
      <c r="T5930" s="38"/>
      <c r="U5930" s="38"/>
      <c r="V5930" s="38"/>
      <c r="W5930" s="60"/>
      <c r="AB5930" s="42"/>
      <c r="AC5930" s="35"/>
      <c r="AD5930" s="38"/>
      <c r="AE5930" s="38"/>
      <c r="AF5930" s="38"/>
      <c r="AG5930" s="38"/>
      <c r="AH5930" s="60"/>
    </row>
    <row r="5931" spans="1:34" ht="15.75" customHeight="1">
      <c r="A5931" s="35"/>
      <c r="B5931" s="78" t="s">
        <v>20168</v>
      </c>
      <c r="C5931" s="143" t="s">
        <v>46</v>
      </c>
      <c r="D5931" s="20" t="s">
        <v>20169</v>
      </c>
      <c r="E5931" s="20" t="s">
        <v>20170</v>
      </c>
      <c r="F5931" s="37" t="s">
        <v>49</v>
      </c>
      <c r="G5931" s="19" t="s">
        <v>50</v>
      </c>
      <c r="H5931" s="37" t="s">
        <v>55</v>
      </c>
      <c r="I5931" s="37" t="s">
        <v>29</v>
      </c>
      <c r="J5931" s="155" t="str">
        <f t="shared" si="17"/>
        <v>TT</v>
      </c>
      <c r="K5931" s="22" t="s">
        <v>20171</v>
      </c>
      <c r="L5931" s="56">
        <v>45146</v>
      </c>
      <c r="P5931" s="40"/>
      <c r="Q5931" s="61"/>
      <c r="R5931" s="61"/>
      <c r="S5931" s="40"/>
      <c r="T5931" s="38"/>
      <c r="U5931" s="38"/>
      <c r="V5931" s="38"/>
      <c r="W5931" s="60"/>
      <c r="AB5931" s="42"/>
      <c r="AC5931" s="35"/>
      <c r="AD5931" s="38"/>
      <c r="AE5931" s="38"/>
      <c r="AF5931" s="38"/>
      <c r="AG5931" s="38"/>
      <c r="AH5931" s="60"/>
    </row>
    <row r="5932" spans="1:34" ht="15.75" customHeight="1">
      <c r="A5932" s="299"/>
      <c r="B5932" s="78" t="s">
        <v>20172</v>
      </c>
      <c r="C5932" s="37" t="s">
        <v>24</v>
      </c>
      <c r="D5932" s="20" t="s">
        <v>20173</v>
      </c>
      <c r="E5932" s="20" t="s">
        <v>20174</v>
      </c>
      <c r="F5932" s="19" t="s">
        <v>27</v>
      </c>
      <c r="G5932" s="19" t="s">
        <v>28</v>
      </c>
      <c r="H5932" s="37" t="s">
        <v>813</v>
      </c>
      <c r="I5932" s="37" t="s">
        <v>29</v>
      </c>
      <c r="J5932" s="155" t="str">
        <f t="shared" si="17"/>
        <v>TT</v>
      </c>
      <c r="K5932" s="22" t="s">
        <v>20175</v>
      </c>
      <c r="L5932" s="56">
        <v>45146</v>
      </c>
      <c r="P5932" s="40"/>
      <c r="Q5932" s="61"/>
      <c r="R5932" s="61"/>
      <c r="S5932" s="40"/>
      <c r="T5932" s="38"/>
      <c r="U5932" s="38"/>
      <c r="V5932" s="38"/>
      <c r="W5932" s="60"/>
      <c r="AB5932" s="42"/>
      <c r="AC5932" s="35"/>
      <c r="AD5932" s="38"/>
      <c r="AE5932" s="38"/>
      <c r="AF5932" s="38"/>
      <c r="AG5932" s="38"/>
      <c r="AH5932" s="60"/>
    </row>
    <row r="5933" spans="1:34" ht="15.75" customHeight="1">
      <c r="A5933" s="299"/>
      <c r="B5933" s="38" t="s">
        <v>20176</v>
      </c>
      <c r="C5933" s="143" t="s">
        <v>46</v>
      </c>
      <c r="D5933" s="20" t="s">
        <v>20177</v>
      </c>
      <c r="E5933" s="20"/>
      <c r="F5933" s="37" t="s">
        <v>49</v>
      </c>
      <c r="G5933" s="19" t="s">
        <v>50</v>
      </c>
      <c r="H5933" s="37" t="s">
        <v>55</v>
      </c>
      <c r="I5933" s="37" t="s">
        <v>29</v>
      </c>
      <c r="J5933" s="155" t="str">
        <f t="shared" si="17"/>
        <v>TT</v>
      </c>
      <c r="K5933" s="22"/>
      <c r="L5933" s="56">
        <v>45146</v>
      </c>
      <c r="P5933" s="40"/>
      <c r="Q5933" s="61"/>
      <c r="R5933" s="61"/>
      <c r="S5933" s="40"/>
      <c r="T5933" s="38"/>
      <c r="U5933" s="38"/>
      <c r="V5933" s="38"/>
      <c r="W5933" s="60"/>
      <c r="AB5933" s="42"/>
      <c r="AC5933" s="35"/>
      <c r="AD5933" s="38"/>
      <c r="AE5933" s="38"/>
      <c r="AF5933" s="38"/>
      <c r="AG5933" s="38"/>
      <c r="AH5933" s="60"/>
    </row>
    <row r="5934" spans="1:34" ht="15.75" customHeight="1">
      <c r="A5934" s="299"/>
      <c r="B5934" s="38"/>
      <c r="C5934" s="37"/>
      <c r="D5934" s="20"/>
      <c r="E5934" s="20"/>
      <c r="F5934" s="37"/>
      <c r="G5934" s="37"/>
      <c r="H5934" s="37"/>
      <c r="I5934" s="37"/>
      <c r="J5934" s="155">
        <f t="shared" si="17"/>
        <v>0</v>
      </c>
      <c r="K5934" s="22"/>
      <c r="L5934" s="56"/>
      <c r="P5934" s="40"/>
      <c r="Q5934" s="61"/>
      <c r="R5934" s="61"/>
      <c r="S5934" s="40"/>
      <c r="T5934" s="38"/>
      <c r="U5934" s="38"/>
      <c r="V5934" s="38"/>
      <c r="W5934" s="60"/>
      <c r="AB5934" s="42"/>
      <c r="AC5934" s="35"/>
      <c r="AD5934" s="38"/>
      <c r="AE5934" s="38"/>
      <c r="AF5934" s="38"/>
      <c r="AG5934" s="38"/>
      <c r="AH5934" s="60"/>
    </row>
    <row r="5935" spans="1:34" ht="15.75" customHeight="1">
      <c r="A5935" s="35" t="s">
        <v>20178</v>
      </c>
      <c r="B5935" s="78" t="s">
        <v>20179</v>
      </c>
      <c r="C5935" s="37" t="s">
        <v>24</v>
      </c>
      <c r="D5935" s="20" t="s">
        <v>20180</v>
      </c>
      <c r="E5935" s="20" t="s">
        <v>20181</v>
      </c>
      <c r="F5935" s="19" t="s">
        <v>27</v>
      </c>
      <c r="G5935" s="19" t="s">
        <v>28</v>
      </c>
      <c r="H5935" s="37" t="s">
        <v>55</v>
      </c>
      <c r="I5935" s="37" t="s">
        <v>29</v>
      </c>
      <c r="J5935" s="155" t="str">
        <f t="shared" si="17"/>
        <v>TT</v>
      </c>
      <c r="K5935" s="22" t="s">
        <v>20182</v>
      </c>
      <c r="L5935" s="56">
        <v>45146</v>
      </c>
      <c r="M5935" s="40"/>
      <c r="P5935" s="40"/>
      <c r="Q5935" s="61"/>
      <c r="R5935" s="61"/>
      <c r="S5935" s="40"/>
      <c r="T5935" s="38"/>
      <c r="U5935" s="38"/>
      <c r="V5935" s="38"/>
      <c r="W5935" s="60"/>
      <c r="AB5935" s="42"/>
      <c r="AC5935" s="35"/>
      <c r="AD5935" s="38"/>
      <c r="AE5935" s="38"/>
      <c r="AF5935" s="38"/>
      <c r="AG5935" s="38"/>
      <c r="AH5935" s="60"/>
    </row>
    <row r="5936" spans="1:34" ht="15.75" customHeight="1">
      <c r="A5936" s="54" t="s">
        <v>12252</v>
      </c>
      <c r="B5936" s="78" t="s">
        <v>20183</v>
      </c>
      <c r="C5936" s="143" t="s">
        <v>46</v>
      </c>
      <c r="D5936" s="20" t="s">
        <v>20184</v>
      </c>
      <c r="E5936" s="20" t="s">
        <v>20185</v>
      </c>
      <c r="F5936" s="37" t="s">
        <v>49</v>
      </c>
      <c r="G5936" s="19" t="s">
        <v>50</v>
      </c>
      <c r="H5936" s="37" t="s">
        <v>55</v>
      </c>
      <c r="I5936" s="37" t="s">
        <v>29</v>
      </c>
      <c r="J5936" s="155" t="str">
        <f t="shared" si="17"/>
        <v>TT</v>
      </c>
      <c r="K5936" s="22" t="s">
        <v>20186</v>
      </c>
      <c r="L5936" s="56">
        <v>45146</v>
      </c>
      <c r="P5936" s="40"/>
      <c r="Q5936" s="61"/>
      <c r="R5936" s="61"/>
      <c r="S5936" s="40"/>
      <c r="T5936" s="38"/>
      <c r="U5936" s="38"/>
      <c r="V5936" s="38"/>
      <c r="W5936" s="60"/>
      <c r="AB5936" s="42"/>
      <c r="AC5936" s="35"/>
      <c r="AD5936" s="38"/>
      <c r="AE5936" s="38"/>
      <c r="AF5936" s="38"/>
      <c r="AG5936" s="38"/>
      <c r="AH5936" s="60"/>
    </row>
    <row r="5937" spans="1:34" ht="15.75" customHeight="1">
      <c r="A5937" s="114" t="s">
        <v>39</v>
      </c>
      <c r="B5937" s="81" t="s">
        <v>20187</v>
      </c>
      <c r="C5937" s="37" t="s">
        <v>87</v>
      </c>
      <c r="D5937" s="20" t="s">
        <v>20188</v>
      </c>
      <c r="E5937" s="20" t="s">
        <v>20189</v>
      </c>
      <c r="F5937" s="19" t="s">
        <v>90</v>
      </c>
      <c r="G5937" s="19" t="s">
        <v>91</v>
      </c>
      <c r="H5937" s="37" t="s">
        <v>55</v>
      </c>
      <c r="I5937" s="37" t="s">
        <v>29</v>
      </c>
      <c r="J5937" s="155" t="str">
        <f t="shared" si="17"/>
        <v>TT</v>
      </c>
      <c r="K5937" s="22" t="s">
        <v>20190</v>
      </c>
      <c r="L5937" s="56">
        <v>45146</v>
      </c>
      <c r="P5937" s="40"/>
      <c r="Q5937" s="61"/>
      <c r="R5937" s="61"/>
      <c r="S5937" s="40"/>
      <c r="T5937" s="38"/>
      <c r="U5937" s="38"/>
      <c r="V5937" s="38"/>
      <c r="W5937" s="60"/>
      <c r="AB5937" s="42"/>
      <c r="AC5937" s="35"/>
      <c r="AD5937" s="38"/>
      <c r="AE5937" s="38"/>
      <c r="AF5937" s="38"/>
      <c r="AG5937" s="38"/>
      <c r="AH5937" s="60"/>
    </row>
    <row r="5938" spans="1:34" ht="15.75" customHeight="1">
      <c r="A5938" s="38" t="s">
        <v>20051</v>
      </c>
      <c r="B5938" s="78" t="s">
        <v>20191</v>
      </c>
      <c r="C5938" s="37" t="s">
        <v>87</v>
      </c>
      <c r="D5938" s="20" t="s">
        <v>20192</v>
      </c>
      <c r="E5938" s="20" t="s">
        <v>20193</v>
      </c>
      <c r="F5938" s="19" t="s">
        <v>90</v>
      </c>
      <c r="G5938" s="19" t="s">
        <v>91</v>
      </c>
      <c r="H5938" s="37" t="s">
        <v>55</v>
      </c>
      <c r="I5938" s="37" t="s">
        <v>29</v>
      </c>
      <c r="J5938" s="155" t="str">
        <f t="shared" si="17"/>
        <v>TT</v>
      </c>
      <c r="K5938" s="22" t="s">
        <v>20194</v>
      </c>
      <c r="L5938" s="56">
        <v>45146</v>
      </c>
      <c r="P5938" s="40"/>
      <c r="Q5938" s="61"/>
      <c r="R5938" s="61"/>
      <c r="S5938" s="40"/>
      <c r="T5938" s="38"/>
      <c r="U5938" s="38"/>
      <c r="V5938" s="38"/>
      <c r="W5938" s="60"/>
      <c r="AB5938" s="42"/>
      <c r="AC5938" s="35"/>
      <c r="AD5938" s="38"/>
      <c r="AE5938" s="38"/>
      <c r="AF5938" s="38"/>
      <c r="AG5938" s="38"/>
      <c r="AH5938" s="60"/>
    </row>
    <row r="5939" spans="1:34" ht="15.75" customHeight="1">
      <c r="A5939" s="75" t="s">
        <v>20195</v>
      </c>
      <c r="B5939" s="78" t="s">
        <v>20196</v>
      </c>
      <c r="C5939" s="37" t="s">
        <v>24</v>
      </c>
      <c r="D5939" s="20" t="s">
        <v>20197</v>
      </c>
      <c r="E5939" s="20" t="s">
        <v>20198</v>
      </c>
      <c r="F5939" s="19" t="s">
        <v>27</v>
      </c>
      <c r="G5939" s="19" t="s">
        <v>28</v>
      </c>
      <c r="H5939" s="37" t="s">
        <v>55</v>
      </c>
      <c r="I5939" s="37" t="s">
        <v>29</v>
      </c>
      <c r="J5939" s="155" t="str">
        <f t="shared" si="17"/>
        <v>TT</v>
      </c>
      <c r="K5939" s="22" t="s">
        <v>20199</v>
      </c>
      <c r="L5939" s="56">
        <v>45146</v>
      </c>
      <c r="P5939" s="40"/>
      <c r="Q5939" s="61"/>
      <c r="R5939" s="61"/>
      <c r="S5939" s="40"/>
      <c r="T5939" s="38"/>
      <c r="U5939" s="38"/>
      <c r="V5939" s="38"/>
      <c r="W5939" s="60"/>
      <c r="AB5939" s="42"/>
      <c r="AC5939" s="35"/>
      <c r="AD5939" s="38"/>
      <c r="AE5939" s="38"/>
      <c r="AF5939" s="38"/>
      <c r="AG5939" s="38"/>
      <c r="AH5939" s="60"/>
    </row>
    <row r="5940" spans="1:34" ht="15.75" customHeight="1">
      <c r="A5940" s="50" t="s">
        <v>56</v>
      </c>
      <c r="B5940" s="78" t="s">
        <v>20200</v>
      </c>
      <c r="C5940" s="37" t="s">
        <v>87</v>
      </c>
      <c r="D5940" s="20" t="s">
        <v>20201</v>
      </c>
      <c r="E5940" s="20" t="s">
        <v>20202</v>
      </c>
      <c r="F5940" s="19" t="s">
        <v>90</v>
      </c>
      <c r="G5940" s="19" t="s">
        <v>91</v>
      </c>
      <c r="H5940" s="37" t="s">
        <v>55</v>
      </c>
      <c r="I5940" s="37" t="s">
        <v>29</v>
      </c>
      <c r="J5940" s="155" t="str">
        <f t="shared" si="17"/>
        <v>TT</v>
      </c>
      <c r="K5940" s="22" t="s">
        <v>20203</v>
      </c>
      <c r="L5940" s="56">
        <v>45146</v>
      </c>
      <c r="P5940" s="40"/>
      <c r="Q5940" s="61"/>
      <c r="R5940" s="61"/>
      <c r="S5940" s="40"/>
      <c r="T5940" s="38"/>
      <c r="U5940" s="38"/>
      <c r="V5940" s="38"/>
      <c r="W5940" s="60"/>
      <c r="AB5940" s="42"/>
      <c r="AC5940" s="35"/>
      <c r="AD5940" s="38"/>
      <c r="AE5940" s="38"/>
      <c r="AF5940" s="38"/>
      <c r="AG5940" s="38"/>
      <c r="AH5940" s="60"/>
    </row>
    <row r="5941" spans="1:34" ht="15.75" customHeight="1">
      <c r="A5941" s="17">
        <v>33</v>
      </c>
      <c r="B5941" s="78" t="s">
        <v>20204</v>
      </c>
      <c r="C5941" s="143" t="s">
        <v>1430</v>
      </c>
      <c r="D5941" s="20" t="s">
        <v>20205</v>
      </c>
      <c r="E5941" s="20" t="s">
        <v>20206</v>
      </c>
      <c r="F5941" s="55" t="s">
        <v>1445</v>
      </c>
      <c r="G5941" s="55" t="s">
        <v>1432</v>
      </c>
      <c r="H5941" s="37" t="s">
        <v>55</v>
      </c>
      <c r="I5941" s="37" t="s">
        <v>233</v>
      </c>
      <c r="J5941" s="155" t="str">
        <f t="shared" si="17"/>
        <v>NTT</v>
      </c>
      <c r="K5941" s="22" t="s">
        <v>20207</v>
      </c>
      <c r="L5941" s="56">
        <v>45146</v>
      </c>
      <c r="P5941" s="40"/>
      <c r="Q5941" s="61"/>
      <c r="R5941" s="61"/>
      <c r="S5941" s="40"/>
      <c r="T5941" s="38"/>
      <c r="U5941" s="38"/>
      <c r="V5941" s="38"/>
      <c r="W5941" s="60"/>
      <c r="AB5941" s="42"/>
      <c r="AC5941" s="35"/>
      <c r="AD5941" s="38"/>
      <c r="AE5941" s="38"/>
      <c r="AF5941" s="38"/>
      <c r="AG5941" s="38"/>
      <c r="AH5941" s="60"/>
    </row>
    <row r="5942" spans="1:34" ht="15.75" customHeight="1">
      <c r="A5942" s="111" t="s">
        <v>64</v>
      </c>
      <c r="B5942" s="78" t="s">
        <v>20208</v>
      </c>
      <c r="C5942" s="37" t="s">
        <v>87</v>
      </c>
      <c r="D5942" s="20" t="s">
        <v>20209</v>
      </c>
      <c r="E5942" s="20" t="s">
        <v>20210</v>
      </c>
      <c r="F5942" s="19" t="s">
        <v>90</v>
      </c>
      <c r="G5942" s="19" t="s">
        <v>91</v>
      </c>
      <c r="H5942" s="37" t="s">
        <v>55</v>
      </c>
      <c r="I5942" s="37" t="s">
        <v>29</v>
      </c>
      <c r="J5942" s="155" t="str">
        <f t="shared" si="17"/>
        <v>TT</v>
      </c>
      <c r="K5942" s="22" t="s">
        <v>20211</v>
      </c>
      <c r="L5942" s="56">
        <v>45146</v>
      </c>
      <c r="P5942" s="40"/>
      <c r="Q5942" s="61"/>
      <c r="R5942" s="61"/>
      <c r="S5942" s="40"/>
      <c r="T5942" s="38"/>
      <c r="U5942" s="38"/>
      <c r="V5942" s="38"/>
      <c r="W5942" s="60"/>
      <c r="AB5942" s="42"/>
      <c r="AC5942" s="35"/>
      <c r="AD5942" s="38"/>
      <c r="AE5942" s="38"/>
      <c r="AF5942" s="38"/>
      <c r="AG5942" s="38"/>
      <c r="AH5942" s="60"/>
    </row>
    <row r="5943" spans="1:34" ht="15.75" customHeight="1">
      <c r="A5943" s="75">
        <v>2</v>
      </c>
      <c r="B5943" s="78" t="s">
        <v>20212</v>
      </c>
      <c r="C5943" s="37" t="s">
        <v>87</v>
      </c>
      <c r="D5943" s="20" t="s">
        <v>20213</v>
      </c>
      <c r="E5943" s="20" t="s">
        <v>20214</v>
      </c>
      <c r="F5943" s="19" t="s">
        <v>90</v>
      </c>
      <c r="G5943" s="19" t="s">
        <v>91</v>
      </c>
      <c r="H5943" s="37" t="s">
        <v>55</v>
      </c>
      <c r="I5943" s="37" t="s">
        <v>29</v>
      </c>
      <c r="J5943" s="155" t="str">
        <f t="shared" si="17"/>
        <v>TT</v>
      </c>
      <c r="K5943" s="22" t="s">
        <v>20215</v>
      </c>
      <c r="L5943" s="56">
        <v>45146</v>
      </c>
      <c r="P5943" s="40"/>
      <c r="Q5943" s="61"/>
      <c r="R5943" s="61"/>
      <c r="S5943" s="40"/>
      <c r="T5943" s="38"/>
      <c r="U5943" s="38"/>
      <c r="V5943" s="38"/>
      <c r="W5943" s="60"/>
      <c r="AB5943" s="42"/>
      <c r="AC5943" s="35"/>
      <c r="AD5943" s="38"/>
      <c r="AE5943" s="38"/>
      <c r="AF5943" s="38"/>
      <c r="AG5943" s="38"/>
      <c r="AH5943" s="60"/>
    </row>
    <row r="5944" spans="1:34" ht="15.75" customHeight="1">
      <c r="A5944" s="111" t="s">
        <v>73</v>
      </c>
      <c r="B5944" s="78" t="s">
        <v>20216</v>
      </c>
      <c r="C5944" s="37" t="s">
        <v>87</v>
      </c>
      <c r="D5944" s="20" t="s">
        <v>20217</v>
      </c>
      <c r="E5944" s="20" t="s">
        <v>20218</v>
      </c>
      <c r="F5944" s="19" t="s">
        <v>90</v>
      </c>
      <c r="G5944" s="19" t="s">
        <v>91</v>
      </c>
      <c r="H5944" s="37" t="s">
        <v>55</v>
      </c>
      <c r="I5944" s="37" t="s">
        <v>29</v>
      </c>
      <c r="J5944" s="155" t="str">
        <f t="shared" si="17"/>
        <v>TT</v>
      </c>
      <c r="K5944" s="22" t="s">
        <v>20219</v>
      </c>
      <c r="L5944" s="56">
        <v>45146</v>
      </c>
      <c r="P5944" s="40"/>
      <c r="Q5944" s="61"/>
      <c r="R5944" s="61"/>
      <c r="S5944" s="40"/>
      <c r="T5944" s="38"/>
      <c r="U5944" s="38"/>
      <c r="V5944" s="38"/>
      <c r="W5944" s="60"/>
      <c r="AB5944" s="42"/>
      <c r="AC5944" s="35"/>
      <c r="AD5944" s="38"/>
      <c r="AE5944" s="38"/>
      <c r="AF5944" s="38"/>
      <c r="AG5944" s="38"/>
      <c r="AH5944" s="60"/>
    </row>
    <row r="5945" spans="1:34" ht="15.75" customHeight="1">
      <c r="A5945" s="75">
        <v>2.4</v>
      </c>
      <c r="B5945" s="78" t="s">
        <v>20220</v>
      </c>
      <c r="C5945" s="143" t="s">
        <v>46</v>
      </c>
      <c r="D5945" s="20" t="s">
        <v>20221</v>
      </c>
      <c r="E5945" s="20" t="s">
        <v>20222</v>
      </c>
      <c r="F5945" s="37" t="s">
        <v>49</v>
      </c>
      <c r="G5945" s="19" t="s">
        <v>50</v>
      </c>
      <c r="H5945" s="37" t="s">
        <v>55</v>
      </c>
      <c r="I5945" s="37" t="s">
        <v>29</v>
      </c>
      <c r="J5945" s="155" t="str">
        <f t="shared" si="17"/>
        <v>TT</v>
      </c>
      <c r="K5945" s="22" t="s">
        <v>20223</v>
      </c>
      <c r="L5945" s="56">
        <v>45146</v>
      </c>
      <c r="P5945" s="40"/>
      <c r="Q5945" s="61"/>
      <c r="R5945" s="61"/>
      <c r="S5945" s="40"/>
      <c r="T5945" s="38"/>
      <c r="U5945" s="38"/>
      <c r="V5945" s="38"/>
      <c r="W5945" s="60"/>
      <c r="AB5945" s="42"/>
      <c r="AC5945" s="35"/>
      <c r="AD5945" s="38"/>
      <c r="AE5945" s="38"/>
      <c r="AF5945" s="38"/>
      <c r="AG5945" s="38"/>
      <c r="AH5945" s="60"/>
    </row>
    <row r="5946" spans="1:34" ht="15.75" customHeight="1">
      <c r="A5946" s="111" t="s">
        <v>82</v>
      </c>
      <c r="B5946" s="81" t="s">
        <v>20224</v>
      </c>
      <c r="C5946" s="37" t="s">
        <v>24</v>
      </c>
      <c r="D5946" s="20" t="s">
        <v>20225</v>
      </c>
      <c r="E5946" s="20" t="s">
        <v>20226</v>
      </c>
      <c r="F5946" s="19" t="s">
        <v>27</v>
      </c>
      <c r="G5946" s="19" t="s">
        <v>28</v>
      </c>
      <c r="H5946" s="37" t="s">
        <v>55</v>
      </c>
      <c r="I5946" s="37" t="s">
        <v>29</v>
      </c>
      <c r="J5946" s="155" t="str">
        <f t="shared" si="17"/>
        <v>TT</v>
      </c>
      <c r="K5946" s="22" t="s">
        <v>20227</v>
      </c>
      <c r="L5946" s="56">
        <v>45146</v>
      </c>
      <c r="P5946" s="40"/>
      <c r="Q5946" s="61"/>
      <c r="R5946" s="61"/>
      <c r="S5946" s="40"/>
      <c r="T5946" s="38"/>
      <c r="U5946" s="38"/>
      <c r="V5946" s="38"/>
      <c r="W5946" s="60"/>
      <c r="AB5946" s="42"/>
      <c r="AC5946" s="35"/>
      <c r="AD5946" s="38"/>
      <c r="AE5946" s="38"/>
      <c r="AF5946" s="38"/>
      <c r="AG5946" s="38"/>
      <c r="AH5946" s="60"/>
    </row>
    <row r="5947" spans="1:34" ht="15.75" customHeight="1">
      <c r="A5947" s="75" t="s">
        <v>20228</v>
      </c>
      <c r="B5947" s="78" t="s">
        <v>20229</v>
      </c>
      <c r="C5947" s="143" t="s">
        <v>46</v>
      </c>
      <c r="D5947" s="20" t="s">
        <v>20230</v>
      </c>
      <c r="E5947" s="20" t="s">
        <v>20231</v>
      </c>
      <c r="F5947" s="37" t="s">
        <v>49</v>
      </c>
      <c r="G5947" s="19" t="s">
        <v>50</v>
      </c>
      <c r="H5947" s="37" t="s">
        <v>55</v>
      </c>
      <c r="I5947" s="37" t="s">
        <v>29</v>
      </c>
      <c r="J5947" s="155" t="str">
        <f t="shared" si="17"/>
        <v>TT</v>
      </c>
      <c r="K5947" s="22" t="s">
        <v>20232</v>
      </c>
      <c r="L5947" s="56">
        <v>45146</v>
      </c>
      <c r="P5947" s="40"/>
      <c r="Q5947" s="61"/>
      <c r="R5947" s="61"/>
      <c r="S5947" s="40"/>
      <c r="T5947" s="38"/>
      <c r="U5947" s="38"/>
      <c r="V5947" s="38"/>
      <c r="W5947" s="60"/>
      <c r="AB5947" s="42"/>
      <c r="AC5947" s="35"/>
      <c r="AD5947" s="38"/>
      <c r="AE5947" s="38"/>
      <c r="AF5947" s="38"/>
      <c r="AG5947" s="38"/>
      <c r="AH5947" s="60"/>
    </row>
    <row r="5948" spans="1:34" ht="15.75" customHeight="1">
      <c r="A5948" s="111" t="s">
        <v>92</v>
      </c>
      <c r="B5948" s="38"/>
      <c r="C5948" s="37"/>
      <c r="D5948" s="20"/>
      <c r="E5948" s="20"/>
      <c r="F5948" s="37"/>
      <c r="G5948" s="37"/>
      <c r="H5948" s="37"/>
      <c r="I5948" s="37"/>
      <c r="J5948" s="155">
        <f t="shared" si="17"/>
        <v>0</v>
      </c>
      <c r="K5948" s="22"/>
      <c r="L5948" s="56"/>
      <c r="P5948" s="40"/>
      <c r="Q5948" s="61"/>
      <c r="R5948" s="61"/>
      <c r="S5948" s="40"/>
      <c r="T5948" s="38"/>
      <c r="U5948" s="38"/>
      <c r="V5948" s="38"/>
      <c r="W5948" s="60"/>
      <c r="AB5948" s="42"/>
      <c r="AC5948" s="35"/>
      <c r="AD5948" s="38"/>
      <c r="AE5948" s="38"/>
      <c r="AF5948" s="38"/>
      <c r="AG5948" s="38"/>
      <c r="AH5948" s="60"/>
    </row>
    <row r="5949" spans="1:34" ht="15.75" customHeight="1">
      <c r="A5949" s="112">
        <v>473</v>
      </c>
      <c r="B5949" s="38"/>
      <c r="C5949" s="37"/>
      <c r="D5949" s="20"/>
      <c r="E5949" s="20"/>
      <c r="F5949" s="37"/>
      <c r="G5949" s="37"/>
      <c r="H5949" s="37"/>
      <c r="I5949" s="37"/>
      <c r="J5949" s="155">
        <f t="shared" si="17"/>
        <v>0</v>
      </c>
      <c r="K5949" s="22"/>
      <c r="L5949" s="56"/>
      <c r="P5949" s="40"/>
      <c r="Q5949" s="61"/>
      <c r="R5949" s="61"/>
      <c r="S5949" s="40"/>
      <c r="T5949" s="38"/>
      <c r="U5949" s="38"/>
      <c r="V5949" s="38"/>
      <c r="W5949" s="60"/>
      <c r="AB5949" s="42"/>
      <c r="AC5949" s="35"/>
      <c r="AD5949" s="38"/>
      <c r="AE5949" s="38"/>
      <c r="AF5949" s="38"/>
      <c r="AG5949" s="38"/>
      <c r="AH5949" s="60"/>
    </row>
    <row r="5950" spans="1:34" ht="15.75" customHeight="1">
      <c r="A5950" s="111" t="s">
        <v>100</v>
      </c>
      <c r="B5950" s="38"/>
      <c r="C5950" s="37"/>
      <c r="D5950" s="20"/>
      <c r="E5950" s="20"/>
      <c r="F5950" s="37"/>
      <c r="G5950" s="37"/>
      <c r="H5950" s="37"/>
      <c r="I5950" s="37"/>
      <c r="J5950" s="155">
        <f t="shared" si="17"/>
        <v>0</v>
      </c>
      <c r="K5950" s="22"/>
      <c r="L5950" s="56"/>
      <c r="P5950" s="40"/>
      <c r="Q5950" s="61"/>
      <c r="R5950" s="61"/>
      <c r="S5950" s="40"/>
      <c r="T5950" s="38"/>
      <c r="U5950" s="38"/>
      <c r="V5950" s="38"/>
      <c r="W5950" s="60"/>
      <c r="AB5950" s="42"/>
      <c r="AC5950" s="35"/>
      <c r="AD5950" s="38"/>
      <c r="AE5950" s="38"/>
      <c r="AF5950" s="38"/>
      <c r="AG5950" s="38"/>
      <c r="AH5950" s="60"/>
    </row>
    <row r="5951" spans="1:34" ht="15.75" customHeight="1">
      <c r="A5951" s="75">
        <v>161</v>
      </c>
      <c r="B5951" s="38"/>
      <c r="C5951" s="37"/>
      <c r="D5951" s="20"/>
      <c r="E5951" s="20"/>
      <c r="F5951" s="37"/>
      <c r="G5951" s="37"/>
      <c r="H5951" s="37"/>
      <c r="I5951" s="37"/>
      <c r="J5951" s="155">
        <f t="shared" si="17"/>
        <v>0</v>
      </c>
      <c r="K5951" s="22"/>
      <c r="L5951" s="56"/>
      <c r="P5951" s="40"/>
      <c r="Q5951" s="61"/>
      <c r="R5951" s="61"/>
      <c r="S5951" s="40"/>
      <c r="T5951" s="38"/>
      <c r="U5951" s="38"/>
      <c r="V5951" s="38"/>
      <c r="W5951" s="60"/>
      <c r="AB5951" s="42"/>
      <c r="AC5951" s="35"/>
      <c r="AD5951" s="38"/>
      <c r="AE5951" s="38"/>
      <c r="AF5951" s="38"/>
      <c r="AG5951" s="38"/>
      <c r="AH5951" s="60"/>
    </row>
    <row r="5952" spans="1:34" ht="15.75" customHeight="1">
      <c r="A5952" s="35"/>
      <c r="B5952" s="38"/>
      <c r="C5952" s="37"/>
      <c r="D5952" s="20"/>
      <c r="E5952" s="20"/>
      <c r="F5952" s="37"/>
      <c r="G5952" s="37"/>
      <c r="H5952" s="37"/>
      <c r="I5952" s="37"/>
      <c r="J5952" s="155">
        <f t="shared" si="17"/>
        <v>0</v>
      </c>
      <c r="K5952" s="22"/>
      <c r="L5952" s="56"/>
      <c r="P5952" s="40"/>
      <c r="Q5952" s="61"/>
      <c r="R5952" s="61"/>
      <c r="S5952" s="40"/>
      <c r="T5952" s="38"/>
      <c r="U5952" s="38"/>
      <c r="V5952" s="38"/>
      <c r="W5952" s="60"/>
      <c r="AB5952" s="42"/>
      <c r="AC5952" s="35"/>
      <c r="AD5952" s="38"/>
      <c r="AE5952" s="38"/>
      <c r="AF5952" s="38"/>
      <c r="AG5952" s="38"/>
      <c r="AH5952" s="60"/>
    </row>
    <row r="5953" spans="1:34" ht="15.75" customHeight="1">
      <c r="A5953" s="35" t="s">
        <v>20233</v>
      </c>
      <c r="B5953" s="300" t="s">
        <v>20234</v>
      </c>
      <c r="C5953" s="37" t="s">
        <v>24</v>
      </c>
      <c r="D5953" s="20" t="s">
        <v>20235</v>
      </c>
      <c r="E5953" s="20" t="s">
        <v>20236</v>
      </c>
      <c r="F5953" s="19" t="s">
        <v>27</v>
      </c>
      <c r="G5953" s="19" t="s">
        <v>28</v>
      </c>
      <c r="H5953" s="37" t="s">
        <v>55</v>
      </c>
      <c r="I5953" s="37" t="s">
        <v>29</v>
      </c>
      <c r="J5953" s="155" t="str">
        <f t="shared" si="17"/>
        <v>TT</v>
      </c>
      <c r="K5953" s="22" t="s">
        <v>20237</v>
      </c>
      <c r="L5953" s="56">
        <v>45146</v>
      </c>
      <c r="M5953" s="40"/>
      <c r="P5953" s="40"/>
      <c r="Q5953" s="61"/>
      <c r="R5953" s="61"/>
      <c r="S5953" s="40"/>
      <c r="T5953" s="38"/>
      <c r="U5953" s="38"/>
      <c r="V5953" s="38"/>
      <c r="W5953" s="60"/>
      <c r="AB5953" s="42"/>
      <c r="AC5953" s="35"/>
      <c r="AD5953" s="38"/>
      <c r="AE5953" s="38"/>
      <c r="AF5953" s="38"/>
      <c r="AG5953" s="38"/>
      <c r="AH5953" s="60"/>
    </row>
    <row r="5954" spans="1:34" ht="15.75" customHeight="1">
      <c r="A5954" s="54" t="s">
        <v>7101</v>
      </c>
      <c r="B5954" s="301" t="s">
        <v>20238</v>
      </c>
      <c r="C5954" s="37" t="s">
        <v>87</v>
      </c>
      <c r="D5954" s="20" t="s">
        <v>20239</v>
      </c>
      <c r="E5954" s="20" t="s">
        <v>20240</v>
      </c>
      <c r="F5954" s="19" t="s">
        <v>90</v>
      </c>
      <c r="G5954" s="19" t="s">
        <v>91</v>
      </c>
      <c r="H5954" s="37" t="s">
        <v>55</v>
      </c>
      <c r="I5954" s="37" t="s">
        <v>29</v>
      </c>
      <c r="J5954" s="155" t="str">
        <f t="shared" si="17"/>
        <v>TT</v>
      </c>
      <c r="K5954" s="22" t="s">
        <v>20241</v>
      </c>
      <c r="L5954" s="56">
        <v>45146</v>
      </c>
      <c r="P5954" s="40"/>
      <c r="Q5954" s="61"/>
      <c r="R5954" s="61"/>
      <c r="S5954" s="40"/>
      <c r="T5954" s="38"/>
      <c r="U5954" s="38"/>
      <c r="V5954" s="38"/>
      <c r="W5954" s="60"/>
      <c r="AB5954" s="42"/>
      <c r="AC5954" s="35"/>
      <c r="AD5954" s="38"/>
      <c r="AE5954" s="38"/>
      <c r="AF5954" s="38"/>
      <c r="AG5954" s="38"/>
      <c r="AH5954" s="60"/>
    </row>
    <row r="5955" spans="1:34" ht="15.75" customHeight="1">
      <c r="A5955" s="114"/>
      <c r="B5955" s="302" t="s">
        <v>20242</v>
      </c>
      <c r="C5955" s="37" t="s">
        <v>46</v>
      </c>
      <c r="D5955" s="20" t="s">
        <v>20243</v>
      </c>
      <c r="E5955" s="20" t="s">
        <v>20244</v>
      </c>
      <c r="F5955" s="37"/>
      <c r="G5955" s="37"/>
      <c r="H5955" s="37"/>
      <c r="I5955" s="37"/>
      <c r="J5955" s="155"/>
      <c r="K5955" s="22"/>
      <c r="L5955" s="56"/>
      <c r="P5955" s="40"/>
      <c r="Q5955" s="61"/>
      <c r="R5955" s="61"/>
      <c r="S5955" s="40"/>
      <c r="T5955" s="38"/>
      <c r="U5955" s="38"/>
      <c r="V5955" s="38"/>
      <c r="W5955" s="60"/>
      <c r="AB5955" s="42"/>
      <c r="AC5955" s="35"/>
      <c r="AD5955" s="38"/>
      <c r="AE5955" s="38"/>
      <c r="AF5955" s="38"/>
      <c r="AG5955" s="38"/>
      <c r="AH5955" s="60"/>
    </row>
    <row r="5956" spans="1:34" ht="15.75" customHeight="1">
      <c r="A5956" s="114"/>
      <c r="B5956" s="302" t="s">
        <v>20245</v>
      </c>
      <c r="C5956" s="37" t="s">
        <v>46</v>
      </c>
      <c r="D5956" s="68" t="s">
        <v>20246</v>
      </c>
      <c r="E5956" s="20" t="s">
        <v>20247</v>
      </c>
      <c r="F5956" s="37"/>
      <c r="G5956" s="37"/>
      <c r="H5956" s="37"/>
      <c r="I5956" s="37"/>
      <c r="J5956" s="155"/>
      <c r="K5956" s="22"/>
      <c r="L5956" s="56"/>
      <c r="P5956" s="40"/>
      <c r="Q5956" s="61"/>
      <c r="R5956" s="61"/>
      <c r="S5956" s="40"/>
      <c r="T5956" s="38"/>
      <c r="U5956" s="38"/>
      <c r="V5956" s="38"/>
      <c r="W5956" s="60"/>
      <c r="AB5956" s="42"/>
      <c r="AC5956" s="35"/>
      <c r="AD5956" s="38"/>
      <c r="AE5956" s="38"/>
      <c r="AF5956" s="38"/>
      <c r="AG5956" s="38"/>
      <c r="AH5956" s="60"/>
    </row>
    <row r="5957" spans="1:34" ht="15.75" customHeight="1">
      <c r="A5957" s="114"/>
      <c r="B5957" s="302" t="s">
        <v>20248</v>
      </c>
      <c r="C5957" s="37" t="s">
        <v>87</v>
      </c>
      <c r="D5957" s="20" t="s">
        <v>20239</v>
      </c>
      <c r="E5957" s="20" t="s">
        <v>20249</v>
      </c>
      <c r="F5957" s="37"/>
      <c r="G5957" s="37"/>
      <c r="H5957" s="37"/>
      <c r="I5957" s="37"/>
      <c r="J5957" s="155"/>
      <c r="K5957" s="22"/>
      <c r="L5957" s="56"/>
      <c r="P5957" s="40"/>
      <c r="Q5957" s="61"/>
      <c r="R5957" s="61"/>
      <c r="S5957" s="40"/>
      <c r="T5957" s="38"/>
      <c r="U5957" s="38"/>
      <c r="V5957" s="38"/>
      <c r="W5957" s="60"/>
      <c r="AB5957" s="42"/>
      <c r="AC5957" s="35"/>
      <c r="AD5957" s="38"/>
      <c r="AE5957" s="38"/>
      <c r="AF5957" s="38"/>
      <c r="AG5957" s="38"/>
      <c r="AH5957" s="60"/>
    </row>
    <row r="5958" spans="1:34" ht="15.75" customHeight="1">
      <c r="A5958" s="114" t="s">
        <v>39</v>
      </c>
      <c r="B5958" s="301" t="s">
        <v>20250</v>
      </c>
      <c r="C5958" s="37" t="s">
        <v>24</v>
      </c>
      <c r="D5958" s="20" t="s">
        <v>20251</v>
      </c>
      <c r="E5958" s="20" t="s">
        <v>20252</v>
      </c>
      <c r="F5958" s="19" t="s">
        <v>27</v>
      </c>
      <c r="G5958" s="19" t="s">
        <v>28</v>
      </c>
      <c r="H5958" s="37" t="s">
        <v>55</v>
      </c>
      <c r="I5958" s="37" t="s">
        <v>29</v>
      </c>
      <c r="J5958" s="155" t="str">
        <f t="shared" ref="J5958:J5998" si="18">IF(G5958="R","NA",I5958)</f>
        <v>TT</v>
      </c>
      <c r="K5958" s="22" t="s">
        <v>20253</v>
      </c>
      <c r="L5958" s="56">
        <v>45146</v>
      </c>
      <c r="P5958" s="40"/>
      <c r="Q5958" s="61"/>
      <c r="R5958" s="61"/>
      <c r="S5958" s="40"/>
      <c r="T5958" s="38"/>
      <c r="U5958" s="38"/>
      <c r="V5958" s="38"/>
      <c r="W5958" s="60"/>
      <c r="AB5958" s="42"/>
      <c r="AC5958" s="35"/>
      <c r="AD5958" s="38"/>
      <c r="AE5958" s="38"/>
      <c r="AF5958" s="38"/>
      <c r="AG5958" s="38"/>
      <c r="AH5958" s="60"/>
    </row>
    <row r="5959" spans="1:34" ht="15.75" customHeight="1">
      <c r="A5959" s="38" t="s">
        <v>20051</v>
      </c>
      <c r="B5959" s="301" t="s">
        <v>20254</v>
      </c>
      <c r="C5959" s="37" t="s">
        <v>87</v>
      </c>
      <c r="D5959" s="20" t="s">
        <v>20255</v>
      </c>
      <c r="E5959" s="20" t="s">
        <v>20256</v>
      </c>
      <c r="F5959" s="19" t="s">
        <v>90</v>
      </c>
      <c r="G5959" s="19" t="s">
        <v>91</v>
      </c>
      <c r="H5959" s="37" t="s">
        <v>55</v>
      </c>
      <c r="I5959" s="37" t="s">
        <v>29</v>
      </c>
      <c r="J5959" s="155" t="str">
        <f t="shared" si="18"/>
        <v>TT</v>
      </c>
      <c r="K5959" s="22" t="s">
        <v>20257</v>
      </c>
      <c r="L5959" s="56">
        <v>45146</v>
      </c>
      <c r="P5959" s="40"/>
      <c r="Q5959" s="61"/>
      <c r="R5959" s="61"/>
      <c r="S5959" s="40"/>
      <c r="T5959" s="38"/>
      <c r="U5959" s="38"/>
      <c r="V5959" s="38"/>
      <c r="W5959" s="60"/>
      <c r="AB5959" s="42"/>
      <c r="AC5959" s="35"/>
      <c r="AD5959" s="38"/>
      <c r="AE5959" s="38"/>
      <c r="AF5959" s="38"/>
      <c r="AG5959" s="38"/>
      <c r="AH5959" s="60"/>
    </row>
    <row r="5960" spans="1:34" ht="15.75" customHeight="1">
      <c r="A5960" s="75" t="s">
        <v>18646</v>
      </c>
      <c r="B5960" s="301" t="s">
        <v>20258</v>
      </c>
      <c r="C5960" s="37" t="s">
        <v>87</v>
      </c>
      <c r="D5960" s="20" t="s">
        <v>20259</v>
      </c>
      <c r="E5960" s="20" t="s">
        <v>20260</v>
      </c>
      <c r="F5960" s="19" t="s">
        <v>90</v>
      </c>
      <c r="G5960" s="19" t="s">
        <v>91</v>
      </c>
      <c r="H5960" s="37" t="s">
        <v>55</v>
      </c>
      <c r="I5960" s="37" t="s">
        <v>29</v>
      </c>
      <c r="J5960" s="155" t="str">
        <f t="shared" si="18"/>
        <v>TT</v>
      </c>
      <c r="K5960" s="22" t="s">
        <v>20261</v>
      </c>
      <c r="L5960" s="56">
        <v>45146</v>
      </c>
      <c r="P5960" s="40"/>
      <c r="Q5960" s="61"/>
      <c r="R5960" s="61"/>
      <c r="S5960" s="40"/>
      <c r="T5960" s="38"/>
      <c r="U5960" s="38"/>
      <c r="V5960" s="38"/>
      <c r="W5960" s="60"/>
      <c r="AB5960" s="42"/>
      <c r="AC5960" s="35"/>
      <c r="AD5960" s="38"/>
      <c r="AE5960" s="38"/>
      <c r="AF5960" s="38"/>
      <c r="AG5960" s="38"/>
      <c r="AH5960" s="60"/>
    </row>
    <row r="5961" spans="1:34" ht="15.75" customHeight="1">
      <c r="A5961" s="50" t="s">
        <v>56</v>
      </c>
      <c r="B5961" s="301" t="s">
        <v>20262</v>
      </c>
      <c r="C5961" s="37" t="s">
        <v>87</v>
      </c>
      <c r="D5961" s="20" t="s">
        <v>20263</v>
      </c>
      <c r="E5961" s="20" t="s">
        <v>20264</v>
      </c>
      <c r="F5961" s="19" t="s">
        <v>90</v>
      </c>
      <c r="G5961" s="19" t="s">
        <v>91</v>
      </c>
      <c r="H5961" s="37" t="s">
        <v>55</v>
      </c>
      <c r="I5961" s="37" t="s">
        <v>29</v>
      </c>
      <c r="J5961" s="155" t="str">
        <f t="shared" si="18"/>
        <v>TT</v>
      </c>
      <c r="K5961" s="22" t="s">
        <v>20265</v>
      </c>
      <c r="L5961" s="56">
        <v>45146</v>
      </c>
      <c r="P5961" s="40"/>
      <c r="Q5961" s="61"/>
      <c r="R5961" s="61"/>
      <c r="S5961" s="40"/>
      <c r="T5961" s="38"/>
      <c r="U5961" s="38"/>
      <c r="V5961" s="38"/>
      <c r="W5961" s="60"/>
      <c r="AB5961" s="42"/>
      <c r="AC5961" s="35"/>
      <c r="AD5961" s="38"/>
      <c r="AE5961" s="38"/>
      <c r="AF5961" s="38"/>
      <c r="AG5961" s="38"/>
      <c r="AH5961" s="60"/>
    </row>
    <row r="5962" spans="1:34" ht="15.75" customHeight="1">
      <c r="A5962" s="17" t="s">
        <v>18655</v>
      </c>
      <c r="B5962" s="301" t="s">
        <v>20266</v>
      </c>
      <c r="C5962" s="143" t="s">
        <v>46</v>
      </c>
      <c r="D5962" s="20" t="s">
        <v>20267</v>
      </c>
      <c r="E5962" s="20" t="s">
        <v>20268</v>
      </c>
      <c r="F5962" s="37" t="s">
        <v>49</v>
      </c>
      <c r="G5962" s="19" t="s">
        <v>50</v>
      </c>
      <c r="H5962" s="37" t="s">
        <v>55</v>
      </c>
      <c r="I5962" s="37" t="s">
        <v>29</v>
      </c>
      <c r="J5962" s="155" t="str">
        <f t="shared" si="18"/>
        <v>TT</v>
      </c>
      <c r="K5962" s="22" t="s">
        <v>20269</v>
      </c>
      <c r="L5962" s="56">
        <v>45146</v>
      </c>
      <c r="P5962" s="40"/>
      <c r="Q5962" s="61"/>
      <c r="R5962" s="61"/>
      <c r="S5962" s="40"/>
      <c r="T5962" s="38"/>
      <c r="U5962" s="38"/>
      <c r="V5962" s="38"/>
      <c r="W5962" s="60"/>
      <c r="AB5962" s="42"/>
      <c r="AC5962" s="35"/>
      <c r="AD5962" s="38"/>
      <c r="AE5962" s="38"/>
      <c r="AF5962" s="38"/>
      <c r="AG5962" s="38"/>
      <c r="AH5962" s="60"/>
    </row>
    <row r="5963" spans="1:34" ht="15.75" customHeight="1">
      <c r="A5963" s="111" t="s">
        <v>64</v>
      </c>
      <c r="B5963" s="301" t="s">
        <v>20270</v>
      </c>
      <c r="C5963" s="37" t="s">
        <v>87</v>
      </c>
      <c r="D5963" s="20" t="s">
        <v>20271</v>
      </c>
      <c r="E5963" s="20" t="s">
        <v>20272</v>
      </c>
      <c r="F5963" s="19" t="s">
        <v>90</v>
      </c>
      <c r="G5963" s="19" t="s">
        <v>91</v>
      </c>
      <c r="H5963" s="37" t="s">
        <v>55</v>
      </c>
      <c r="I5963" s="37" t="s">
        <v>29</v>
      </c>
      <c r="J5963" s="155" t="str">
        <f t="shared" si="18"/>
        <v>TT</v>
      </c>
      <c r="K5963" s="22" t="s">
        <v>20273</v>
      </c>
      <c r="L5963" s="56">
        <v>45146</v>
      </c>
      <c r="P5963" s="40"/>
      <c r="Q5963" s="61"/>
      <c r="R5963" s="61"/>
      <c r="S5963" s="40"/>
      <c r="T5963" s="38"/>
      <c r="U5963" s="38"/>
      <c r="V5963" s="38"/>
      <c r="W5963" s="60"/>
      <c r="AB5963" s="42"/>
      <c r="AC5963" s="35"/>
      <c r="AD5963" s="38"/>
      <c r="AE5963" s="38"/>
      <c r="AF5963" s="38"/>
      <c r="AG5963" s="38"/>
      <c r="AH5963" s="60"/>
    </row>
    <row r="5964" spans="1:34" ht="15.75" customHeight="1">
      <c r="A5964" s="75">
        <v>1.9</v>
      </c>
      <c r="B5964" s="301" t="s">
        <v>20274</v>
      </c>
      <c r="C5964" s="37" t="s">
        <v>87</v>
      </c>
      <c r="D5964" s="20" t="s">
        <v>20275</v>
      </c>
      <c r="E5964" s="20" t="s">
        <v>20276</v>
      </c>
      <c r="F5964" s="19" t="s">
        <v>90</v>
      </c>
      <c r="G5964" s="19" t="s">
        <v>91</v>
      </c>
      <c r="H5964" s="37" t="s">
        <v>55</v>
      </c>
      <c r="I5964" s="37" t="s">
        <v>29</v>
      </c>
      <c r="J5964" s="155" t="str">
        <f t="shared" si="18"/>
        <v>TT</v>
      </c>
      <c r="K5964" s="22" t="s">
        <v>20277</v>
      </c>
      <c r="L5964" s="56">
        <v>45146</v>
      </c>
      <c r="P5964" s="40"/>
      <c r="Q5964" s="61"/>
      <c r="R5964" s="61"/>
      <c r="S5964" s="40"/>
      <c r="T5964" s="38"/>
      <c r="U5964" s="38"/>
      <c r="V5964" s="38"/>
      <c r="W5964" s="60"/>
      <c r="AB5964" s="42"/>
      <c r="AC5964" s="35"/>
      <c r="AD5964" s="38"/>
      <c r="AE5964" s="38"/>
      <c r="AF5964" s="38"/>
      <c r="AG5964" s="38"/>
      <c r="AH5964" s="60"/>
    </row>
    <row r="5965" spans="1:34" ht="15.75" customHeight="1">
      <c r="A5965" s="111" t="s">
        <v>73</v>
      </c>
      <c r="B5965" s="301" t="s">
        <v>20278</v>
      </c>
      <c r="C5965" s="37" t="s">
        <v>87</v>
      </c>
      <c r="D5965" s="20" t="s">
        <v>20279</v>
      </c>
      <c r="E5965" s="20" t="s">
        <v>20280</v>
      </c>
      <c r="F5965" s="19" t="s">
        <v>90</v>
      </c>
      <c r="G5965" s="19" t="s">
        <v>91</v>
      </c>
      <c r="H5965" s="37" t="s">
        <v>55</v>
      </c>
      <c r="I5965" s="37" t="s">
        <v>29</v>
      </c>
      <c r="J5965" s="155" t="str">
        <f t="shared" si="18"/>
        <v>TT</v>
      </c>
      <c r="K5965" s="22" t="s">
        <v>20281</v>
      </c>
      <c r="L5965" s="56">
        <v>45146</v>
      </c>
      <c r="P5965" s="40"/>
      <c r="Q5965" s="61"/>
      <c r="R5965" s="61"/>
      <c r="S5965" s="40"/>
      <c r="T5965" s="38"/>
      <c r="U5965" s="38"/>
      <c r="V5965" s="38"/>
      <c r="W5965" s="60"/>
      <c r="AB5965" s="42"/>
      <c r="AC5965" s="35"/>
      <c r="AD5965" s="38"/>
      <c r="AE5965" s="38"/>
      <c r="AF5965" s="38"/>
      <c r="AG5965" s="38"/>
      <c r="AH5965" s="60"/>
    </row>
    <row r="5966" spans="1:34" ht="15.75" customHeight="1">
      <c r="A5966" s="75">
        <v>2.5</v>
      </c>
      <c r="B5966" s="38"/>
      <c r="C5966" s="37"/>
      <c r="D5966" s="20"/>
      <c r="E5966" s="25"/>
      <c r="F5966" s="37"/>
      <c r="G5966" s="37"/>
      <c r="H5966" s="37"/>
      <c r="I5966" s="37"/>
      <c r="J5966" s="155">
        <f t="shared" si="18"/>
        <v>0</v>
      </c>
      <c r="K5966" s="22"/>
      <c r="L5966" s="39"/>
      <c r="P5966" s="40"/>
      <c r="Q5966" s="61"/>
      <c r="R5966" s="61"/>
      <c r="S5966" s="40"/>
      <c r="T5966" s="38"/>
      <c r="U5966" s="38"/>
      <c r="V5966" s="38"/>
      <c r="W5966" s="60"/>
      <c r="AB5966" s="42"/>
      <c r="AC5966" s="35"/>
      <c r="AD5966" s="38"/>
      <c r="AE5966" s="38"/>
      <c r="AF5966" s="38"/>
      <c r="AG5966" s="38"/>
      <c r="AH5966" s="60"/>
    </row>
    <row r="5967" spans="1:34" ht="15.75" customHeight="1">
      <c r="A5967" s="111" t="s">
        <v>82</v>
      </c>
      <c r="B5967" s="38"/>
      <c r="C5967" s="37"/>
      <c r="D5967" s="20"/>
      <c r="E5967" s="20"/>
      <c r="F5967" s="37"/>
      <c r="G5967" s="37"/>
      <c r="H5967" s="37"/>
      <c r="I5967" s="37"/>
      <c r="J5967" s="155">
        <f t="shared" si="18"/>
        <v>0</v>
      </c>
      <c r="K5967" s="22"/>
      <c r="L5967" s="56"/>
      <c r="P5967" s="40"/>
      <c r="Q5967" s="61"/>
      <c r="R5967" s="61"/>
      <c r="S5967" s="40"/>
      <c r="T5967" s="38"/>
      <c r="U5967" s="38"/>
      <c r="V5967" s="38"/>
      <c r="W5967" s="60"/>
      <c r="AB5967" s="42"/>
      <c r="AC5967" s="35"/>
      <c r="AD5967" s="38"/>
      <c r="AE5967" s="38"/>
      <c r="AF5967" s="38"/>
      <c r="AG5967" s="38"/>
      <c r="AH5967" s="60"/>
    </row>
    <row r="5968" spans="1:34" ht="15.75" customHeight="1">
      <c r="A5968" s="75" t="s">
        <v>20282</v>
      </c>
      <c r="B5968" s="38"/>
      <c r="C5968" s="37"/>
      <c r="D5968" s="20"/>
      <c r="E5968" s="20"/>
      <c r="F5968" s="37"/>
      <c r="G5968" s="37"/>
      <c r="H5968" s="37"/>
      <c r="I5968" s="37"/>
      <c r="J5968" s="155">
        <f t="shared" si="18"/>
        <v>0</v>
      </c>
      <c r="K5968" s="22"/>
      <c r="L5968" s="56"/>
      <c r="P5968" s="40"/>
      <c r="Q5968" s="61"/>
      <c r="R5968" s="61"/>
      <c r="S5968" s="40"/>
      <c r="T5968" s="38"/>
      <c r="U5968" s="38"/>
      <c r="V5968" s="38"/>
      <c r="W5968" s="60"/>
      <c r="AB5968" s="42"/>
      <c r="AC5968" s="35"/>
      <c r="AD5968" s="38"/>
      <c r="AE5968" s="38"/>
      <c r="AF5968" s="38"/>
      <c r="AG5968" s="38"/>
      <c r="AH5968" s="60"/>
    </row>
    <row r="5969" spans="1:34" ht="15.75" customHeight="1">
      <c r="A5969" s="111" t="s">
        <v>92</v>
      </c>
      <c r="B5969" s="38"/>
      <c r="C5969" s="37"/>
      <c r="D5969" s="20"/>
      <c r="E5969" s="20"/>
      <c r="F5969" s="37"/>
      <c r="G5969" s="37"/>
      <c r="H5969" s="37"/>
      <c r="I5969" s="37"/>
      <c r="J5969" s="155">
        <f t="shared" si="18"/>
        <v>0</v>
      </c>
      <c r="K5969" s="22"/>
      <c r="L5969" s="56"/>
      <c r="P5969" s="40"/>
      <c r="Q5969" s="61"/>
      <c r="R5969" s="61"/>
      <c r="S5969" s="40"/>
      <c r="T5969" s="38"/>
      <c r="U5969" s="38"/>
      <c r="V5969" s="38"/>
      <c r="W5969" s="60"/>
      <c r="AB5969" s="42"/>
      <c r="AC5969" s="35"/>
      <c r="AD5969" s="38"/>
      <c r="AE5969" s="38"/>
      <c r="AF5969" s="38"/>
      <c r="AG5969" s="38"/>
      <c r="AH5969" s="60"/>
    </row>
    <row r="5970" spans="1:34" ht="15.75" customHeight="1">
      <c r="A5970" s="112">
        <v>366</v>
      </c>
      <c r="B5970" s="38"/>
      <c r="C5970" s="37"/>
      <c r="D5970" s="20"/>
      <c r="E5970" s="20"/>
      <c r="F5970" s="37"/>
      <c r="G5970" s="37"/>
      <c r="H5970" s="37"/>
      <c r="I5970" s="37"/>
      <c r="J5970" s="155">
        <f t="shared" si="18"/>
        <v>0</v>
      </c>
      <c r="K5970" s="22"/>
      <c r="L5970" s="56"/>
      <c r="P5970" s="40"/>
      <c r="Q5970" s="61"/>
      <c r="R5970" s="61"/>
      <c r="S5970" s="40"/>
      <c r="T5970" s="38"/>
      <c r="U5970" s="38"/>
      <c r="V5970" s="38"/>
      <c r="W5970" s="60"/>
      <c r="AB5970" s="42"/>
      <c r="AC5970" s="35"/>
      <c r="AD5970" s="38"/>
      <c r="AE5970" s="38"/>
      <c r="AF5970" s="38"/>
      <c r="AG5970" s="38"/>
      <c r="AH5970" s="60"/>
    </row>
    <row r="5971" spans="1:34" ht="15.75" customHeight="1">
      <c r="A5971" s="111" t="s">
        <v>100</v>
      </c>
      <c r="B5971" s="38"/>
      <c r="C5971" s="37"/>
      <c r="D5971" s="20"/>
      <c r="E5971" s="20"/>
      <c r="F5971" s="37"/>
      <c r="G5971" s="37"/>
      <c r="H5971" s="37"/>
      <c r="I5971" s="37"/>
      <c r="J5971" s="155">
        <f t="shared" si="18"/>
        <v>0</v>
      </c>
      <c r="K5971" s="22"/>
      <c r="L5971" s="56"/>
      <c r="P5971" s="40"/>
      <c r="Q5971" s="61"/>
      <c r="R5971" s="61"/>
      <c r="S5971" s="40"/>
      <c r="T5971" s="38"/>
      <c r="U5971" s="38"/>
      <c r="V5971" s="38"/>
      <c r="W5971" s="60"/>
      <c r="AB5971" s="42"/>
      <c r="AC5971" s="35"/>
      <c r="AD5971" s="38"/>
      <c r="AE5971" s="38"/>
      <c r="AF5971" s="38"/>
      <c r="AG5971" s="38"/>
      <c r="AH5971" s="60"/>
    </row>
    <row r="5972" spans="1:34" ht="15.75" customHeight="1">
      <c r="A5972" s="75">
        <v>164</v>
      </c>
      <c r="B5972" s="38"/>
      <c r="C5972" s="37"/>
      <c r="D5972" s="20"/>
      <c r="E5972" s="20"/>
      <c r="F5972" s="37"/>
      <c r="G5972" s="37"/>
      <c r="H5972" s="37"/>
      <c r="I5972" s="37"/>
      <c r="J5972" s="155">
        <f t="shared" si="18"/>
        <v>0</v>
      </c>
      <c r="K5972" s="22"/>
      <c r="L5972" s="56"/>
      <c r="P5972" s="40"/>
      <c r="Q5972" s="61"/>
      <c r="R5972" s="61"/>
      <c r="S5972" s="40"/>
      <c r="T5972" s="38"/>
      <c r="U5972" s="38"/>
      <c r="V5972" s="38"/>
      <c r="W5972" s="60"/>
      <c r="AB5972" s="42"/>
      <c r="AC5972" s="35"/>
      <c r="AD5972" s="38"/>
      <c r="AE5972" s="38"/>
      <c r="AF5972" s="38"/>
      <c r="AG5972" s="38"/>
      <c r="AH5972" s="60"/>
    </row>
    <row r="5973" spans="1:34" ht="15.75" customHeight="1">
      <c r="A5973" s="35"/>
      <c r="B5973" s="38"/>
      <c r="C5973" s="37"/>
      <c r="D5973" s="20"/>
      <c r="E5973" s="20"/>
      <c r="F5973" s="37"/>
      <c r="G5973" s="37"/>
      <c r="H5973" s="37"/>
      <c r="I5973" s="37"/>
      <c r="J5973" s="155">
        <f t="shared" si="18"/>
        <v>0</v>
      </c>
      <c r="K5973" s="22"/>
      <c r="L5973" s="56"/>
      <c r="P5973" s="40"/>
      <c r="Q5973" s="61"/>
      <c r="R5973" s="61"/>
      <c r="S5973" s="40"/>
      <c r="T5973" s="38"/>
      <c r="U5973" s="38"/>
      <c r="V5973" s="38"/>
      <c r="W5973" s="60"/>
      <c r="AB5973" s="42"/>
      <c r="AC5973" s="35"/>
      <c r="AD5973" s="38"/>
      <c r="AE5973" s="38"/>
      <c r="AF5973" s="38"/>
      <c r="AG5973" s="38"/>
      <c r="AH5973" s="60"/>
    </row>
    <row r="5974" spans="1:34" ht="15.75" customHeight="1">
      <c r="A5974" s="35" t="s">
        <v>20283</v>
      </c>
      <c r="B5974" s="78" t="s">
        <v>20284</v>
      </c>
      <c r="C5974" s="37" t="s">
        <v>24</v>
      </c>
      <c r="D5974" s="20" t="s">
        <v>20285</v>
      </c>
      <c r="E5974" s="20" t="s">
        <v>20286</v>
      </c>
      <c r="F5974" s="19" t="s">
        <v>27</v>
      </c>
      <c r="G5974" s="19" t="s">
        <v>28</v>
      </c>
      <c r="H5974" s="37" t="s">
        <v>55</v>
      </c>
      <c r="I5974" s="37" t="s">
        <v>29</v>
      </c>
      <c r="J5974" s="155" t="str">
        <f t="shared" si="18"/>
        <v>TT</v>
      </c>
      <c r="K5974" s="22" t="s">
        <v>20287</v>
      </c>
      <c r="L5974" s="56">
        <v>45146</v>
      </c>
      <c r="M5974" s="40"/>
      <c r="P5974" s="40"/>
      <c r="Q5974" s="61"/>
      <c r="R5974" s="61"/>
      <c r="S5974" s="40"/>
      <c r="T5974" s="38"/>
      <c r="U5974" s="38"/>
      <c r="V5974" s="38"/>
      <c r="W5974" s="60"/>
      <c r="AB5974" s="42"/>
      <c r="AC5974" s="35"/>
      <c r="AD5974" s="38"/>
      <c r="AE5974" s="38"/>
      <c r="AF5974" s="38"/>
      <c r="AG5974" s="38"/>
      <c r="AH5974" s="60"/>
    </row>
    <row r="5975" spans="1:34" ht="15.75" customHeight="1">
      <c r="A5975" s="54" t="s">
        <v>2714</v>
      </c>
      <c r="B5975" s="78" t="s">
        <v>20288</v>
      </c>
      <c r="C5975" s="37" t="s">
        <v>24</v>
      </c>
      <c r="D5975" s="20" t="s">
        <v>20289</v>
      </c>
      <c r="E5975" s="20" t="s">
        <v>20290</v>
      </c>
      <c r="F5975" s="19" t="s">
        <v>90</v>
      </c>
      <c r="G5975" s="19" t="s">
        <v>28</v>
      </c>
      <c r="H5975" s="19" t="s">
        <v>36</v>
      </c>
      <c r="I5975" s="37" t="s">
        <v>29</v>
      </c>
      <c r="J5975" s="155" t="str">
        <f t="shared" si="18"/>
        <v>TT</v>
      </c>
      <c r="K5975" s="22" t="s">
        <v>20291</v>
      </c>
      <c r="L5975" s="56">
        <v>45146</v>
      </c>
      <c r="P5975" s="40"/>
      <c r="Q5975" s="61"/>
      <c r="R5975" s="61"/>
      <c r="S5975" s="40"/>
      <c r="T5975" s="38"/>
      <c r="U5975" s="38"/>
      <c r="V5975" s="38"/>
      <c r="W5975" s="60"/>
      <c r="AB5975" s="42"/>
      <c r="AC5975" s="35"/>
      <c r="AD5975" s="38"/>
      <c r="AE5975" s="38"/>
      <c r="AF5975" s="38"/>
      <c r="AG5975" s="38"/>
      <c r="AH5975" s="60"/>
    </row>
    <row r="5976" spans="1:34" ht="15.75" customHeight="1">
      <c r="A5976" s="114" t="s">
        <v>39</v>
      </c>
      <c r="B5976" s="78" t="s">
        <v>20292</v>
      </c>
      <c r="C5976" s="37" t="s">
        <v>24</v>
      </c>
      <c r="D5976" s="20" t="s">
        <v>20293</v>
      </c>
      <c r="E5976" s="20" t="s">
        <v>20294</v>
      </c>
      <c r="F5976" s="19" t="s">
        <v>27</v>
      </c>
      <c r="G5976" s="19" t="s">
        <v>28</v>
      </c>
      <c r="H5976" s="19" t="s">
        <v>36</v>
      </c>
      <c r="I5976" s="37" t="s">
        <v>29</v>
      </c>
      <c r="J5976" s="155" t="str">
        <f t="shared" si="18"/>
        <v>TT</v>
      </c>
      <c r="K5976" s="22" t="s">
        <v>20295</v>
      </c>
      <c r="L5976" s="56">
        <v>45146</v>
      </c>
      <c r="P5976" s="40"/>
      <c r="Q5976" s="61"/>
      <c r="R5976" s="61"/>
      <c r="S5976" s="40"/>
      <c r="T5976" s="38"/>
      <c r="U5976" s="38"/>
      <c r="V5976" s="38"/>
      <c r="W5976" s="60"/>
      <c r="AB5976" s="42"/>
      <c r="AC5976" s="35"/>
      <c r="AD5976" s="38"/>
      <c r="AE5976" s="38"/>
      <c r="AF5976" s="38"/>
      <c r="AG5976" s="38"/>
      <c r="AH5976" s="60"/>
    </row>
    <row r="5977" spans="1:34" ht="15.75" customHeight="1">
      <c r="A5977" s="38" t="s">
        <v>20051</v>
      </c>
      <c r="B5977" s="83" t="s">
        <v>20296</v>
      </c>
      <c r="C5977" s="37" t="s">
        <v>121</v>
      </c>
      <c r="D5977" s="20" t="s">
        <v>20297</v>
      </c>
      <c r="E5977" s="20" t="s">
        <v>20298</v>
      </c>
      <c r="F5977" s="19" t="s">
        <v>27</v>
      </c>
      <c r="G5977" s="19" t="s">
        <v>28</v>
      </c>
      <c r="H5977" s="37" t="s">
        <v>55</v>
      </c>
      <c r="I5977" s="37" t="s">
        <v>29</v>
      </c>
      <c r="J5977" s="155" t="str">
        <f t="shared" si="18"/>
        <v>TT</v>
      </c>
      <c r="K5977" s="22" t="s">
        <v>20299</v>
      </c>
      <c r="L5977" s="56">
        <v>45146</v>
      </c>
      <c r="P5977" s="40"/>
      <c r="Q5977" s="61"/>
      <c r="R5977" s="61"/>
      <c r="S5977" s="40"/>
      <c r="T5977" s="38"/>
      <c r="U5977" s="38"/>
      <c r="V5977" s="38"/>
      <c r="W5977" s="60"/>
      <c r="AB5977" s="42"/>
      <c r="AC5977" s="35"/>
      <c r="AD5977" s="38"/>
      <c r="AE5977" s="38"/>
      <c r="AF5977" s="38"/>
      <c r="AG5977" s="38"/>
      <c r="AH5977" s="60"/>
    </row>
    <row r="5978" spans="1:34" ht="15.75" customHeight="1">
      <c r="A5978" s="75" t="s">
        <v>18646</v>
      </c>
      <c r="B5978" s="78" t="s">
        <v>20300</v>
      </c>
      <c r="C5978" s="37" t="s">
        <v>24</v>
      </c>
      <c r="D5978" s="20" t="s">
        <v>20301</v>
      </c>
      <c r="E5978" s="20" t="s">
        <v>20302</v>
      </c>
      <c r="F5978" s="19" t="s">
        <v>27</v>
      </c>
      <c r="G5978" s="19" t="s">
        <v>28</v>
      </c>
      <c r="H5978" s="37" t="s">
        <v>55</v>
      </c>
      <c r="I5978" s="37" t="s">
        <v>29</v>
      </c>
      <c r="J5978" s="155" t="str">
        <f t="shared" si="18"/>
        <v>TT</v>
      </c>
      <c r="K5978" s="22" t="s">
        <v>20303</v>
      </c>
      <c r="L5978" s="56">
        <v>45146</v>
      </c>
      <c r="P5978" s="40"/>
      <c r="Q5978" s="61"/>
      <c r="R5978" s="61"/>
      <c r="S5978" s="40"/>
      <c r="T5978" s="38"/>
      <c r="U5978" s="38"/>
      <c r="V5978" s="38"/>
      <c r="W5978" s="60"/>
      <c r="AB5978" s="42"/>
      <c r="AC5978" s="35"/>
      <c r="AD5978" s="38"/>
      <c r="AE5978" s="38"/>
      <c r="AF5978" s="38"/>
      <c r="AG5978" s="38"/>
      <c r="AH5978" s="60"/>
    </row>
    <row r="5979" spans="1:34" ht="15.75" customHeight="1">
      <c r="A5979" s="50" t="s">
        <v>56</v>
      </c>
      <c r="B5979" s="81" t="s">
        <v>20304</v>
      </c>
      <c r="C5979" s="37" t="s">
        <v>24</v>
      </c>
      <c r="D5979" s="20" t="s">
        <v>20305</v>
      </c>
      <c r="E5979" s="20" t="s">
        <v>20306</v>
      </c>
      <c r="F5979" s="19" t="s">
        <v>27</v>
      </c>
      <c r="G5979" s="19" t="s">
        <v>28</v>
      </c>
      <c r="H5979" s="37" t="s">
        <v>55</v>
      </c>
      <c r="I5979" s="37" t="s">
        <v>29</v>
      </c>
      <c r="J5979" s="155" t="str">
        <f t="shared" si="18"/>
        <v>TT</v>
      </c>
      <c r="K5979" s="22" t="s">
        <v>20307</v>
      </c>
      <c r="L5979" s="56">
        <v>45146</v>
      </c>
      <c r="P5979" s="40"/>
      <c r="Q5979" s="61"/>
      <c r="R5979" s="61"/>
      <c r="S5979" s="40"/>
      <c r="T5979" s="38"/>
      <c r="U5979" s="38"/>
      <c r="V5979" s="38"/>
      <c r="W5979" s="60"/>
      <c r="AB5979" s="42"/>
      <c r="AC5979" s="35"/>
      <c r="AD5979" s="38"/>
      <c r="AE5979" s="38"/>
      <c r="AF5979" s="38"/>
      <c r="AG5979" s="38"/>
      <c r="AH5979" s="60"/>
    </row>
    <row r="5980" spans="1:34" ht="15.75" customHeight="1">
      <c r="A5980" s="17" t="s">
        <v>18655</v>
      </c>
      <c r="B5980" s="78" t="s">
        <v>20308</v>
      </c>
      <c r="C5980" s="37" t="s">
        <v>87</v>
      </c>
      <c r="D5980" s="20" t="s">
        <v>20309</v>
      </c>
      <c r="E5980" s="20" t="s">
        <v>20310</v>
      </c>
      <c r="F5980" s="19" t="s">
        <v>90</v>
      </c>
      <c r="G5980" s="19" t="s">
        <v>91</v>
      </c>
      <c r="H5980" s="37" t="s">
        <v>55</v>
      </c>
      <c r="I5980" s="37" t="s">
        <v>29</v>
      </c>
      <c r="J5980" s="155" t="str">
        <f t="shared" si="18"/>
        <v>TT</v>
      </c>
      <c r="K5980" s="22" t="s">
        <v>20311</v>
      </c>
      <c r="L5980" s="56">
        <v>45146</v>
      </c>
      <c r="P5980" s="40"/>
      <c r="Q5980" s="61"/>
      <c r="R5980" s="61"/>
      <c r="S5980" s="40"/>
      <c r="T5980" s="38"/>
      <c r="U5980" s="38"/>
      <c r="V5980" s="38"/>
      <c r="W5980" s="60"/>
      <c r="AB5980" s="42"/>
      <c r="AC5980" s="35"/>
      <c r="AD5980" s="38"/>
      <c r="AE5980" s="38"/>
      <c r="AF5980" s="38"/>
      <c r="AG5980" s="38"/>
      <c r="AH5980" s="60"/>
    </row>
    <row r="5981" spans="1:34" ht="15.75" customHeight="1">
      <c r="A5981" s="111" t="s">
        <v>64</v>
      </c>
      <c r="B5981" s="78" t="s">
        <v>20312</v>
      </c>
      <c r="C5981" s="37" t="s">
        <v>24</v>
      </c>
      <c r="D5981" s="20" t="s">
        <v>20313</v>
      </c>
      <c r="E5981" s="20" t="s">
        <v>20314</v>
      </c>
      <c r="F5981" s="19" t="s">
        <v>27</v>
      </c>
      <c r="G5981" s="19" t="s">
        <v>28</v>
      </c>
      <c r="H5981" s="37" t="s">
        <v>55</v>
      </c>
      <c r="I5981" s="37" t="s">
        <v>29</v>
      </c>
      <c r="J5981" s="155" t="str">
        <f t="shared" si="18"/>
        <v>TT</v>
      </c>
      <c r="K5981" s="22" t="s">
        <v>20315</v>
      </c>
      <c r="L5981" s="56">
        <v>45146</v>
      </c>
      <c r="P5981" s="40"/>
      <c r="Q5981" s="61"/>
      <c r="R5981" s="61"/>
      <c r="S5981" s="40"/>
      <c r="T5981" s="38"/>
      <c r="U5981" s="38"/>
      <c r="V5981" s="38"/>
      <c r="W5981" s="60"/>
      <c r="AB5981" s="42"/>
      <c r="AC5981" s="35"/>
      <c r="AD5981" s="38"/>
      <c r="AE5981" s="38"/>
      <c r="AF5981" s="38"/>
      <c r="AG5981" s="38"/>
      <c r="AH5981" s="60"/>
    </row>
    <row r="5982" spans="1:34" ht="15.75" customHeight="1">
      <c r="A5982" s="75">
        <v>1.7</v>
      </c>
      <c r="B5982" s="78"/>
      <c r="C5982" s="37"/>
      <c r="D5982" s="20"/>
      <c r="E5982" s="20"/>
      <c r="F5982" s="37"/>
      <c r="G5982" s="37"/>
      <c r="H5982" s="37"/>
      <c r="I5982" s="37"/>
      <c r="J5982" s="155">
        <f t="shared" si="18"/>
        <v>0</v>
      </c>
      <c r="K5982" s="22"/>
      <c r="L5982" s="56"/>
      <c r="P5982" s="40"/>
      <c r="Q5982" s="61"/>
      <c r="R5982" s="61"/>
      <c r="S5982" s="40"/>
      <c r="T5982" s="38"/>
      <c r="U5982" s="38"/>
      <c r="V5982" s="38"/>
      <c r="W5982" s="60"/>
      <c r="AB5982" s="42"/>
      <c r="AC5982" s="35"/>
      <c r="AD5982" s="38"/>
      <c r="AE5982" s="38"/>
      <c r="AF5982" s="38"/>
      <c r="AG5982" s="38"/>
      <c r="AH5982" s="60"/>
    </row>
    <row r="5983" spans="1:34" ht="15.75" customHeight="1">
      <c r="A5983" s="111" t="s">
        <v>73</v>
      </c>
      <c r="B5983" s="38"/>
      <c r="C5983" s="37"/>
      <c r="D5983" s="20"/>
      <c r="E5983" s="20"/>
      <c r="F5983" s="37"/>
      <c r="G5983" s="37"/>
      <c r="H5983" s="37"/>
      <c r="I5983" s="37"/>
      <c r="J5983" s="155">
        <f t="shared" si="18"/>
        <v>0</v>
      </c>
      <c r="K5983" s="22"/>
      <c r="L5983" s="56"/>
      <c r="P5983" s="40"/>
      <c r="Q5983" s="61"/>
      <c r="R5983" s="61"/>
      <c r="S5983" s="40"/>
      <c r="T5983" s="38"/>
      <c r="U5983" s="38"/>
      <c r="V5983" s="38"/>
      <c r="W5983" s="60"/>
      <c r="AB5983" s="42"/>
      <c r="AC5983" s="35"/>
      <c r="AD5983" s="38"/>
      <c r="AE5983" s="38"/>
      <c r="AF5983" s="38"/>
      <c r="AG5983" s="38"/>
      <c r="AH5983" s="60"/>
    </row>
    <row r="5984" spans="1:34" ht="15.75" customHeight="1">
      <c r="A5984" s="75">
        <v>1.9</v>
      </c>
      <c r="B5984" s="38"/>
      <c r="C5984" s="37"/>
      <c r="D5984" s="20"/>
      <c r="E5984" s="20"/>
      <c r="F5984" s="37"/>
      <c r="G5984" s="37"/>
      <c r="H5984" s="37"/>
      <c r="I5984" s="37"/>
      <c r="J5984" s="155">
        <f t="shared" si="18"/>
        <v>0</v>
      </c>
      <c r="K5984" s="22"/>
      <c r="L5984" s="56"/>
      <c r="P5984" s="40"/>
      <c r="Q5984" s="61"/>
      <c r="R5984" s="61"/>
      <c r="S5984" s="40"/>
      <c r="T5984" s="38"/>
      <c r="U5984" s="38"/>
      <c r="V5984" s="38"/>
      <c r="W5984" s="60"/>
      <c r="AB5984" s="42"/>
      <c r="AC5984" s="35"/>
      <c r="AD5984" s="38"/>
      <c r="AE5984" s="38"/>
      <c r="AF5984" s="38"/>
      <c r="AG5984" s="38"/>
      <c r="AH5984" s="60"/>
    </row>
    <row r="5985" spans="1:34" ht="15.75" customHeight="1">
      <c r="A5985" s="111" t="s">
        <v>82</v>
      </c>
      <c r="B5985" s="38"/>
      <c r="C5985" s="37"/>
      <c r="D5985" s="20"/>
      <c r="E5985" s="20"/>
      <c r="F5985" s="37"/>
      <c r="G5985" s="37"/>
      <c r="H5985" s="37"/>
      <c r="I5985" s="37"/>
      <c r="J5985" s="155">
        <f t="shared" si="18"/>
        <v>0</v>
      </c>
      <c r="K5985" s="22"/>
      <c r="L5985" s="56"/>
      <c r="P5985" s="40"/>
      <c r="Q5985" s="61"/>
      <c r="R5985" s="61"/>
      <c r="S5985" s="40"/>
      <c r="T5985" s="38"/>
      <c r="U5985" s="38"/>
      <c r="V5985" s="38"/>
      <c r="W5985" s="60"/>
      <c r="AB5985" s="42"/>
      <c r="AC5985" s="35"/>
      <c r="AD5985" s="38"/>
      <c r="AE5985" s="38"/>
      <c r="AF5985" s="38"/>
      <c r="AG5985" s="38"/>
      <c r="AH5985" s="60"/>
    </row>
    <row r="5986" spans="1:34" ht="15.75" customHeight="1">
      <c r="A5986" s="75" t="s">
        <v>20316</v>
      </c>
      <c r="B5986" s="38"/>
      <c r="C5986" s="37"/>
      <c r="D5986" s="20"/>
      <c r="E5986" s="20"/>
      <c r="F5986" s="37"/>
      <c r="G5986" s="37"/>
      <c r="H5986" s="37"/>
      <c r="I5986" s="37"/>
      <c r="J5986" s="155">
        <f t="shared" si="18"/>
        <v>0</v>
      </c>
      <c r="K5986" s="22"/>
      <c r="L5986" s="56"/>
      <c r="P5986" s="40"/>
      <c r="Q5986" s="61"/>
      <c r="R5986" s="61"/>
      <c r="S5986" s="40"/>
      <c r="T5986" s="38"/>
      <c r="U5986" s="38"/>
      <c r="V5986" s="38"/>
      <c r="W5986" s="60"/>
      <c r="AB5986" s="42"/>
      <c r="AC5986" s="35"/>
      <c r="AD5986" s="38"/>
      <c r="AE5986" s="38"/>
      <c r="AF5986" s="38"/>
      <c r="AG5986" s="38"/>
      <c r="AH5986" s="60"/>
    </row>
    <row r="5987" spans="1:34" ht="15.75" customHeight="1">
      <c r="A5987" s="111" t="s">
        <v>92</v>
      </c>
      <c r="B5987" s="38"/>
      <c r="C5987" s="37"/>
      <c r="D5987" s="20"/>
      <c r="E5987" s="20"/>
      <c r="F5987" s="37"/>
      <c r="G5987" s="37"/>
      <c r="H5987" s="37"/>
      <c r="I5987" s="37"/>
      <c r="J5987" s="155">
        <f t="shared" si="18"/>
        <v>0</v>
      </c>
      <c r="K5987" s="22"/>
      <c r="L5987" s="56"/>
      <c r="P5987" s="40"/>
      <c r="Q5987" s="61"/>
      <c r="R5987" s="61"/>
      <c r="S5987" s="40"/>
      <c r="T5987" s="38"/>
      <c r="U5987" s="38"/>
      <c r="V5987" s="38"/>
      <c r="W5987" s="60"/>
      <c r="AB5987" s="42"/>
      <c r="AC5987" s="35"/>
      <c r="AD5987" s="38"/>
      <c r="AE5987" s="38"/>
      <c r="AF5987" s="38"/>
      <c r="AG5987" s="38"/>
      <c r="AH5987" s="60"/>
    </row>
    <row r="5988" spans="1:34" ht="15.75" customHeight="1">
      <c r="A5988" s="112">
        <v>38</v>
      </c>
      <c r="B5988" s="38"/>
      <c r="C5988" s="37"/>
      <c r="D5988" s="20"/>
      <c r="E5988" s="20"/>
      <c r="F5988" s="37"/>
      <c r="G5988" s="37"/>
      <c r="H5988" s="37"/>
      <c r="I5988" s="37"/>
      <c r="J5988" s="155">
        <f t="shared" si="18"/>
        <v>0</v>
      </c>
      <c r="K5988" s="22"/>
      <c r="L5988" s="56"/>
      <c r="P5988" s="40"/>
      <c r="Q5988" s="61"/>
      <c r="R5988" s="61"/>
      <c r="S5988" s="40"/>
      <c r="T5988" s="38"/>
      <c r="U5988" s="38"/>
      <c r="V5988" s="38"/>
      <c r="W5988" s="60"/>
      <c r="AB5988" s="42"/>
      <c r="AC5988" s="35"/>
      <c r="AD5988" s="38"/>
      <c r="AE5988" s="38"/>
      <c r="AF5988" s="38"/>
      <c r="AG5988" s="38"/>
      <c r="AH5988" s="60"/>
    </row>
    <row r="5989" spans="1:34" ht="15.75" customHeight="1">
      <c r="A5989" s="111" t="s">
        <v>100</v>
      </c>
      <c r="B5989" s="38"/>
      <c r="C5989" s="37"/>
      <c r="D5989" s="20"/>
      <c r="E5989" s="20"/>
      <c r="F5989" s="37"/>
      <c r="G5989" s="37"/>
      <c r="H5989" s="37"/>
      <c r="I5989" s="37"/>
      <c r="J5989" s="155">
        <f t="shared" si="18"/>
        <v>0</v>
      </c>
      <c r="K5989" s="22"/>
      <c r="L5989" s="56"/>
      <c r="P5989" s="40"/>
      <c r="Q5989" s="61"/>
      <c r="R5989" s="61"/>
      <c r="S5989" s="40"/>
      <c r="T5989" s="38"/>
      <c r="U5989" s="38"/>
      <c r="V5989" s="38"/>
      <c r="W5989" s="60"/>
      <c r="AB5989" s="42"/>
      <c r="AC5989" s="35"/>
      <c r="AD5989" s="38"/>
      <c r="AE5989" s="38"/>
      <c r="AF5989" s="38"/>
      <c r="AG5989" s="38"/>
      <c r="AH5989" s="60"/>
    </row>
    <row r="5990" spans="1:34" ht="15.75" customHeight="1">
      <c r="A5990" s="75" t="s">
        <v>55</v>
      </c>
      <c r="B5990" s="38"/>
      <c r="C5990" s="37"/>
      <c r="D5990" s="20"/>
      <c r="E5990" s="20"/>
      <c r="F5990" s="37"/>
      <c r="G5990" s="37"/>
      <c r="H5990" s="37"/>
      <c r="I5990" s="37"/>
      <c r="J5990" s="155">
        <f t="shared" si="18"/>
        <v>0</v>
      </c>
      <c r="K5990" s="22"/>
      <c r="L5990" s="56"/>
      <c r="P5990" s="40"/>
      <c r="Q5990" s="61"/>
      <c r="R5990" s="61"/>
      <c r="S5990" s="40"/>
      <c r="T5990" s="38"/>
      <c r="U5990" s="38"/>
      <c r="V5990" s="38"/>
      <c r="W5990" s="60"/>
      <c r="AB5990" s="42"/>
      <c r="AC5990" s="35"/>
      <c r="AD5990" s="38"/>
      <c r="AE5990" s="38"/>
      <c r="AF5990" s="38"/>
      <c r="AG5990" s="38"/>
      <c r="AH5990" s="60"/>
    </row>
    <row r="5991" spans="1:34" ht="15.75" customHeight="1">
      <c r="A5991" s="35"/>
      <c r="B5991" s="38"/>
      <c r="C5991" s="37"/>
      <c r="D5991" s="20"/>
      <c r="E5991" s="20"/>
      <c r="F5991" s="37"/>
      <c r="G5991" s="37"/>
      <c r="H5991" s="37"/>
      <c r="I5991" s="37"/>
      <c r="J5991" s="155">
        <f t="shared" si="18"/>
        <v>0</v>
      </c>
      <c r="K5991" s="22"/>
      <c r="L5991" s="56"/>
      <c r="P5991" s="40"/>
      <c r="Q5991" s="61"/>
      <c r="R5991" s="61"/>
      <c r="S5991" s="40"/>
      <c r="T5991" s="38"/>
      <c r="U5991" s="38"/>
      <c r="V5991" s="38"/>
      <c r="W5991" s="60"/>
      <c r="AB5991" s="42"/>
      <c r="AC5991" s="35"/>
      <c r="AD5991" s="38"/>
      <c r="AE5991" s="38"/>
      <c r="AF5991" s="38"/>
      <c r="AG5991" s="38"/>
      <c r="AH5991" s="60"/>
    </row>
    <row r="5992" spans="1:34" ht="15.75" customHeight="1">
      <c r="A5992" s="35" t="s">
        <v>20317</v>
      </c>
      <c r="B5992" s="83" t="s">
        <v>20318</v>
      </c>
      <c r="C5992" s="19" t="s">
        <v>121</v>
      </c>
      <c r="D5992" s="20" t="s">
        <v>20319</v>
      </c>
      <c r="E5992" s="20" t="s">
        <v>20320</v>
      </c>
      <c r="F5992" s="19" t="s">
        <v>27</v>
      </c>
      <c r="G5992" s="19" t="s">
        <v>28</v>
      </c>
      <c r="H5992" s="37" t="s">
        <v>55</v>
      </c>
      <c r="I5992" s="37" t="s">
        <v>29</v>
      </c>
      <c r="J5992" s="155" t="str">
        <f t="shared" si="18"/>
        <v>TT</v>
      </c>
      <c r="K5992" s="22" t="s">
        <v>20321</v>
      </c>
      <c r="L5992" s="56">
        <v>45146</v>
      </c>
      <c r="M5992" s="40"/>
      <c r="P5992" s="40"/>
      <c r="Q5992" s="61"/>
      <c r="R5992" s="61"/>
      <c r="S5992" s="40"/>
      <c r="T5992" s="38"/>
      <c r="U5992" s="38"/>
      <c r="V5992" s="38"/>
      <c r="W5992" s="60"/>
      <c r="AB5992" s="42"/>
      <c r="AC5992" s="35"/>
      <c r="AD5992" s="38"/>
      <c r="AE5992" s="38"/>
      <c r="AF5992" s="38"/>
      <c r="AG5992" s="38"/>
      <c r="AH5992" s="60"/>
    </row>
    <row r="5993" spans="1:34" ht="15.75" customHeight="1">
      <c r="A5993" s="54" t="s">
        <v>2714</v>
      </c>
      <c r="B5993" s="78" t="s">
        <v>20322</v>
      </c>
      <c r="C5993" s="37" t="s">
        <v>46</v>
      </c>
      <c r="D5993" s="20" t="s">
        <v>20323</v>
      </c>
      <c r="E5993" s="20" t="s">
        <v>20324</v>
      </c>
      <c r="F5993" s="37" t="s">
        <v>49</v>
      </c>
      <c r="G5993" s="19" t="s">
        <v>50</v>
      </c>
      <c r="H5993" s="37" t="s">
        <v>55</v>
      </c>
      <c r="I5993" s="37" t="s">
        <v>29</v>
      </c>
      <c r="J5993" s="155" t="str">
        <f t="shared" si="18"/>
        <v>TT</v>
      </c>
      <c r="K5993" s="22" t="s">
        <v>20325</v>
      </c>
      <c r="L5993" s="56">
        <v>45146</v>
      </c>
      <c r="P5993" s="40"/>
      <c r="Q5993" s="61"/>
      <c r="R5993" s="61"/>
      <c r="S5993" s="40"/>
      <c r="T5993" s="38"/>
      <c r="U5993" s="38"/>
      <c r="V5993" s="38"/>
      <c r="W5993" s="60"/>
      <c r="AB5993" s="42"/>
      <c r="AC5993" s="35"/>
      <c r="AD5993" s="38"/>
      <c r="AE5993" s="38"/>
      <c r="AF5993" s="38"/>
      <c r="AG5993" s="38"/>
      <c r="AH5993" s="60"/>
    </row>
    <row r="5994" spans="1:34" ht="15.75" customHeight="1">
      <c r="A5994" s="114" t="s">
        <v>39</v>
      </c>
      <c r="B5994" s="78" t="s">
        <v>20326</v>
      </c>
      <c r="C5994" s="37" t="s">
        <v>412</v>
      </c>
      <c r="D5994" s="20" t="s">
        <v>20327</v>
      </c>
      <c r="E5994" s="20"/>
      <c r="F5994" s="19" t="s">
        <v>414</v>
      </c>
      <c r="G5994" s="19" t="s">
        <v>415</v>
      </c>
      <c r="H5994" s="37" t="s">
        <v>55</v>
      </c>
      <c r="I5994" s="37" t="s">
        <v>233</v>
      </c>
      <c r="J5994" s="155" t="str">
        <f t="shared" si="18"/>
        <v>NTT</v>
      </c>
      <c r="K5994" s="22"/>
      <c r="L5994" s="56">
        <v>45146</v>
      </c>
      <c r="P5994" s="40"/>
      <c r="Q5994" s="61"/>
      <c r="R5994" s="61"/>
      <c r="S5994" s="40"/>
      <c r="T5994" s="38"/>
      <c r="U5994" s="38"/>
      <c r="V5994" s="38"/>
      <c r="W5994" s="60"/>
      <c r="AB5994" s="42"/>
      <c r="AC5994" s="35"/>
      <c r="AD5994" s="38"/>
      <c r="AE5994" s="38"/>
      <c r="AF5994" s="38"/>
      <c r="AG5994" s="38"/>
      <c r="AH5994" s="60"/>
    </row>
    <row r="5995" spans="1:34" ht="15.75" customHeight="1">
      <c r="A5995" s="38" t="s">
        <v>20051</v>
      </c>
      <c r="B5995" s="80" t="s">
        <v>20328</v>
      </c>
      <c r="C5995" s="37" t="s">
        <v>24</v>
      </c>
      <c r="D5995" s="20" t="s">
        <v>20329</v>
      </c>
      <c r="E5995" s="20" t="s">
        <v>20330</v>
      </c>
      <c r="F5995" s="19" t="s">
        <v>90</v>
      </c>
      <c r="G5995" s="19" t="s">
        <v>91</v>
      </c>
      <c r="H5995" s="37" t="s">
        <v>55</v>
      </c>
      <c r="I5995" s="37" t="s">
        <v>29</v>
      </c>
      <c r="J5995" s="155" t="str">
        <f t="shared" si="18"/>
        <v>TT</v>
      </c>
      <c r="K5995" s="22" t="s">
        <v>20331</v>
      </c>
      <c r="L5995" s="56">
        <v>45146</v>
      </c>
      <c r="P5995" s="40"/>
      <c r="Q5995" s="61"/>
      <c r="R5995" s="61"/>
      <c r="S5995" s="40"/>
      <c r="T5995" s="38"/>
      <c r="U5995" s="38"/>
      <c r="V5995" s="38"/>
      <c r="W5995" s="60"/>
      <c r="AB5995" s="42"/>
      <c r="AC5995" s="35"/>
      <c r="AD5995" s="38"/>
      <c r="AE5995" s="38"/>
      <c r="AF5995" s="38"/>
      <c r="AG5995" s="38"/>
      <c r="AH5995" s="60"/>
    </row>
    <row r="5996" spans="1:34" ht="15.75" customHeight="1">
      <c r="A5996" s="75" t="s">
        <v>19702</v>
      </c>
      <c r="B5996" s="78" t="s">
        <v>20332</v>
      </c>
      <c r="C5996" s="37" t="s">
        <v>46</v>
      </c>
      <c r="D5996" s="20" t="s">
        <v>20333</v>
      </c>
      <c r="E5996" s="20" t="s">
        <v>20334</v>
      </c>
      <c r="F5996" s="37" t="s">
        <v>49</v>
      </c>
      <c r="G5996" s="19" t="s">
        <v>50</v>
      </c>
      <c r="H5996" s="37" t="s">
        <v>55</v>
      </c>
      <c r="I5996" s="37" t="s">
        <v>29</v>
      </c>
      <c r="J5996" s="155" t="str">
        <f t="shared" si="18"/>
        <v>TT</v>
      </c>
      <c r="K5996" s="22" t="s">
        <v>20335</v>
      </c>
      <c r="L5996" s="56">
        <v>45146</v>
      </c>
      <c r="P5996" s="40"/>
      <c r="Q5996" s="61"/>
      <c r="R5996" s="61"/>
      <c r="S5996" s="40"/>
      <c r="T5996" s="38"/>
      <c r="U5996" s="38"/>
      <c r="V5996" s="38"/>
      <c r="W5996" s="60"/>
      <c r="AB5996" s="42"/>
      <c r="AC5996" s="35"/>
      <c r="AD5996" s="38"/>
      <c r="AE5996" s="38"/>
      <c r="AF5996" s="38"/>
      <c r="AG5996" s="38"/>
      <c r="AH5996" s="60"/>
    </row>
    <row r="5997" spans="1:34" ht="15.75" customHeight="1">
      <c r="A5997" s="50" t="s">
        <v>56</v>
      </c>
      <c r="B5997" s="78" t="s">
        <v>20336</v>
      </c>
      <c r="C5997" s="37" t="s">
        <v>412</v>
      </c>
      <c r="D5997" s="20" t="s">
        <v>20337</v>
      </c>
      <c r="E5997" s="20"/>
      <c r="F5997" s="19" t="s">
        <v>414</v>
      </c>
      <c r="G5997" s="37" t="s">
        <v>415</v>
      </c>
      <c r="H5997" s="37" t="s">
        <v>55</v>
      </c>
      <c r="I5997" s="37" t="s">
        <v>233</v>
      </c>
      <c r="J5997" s="155" t="str">
        <f t="shared" si="18"/>
        <v>NTT</v>
      </c>
      <c r="K5997" s="22"/>
      <c r="L5997" s="56">
        <v>45146</v>
      </c>
      <c r="P5997" s="40"/>
      <c r="Q5997" s="61"/>
      <c r="R5997" s="61"/>
      <c r="S5997" s="40"/>
      <c r="T5997" s="38"/>
      <c r="U5997" s="38"/>
      <c r="V5997" s="38"/>
      <c r="W5997" s="60"/>
      <c r="AB5997" s="42"/>
      <c r="AC5997" s="35"/>
      <c r="AD5997" s="38"/>
      <c r="AE5997" s="38"/>
      <c r="AF5997" s="38"/>
      <c r="AG5997" s="38"/>
      <c r="AH5997" s="60"/>
    </row>
    <row r="5998" spans="1:34" ht="15.75" customHeight="1">
      <c r="A5998" s="17" t="s">
        <v>18655</v>
      </c>
      <c r="B5998" s="78" t="s">
        <v>20338</v>
      </c>
      <c r="C5998" s="37" t="s">
        <v>24</v>
      </c>
      <c r="D5998" s="20" t="s">
        <v>20339</v>
      </c>
      <c r="E5998" s="20"/>
      <c r="F5998" s="19" t="s">
        <v>27</v>
      </c>
      <c r="G5998" s="19" t="s">
        <v>28</v>
      </c>
      <c r="H5998" s="37" t="s">
        <v>55</v>
      </c>
      <c r="I5998" s="37" t="s">
        <v>29</v>
      </c>
      <c r="J5998" s="155" t="str">
        <f t="shared" si="18"/>
        <v>TT</v>
      </c>
      <c r="K5998" s="22"/>
      <c r="L5998" s="56">
        <v>45146</v>
      </c>
      <c r="P5998" s="40"/>
      <c r="Q5998" s="61"/>
      <c r="R5998" s="61"/>
      <c r="S5998" s="40"/>
      <c r="T5998" s="38"/>
      <c r="U5998" s="38"/>
      <c r="V5998" s="38"/>
      <c r="W5998" s="60"/>
      <c r="AB5998" s="42"/>
      <c r="AC5998" s="35"/>
      <c r="AD5998" s="38"/>
      <c r="AE5998" s="38"/>
      <c r="AF5998" s="38"/>
      <c r="AG5998" s="38"/>
      <c r="AH5998" s="60"/>
    </row>
    <row r="5999" spans="1:34" ht="15.75" customHeight="1">
      <c r="A5999" s="111"/>
      <c r="B5999" s="41" t="s">
        <v>16598</v>
      </c>
      <c r="C5999" s="37" t="s">
        <v>46</v>
      </c>
      <c r="D5999" s="20" t="s">
        <v>20340</v>
      </c>
      <c r="E5999" s="20" t="s">
        <v>20341</v>
      </c>
      <c r="F5999" s="37"/>
      <c r="G5999" s="37"/>
      <c r="H5999" s="37"/>
      <c r="I5999" s="37"/>
      <c r="J5999" s="155"/>
      <c r="K5999" s="22"/>
      <c r="L5999" s="56"/>
      <c r="P5999" s="40"/>
      <c r="Q5999" s="61"/>
      <c r="R5999" s="61"/>
      <c r="S5999" s="40"/>
      <c r="T5999" s="38"/>
      <c r="U5999" s="38"/>
      <c r="V5999" s="38"/>
      <c r="W5999" s="60"/>
      <c r="AB5999" s="42"/>
      <c r="AC5999" s="35"/>
      <c r="AD5999" s="38"/>
      <c r="AE5999" s="38"/>
      <c r="AF5999" s="38"/>
      <c r="AG5999" s="38"/>
      <c r="AH5999" s="60"/>
    </row>
    <row r="6000" spans="1:34" ht="15.75" customHeight="1">
      <c r="A6000" s="111" t="s">
        <v>64</v>
      </c>
      <c r="B6000" s="83" t="s">
        <v>20342</v>
      </c>
      <c r="C6000" s="19" t="s">
        <v>121</v>
      </c>
      <c r="D6000" s="20" t="s">
        <v>20343</v>
      </c>
      <c r="E6000" s="20" t="s">
        <v>20344</v>
      </c>
      <c r="F6000" s="37" t="s">
        <v>49</v>
      </c>
      <c r="G6000" s="19" t="s">
        <v>50</v>
      </c>
      <c r="H6000" s="37" t="s">
        <v>55</v>
      </c>
      <c r="I6000" s="37" t="s">
        <v>29</v>
      </c>
      <c r="J6000" s="155" t="str">
        <f t="shared" ref="J6000:J6019" si="19">IF(G6000="R","NA",I6000)</f>
        <v>TT</v>
      </c>
      <c r="K6000" s="22" t="s">
        <v>20345</v>
      </c>
      <c r="L6000" s="56">
        <v>45146</v>
      </c>
      <c r="P6000" s="40"/>
      <c r="Q6000" s="61"/>
      <c r="R6000" s="61"/>
      <c r="S6000" s="40"/>
      <c r="T6000" s="38"/>
      <c r="U6000" s="38"/>
      <c r="V6000" s="38"/>
      <c r="W6000" s="60"/>
      <c r="AB6000" s="42"/>
      <c r="AC6000" s="35"/>
      <c r="AD6000" s="38"/>
      <c r="AE6000" s="38"/>
      <c r="AF6000" s="38"/>
      <c r="AG6000" s="38"/>
      <c r="AH6000" s="60"/>
    </row>
    <row r="6001" spans="1:34" ht="15.75" customHeight="1">
      <c r="A6001" s="75" t="s">
        <v>55</v>
      </c>
      <c r="B6001" s="78" t="s">
        <v>20346</v>
      </c>
      <c r="C6001" s="37" t="s">
        <v>412</v>
      </c>
      <c r="D6001" s="20" t="s">
        <v>20347</v>
      </c>
      <c r="E6001" s="20" t="s">
        <v>20348</v>
      </c>
      <c r="F6001" s="19" t="s">
        <v>414</v>
      </c>
      <c r="G6001" s="19" t="s">
        <v>415</v>
      </c>
      <c r="H6001" s="37" t="s">
        <v>55</v>
      </c>
      <c r="I6001" s="37" t="s">
        <v>233</v>
      </c>
      <c r="J6001" s="155" t="str">
        <f t="shared" si="19"/>
        <v>NTT</v>
      </c>
      <c r="K6001" s="22" t="s">
        <v>20349</v>
      </c>
      <c r="L6001" s="56">
        <v>45146</v>
      </c>
      <c r="P6001" s="40"/>
      <c r="Q6001" s="61"/>
      <c r="R6001" s="61"/>
      <c r="S6001" s="40"/>
      <c r="T6001" s="38"/>
      <c r="U6001" s="38"/>
      <c r="V6001" s="38"/>
      <c r="W6001" s="60"/>
      <c r="AB6001" s="42"/>
      <c r="AC6001" s="35"/>
      <c r="AD6001" s="38"/>
      <c r="AE6001" s="38"/>
      <c r="AF6001" s="38"/>
      <c r="AG6001" s="38"/>
      <c r="AH6001" s="60"/>
    </row>
    <row r="6002" spans="1:34" ht="15.75" customHeight="1">
      <c r="A6002" s="111" t="s">
        <v>73</v>
      </c>
      <c r="B6002" s="78" t="s">
        <v>20350</v>
      </c>
      <c r="C6002" s="37" t="s">
        <v>24</v>
      </c>
      <c r="D6002" s="20" t="s">
        <v>20351</v>
      </c>
      <c r="E6002" s="20" t="s">
        <v>20352</v>
      </c>
      <c r="F6002" s="19" t="s">
        <v>27</v>
      </c>
      <c r="G6002" s="19" t="s">
        <v>28</v>
      </c>
      <c r="H6002" s="37" t="s">
        <v>55</v>
      </c>
      <c r="I6002" s="37" t="s">
        <v>29</v>
      </c>
      <c r="J6002" s="155" t="str">
        <f t="shared" si="19"/>
        <v>TT</v>
      </c>
      <c r="K6002" s="22" t="s">
        <v>20353</v>
      </c>
      <c r="L6002" s="56">
        <v>45146</v>
      </c>
      <c r="P6002" s="40"/>
      <c r="Q6002" s="61"/>
      <c r="R6002" s="61"/>
      <c r="S6002" s="40"/>
      <c r="T6002" s="38"/>
      <c r="U6002" s="38"/>
      <c r="V6002" s="38"/>
      <c r="W6002" s="60"/>
      <c r="AB6002" s="42"/>
      <c r="AC6002" s="35"/>
      <c r="AD6002" s="38"/>
      <c r="AE6002" s="38"/>
      <c r="AF6002" s="38"/>
      <c r="AG6002" s="38"/>
      <c r="AH6002" s="60"/>
    </row>
    <row r="6003" spans="1:34" ht="15.75" customHeight="1">
      <c r="A6003" s="75" t="s">
        <v>55</v>
      </c>
      <c r="B6003" s="78" t="s">
        <v>20354</v>
      </c>
      <c r="C6003" s="37" t="s">
        <v>412</v>
      </c>
      <c r="D6003" s="20" t="s">
        <v>20355</v>
      </c>
      <c r="E6003" s="20"/>
      <c r="F6003" s="19" t="s">
        <v>414</v>
      </c>
      <c r="G6003" s="37" t="s">
        <v>415</v>
      </c>
      <c r="H6003" s="37" t="s">
        <v>55</v>
      </c>
      <c r="I6003" s="37" t="s">
        <v>233</v>
      </c>
      <c r="J6003" s="155" t="str">
        <f t="shared" si="19"/>
        <v>NTT</v>
      </c>
      <c r="K6003" s="22"/>
      <c r="L6003" s="56">
        <v>45146</v>
      </c>
      <c r="P6003" s="40"/>
      <c r="Q6003" s="61"/>
      <c r="R6003" s="61"/>
      <c r="S6003" s="40"/>
      <c r="T6003" s="38"/>
      <c r="U6003" s="38"/>
      <c r="V6003" s="38"/>
      <c r="W6003" s="60"/>
      <c r="AB6003" s="42"/>
      <c r="AC6003" s="35"/>
      <c r="AD6003" s="38"/>
      <c r="AE6003" s="38"/>
      <c r="AF6003" s="38"/>
      <c r="AG6003" s="38"/>
      <c r="AH6003" s="60"/>
    </row>
    <row r="6004" spans="1:34" ht="15.75" customHeight="1">
      <c r="A6004" s="111" t="s">
        <v>82</v>
      </c>
      <c r="B6004" s="81" t="s">
        <v>20356</v>
      </c>
      <c r="C6004" s="37" t="s">
        <v>87</v>
      </c>
      <c r="D6004" s="20" t="s">
        <v>20357</v>
      </c>
      <c r="E6004" s="20" t="s">
        <v>20358</v>
      </c>
      <c r="F6004" s="19" t="s">
        <v>90</v>
      </c>
      <c r="G6004" s="19" t="s">
        <v>91</v>
      </c>
      <c r="H6004" s="37" t="s">
        <v>55</v>
      </c>
      <c r="I6004" s="37" t="s">
        <v>29</v>
      </c>
      <c r="J6004" s="155" t="str">
        <f t="shared" si="19"/>
        <v>TT</v>
      </c>
      <c r="K6004" s="22" t="s">
        <v>20359</v>
      </c>
      <c r="L6004" s="56">
        <v>45146</v>
      </c>
      <c r="P6004" s="40"/>
      <c r="Q6004" s="61"/>
      <c r="R6004" s="61"/>
      <c r="S6004" s="40"/>
      <c r="T6004" s="38"/>
      <c r="U6004" s="38"/>
      <c r="V6004" s="38"/>
      <c r="W6004" s="60"/>
      <c r="AB6004" s="42"/>
      <c r="AC6004" s="35"/>
      <c r="AD6004" s="38"/>
      <c r="AE6004" s="38"/>
      <c r="AF6004" s="38"/>
      <c r="AG6004" s="38"/>
      <c r="AH6004" s="60"/>
    </row>
    <row r="6005" spans="1:34" ht="15.75" customHeight="1">
      <c r="A6005" s="75" t="s">
        <v>55</v>
      </c>
      <c r="B6005" s="78" t="s">
        <v>20360</v>
      </c>
      <c r="C6005" s="143" t="s">
        <v>46</v>
      </c>
      <c r="D6005" s="20" t="s">
        <v>20361</v>
      </c>
      <c r="E6005" s="20" t="s">
        <v>20362</v>
      </c>
      <c r="F6005" s="37" t="s">
        <v>49</v>
      </c>
      <c r="G6005" s="19" t="s">
        <v>50</v>
      </c>
      <c r="H6005" s="37" t="s">
        <v>55</v>
      </c>
      <c r="I6005" s="37" t="s">
        <v>29</v>
      </c>
      <c r="J6005" s="155" t="str">
        <f t="shared" si="19"/>
        <v>TT</v>
      </c>
      <c r="K6005" s="22" t="s">
        <v>20363</v>
      </c>
      <c r="L6005" s="56">
        <v>45146</v>
      </c>
      <c r="P6005" s="40"/>
      <c r="Q6005" s="61"/>
      <c r="R6005" s="61"/>
      <c r="S6005" s="40"/>
      <c r="T6005" s="38"/>
      <c r="U6005" s="38"/>
      <c r="V6005" s="38"/>
      <c r="W6005" s="60"/>
      <c r="AB6005" s="42"/>
      <c r="AC6005" s="35"/>
      <c r="AD6005" s="38"/>
      <c r="AE6005" s="38"/>
      <c r="AF6005" s="38"/>
      <c r="AG6005" s="38"/>
      <c r="AH6005" s="60"/>
    </row>
    <row r="6006" spans="1:34" ht="15.75" customHeight="1">
      <c r="A6006" s="111" t="s">
        <v>92</v>
      </c>
      <c r="B6006" s="78" t="s">
        <v>20364</v>
      </c>
      <c r="C6006" s="37" t="s">
        <v>87</v>
      </c>
      <c r="D6006" s="20" t="s">
        <v>20365</v>
      </c>
      <c r="E6006" s="20" t="s">
        <v>20366</v>
      </c>
      <c r="F6006" s="19" t="s">
        <v>90</v>
      </c>
      <c r="G6006" s="19" t="s">
        <v>91</v>
      </c>
      <c r="H6006" s="37" t="s">
        <v>55</v>
      </c>
      <c r="I6006" s="37" t="s">
        <v>29</v>
      </c>
      <c r="J6006" s="155" t="str">
        <f t="shared" si="19"/>
        <v>TT</v>
      </c>
      <c r="K6006" s="22" t="s">
        <v>20367</v>
      </c>
      <c r="L6006" s="56">
        <v>45146</v>
      </c>
      <c r="P6006" s="40"/>
      <c r="Q6006" s="61"/>
      <c r="R6006" s="61"/>
      <c r="S6006" s="40"/>
      <c r="T6006" s="38"/>
      <c r="U6006" s="38"/>
      <c r="V6006" s="38"/>
      <c r="W6006" s="60"/>
      <c r="AB6006" s="42"/>
      <c r="AC6006" s="35"/>
      <c r="AD6006" s="38"/>
      <c r="AE6006" s="38"/>
      <c r="AF6006" s="38"/>
      <c r="AG6006" s="38"/>
      <c r="AH6006" s="60"/>
    </row>
    <row r="6007" spans="1:34" ht="15.75" customHeight="1">
      <c r="A6007" s="112" t="s">
        <v>55</v>
      </c>
      <c r="B6007" s="78" t="s">
        <v>20368</v>
      </c>
      <c r="C6007" s="37" t="s">
        <v>87</v>
      </c>
      <c r="D6007" s="20" t="s">
        <v>20369</v>
      </c>
      <c r="E6007" s="20"/>
      <c r="F6007" s="19" t="s">
        <v>90</v>
      </c>
      <c r="G6007" s="19" t="s">
        <v>91</v>
      </c>
      <c r="H6007" s="37" t="s">
        <v>55</v>
      </c>
      <c r="I6007" s="37" t="s">
        <v>29</v>
      </c>
      <c r="J6007" s="155" t="str">
        <f t="shared" si="19"/>
        <v>TT</v>
      </c>
      <c r="K6007" s="22"/>
      <c r="L6007" s="56">
        <v>45146</v>
      </c>
      <c r="P6007" s="40"/>
      <c r="Q6007" s="61"/>
      <c r="R6007" s="61"/>
      <c r="S6007" s="40"/>
      <c r="T6007" s="38"/>
      <c r="U6007" s="38"/>
      <c r="V6007" s="38"/>
      <c r="W6007" s="60"/>
      <c r="AB6007" s="42"/>
      <c r="AC6007" s="35"/>
      <c r="AD6007" s="38"/>
      <c r="AE6007" s="38"/>
      <c r="AF6007" s="38"/>
      <c r="AG6007" s="38"/>
      <c r="AH6007" s="60"/>
    </row>
    <row r="6008" spans="1:34" ht="15.75" customHeight="1">
      <c r="A6008" s="111" t="s">
        <v>100</v>
      </c>
      <c r="B6008" s="78" t="s">
        <v>20370</v>
      </c>
      <c r="C6008" s="37" t="s">
        <v>87</v>
      </c>
      <c r="D6008" s="20" t="s">
        <v>20371</v>
      </c>
      <c r="E6008" s="20" t="s">
        <v>20372</v>
      </c>
      <c r="F6008" s="19" t="s">
        <v>90</v>
      </c>
      <c r="G6008" s="19" t="s">
        <v>91</v>
      </c>
      <c r="H6008" s="37" t="s">
        <v>55</v>
      </c>
      <c r="I6008" s="37" t="s">
        <v>29</v>
      </c>
      <c r="J6008" s="155" t="str">
        <f t="shared" si="19"/>
        <v>TT</v>
      </c>
      <c r="K6008" s="22" t="s">
        <v>20373</v>
      </c>
      <c r="L6008" s="56">
        <v>45146</v>
      </c>
      <c r="P6008" s="40"/>
      <c r="Q6008" s="61"/>
      <c r="R6008" s="61"/>
      <c r="S6008" s="40"/>
      <c r="T6008" s="38"/>
      <c r="U6008" s="38"/>
      <c r="V6008" s="38"/>
      <c r="W6008" s="60"/>
      <c r="AB6008" s="42"/>
      <c r="AC6008" s="35"/>
      <c r="AD6008" s="38"/>
      <c r="AE6008" s="38"/>
      <c r="AF6008" s="38"/>
      <c r="AG6008" s="38"/>
      <c r="AH6008" s="60"/>
    </row>
    <row r="6009" spans="1:34" ht="15.75" customHeight="1">
      <c r="A6009" s="75" t="s">
        <v>55</v>
      </c>
      <c r="B6009" s="38"/>
      <c r="C6009" s="37"/>
      <c r="D6009" s="20"/>
      <c r="E6009" s="20"/>
      <c r="F6009" s="37"/>
      <c r="G6009" s="37"/>
      <c r="H6009" s="37"/>
      <c r="I6009" s="37"/>
      <c r="J6009" s="155">
        <f t="shared" si="19"/>
        <v>0</v>
      </c>
      <c r="K6009" s="22"/>
      <c r="L6009" s="56"/>
      <c r="P6009" s="40"/>
      <c r="Q6009" s="61"/>
      <c r="R6009" s="61"/>
      <c r="S6009" s="40"/>
      <c r="T6009" s="38"/>
      <c r="U6009" s="38"/>
      <c r="V6009" s="38"/>
      <c r="W6009" s="60"/>
      <c r="AB6009" s="42"/>
      <c r="AC6009" s="35"/>
      <c r="AD6009" s="38"/>
      <c r="AE6009" s="38"/>
      <c r="AF6009" s="38"/>
      <c r="AG6009" s="38"/>
      <c r="AH6009" s="60"/>
    </row>
    <row r="6010" spans="1:34" ht="15.75" customHeight="1">
      <c r="A6010" s="35"/>
      <c r="B6010" s="38"/>
      <c r="C6010" s="37"/>
      <c r="D6010" s="20"/>
      <c r="E6010" s="20"/>
      <c r="F6010" s="37"/>
      <c r="G6010" s="37"/>
      <c r="H6010" s="37"/>
      <c r="I6010" s="37"/>
      <c r="J6010" s="155">
        <f t="shared" si="19"/>
        <v>0</v>
      </c>
      <c r="K6010" s="22"/>
      <c r="L6010" s="56"/>
      <c r="P6010" s="40"/>
      <c r="Q6010" s="61"/>
      <c r="R6010" s="61"/>
      <c r="S6010" s="40"/>
      <c r="T6010" s="38"/>
      <c r="U6010" s="38"/>
      <c r="V6010" s="38"/>
      <c r="W6010" s="60"/>
      <c r="AB6010" s="42"/>
      <c r="AC6010" s="35"/>
      <c r="AD6010" s="38"/>
      <c r="AE6010" s="38"/>
      <c r="AF6010" s="38"/>
      <c r="AG6010" s="38"/>
      <c r="AH6010" s="60"/>
    </row>
    <row r="6011" spans="1:34" ht="15.75" customHeight="1">
      <c r="A6011" s="35" t="s">
        <v>20374</v>
      </c>
      <c r="B6011" s="78" t="s">
        <v>20375</v>
      </c>
      <c r="C6011" s="143" t="s">
        <v>46</v>
      </c>
      <c r="D6011" s="20" t="s">
        <v>20376</v>
      </c>
      <c r="E6011" s="20" t="s">
        <v>20377</v>
      </c>
      <c r="F6011" s="37" t="s">
        <v>49</v>
      </c>
      <c r="G6011" s="19" t="s">
        <v>50</v>
      </c>
      <c r="H6011" s="19" t="s">
        <v>36</v>
      </c>
      <c r="I6011" s="37" t="s">
        <v>29</v>
      </c>
      <c r="J6011" s="155" t="str">
        <f t="shared" si="19"/>
        <v>TT</v>
      </c>
      <c r="K6011" s="22" t="s">
        <v>20378</v>
      </c>
      <c r="L6011" s="56">
        <v>45146</v>
      </c>
      <c r="M6011" s="40"/>
      <c r="P6011" s="40"/>
      <c r="Q6011" s="61"/>
      <c r="R6011" s="61"/>
      <c r="S6011" s="40"/>
      <c r="T6011" s="38"/>
      <c r="U6011" s="38"/>
      <c r="V6011" s="38"/>
      <c r="W6011" s="60"/>
      <c r="AB6011" s="42"/>
      <c r="AC6011" s="35"/>
      <c r="AD6011" s="38"/>
      <c r="AE6011" s="38"/>
      <c r="AF6011" s="38"/>
      <c r="AG6011" s="38"/>
      <c r="AH6011" s="60"/>
    </row>
    <row r="6012" spans="1:34" ht="15.75" customHeight="1">
      <c r="A6012" s="54" t="s">
        <v>2714</v>
      </c>
      <c r="B6012" s="78" t="s">
        <v>20379</v>
      </c>
      <c r="C6012" s="143" t="s">
        <v>24</v>
      </c>
      <c r="D6012" s="20" t="s">
        <v>20380</v>
      </c>
      <c r="E6012" s="20" t="s">
        <v>20381</v>
      </c>
      <c r="F6012" s="19" t="s">
        <v>27</v>
      </c>
      <c r="G6012" s="19" t="s">
        <v>28</v>
      </c>
      <c r="H6012" s="37" t="s">
        <v>55</v>
      </c>
      <c r="I6012" s="37" t="s">
        <v>29</v>
      </c>
      <c r="J6012" s="155" t="str">
        <f t="shared" si="19"/>
        <v>TT</v>
      </c>
      <c r="K6012" s="22" t="s">
        <v>20382</v>
      </c>
      <c r="L6012" s="56">
        <v>45146</v>
      </c>
      <c r="P6012" s="40"/>
      <c r="Q6012" s="61"/>
      <c r="R6012" s="61"/>
      <c r="S6012" s="40"/>
      <c r="T6012" s="38"/>
      <c r="U6012" s="38"/>
      <c r="V6012" s="38"/>
      <c r="W6012" s="60"/>
      <c r="AB6012" s="42"/>
      <c r="AC6012" s="35"/>
      <c r="AD6012" s="38"/>
      <c r="AE6012" s="38"/>
      <c r="AF6012" s="38"/>
      <c r="AG6012" s="38"/>
      <c r="AH6012" s="60"/>
    </row>
    <row r="6013" spans="1:34" ht="15.75" customHeight="1">
      <c r="A6013" s="114" t="s">
        <v>39</v>
      </c>
      <c r="B6013" s="78" t="s">
        <v>20383</v>
      </c>
      <c r="C6013" s="143" t="s">
        <v>24</v>
      </c>
      <c r="D6013" s="20" t="s">
        <v>20384</v>
      </c>
      <c r="E6013" s="20" t="s">
        <v>20385</v>
      </c>
      <c r="F6013" s="19" t="s">
        <v>27</v>
      </c>
      <c r="G6013" s="19" t="s">
        <v>28</v>
      </c>
      <c r="H6013" s="37" t="s">
        <v>55</v>
      </c>
      <c r="I6013" s="37" t="s">
        <v>29</v>
      </c>
      <c r="J6013" s="155" t="str">
        <f t="shared" si="19"/>
        <v>TT</v>
      </c>
      <c r="K6013" s="22" t="s">
        <v>20386</v>
      </c>
      <c r="L6013" s="56">
        <v>45146</v>
      </c>
      <c r="P6013" s="40"/>
      <c r="Q6013" s="61"/>
      <c r="R6013" s="61"/>
      <c r="S6013" s="40"/>
      <c r="T6013" s="38"/>
      <c r="U6013" s="38"/>
      <c r="V6013" s="38"/>
      <c r="W6013" s="60"/>
      <c r="AB6013" s="42"/>
      <c r="AC6013" s="35"/>
      <c r="AD6013" s="38"/>
      <c r="AE6013" s="38"/>
      <c r="AF6013" s="38"/>
      <c r="AG6013" s="38"/>
      <c r="AH6013" s="60"/>
    </row>
    <row r="6014" spans="1:34" ht="15.75" customHeight="1">
      <c r="A6014" s="38" t="s">
        <v>20051</v>
      </c>
      <c r="B6014" s="78" t="s">
        <v>20387</v>
      </c>
      <c r="C6014" s="143" t="s">
        <v>24</v>
      </c>
      <c r="D6014" s="20" t="s">
        <v>20388</v>
      </c>
      <c r="E6014" s="20" t="s">
        <v>20389</v>
      </c>
      <c r="F6014" s="19" t="s">
        <v>27</v>
      </c>
      <c r="G6014" s="19" t="s">
        <v>28</v>
      </c>
      <c r="H6014" s="37" t="s">
        <v>55</v>
      </c>
      <c r="I6014" s="37" t="s">
        <v>29</v>
      </c>
      <c r="J6014" s="155" t="str">
        <f t="shared" si="19"/>
        <v>TT</v>
      </c>
      <c r="K6014" s="22" t="s">
        <v>20390</v>
      </c>
      <c r="L6014" s="56">
        <v>45146</v>
      </c>
      <c r="P6014" s="40"/>
      <c r="Q6014" s="61"/>
      <c r="R6014" s="61"/>
      <c r="S6014" s="40"/>
      <c r="T6014" s="38"/>
      <c r="U6014" s="38"/>
      <c r="V6014" s="38"/>
      <c r="W6014" s="60"/>
      <c r="AB6014" s="42"/>
      <c r="AC6014" s="35"/>
      <c r="AD6014" s="38"/>
      <c r="AE6014" s="38"/>
      <c r="AF6014" s="38"/>
      <c r="AG6014" s="38"/>
      <c r="AH6014" s="60"/>
    </row>
    <row r="6015" spans="1:34" ht="15.75" customHeight="1">
      <c r="A6015" s="75" t="s">
        <v>20391</v>
      </c>
      <c r="B6015" s="78" t="s">
        <v>20392</v>
      </c>
      <c r="C6015" s="143" t="s">
        <v>24</v>
      </c>
      <c r="D6015" s="20" t="s">
        <v>20393</v>
      </c>
      <c r="E6015" s="20" t="s">
        <v>20394</v>
      </c>
      <c r="F6015" s="19" t="s">
        <v>27</v>
      </c>
      <c r="G6015" s="19" t="s">
        <v>28</v>
      </c>
      <c r="H6015" s="37" t="s">
        <v>55</v>
      </c>
      <c r="I6015" s="37" t="s">
        <v>29</v>
      </c>
      <c r="J6015" s="155" t="str">
        <f t="shared" si="19"/>
        <v>TT</v>
      </c>
      <c r="K6015" s="22" t="s">
        <v>20395</v>
      </c>
      <c r="L6015" s="56">
        <v>45146</v>
      </c>
      <c r="P6015" s="40"/>
      <c r="Q6015" s="61"/>
      <c r="R6015" s="61"/>
      <c r="S6015" s="40"/>
      <c r="T6015" s="38"/>
      <c r="U6015" s="38"/>
      <c r="V6015" s="38"/>
      <c r="W6015" s="60"/>
      <c r="AB6015" s="42"/>
      <c r="AC6015" s="35"/>
      <c r="AD6015" s="38"/>
      <c r="AE6015" s="38"/>
      <c r="AF6015" s="38"/>
      <c r="AG6015" s="38"/>
      <c r="AH6015" s="60"/>
    </row>
    <row r="6016" spans="1:34" ht="15.75" customHeight="1">
      <c r="A6016" s="50" t="s">
        <v>56</v>
      </c>
      <c r="B6016" s="78" t="s">
        <v>20396</v>
      </c>
      <c r="C6016" s="19" t="s">
        <v>87</v>
      </c>
      <c r="D6016" s="20" t="s">
        <v>20397</v>
      </c>
      <c r="E6016" s="20" t="s">
        <v>20398</v>
      </c>
      <c r="F6016" s="19" t="s">
        <v>90</v>
      </c>
      <c r="G6016" s="19" t="s">
        <v>91</v>
      </c>
      <c r="H6016" s="37" t="s">
        <v>55</v>
      </c>
      <c r="I6016" s="37" t="s">
        <v>29</v>
      </c>
      <c r="J6016" s="155" t="str">
        <f t="shared" si="19"/>
        <v>TT</v>
      </c>
      <c r="K6016" s="22" t="s">
        <v>20399</v>
      </c>
      <c r="L6016" s="56">
        <v>45146</v>
      </c>
      <c r="P6016" s="40"/>
      <c r="Q6016" s="61"/>
      <c r="R6016" s="61"/>
      <c r="S6016" s="40"/>
      <c r="T6016" s="38"/>
      <c r="U6016" s="38"/>
      <c r="V6016" s="38"/>
      <c r="W6016" s="60"/>
      <c r="AB6016" s="42"/>
      <c r="AC6016" s="35"/>
      <c r="AD6016" s="38"/>
      <c r="AE6016" s="38"/>
      <c r="AF6016" s="38"/>
      <c r="AG6016" s="38"/>
      <c r="AH6016" s="60"/>
    </row>
    <row r="6017" spans="1:34" ht="15.75" customHeight="1">
      <c r="A6017" s="17" t="s">
        <v>18655</v>
      </c>
      <c r="B6017" s="78" t="s">
        <v>20400</v>
      </c>
      <c r="C6017" s="19" t="s">
        <v>87</v>
      </c>
      <c r="D6017" s="20" t="s">
        <v>20401</v>
      </c>
      <c r="E6017" s="25"/>
      <c r="F6017" s="19" t="s">
        <v>90</v>
      </c>
      <c r="G6017" s="19" t="s">
        <v>91</v>
      </c>
      <c r="H6017" s="37" t="s">
        <v>55</v>
      </c>
      <c r="I6017" s="37" t="s">
        <v>29</v>
      </c>
      <c r="J6017" s="155" t="str">
        <f t="shared" si="19"/>
        <v>TT</v>
      </c>
      <c r="K6017" s="22"/>
      <c r="L6017" s="56">
        <v>45146</v>
      </c>
      <c r="P6017" s="40"/>
      <c r="Q6017" s="61"/>
      <c r="R6017" s="61"/>
      <c r="S6017" s="40"/>
      <c r="T6017" s="38"/>
      <c r="U6017" s="38"/>
      <c r="V6017" s="38"/>
      <c r="W6017" s="60"/>
      <c r="AB6017" s="42"/>
      <c r="AC6017" s="35"/>
      <c r="AD6017" s="38"/>
      <c r="AE6017" s="38"/>
      <c r="AF6017" s="38"/>
      <c r="AG6017" s="38"/>
      <c r="AH6017" s="60"/>
    </row>
    <row r="6018" spans="1:34" ht="15.75" customHeight="1">
      <c r="A6018" s="111" t="s">
        <v>64</v>
      </c>
      <c r="B6018" s="81" t="s">
        <v>20402</v>
      </c>
      <c r="C6018" s="143" t="s">
        <v>24</v>
      </c>
      <c r="D6018" s="20" t="s">
        <v>20403</v>
      </c>
      <c r="E6018" s="20" t="s">
        <v>20404</v>
      </c>
      <c r="F6018" s="19" t="s">
        <v>27</v>
      </c>
      <c r="G6018" s="19" t="s">
        <v>28</v>
      </c>
      <c r="H6018" s="37" t="s">
        <v>55</v>
      </c>
      <c r="I6018" s="37" t="s">
        <v>29</v>
      </c>
      <c r="J6018" s="155" t="str">
        <f t="shared" si="19"/>
        <v>TT</v>
      </c>
      <c r="K6018" s="22" t="s">
        <v>20405</v>
      </c>
      <c r="L6018" s="56">
        <v>45146</v>
      </c>
      <c r="P6018" s="40"/>
      <c r="Q6018" s="61"/>
      <c r="R6018" s="61"/>
      <c r="S6018" s="40"/>
      <c r="T6018" s="38"/>
      <c r="U6018" s="38"/>
      <c r="V6018" s="38"/>
      <c r="W6018" s="60"/>
      <c r="AB6018" s="42"/>
      <c r="AC6018" s="35"/>
      <c r="AD6018" s="38"/>
      <c r="AE6018" s="38"/>
      <c r="AF6018" s="38"/>
      <c r="AG6018" s="38"/>
      <c r="AH6018" s="60"/>
    </row>
    <row r="6019" spans="1:34" ht="15.75" customHeight="1">
      <c r="A6019" s="75">
        <v>1.8</v>
      </c>
      <c r="B6019" s="78" t="s">
        <v>20406</v>
      </c>
      <c r="C6019" s="143" t="s">
        <v>24</v>
      </c>
      <c r="D6019" s="20" t="s">
        <v>20407</v>
      </c>
      <c r="E6019" s="20" t="s">
        <v>20408</v>
      </c>
      <c r="F6019" s="19" t="s">
        <v>27</v>
      </c>
      <c r="G6019" s="19" t="s">
        <v>28</v>
      </c>
      <c r="H6019" s="37" t="s">
        <v>55</v>
      </c>
      <c r="I6019" s="37" t="s">
        <v>29</v>
      </c>
      <c r="J6019" s="155" t="str">
        <f t="shared" si="19"/>
        <v>TT</v>
      </c>
      <c r="K6019" s="22" t="s">
        <v>20409</v>
      </c>
      <c r="L6019" s="56">
        <v>45146</v>
      </c>
      <c r="P6019" s="40"/>
      <c r="Q6019" s="61"/>
      <c r="R6019" s="61"/>
      <c r="S6019" s="40"/>
      <c r="T6019" s="38"/>
      <c r="U6019" s="38"/>
      <c r="V6019" s="38"/>
      <c r="W6019" s="60"/>
      <c r="AB6019" s="42"/>
      <c r="AC6019" s="35"/>
      <c r="AD6019" s="38"/>
      <c r="AE6019" s="38"/>
      <c r="AF6019" s="38"/>
      <c r="AG6019" s="38"/>
      <c r="AH6019" s="60"/>
    </row>
    <row r="6020" spans="1:34" ht="15.75" customHeight="1">
      <c r="A6020" s="111" t="s">
        <v>73</v>
      </c>
      <c r="B6020" s="38"/>
      <c r="C6020" s="37"/>
      <c r="D6020" s="20"/>
      <c r="E6020" s="25"/>
      <c r="F6020" s="37"/>
      <c r="G6020" s="37"/>
      <c r="H6020" s="37"/>
      <c r="I6020" s="37"/>
      <c r="J6020" s="37"/>
      <c r="K6020" s="22"/>
      <c r="L6020" s="56"/>
      <c r="P6020" s="40"/>
      <c r="Q6020" s="61"/>
      <c r="R6020" s="61"/>
      <c r="S6020" s="40"/>
      <c r="T6020" s="38"/>
      <c r="U6020" s="38"/>
      <c r="V6020" s="38"/>
      <c r="W6020" s="60"/>
      <c r="AB6020" s="42"/>
      <c r="AC6020" s="35"/>
      <c r="AD6020" s="38"/>
      <c r="AE6020" s="38"/>
      <c r="AF6020" s="38"/>
      <c r="AG6020" s="38"/>
      <c r="AH6020" s="60"/>
    </row>
    <row r="6021" spans="1:34" ht="15.75" customHeight="1">
      <c r="A6021" s="75">
        <v>2.2000000000000002</v>
      </c>
      <c r="B6021" s="38"/>
      <c r="C6021" s="37"/>
      <c r="D6021" s="20"/>
      <c r="E6021" s="25"/>
      <c r="F6021" s="37"/>
      <c r="G6021" s="37"/>
      <c r="H6021" s="37"/>
      <c r="I6021" s="37"/>
      <c r="J6021" s="37"/>
      <c r="K6021" s="22"/>
      <c r="L6021" s="56"/>
      <c r="P6021" s="40"/>
      <c r="Q6021" s="61"/>
      <c r="R6021" s="61"/>
      <c r="S6021" s="40"/>
      <c r="T6021" s="38"/>
      <c r="U6021" s="38"/>
      <c r="V6021" s="38"/>
      <c r="W6021" s="60"/>
      <c r="AB6021" s="42"/>
      <c r="AC6021" s="35"/>
      <c r="AD6021" s="38"/>
      <c r="AE6021" s="38"/>
      <c r="AF6021" s="38"/>
      <c r="AG6021" s="38"/>
      <c r="AH6021" s="60"/>
    </row>
    <row r="6022" spans="1:34" ht="15.75" customHeight="1">
      <c r="A6022" s="111" t="s">
        <v>82</v>
      </c>
      <c r="B6022" s="38"/>
      <c r="C6022" s="37"/>
      <c r="D6022" s="20"/>
      <c r="E6022" s="25"/>
      <c r="F6022" s="37"/>
      <c r="G6022" s="37"/>
      <c r="H6022" s="37"/>
      <c r="I6022" s="37"/>
      <c r="J6022" s="37"/>
      <c r="K6022" s="22"/>
      <c r="L6022" s="56"/>
      <c r="P6022" s="40"/>
      <c r="Q6022" s="61"/>
      <c r="R6022" s="61"/>
      <c r="S6022" s="40"/>
      <c r="T6022" s="38"/>
      <c r="U6022" s="38"/>
      <c r="V6022" s="38"/>
      <c r="W6022" s="60"/>
      <c r="AB6022" s="42"/>
      <c r="AC6022" s="35"/>
      <c r="AD6022" s="38"/>
      <c r="AE6022" s="38"/>
      <c r="AF6022" s="38"/>
      <c r="AG6022" s="38"/>
      <c r="AH6022" s="60"/>
    </row>
    <row r="6023" spans="1:34" ht="15.75" customHeight="1">
      <c r="A6023" s="75" t="s">
        <v>20410</v>
      </c>
      <c r="B6023" s="38"/>
      <c r="C6023" s="37"/>
      <c r="D6023" s="20"/>
      <c r="E6023" s="25"/>
      <c r="F6023" s="37"/>
      <c r="G6023" s="37"/>
      <c r="H6023" s="37"/>
      <c r="I6023" s="37"/>
      <c r="J6023" s="37"/>
      <c r="K6023" s="22"/>
      <c r="L6023" s="56"/>
      <c r="P6023" s="40"/>
      <c r="Q6023" s="61"/>
      <c r="R6023" s="61"/>
      <c r="S6023" s="40"/>
      <c r="T6023" s="38"/>
      <c r="U6023" s="38"/>
      <c r="V6023" s="38"/>
      <c r="W6023" s="60"/>
      <c r="AB6023" s="42"/>
      <c r="AC6023" s="35"/>
      <c r="AD6023" s="38"/>
      <c r="AE6023" s="38"/>
      <c r="AF6023" s="38"/>
      <c r="AG6023" s="38"/>
      <c r="AH6023" s="60"/>
    </row>
    <row r="6024" spans="1:34" ht="15.75" customHeight="1">
      <c r="A6024" s="111" t="s">
        <v>92</v>
      </c>
      <c r="B6024" s="38"/>
      <c r="C6024" s="37"/>
      <c r="D6024" s="20"/>
      <c r="E6024" s="25"/>
      <c r="F6024" s="37"/>
      <c r="G6024" s="37"/>
      <c r="H6024" s="37"/>
      <c r="I6024" s="37"/>
      <c r="J6024" s="37"/>
      <c r="K6024" s="22"/>
      <c r="L6024" s="56"/>
      <c r="P6024" s="40"/>
      <c r="Q6024" s="61"/>
      <c r="R6024" s="61"/>
      <c r="S6024" s="40"/>
      <c r="T6024" s="38"/>
      <c r="U6024" s="38"/>
      <c r="V6024" s="38"/>
      <c r="W6024" s="60"/>
      <c r="AB6024" s="42"/>
      <c r="AC6024" s="35"/>
      <c r="AD6024" s="38"/>
      <c r="AE6024" s="38"/>
      <c r="AF6024" s="38"/>
      <c r="AG6024" s="38"/>
      <c r="AH6024" s="60"/>
    </row>
    <row r="6025" spans="1:34" ht="15.75" customHeight="1">
      <c r="A6025" s="112">
        <v>74</v>
      </c>
      <c r="B6025" s="38"/>
      <c r="C6025" s="37"/>
      <c r="D6025" s="20"/>
      <c r="E6025" s="25"/>
      <c r="F6025" s="37"/>
      <c r="G6025" s="37"/>
      <c r="H6025" s="37"/>
      <c r="I6025" s="37"/>
      <c r="J6025" s="37"/>
      <c r="K6025" s="22"/>
      <c r="L6025" s="56"/>
      <c r="P6025" s="40"/>
      <c r="Q6025" s="61"/>
      <c r="R6025" s="61"/>
      <c r="S6025" s="40"/>
      <c r="T6025" s="38"/>
      <c r="U6025" s="38"/>
      <c r="V6025" s="38"/>
      <c r="W6025" s="60"/>
      <c r="AB6025" s="42"/>
      <c r="AC6025" s="35"/>
      <c r="AD6025" s="38"/>
      <c r="AE6025" s="38"/>
      <c r="AF6025" s="38"/>
      <c r="AG6025" s="38"/>
      <c r="AH6025" s="60"/>
    </row>
    <row r="6026" spans="1:34" ht="15.75" customHeight="1">
      <c r="A6026" s="111" t="s">
        <v>100</v>
      </c>
      <c r="B6026" s="38"/>
      <c r="C6026" s="37"/>
      <c r="D6026" s="20"/>
      <c r="E6026" s="25"/>
      <c r="F6026" s="37"/>
      <c r="G6026" s="37"/>
      <c r="H6026" s="37"/>
      <c r="I6026" s="37"/>
      <c r="J6026" s="37"/>
      <c r="K6026" s="22"/>
      <c r="L6026" s="56"/>
      <c r="P6026" s="40"/>
      <c r="Q6026" s="61"/>
      <c r="R6026" s="61"/>
      <c r="S6026" s="40"/>
      <c r="T6026" s="38"/>
      <c r="U6026" s="38"/>
      <c r="V6026" s="38"/>
      <c r="W6026" s="60"/>
      <c r="AB6026" s="42"/>
      <c r="AC6026" s="35"/>
      <c r="AD6026" s="38"/>
      <c r="AE6026" s="38"/>
      <c r="AF6026" s="38"/>
      <c r="AG6026" s="38"/>
      <c r="AH6026" s="60"/>
    </row>
    <row r="6027" spans="1:34" ht="15.75" customHeight="1">
      <c r="A6027" s="75" t="s">
        <v>55</v>
      </c>
      <c r="B6027" s="38"/>
      <c r="C6027" s="37"/>
      <c r="D6027" s="20"/>
      <c r="E6027" s="25"/>
      <c r="F6027" s="37"/>
      <c r="G6027" s="37"/>
      <c r="H6027" s="37"/>
      <c r="I6027" s="37"/>
      <c r="J6027" s="37"/>
      <c r="K6027" s="22"/>
      <c r="L6027" s="56"/>
      <c r="P6027" s="40"/>
      <c r="Q6027" s="61"/>
      <c r="R6027" s="61"/>
      <c r="S6027" s="40"/>
      <c r="T6027" s="38"/>
      <c r="U6027" s="38"/>
      <c r="V6027" s="38"/>
      <c r="W6027" s="60"/>
      <c r="AB6027" s="42"/>
      <c r="AC6027" s="35"/>
      <c r="AD6027" s="38"/>
      <c r="AE6027" s="38"/>
      <c r="AF6027" s="38"/>
      <c r="AG6027" s="38"/>
      <c r="AH6027" s="60"/>
    </row>
    <row r="6028" spans="1:34" ht="15.75" customHeight="1">
      <c r="A6028" s="35"/>
      <c r="B6028" s="38"/>
      <c r="C6028" s="37"/>
      <c r="D6028" s="20"/>
      <c r="E6028" s="25"/>
      <c r="F6028" s="37"/>
      <c r="G6028" s="37"/>
      <c r="H6028" s="37"/>
      <c r="I6028" s="37"/>
      <c r="J6028" s="37"/>
      <c r="K6028" s="22"/>
      <c r="L6028" s="56"/>
      <c r="P6028" s="40"/>
      <c r="Q6028" s="61"/>
      <c r="R6028" s="61"/>
      <c r="S6028" s="40"/>
      <c r="T6028" s="38"/>
      <c r="U6028" s="38"/>
      <c r="V6028" s="38"/>
      <c r="W6028" s="60"/>
      <c r="AB6028" s="42"/>
      <c r="AC6028" s="35"/>
      <c r="AD6028" s="38"/>
      <c r="AE6028" s="38"/>
      <c r="AF6028" s="38"/>
      <c r="AG6028" s="38"/>
      <c r="AH6028" s="60"/>
    </row>
    <row r="6029" spans="1:34" ht="15.75" customHeight="1">
      <c r="A6029" s="303"/>
      <c r="B6029" s="38"/>
      <c r="C6029" s="37"/>
      <c r="D6029" s="25"/>
      <c r="E6029" s="25"/>
      <c r="F6029" s="37"/>
      <c r="G6029" s="37"/>
      <c r="H6029" s="37"/>
      <c r="I6029" s="37"/>
      <c r="J6029" s="37"/>
      <c r="K6029" s="22"/>
      <c r="L6029" s="39"/>
      <c r="P6029" s="40"/>
      <c r="Q6029" s="61"/>
      <c r="R6029" s="61"/>
      <c r="S6029" s="40"/>
      <c r="T6029" s="38"/>
      <c r="U6029" s="38"/>
      <c r="V6029" s="38"/>
      <c r="W6029" s="60"/>
      <c r="AB6029" s="42"/>
      <c r="AC6029" s="35"/>
      <c r="AD6029" s="38"/>
      <c r="AE6029" s="38"/>
      <c r="AF6029" s="38"/>
      <c r="AG6029" s="38"/>
      <c r="AH6029" s="60"/>
    </row>
    <row r="6030" spans="1:34" ht="15.75" customHeight="1">
      <c r="A6030" s="303"/>
      <c r="B6030" s="38"/>
      <c r="C6030" s="37"/>
      <c r="D6030" s="20"/>
      <c r="E6030" s="25"/>
      <c r="F6030" s="37"/>
      <c r="G6030" s="37"/>
      <c r="H6030" s="37"/>
      <c r="I6030" s="37"/>
      <c r="J6030" s="37"/>
      <c r="K6030" s="22"/>
      <c r="L6030" s="56"/>
      <c r="P6030" s="40"/>
      <c r="Q6030" s="61"/>
      <c r="R6030" s="61"/>
      <c r="S6030" s="40"/>
      <c r="T6030" s="38"/>
      <c r="U6030" s="38"/>
      <c r="V6030" s="38"/>
      <c r="W6030" s="60"/>
      <c r="AB6030" s="42"/>
      <c r="AC6030" s="35"/>
      <c r="AD6030" s="38"/>
      <c r="AE6030" s="38"/>
      <c r="AF6030" s="38"/>
      <c r="AG6030" s="38"/>
      <c r="AH6030" s="60"/>
    </row>
    <row r="6031" spans="1:34" ht="15.75" customHeight="1">
      <c r="A6031" s="303"/>
      <c r="B6031" s="38"/>
      <c r="C6031" s="37"/>
      <c r="D6031" s="20"/>
      <c r="E6031" s="25"/>
      <c r="F6031" s="37"/>
      <c r="G6031" s="37"/>
      <c r="H6031" s="37"/>
      <c r="I6031" s="37"/>
      <c r="J6031" s="37"/>
      <c r="K6031" s="22"/>
      <c r="L6031" s="56"/>
      <c r="P6031" s="40"/>
      <c r="Q6031" s="61"/>
      <c r="R6031" s="61"/>
      <c r="S6031" s="40"/>
      <c r="T6031" s="38"/>
      <c r="U6031" s="38"/>
      <c r="V6031" s="38"/>
      <c r="W6031" s="60"/>
      <c r="AB6031" s="42"/>
      <c r="AC6031" s="35"/>
      <c r="AD6031" s="38"/>
      <c r="AE6031" s="38"/>
      <c r="AF6031" s="38"/>
      <c r="AG6031" s="38"/>
      <c r="AH6031" s="60"/>
    </row>
    <row r="6032" spans="1:34" ht="15.75" customHeight="1">
      <c r="A6032" s="303"/>
      <c r="B6032" s="38"/>
      <c r="C6032" s="37"/>
      <c r="D6032" s="20"/>
      <c r="E6032" s="25"/>
      <c r="F6032" s="37"/>
      <c r="G6032" s="37"/>
      <c r="H6032" s="37"/>
      <c r="I6032" s="37"/>
      <c r="J6032" s="37"/>
      <c r="K6032" s="22"/>
      <c r="L6032" s="56"/>
      <c r="P6032" s="40"/>
      <c r="Q6032" s="61"/>
      <c r="R6032" s="61"/>
      <c r="S6032" s="40"/>
      <c r="T6032" s="38"/>
      <c r="U6032" s="38"/>
      <c r="V6032" s="38"/>
      <c r="W6032" s="60"/>
      <c r="AB6032" s="42"/>
      <c r="AC6032" s="35"/>
      <c r="AD6032" s="38"/>
      <c r="AE6032" s="38"/>
      <c r="AF6032" s="38"/>
      <c r="AG6032" s="38"/>
      <c r="AH6032" s="60"/>
    </row>
    <row r="6033" spans="1:34" ht="15.75" customHeight="1">
      <c r="A6033" s="303"/>
      <c r="B6033" s="38"/>
      <c r="C6033" s="37"/>
      <c r="D6033" s="20"/>
      <c r="E6033" s="25"/>
      <c r="F6033" s="37"/>
      <c r="G6033" s="37"/>
      <c r="H6033" s="37"/>
      <c r="I6033" s="37"/>
      <c r="J6033" s="37"/>
      <c r="K6033" s="22"/>
      <c r="L6033" s="56"/>
      <c r="P6033" s="40"/>
      <c r="Q6033" s="61"/>
      <c r="R6033" s="61"/>
      <c r="S6033" s="40"/>
      <c r="T6033" s="38"/>
      <c r="U6033" s="38"/>
      <c r="V6033" s="38"/>
      <c r="W6033" s="60"/>
      <c r="AB6033" s="42"/>
      <c r="AC6033" s="35"/>
      <c r="AD6033" s="38"/>
      <c r="AE6033" s="38"/>
      <c r="AF6033" s="38"/>
      <c r="AG6033" s="38"/>
      <c r="AH6033" s="60"/>
    </row>
    <row r="6034" spans="1:34" ht="15.75" customHeight="1">
      <c r="A6034" s="303"/>
      <c r="B6034" s="38"/>
      <c r="C6034" s="37"/>
      <c r="D6034" s="20"/>
      <c r="E6034" s="25"/>
      <c r="F6034" s="37"/>
      <c r="G6034" s="37"/>
      <c r="H6034" s="37"/>
      <c r="I6034" s="37"/>
      <c r="J6034" s="37"/>
      <c r="K6034" s="22"/>
      <c r="L6034" s="56"/>
      <c r="P6034" s="40"/>
      <c r="Q6034" s="61"/>
      <c r="R6034" s="61"/>
      <c r="S6034" s="40"/>
      <c r="T6034" s="38"/>
      <c r="U6034" s="38"/>
      <c r="V6034" s="38"/>
      <c r="W6034" s="60"/>
      <c r="AB6034" s="42"/>
      <c r="AC6034" s="35"/>
      <c r="AD6034" s="38"/>
      <c r="AE6034" s="38"/>
      <c r="AF6034" s="38"/>
      <c r="AG6034" s="38"/>
      <c r="AH6034" s="60"/>
    </row>
    <row r="6035" spans="1:34" ht="15.75" customHeight="1">
      <c r="A6035" s="303"/>
      <c r="B6035" s="38"/>
      <c r="C6035" s="37"/>
      <c r="D6035" s="20"/>
      <c r="E6035" s="25"/>
      <c r="F6035" s="37"/>
      <c r="G6035" s="37"/>
      <c r="H6035" s="37"/>
      <c r="I6035" s="37"/>
      <c r="J6035" s="37"/>
      <c r="K6035" s="22"/>
      <c r="L6035" s="56"/>
      <c r="P6035" s="40"/>
      <c r="Q6035" s="61"/>
      <c r="R6035" s="61"/>
      <c r="S6035" s="40"/>
      <c r="T6035" s="38"/>
      <c r="U6035" s="38"/>
      <c r="V6035" s="38"/>
      <c r="W6035" s="60"/>
      <c r="AB6035" s="42"/>
      <c r="AC6035" s="35"/>
      <c r="AD6035" s="38"/>
      <c r="AE6035" s="38"/>
      <c r="AF6035" s="38"/>
      <c r="AG6035" s="38"/>
      <c r="AH6035" s="60"/>
    </row>
    <row r="6036" spans="1:34" ht="15.75" customHeight="1">
      <c r="A6036" s="303"/>
      <c r="B6036" s="38"/>
      <c r="C6036" s="37"/>
      <c r="D6036" s="20"/>
      <c r="E6036" s="25"/>
      <c r="F6036" s="37"/>
      <c r="G6036" s="37"/>
      <c r="H6036" s="37"/>
      <c r="I6036" s="37"/>
      <c r="J6036" s="37"/>
      <c r="K6036" s="22"/>
      <c r="L6036" s="56"/>
      <c r="P6036" s="40"/>
      <c r="Q6036" s="61"/>
      <c r="R6036" s="61"/>
      <c r="S6036" s="40"/>
      <c r="T6036" s="38"/>
      <c r="U6036" s="38"/>
      <c r="V6036" s="38"/>
      <c r="W6036" s="60"/>
      <c r="AB6036" s="42"/>
      <c r="AC6036" s="35"/>
      <c r="AD6036" s="38"/>
      <c r="AE6036" s="38"/>
      <c r="AF6036" s="38"/>
      <c r="AG6036" s="38"/>
      <c r="AH6036" s="60"/>
    </row>
    <row r="6037" spans="1:34" ht="15.75" customHeight="1">
      <c r="A6037" s="303"/>
      <c r="B6037" s="38"/>
      <c r="C6037" s="37"/>
      <c r="D6037" s="20"/>
      <c r="E6037" s="25"/>
      <c r="F6037" s="37"/>
      <c r="G6037" s="37"/>
      <c r="H6037" s="37"/>
      <c r="I6037" s="37"/>
      <c r="J6037" s="37"/>
      <c r="K6037" s="22"/>
      <c r="L6037" s="56"/>
      <c r="P6037" s="40"/>
      <c r="Q6037" s="61"/>
      <c r="R6037" s="61"/>
      <c r="S6037" s="40"/>
      <c r="T6037" s="38"/>
      <c r="U6037" s="38"/>
      <c r="V6037" s="38"/>
      <c r="W6037" s="60"/>
      <c r="AB6037" s="42"/>
      <c r="AC6037" s="35"/>
      <c r="AD6037" s="38"/>
      <c r="AE6037" s="38"/>
      <c r="AF6037" s="38"/>
      <c r="AG6037" s="38"/>
      <c r="AH6037" s="60"/>
    </row>
    <row r="6038" spans="1:34" ht="15.75" customHeight="1">
      <c r="A6038" s="303"/>
      <c r="B6038" s="38"/>
      <c r="C6038" s="37"/>
      <c r="D6038" s="20"/>
      <c r="E6038" s="25"/>
      <c r="F6038" s="37"/>
      <c r="G6038" s="37"/>
      <c r="H6038" s="37"/>
      <c r="I6038" s="37"/>
      <c r="J6038" s="37"/>
      <c r="K6038" s="22"/>
      <c r="L6038" s="56"/>
      <c r="P6038" s="40"/>
      <c r="Q6038" s="61"/>
      <c r="R6038" s="61"/>
      <c r="S6038" s="40"/>
      <c r="T6038" s="38"/>
      <c r="U6038" s="38"/>
      <c r="V6038" s="38"/>
      <c r="W6038" s="60"/>
      <c r="AB6038" s="42"/>
      <c r="AC6038" s="35"/>
      <c r="AD6038" s="38"/>
      <c r="AE6038" s="38"/>
      <c r="AF6038" s="38"/>
      <c r="AG6038" s="38"/>
      <c r="AH6038" s="60"/>
    </row>
    <row r="6039" spans="1:34" ht="15.75" customHeight="1">
      <c r="A6039" s="303"/>
      <c r="B6039" s="38"/>
      <c r="C6039" s="37"/>
      <c r="D6039" s="20"/>
      <c r="E6039" s="25"/>
      <c r="F6039" s="37"/>
      <c r="G6039" s="37"/>
      <c r="H6039" s="37"/>
      <c r="I6039" s="37"/>
      <c r="J6039" s="37"/>
      <c r="K6039" s="22"/>
      <c r="L6039" s="56"/>
      <c r="P6039" s="40"/>
      <c r="Q6039" s="61"/>
      <c r="R6039" s="61"/>
      <c r="S6039" s="40"/>
      <c r="T6039" s="38"/>
      <c r="U6039" s="38"/>
      <c r="V6039" s="38"/>
      <c r="W6039" s="60"/>
      <c r="AB6039" s="42"/>
      <c r="AC6039" s="35"/>
      <c r="AD6039" s="38"/>
      <c r="AE6039" s="38"/>
      <c r="AF6039" s="38"/>
      <c r="AG6039" s="38"/>
      <c r="AH6039" s="60"/>
    </row>
    <row r="6040" spans="1:34" ht="15.75" customHeight="1">
      <c r="A6040" s="303"/>
      <c r="B6040" s="38"/>
      <c r="C6040" s="37"/>
      <c r="D6040" s="20"/>
      <c r="E6040" s="25"/>
      <c r="F6040" s="37"/>
      <c r="G6040" s="37"/>
      <c r="H6040" s="37"/>
      <c r="I6040" s="37"/>
      <c r="J6040" s="37"/>
      <c r="K6040" s="22"/>
      <c r="L6040" s="56"/>
      <c r="P6040" s="40"/>
      <c r="Q6040" s="61"/>
      <c r="R6040" s="61"/>
      <c r="S6040" s="40"/>
      <c r="T6040" s="38"/>
      <c r="U6040" s="38"/>
      <c r="V6040" s="38"/>
      <c r="W6040" s="60"/>
      <c r="AB6040" s="42"/>
      <c r="AC6040" s="35"/>
      <c r="AD6040" s="38"/>
      <c r="AE6040" s="38"/>
      <c r="AF6040" s="38"/>
      <c r="AG6040" s="38"/>
      <c r="AH6040" s="60"/>
    </row>
    <row r="6041" spans="1:34" ht="15.75" customHeight="1">
      <c r="A6041" s="303"/>
      <c r="B6041" s="38"/>
      <c r="C6041" s="37"/>
      <c r="D6041" s="20"/>
      <c r="E6041" s="25"/>
      <c r="F6041" s="37"/>
      <c r="G6041" s="37"/>
      <c r="H6041" s="37"/>
      <c r="I6041" s="37"/>
      <c r="J6041" s="37"/>
      <c r="K6041" s="22"/>
      <c r="L6041" s="56"/>
      <c r="P6041" s="40"/>
      <c r="Q6041" s="61"/>
      <c r="R6041" s="61"/>
      <c r="S6041" s="40"/>
      <c r="T6041" s="38"/>
      <c r="U6041" s="38"/>
      <c r="V6041" s="38"/>
      <c r="W6041" s="60"/>
      <c r="AB6041" s="42"/>
      <c r="AC6041" s="35"/>
      <c r="AD6041" s="38"/>
      <c r="AE6041" s="38"/>
      <c r="AF6041" s="38"/>
      <c r="AG6041" s="38"/>
      <c r="AH6041" s="60"/>
    </row>
    <row r="6042" spans="1:34" ht="15.75" customHeight="1">
      <c r="A6042" s="303"/>
      <c r="B6042" s="38"/>
      <c r="C6042" s="37"/>
      <c r="D6042" s="20"/>
      <c r="E6042" s="25"/>
      <c r="F6042" s="37"/>
      <c r="G6042" s="37"/>
      <c r="H6042" s="37"/>
      <c r="I6042" s="37"/>
      <c r="J6042" s="37"/>
      <c r="K6042" s="22"/>
      <c r="L6042" s="56"/>
      <c r="P6042" s="40"/>
      <c r="Q6042" s="61"/>
      <c r="R6042" s="61"/>
      <c r="S6042" s="40"/>
      <c r="T6042" s="38"/>
      <c r="U6042" s="38"/>
      <c r="V6042" s="38"/>
      <c r="W6042" s="60"/>
      <c r="AB6042" s="42"/>
      <c r="AC6042" s="35"/>
      <c r="AD6042" s="38"/>
      <c r="AE6042" s="38"/>
      <c r="AF6042" s="38"/>
      <c r="AG6042" s="38"/>
      <c r="AH6042" s="60"/>
    </row>
    <row r="6043" spans="1:34" ht="15.75" customHeight="1">
      <c r="A6043" s="303"/>
      <c r="B6043" s="38"/>
      <c r="C6043" s="37"/>
      <c r="D6043" s="20"/>
      <c r="E6043" s="25"/>
      <c r="F6043" s="37"/>
      <c r="G6043" s="37"/>
      <c r="H6043" s="37"/>
      <c r="I6043" s="37"/>
      <c r="J6043" s="37"/>
      <c r="K6043" s="22"/>
      <c r="L6043" s="56"/>
      <c r="P6043" s="40"/>
      <c r="Q6043" s="61"/>
      <c r="R6043" s="61"/>
      <c r="S6043" s="40"/>
      <c r="T6043" s="38"/>
      <c r="U6043" s="38"/>
      <c r="V6043" s="38"/>
      <c r="W6043" s="60"/>
      <c r="AB6043" s="42"/>
      <c r="AC6043" s="35"/>
      <c r="AD6043" s="38"/>
      <c r="AE6043" s="38"/>
      <c r="AF6043" s="38"/>
      <c r="AG6043" s="38"/>
      <c r="AH6043" s="60"/>
    </row>
    <row r="6044" spans="1:34" ht="15.75" customHeight="1">
      <c r="A6044" s="303"/>
      <c r="B6044" s="38"/>
      <c r="C6044" s="37"/>
      <c r="D6044" s="20"/>
      <c r="E6044" s="25"/>
      <c r="F6044" s="37"/>
      <c r="G6044" s="37"/>
      <c r="H6044" s="37"/>
      <c r="I6044" s="37"/>
      <c r="J6044" s="37"/>
      <c r="K6044" s="22"/>
      <c r="L6044" s="56"/>
      <c r="P6044" s="40"/>
      <c r="Q6044" s="61"/>
      <c r="R6044" s="61"/>
      <c r="S6044" s="40"/>
      <c r="T6044" s="38"/>
      <c r="U6044" s="38"/>
      <c r="V6044" s="38"/>
      <c r="W6044" s="60"/>
      <c r="AB6044" s="42"/>
      <c r="AC6044" s="35"/>
      <c r="AD6044" s="38"/>
      <c r="AE6044" s="38"/>
      <c r="AF6044" s="38"/>
      <c r="AG6044" s="38"/>
      <c r="AH6044" s="60"/>
    </row>
    <row r="6045" spans="1:34" ht="15.75" customHeight="1">
      <c r="A6045" s="303"/>
      <c r="B6045" s="38"/>
      <c r="C6045" s="37"/>
      <c r="D6045" s="20"/>
      <c r="E6045" s="25"/>
      <c r="F6045" s="37"/>
      <c r="G6045" s="37"/>
      <c r="H6045" s="37"/>
      <c r="I6045" s="37"/>
      <c r="J6045" s="37"/>
      <c r="K6045" s="22"/>
      <c r="L6045" s="56"/>
      <c r="P6045" s="40"/>
      <c r="Q6045" s="61"/>
      <c r="R6045" s="61"/>
      <c r="S6045" s="40"/>
      <c r="T6045" s="38"/>
      <c r="U6045" s="38"/>
      <c r="V6045" s="38"/>
      <c r="W6045" s="60"/>
      <c r="AB6045" s="42"/>
      <c r="AC6045" s="35"/>
      <c r="AD6045" s="38"/>
      <c r="AE6045" s="38"/>
      <c r="AF6045" s="38"/>
      <c r="AG6045" s="38"/>
      <c r="AH6045" s="60"/>
    </row>
    <row r="6046" spans="1:34" ht="15.75" customHeight="1">
      <c r="A6046" s="303"/>
      <c r="B6046" s="38"/>
      <c r="C6046" s="37"/>
      <c r="D6046" s="20"/>
      <c r="E6046" s="25"/>
      <c r="F6046" s="37"/>
      <c r="G6046" s="37"/>
      <c r="H6046" s="37"/>
      <c r="I6046" s="37"/>
      <c r="J6046" s="37"/>
      <c r="K6046" s="22"/>
      <c r="L6046" s="56"/>
      <c r="P6046" s="40"/>
      <c r="Q6046" s="61"/>
      <c r="R6046" s="61"/>
      <c r="S6046" s="40"/>
      <c r="T6046" s="38"/>
      <c r="U6046" s="38"/>
      <c r="V6046" s="38"/>
      <c r="W6046" s="60"/>
      <c r="AB6046" s="42"/>
      <c r="AC6046" s="35"/>
      <c r="AD6046" s="38"/>
      <c r="AE6046" s="38"/>
      <c r="AF6046" s="38"/>
      <c r="AG6046" s="38"/>
      <c r="AH6046" s="60"/>
    </row>
    <row r="6047" spans="1:34" ht="15.75" customHeight="1">
      <c r="A6047" s="303"/>
      <c r="B6047" s="38"/>
      <c r="C6047" s="37"/>
      <c r="D6047" s="20"/>
      <c r="E6047" s="25"/>
      <c r="F6047" s="37"/>
      <c r="G6047" s="37"/>
      <c r="H6047" s="37"/>
      <c r="I6047" s="37"/>
      <c r="J6047" s="37"/>
      <c r="K6047" s="22"/>
      <c r="L6047" s="56"/>
      <c r="P6047" s="40"/>
      <c r="Q6047" s="61"/>
      <c r="R6047" s="61"/>
      <c r="S6047" s="40"/>
      <c r="T6047" s="38"/>
      <c r="U6047" s="38"/>
      <c r="V6047" s="38"/>
      <c r="W6047" s="60"/>
      <c r="AB6047" s="42"/>
      <c r="AC6047" s="35"/>
      <c r="AD6047" s="38"/>
      <c r="AE6047" s="38"/>
      <c r="AF6047" s="38"/>
      <c r="AG6047" s="38"/>
      <c r="AH6047" s="60"/>
    </row>
    <row r="6048" spans="1:34" ht="15.75" customHeight="1">
      <c r="A6048" s="303"/>
      <c r="B6048" s="38"/>
      <c r="C6048" s="37"/>
      <c r="D6048" s="20"/>
      <c r="E6048" s="25"/>
      <c r="F6048" s="37"/>
      <c r="G6048" s="37"/>
      <c r="H6048" s="37"/>
      <c r="I6048" s="37"/>
      <c r="J6048" s="37"/>
      <c r="K6048" s="22"/>
      <c r="L6048" s="56"/>
      <c r="P6048" s="40"/>
      <c r="Q6048" s="61"/>
      <c r="R6048" s="61"/>
      <c r="S6048" s="40"/>
      <c r="T6048" s="38"/>
      <c r="U6048" s="38"/>
      <c r="V6048" s="38"/>
      <c r="W6048" s="60"/>
      <c r="AB6048" s="42"/>
      <c r="AC6048" s="35"/>
      <c r="AD6048" s="38"/>
      <c r="AE6048" s="38"/>
      <c r="AF6048" s="38"/>
      <c r="AG6048" s="38"/>
      <c r="AH6048" s="60"/>
    </row>
    <row r="6049" spans="1:34" ht="15.75" customHeight="1">
      <c r="A6049" s="303"/>
      <c r="B6049" s="38"/>
      <c r="C6049" s="37"/>
      <c r="D6049" s="20"/>
      <c r="E6049" s="25"/>
      <c r="F6049" s="37"/>
      <c r="G6049" s="37"/>
      <c r="H6049" s="37"/>
      <c r="I6049" s="37"/>
      <c r="J6049" s="37"/>
      <c r="K6049" s="22"/>
      <c r="L6049" s="56"/>
      <c r="P6049" s="40"/>
      <c r="Q6049" s="61"/>
      <c r="R6049" s="61"/>
      <c r="S6049" s="40"/>
      <c r="T6049" s="38"/>
      <c r="U6049" s="38"/>
      <c r="V6049" s="38"/>
      <c r="W6049" s="60"/>
      <c r="AB6049" s="42"/>
      <c r="AC6049" s="35"/>
      <c r="AD6049" s="38"/>
      <c r="AE6049" s="38"/>
      <c r="AF6049" s="38"/>
      <c r="AG6049" s="38"/>
      <c r="AH6049" s="60"/>
    </row>
    <row r="6050" spans="1:34" ht="15.75" customHeight="1">
      <c r="A6050" s="303"/>
      <c r="B6050" s="38"/>
      <c r="C6050" s="37"/>
      <c r="D6050" s="20"/>
      <c r="E6050" s="25"/>
      <c r="F6050" s="37"/>
      <c r="G6050" s="37"/>
      <c r="H6050" s="37"/>
      <c r="I6050" s="37"/>
      <c r="J6050" s="37"/>
      <c r="K6050" s="22"/>
      <c r="L6050" s="56"/>
      <c r="P6050" s="40"/>
      <c r="Q6050" s="61"/>
      <c r="R6050" s="61"/>
      <c r="S6050" s="40"/>
      <c r="T6050" s="38"/>
      <c r="U6050" s="38"/>
      <c r="V6050" s="38"/>
      <c r="W6050" s="60"/>
      <c r="AB6050" s="42"/>
      <c r="AC6050" s="35"/>
      <c r="AD6050" s="38"/>
      <c r="AE6050" s="38"/>
      <c r="AF6050" s="38"/>
      <c r="AG6050" s="38"/>
      <c r="AH6050" s="60"/>
    </row>
    <row r="6051" spans="1:34" ht="15.75" customHeight="1">
      <c r="A6051" s="303"/>
      <c r="B6051" s="38"/>
      <c r="C6051" s="37"/>
      <c r="D6051" s="20"/>
      <c r="E6051" s="25"/>
      <c r="F6051" s="37"/>
      <c r="G6051" s="37"/>
      <c r="H6051" s="37"/>
      <c r="I6051" s="37"/>
      <c r="J6051" s="37"/>
      <c r="K6051" s="22"/>
      <c r="L6051" s="56"/>
      <c r="P6051" s="40"/>
      <c r="Q6051" s="61"/>
      <c r="R6051" s="61"/>
      <c r="S6051" s="40"/>
      <c r="T6051" s="38"/>
      <c r="U6051" s="38"/>
      <c r="V6051" s="38"/>
      <c r="W6051" s="60"/>
      <c r="AB6051" s="42"/>
      <c r="AC6051" s="35"/>
      <c r="AD6051" s="38"/>
      <c r="AE6051" s="38"/>
      <c r="AF6051" s="38"/>
      <c r="AG6051" s="38"/>
      <c r="AH6051" s="60"/>
    </row>
    <row r="6052" spans="1:34" ht="15.75" customHeight="1">
      <c r="A6052" s="303"/>
      <c r="B6052" s="38"/>
      <c r="C6052" s="37"/>
      <c r="D6052" s="20"/>
      <c r="E6052" s="25"/>
      <c r="F6052" s="37"/>
      <c r="G6052" s="37"/>
      <c r="H6052" s="37"/>
      <c r="I6052" s="37"/>
      <c r="J6052" s="37"/>
      <c r="K6052" s="22"/>
      <c r="L6052" s="56"/>
      <c r="P6052" s="40"/>
      <c r="Q6052" s="61"/>
      <c r="R6052" s="61"/>
      <c r="S6052" s="40"/>
      <c r="T6052" s="38"/>
      <c r="U6052" s="38"/>
      <c r="V6052" s="38"/>
      <c r="W6052" s="60"/>
      <c r="AB6052" s="42"/>
      <c r="AC6052" s="35"/>
      <c r="AD6052" s="38"/>
      <c r="AE6052" s="38"/>
      <c r="AF6052" s="38"/>
      <c r="AG6052" s="38"/>
      <c r="AH6052" s="60"/>
    </row>
    <row r="6053" spans="1:34" ht="15.75" customHeight="1">
      <c r="A6053" s="303"/>
      <c r="B6053" s="38"/>
      <c r="C6053" s="37"/>
      <c r="D6053" s="20"/>
      <c r="E6053" s="25"/>
      <c r="F6053" s="37"/>
      <c r="G6053" s="37"/>
      <c r="H6053" s="37"/>
      <c r="I6053" s="37"/>
      <c r="J6053" s="37"/>
      <c r="K6053" s="22"/>
      <c r="L6053" s="56"/>
      <c r="P6053" s="40"/>
      <c r="Q6053" s="61"/>
      <c r="R6053" s="61"/>
      <c r="S6053" s="40"/>
      <c r="T6053" s="38"/>
      <c r="U6053" s="38"/>
      <c r="V6053" s="38"/>
      <c r="W6053" s="60"/>
      <c r="AB6053" s="42"/>
      <c r="AC6053" s="35"/>
      <c r="AD6053" s="38"/>
      <c r="AE6053" s="38"/>
      <c r="AF6053" s="38"/>
      <c r="AG6053" s="38"/>
      <c r="AH6053" s="60"/>
    </row>
    <row r="6054" spans="1:34" ht="15.75" customHeight="1">
      <c r="A6054" s="303"/>
      <c r="B6054" s="38"/>
      <c r="C6054" s="37"/>
      <c r="D6054" s="20"/>
      <c r="E6054" s="25"/>
      <c r="F6054" s="37"/>
      <c r="G6054" s="37"/>
      <c r="H6054" s="37"/>
      <c r="I6054" s="37"/>
      <c r="J6054" s="37"/>
      <c r="K6054" s="22"/>
      <c r="L6054" s="56"/>
      <c r="P6054" s="40"/>
      <c r="Q6054" s="61"/>
      <c r="R6054" s="61"/>
      <c r="S6054" s="40"/>
      <c r="T6054" s="38"/>
      <c r="U6054" s="38"/>
      <c r="V6054" s="38"/>
      <c r="W6054" s="60"/>
      <c r="AB6054" s="42"/>
      <c r="AC6054" s="35"/>
      <c r="AD6054" s="38"/>
      <c r="AE6054" s="38"/>
      <c r="AF6054" s="38"/>
      <c r="AG6054" s="38"/>
      <c r="AH6054" s="60"/>
    </row>
    <row r="6055" spans="1:34" ht="15.75" customHeight="1">
      <c r="A6055" s="303"/>
      <c r="B6055" s="38"/>
      <c r="C6055" s="37"/>
      <c r="D6055" s="20"/>
      <c r="E6055" s="25"/>
      <c r="F6055" s="37"/>
      <c r="G6055" s="37"/>
      <c r="H6055" s="37"/>
      <c r="I6055" s="37"/>
      <c r="J6055" s="37"/>
      <c r="K6055" s="22"/>
      <c r="L6055" s="56"/>
      <c r="P6055" s="40"/>
      <c r="Q6055" s="61"/>
      <c r="R6055" s="61"/>
      <c r="S6055" s="40"/>
      <c r="T6055" s="38"/>
      <c r="U6055" s="38"/>
      <c r="V6055" s="38"/>
      <c r="W6055" s="60"/>
      <c r="AB6055" s="42"/>
      <c r="AC6055" s="35"/>
      <c r="AD6055" s="38"/>
      <c r="AE6055" s="38"/>
      <c r="AF6055" s="38"/>
      <c r="AG6055" s="38"/>
      <c r="AH6055" s="60"/>
    </row>
    <row r="6056" spans="1:34" ht="15.75" customHeight="1">
      <c r="A6056" s="303"/>
      <c r="B6056" s="38"/>
      <c r="C6056" s="37"/>
      <c r="D6056" s="20"/>
      <c r="E6056" s="25"/>
      <c r="F6056" s="37"/>
      <c r="G6056" s="37"/>
      <c r="H6056" s="37"/>
      <c r="I6056" s="37"/>
      <c r="J6056" s="37"/>
      <c r="K6056" s="22"/>
      <c r="L6056" s="56"/>
      <c r="P6056" s="40"/>
      <c r="Q6056" s="61"/>
      <c r="R6056" s="61"/>
      <c r="S6056" s="40"/>
      <c r="T6056" s="38"/>
      <c r="U6056" s="38"/>
      <c r="V6056" s="38"/>
      <c r="W6056" s="60"/>
      <c r="AB6056" s="42"/>
      <c r="AC6056" s="35"/>
      <c r="AD6056" s="38"/>
      <c r="AE6056" s="38"/>
      <c r="AF6056" s="38"/>
      <c r="AG6056" s="38"/>
      <c r="AH6056" s="60"/>
    </row>
    <row r="6057" spans="1:34" ht="15.75" customHeight="1">
      <c r="A6057" s="303"/>
      <c r="B6057" s="38"/>
      <c r="C6057" s="37"/>
      <c r="D6057" s="20"/>
      <c r="E6057" s="25"/>
      <c r="F6057" s="37"/>
      <c r="G6057" s="37"/>
      <c r="H6057" s="37"/>
      <c r="I6057" s="37"/>
      <c r="J6057" s="37"/>
      <c r="K6057" s="22"/>
      <c r="L6057" s="56"/>
      <c r="P6057" s="40"/>
      <c r="Q6057" s="61"/>
      <c r="R6057" s="61"/>
      <c r="S6057" s="40"/>
      <c r="T6057" s="38"/>
      <c r="U6057" s="38"/>
      <c r="V6057" s="38"/>
      <c r="W6057" s="60"/>
      <c r="AB6057" s="42"/>
      <c r="AC6057" s="35"/>
      <c r="AD6057" s="38"/>
      <c r="AE6057" s="38"/>
      <c r="AF6057" s="38"/>
      <c r="AG6057" s="38"/>
      <c r="AH6057" s="60"/>
    </row>
    <row r="6058" spans="1:34" ht="15.75" customHeight="1">
      <c r="A6058" s="303"/>
      <c r="B6058" s="38"/>
      <c r="C6058" s="37"/>
      <c r="D6058" s="20"/>
      <c r="E6058" s="25"/>
      <c r="F6058" s="37"/>
      <c r="G6058" s="37"/>
      <c r="H6058" s="37"/>
      <c r="I6058" s="37"/>
      <c r="J6058" s="37"/>
      <c r="K6058" s="22"/>
      <c r="L6058" s="56"/>
      <c r="P6058" s="40"/>
      <c r="Q6058" s="61"/>
      <c r="R6058" s="61"/>
      <c r="S6058" s="40"/>
      <c r="T6058" s="38"/>
      <c r="U6058" s="38"/>
      <c r="V6058" s="38"/>
      <c r="W6058" s="60"/>
      <c r="AB6058" s="42"/>
      <c r="AC6058" s="35"/>
      <c r="AD6058" s="38"/>
      <c r="AE6058" s="38"/>
      <c r="AF6058" s="38"/>
      <c r="AG6058" s="38"/>
      <c r="AH6058" s="60"/>
    </row>
    <row r="6059" spans="1:34" ht="15.75" customHeight="1">
      <c r="A6059" s="303"/>
      <c r="B6059" s="38"/>
      <c r="C6059" s="37"/>
      <c r="D6059" s="20"/>
      <c r="E6059" s="25"/>
      <c r="F6059" s="37"/>
      <c r="G6059" s="37"/>
      <c r="H6059" s="37"/>
      <c r="I6059" s="37"/>
      <c r="J6059" s="37"/>
      <c r="K6059" s="22"/>
      <c r="L6059" s="56"/>
      <c r="P6059" s="40"/>
      <c r="Q6059" s="61"/>
      <c r="R6059" s="61"/>
      <c r="S6059" s="40"/>
      <c r="T6059" s="38"/>
      <c r="U6059" s="38"/>
      <c r="V6059" s="38"/>
      <c r="W6059" s="60"/>
      <c r="AB6059" s="42"/>
      <c r="AC6059" s="35"/>
      <c r="AD6059" s="38"/>
      <c r="AE6059" s="38"/>
      <c r="AF6059" s="38"/>
      <c r="AG6059" s="38"/>
      <c r="AH6059" s="60"/>
    </row>
    <row r="6060" spans="1:34" ht="15.75" customHeight="1">
      <c r="A6060" s="303"/>
      <c r="B6060" s="38"/>
      <c r="C6060" s="37"/>
      <c r="D6060" s="20"/>
      <c r="E6060" s="25"/>
      <c r="F6060" s="37"/>
      <c r="G6060" s="37"/>
      <c r="H6060" s="37"/>
      <c r="I6060" s="37"/>
      <c r="J6060" s="37"/>
      <c r="K6060" s="22"/>
      <c r="L6060" s="56"/>
      <c r="P6060" s="40"/>
      <c r="Q6060" s="61"/>
      <c r="R6060" s="61"/>
      <c r="S6060" s="40"/>
      <c r="T6060" s="38"/>
      <c r="U6060" s="38"/>
      <c r="V6060" s="38"/>
      <c r="W6060" s="60"/>
      <c r="AB6060" s="42"/>
      <c r="AC6060" s="35"/>
      <c r="AD6060" s="38"/>
      <c r="AE6060" s="38"/>
      <c r="AF6060" s="38"/>
      <c r="AG6060" s="38"/>
      <c r="AH6060" s="60"/>
    </row>
    <row r="6061" spans="1:34" ht="15.75" customHeight="1">
      <c r="A6061" s="303"/>
      <c r="B6061" s="38"/>
      <c r="C6061" s="37"/>
      <c r="D6061" s="20"/>
      <c r="E6061" s="25"/>
      <c r="F6061" s="37"/>
      <c r="G6061" s="37"/>
      <c r="H6061" s="37"/>
      <c r="I6061" s="37"/>
      <c r="J6061" s="37"/>
      <c r="K6061" s="22"/>
      <c r="L6061" s="56"/>
      <c r="P6061" s="40"/>
      <c r="Q6061" s="61"/>
      <c r="R6061" s="61"/>
      <c r="S6061" s="40"/>
      <c r="T6061" s="38"/>
      <c r="U6061" s="38"/>
      <c r="V6061" s="38"/>
      <c r="W6061" s="60"/>
      <c r="AB6061" s="42"/>
      <c r="AC6061" s="35"/>
      <c r="AD6061" s="38"/>
      <c r="AE6061" s="38"/>
      <c r="AF6061" s="38"/>
      <c r="AG6061" s="38"/>
      <c r="AH6061" s="60"/>
    </row>
    <row r="6062" spans="1:34" ht="15.75" customHeight="1">
      <c r="A6062" s="303"/>
      <c r="B6062" s="38"/>
      <c r="C6062" s="37"/>
      <c r="D6062" s="20"/>
      <c r="E6062" s="25"/>
      <c r="F6062" s="37"/>
      <c r="G6062" s="37"/>
      <c r="H6062" s="37"/>
      <c r="I6062" s="37"/>
      <c r="J6062" s="37"/>
      <c r="K6062" s="22"/>
      <c r="L6062" s="56"/>
      <c r="P6062" s="40"/>
      <c r="Q6062" s="61"/>
      <c r="R6062" s="61"/>
      <c r="S6062" s="40"/>
      <c r="T6062" s="38"/>
      <c r="U6062" s="38"/>
      <c r="V6062" s="38"/>
      <c r="W6062" s="60"/>
      <c r="AB6062" s="42"/>
      <c r="AC6062" s="35"/>
      <c r="AD6062" s="38"/>
      <c r="AE6062" s="38"/>
      <c r="AF6062" s="38"/>
      <c r="AG6062" s="38"/>
      <c r="AH6062" s="60"/>
    </row>
    <row r="6063" spans="1:34" ht="15.75" customHeight="1">
      <c r="A6063" s="303"/>
      <c r="B6063" s="38"/>
      <c r="C6063" s="37"/>
      <c r="D6063" s="20"/>
      <c r="E6063" s="25"/>
      <c r="F6063" s="37"/>
      <c r="G6063" s="37"/>
      <c r="H6063" s="37"/>
      <c r="I6063" s="37"/>
      <c r="J6063" s="37"/>
      <c r="K6063" s="22"/>
      <c r="L6063" s="56"/>
      <c r="P6063" s="40"/>
      <c r="Q6063" s="61"/>
      <c r="R6063" s="61"/>
      <c r="S6063" s="40"/>
      <c r="T6063" s="38"/>
      <c r="U6063" s="38"/>
      <c r="V6063" s="38"/>
      <c r="W6063" s="60"/>
      <c r="AB6063" s="42"/>
      <c r="AC6063" s="35"/>
      <c r="AD6063" s="38"/>
      <c r="AE6063" s="38"/>
      <c r="AF6063" s="38"/>
      <c r="AG6063" s="38"/>
      <c r="AH6063" s="60"/>
    </row>
    <row r="6064" spans="1:34" ht="15.75" customHeight="1">
      <c r="A6064" s="303"/>
      <c r="B6064" s="38"/>
      <c r="C6064" s="37"/>
      <c r="D6064" s="20"/>
      <c r="E6064" s="25"/>
      <c r="F6064" s="37"/>
      <c r="G6064" s="37"/>
      <c r="H6064" s="37"/>
      <c r="I6064" s="37"/>
      <c r="J6064" s="37"/>
      <c r="K6064" s="22"/>
      <c r="L6064" s="56"/>
      <c r="P6064" s="40"/>
      <c r="Q6064" s="61"/>
      <c r="R6064" s="61"/>
      <c r="S6064" s="40"/>
      <c r="T6064" s="38"/>
      <c r="U6064" s="38"/>
      <c r="V6064" s="38"/>
      <c r="W6064" s="60"/>
      <c r="AB6064" s="42"/>
      <c r="AC6064" s="35"/>
      <c r="AD6064" s="38"/>
      <c r="AE6064" s="38"/>
      <c r="AF6064" s="38"/>
      <c r="AG6064" s="38"/>
      <c r="AH6064" s="60"/>
    </row>
    <row r="6065" spans="1:34" ht="15.75" customHeight="1">
      <c r="A6065" s="303"/>
      <c r="B6065" s="38"/>
      <c r="C6065" s="37"/>
      <c r="D6065" s="20"/>
      <c r="E6065" s="25"/>
      <c r="F6065" s="37"/>
      <c r="G6065" s="37"/>
      <c r="H6065" s="37"/>
      <c r="I6065" s="37"/>
      <c r="J6065" s="37"/>
      <c r="K6065" s="22"/>
      <c r="L6065" s="56"/>
      <c r="P6065" s="40"/>
      <c r="Q6065" s="61"/>
      <c r="R6065" s="61"/>
      <c r="S6065" s="40"/>
      <c r="T6065" s="38"/>
      <c r="U6065" s="38"/>
      <c r="V6065" s="38"/>
      <c r="W6065" s="60"/>
      <c r="AB6065" s="42"/>
      <c r="AC6065" s="35"/>
      <c r="AD6065" s="38"/>
      <c r="AE6065" s="38"/>
      <c r="AF6065" s="38"/>
      <c r="AG6065" s="38"/>
      <c r="AH6065" s="60"/>
    </row>
    <row r="6066" spans="1:34" ht="15.75" customHeight="1">
      <c r="A6066" s="303"/>
      <c r="B6066" s="38"/>
      <c r="C6066" s="37"/>
      <c r="D6066" s="20"/>
      <c r="E6066" s="25"/>
      <c r="F6066" s="37"/>
      <c r="G6066" s="37"/>
      <c r="H6066" s="37"/>
      <c r="I6066" s="37"/>
      <c r="J6066" s="37"/>
      <c r="K6066" s="22"/>
      <c r="L6066" s="56"/>
      <c r="P6066" s="40"/>
      <c r="Q6066" s="61"/>
      <c r="R6066" s="61"/>
      <c r="S6066" s="40"/>
      <c r="T6066" s="38"/>
      <c r="U6066" s="38"/>
      <c r="V6066" s="38"/>
      <c r="W6066" s="60"/>
      <c r="AB6066" s="42"/>
      <c r="AC6066" s="35"/>
      <c r="AD6066" s="38"/>
      <c r="AE6066" s="38"/>
      <c r="AF6066" s="38"/>
      <c r="AG6066" s="38"/>
      <c r="AH6066" s="60"/>
    </row>
    <row r="6067" spans="1:34" ht="15.75" customHeight="1">
      <c r="A6067" s="303"/>
      <c r="B6067" s="38"/>
      <c r="C6067" s="37"/>
      <c r="D6067" s="20"/>
      <c r="E6067" s="25"/>
      <c r="F6067" s="37"/>
      <c r="G6067" s="37"/>
      <c r="H6067" s="37"/>
      <c r="I6067" s="37"/>
      <c r="J6067" s="37"/>
      <c r="K6067" s="22"/>
      <c r="L6067" s="56"/>
      <c r="P6067" s="40"/>
      <c r="Q6067" s="61"/>
      <c r="R6067" s="61"/>
      <c r="S6067" s="40"/>
      <c r="T6067" s="38"/>
      <c r="U6067" s="38"/>
      <c r="V6067" s="38"/>
      <c r="W6067" s="60"/>
      <c r="AB6067" s="42"/>
      <c r="AC6067" s="35"/>
      <c r="AD6067" s="38"/>
      <c r="AE6067" s="38"/>
      <c r="AF6067" s="38"/>
      <c r="AG6067" s="38"/>
      <c r="AH6067" s="60"/>
    </row>
    <row r="6068" spans="1:34" ht="15.75" customHeight="1">
      <c r="A6068" s="303"/>
      <c r="B6068" s="38"/>
      <c r="C6068" s="37"/>
      <c r="D6068" s="20"/>
      <c r="E6068" s="25"/>
      <c r="F6068" s="37"/>
      <c r="G6068" s="37"/>
      <c r="H6068" s="37"/>
      <c r="I6068" s="37"/>
      <c r="J6068" s="37"/>
      <c r="K6068" s="22"/>
      <c r="L6068" s="56"/>
      <c r="P6068" s="40"/>
      <c r="Q6068" s="61"/>
      <c r="R6068" s="61"/>
      <c r="S6068" s="40"/>
      <c r="T6068" s="38"/>
      <c r="U6068" s="38"/>
      <c r="V6068" s="38"/>
      <c r="W6068" s="60"/>
      <c r="AB6068" s="42"/>
      <c r="AC6068" s="35"/>
      <c r="AD6068" s="38"/>
      <c r="AE6068" s="38"/>
      <c r="AF6068" s="38"/>
      <c r="AG6068" s="38"/>
      <c r="AH6068" s="60"/>
    </row>
    <row r="6069" spans="1:34" ht="15.75" customHeight="1">
      <c r="A6069" s="303"/>
      <c r="B6069" s="38"/>
      <c r="C6069" s="37"/>
      <c r="D6069" s="20"/>
      <c r="E6069" s="25"/>
      <c r="F6069" s="37"/>
      <c r="G6069" s="37"/>
      <c r="H6069" s="37"/>
      <c r="I6069" s="37"/>
      <c r="J6069" s="37"/>
      <c r="K6069" s="22"/>
      <c r="L6069" s="56"/>
      <c r="P6069" s="40"/>
      <c r="Q6069" s="61"/>
      <c r="R6069" s="61"/>
      <c r="S6069" s="40"/>
      <c r="T6069" s="38"/>
      <c r="U6069" s="38"/>
      <c r="V6069" s="38"/>
      <c r="W6069" s="60"/>
      <c r="AB6069" s="42"/>
      <c r="AC6069" s="35"/>
      <c r="AD6069" s="38"/>
      <c r="AE6069" s="38"/>
      <c r="AF6069" s="38"/>
      <c r="AG6069" s="38"/>
      <c r="AH6069" s="60"/>
    </row>
    <row r="6070" spans="1:34" ht="15.75" customHeight="1">
      <c r="A6070" s="303"/>
      <c r="B6070" s="38"/>
      <c r="C6070" s="37"/>
      <c r="D6070" s="20"/>
      <c r="E6070" s="25"/>
      <c r="F6070" s="37"/>
      <c r="G6070" s="37"/>
      <c r="H6070" s="37"/>
      <c r="I6070" s="37"/>
      <c r="J6070" s="37"/>
      <c r="K6070" s="22"/>
      <c r="L6070" s="56"/>
      <c r="P6070" s="40"/>
      <c r="Q6070" s="61"/>
      <c r="R6070" s="61"/>
      <c r="S6070" s="40"/>
      <c r="T6070" s="38"/>
      <c r="U6070" s="38"/>
      <c r="V6070" s="38"/>
      <c r="W6070" s="60"/>
      <c r="AB6070" s="42"/>
      <c r="AC6070" s="35"/>
      <c r="AD6070" s="38"/>
      <c r="AE6070" s="38"/>
      <c r="AF6070" s="38"/>
      <c r="AG6070" s="38"/>
      <c r="AH6070" s="60"/>
    </row>
    <row r="6071" spans="1:34" ht="15.75" customHeight="1">
      <c r="A6071" s="303"/>
      <c r="B6071" s="38"/>
      <c r="C6071" s="37"/>
      <c r="D6071" s="20"/>
      <c r="E6071" s="25"/>
      <c r="F6071" s="37"/>
      <c r="G6071" s="37"/>
      <c r="H6071" s="37"/>
      <c r="I6071" s="37"/>
      <c r="J6071" s="37"/>
      <c r="K6071" s="22"/>
      <c r="L6071" s="56"/>
      <c r="P6071" s="40"/>
      <c r="Q6071" s="61"/>
      <c r="R6071" s="61"/>
      <c r="S6071" s="40"/>
      <c r="T6071" s="38"/>
      <c r="U6071" s="38"/>
      <c r="V6071" s="38"/>
      <c r="W6071" s="60"/>
      <c r="AB6071" s="42"/>
      <c r="AC6071" s="35"/>
      <c r="AD6071" s="38"/>
      <c r="AE6071" s="38"/>
      <c r="AF6071" s="38"/>
      <c r="AG6071" s="38"/>
      <c r="AH6071" s="60"/>
    </row>
    <row r="6072" spans="1:34" ht="15.75" customHeight="1">
      <c r="A6072" s="303"/>
      <c r="B6072" s="38"/>
      <c r="C6072" s="37"/>
      <c r="D6072" s="20"/>
      <c r="E6072" s="25"/>
      <c r="F6072" s="37"/>
      <c r="G6072" s="37"/>
      <c r="H6072" s="37"/>
      <c r="I6072" s="37"/>
      <c r="J6072" s="37"/>
      <c r="K6072" s="22"/>
      <c r="L6072" s="56"/>
      <c r="P6072" s="40"/>
      <c r="Q6072" s="61"/>
      <c r="R6072" s="61"/>
      <c r="S6072" s="40"/>
      <c r="T6072" s="38"/>
      <c r="U6072" s="38"/>
      <c r="V6072" s="38"/>
      <c r="W6072" s="60"/>
      <c r="AB6072" s="42"/>
      <c r="AC6072" s="35"/>
      <c r="AD6072" s="38"/>
      <c r="AE6072" s="38"/>
      <c r="AF6072" s="38"/>
      <c r="AG6072" s="38"/>
      <c r="AH6072" s="60"/>
    </row>
    <row r="6073" spans="1:34" ht="15.75" customHeight="1">
      <c r="A6073" s="303"/>
      <c r="B6073" s="38"/>
      <c r="C6073" s="37"/>
      <c r="D6073" s="20"/>
      <c r="E6073" s="25"/>
      <c r="F6073" s="37"/>
      <c r="G6073" s="37"/>
      <c r="H6073" s="37"/>
      <c r="I6073" s="37"/>
      <c r="J6073" s="37"/>
      <c r="K6073" s="22"/>
      <c r="L6073" s="56"/>
      <c r="P6073" s="40"/>
      <c r="Q6073" s="61"/>
      <c r="R6073" s="61"/>
      <c r="S6073" s="40"/>
      <c r="T6073" s="38"/>
      <c r="U6073" s="38"/>
      <c r="V6073" s="38"/>
      <c r="W6073" s="60"/>
      <c r="AB6073" s="42"/>
      <c r="AC6073" s="35"/>
      <c r="AD6073" s="38"/>
      <c r="AE6073" s="38"/>
      <c r="AF6073" s="38"/>
      <c r="AG6073" s="38"/>
      <c r="AH6073" s="60"/>
    </row>
    <row r="6074" spans="1:34" ht="15.75" customHeight="1">
      <c r="A6074" s="303"/>
      <c r="B6074" s="38"/>
      <c r="C6074" s="37"/>
      <c r="D6074" s="20"/>
      <c r="E6074" s="25"/>
      <c r="F6074" s="37"/>
      <c r="G6074" s="37"/>
      <c r="H6074" s="37"/>
      <c r="I6074" s="37"/>
      <c r="J6074" s="37"/>
      <c r="K6074" s="22"/>
      <c r="L6074" s="56"/>
      <c r="P6074" s="40"/>
      <c r="Q6074" s="61"/>
      <c r="R6074" s="61"/>
      <c r="S6074" s="40"/>
      <c r="T6074" s="38"/>
      <c r="U6074" s="38"/>
      <c r="V6074" s="38"/>
      <c r="W6074" s="60"/>
      <c r="AB6074" s="42"/>
      <c r="AC6074" s="35"/>
      <c r="AD6074" s="38"/>
      <c r="AE6074" s="38"/>
      <c r="AF6074" s="38"/>
      <c r="AG6074" s="38"/>
      <c r="AH6074" s="60"/>
    </row>
    <row r="6075" spans="1:34" ht="15.75" customHeight="1">
      <c r="A6075" s="303"/>
      <c r="B6075" s="38"/>
      <c r="C6075" s="37"/>
      <c r="D6075" s="20"/>
      <c r="E6075" s="25"/>
      <c r="F6075" s="37"/>
      <c r="G6075" s="37"/>
      <c r="H6075" s="37"/>
      <c r="I6075" s="37"/>
      <c r="J6075" s="37"/>
      <c r="K6075" s="22"/>
      <c r="L6075" s="56"/>
      <c r="P6075" s="40"/>
      <c r="Q6075" s="61"/>
      <c r="R6075" s="61"/>
      <c r="S6075" s="40"/>
      <c r="T6075" s="38"/>
      <c r="U6075" s="38"/>
      <c r="V6075" s="38"/>
      <c r="W6075" s="60"/>
      <c r="AB6075" s="42"/>
      <c r="AC6075" s="35"/>
      <c r="AD6075" s="38"/>
      <c r="AE6075" s="38"/>
      <c r="AF6075" s="38"/>
      <c r="AG6075" s="38"/>
      <c r="AH6075" s="60"/>
    </row>
    <row r="6076" spans="1:34" ht="15.75" customHeight="1">
      <c r="A6076" s="303"/>
      <c r="B6076" s="38"/>
      <c r="C6076" s="37"/>
      <c r="D6076" s="20"/>
      <c r="E6076" s="25"/>
      <c r="F6076" s="37"/>
      <c r="G6076" s="37"/>
      <c r="H6076" s="37"/>
      <c r="I6076" s="37"/>
      <c r="J6076" s="37"/>
      <c r="K6076" s="22"/>
      <c r="L6076" s="56"/>
      <c r="P6076" s="40"/>
      <c r="Q6076" s="61"/>
      <c r="R6076" s="61"/>
      <c r="S6076" s="40"/>
      <c r="T6076" s="38"/>
      <c r="U6076" s="38"/>
      <c r="V6076" s="38"/>
      <c r="W6076" s="60"/>
      <c r="AB6076" s="42"/>
      <c r="AC6076" s="35"/>
      <c r="AD6076" s="38"/>
      <c r="AE6076" s="38"/>
      <c r="AF6076" s="38"/>
      <c r="AG6076" s="38"/>
      <c r="AH6076" s="60"/>
    </row>
    <row r="6077" spans="1:34" ht="15.75" customHeight="1">
      <c r="A6077" s="303"/>
      <c r="B6077" s="38"/>
      <c r="C6077" s="37"/>
      <c r="D6077" s="20"/>
      <c r="E6077" s="25"/>
      <c r="F6077" s="37"/>
      <c r="G6077" s="37"/>
      <c r="H6077" s="37"/>
      <c r="I6077" s="37"/>
      <c r="J6077" s="37"/>
      <c r="K6077" s="22"/>
      <c r="L6077" s="56"/>
      <c r="P6077" s="40"/>
      <c r="Q6077" s="61"/>
      <c r="R6077" s="61"/>
      <c r="S6077" s="40"/>
      <c r="T6077" s="38"/>
      <c r="U6077" s="38"/>
      <c r="V6077" s="38"/>
      <c r="W6077" s="60"/>
      <c r="AB6077" s="42"/>
      <c r="AC6077" s="35"/>
      <c r="AD6077" s="38"/>
      <c r="AE6077" s="38"/>
      <c r="AF6077" s="38"/>
      <c r="AG6077" s="38"/>
      <c r="AH6077" s="60"/>
    </row>
    <row r="6078" spans="1:34" ht="15.75" customHeight="1">
      <c r="A6078" s="303"/>
      <c r="B6078" s="38"/>
      <c r="C6078" s="37"/>
      <c r="D6078" s="20"/>
      <c r="E6078" s="25"/>
      <c r="F6078" s="37"/>
      <c r="G6078" s="37"/>
      <c r="H6078" s="37"/>
      <c r="I6078" s="37"/>
      <c r="J6078" s="37"/>
      <c r="K6078" s="22"/>
      <c r="L6078" s="56"/>
      <c r="P6078" s="40"/>
      <c r="Q6078" s="61"/>
      <c r="R6078" s="61"/>
      <c r="S6078" s="40"/>
      <c r="T6078" s="38"/>
      <c r="U6078" s="38"/>
      <c r="V6078" s="38"/>
      <c r="W6078" s="60"/>
      <c r="AB6078" s="42"/>
      <c r="AC6078" s="35"/>
      <c r="AD6078" s="38"/>
      <c r="AE6078" s="38"/>
      <c r="AF6078" s="38"/>
      <c r="AG6078" s="38"/>
      <c r="AH6078" s="60"/>
    </row>
    <row r="6079" spans="1:34" ht="15.75" customHeight="1">
      <c r="A6079" s="303"/>
      <c r="B6079" s="38"/>
      <c r="C6079" s="37"/>
      <c r="D6079" s="20"/>
      <c r="E6079" s="25"/>
      <c r="F6079" s="37"/>
      <c r="G6079" s="37"/>
      <c r="H6079" s="37"/>
      <c r="I6079" s="37"/>
      <c r="J6079" s="37"/>
      <c r="K6079" s="22"/>
      <c r="L6079" s="56"/>
      <c r="P6079" s="40"/>
      <c r="Q6079" s="61"/>
      <c r="R6079" s="61"/>
      <c r="S6079" s="40"/>
      <c r="T6079" s="38"/>
      <c r="U6079" s="38"/>
      <c r="V6079" s="38"/>
      <c r="W6079" s="60"/>
      <c r="AB6079" s="42"/>
      <c r="AC6079" s="35"/>
      <c r="AD6079" s="38"/>
      <c r="AE6079" s="38"/>
      <c r="AF6079" s="38"/>
      <c r="AG6079" s="38"/>
      <c r="AH6079" s="60"/>
    </row>
    <row r="6080" spans="1:34" ht="15.75" customHeight="1">
      <c r="A6080" s="303"/>
      <c r="B6080" s="38"/>
      <c r="C6080" s="37"/>
      <c r="D6080" s="20"/>
      <c r="E6080" s="25"/>
      <c r="F6080" s="37"/>
      <c r="G6080" s="37"/>
      <c r="H6080" s="37"/>
      <c r="I6080" s="37"/>
      <c r="J6080" s="37"/>
      <c r="K6080" s="22"/>
      <c r="L6080" s="56"/>
      <c r="P6080" s="40"/>
      <c r="Q6080" s="61"/>
      <c r="R6080" s="61"/>
      <c r="S6080" s="40"/>
      <c r="T6080" s="38"/>
      <c r="U6080" s="38"/>
      <c r="V6080" s="38"/>
      <c r="W6080" s="60"/>
      <c r="AB6080" s="42"/>
      <c r="AC6080" s="35"/>
      <c r="AD6080" s="38"/>
      <c r="AE6080" s="38"/>
      <c r="AF6080" s="38"/>
      <c r="AG6080" s="38"/>
      <c r="AH6080" s="60"/>
    </row>
    <row r="6081" spans="1:34" ht="15.75" customHeight="1">
      <c r="A6081" s="303"/>
      <c r="B6081" s="38"/>
      <c r="C6081" s="37"/>
      <c r="D6081" s="20"/>
      <c r="E6081" s="25"/>
      <c r="F6081" s="37"/>
      <c r="G6081" s="37"/>
      <c r="H6081" s="37"/>
      <c r="I6081" s="37"/>
      <c r="J6081" s="37"/>
      <c r="K6081" s="22"/>
      <c r="L6081" s="56"/>
      <c r="P6081" s="40"/>
      <c r="Q6081" s="61"/>
      <c r="R6081" s="61"/>
      <c r="S6081" s="40"/>
      <c r="T6081" s="38"/>
      <c r="U6081" s="38"/>
      <c r="V6081" s="38"/>
      <c r="W6081" s="60"/>
      <c r="AB6081" s="42"/>
      <c r="AC6081" s="35"/>
      <c r="AD6081" s="38"/>
      <c r="AE6081" s="38"/>
      <c r="AF6081" s="38"/>
      <c r="AG6081" s="38"/>
      <c r="AH6081" s="60"/>
    </row>
    <row r="6082" spans="1:34" ht="15.75" customHeight="1">
      <c r="A6082" s="303"/>
      <c r="B6082" s="38"/>
      <c r="C6082" s="37"/>
      <c r="D6082" s="20"/>
      <c r="E6082" s="25"/>
      <c r="F6082" s="37"/>
      <c r="G6082" s="37"/>
      <c r="H6082" s="37"/>
      <c r="I6082" s="37"/>
      <c r="J6082" s="37"/>
      <c r="K6082" s="22"/>
      <c r="L6082" s="56"/>
      <c r="P6082" s="40"/>
      <c r="Q6082" s="61"/>
      <c r="R6082" s="61"/>
      <c r="S6082" s="40"/>
      <c r="T6082" s="38"/>
      <c r="U6082" s="38"/>
      <c r="V6082" s="38"/>
      <c r="W6082" s="60"/>
      <c r="AB6082" s="42"/>
      <c r="AC6082" s="35"/>
      <c r="AD6082" s="38"/>
      <c r="AE6082" s="38"/>
      <c r="AF6082" s="38"/>
      <c r="AG6082" s="38"/>
      <c r="AH6082" s="60"/>
    </row>
    <row r="6083" spans="1:34" ht="15.75" customHeight="1">
      <c r="A6083" s="303"/>
      <c r="B6083" s="38"/>
      <c r="C6083" s="37"/>
      <c r="D6083" s="20"/>
      <c r="E6083" s="25"/>
      <c r="F6083" s="37"/>
      <c r="G6083" s="37"/>
      <c r="H6083" s="37"/>
      <c r="I6083" s="37"/>
      <c r="J6083" s="37"/>
      <c r="K6083" s="22"/>
      <c r="L6083" s="56"/>
      <c r="P6083" s="40"/>
      <c r="Q6083" s="61"/>
      <c r="R6083" s="61"/>
      <c r="S6083" s="40"/>
      <c r="T6083" s="38"/>
      <c r="U6083" s="38"/>
      <c r="V6083" s="38"/>
      <c r="W6083" s="60"/>
      <c r="AB6083" s="42"/>
      <c r="AC6083" s="35"/>
      <c r="AD6083" s="38"/>
      <c r="AE6083" s="38"/>
      <c r="AF6083" s="38"/>
      <c r="AG6083" s="38"/>
      <c r="AH6083" s="60"/>
    </row>
    <row r="6084" spans="1:34" ht="15.75" customHeight="1">
      <c r="A6084" s="303"/>
      <c r="B6084" s="38"/>
      <c r="C6084" s="37"/>
      <c r="D6084" s="20"/>
      <c r="E6084" s="25"/>
      <c r="F6084" s="37"/>
      <c r="G6084" s="37"/>
      <c r="H6084" s="37"/>
      <c r="I6084" s="37"/>
      <c r="J6084" s="37"/>
      <c r="K6084" s="22"/>
      <c r="L6084" s="56"/>
      <c r="P6084" s="40"/>
      <c r="Q6084" s="61"/>
      <c r="R6084" s="61"/>
      <c r="S6084" s="40"/>
      <c r="T6084" s="38"/>
      <c r="U6084" s="38"/>
      <c r="V6084" s="38"/>
      <c r="W6084" s="60"/>
      <c r="AB6084" s="42"/>
      <c r="AC6084" s="35"/>
      <c r="AD6084" s="38"/>
      <c r="AE6084" s="38"/>
      <c r="AF6084" s="38"/>
      <c r="AG6084" s="38"/>
      <c r="AH6084" s="60"/>
    </row>
    <row r="6085" spans="1:34" ht="15.75" customHeight="1">
      <c r="A6085" s="303"/>
      <c r="B6085" s="38"/>
      <c r="C6085" s="37"/>
      <c r="D6085" s="20"/>
      <c r="E6085" s="25"/>
      <c r="F6085" s="37"/>
      <c r="G6085" s="37"/>
      <c r="H6085" s="37"/>
      <c r="I6085" s="37"/>
      <c r="J6085" s="37"/>
      <c r="K6085" s="22"/>
      <c r="L6085" s="56"/>
      <c r="P6085" s="40"/>
      <c r="Q6085" s="61"/>
      <c r="R6085" s="61"/>
      <c r="S6085" s="40"/>
      <c r="T6085" s="38"/>
      <c r="U6085" s="38"/>
      <c r="V6085" s="38"/>
      <c r="W6085" s="60"/>
      <c r="AB6085" s="42"/>
      <c r="AC6085" s="35"/>
      <c r="AD6085" s="38"/>
      <c r="AE6085" s="38"/>
      <c r="AF6085" s="38"/>
      <c r="AG6085" s="38"/>
      <c r="AH6085" s="60"/>
    </row>
    <row r="6086" spans="1:34" ht="15.75" customHeight="1">
      <c r="A6086" s="303"/>
      <c r="B6086" s="38"/>
      <c r="C6086" s="37"/>
      <c r="D6086" s="20"/>
      <c r="E6086" s="25"/>
      <c r="F6086" s="37"/>
      <c r="G6086" s="37"/>
      <c r="H6086" s="37"/>
      <c r="I6086" s="37"/>
      <c r="J6086" s="37"/>
      <c r="K6086" s="22"/>
      <c r="L6086" s="56"/>
      <c r="P6086" s="40"/>
      <c r="Q6086" s="61"/>
      <c r="R6086" s="61"/>
      <c r="S6086" s="40"/>
      <c r="T6086" s="38"/>
      <c r="U6086" s="38"/>
      <c r="V6086" s="38"/>
      <c r="W6086" s="60"/>
      <c r="AB6086" s="42"/>
      <c r="AC6086" s="35"/>
      <c r="AD6086" s="38"/>
      <c r="AE6086" s="38"/>
      <c r="AF6086" s="38"/>
      <c r="AG6086" s="38"/>
      <c r="AH6086" s="60"/>
    </row>
    <row r="6087" spans="1:34" ht="15.75" customHeight="1">
      <c r="A6087" s="303"/>
      <c r="B6087" s="38"/>
      <c r="C6087" s="37"/>
      <c r="D6087" s="20"/>
      <c r="E6087" s="25"/>
      <c r="F6087" s="37"/>
      <c r="G6087" s="37"/>
      <c r="H6087" s="37"/>
      <c r="I6087" s="37"/>
      <c r="J6087" s="37"/>
      <c r="K6087" s="22"/>
      <c r="L6087" s="56"/>
      <c r="P6087" s="40"/>
      <c r="Q6087" s="61"/>
      <c r="R6087" s="61"/>
      <c r="S6087" s="40"/>
      <c r="T6087" s="38"/>
      <c r="U6087" s="38"/>
      <c r="V6087" s="38"/>
      <c r="W6087" s="60"/>
      <c r="AB6087" s="42"/>
      <c r="AC6087" s="35"/>
      <c r="AD6087" s="38"/>
      <c r="AE6087" s="38"/>
      <c r="AF6087" s="38"/>
      <c r="AG6087" s="38"/>
      <c r="AH6087" s="60"/>
    </row>
    <row r="6088" spans="1:34" ht="15.75" customHeight="1">
      <c r="A6088" s="303"/>
      <c r="B6088" s="38"/>
      <c r="C6088" s="37"/>
      <c r="D6088" s="20"/>
      <c r="E6088" s="25"/>
      <c r="F6088" s="37"/>
      <c r="G6088" s="37"/>
      <c r="H6088" s="37"/>
      <c r="I6088" s="37"/>
      <c r="J6088" s="37"/>
      <c r="K6088" s="22"/>
      <c r="L6088" s="56"/>
      <c r="P6088" s="40"/>
      <c r="Q6088" s="61"/>
      <c r="R6088" s="61"/>
      <c r="S6088" s="40"/>
      <c r="T6088" s="38"/>
      <c r="U6088" s="38"/>
      <c r="V6088" s="38"/>
      <c r="W6088" s="60"/>
      <c r="AB6088" s="42"/>
      <c r="AC6088" s="35"/>
      <c r="AD6088" s="38"/>
      <c r="AE6088" s="38"/>
      <c r="AF6088" s="38"/>
      <c r="AG6088" s="38"/>
      <c r="AH6088" s="60"/>
    </row>
    <row r="6089" spans="1:34" ht="15.75" customHeight="1">
      <c r="A6089" s="303"/>
      <c r="B6089" s="38"/>
      <c r="C6089" s="37"/>
      <c r="D6089" s="20"/>
      <c r="E6089" s="25"/>
      <c r="F6089" s="37"/>
      <c r="G6089" s="37"/>
      <c r="H6089" s="37"/>
      <c r="I6089" s="37"/>
      <c r="J6089" s="37"/>
      <c r="K6089" s="22"/>
      <c r="L6089" s="56"/>
      <c r="P6089" s="40"/>
      <c r="Q6089" s="61"/>
      <c r="R6089" s="61"/>
      <c r="S6089" s="40"/>
      <c r="T6089" s="38"/>
      <c r="U6089" s="38"/>
      <c r="V6089" s="38"/>
      <c r="W6089" s="60"/>
      <c r="AB6089" s="42"/>
      <c r="AC6089" s="35"/>
      <c r="AD6089" s="38"/>
      <c r="AE6089" s="38"/>
      <c r="AF6089" s="38"/>
      <c r="AG6089" s="38"/>
      <c r="AH6089" s="60"/>
    </row>
    <row r="6090" spans="1:34" ht="15.75" customHeight="1">
      <c r="A6090" s="303"/>
      <c r="B6090" s="38"/>
      <c r="C6090" s="37"/>
      <c r="D6090" s="20"/>
      <c r="E6090" s="25"/>
      <c r="F6090" s="37"/>
      <c r="G6090" s="37"/>
      <c r="H6090" s="37"/>
      <c r="I6090" s="37"/>
      <c r="J6090" s="37"/>
      <c r="K6090" s="22"/>
      <c r="L6090" s="56"/>
      <c r="P6090" s="40"/>
      <c r="Q6090" s="61"/>
      <c r="R6090" s="61"/>
      <c r="S6090" s="40"/>
      <c r="T6090" s="38"/>
      <c r="U6090" s="38"/>
      <c r="V6090" s="38"/>
      <c r="W6090" s="60"/>
      <c r="AB6090" s="42"/>
      <c r="AC6090" s="35"/>
      <c r="AD6090" s="38"/>
      <c r="AE6090" s="38"/>
      <c r="AF6090" s="38"/>
      <c r="AG6090" s="38"/>
      <c r="AH6090" s="60"/>
    </row>
    <row r="6091" spans="1:34" ht="15.75" customHeight="1">
      <c r="A6091" s="303"/>
      <c r="B6091" s="38"/>
      <c r="C6091" s="37"/>
      <c r="D6091" s="20"/>
      <c r="E6091" s="25"/>
      <c r="F6091" s="37"/>
      <c r="G6091" s="37"/>
      <c r="H6091" s="37"/>
      <c r="I6091" s="37"/>
      <c r="J6091" s="37"/>
      <c r="K6091" s="22"/>
      <c r="L6091" s="56"/>
      <c r="P6091" s="40"/>
      <c r="Q6091" s="61"/>
      <c r="R6091" s="61"/>
      <c r="S6091" s="40"/>
      <c r="T6091" s="38"/>
      <c r="U6091" s="38"/>
      <c r="V6091" s="38"/>
      <c r="W6091" s="60"/>
      <c r="AB6091" s="42"/>
      <c r="AC6091" s="35"/>
      <c r="AD6091" s="38"/>
      <c r="AE6091" s="38"/>
      <c r="AF6091" s="38"/>
      <c r="AG6091" s="38"/>
      <c r="AH6091" s="60"/>
    </row>
    <row r="6092" spans="1:34" ht="15.75" customHeight="1">
      <c r="A6092" s="303"/>
      <c r="B6092" s="38"/>
      <c r="C6092" s="37"/>
      <c r="D6092" s="20"/>
      <c r="E6092" s="25"/>
      <c r="F6092" s="37"/>
      <c r="G6092" s="37"/>
      <c r="H6092" s="37"/>
      <c r="I6092" s="37"/>
      <c r="J6092" s="37"/>
      <c r="K6092" s="22"/>
      <c r="L6092" s="56"/>
      <c r="P6092" s="40"/>
      <c r="Q6092" s="61"/>
      <c r="R6092" s="61"/>
      <c r="S6092" s="40"/>
      <c r="T6092" s="38"/>
      <c r="U6092" s="38"/>
      <c r="V6092" s="38"/>
      <c r="W6092" s="60"/>
      <c r="AB6092" s="42"/>
      <c r="AC6092" s="35"/>
      <c r="AD6092" s="38"/>
      <c r="AE6092" s="38"/>
      <c r="AF6092" s="38"/>
      <c r="AG6092" s="38"/>
      <c r="AH6092" s="60"/>
    </row>
    <row r="6093" spans="1:34" ht="15.75" customHeight="1">
      <c r="A6093" s="303"/>
      <c r="B6093" s="38"/>
      <c r="C6093" s="37"/>
      <c r="D6093" s="20"/>
      <c r="E6093" s="25"/>
      <c r="F6093" s="37"/>
      <c r="G6093" s="37"/>
      <c r="H6093" s="37"/>
      <c r="I6093" s="37"/>
      <c r="J6093" s="37"/>
      <c r="K6093" s="22"/>
      <c r="L6093" s="56"/>
      <c r="P6093" s="40"/>
      <c r="Q6093" s="61"/>
      <c r="R6093" s="61"/>
      <c r="S6093" s="40"/>
      <c r="T6093" s="38"/>
      <c r="U6093" s="38"/>
      <c r="V6093" s="38"/>
      <c r="W6093" s="60"/>
      <c r="AB6093" s="42"/>
      <c r="AC6093" s="35"/>
      <c r="AD6093" s="38"/>
      <c r="AE6093" s="38"/>
      <c r="AF6093" s="38"/>
      <c r="AG6093" s="38"/>
      <c r="AH6093" s="60"/>
    </row>
    <row r="6094" spans="1:34" ht="15.75" customHeight="1">
      <c r="A6094" s="303"/>
      <c r="B6094" s="38"/>
      <c r="C6094" s="37"/>
      <c r="D6094" s="20"/>
      <c r="E6094" s="25"/>
      <c r="F6094" s="37"/>
      <c r="G6094" s="37"/>
      <c r="H6094" s="37"/>
      <c r="I6094" s="37"/>
      <c r="J6094" s="37"/>
      <c r="K6094" s="22"/>
      <c r="L6094" s="56"/>
      <c r="P6094" s="40"/>
      <c r="Q6094" s="61"/>
      <c r="R6094" s="61"/>
      <c r="S6094" s="40"/>
      <c r="T6094" s="38"/>
      <c r="U6094" s="38"/>
      <c r="V6094" s="38"/>
      <c r="W6094" s="60"/>
      <c r="AB6094" s="42"/>
      <c r="AC6094" s="35"/>
      <c r="AD6094" s="38"/>
      <c r="AE6094" s="38"/>
      <c r="AF6094" s="38"/>
      <c r="AG6094" s="38"/>
      <c r="AH6094" s="60"/>
    </row>
    <row r="6095" spans="1:34" ht="15.75" customHeight="1">
      <c r="A6095" s="303"/>
      <c r="B6095" s="38"/>
      <c r="C6095" s="37"/>
      <c r="D6095" s="20"/>
      <c r="E6095" s="25"/>
      <c r="F6095" s="37"/>
      <c r="G6095" s="37"/>
      <c r="H6095" s="37"/>
      <c r="I6095" s="37"/>
      <c r="J6095" s="37"/>
      <c r="K6095" s="22"/>
      <c r="L6095" s="56"/>
      <c r="P6095" s="40"/>
      <c r="Q6095" s="61"/>
      <c r="R6095" s="61"/>
      <c r="S6095" s="40"/>
      <c r="T6095" s="38"/>
      <c r="U6095" s="38"/>
      <c r="V6095" s="38"/>
      <c r="W6095" s="60"/>
      <c r="AB6095" s="42"/>
      <c r="AC6095" s="35"/>
      <c r="AD6095" s="38"/>
      <c r="AE6095" s="38"/>
      <c r="AF6095" s="38"/>
      <c r="AG6095" s="38"/>
      <c r="AH6095" s="60"/>
    </row>
    <row r="6096" spans="1:34" ht="15.75" customHeight="1">
      <c r="A6096" s="303"/>
      <c r="B6096" s="38"/>
      <c r="C6096" s="37"/>
      <c r="D6096" s="20"/>
      <c r="E6096" s="25"/>
      <c r="F6096" s="37"/>
      <c r="G6096" s="37"/>
      <c r="H6096" s="37"/>
      <c r="I6096" s="37"/>
      <c r="J6096" s="37"/>
      <c r="K6096" s="22"/>
      <c r="L6096" s="56"/>
      <c r="P6096" s="40"/>
      <c r="Q6096" s="61"/>
      <c r="R6096" s="61"/>
      <c r="S6096" s="40"/>
      <c r="T6096" s="38"/>
      <c r="U6096" s="38"/>
      <c r="V6096" s="38"/>
      <c r="W6096" s="60"/>
      <c r="AB6096" s="42"/>
      <c r="AC6096" s="35"/>
      <c r="AD6096" s="38"/>
      <c r="AE6096" s="38"/>
      <c r="AF6096" s="38"/>
      <c r="AG6096" s="38"/>
      <c r="AH6096" s="60"/>
    </row>
    <row r="6097" spans="1:34" ht="15.75" customHeight="1">
      <c r="A6097" s="303"/>
      <c r="B6097" s="38"/>
      <c r="C6097" s="37"/>
      <c r="D6097" s="20"/>
      <c r="E6097" s="25"/>
      <c r="F6097" s="37"/>
      <c r="G6097" s="37"/>
      <c r="H6097" s="37"/>
      <c r="I6097" s="37"/>
      <c r="J6097" s="37"/>
      <c r="K6097" s="22"/>
      <c r="L6097" s="56"/>
      <c r="P6097" s="40"/>
      <c r="Q6097" s="61"/>
      <c r="R6097" s="61"/>
      <c r="S6097" s="40"/>
      <c r="T6097" s="38"/>
      <c r="U6097" s="38"/>
      <c r="V6097" s="38"/>
      <c r="W6097" s="60"/>
      <c r="AB6097" s="42"/>
      <c r="AC6097" s="35"/>
      <c r="AD6097" s="38"/>
      <c r="AE6097" s="38"/>
      <c r="AF6097" s="38"/>
      <c r="AG6097" s="38"/>
      <c r="AH6097" s="60"/>
    </row>
    <row r="6098" spans="1:34" ht="15.75" customHeight="1">
      <c r="A6098" s="303"/>
      <c r="B6098" s="38"/>
      <c r="C6098" s="37"/>
      <c r="D6098" s="20"/>
      <c r="E6098" s="25"/>
      <c r="F6098" s="37"/>
      <c r="G6098" s="37"/>
      <c r="H6098" s="37"/>
      <c r="I6098" s="37"/>
      <c r="J6098" s="37"/>
      <c r="K6098" s="22"/>
      <c r="L6098" s="56"/>
      <c r="P6098" s="40"/>
      <c r="Q6098" s="61"/>
      <c r="R6098" s="61"/>
      <c r="S6098" s="40"/>
      <c r="T6098" s="38"/>
      <c r="U6098" s="38"/>
      <c r="V6098" s="38"/>
      <c r="W6098" s="60"/>
      <c r="AB6098" s="42"/>
      <c r="AC6098" s="35"/>
      <c r="AD6098" s="38"/>
      <c r="AE6098" s="38"/>
      <c r="AF6098" s="38"/>
      <c r="AG6098" s="38"/>
      <c r="AH6098" s="60"/>
    </row>
    <row r="6099" spans="1:34" ht="15.75" customHeight="1">
      <c r="A6099" s="303"/>
      <c r="B6099" s="38"/>
      <c r="C6099" s="37"/>
      <c r="D6099" s="20"/>
      <c r="E6099" s="25"/>
      <c r="F6099" s="37"/>
      <c r="G6099" s="37"/>
      <c r="H6099" s="37"/>
      <c r="I6099" s="37"/>
      <c r="J6099" s="37"/>
      <c r="K6099" s="22"/>
      <c r="L6099" s="56"/>
      <c r="P6099" s="40"/>
      <c r="Q6099" s="61"/>
      <c r="R6099" s="61"/>
      <c r="S6099" s="40"/>
      <c r="T6099" s="38"/>
      <c r="U6099" s="38"/>
      <c r="V6099" s="38"/>
      <c r="W6099" s="60"/>
      <c r="AB6099" s="42"/>
      <c r="AC6099" s="35"/>
      <c r="AD6099" s="38"/>
      <c r="AE6099" s="38"/>
      <c r="AF6099" s="38"/>
      <c r="AG6099" s="38"/>
      <c r="AH6099" s="60"/>
    </row>
    <row r="6100" spans="1:34" ht="15.75" customHeight="1">
      <c r="A6100" s="303"/>
      <c r="B6100" s="38"/>
      <c r="C6100" s="37"/>
      <c r="D6100" s="20"/>
      <c r="E6100" s="25"/>
      <c r="F6100" s="37"/>
      <c r="G6100" s="37"/>
      <c r="H6100" s="37"/>
      <c r="I6100" s="37"/>
      <c r="J6100" s="37"/>
      <c r="K6100" s="22"/>
      <c r="L6100" s="56"/>
      <c r="P6100" s="40"/>
      <c r="Q6100" s="61"/>
      <c r="R6100" s="61"/>
      <c r="S6100" s="40"/>
      <c r="T6100" s="38"/>
      <c r="U6100" s="38"/>
      <c r="V6100" s="38"/>
      <c r="W6100" s="60"/>
      <c r="AB6100" s="42"/>
      <c r="AC6100" s="35"/>
      <c r="AD6100" s="38"/>
      <c r="AE6100" s="38"/>
      <c r="AF6100" s="38"/>
      <c r="AG6100" s="38"/>
      <c r="AH6100" s="60"/>
    </row>
    <row r="6101" spans="1:34" ht="15.75" customHeight="1">
      <c r="A6101" s="303"/>
      <c r="B6101" s="38"/>
      <c r="C6101" s="37"/>
      <c r="D6101" s="20"/>
      <c r="E6101" s="25"/>
      <c r="F6101" s="37"/>
      <c r="G6101" s="37"/>
      <c r="H6101" s="37"/>
      <c r="I6101" s="37"/>
      <c r="J6101" s="37"/>
      <c r="K6101" s="22"/>
      <c r="L6101" s="56"/>
      <c r="P6101" s="40"/>
      <c r="Q6101" s="61"/>
      <c r="R6101" s="61"/>
      <c r="S6101" s="40"/>
      <c r="T6101" s="38"/>
      <c r="U6101" s="38"/>
      <c r="V6101" s="38"/>
      <c r="W6101" s="60"/>
      <c r="AB6101" s="42"/>
      <c r="AC6101" s="35"/>
      <c r="AD6101" s="38"/>
      <c r="AE6101" s="38"/>
      <c r="AF6101" s="38"/>
      <c r="AG6101" s="38"/>
      <c r="AH6101" s="60"/>
    </row>
    <row r="6102" spans="1:34" ht="15.75" customHeight="1">
      <c r="A6102" s="303"/>
      <c r="B6102" s="38"/>
      <c r="C6102" s="37"/>
      <c r="D6102" s="20"/>
      <c r="E6102" s="25"/>
      <c r="F6102" s="37"/>
      <c r="G6102" s="37"/>
      <c r="H6102" s="37"/>
      <c r="I6102" s="37"/>
      <c r="J6102" s="37"/>
      <c r="K6102" s="22"/>
      <c r="L6102" s="56"/>
      <c r="P6102" s="40"/>
      <c r="Q6102" s="61"/>
      <c r="R6102" s="61"/>
      <c r="S6102" s="40"/>
      <c r="T6102" s="38"/>
      <c r="U6102" s="38"/>
      <c r="V6102" s="38"/>
      <c r="W6102" s="60"/>
      <c r="AB6102" s="42"/>
      <c r="AC6102" s="35"/>
      <c r="AD6102" s="38"/>
      <c r="AE6102" s="38"/>
      <c r="AF6102" s="38"/>
      <c r="AG6102" s="38"/>
      <c r="AH6102" s="60"/>
    </row>
    <row r="6103" spans="1:34" ht="15.75" customHeight="1">
      <c r="A6103" s="303"/>
      <c r="B6103" s="38"/>
      <c r="C6103" s="37"/>
      <c r="D6103" s="20"/>
      <c r="E6103" s="25"/>
      <c r="F6103" s="37"/>
      <c r="G6103" s="37"/>
      <c r="H6103" s="37"/>
      <c r="I6103" s="37"/>
      <c r="J6103" s="37"/>
      <c r="K6103" s="22"/>
      <c r="L6103" s="56"/>
      <c r="P6103" s="40"/>
      <c r="Q6103" s="61"/>
      <c r="R6103" s="61"/>
      <c r="S6103" s="40"/>
      <c r="T6103" s="38"/>
      <c r="U6103" s="38"/>
      <c r="V6103" s="38"/>
      <c r="W6103" s="60"/>
      <c r="AB6103" s="42"/>
      <c r="AC6103" s="35"/>
      <c r="AD6103" s="38"/>
      <c r="AE6103" s="38"/>
      <c r="AF6103" s="38"/>
      <c r="AG6103" s="38"/>
      <c r="AH6103" s="60"/>
    </row>
    <row r="6104" spans="1:34" ht="15.75" customHeight="1">
      <c r="A6104" s="303"/>
      <c r="B6104" s="38"/>
      <c r="C6104" s="37"/>
      <c r="D6104" s="20"/>
      <c r="E6104" s="25"/>
      <c r="F6104" s="37"/>
      <c r="G6104" s="37"/>
      <c r="H6104" s="37"/>
      <c r="I6104" s="37"/>
      <c r="J6104" s="37"/>
      <c r="K6104" s="22"/>
      <c r="L6104" s="56"/>
      <c r="P6104" s="40"/>
      <c r="Q6104" s="61"/>
      <c r="R6104" s="61"/>
      <c r="S6104" s="40"/>
      <c r="T6104" s="38"/>
      <c r="U6104" s="38"/>
      <c r="V6104" s="38"/>
      <c r="W6104" s="60"/>
      <c r="AB6104" s="42"/>
      <c r="AC6104" s="35"/>
      <c r="AD6104" s="38"/>
      <c r="AE6104" s="38"/>
      <c r="AF6104" s="38"/>
      <c r="AG6104" s="38"/>
      <c r="AH6104" s="60"/>
    </row>
    <row r="6105" spans="1:34" ht="15.75" customHeight="1">
      <c r="A6105" s="303"/>
      <c r="B6105" s="38"/>
      <c r="C6105" s="37"/>
      <c r="D6105" s="20"/>
      <c r="E6105" s="25"/>
      <c r="F6105" s="37"/>
      <c r="G6105" s="37"/>
      <c r="H6105" s="37"/>
      <c r="I6105" s="37"/>
      <c r="J6105" s="37"/>
      <c r="K6105" s="22"/>
      <c r="L6105" s="56"/>
      <c r="P6105" s="40"/>
      <c r="Q6105" s="61"/>
      <c r="R6105" s="61"/>
      <c r="S6105" s="40"/>
      <c r="T6105" s="38"/>
      <c r="U6105" s="38"/>
      <c r="V6105" s="38"/>
      <c r="W6105" s="60"/>
      <c r="AB6105" s="42"/>
      <c r="AC6105" s="35"/>
      <c r="AD6105" s="38"/>
      <c r="AE6105" s="38"/>
      <c r="AF6105" s="38"/>
      <c r="AG6105" s="38"/>
      <c r="AH6105" s="60"/>
    </row>
    <row r="6106" spans="1:34" ht="15.75" customHeight="1">
      <c r="A6106" s="303"/>
      <c r="B6106" s="38"/>
      <c r="C6106" s="37"/>
      <c r="D6106" s="20"/>
      <c r="E6106" s="25"/>
      <c r="F6106" s="37"/>
      <c r="G6106" s="37"/>
      <c r="H6106" s="37"/>
      <c r="I6106" s="37"/>
      <c r="J6106" s="37"/>
      <c r="K6106" s="22"/>
      <c r="L6106" s="56"/>
      <c r="P6106" s="40"/>
      <c r="Q6106" s="61"/>
      <c r="R6106" s="61"/>
      <c r="S6106" s="40"/>
      <c r="T6106" s="38"/>
      <c r="U6106" s="38"/>
      <c r="V6106" s="38"/>
      <c r="W6106" s="60"/>
      <c r="AB6106" s="42"/>
      <c r="AC6106" s="35"/>
      <c r="AD6106" s="38"/>
      <c r="AE6106" s="38"/>
      <c r="AF6106" s="38"/>
      <c r="AG6106" s="38"/>
      <c r="AH6106" s="60"/>
    </row>
    <row r="6107" spans="1:34" ht="15.75" customHeight="1">
      <c r="A6107" s="303"/>
      <c r="B6107" s="38"/>
      <c r="C6107" s="37"/>
      <c r="D6107" s="20"/>
      <c r="E6107" s="25"/>
      <c r="F6107" s="37"/>
      <c r="G6107" s="37"/>
      <c r="H6107" s="37"/>
      <c r="I6107" s="37"/>
      <c r="J6107" s="37"/>
      <c r="K6107" s="22"/>
      <c r="L6107" s="56"/>
      <c r="P6107" s="40"/>
      <c r="Q6107" s="61"/>
      <c r="R6107" s="61"/>
      <c r="S6107" s="40"/>
      <c r="T6107" s="38"/>
      <c r="U6107" s="38"/>
      <c r="V6107" s="38"/>
      <c r="W6107" s="60"/>
      <c r="AB6107" s="42"/>
      <c r="AC6107" s="35"/>
      <c r="AD6107" s="38"/>
      <c r="AE6107" s="38"/>
      <c r="AF6107" s="38"/>
      <c r="AG6107" s="38"/>
      <c r="AH6107" s="60"/>
    </row>
    <row r="6108" spans="1:34" ht="15.75" customHeight="1">
      <c r="A6108" s="303"/>
      <c r="B6108" s="38"/>
      <c r="C6108" s="37"/>
      <c r="D6108" s="20"/>
      <c r="E6108" s="25"/>
      <c r="F6108" s="37"/>
      <c r="G6108" s="37"/>
      <c r="H6108" s="37"/>
      <c r="I6108" s="37"/>
      <c r="J6108" s="37"/>
      <c r="K6108" s="22"/>
      <c r="L6108" s="56"/>
      <c r="P6108" s="40"/>
      <c r="Q6108" s="61"/>
      <c r="R6108" s="61"/>
      <c r="S6108" s="40"/>
      <c r="T6108" s="38"/>
      <c r="U6108" s="38"/>
      <c r="V6108" s="38"/>
      <c r="W6108" s="60"/>
      <c r="AB6108" s="42"/>
      <c r="AC6108" s="35"/>
      <c r="AD6108" s="38"/>
      <c r="AE6108" s="38"/>
      <c r="AF6108" s="38"/>
      <c r="AG6108" s="38"/>
      <c r="AH6108" s="60"/>
    </row>
    <row r="6109" spans="1:34" ht="15.75" customHeight="1">
      <c r="A6109" s="303"/>
      <c r="B6109" s="38"/>
      <c r="C6109" s="37"/>
      <c r="D6109" s="20"/>
      <c r="E6109" s="25"/>
      <c r="F6109" s="37"/>
      <c r="G6109" s="37"/>
      <c r="H6109" s="37"/>
      <c r="I6109" s="37"/>
      <c r="J6109" s="37"/>
      <c r="K6109" s="22"/>
      <c r="L6109" s="56"/>
      <c r="P6109" s="40"/>
      <c r="Q6109" s="61"/>
      <c r="R6109" s="61"/>
      <c r="S6109" s="40"/>
      <c r="T6109" s="38"/>
      <c r="U6109" s="38"/>
      <c r="V6109" s="38"/>
      <c r="W6109" s="60"/>
      <c r="AB6109" s="42"/>
      <c r="AC6109" s="35"/>
      <c r="AD6109" s="38"/>
      <c r="AE6109" s="38"/>
      <c r="AF6109" s="38"/>
      <c r="AG6109" s="38"/>
      <c r="AH6109" s="60"/>
    </row>
    <row r="6110" spans="1:34" ht="15.75" customHeight="1">
      <c r="A6110" s="303"/>
      <c r="B6110" s="38"/>
      <c r="C6110" s="37"/>
      <c r="D6110" s="20"/>
      <c r="E6110" s="25"/>
      <c r="F6110" s="37"/>
      <c r="G6110" s="37"/>
      <c r="H6110" s="37"/>
      <c r="I6110" s="37"/>
      <c r="J6110" s="37"/>
      <c r="K6110" s="22"/>
      <c r="L6110" s="56"/>
      <c r="P6110" s="40"/>
      <c r="Q6110" s="61"/>
      <c r="R6110" s="61"/>
      <c r="S6110" s="40"/>
      <c r="T6110" s="38"/>
      <c r="U6110" s="38"/>
      <c r="V6110" s="38"/>
      <c r="W6110" s="60"/>
      <c r="AB6110" s="42"/>
      <c r="AC6110" s="35"/>
      <c r="AD6110" s="38"/>
      <c r="AE6110" s="38"/>
      <c r="AF6110" s="38"/>
      <c r="AG6110" s="38"/>
      <c r="AH6110" s="60"/>
    </row>
    <row r="6111" spans="1:34" ht="15.75" customHeight="1">
      <c r="A6111" s="303"/>
      <c r="B6111" s="38"/>
      <c r="C6111" s="37"/>
      <c r="D6111" s="20"/>
      <c r="E6111" s="25"/>
      <c r="F6111" s="37"/>
      <c r="G6111" s="37"/>
      <c r="H6111" s="37"/>
      <c r="I6111" s="37"/>
      <c r="J6111" s="37"/>
      <c r="K6111" s="22"/>
      <c r="L6111" s="56"/>
      <c r="P6111" s="40"/>
      <c r="Q6111" s="61"/>
      <c r="R6111" s="61"/>
      <c r="S6111" s="40"/>
      <c r="T6111" s="38"/>
      <c r="U6111" s="38"/>
      <c r="V6111" s="38"/>
      <c r="W6111" s="60"/>
      <c r="AB6111" s="42"/>
      <c r="AC6111" s="35"/>
      <c r="AD6111" s="38"/>
      <c r="AE6111" s="38"/>
      <c r="AF6111" s="38"/>
      <c r="AG6111" s="38"/>
      <c r="AH6111" s="60"/>
    </row>
    <row r="6112" spans="1:34" ht="15.75" customHeight="1">
      <c r="A6112" s="303"/>
      <c r="B6112" s="38"/>
      <c r="C6112" s="37"/>
      <c r="D6112" s="20"/>
      <c r="E6112" s="25"/>
      <c r="F6112" s="37"/>
      <c r="G6112" s="37"/>
      <c r="H6112" s="37"/>
      <c r="I6112" s="37"/>
      <c r="J6112" s="37"/>
      <c r="K6112" s="22"/>
      <c r="L6112" s="56"/>
      <c r="P6112" s="40"/>
      <c r="Q6112" s="61"/>
      <c r="R6112" s="61"/>
      <c r="S6112" s="40"/>
      <c r="T6112" s="38"/>
      <c r="U6112" s="38"/>
      <c r="V6112" s="38"/>
      <c r="W6112" s="60"/>
      <c r="AB6112" s="42"/>
      <c r="AC6112" s="35"/>
      <c r="AD6112" s="38"/>
      <c r="AE6112" s="38"/>
      <c r="AF6112" s="38"/>
      <c r="AG6112" s="38"/>
      <c r="AH6112" s="60"/>
    </row>
    <row r="6113" spans="1:34" ht="15.75" customHeight="1">
      <c r="A6113" s="303"/>
      <c r="B6113" s="38"/>
      <c r="C6113" s="37"/>
      <c r="D6113" s="20"/>
      <c r="E6113" s="25"/>
      <c r="F6113" s="37"/>
      <c r="G6113" s="37"/>
      <c r="H6113" s="37"/>
      <c r="I6113" s="37"/>
      <c r="J6113" s="37"/>
      <c r="K6113" s="22"/>
      <c r="L6113" s="56"/>
      <c r="P6113" s="40"/>
      <c r="Q6113" s="61"/>
      <c r="R6113" s="61"/>
      <c r="S6113" s="40"/>
      <c r="T6113" s="38"/>
      <c r="U6113" s="38"/>
      <c r="V6113" s="38"/>
      <c r="W6113" s="60"/>
      <c r="AB6113" s="42"/>
      <c r="AC6113" s="35"/>
      <c r="AD6113" s="38"/>
      <c r="AE6113" s="38"/>
      <c r="AF6113" s="38"/>
      <c r="AG6113" s="38"/>
      <c r="AH6113" s="60"/>
    </row>
    <row r="6114" spans="1:34" ht="15.75" customHeight="1">
      <c r="A6114" s="303"/>
      <c r="B6114" s="38"/>
      <c r="C6114" s="37"/>
      <c r="D6114" s="20"/>
      <c r="E6114" s="25"/>
      <c r="F6114" s="37"/>
      <c r="G6114" s="37"/>
      <c r="H6114" s="37"/>
      <c r="I6114" s="37"/>
      <c r="J6114" s="37"/>
      <c r="K6114" s="22"/>
      <c r="L6114" s="56"/>
      <c r="P6114" s="40"/>
      <c r="Q6114" s="61"/>
      <c r="R6114" s="61"/>
      <c r="S6114" s="40"/>
      <c r="T6114" s="38"/>
      <c r="U6114" s="38"/>
      <c r="V6114" s="38"/>
      <c r="W6114" s="60"/>
      <c r="AB6114" s="42"/>
      <c r="AC6114" s="35"/>
      <c r="AD6114" s="38"/>
      <c r="AE6114" s="38"/>
      <c r="AF6114" s="38"/>
      <c r="AG6114" s="38"/>
      <c r="AH6114" s="60"/>
    </row>
    <row r="6115" spans="1:34" ht="15.75" customHeight="1">
      <c r="A6115" s="303"/>
      <c r="B6115" s="38"/>
      <c r="C6115" s="37"/>
      <c r="D6115" s="20"/>
      <c r="E6115" s="25"/>
      <c r="F6115" s="37"/>
      <c r="G6115" s="37"/>
      <c r="H6115" s="37"/>
      <c r="I6115" s="37"/>
      <c r="J6115" s="37"/>
      <c r="K6115" s="22"/>
      <c r="L6115" s="56"/>
      <c r="P6115" s="40"/>
      <c r="Q6115" s="61"/>
      <c r="R6115" s="61"/>
      <c r="S6115" s="40"/>
      <c r="T6115" s="38"/>
      <c r="U6115" s="38"/>
      <c r="V6115" s="38"/>
      <c r="W6115" s="60"/>
      <c r="AB6115" s="42"/>
      <c r="AC6115" s="35"/>
      <c r="AD6115" s="38"/>
      <c r="AE6115" s="38"/>
      <c r="AF6115" s="38"/>
      <c r="AG6115" s="38"/>
      <c r="AH6115" s="60"/>
    </row>
    <row r="6116" spans="1:34" ht="15.75" customHeight="1">
      <c r="A6116" s="303"/>
      <c r="B6116" s="38"/>
      <c r="C6116" s="37"/>
      <c r="D6116" s="20"/>
      <c r="E6116" s="25"/>
      <c r="F6116" s="37"/>
      <c r="G6116" s="37"/>
      <c r="H6116" s="37"/>
      <c r="I6116" s="37"/>
      <c r="J6116" s="37"/>
      <c r="K6116" s="22"/>
      <c r="L6116" s="56"/>
      <c r="P6116" s="40"/>
      <c r="Q6116" s="61"/>
      <c r="R6116" s="61"/>
      <c r="S6116" s="40"/>
      <c r="T6116" s="38"/>
      <c r="U6116" s="38"/>
      <c r="V6116" s="38"/>
      <c r="W6116" s="60"/>
      <c r="AB6116" s="42"/>
      <c r="AC6116" s="35"/>
      <c r="AD6116" s="38"/>
      <c r="AE6116" s="38"/>
      <c r="AF6116" s="38"/>
      <c r="AG6116" s="38"/>
      <c r="AH6116" s="60"/>
    </row>
    <row r="6117" spans="1:34" ht="15.75" customHeight="1">
      <c r="A6117" s="303"/>
      <c r="B6117" s="38"/>
      <c r="C6117" s="37"/>
      <c r="D6117" s="20"/>
      <c r="E6117" s="25"/>
      <c r="F6117" s="37"/>
      <c r="G6117" s="37"/>
      <c r="H6117" s="37"/>
      <c r="I6117" s="37"/>
      <c r="J6117" s="37"/>
      <c r="K6117" s="22"/>
      <c r="L6117" s="56"/>
      <c r="P6117" s="40"/>
      <c r="Q6117" s="61"/>
      <c r="R6117" s="61"/>
      <c r="S6117" s="40"/>
      <c r="T6117" s="38"/>
      <c r="U6117" s="38"/>
      <c r="V6117" s="38"/>
      <c r="W6117" s="60"/>
      <c r="AB6117" s="42"/>
      <c r="AC6117" s="35"/>
      <c r="AD6117" s="38"/>
      <c r="AE6117" s="38"/>
      <c r="AF6117" s="38"/>
      <c r="AG6117" s="38"/>
      <c r="AH6117" s="60"/>
    </row>
    <row r="6118" spans="1:34" ht="15.75" customHeight="1">
      <c r="A6118" s="303"/>
      <c r="B6118" s="38"/>
      <c r="C6118" s="37"/>
      <c r="D6118" s="20"/>
      <c r="E6118" s="25"/>
      <c r="F6118" s="37"/>
      <c r="G6118" s="37"/>
      <c r="H6118" s="37"/>
      <c r="I6118" s="37"/>
      <c r="J6118" s="37"/>
      <c r="K6118" s="22"/>
      <c r="L6118" s="56"/>
      <c r="P6118" s="40"/>
      <c r="Q6118" s="61"/>
      <c r="R6118" s="61"/>
      <c r="S6118" s="40"/>
      <c r="T6118" s="38"/>
      <c r="U6118" s="38"/>
      <c r="V6118" s="38"/>
      <c r="W6118" s="60"/>
      <c r="AB6118" s="42"/>
      <c r="AC6118" s="35"/>
      <c r="AD6118" s="38"/>
      <c r="AE6118" s="38"/>
      <c r="AF6118" s="38"/>
      <c r="AG6118" s="38"/>
      <c r="AH6118" s="60"/>
    </row>
    <row r="6119" spans="1:34" ht="15.75" customHeight="1">
      <c r="A6119" s="303"/>
      <c r="B6119" s="38"/>
      <c r="C6119" s="37"/>
      <c r="D6119" s="20"/>
      <c r="E6119" s="25"/>
      <c r="F6119" s="37"/>
      <c r="G6119" s="37"/>
      <c r="H6119" s="37"/>
      <c r="I6119" s="37"/>
      <c r="J6119" s="37"/>
      <c r="K6119" s="22"/>
      <c r="L6119" s="56"/>
      <c r="P6119" s="40"/>
      <c r="Q6119" s="61"/>
      <c r="R6119" s="61"/>
      <c r="S6119" s="40"/>
      <c r="T6119" s="38"/>
      <c r="U6119" s="38"/>
      <c r="V6119" s="38"/>
      <c r="W6119" s="60"/>
      <c r="AB6119" s="42"/>
      <c r="AC6119" s="35"/>
      <c r="AD6119" s="38"/>
      <c r="AE6119" s="38"/>
      <c r="AF6119" s="38"/>
      <c r="AG6119" s="38"/>
      <c r="AH6119" s="60"/>
    </row>
    <row r="6120" spans="1:34" ht="15.75" customHeight="1">
      <c r="A6120" s="303"/>
      <c r="B6120" s="38"/>
      <c r="C6120" s="37"/>
      <c r="D6120" s="20"/>
      <c r="E6120" s="25"/>
      <c r="F6120" s="37"/>
      <c r="G6120" s="37"/>
      <c r="H6120" s="37"/>
      <c r="I6120" s="37"/>
      <c r="J6120" s="37"/>
      <c r="K6120" s="22"/>
      <c r="L6120" s="56"/>
      <c r="P6120" s="40"/>
      <c r="Q6120" s="61"/>
      <c r="R6120" s="61"/>
      <c r="S6120" s="40"/>
      <c r="T6120" s="38"/>
      <c r="U6120" s="38"/>
      <c r="V6120" s="38"/>
      <c r="W6120" s="60"/>
      <c r="AB6120" s="42"/>
      <c r="AC6120" s="35"/>
      <c r="AD6120" s="38"/>
      <c r="AE6120" s="38"/>
      <c r="AF6120" s="38"/>
      <c r="AG6120" s="38"/>
      <c r="AH6120" s="60"/>
    </row>
    <row r="6121" spans="1:34" ht="15.75" customHeight="1">
      <c r="A6121" s="303"/>
      <c r="B6121" s="38"/>
      <c r="C6121" s="37"/>
      <c r="D6121" s="20"/>
      <c r="E6121" s="25"/>
      <c r="F6121" s="37"/>
      <c r="G6121" s="37"/>
      <c r="H6121" s="37"/>
      <c r="I6121" s="37"/>
      <c r="J6121" s="37"/>
      <c r="K6121" s="22"/>
      <c r="L6121" s="56"/>
      <c r="P6121" s="40"/>
      <c r="Q6121" s="61"/>
      <c r="R6121" s="61"/>
      <c r="S6121" s="40"/>
      <c r="T6121" s="38"/>
      <c r="U6121" s="38"/>
      <c r="V6121" s="38"/>
      <c r="W6121" s="60"/>
      <c r="AB6121" s="42"/>
      <c r="AC6121" s="35"/>
      <c r="AD6121" s="38"/>
      <c r="AE6121" s="38"/>
      <c r="AF6121" s="38"/>
      <c r="AG6121" s="38"/>
      <c r="AH6121" s="60"/>
    </row>
    <row r="6122" spans="1:34" ht="15.75" customHeight="1">
      <c r="A6122" s="303"/>
      <c r="B6122" s="38"/>
      <c r="C6122" s="37"/>
      <c r="D6122" s="20"/>
      <c r="E6122" s="25"/>
      <c r="F6122" s="37"/>
      <c r="G6122" s="37"/>
      <c r="H6122" s="37"/>
      <c r="I6122" s="37"/>
      <c r="J6122" s="37"/>
      <c r="K6122" s="22"/>
      <c r="L6122" s="56"/>
      <c r="P6122" s="40"/>
      <c r="Q6122" s="61"/>
      <c r="R6122" s="61"/>
      <c r="S6122" s="40"/>
      <c r="T6122" s="38"/>
      <c r="U6122" s="38"/>
      <c r="V6122" s="38"/>
      <c r="W6122" s="60"/>
      <c r="AB6122" s="42"/>
      <c r="AC6122" s="35"/>
      <c r="AD6122" s="38"/>
      <c r="AE6122" s="38"/>
      <c r="AF6122" s="38"/>
      <c r="AG6122" s="38"/>
      <c r="AH6122" s="60"/>
    </row>
    <row r="6123" spans="1:34" ht="15.75" customHeight="1">
      <c r="A6123" s="303"/>
      <c r="B6123" s="38"/>
      <c r="C6123" s="37"/>
      <c r="D6123" s="20"/>
      <c r="E6123" s="25"/>
      <c r="F6123" s="37"/>
      <c r="G6123" s="37"/>
      <c r="H6123" s="37"/>
      <c r="I6123" s="37"/>
      <c r="J6123" s="37"/>
      <c r="K6123" s="22"/>
      <c r="L6123" s="56"/>
      <c r="P6123" s="40"/>
      <c r="Q6123" s="61"/>
      <c r="R6123" s="61"/>
      <c r="S6123" s="40"/>
      <c r="T6123" s="38"/>
      <c r="U6123" s="38"/>
      <c r="V6123" s="38"/>
      <c r="W6123" s="60"/>
      <c r="AB6123" s="42"/>
      <c r="AC6123" s="35"/>
      <c r="AD6123" s="38"/>
      <c r="AE6123" s="38"/>
      <c r="AF6123" s="38"/>
      <c r="AG6123" s="38"/>
      <c r="AH6123" s="60"/>
    </row>
    <row r="6124" spans="1:34" ht="15.75" customHeight="1">
      <c r="A6124" s="303"/>
      <c r="B6124" s="38"/>
      <c r="C6124" s="37"/>
      <c r="D6124" s="20"/>
      <c r="E6124" s="25"/>
      <c r="F6124" s="37"/>
      <c r="G6124" s="37"/>
      <c r="H6124" s="37"/>
      <c r="I6124" s="37"/>
      <c r="J6124" s="37"/>
      <c r="K6124" s="22"/>
      <c r="L6124" s="56"/>
      <c r="P6124" s="40"/>
      <c r="Q6124" s="61"/>
      <c r="R6124" s="61"/>
      <c r="S6124" s="40"/>
      <c r="T6124" s="38"/>
      <c r="U6124" s="38"/>
      <c r="V6124" s="38"/>
      <c r="W6124" s="60"/>
      <c r="AB6124" s="42"/>
      <c r="AC6124" s="35"/>
      <c r="AD6124" s="38"/>
      <c r="AE6124" s="38"/>
      <c r="AF6124" s="38"/>
      <c r="AG6124" s="38"/>
      <c r="AH6124" s="60"/>
    </row>
    <row r="6125" spans="1:34" ht="15.75" customHeight="1">
      <c r="A6125" s="303"/>
      <c r="B6125" s="38"/>
      <c r="C6125" s="37"/>
      <c r="D6125" s="20"/>
      <c r="E6125" s="25"/>
      <c r="F6125" s="37"/>
      <c r="G6125" s="37"/>
      <c r="H6125" s="37"/>
      <c r="I6125" s="37"/>
      <c r="J6125" s="37"/>
      <c r="K6125" s="22"/>
      <c r="L6125" s="56"/>
      <c r="P6125" s="40"/>
      <c r="Q6125" s="61"/>
      <c r="R6125" s="61"/>
      <c r="S6125" s="40"/>
      <c r="T6125" s="38"/>
      <c r="U6125" s="38"/>
      <c r="V6125" s="38"/>
      <c r="W6125" s="60"/>
      <c r="AB6125" s="42"/>
      <c r="AC6125" s="35"/>
      <c r="AD6125" s="38"/>
      <c r="AE6125" s="38"/>
      <c r="AF6125" s="38"/>
      <c r="AG6125" s="38"/>
      <c r="AH6125" s="60"/>
    </row>
    <row r="6126" spans="1:34" ht="15.75" customHeight="1">
      <c r="A6126" s="303"/>
      <c r="B6126" s="38"/>
      <c r="C6126" s="37"/>
      <c r="D6126" s="20"/>
      <c r="E6126" s="25"/>
      <c r="F6126" s="37"/>
      <c r="G6126" s="37"/>
      <c r="H6126" s="37"/>
      <c r="I6126" s="37"/>
      <c r="J6126" s="37"/>
      <c r="K6126" s="22"/>
      <c r="L6126" s="56"/>
      <c r="P6126" s="40"/>
      <c r="Q6126" s="61"/>
      <c r="R6126" s="61"/>
      <c r="S6126" s="40"/>
      <c r="T6126" s="38"/>
      <c r="U6126" s="38"/>
      <c r="V6126" s="38"/>
      <c r="W6126" s="60"/>
      <c r="AB6126" s="42"/>
      <c r="AC6126" s="35"/>
      <c r="AD6126" s="38"/>
      <c r="AE6126" s="38"/>
      <c r="AF6126" s="38"/>
      <c r="AG6126" s="38"/>
      <c r="AH6126" s="60"/>
    </row>
    <row r="6127" spans="1:34" ht="15.75" customHeight="1">
      <c r="A6127" s="303"/>
      <c r="B6127" s="38"/>
      <c r="C6127" s="37"/>
      <c r="D6127" s="20"/>
      <c r="E6127" s="25"/>
      <c r="F6127" s="37"/>
      <c r="G6127" s="37"/>
      <c r="H6127" s="37"/>
      <c r="I6127" s="37"/>
      <c r="J6127" s="37"/>
      <c r="K6127" s="22"/>
      <c r="L6127" s="56"/>
      <c r="P6127" s="40"/>
      <c r="Q6127" s="61"/>
      <c r="R6127" s="61"/>
      <c r="S6127" s="40"/>
      <c r="T6127" s="38"/>
      <c r="U6127" s="38"/>
      <c r="V6127" s="38"/>
      <c r="W6127" s="60"/>
      <c r="AB6127" s="42"/>
      <c r="AC6127" s="35"/>
      <c r="AD6127" s="38"/>
      <c r="AE6127" s="38"/>
      <c r="AF6127" s="38"/>
      <c r="AG6127" s="38"/>
      <c r="AH6127" s="60"/>
    </row>
    <row r="6128" spans="1:34" ht="15.75" customHeight="1">
      <c r="A6128" s="303"/>
      <c r="B6128" s="38"/>
      <c r="C6128" s="37"/>
      <c r="D6128" s="20"/>
      <c r="E6128" s="25"/>
      <c r="F6128" s="37"/>
      <c r="G6128" s="37"/>
      <c r="H6128" s="37"/>
      <c r="I6128" s="37"/>
      <c r="J6128" s="37"/>
      <c r="K6128" s="22"/>
      <c r="L6128" s="56"/>
      <c r="P6128" s="40"/>
      <c r="Q6128" s="61"/>
      <c r="R6128" s="61"/>
      <c r="S6128" s="40"/>
      <c r="T6128" s="38"/>
      <c r="U6128" s="38"/>
      <c r="V6128" s="38"/>
      <c r="W6128" s="60"/>
      <c r="AB6128" s="42"/>
      <c r="AC6128" s="35"/>
      <c r="AD6128" s="38"/>
      <c r="AE6128" s="38"/>
      <c r="AF6128" s="38"/>
      <c r="AG6128" s="38"/>
      <c r="AH6128" s="60"/>
    </row>
    <row r="6129" spans="1:34" ht="15.75" customHeight="1">
      <c r="A6129" s="303"/>
      <c r="B6129" s="38"/>
      <c r="C6129" s="37"/>
      <c r="D6129" s="20"/>
      <c r="E6129" s="25"/>
      <c r="F6129" s="37"/>
      <c r="G6129" s="37"/>
      <c r="H6129" s="37"/>
      <c r="I6129" s="37"/>
      <c r="J6129" s="37"/>
      <c r="K6129" s="22"/>
      <c r="L6129" s="56"/>
      <c r="P6129" s="40"/>
      <c r="Q6129" s="61"/>
      <c r="R6129" s="61"/>
      <c r="S6129" s="40"/>
      <c r="T6129" s="38"/>
      <c r="U6129" s="38"/>
      <c r="V6129" s="38"/>
      <c r="W6129" s="60"/>
      <c r="AB6129" s="42"/>
      <c r="AC6129" s="35"/>
      <c r="AD6129" s="38"/>
      <c r="AE6129" s="38"/>
      <c r="AF6129" s="38"/>
      <c r="AG6129" s="38"/>
      <c r="AH6129" s="60"/>
    </row>
    <row r="6130" spans="1:34" ht="15.75" customHeight="1">
      <c r="A6130" s="303"/>
      <c r="B6130" s="38"/>
      <c r="C6130" s="37"/>
      <c r="D6130" s="20"/>
      <c r="E6130" s="25"/>
      <c r="F6130" s="37"/>
      <c r="G6130" s="37"/>
      <c r="H6130" s="37"/>
      <c r="I6130" s="37"/>
      <c r="J6130" s="37"/>
      <c r="K6130" s="22"/>
      <c r="L6130" s="56"/>
      <c r="P6130" s="40"/>
      <c r="Q6130" s="61"/>
      <c r="R6130" s="61"/>
      <c r="S6130" s="40"/>
      <c r="T6130" s="38"/>
      <c r="U6130" s="38"/>
      <c r="V6130" s="38"/>
      <c r="W6130" s="60"/>
      <c r="AB6130" s="42"/>
      <c r="AC6130" s="35"/>
      <c r="AD6130" s="38"/>
      <c r="AE6130" s="38"/>
      <c r="AF6130" s="38"/>
      <c r="AG6130" s="38"/>
      <c r="AH6130" s="60"/>
    </row>
    <row r="6131" spans="1:34" ht="15.75" customHeight="1">
      <c r="A6131" s="303"/>
      <c r="B6131" s="38"/>
      <c r="C6131" s="37"/>
      <c r="D6131" s="20"/>
      <c r="E6131" s="25"/>
      <c r="F6131" s="37"/>
      <c r="G6131" s="37"/>
      <c r="H6131" s="37"/>
      <c r="I6131" s="37"/>
      <c r="J6131" s="37"/>
      <c r="K6131" s="22"/>
      <c r="L6131" s="56"/>
      <c r="P6131" s="40"/>
      <c r="Q6131" s="61"/>
      <c r="R6131" s="61"/>
      <c r="S6131" s="40"/>
      <c r="T6131" s="38"/>
      <c r="U6131" s="38"/>
      <c r="V6131" s="38"/>
      <c r="W6131" s="60"/>
      <c r="AB6131" s="42"/>
      <c r="AC6131" s="35"/>
      <c r="AD6131" s="38"/>
      <c r="AE6131" s="38"/>
      <c r="AF6131" s="38"/>
      <c r="AG6131" s="38"/>
      <c r="AH6131" s="60"/>
    </row>
    <row r="6132" spans="1:34" ht="15.75" customHeight="1">
      <c r="A6132" s="303"/>
      <c r="B6132" s="38"/>
      <c r="C6132" s="37"/>
      <c r="D6132" s="20"/>
      <c r="E6132" s="25"/>
      <c r="F6132" s="37"/>
      <c r="G6132" s="37"/>
      <c r="H6132" s="37"/>
      <c r="I6132" s="37"/>
      <c r="J6132" s="37"/>
      <c r="K6132" s="22"/>
      <c r="L6132" s="56"/>
      <c r="P6132" s="40"/>
      <c r="Q6132" s="61"/>
      <c r="R6132" s="61"/>
      <c r="S6132" s="40"/>
      <c r="T6132" s="38"/>
      <c r="U6132" s="38"/>
      <c r="V6132" s="38"/>
      <c r="W6132" s="60"/>
      <c r="AB6132" s="42"/>
      <c r="AC6132" s="35"/>
      <c r="AD6132" s="38"/>
      <c r="AE6132" s="38"/>
      <c r="AF6132" s="38"/>
      <c r="AG6132" s="38"/>
      <c r="AH6132" s="60"/>
    </row>
    <row r="6133" spans="1:34" ht="15.75" customHeight="1">
      <c r="A6133" s="303"/>
      <c r="B6133" s="38"/>
      <c r="C6133" s="37"/>
      <c r="D6133" s="20"/>
      <c r="E6133" s="25"/>
      <c r="F6133" s="37"/>
      <c r="G6133" s="37"/>
      <c r="H6133" s="37"/>
      <c r="I6133" s="37"/>
      <c r="J6133" s="37"/>
      <c r="K6133" s="22"/>
      <c r="L6133" s="56"/>
      <c r="P6133" s="40"/>
      <c r="Q6133" s="61"/>
      <c r="R6133" s="61"/>
      <c r="S6133" s="40"/>
      <c r="T6133" s="38"/>
      <c r="U6133" s="38"/>
      <c r="V6133" s="38"/>
      <c r="W6133" s="60"/>
      <c r="AB6133" s="42"/>
      <c r="AC6133" s="35"/>
      <c r="AD6133" s="38"/>
      <c r="AE6133" s="38"/>
      <c r="AF6133" s="38"/>
      <c r="AG6133" s="38"/>
      <c r="AH6133" s="60"/>
    </row>
    <row r="6134" spans="1:34" ht="15.75" customHeight="1">
      <c r="A6134" s="303"/>
      <c r="B6134" s="38"/>
      <c r="C6134" s="37"/>
      <c r="D6134" s="20"/>
      <c r="E6134" s="25"/>
      <c r="F6134" s="37"/>
      <c r="G6134" s="37"/>
      <c r="H6134" s="37"/>
      <c r="I6134" s="37"/>
      <c r="J6134" s="37"/>
      <c r="K6134" s="22"/>
      <c r="L6134" s="56"/>
      <c r="P6134" s="40"/>
      <c r="Q6134" s="61"/>
      <c r="R6134" s="61"/>
      <c r="S6134" s="40"/>
      <c r="T6134" s="38"/>
      <c r="U6134" s="38"/>
      <c r="V6134" s="38"/>
      <c r="W6134" s="60"/>
      <c r="AB6134" s="42"/>
      <c r="AC6134" s="35"/>
      <c r="AD6134" s="38"/>
      <c r="AE6134" s="38"/>
      <c r="AF6134" s="38"/>
      <c r="AG6134" s="38"/>
      <c r="AH6134" s="60"/>
    </row>
    <row r="6135" spans="1:34" ht="15.75" customHeight="1">
      <c r="A6135" s="303"/>
      <c r="B6135" s="38"/>
      <c r="C6135" s="37"/>
      <c r="D6135" s="20"/>
      <c r="E6135" s="25"/>
      <c r="F6135" s="37"/>
      <c r="G6135" s="37"/>
      <c r="H6135" s="37"/>
      <c r="I6135" s="37"/>
      <c r="J6135" s="37"/>
      <c r="K6135" s="22"/>
      <c r="L6135" s="56"/>
      <c r="P6135" s="40"/>
      <c r="Q6135" s="61"/>
      <c r="R6135" s="61"/>
      <c r="S6135" s="40"/>
      <c r="T6135" s="38"/>
      <c r="U6135" s="38"/>
      <c r="V6135" s="38"/>
      <c r="W6135" s="60"/>
      <c r="AB6135" s="42"/>
      <c r="AC6135" s="35"/>
      <c r="AD6135" s="38"/>
      <c r="AE6135" s="38"/>
      <c r="AF6135" s="38"/>
      <c r="AG6135" s="38"/>
      <c r="AH6135" s="60"/>
    </row>
    <row r="6136" spans="1:34" ht="15.75" customHeight="1">
      <c r="A6136" s="303"/>
      <c r="B6136" s="38"/>
      <c r="C6136" s="37"/>
      <c r="D6136" s="20"/>
      <c r="E6136" s="25"/>
      <c r="F6136" s="37"/>
      <c r="G6136" s="37"/>
      <c r="H6136" s="37"/>
      <c r="I6136" s="37"/>
      <c r="J6136" s="37"/>
      <c r="K6136" s="22"/>
      <c r="L6136" s="56"/>
      <c r="P6136" s="40"/>
      <c r="Q6136" s="61"/>
      <c r="R6136" s="61"/>
      <c r="S6136" s="40"/>
      <c r="T6136" s="38"/>
      <c r="U6136" s="38"/>
      <c r="V6136" s="38"/>
      <c r="W6136" s="60"/>
      <c r="AB6136" s="42"/>
      <c r="AC6136" s="35"/>
      <c r="AD6136" s="38"/>
      <c r="AE6136" s="38"/>
      <c r="AF6136" s="38"/>
      <c r="AG6136" s="38"/>
      <c r="AH6136" s="60"/>
    </row>
    <row r="6137" spans="1:34" ht="15.75" customHeight="1">
      <c r="A6137" s="303"/>
      <c r="B6137" s="38"/>
      <c r="C6137" s="37"/>
      <c r="D6137" s="20"/>
      <c r="E6137" s="25"/>
      <c r="F6137" s="37"/>
      <c r="G6137" s="37"/>
      <c r="H6137" s="37"/>
      <c r="I6137" s="37"/>
      <c r="J6137" s="37"/>
      <c r="K6137" s="22"/>
      <c r="L6137" s="56"/>
      <c r="P6137" s="40"/>
      <c r="Q6137" s="61"/>
      <c r="R6137" s="61"/>
      <c r="S6137" s="40"/>
      <c r="T6137" s="38"/>
      <c r="U6137" s="38"/>
      <c r="V6137" s="38"/>
      <c r="W6137" s="60"/>
      <c r="AB6137" s="42"/>
      <c r="AC6137" s="35"/>
      <c r="AD6137" s="38"/>
      <c r="AE6137" s="38"/>
      <c r="AF6137" s="38"/>
      <c r="AG6137" s="38"/>
      <c r="AH6137" s="60"/>
    </row>
    <row r="6138" spans="1:34" ht="15.75" customHeight="1">
      <c r="A6138" s="303"/>
      <c r="B6138" s="38"/>
      <c r="C6138" s="37"/>
      <c r="D6138" s="20"/>
      <c r="E6138" s="25"/>
      <c r="F6138" s="37"/>
      <c r="G6138" s="37"/>
      <c r="H6138" s="37"/>
      <c r="I6138" s="37"/>
      <c r="J6138" s="37"/>
      <c r="K6138" s="22"/>
      <c r="L6138" s="56"/>
      <c r="P6138" s="40"/>
      <c r="Q6138" s="61"/>
      <c r="R6138" s="61"/>
      <c r="S6138" s="40"/>
      <c r="T6138" s="38"/>
      <c r="U6138" s="38"/>
      <c r="V6138" s="38"/>
      <c r="W6138" s="60"/>
      <c r="AB6138" s="42"/>
      <c r="AC6138" s="35"/>
      <c r="AD6138" s="38"/>
      <c r="AE6138" s="38"/>
      <c r="AF6138" s="38"/>
      <c r="AG6138" s="38"/>
      <c r="AH6138" s="60"/>
    </row>
    <row r="6139" spans="1:34" ht="15.75" customHeight="1">
      <c r="A6139" s="303"/>
      <c r="B6139" s="38"/>
      <c r="C6139" s="37"/>
      <c r="D6139" s="20"/>
      <c r="E6139" s="25"/>
      <c r="F6139" s="37"/>
      <c r="G6139" s="37"/>
      <c r="H6139" s="37"/>
      <c r="I6139" s="37"/>
      <c r="J6139" s="37"/>
      <c r="K6139" s="22"/>
      <c r="L6139" s="56"/>
      <c r="P6139" s="40"/>
      <c r="Q6139" s="61"/>
      <c r="R6139" s="61"/>
      <c r="S6139" s="40"/>
      <c r="T6139" s="38"/>
      <c r="U6139" s="38"/>
      <c r="V6139" s="38"/>
      <c r="W6139" s="60"/>
      <c r="AB6139" s="42"/>
      <c r="AC6139" s="35"/>
      <c r="AD6139" s="38"/>
      <c r="AE6139" s="38"/>
      <c r="AF6139" s="38"/>
      <c r="AG6139" s="38"/>
      <c r="AH6139" s="60"/>
    </row>
    <row r="6140" spans="1:34" ht="15.75" customHeight="1">
      <c r="A6140" s="303"/>
      <c r="B6140" s="38"/>
      <c r="C6140" s="37"/>
      <c r="D6140" s="20"/>
      <c r="E6140" s="25"/>
      <c r="F6140" s="37"/>
      <c r="G6140" s="37"/>
      <c r="H6140" s="37"/>
      <c r="I6140" s="37"/>
      <c r="J6140" s="37"/>
      <c r="K6140" s="22"/>
      <c r="L6140" s="56"/>
      <c r="P6140" s="40"/>
      <c r="Q6140" s="61"/>
      <c r="R6140" s="61"/>
      <c r="S6140" s="40"/>
      <c r="T6140" s="38"/>
      <c r="U6140" s="38"/>
      <c r="V6140" s="38"/>
      <c r="W6140" s="60"/>
      <c r="AB6140" s="42"/>
      <c r="AC6140" s="35"/>
      <c r="AD6140" s="38"/>
      <c r="AE6140" s="38"/>
      <c r="AF6140" s="38"/>
      <c r="AG6140" s="38"/>
      <c r="AH6140" s="60"/>
    </row>
    <row r="6141" spans="1:34" ht="15.75" customHeight="1">
      <c r="A6141" s="303"/>
      <c r="B6141" s="38"/>
      <c r="C6141" s="37"/>
      <c r="D6141" s="20"/>
      <c r="E6141" s="25"/>
      <c r="F6141" s="37"/>
      <c r="G6141" s="37"/>
      <c r="H6141" s="37"/>
      <c r="I6141" s="37"/>
      <c r="J6141" s="37"/>
      <c r="K6141" s="22"/>
      <c r="L6141" s="56"/>
      <c r="P6141" s="40"/>
      <c r="Q6141" s="61"/>
      <c r="R6141" s="61"/>
      <c r="S6141" s="40"/>
      <c r="T6141" s="38"/>
      <c r="U6141" s="38"/>
      <c r="V6141" s="38"/>
      <c r="W6141" s="60"/>
      <c r="AB6141" s="42"/>
      <c r="AC6141" s="35"/>
      <c r="AD6141" s="38"/>
      <c r="AE6141" s="38"/>
      <c r="AF6141" s="38"/>
      <c r="AG6141" s="38"/>
      <c r="AH6141" s="60"/>
    </row>
    <row r="6142" spans="1:34" ht="15.75" customHeight="1">
      <c r="A6142" s="303"/>
      <c r="B6142" s="38"/>
      <c r="C6142" s="37"/>
      <c r="D6142" s="20"/>
      <c r="E6142" s="25"/>
      <c r="F6142" s="37"/>
      <c r="G6142" s="37"/>
      <c r="H6142" s="37"/>
      <c r="I6142" s="37"/>
      <c r="J6142" s="37"/>
      <c r="K6142" s="22"/>
      <c r="L6142" s="56"/>
      <c r="P6142" s="40"/>
      <c r="Q6142" s="61"/>
      <c r="R6142" s="61"/>
      <c r="S6142" s="40"/>
      <c r="T6142" s="38"/>
      <c r="U6142" s="38"/>
      <c r="V6142" s="38"/>
      <c r="W6142" s="60"/>
      <c r="AB6142" s="42"/>
      <c r="AC6142" s="35"/>
      <c r="AD6142" s="38"/>
      <c r="AE6142" s="38"/>
      <c r="AF6142" s="38"/>
      <c r="AG6142" s="38"/>
      <c r="AH6142" s="60"/>
    </row>
    <row r="6143" spans="1:34" ht="15.75" customHeight="1">
      <c r="A6143" s="303"/>
      <c r="B6143" s="38"/>
      <c r="C6143" s="37"/>
      <c r="D6143" s="20"/>
      <c r="E6143" s="25"/>
      <c r="F6143" s="37"/>
      <c r="G6143" s="37"/>
      <c r="H6143" s="37"/>
      <c r="I6143" s="37"/>
      <c r="J6143" s="37"/>
      <c r="K6143" s="22"/>
      <c r="L6143" s="56"/>
      <c r="P6143" s="40"/>
      <c r="Q6143" s="61"/>
      <c r="R6143" s="61"/>
      <c r="S6143" s="40"/>
      <c r="T6143" s="38"/>
      <c r="U6143" s="38"/>
      <c r="V6143" s="38"/>
      <c r="W6143" s="60"/>
      <c r="AB6143" s="42"/>
      <c r="AC6143" s="35"/>
      <c r="AD6143" s="38"/>
      <c r="AE6143" s="38"/>
      <c r="AF6143" s="38"/>
      <c r="AG6143" s="38"/>
      <c r="AH6143" s="60"/>
    </row>
    <row r="6144" spans="1:34" ht="15.75" customHeight="1">
      <c r="A6144" s="303"/>
      <c r="B6144" s="38"/>
      <c r="C6144" s="37"/>
      <c r="D6144" s="20"/>
      <c r="E6144" s="25"/>
      <c r="F6144" s="37"/>
      <c r="G6144" s="37"/>
      <c r="H6144" s="37"/>
      <c r="I6144" s="37"/>
      <c r="J6144" s="37"/>
      <c r="K6144" s="22"/>
      <c r="L6144" s="56"/>
      <c r="P6144" s="40"/>
      <c r="Q6144" s="61"/>
      <c r="R6144" s="61"/>
      <c r="S6144" s="40"/>
      <c r="T6144" s="38"/>
      <c r="U6144" s="38"/>
      <c r="V6144" s="38"/>
      <c r="W6144" s="60"/>
      <c r="AB6144" s="42"/>
      <c r="AC6144" s="35"/>
      <c r="AD6144" s="38"/>
      <c r="AE6144" s="38"/>
      <c r="AF6144" s="38"/>
      <c r="AG6144" s="38"/>
      <c r="AH6144" s="60"/>
    </row>
    <row r="6145" spans="1:34" ht="15.75" customHeight="1">
      <c r="A6145" s="303"/>
      <c r="B6145" s="38"/>
      <c r="C6145" s="37"/>
      <c r="D6145" s="20"/>
      <c r="E6145" s="25"/>
      <c r="F6145" s="37"/>
      <c r="G6145" s="37"/>
      <c r="H6145" s="37"/>
      <c r="I6145" s="37"/>
      <c r="J6145" s="37"/>
      <c r="K6145" s="22"/>
      <c r="L6145" s="56"/>
      <c r="P6145" s="40"/>
      <c r="Q6145" s="61"/>
      <c r="R6145" s="61"/>
      <c r="S6145" s="40"/>
      <c r="T6145" s="38"/>
      <c r="U6145" s="38"/>
      <c r="V6145" s="38"/>
      <c r="W6145" s="60"/>
      <c r="AB6145" s="42"/>
      <c r="AC6145" s="35"/>
      <c r="AD6145" s="38"/>
      <c r="AE6145" s="38"/>
      <c r="AF6145" s="38"/>
      <c r="AG6145" s="38"/>
      <c r="AH6145" s="60"/>
    </row>
    <row r="6146" spans="1:34" ht="15.75" customHeight="1">
      <c r="A6146" s="303"/>
      <c r="B6146" s="38"/>
      <c r="C6146" s="37"/>
      <c r="D6146" s="20"/>
      <c r="E6146" s="25"/>
      <c r="F6146" s="37"/>
      <c r="G6146" s="37"/>
      <c r="H6146" s="37"/>
      <c r="I6146" s="37"/>
      <c r="J6146" s="37"/>
      <c r="K6146" s="22"/>
      <c r="L6146" s="56"/>
      <c r="P6146" s="40"/>
      <c r="Q6146" s="61"/>
      <c r="R6146" s="61"/>
      <c r="S6146" s="40"/>
      <c r="T6146" s="38"/>
      <c r="U6146" s="38"/>
      <c r="V6146" s="38"/>
      <c r="W6146" s="60"/>
      <c r="AB6146" s="42"/>
      <c r="AC6146" s="35"/>
      <c r="AD6146" s="38"/>
      <c r="AE6146" s="38"/>
      <c r="AF6146" s="38"/>
      <c r="AG6146" s="38"/>
      <c r="AH6146" s="60"/>
    </row>
    <row r="6147" spans="1:34" ht="15.75" customHeight="1">
      <c r="A6147" s="303"/>
      <c r="B6147" s="38"/>
      <c r="C6147" s="37"/>
      <c r="D6147" s="20"/>
      <c r="E6147" s="25"/>
      <c r="F6147" s="37"/>
      <c r="G6147" s="37"/>
      <c r="H6147" s="37"/>
      <c r="I6147" s="37"/>
      <c r="J6147" s="37"/>
      <c r="K6147" s="22"/>
      <c r="L6147" s="56"/>
      <c r="P6147" s="40"/>
      <c r="Q6147" s="61"/>
      <c r="R6147" s="61"/>
      <c r="S6147" s="40"/>
      <c r="T6147" s="38"/>
      <c r="U6147" s="38"/>
      <c r="V6147" s="38"/>
      <c r="W6147" s="60"/>
      <c r="AB6147" s="42"/>
      <c r="AC6147" s="35"/>
      <c r="AD6147" s="38"/>
      <c r="AE6147" s="38"/>
      <c r="AF6147" s="38"/>
      <c r="AG6147" s="38"/>
      <c r="AH6147" s="60"/>
    </row>
    <row r="6148" spans="1:34" ht="15.75" customHeight="1">
      <c r="A6148" s="303"/>
      <c r="B6148" s="38"/>
      <c r="C6148" s="37"/>
      <c r="D6148" s="20"/>
      <c r="E6148" s="25"/>
      <c r="F6148" s="37"/>
      <c r="G6148" s="37"/>
      <c r="H6148" s="37"/>
      <c r="I6148" s="37"/>
      <c r="J6148" s="37"/>
      <c r="K6148" s="22"/>
      <c r="L6148" s="56"/>
      <c r="P6148" s="40"/>
      <c r="Q6148" s="61"/>
      <c r="R6148" s="61"/>
      <c r="S6148" s="40"/>
      <c r="T6148" s="38"/>
      <c r="U6148" s="38"/>
      <c r="V6148" s="38"/>
      <c r="W6148" s="60"/>
      <c r="AB6148" s="42"/>
      <c r="AC6148" s="35"/>
      <c r="AD6148" s="38"/>
      <c r="AE6148" s="38"/>
      <c r="AF6148" s="38"/>
      <c r="AG6148" s="38"/>
      <c r="AH6148" s="60"/>
    </row>
    <row r="6149" spans="1:34" ht="15.75" customHeight="1">
      <c r="A6149" s="303"/>
      <c r="B6149" s="38"/>
      <c r="C6149" s="37"/>
      <c r="D6149" s="20"/>
      <c r="E6149" s="25"/>
      <c r="F6149" s="37"/>
      <c r="G6149" s="37"/>
      <c r="H6149" s="37"/>
      <c r="I6149" s="37"/>
      <c r="J6149" s="37"/>
      <c r="K6149" s="22"/>
      <c r="L6149" s="56"/>
      <c r="P6149" s="40"/>
      <c r="Q6149" s="61"/>
      <c r="R6149" s="61"/>
      <c r="S6149" s="40"/>
      <c r="T6149" s="38"/>
      <c r="U6149" s="38"/>
      <c r="V6149" s="38"/>
      <c r="W6149" s="60"/>
      <c r="AB6149" s="42"/>
      <c r="AC6149" s="35"/>
      <c r="AD6149" s="38"/>
      <c r="AE6149" s="38"/>
      <c r="AF6149" s="38"/>
      <c r="AG6149" s="38"/>
      <c r="AH6149" s="60"/>
    </row>
    <row r="6150" spans="1:34" ht="15.75" customHeight="1">
      <c r="A6150" s="303"/>
      <c r="B6150" s="38"/>
      <c r="C6150" s="37"/>
      <c r="D6150" s="20"/>
      <c r="E6150" s="25"/>
      <c r="F6150" s="37"/>
      <c r="G6150" s="37"/>
      <c r="H6150" s="37"/>
      <c r="I6150" s="37"/>
      <c r="J6150" s="37"/>
      <c r="K6150" s="22"/>
      <c r="L6150" s="56"/>
      <c r="P6150" s="40"/>
      <c r="Q6150" s="61"/>
      <c r="R6150" s="61"/>
      <c r="S6150" s="40"/>
      <c r="T6150" s="38"/>
      <c r="U6150" s="38"/>
      <c r="V6150" s="38"/>
      <c r="W6150" s="60"/>
      <c r="AB6150" s="42"/>
      <c r="AC6150" s="35"/>
      <c r="AD6150" s="38"/>
      <c r="AE6150" s="38"/>
      <c r="AF6150" s="38"/>
      <c r="AG6150" s="38"/>
      <c r="AH6150" s="60"/>
    </row>
    <row r="6151" spans="1:34" ht="15.75" customHeight="1">
      <c r="A6151" s="303"/>
      <c r="B6151" s="38"/>
      <c r="C6151" s="37"/>
      <c r="D6151" s="20"/>
      <c r="E6151" s="25"/>
      <c r="F6151" s="37"/>
      <c r="G6151" s="37"/>
      <c r="H6151" s="37"/>
      <c r="I6151" s="37"/>
      <c r="J6151" s="37"/>
      <c r="K6151" s="22"/>
      <c r="L6151" s="56"/>
      <c r="P6151" s="40"/>
      <c r="Q6151" s="61"/>
      <c r="R6151" s="61"/>
      <c r="S6151" s="40"/>
      <c r="T6151" s="38"/>
      <c r="U6151" s="38"/>
      <c r="V6151" s="38"/>
      <c r="W6151" s="60"/>
      <c r="AB6151" s="42"/>
      <c r="AC6151" s="35"/>
      <c r="AD6151" s="38"/>
      <c r="AE6151" s="38"/>
      <c r="AF6151" s="38"/>
      <c r="AG6151" s="38"/>
      <c r="AH6151" s="60"/>
    </row>
    <row r="6152" spans="1:34" ht="15.75" customHeight="1">
      <c r="A6152" s="303"/>
      <c r="B6152" s="38"/>
      <c r="C6152" s="37"/>
      <c r="D6152" s="20"/>
      <c r="E6152" s="25"/>
      <c r="F6152" s="37"/>
      <c r="G6152" s="37"/>
      <c r="H6152" s="37"/>
      <c r="I6152" s="37"/>
      <c r="J6152" s="37"/>
      <c r="K6152" s="22"/>
      <c r="L6152" s="56"/>
      <c r="P6152" s="40"/>
      <c r="Q6152" s="61"/>
      <c r="R6152" s="61"/>
      <c r="S6152" s="40"/>
      <c r="T6152" s="38"/>
      <c r="U6152" s="38"/>
      <c r="V6152" s="38"/>
      <c r="W6152" s="60"/>
      <c r="AB6152" s="42"/>
      <c r="AC6152" s="35"/>
      <c r="AD6152" s="38"/>
      <c r="AE6152" s="38"/>
      <c r="AF6152" s="38"/>
      <c r="AG6152" s="38"/>
      <c r="AH6152" s="60"/>
    </row>
    <row r="6153" spans="1:34" ht="15.75" customHeight="1">
      <c r="A6153" s="303"/>
      <c r="B6153" s="38"/>
      <c r="C6153" s="37"/>
      <c r="D6153" s="20"/>
      <c r="E6153" s="25"/>
      <c r="F6153" s="37"/>
      <c r="G6153" s="37"/>
      <c r="H6153" s="37"/>
      <c r="I6153" s="37"/>
      <c r="J6153" s="37"/>
      <c r="K6153" s="22"/>
      <c r="L6153" s="56"/>
      <c r="P6153" s="40"/>
      <c r="Q6153" s="61"/>
      <c r="R6153" s="61"/>
      <c r="S6153" s="40"/>
      <c r="T6153" s="38"/>
      <c r="U6153" s="38"/>
      <c r="V6153" s="38"/>
      <c r="W6153" s="60"/>
      <c r="AB6153" s="42"/>
      <c r="AC6153" s="35"/>
      <c r="AD6153" s="38"/>
      <c r="AE6153" s="38"/>
      <c r="AF6153" s="38"/>
      <c r="AG6153" s="38"/>
      <c r="AH6153" s="60"/>
    </row>
    <row r="6154" spans="1:34" ht="15.75" customHeight="1">
      <c r="A6154" s="303"/>
      <c r="B6154" s="38"/>
      <c r="C6154" s="37"/>
      <c r="D6154" s="20"/>
      <c r="E6154" s="25"/>
      <c r="F6154" s="37"/>
      <c r="G6154" s="37"/>
      <c r="H6154" s="37"/>
      <c r="I6154" s="37"/>
      <c r="J6154" s="37"/>
      <c r="K6154" s="22"/>
      <c r="L6154" s="56"/>
      <c r="P6154" s="40"/>
      <c r="Q6154" s="61"/>
      <c r="R6154" s="61"/>
      <c r="S6154" s="40"/>
      <c r="T6154" s="38"/>
      <c r="U6154" s="38"/>
      <c r="V6154" s="38"/>
      <c r="W6154" s="60"/>
      <c r="AB6154" s="42"/>
      <c r="AC6154" s="35"/>
      <c r="AD6154" s="38"/>
      <c r="AE6154" s="38"/>
      <c r="AF6154" s="38"/>
      <c r="AG6154" s="38"/>
      <c r="AH6154" s="60"/>
    </row>
    <row r="6155" spans="1:34" ht="15.75" customHeight="1">
      <c r="A6155" s="303"/>
      <c r="B6155" s="38"/>
      <c r="C6155" s="37"/>
      <c r="D6155" s="20"/>
      <c r="E6155" s="25"/>
      <c r="F6155" s="37"/>
      <c r="G6155" s="37"/>
      <c r="H6155" s="37"/>
      <c r="I6155" s="37"/>
      <c r="J6155" s="37"/>
      <c r="K6155" s="22"/>
      <c r="L6155" s="56"/>
      <c r="P6155" s="40"/>
      <c r="Q6155" s="61"/>
      <c r="R6155" s="61"/>
      <c r="S6155" s="40"/>
      <c r="T6155" s="38"/>
      <c r="U6155" s="38"/>
      <c r="V6155" s="38"/>
      <c r="W6155" s="60"/>
      <c r="AB6155" s="42"/>
      <c r="AC6155" s="35"/>
      <c r="AD6155" s="38"/>
      <c r="AE6155" s="38"/>
      <c r="AF6155" s="38"/>
      <c r="AG6155" s="38"/>
      <c r="AH6155" s="60"/>
    </row>
    <row r="6156" spans="1:34" ht="15.75" customHeight="1">
      <c r="A6156" s="303"/>
      <c r="B6156" s="38"/>
      <c r="C6156" s="37"/>
      <c r="D6156" s="20"/>
      <c r="E6156" s="25"/>
      <c r="F6156" s="37"/>
      <c r="G6156" s="37"/>
      <c r="H6156" s="37"/>
      <c r="I6156" s="37"/>
      <c r="J6156" s="37"/>
      <c r="K6156" s="22"/>
      <c r="L6156" s="56"/>
      <c r="P6156" s="40"/>
      <c r="Q6156" s="61"/>
      <c r="R6156" s="61"/>
      <c r="S6156" s="40"/>
      <c r="T6156" s="38"/>
      <c r="U6156" s="38"/>
      <c r="V6156" s="38"/>
      <c r="W6156" s="60"/>
      <c r="AB6156" s="42"/>
      <c r="AC6156" s="35"/>
      <c r="AD6156" s="38"/>
      <c r="AE6156" s="38"/>
      <c r="AF6156" s="38"/>
      <c r="AG6156" s="38"/>
      <c r="AH6156" s="60"/>
    </row>
    <row r="6157" spans="1:34" ht="15.75" customHeight="1">
      <c r="A6157" s="303"/>
      <c r="B6157" s="38"/>
      <c r="C6157" s="37"/>
      <c r="D6157" s="20"/>
      <c r="E6157" s="25"/>
      <c r="F6157" s="37"/>
      <c r="G6157" s="37"/>
      <c r="H6157" s="37"/>
      <c r="I6157" s="37"/>
      <c r="J6157" s="37"/>
      <c r="K6157" s="22"/>
      <c r="L6157" s="56"/>
      <c r="P6157" s="40"/>
      <c r="Q6157" s="61"/>
      <c r="R6157" s="61"/>
      <c r="S6157" s="40"/>
      <c r="T6157" s="38"/>
      <c r="U6157" s="38"/>
      <c r="V6157" s="38"/>
      <c r="W6157" s="60"/>
      <c r="AB6157" s="42"/>
      <c r="AC6157" s="35"/>
      <c r="AD6157" s="38"/>
      <c r="AE6157" s="38"/>
      <c r="AF6157" s="38"/>
      <c r="AG6157" s="38"/>
      <c r="AH6157" s="60"/>
    </row>
    <row r="6158" spans="1:34" ht="15.75" customHeight="1">
      <c r="A6158" s="303"/>
      <c r="B6158" s="38"/>
      <c r="C6158" s="37"/>
      <c r="D6158" s="20"/>
      <c r="E6158" s="25"/>
      <c r="F6158" s="37"/>
      <c r="G6158" s="37"/>
      <c r="H6158" s="37"/>
      <c r="I6158" s="37"/>
      <c r="J6158" s="37"/>
      <c r="K6158" s="22"/>
      <c r="L6158" s="56"/>
      <c r="P6158" s="40"/>
      <c r="Q6158" s="61"/>
      <c r="R6158" s="61"/>
      <c r="S6158" s="40"/>
      <c r="T6158" s="38"/>
      <c r="U6158" s="38"/>
      <c r="V6158" s="38"/>
      <c r="W6158" s="60"/>
      <c r="AB6158" s="42"/>
      <c r="AC6158" s="35"/>
      <c r="AD6158" s="38"/>
      <c r="AE6158" s="38"/>
      <c r="AF6158" s="38"/>
      <c r="AG6158" s="38"/>
      <c r="AH6158" s="60"/>
    </row>
    <row r="6159" spans="1:34" ht="15.75" customHeight="1">
      <c r="A6159" s="303"/>
      <c r="B6159" s="38"/>
      <c r="C6159" s="37"/>
      <c r="D6159" s="20"/>
      <c r="E6159" s="25"/>
      <c r="F6159" s="37"/>
      <c r="G6159" s="37"/>
      <c r="H6159" s="37"/>
      <c r="I6159" s="37"/>
      <c r="J6159" s="37"/>
      <c r="K6159" s="22"/>
      <c r="L6159" s="56"/>
      <c r="P6159" s="40"/>
      <c r="Q6159" s="61"/>
      <c r="R6159" s="61"/>
      <c r="S6159" s="40"/>
      <c r="T6159" s="38"/>
      <c r="U6159" s="38"/>
      <c r="V6159" s="38"/>
      <c r="W6159" s="60"/>
      <c r="AB6159" s="42"/>
      <c r="AC6159" s="35"/>
      <c r="AD6159" s="38"/>
      <c r="AE6159" s="38"/>
      <c r="AF6159" s="38"/>
      <c r="AG6159" s="38"/>
      <c r="AH6159" s="60"/>
    </row>
    <row r="6160" spans="1:34" ht="15.75" customHeight="1">
      <c r="A6160" s="303"/>
      <c r="B6160" s="38"/>
      <c r="C6160" s="37"/>
      <c r="D6160" s="20"/>
      <c r="E6160" s="25"/>
      <c r="F6160" s="37"/>
      <c r="G6160" s="37"/>
      <c r="H6160" s="37"/>
      <c r="I6160" s="37"/>
      <c r="J6160" s="37"/>
      <c r="K6160" s="22"/>
      <c r="L6160" s="56"/>
      <c r="P6160" s="40"/>
      <c r="Q6160" s="61"/>
      <c r="R6160" s="61"/>
      <c r="S6160" s="40"/>
      <c r="T6160" s="38"/>
      <c r="U6160" s="38"/>
      <c r="V6160" s="38"/>
      <c r="W6160" s="60"/>
      <c r="AB6160" s="42"/>
      <c r="AC6160" s="35"/>
      <c r="AD6160" s="38"/>
      <c r="AE6160" s="38"/>
      <c r="AF6160" s="38"/>
      <c r="AG6160" s="38"/>
      <c r="AH6160" s="60"/>
    </row>
    <row r="6161" spans="1:34" ht="15.75" customHeight="1">
      <c r="A6161" s="303"/>
      <c r="B6161" s="38"/>
      <c r="C6161" s="37"/>
      <c r="D6161" s="20"/>
      <c r="E6161" s="25"/>
      <c r="F6161" s="37"/>
      <c r="G6161" s="37"/>
      <c r="H6161" s="37"/>
      <c r="I6161" s="37"/>
      <c r="J6161" s="37"/>
      <c r="K6161" s="22"/>
      <c r="L6161" s="56"/>
      <c r="P6161" s="40"/>
      <c r="Q6161" s="61"/>
      <c r="R6161" s="61"/>
      <c r="S6161" s="40"/>
      <c r="T6161" s="38"/>
      <c r="U6161" s="38"/>
      <c r="V6161" s="38"/>
      <c r="W6161" s="60"/>
      <c r="AB6161" s="42"/>
      <c r="AC6161" s="35"/>
      <c r="AD6161" s="38"/>
      <c r="AE6161" s="38"/>
      <c r="AF6161" s="38"/>
      <c r="AG6161" s="38"/>
      <c r="AH6161" s="60"/>
    </row>
    <row r="6162" spans="1:34" ht="15.75" customHeight="1">
      <c r="A6162" s="303"/>
      <c r="B6162" s="38"/>
      <c r="C6162" s="37"/>
      <c r="D6162" s="20"/>
      <c r="E6162" s="25"/>
      <c r="F6162" s="37"/>
      <c r="G6162" s="37"/>
      <c r="H6162" s="37"/>
      <c r="I6162" s="37"/>
      <c r="J6162" s="37"/>
      <c r="K6162" s="22"/>
      <c r="L6162" s="56"/>
      <c r="P6162" s="40"/>
      <c r="Q6162" s="61"/>
      <c r="R6162" s="61"/>
      <c r="S6162" s="40"/>
      <c r="T6162" s="38"/>
      <c r="U6162" s="38"/>
      <c r="V6162" s="38"/>
      <c r="W6162" s="60"/>
      <c r="AB6162" s="42"/>
      <c r="AC6162" s="35"/>
      <c r="AD6162" s="38"/>
      <c r="AE6162" s="38"/>
      <c r="AF6162" s="38"/>
      <c r="AG6162" s="38"/>
      <c r="AH6162" s="60"/>
    </row>
    <row r="6163" spans="1:34" ht="15.75" customHeight="1">
      <c r="A6163" s="303"/>
      <c r="B6163" s="38"/>
      <c r="C6163" s="37"/>
      <c r="D6163" s="20"/>
      <c r="E6163" s="25"/>
      <c r="F6163" s="37"/>
      <c r="G6163" s="37"/>
      <c r="H6163" s="37"/>
      <c r="I6163" s="37"/>
      <c r="J6163" s="37"/>
      <c r="K6163" s="22"/>
      <c r="L6163" s="56"/>
      <c r="P6163" s="40"/>
      <c r="Q6163" s="61"/>
      <c r="R6163" s="61"/>
      <c r="S6163" s="40"/>
      <c r="T6163" s="38"/>
      <c r="U6163" s="38"/>
      <c r="V6163" s="38"/>
      <c r="W6163" s="60"/>
      <c r="AB6163" s="42"/>
      <c r="AC6163" s="35"/>
      <c r="AD6163" s="38"/>
      <c r="AE6163" s="38"/>
      <c r="AF6163" s="38"/>
      <c r="AG6163" s="38"/>
      <c r="AH6163" s="60"/>
    </row>
    <row r="6164" spans="1:34" ht="15.75" customHeight="1">
      <c r="A6164" s="303"/>
      <c r="B6164" s="38"/>
      <c r="C6164" s="37"/>
      <c r="D6164" s="20"/>
      <c r="E6164" s="25"/>
      <c r="F6164" s="37"/>
      <c r="G6164" s="37"/>
      <c r="H6164" s="37"/>
      <c r="I6164" s="37"/>
      <c r="J6164" s="37"/>
      <c r="K6164" s="22"/>
      <c r="L6164" s="56"/>
      <c r="P6164" s="40"/>
      <c r="Q6164" s="61"/>
      <c r="R6164" s="61"/>
      <c r="S6164" s="40"/>
      <c r="T6164" s="38"/>
      <c r="U6164" s="38"/>
      <c r="V6164" s="38"/>
      <c r="W6164" s="60"/>
      <c r="AB6164" s="42"/>
      <c r="AC6164" s="35"/>
      <c r="AD6164" s="38"/>
      <c r="AE6164" s="38"/>
      <c r="AF6164" s="38"/>
      <c r="AG6164" s="38"/>
      <c r="AH6164" s="60"/>
    </row>
    <row r="6165" spans="1:34" ht="15.75" customHeight="1">
      <c r="A6165" s="303"/>
      <c r="B6165" s="38"/>
      <c r="C6165" s="37"/>
      <c r="D6165" s="20"/>
      <c r="E6165" s="25"/>
      <c r="F6165" s="37"/>
      <c r="G6165" s="37"/>
      <c r="H6165" s="37"/>
      <c r="I6165" s="37"/>
      <c r="J6165" s="37"/>
      <c r="K6165" s="22"/>
      <c r="L6165" s="56"/>
      <c r="P6165" s="40"/>
      <c r="Q6165" s="61"/>
      <c r="R6165" s="61"/>
      <c r="S6165" s="40"/>
      <c r="T6165" s="38"/>
      <c r="U6165" s="38"/>
      <c r="V6165" s="38"/>
      <c r="W6165" s="60"/>
      <c r="AB6165" s="42"/>
      <c r="AC6165" s="35"/>
      <c r="AD6165" s="38"/>
      <c r="AE6165" s="38"/>
      <c r="AF6165" s="38"/>
      <c r="AG6165" s="38"/>
      <c r="AH6165" s="60"/>
    </row>
    <row r="6166" spans="1:34" ht="15.75" customHeight="1">
      <c r="A6166" s="303"/>
      <c r="B6166" s="38"/>
      <c r="C6166" s="37"/>
      <c r="D6166" s="20"/>
      <c r="E6166" s="25"/>
      <c r="F6166" s="37"/>
      <c r="G6166" s="37"/>
      <c r="H6166" s="37"/>
      <c r="I6166" s="37"/>
      <c r="J6166" s="37"/>
      <c r="K6166" s="22"/>
      <c r="L6166" s="56"/>
      <c r="P6166" s="40"/>
      <c r="Q6166" s="61"/>
      <c r="R6166" s="61"/>
      <c r="S6166" s="40"/>
      <c r="T6166" s="38"/>
      <c r="U6166" s="38"/>
      <c r="V6166" s="38"/>
      <c r="W6166" s="60"/>
      <c r="AB6166" s="42"/>
      <c r="AC6166" s="35"/>
      <c r="AD6166" s="38"/>
      <c r="AE6166" s="38"/>
      <c r="AF6166" s="38"/>
      <c r="AG6166" s="38"/>
      <c r="AH6166" s="60"/>
    </row>
    <row r="6167" spans="1:34" ht="15.75" customHeight="1">
      <c r="A6167" s="303"/>
      <c r="B6167" s="38"/>
      <c r="C6167" s="37"/>
      <c r="D6167" s="20"/>
      <c r="E6167" s="25"/>
      <c r="F6167" s="37"/>
      <c r="G6167" s="37"/>
      <c r="H6167" s="37"/>
      <c r="I6167" s="37"/>
      <c r="J6167" s="37"/>
      <c r="K6167" s="22"/>
      <c r="L6167" s="56"/>
      <c r="P6167" s="40"/>
      <c r="Q6167" s="61"/>
      <c r="R6167" s="61"/>
      <c r="S6167" s="40"/>
      <c r="T6167" s="38"/>
      <c r="U6167" s="38"/>
      <c r="V6167" s="38"/>
      <c r="W6167" s="60"/>
      <c r="AB6167" s="42"/>
      <c r="AC6167" s="35"/>
      <c r="AD6167" s="38"/>
      <c r="AE6167" s="38"/>
      <c r="AF6167" s="38"/>
      <c r="AG6167" s="38"/>
      <c r="AH6167" s="60"/>
    </row>
    <row r="6168" spans="1:34" ht="15.75" customHeight="1">
      <c r="A6168" s="303"/>
      <c r="B6168" s="38"/>
      <c r="C6168" s="37"/>
      <c r="D6168" s="20"/>
      <c r="E6168" s="25"/>
      <c r="F6168" s="37"/>
      <c r="G6168" s="37"/>
      <c r="H6168" s="37"/>
      <c r="I6168" s="37"/>
      <c r="J6168" s="37"/>
      <c r="K6168" s="22"/>
      <c r="L6168" s="56"/>
      <c r="P6168" s="40"/>
      <c r="Q6168" s="61"/>
      <c r="R6168" s="61"/>
      <c r="S6168" s="40"/>
      <c r="T6168" s="38"/>
      <c r="U6168" s="38"/>
      <c r="V6168" s="38"/>
      <c r="W6168" s="60"/>
      <c r="AB6168" s="42"/>
      <c r="AC6168" s="35"/>
      <c r="AD6168" s="38"/>
      <c r="AE6168" s="38"/>
      <c r="AF6168" s="38"/>
      <c r="AG6168" s="38"/>
      <c r="AH6168" s="60"/>
    </row>
    <row r="6169" spans="1:34" ht="15.75" customHeight="1">
      <c r="A6169" s="303"/>
      <c r="B6169" s="38"/>
      <c r="C6169" s="37"/>
      <c r="D6169" s="20"/>
      <c r="E6169" s="25"/>
      <c r="F6169" s="37"/>
      <c r="G6169" s="37"/>
      <c r="H6169" s="37"/>
      <c r="I6169" s="37"/>
      <c r="J6169" s="37"/>
      <c r="K6169" s="22"/>
      <c r="L6169" s="56"/>
      <c r="P6169" s="40"/>
      <c r="Q6169" s="61"/>
      <c r="R6169" s="61"/>
      <c r="S6169" s="40"/>
      <c r="T6169" s="38"/>
      <c r="U6169" s="38"/>
      <c r="V6169" s="38"/>
      <c r="W6169" s="60"/>
      <c r="AB6169" s="42"/>
      <c r="AC6169" s="35"/>
      <c r="AD6169" s="38"/>
      <c r="AE6169" s="38"/>
      <c r="AF6169" s="38"/>
      <c r="AG6169" s="38"/>
      <c r="AH6169" s="60"/>
    </row>
    <row r="6170" spans="1:34" ht="15.75" customHeight="1">
      <c r="A6170" s="303"/>
      <c r="B6170" s="38"/>
      <c r="C6170" s="37"/>
      <c r="D6170" s="20"/>
      <c r="E6170" s="25"/>
      <c r="F6170" s="37"/>
      <c r="G6170" s="37"/>
      <c r="H6170" s="37"/>
      <c r="I6170" s="37"/>
      <c r="J6170" s="37"/>
      <c r="K6170" s="22"/>
      <c r="L6170" s="56"/>
      <c r="P6170" s="40"/>
      <c r="Q6170" s="61"/>
      <c r="R6170" s="61"/>
      <c r="S6170" s="40"/>
      <c r="T6170" s="38"/>
      <c r="U6170" s="38"/>
      <c r="V6170" s="38"/>
      <c r="W6170" s="60"/>
      <c r="AB6170" s="42"/>
      <c r="AC6170" s="35"/>
      <c r="AD6170" s="38"/>
      <c r="AE6170" s="38"/>
      <c r="AF6170" s="38"/>
      <c r="AG6170" s="38"/>
      <c r="AH6170" s="60"/>
    </row>
    <row r="6171" spans="1:34" ht="15.75" customHeight="1">
      <c r="A6171" s="303"/>
      <c r="B6171" s="38"/>
      <c r="C6171" s="37"/>
      <c r="D6171" s="20"/>
      <c r="E6171" s="25"/>
      <c r="F6171" s="37"/>
      <c r="G6171" s="37"/>
      <c r="H6171" s="37"/>
      <c r="I6171" s="37"/>
      <c r="J6171" s="37"/>
      <c r="K6171" s="22"/>
      <c r="L6171" s="56"/>
      <c r="P6171" s="40"/>
      <c r="Q6171" s="61"/>
      <c r="R6171" s="61"/>
      <c r="S6171" s="40"/>
      <c r="T6171" s="38"/>
      <c r="U6171" s="38"/>
      <c r="V6171" s="38"/>
      <c r="W6171" s="60"/>
      <c r="AB6171" s="42"/>
      <c r="AC6171" s="35"/>
      <c r="AD6171" s="38"/>
      <c r="AE6171" s="38"/>
      <c r="AF6171" s="38"/>
      <c r="AG6171" s="38"/>
      <c r="AH6171" s="60"/>
    </row>
    <row r="6172" spans="1:34" ht="15.75" customHeight="1">
      <c r="A6172" s="303"/>
      <c r="B6172" s="38"/>
      <c r="C6172" s="37"/>
      <c r="D6172" s="20"/>
      <c r="E6172" s="25"/>
      <c r="F6172" s="37"/>
      <c r="G6172" s="37"/>
      <c r="H6172" s="37"/>
      <c r="I6172" s="37"/>
      <c r="J6172" s="37"/>
      <c r="K6172" s="22"/>
      <c r="L6172" s="56"/>
      <c r="P6172" s="40"/>
      <c r="Q6172" s="61"/>
      <c r="R6172" s="61"/>
      <c r="S6172" s="40"/>
      <c r="T6172" s="38"/>
      <c r="U6172" s="38"/>
      <c r="V6172" s="38"/>
      <c r="W6172" s="60"/>
      <c r="AB6172" s="42"/>
      <c r="AC6172" s="35"/>
      <c r="AD6172" s="38"/>
      <c r="AE6172" s="38"/>
      <c r="AF6172" s="38"/>
      <c r="AG6172" s="38"/>
      <c r="AH6172" s="60"/>
    </row>
    <row r="6173" spans="1:34" ht="15.75" customHeight="1">
      <c r="A6173" s="303"/>
      <c r="B6173" s="38"/>
      <c r="C6173" s="37"/>
      <c r="D6173" s="20"/>
      <c r="E6173" s="25"/>
      <c r="F6173" s="37"/>
      <c r="G6173" s="37"/>
      <c r="H6173" s="37"/>
      <c r="I6173" s="37"/>
      <c r="J6173" s="37"/>
      <c r="K6173" s="22"/>
      <c r="L6173" s="56"/>
      <c r="P6173" s="40"/>
      <c r="Q6173" s="61"/>
      <c r="R6173" s="61"/>
      <c r="S6173" s="40"/>
      <c r="T6173" s="38"/>
      <c r="U6173" s="38"/>
      <c r="V6173" s="38"/>
      <c r="W6173" s="60"/>
      <c r="AB6173" s="42"/>
      <c r="AC6173" s="35"/>
      <c r="AD6173" s="38"/>
      <c r="AE6173" s="38"/>
      <c r="AF6173" s="38"/>
      <c r="AG6173" s="38"/>
      <c r="AH6173" s="60"/>
    </row>
    <row r="6174" spans="1:34" ht="15.75" customHeight="1">
      <c r="A6174" s="303"/>
      <c r="B6174" s="38"/>
      <c r="C6174" s="37"/>
      <c r="D6174" s="20"/>
      <c r="E6174" s="25"/>
      <c r="F6174" s="37"/>
      <c r="G6174" s="37"/>
      <c r="H6174" s="37"/>
      <c r="I6174" s="37"/>
      <c r="J6174" s="37"/>
      <c r="K6174" s="22"/>
      <c r="L6174" s="56"/>
      <c r="P6174" s="40"/>
      <c r="Q6174" s="61"/>
      <c r="R6174" s="61"/>
      <c r="S6174" s="40"/>
      <c r="T6174" s="38"/>
      <c r="U6174" s="38"/>
      <c r="V6174" s="38"/>
      <c r="W6174" s="60"/>
      <c r="AB6174" s="42"/>
      <c r="AC6174" s="35"/>
      <c r="AD6174" s="38"/>
      <c r="AE6174" s="38"/>
      <c r="AF6174" s="38"/>
      <c r="AG6174" s="38"/>
      <c r="AH6174" s="60"/>
    </row>
    <row r="6175" spans="1:34" ht="15.75" customHeight="1">
      <c r="A6175" s="303"/>
      <c r="B6175" s="38"/>
      <c r="C6175" s="37"/>
      <c r="D6175" s="20"/>
      <c r="E6175" s="25"/>
      <c r="F6175" s="37"/>
      <c r="G6175" s="37"/>
      <c r="H6175" s="37"/>
      <c r="I6175" s="37"/>
      <c r="J6175" s="37"/>
      <c r="K6175" s="22"/>
      <c r="L6175" s="56"/>
      <c r="P6175" s="40"/>
      <c r="Q6175" s="61"/>
      <c r="R6175" s="61"/>
      <c r="S6175" s="40"/>
      <c r="T6175" s="38"/>
      <c r="U6175" s="38"/>
      <c r="V6175" s="38"/>
      <c r="W6175" s="60"/>
      <c r="AB6175" s="42"/>
      <c r="AC6175" s="35"/>
      <c r="AD6175" s="38"/>
      <c r="AE6175" s="38"/>
      <c r="AF6175" s="38"/>
      <c r="AG6175" s="38"/>
      <c r="AH6175" s="60"/>
    </row>
    <row r="6176" spans="1:34" ht="15.75" customHeight="1">
      <c r="A6176" s="303"/>
      <c r="B6176" s="38"/>
      <c r="C6176" s="37"/>
      <c r="D6176" s="20"/>
      <c r="E6176" s="25"/>
      <c r="F6176" s="37"/>
      <c r="G6176" s="37"/>
      <c r="H6176" s="37"/>
      <c r="I6176" s="37"/>
      <c r="J6176" s="37"/>
      <c r="K6176" s="22"/>
      <c r="L6176" s="56"/>
      <c r="P6176" s="40"/>
      <c r="Q6176" s="61"/>
      <c r="R6176" s="61"/>
      <c r="S6176" s="40"/>
      <c r="T6176" s="38"/>
      <c r="U6176" s="38"/>
      <c r="V6176" s="38"/>
      <c r="W6176" s="60"/>
      <c r="AB6176" s="42"/>
      <c r="AC6176" s="35"/>
      <c r="AD6176" s="38"/>
      <c r="AE6176" s="38"/>
      <c r="AF6176" s="38"/>
      <c r="AG6176" s="38"/>
      <c r="AH6176" s="60"/>
    </row>
    <row r="6177" spans="1:34" ht="15.75" customHeight="1">
      <c r="A6177" s="303"/>
      <c r="B6177" s="38"/>
      <c r="C6177" s="37"/>
      <c r="D6177" s="20"/>
      <c r="E6177" s="25"/>
      <c r="F6177" s="37"/>
      <c r="G6177" s="37"/>
      <c r="H6177" s="37"/>
      <c r="I6177" s="37"/>
      <c r="J6177" s="37"/>
      <c r="K6177" s="22"/>
      <c r="L6177" s="56"/>
      <c r="P6177" s="40"/>
      <c r="Q6177" s="61"/>
      <c r="R6177" s="61"/>
      <c r="S6177" s="40"/>
      <c r="T6177" s="38"/>
      <c r="U6177" s="38"/>
      <c r="V6177" s="38"/>
      <c r="W6177" s="60"/>
      <c r="AB6177" s="42"/>
      <c r="AC6177" s="35"/>
      <c r="AD6177" s="38"/>
      <c r="AE6177" s="38"/>
      <c r="AF6177" s="38"/>
      <c r="AG6177" s="38"/>
      <c r="AH6177" s="60"/>
    </row>
    <row r="6178" spans="1:34" ht="15.75" customHeight="1">
      <c r="A6178" s="303"/>
      <c r="B6178" s="38"/>
      <c r="C6178" s="37"/>
      <c r="D6178" s="20"/>
      <c r="E6178" s="25"/>
      <c r="F6178" s="37"/>
      <c r="G6178" s="37"/>
      <c r="H6178" s="37"/>
      <c r="I6178" s="37"/>
      <c r="J6178" s="37"/>
      <c r="K6178" s="22"/>
      <c r="L6178" s="56"/>
      <c r="P6178" s="40"/>
      <c r="Q6178" s="61"/>
      <c r="R6178" s="61"/>
      <c r="S6178" s="40"/>
      <c r="T6178" s="38"/>
      <c r="U6178" s="38"/>
      <c r="V6178" s="38"/>
      <c r="W6178" s="60"/>
      <c r="AB6178" s="42"/>
      <c r="AC6178" s="35"/>
      <c r="AD6178" s="38"/>
      <c r="AE6178" s="38"/>
      <c r="AF6178" s="38"/>
      <c r="AG6178" s="38"/>
      <c r="AH6178" s="60"/>
    </row>
    <row r="6179" spans="1:34" ht="15.75" customHeight="1">
      <c r="A6179" s="303"/>
      <c r="B6179" s="38"/>
      <c r="C6179" s="37"/>
      <c r="D6179" s="20"/>
      <c r="E6179" s="25"/>
      <c r="F6179" s="37"/>
      <c r="G6179" s="37"/>
      <c r="H6179" s="37"/>
      <c r="I6179" s="37"/>
      <c r="J6179" s="37"/>
      <c r="K6179" s="22"/>
      <c r="L6179" s="56"/>
      <c r="P6179" s="40"/>
      <c r="Q6179" s="61"/>
      <c r="R6179" s="61"/>
      <c r="S6179" s="40"/>
      <c r="T6179" s="38"/>
      <c r="U6179" s="38"/>
      <c r="V6179" s="38"/>
      <c r="W6179" s="60"/>
      <c r="AB6179" s="42"/>
      <c r="AC6179" s="35"/>
      <c r="AD6179" s="38"/>
      <c r="AE6179" s="38"/>
      <c r="AF6179" s="38"/>
      <c r="AG6179" s="38"/>
      <c r="AH6179" s="60"/>
    </row>
    <row r="6180" spans="1:34" ht="15.75" customHeight="1">
      <c r="A6180" s="303"/>
      <c r="B6180" s="38"/>
      <c r="C6180" s="37"/>
      <c r="D6180" s="20"/>
      <c r="E6180" s="25"/>
      <c r="F6180" s="37"/>
      <c r="G6180" s="37"/>
      <c r="H6180" s="37"/>
      <c r="I6180" s="37"/>
      <c r="J6180" s="37"/>
      <c r="K6180" s="22"/>
      <c r="L6180" s="56"/>
      <c r="P6180" s="40"/>
      <c r="Q6180" s="61"/>
      <c r="R6180" s="61"/>
      <c r="S6180" s="40"/>
      <c r="T6180" s="38"/>
      <c r="U6180" s="38"/>
      <c r="V6180" s="38"/>
      <c r="W6180" s="60"/>
      <c r="AB6180" s="42"/>
      <c r="AC6180" s="35"/>
      <c r="AD6180" s="38"/>
      <c r="AE6180" s="38"/>
      <c r="AF6180" s="38"/>
      <c r="AG6180" s="38"/>
      <c r="AH6180" s="60"/>
    </row>
    <row r="6181" spans="1:34" ht="15.75" customHeight="1">
      <c r="A6181" s="303"/>
      <c r="B6181" s="38"/>
      <c r="C6181" s="37"/>
      <c r="D6181" s="20"/>
      <c r="E6181" s="25"/>
      <c r="F6181" s="37"/>
      <c r="G6181" s="37"/>
      <c r="H6181" s="37"/>
      <c r="I6181" s="37"/>
      <c r="J6181" s="37"/>
      <c r="K6181" s="22"/>
      <c r="L6181" s="56"/>
      <c r="P6181" s="40"/>
      <c r="Q6181" s="61"/>
      <c r="R6181" s="61"/>
      <c r="S6181" s="40"/>
      <c r="T6181" s="38"/>
      <c r="U6181" s="38"/>
      <c r="V6181" s="38"/>
      <c r="W6181" s="60"/>
      <c r="AB6181" s="42"/>
      <c r="AC6181" s="35"/>
      <c r="AD6181" s="38"/>
      <c r="AE6181" s="38"/>
      <c r="AF6181" s="38"/>
      <c r="AG6181" s="38"/>
      <c r="AH6181" s="60"/>
    </row>
    <row r="6182" spans="1:34" ht="15.75" customHeight="1">
      <c r="A6182" s="303"/>
      <c r="B6182" s="38"/>
      <c r="C6182" s="37"/>
      <c r="D6182" s="20"/>
      <c r="E6182" s="25"/>
      <c r="F6182" s="37"/>
      <c r="G6182" s="37"/>
      <c r="H6182" s="37"/>
      <c r="I6182" s="37"/>
      <c r="J6182" s="37"/>
      <c r="K6182" s="22"/>
      <c r="L6182" s="56"/>
      <c r="P6182" s="40"/>
      <c r="Q6182" s="61"/>
      <c r="R6182" s="61"/>
      <c r="S6182" s="40"/>
      <c r="T6182" s="38"/>
      <c r="U6182" s="38"/>
      <c r="V6182" s="38"/>
      <c r="W6182" s="60"/>
      <c r="AB6182" s="42"/>
      <c r="AC6182" s="35"/>
      <c r="AD6182" s="38"/>
      <c r="AE6182" s="38"/>
      <c r="AF6182" s="38"/>
      <c r="AG6182" s="38"/>
      <c r="AH6182" s="60"/>
    </row>
    <row r="6183" spans="1:34" ht="15.75" customHeight="1">
      <c r="A6183" s="303"/>
      <c r="B6183" s="38"/>
      <c r="C6183" s="37"/>
      <c r="D6183" s="20"/>
      <c r="E6183" s="25"/>
      <c r="F6183" s="37"/>
      <c r="G6183" s="37"/>
      <c r="H6183" s="37"/>
      <c r="I6183" s="37"/>
      <c r="J6183" s="37"/>
      <c r="K6183" s="22"/>
      <c r="L6183" s="56"/>
      <c r="P6183" s="40"/>
      <c r="Q6183" s="61"/>
      <c r="R6183" s="61"/>
      <c r="S6183" s="40"/>
      <c r="T6183" s="38"/>
      <c r="U6183" s="38"/>
      <c r="V6183" s="38"/>
      <c r="W6183" s="60"/>
      <c r="AB6183" s="42"/>
      <c r="AC6183" s="35"/>
      <c r="AD6183" s="38"/>
      <c r="AE6183" s="38"/>
      <c r="AF6183" s="38"/>
      <c r="AG6183" s="38"/>
      <c r="AH6183" s="60"/>
    </row>
    <row r="6184" spans="1:34" ht="15.75" customHeight="1">
      <c r="A6184" s="303"/>
      <c r="B6184" s="38"/>
      <c r="C6184" s="37"/>
      <c r="D6184" s="20"/>
      <c r="E6184" s="25"/>
      <c r="F6184" s="37"/>
      <c r="G6184" s="37"/>
      <c r="H6184" s="37"/>
      <c r="I6184" s="37"/>
      <c r="J6184" s="37"/>
      <c r="K6184" s="22"/>
      <c r="L6184" s="56"/>
      <c r="P6184" s="40"/>
      <c r="Q6184" s="61"/>
      <c r="R6184" s="61"/>
      <c r="S6184" s="40"/>
      <c r="T6184" s="38"/>
      <c r="U6184" s="38"/>
      <c r="V6184" s="38"/>
      <c r="W6184" s="60"/>
      <c r="AB6184" s="42"/>
      <c r="AC6184" s="35"/>
      <c r="AD6184" s="38"/>
      <c r="AE6184" s="38"/>
      <c r="AF6184" s="38"/>
      <c r="AG6184" s="38"/>
      <c r="AH6184" s="60"/>
    </row>
    <row r="6185" spans="1:34" ht="15.75" customHeight="1">
      <c r="A6185" s="303"/>
      <c r="B6185" s="38"/>
      <c r="C6185" s="37"/>
      <c r="D6185" s="20"/>
      <c r="E6185" s="25"/>
      <c r="F6185" s="37"/>
      <c r="G6185" s="37"/>
      <c r="H6185" s="37"/>
      <c r="I6185" s="37"/>
      <c r="J6185" s="37"/>
      <c r="K6185" s="22"/>
      <c r="L6185" s="56"/>
      <c r="P6185" s="40"/>
      <c r="Q6185" s="61"/>
      <c r="R6185" s="61"/>
      <c r="S6185" s="40"/>
      <c r="T6185" s="38"/>
      <c r="U6185" s="38"/>
      <c r="V6185" s="38"/>
      <c r="W6185" s="60"/>
      <c r="AB6185" s="42"/>
      <c r="AC6185" s="35"/>
      <c r="AD6185" s="38"/>
      <c r="AE6185" s="38"/>
      <c r="AF6185" s="38"/>
      <c r="AG6185" s="38"/>
      <c r="AH6185" s="60"/>
    </row>
    <row r="6186" spans="1:34" ht="15.75" customHeight="1">
      <c r="A6186" s="303"/>
      <c r="B6186" s="38"/>
      <c r="C6186" s="37"/>
      <c r="D6186" s="20"/>
      <c r="E6186" s="25"/>
      <c r="F6186" s="37"/>
      <c r="G6186" s="37"/>
      <c r="H6186" s="37"/>
      <c r="I6186" s="37"/>
      <c r="J6186" s="37"/>
      <c r="K6186" s="22"/>
      <c r="L6186" s="56"/>
      <c r="P6186" s="40"/>
      <c r="Q6186" s="61"/>
      <c r="R6186" s="61"/>
      <c r="S6186" s="40"/>
      <c r="T6186" s="38"/>
      <c r="U6186" s="38"/>
      <c r="V6186" s="38"/>
      <c r="W6186" s="60"/>
      <c r="AB6186" s="42"/>
      <c r="AC6186" s="35"/>
      <c r="AD6186" s="38"/>
      <c r="AE6186" s="38"/>
      <c r="AF6186" s="38"/>
      <c r="AG6186" s="38"/>
      <c r="AH6186" s="60"/>
    </row>
    <row r="6187" spans="1:34" ht="15.75" customHeight="1">
      <c r="A6187" s="303"/>
      <c r="B6187" s="38"/>
      <c r="C6187" s="37"/>
      <c r="D6187" s="20"/>
      <c r="E6187" s="25"/>
      <c r="F6187" s="37"/>
      <c r="G6187" s="37"/>
      <c r="H6187" s="37"/>
      <c r="I6187" s="37"/>
      <c r="J6187" s="37"/>
      <c r="K6187" s="22"/>
      <c r="L6187" s="56"/>
      <c r="P6187" s="40"/>
      <c r="Q6187" s="61"/>
      <c r="R6187" s="61"/>
      <c r="S6187" s="40"/>
      <c r="T6187" s="38"/>
      <c r="U6187" s="38"/>
      <c r="V6187" s="38"/>
      <c r="W6187" s="60"/>
      <c r="AB6187" s="42"/>
      <c r="AC6187" s="35"/>
      <c r="AD6187" s="38"/>
      <c r="AE6187" s="38"/>
      <c r="AF6187" s="38"/>
      <c r="AG6187" s="38"/>
      <c r="AH6187" s="60"/>
    </row>
    <row r="6188" spans="1:34" ht="15.75" customHeight="1">
      <c r="A6188" s="303"/>
      <c r="B6188" s="38"/>
      <c r="C6188" s="37"/>
      <c r="D6188" s="20"/>
      <c r="E6188" s="25"/>
      <c r="F6188" s="37"/>
      <c r="G6188" s="37"/>
      <c r="H6188" s="37"/>
      <c r="I6188" s="37"/>
      <c r="J6188" s="37"/>
      <c r="K6188" s="22"/>
      <c r="L6188" s="56"/>
      <c r="P6188" s="40"/>
      <c r="Q6188" s="61"/>
      <c r="R6188" s="61"/>
      <c r="S6188" s="40"/>
      <c r="T6188" s="38"/>
      <c r="U6188" s="38"/>
      <c r="V6188" s="38"/>
      <c r="W6188" s="60"/>
      <c r="AB6188" s="42"/>
      <c r="AC6188" s="35"/>
      <c r="AD6188" s="38"/>
      <c r="AE6188" s="38"/>
      <c r="AF6188" s="38"/>
      <c r="AG6188" s="38"/>
      <c r="AH6188" s="60"/>
    </row>
    <row r="6189" spans="1:34" ht="15.75" customHeight="1">
      <c r="A6189" s="303"/>
      <c r="B6189" s="38"/>
      <c r="C6189" s="37"/>
      <c r="D6189" s="20"/>
      <c r="E6189" s="25"/>
      <c r="F6189" s="37"/>
      <c r="G6189" s="37"/>
      <c r="H6189" s="37"/>
      <c r="I6189" s="37"/>
      <c r="J6189" s="37"/>
      <c r="K6189" s="22"/>
      <c r="L6189" s="56"/>
      <c r="P6189" s="40"/>
      <c r="Q6189" s="61"/>
      <c r="R6189" s="61"/>
      <c r="S6189" s="40"/>
      <c r="T6189" s="38"/>
      <c r="U6189" s="38"/>
      <c r="V6189" s="38"/>
      <c r="W6189" s="60"/>
      <c r="AB6189" s="42"/>
      <c r="AC6189" s="35"/>
      <c r="AD6189" s="38"/>
      <c r="AE6189" s="38"/>
      <c r="AF6189" s="38"/>
      <c r="AG6189" s="38"/>
      <c r="AH6189" s="60"/>
    </row>
    <row r="6190" spans="1:34" ht="15.75" customHeight="1">
      <c r="A6190" s="303"/>
      <c r="B6190" s="38"/>
      <c r="C6190" s="37"/>
      <c r="D6190" s="20"/>
      <c r="E6190" s="25"/>
      <c r="F6190" s="37"/>
      <c r="G6190" s="37"/>
      <c r="H6190" s="37"/>
      <c r="I6190" s="37"/>
      <c r="J6190" s="37"/>
      <c r="K6190" s="22"/>
      <c r="L6190" s="56"/>
      <c r="P6190" s="40"/>
      <c r="Q6190" s="61"/>
      <c r="R6190" s="61"/>
      <c r="S6190" s="40"/>
      <c r="T6190" s="38"/>
      <c r="U6190" s="38"/>
      <c r="V6190" s="38"/>
      <c r="W6190" s="60"/>
      <c r="AB6190" s="42"/>
      <c r="AC6190" s="35"/>
      <c r="AD6190" s="38"/>
      <c r="AE6190" s="38"/>
      <c r="AF6190" s="38"/>
      <c r="AG6190" s="38"/>
      <c r="AH6190" s="60"/>
    </row>
    <row r="6191" spans="1:34" ht="15.75" customHeight="1">
      <c r="A6191" s="303"/>
      <c r="B6191" s="38"/>
      <c r="C6191" s="37"/>
      <c r="D6191" s="20"/>
      <c r="E6191" s="25"/>
      <c r="F6191" s="37"/>
      <c r="G6191" s="37"/>
      <c r="H6191" s="37"/>
      <c r="I6191" s="37"/>
      <c r="J6191" s="37"/>
      <c r="K6191" s="22"/>
      <c r="L6191" s="56"/>
      <c r="P6191" s="40"/>
      <c r="Q6191" s="61"/>
      <c r="R6191" s="61"/>
      <c r="S6191" s="40"/>
      <c r="T6191" s="38"/>
      <c r="U6191" s="38"/>
      <c r="V6191" s="38"/>
      <c r="W6191" s="60"/>
      <c r="AB6191" s="42"/>
      <c r="AC6191" s="35"/>
      <c r="AD6191" s="38"/>
      <c r="AE6191" s="38"/>
      <c r="AF6191" s="38"/>
      <c r="AG6191" s="38"/>
      <c r="AH6191" s="60"/>
    </row>
    <row r="6192" spans="1:34" ht="15.75" customHeight="1">
      <c r="A6192" s="303"/>
      <c r="B6192" s="38"/>
      <c r="C6192" s="37"/>
      <c r="D6192" s="20"/>
      <c r="E6192" s="25"/>
      <c r="F6192" s="37"/>
      <c r="G6192" s="37"/>
      <c r="H6192" s="37"/>
      <c r="I6192" s="37"/>
      <c r="J6192" s="37"/>
      <c r="K6192" s="22"/>
      <c r="L6192" s="56"/>
      <c r="P6192" s="40"/>
      <c r="Q6192" s="61"/>
      <c r="R6192" s="61"/>
      <c r="S6192" s="40"/>
      <c r="T6192" s="38"/>
      <c r="U6192" s="38"/>
      <c r="V6192" s="38"/>
      <c r="W6192" s="60"/>
      <c r="AB6192" s="42"/>
      <c r="AC6192" s="35"/>
      <c r="AD6192" s="38"/>
      <c r="AE6192" s="38"/>
      <c r="AF6192" s="38"/>
      <c r="AG6192" s="38"/>
      <c r="AH6192" s="60"/>
    </row>
    <row r="6193" spans="1:34" ht="15.75" customHeight="1">
      <c r="A6193" s="303"/>
      <c r="B6193" s="38"/>
      <c r="C6193" s="37"/>
      <c r="D6193" s="20"/>
      <c r="E6193" s="25"/>
      <c r="F6193" s="37"/>
      <c r="G6193" s="37"/>
      <c r="H6193" s="37"/>
      <c r="I6193" s="37"/>
      <c r="J6193" s="37"/>
      <c r="K6193" s="22"/>
      <c r="L6193" s="56"/>
      <c r="P6193" s="40"/>
      <c r="Q6193" s="61"/>
      <c r="R6193" s="61"/>
      <c r="S6193" s="40"/>
      <c r="T6193" s="38"/>
      <c r="U6193" s="38"/>
      <c r="V6193" s="38"/>
      <c r="W6193" s="60"/>
      <c r="AB6193" s="42"/>
      <c r="AC6193" s="35"/>
      <c r="AD6193" s="38"/>
      <c r="AE6193" s="38"/>
      <c r="AF6193" s="38"/>
      <c r="AG6193" s="38"/>
      <c r="AH6193" s="60"/>
    </row>
    <row r="6194" spans="1:34" ht="15.75" customHeight="1">
      <c r="A6194" s="303"/>
      <c r="B6194" s="38"/>
      <c r="C6194" s="37"/>
      <c r="D6194" s="20"/>
      <c r="E6194" s="25"/>
      <c r="F6194" s="37"/>
      <c r="G6194" s="37"/>
      <c r="H6194" s="37"/>
      <c r="I6194" s="37"/>
      <c r="J6194" s="37"/>
      <c r="K6194" s="22"/>
      <c r="L6194" s="56"/>
      <c r="P6194" s="40"/>
      <c r="Q6194" s="61"/>
      <c r="R6194" s="61"/>
      <c r="S6194" s="40"/>
      <c r="T6194" s="38"/>
      <c r="U6194" s="38"/>
      <c r="V6194" s="38"/>
      <c r="W6194" s="60"/>
      <c r="AB6194" s="42"/>
      <c r="AC6194" s="35"/>
      <c r="AD6194" s="38"/>
      <c r="AE6194" s="38"/>
      <c r="AF6194" s="38"/>
      <c r="AG6194" s="38"/>
      <c r="AH6194" s="60"/>
    </row>
    <row r="6195" spans="1:34" ht="15.75" customHeight="1">
      <c r="A6195" s="303"/>
      <c r="B6195" s="38"/>
      <c r="C6195" s="37"/>
      <c r="D6195" s="20"/>
      <c r="E6195" s="25"/>
      <c r="F6195" s="37"/>
      <c r="G6195" s="37"/>
      <c r="H6195" s="37"/>
      <c r="I6195" s="37"/>
      <c r="J6195" s="37"/>
      <c r="K6195" s="22"/>
      <c r="L6195" s="56"/>
      <c r="P6195" s="40"/>
      <c r="Q6195" s="61"/>
      <c r="R6195" s="61"/>
      <c r="S6195" s="40"/>
      <c r="T6195" s="38"/>
      <c r="U6195" s="38"/>
      <c r="V6195" s="38"/>
      <c r="W6195" s="60"/>
      <c r="AB6195" s="42"/>
      <c r="AC6195" s="35"/>
      <c r="AD6195" s="38"/>
      <c r="AE6195" s="38"/>
      <c r="AF6195" s="38"/>
      <c r="AG6195" s="38"/>
      <c r="AH6195" s="60"/>
    </row>
    <row r="6196" spans="1:34" ht="15.75" customHeight="1">
      <c r="A6196" s="303"/>
      <c r="B6196" s="38"/>
      <c r="C6196" s="37"/>
      <c r="D6196" s="20"/>
      <c r="E6196" s="25"/>
      <c r="F6196" s="37"/>
      <c r="G6196" s="37"/>
      <c r="H6196" s="37"/>
      <c r="I6196" s="37"/>
      <c r="J6196" s="37"/>
      <c r="K6196" s="22"/>
      <c r="L6196" s="56"/>
      <c r="P6196" s="40"/>
      <c r="Q6196" s="61"/>
      <c r="R6196" s="61"/>
      <c r="S6196" s="40"/>
      <c r="T6196" s="38"/>
      <c r="U6196" s="38"/>
      <c r="V6196" s="38"/>
      <c r="W6196" s="60"/>
      <c r="AB6196" s="42"/>
      <c r="AC6196" s="35"/>
      <c r="AD6196" s="38"/>
      <c r="AE6196" s="38"/>
      <c r="AF6196" s="38"/>
      <c r="AG6196" s="38"/>
      <c r="AH6196" s="60"/>
    </row>
    <row r="6197" spans="1:34" ht="15.75" customHeight="1">
      <c r="A6197" s="303"/>
      <c r="B6197" s="38"/>
      <c r="C6197" s="37"/>
      <c r="D6197" s="20"/>
      <c r="E6197" s="25"/>
      <c r="F6197" s="37"/>
      <c r="G6197" s="37"/>
      <c r="H6197" s="37"/>
      <c r="I6197" s="37"/>
      <c r="J6197" s="37"/>
      <c r="K6197" s="22"/>
      <c r="L6197" s="56"/>
      <c r="P6197" s="40"/>
      <c r="Q6197" s="61"/>
      <c r="R6197" s="61"/>
      <c r="S6197" s="40"/>
      <c r="T6197" s="38"/>
      <c r="U6197" s="38"/>
      <c r="V6197" s="38"/>
      <c r="W6197" s="60"/>
      <c r="AB6197" s="42"/>
      <c r="AC6197" s="35"/>
      <c r="AD6197" s="38"/>
      <c r="AE6197" s="38"/>
      <c r="AF6197" s="38"/>
      <c r="AG6197" s="38"/>
      <c r="AH6197" s="60"/>
    </row>
    <row r="6198" spans="1:34" ht="15.75" customHeight="1">
      <c r="A6198" s="303"/>
      <c r="B6198" s="38"/>
      <c r="C6198" s="37"/>
      <c r="D6198" s="20"/>
      <c r="E6198" s="25"/>
      <c r="F6198" s="37"/>
      <c r="G6198" s="37"/>
      <c r="H6198" s="37"/>
      <c r="I6198" s="37"/>
      <c r="J6198" s="37"/>
      <c r="K6198" s="22"/>
      <c r="L6198" s="56"/>
      <c r="P6198" s="40"/>
      <c r="Q6198" s="61"/>
      <c r="R6198" s="61"/>
      <c r="S6198" s="40"/>
      <c r="T6198" s="38"/>
      <c r="U6198" s="38"/>
      <c r="V6198" s="38"/>
      <c r="W6198" s="60"/>
      <c r="AB6198" s="42"/>
      <c r="AC6198" s="35"/>
      <c r="AD6198" s="38"/>
      <c r="AE6198" s="38"/>
      <c r="AF6198" s="38"/>
      <c r="AG6198" s="38"/>
      <c r="AH6198" s="60"/>
    </row>
    <row r="6199" spans="1:34" ht="15.75" customHeight="1">
      <c r="A6199" s="303"/>
      <c r="B6199" s="38"/>
      <c r="C6199" s="37"/>
      <c r="D6199" s="20"/>
      <c r="E6199" s="25"/>
      <c r="F6199" s="37"/>
      <c r="G6199" s="37"/>
      <c r="H6199" s="37"/>
      <c r="I6199" s="37"/>
      <c r="J6199" s="37"/>
      <c r="K6199" s="22"/>
      <c r="L6199" s="56"/>
      <c r="P6199" s="40"/>
      <c r="Q6199" s="61"/>
      <c r="R6199" s="61"/>
      <c r="S6199" s="40"/>
      <c r="T6199" s="38"/>
      <c r="U6199" s="38"/>
      <c r="V6199" s="38"/>
      <c r="W6199" s="60"/>
      <c r="AB6199" s="42"/>
      <c r="AC6199" s="35"/>
      <c r="AD6199" s="38"/>
      <c r="AE6199" s="38"/>
      <c r="AF6199" s="38"/>
      <c r="AG6199" s="38"/>
      <c r="AH6199" s="60"/>
    </row>
    <row r="6200" spans="1:34" ht="15.75" customHeight="1">
      <c r="A6200" s="303"/>
      <c r="B6200" s="38"/>
      <c r="C6200" s="37"/>
      <c r="D6200" s="20"/>
      <c r="E6200" s="25"/>
      <c r="F6200" s="37"/>
      <c r="G6200" s="37"/>
      <c r="H6200" s="37"/>
      <c r="I6200" s="37"/>
      <c r="J6200" s="37"/>
      <c r="K6200" s="22"/>
      <c r="L6200" s="56"/>
      <c r="P6200" s="40"/>
      <c r="Q6200" s="61"/>
      <c r="R6200" s="61"/>
      <c r="S6200" s="40"/>
      <c r="T6200" s="38"/>
      <c r="U6200" s="38"/>
      <c r="V6200" s="38"/>
      <c r="W6200" s="60"/>
      <c r="AB6200" s="42"/>
      <c r="AC6200" s="35"/>
      <c r="AD6200" s="38"/>
      <c r="AE6200" s="38"/>
      <c r="AF6200" s="38"/>
      <c r="AG6200" s="38"/>
      <c r="AH6200" s="60"/>
    </row>
    <row r="6201" spans="1:34" ht="15.75" customHeight="1">
      <c r="A6201" s="303"/>
      <c r="B6201" s="38"/>
      <c r="C6201" s="37"/>
      <c r="D6201" s="20"/>
      <c r="E6201" s="25"/>
      <c r="F6201" s="37"/>
      <c r="G6201" s="37"/>
      <c r="H6201" s="37"/>
      <c r="I6201" s="37"/>
      <c r="J6201" s="37"/>
      <c r="K6201" s="22"/>
      <c r="L6201" s="56"/>
      <c r="P6201" s="40"/>
      <c r="Q6201" s="61"/>
      <c r="R6201" s="61"/>
      <c r="S6201" s="40"/>
      <c r="T6201" s="38"/>
      <c r="U6201" s="38"/>
      <c r="V6201" s="38"/>
      <c r="W6201" s="60"/>
      <c r="AB6201" s="42"/>
      <c r="AC6201" s="35"/>
      <c r="AD6201" s="38"/>
      <c r="AE6201" s="38"/>
      <c r="AF6201" s="38"/>
      <c r="AG6201" s="38"/>
      <c r="AH6201" s="60"/>
    </row>
    <row r="6202" spans="1:34" ht="15.75" customHeight="1">
      <c r="A6202" s="303"/>
      <c r="B6202" s="38"/>
      <c r="C6202" s="37"/>
      <c r="D6202" s="20"/>
      <c r="E6202" s="25"/>
      <c r="F6202" s="37"/>
      <c r="G6202" s="37"/>
      <c r="H6202" s="37"/>
      <c r="I6202" s="37"/>
      <c r="J6202" s="37"/>
      <c r="K6202" s="22"/>
      <c r="L6202" s="56"/>
      <c r="P6202" s="40"/>
      <c r="Q6202" s="61"/>
      <c r="R6202" s="61"/>
      <c r="S6202" s="40"/>
      <c r="T6202" s="38"/>
      <c r="U6202" s="38"/>
      <c r="V6202" s="38"/>
      <c r="W6202" s="60"/>
      <c r="AB6202" s="42"/>
      <c r="AC6202" s="35"/>
      <c r="AD6202" s="38"/>
      <c r="AE6202" s="38"/>
      <c r="AF6202" s="38"/>
      <c r="AG6202" s="38"/>
      <c r="AH6202" s="60"/>
    </row>
    <row r="6203" spans="1:34" ht="15.75" customHeight="1">
      <c r="A6203" s="303"/>
      <c r="B6203" s="38"/>
      <c r="C6203" s="37"/>
      <c r="D6203" s="20"/>
      <c r="E6203" s="25"/>
      <c r="F6203" s="37"/>
      <c r="G6203" s="37"/>
      <c r="H6203" s="37"/>
      <c r="I6203" s="37"/>
      <c r="J6203" s="37"/>
      <c r="K6203" s="22"/>
      <c r="L6203" s="56"/>
      <c r="P6203" s="40"/>
      <c r="Q6203" s="61"/>
      <c r="R6203" s="61"/>
      <c r="S6203" s="40"/>
      <c r="T6203" s="38"/>
      <c r="U6203" s="38"/>
      <c r="V6203" s="38"/>
      <c r="W6203" s="60"/>
      <c r="AB6203" s="42"/>
      <c r="AC6203" s="35"/>
      <c r="AD6203" s="38"/>
      <c r="AE6203" s="38"/>
      <c r="AF6203" s="38"/>
      <c r="AG6203" s="38"/>
      <c r="AH6203" s="60"/>
    </row>
    <row r="6204" spans="1:34" ht="15.75" customHeight="1">
      <c r="A6204" s="303"/>
      <c r="B6204" s="38"/>
      <c r="C6204" s="37"/>
      <c r="D6204" s="20"/>
      <c r="E6204" s="25"/>
      <c r="F6204" s="37"/>
      <c r="G6204" s="37"/>
      <c r="H6204" s="37"/>
      <c r="I6204" s="37"/>
      <c r="J6204" s="37"/>
      <c r="K6204" s="22"/>
      <c r="L6204" s="56"/>
      <c r="P6204" s="40"/>
      <c r="Q6204" s="61"/>
      <c r="R6204" s="61"/>
      <c r="S6204" s="40"/>
      <c r="T6204" s="38"/>
      <c r="U6204" s="38"/>
      <c r="V6204" s="38"/>
      <c r="W6204" s="60"/>
      <c r="AB6204" s="42"/>
      <c r="AC6204" s="35"/>
      <c r="AD6204" s="38"/>
      <c r="AE6204" s="38"/>
      <c r="AF6204" s="38"/>
      <c r="AG6204" s="38"/>
      <c r="AH6204" s="60"/>
    </row>
    <row r="6205" spans="1:34" ht="15.75" customHeight="1">
      <c r="A6205" s="303"/>
      <c r="B6205" s="38"/>
      <c r="C6205" s="37"/>
      <c r="D6205" s="20"/>
      <c r="E6205" s="25"/>
      <c r="F6205" s="37"/>
      <c r="G6205" s="37"/>
      <c r="H6205" s="37"/>
      <c r="I6205" s="37"/>
      <c r="J6205" s="37"/>
      <c r="K6205" s="22"/>
      <c r="L6205" s="56"/>
      <c r="P6205" s="40"/>
      <c r="Q6205" s="61"/>
      <c r="R6205" s="61"/>
      <c r="S6205" s="40"/>
      <c r="T6205" s="38"/>
      <c r="U6205" s="38"/>
      <c r="V6205" s="38"/>
      <c r="W6205" s="60"/>
      <c r="AB6205" s="42"/>
      <c r="AC6205" s="35"/>
      <c r="AD6205" s="38"/>
      <c r="AE6205" s="38"/>
      <c r="AF6205" s="38"/>
      <c r="AG6205" s="38"/>
      <c r="AH6205" s="60"/>
    </row>
    <row r="6206" spans="1:34" ht="15.75" customHeight="1">
      <c r="A6206" s="303"/>
      <c r="B6206" s="38"/>
      <c r="C6206" s="37"/>
      <c r="D6206" s="20"/>
      <c r="E6206" s="25"/>
      <c r="F6206" s="37"/>
      <c r="G6206" s="37"/>
      <c r="H6206" s="37"/>
      <c r="I6206" s="37"/>
      <c r="J6206" s="37"/>
      <c r="K6206" s="22"/>
      <c r="L6206" s="56"/>
      <c r="P6206" s="40"/>
      <c r="Q6206" s="61"/>
      <c r="R6206" s="61"/>
      <c r="S6206" s="40"/>
      <c r="T6206" s="38"/>
      <c r="U6206" s="38"/>
      <c r="V6206" s="38"/>
      <c r="W6206" s="60"/>
      <c r="AB6206" s="42"/>
      <c r="AC6206" s="35"/>
      <c r="AD6206" s="38"/>
      <c r="AE6206" s="38"/>
      <c r="AF6206" s="38"/>
      <c r="AG6206" s="38"/>
      <c r="AH6206" s="60"/>
    </row>
    <row r="6207" spans="1:34" ht="15.75" customHeight="1">
      <c r="A6207" s="303"/>
      <c r="B6207" s="38"/>
      <c r="C6207" s="37"/>
      <c r="D6207" s="20"/>
      <c r="E6207" s="25"/>
      <c r="F6207" s="37"/>
      <c r="G6207" s="37"/>
      <c r="H6207" s="37"/>
      <c r="I6207" s="37"/>
      <c r="J6207" s="37"/>
      <c r="K6207" s="22"/>
      <c r="L6207" s="56"/>
      <c r="P6207" s="40"/>
      <c r="Q6207" s="61"/>
      <c r="R6207" s="61"/>
      <c r="S6207" s="40"/>
      <c r="T6207" s="38"/>
      <c r="U6207" s="38"/>
      <c r="V6207" s="38"/>
      <c r="W6207" s="60"/>
      <c r="AB6207" s="42"/>
      <c r="AC6207" s="35"/>
      <c r="AD6207" s="38"/>
      <c r="AE6207" s="38"/>
      <c r="AF6207" s="38"/>
      <c r="AG6207" s="38"/>
      <c r="AH6207" s="60"/>
    </row>
    <row r="6208" spans="1:34" ht="15.75" customHeight="1">
      <c r="A6208" s="303"/>
      <c r="B6208" s="38"/>
      <c r="C6208" s="37"/>
      <c r="D6208" s="20"/>
      <c r="E6208" s="25"/>
      <c r="F6208" s="37"/>
      <c r="G6208" s="37"/>
      <c r="H6208" s="37"/>
      <c r="I6208" s="37"/>
      <c r="J6208" s="37"/>
      <c r="K6208" s="22"/>
      <c r="L6208" s="56"/>
      <c r="P6208" s="40"/>
      <c r="Q6208" s="61"/>
      <c r="R6208" s="61"/>
      <c r="S6208" s="40"/>
      <c r="T6208" s="38"/>
      <c r="U6208" s="38"/>
      <c r="V6208" s="38"/>
      <c r="W6208" s="60"/>
      <c r="AB6208" s="42"/>
      <c r="AC6208" s="35"/>
      <c r="AD6208" s="38"/>
      <c r="AE6208" s="38"/>
      <c r="AF6208" s="38"/>
      <c r="AG6208" s="38"/>
      <c r="AH6208" s="60"/>
    </row>
    <row r="6209" spans="1:34" ht="15.75" customHeight="1">
      <c r="A6209" s="303"/>
      <c r="B6209" s="38"/>
      <c r="C6209" s="37"/>
      <c r="D6209" s="20"/>
      <c r="E6209" s="25"/>
      <c r="F6209" s="37"/>
      <c r="G6209" s="37"/>
      <c r="H6209" s="37"/>
      <c r="I6209" s="37"/>
      <c r="J6209" s="37"/>
      <c r="K6209" s="22"/>
      <c r="L6209" s="56"/>
      <c r="P6209" s="40"/>
      <c r="Q6209" s="61"/>
      <c r="R6209" s="61"/>
      <c r="S6209" s="40"/>
      <c r="T6209" s="38"/>
      <c r="U6209" s="38"/>
      <c r="V6209" s="38"/>
      <c r="W6209" s="60"/>
      <c r="AB6209" s="42"/>
      <c r="AC6209" s="35"/>
      <c r="AD6209" s="38"/>
      <c r="AE6209" s="38"/>
      <c r="AF6209" s="38"/>
      <c r="AG6209" s="38"/>
      <c r="AH6209" s="60"/>
    </row>
    <row r="6210" spans="1:34" ht="15.75" customHeight="1">
      <c r="A6210" s="303"/>
      <c r="B6210" s="38"/>
      <c r="C6210" s="37"/>
      <c r="D6210" s="20"/>
      <c r="E6210" s="25"/>
      <c r="F6210" s="37"/>
      <c r="G6210" s="37"/>
      <c r="H6210" s="37"/>
      <c r="I6210" s="37"/>
      <c r="J6210" s="37"/>
      <c r="K6210" s="22"/>
      <c r="L6210" s="56"/>
      <c r="P6210" s="40"/>
      <c r="Q6210" s="61"/>
      <c r="R6210" s="61"/>
      <c r="S6210" s="40"/>
      <c r="T6210" s="38"/>
      <c r="U6210" s="38"/>
      <c r="V6210" s="38"/>
      <c r="W6210" s="60"/>
      <c r="AB6210" s="42"/>
      <c r="AC6210" s="35"/>
      <c r="AD6210" s="38"/>
      <c r="AE6210" s="38"/>
      <c r="AF6210" s="38"/>
      <c r="AG6210" s="38"/>
      <c r="AH6210" s="60"/>
    </row>
    <row r="6211" spans="1:34" ht="15.75" customHeight="1">
      <c r="A6211" s="303"/>
      <c r="B6211" s="38"/>
      <c r="C6211" s="37"/>
      <c r="D6211" s="20"/>
      <c r="E6211" s="25"/>
      <c r="F6211" s="37"/>
      <c r="G6211" s="37"/>
      <c r="H6211" s="37"/>
      <c r="I6211" s="37"/>
      <c r="J6211" s="37"/>
      <c r="K6211" s="22"/>
      <c r="L6211" s="56"/>
      <c r="P6211" s="40"/>
      <c r="Q6211" s="61"/>
      <c r="R6211" s="61"/>
      <c r="S6211" s="40"/>
      <c r="T6211" s="38"/>
      <c r="U6211" s="38"/>
      <c r="V6211" s="38"/>
      <c r="W6211" s="60"/>
      <c r="AB6211" s="42"/>
      <c r="AC6211" s="35"/>
      <c r="AD6211" s="38"/>
      <c r="AE6211" s="38"/>
      <c r="AF6211" s="38"/>
      <c r="AG6211" s="38"/>
      <c r="AH6211" s="60"/>
    </row>
    <row r="6212" spans="1:34" ht="15.75" customHeight="1">
      <c r="A6212" s="303"/>
      <c r="B6212" s="38"/>
      <c r="C6212" s="37"/>
      <c r="D6212" s="20"/>
      <c r="E6212" s="25"/>
      <c r="F6212" s="37"/>
      <c r="G6212" s="37"/>
      <c r="H6212" s="37"/>
      <c r="I6212" s="37"/>
      <c r="J6212" s="37"/>
      <c r="K6212" s="22"/>
      <c r="L6212" s="56"/>
      <c r="P6212" s="40"/>
      <c r="Q6212" s="61"/>
      <c r="R6212" s="61"/>
      <c r="S6212" s="40"/>
      <c r="T6212" s="38"/>
      <c r="U6212" s="38"/>
      <c r="V6212" s="38"/>
      <c r="W6212" s="60"/>
      <c r="AB6212" s="42"/>
      <c r="AC6212" s="35"/>
      <c r="AD6212" s="38"/>
      <c r="AE6212" s="38"/>
      <c r="AF6212" s="38"/>
      <c r="AG6212" s="38"/>
      <c r="AH6212" s="60"/>
    </row>
    <row r="6213" spans="1:34" ht="15.75" customHeight="1">
      <c r="A6213" s="303"/>
      <c r="B6213" s="38"/>
      <c r="C6213" s="37"/>
      <c r="D6213" s="20"/>
      <c r="E6213" s="25"/>
      <c r="F6213" s="37"/>
      <c r="G6213" s="37"/>
      <c r="H6213" s="37"/>
      <c r="I6213" s="37"/>
      <c r="J6213" s="37"/>
      <c r="K6213" s="22"/>
      <c r="L6213" s="56"/>
      <c r="P6213" s="40"/>
      <c r="Q6213" s="61"/>
      <c r="R6213" s="61"/>
      <c r="S6213" s="40"/>
      <c r="T6213" s="38"/>
      <c r="U6213" s="38"/>
      <c r="V6213" s="38"/>
      <c r="W6213" s="60"/>
      <c r="AB6213" s="42"/>
      <c r="AC6213" s="35"/>
      <c r="AD6213" s="38"/>
      <c r="AE6213" s="38"/>
      <c r="AF6213" s="38"/>
      <c r="AG6213" s="38"/>
      <c r="AH6213" s="60"/>
    </row>
    <row r="6214" spans="1:34" ht="15.75" customHeight="1">
      <c r="A6214" s="303"/>
      <c r="B6214" s="38"/>
      <c r="C6214" s="37"/>
      <c r="D6214" s="20"/>
      <c r="E6214" s="25"/>
      <c r="F6214" s="37"/>
      <c r="G6214" s="37"/>
      <c r="H6214" s="37"/>
      <c r="I6214" s="37"/>
      <c r="J6214" s="37"/>
      <c r="K6214" s="22"/>
      <c r="L6214" s="56"/>
      <c r="P6214" s="40"/>
      <c r="Q6214" s="61"/>
      <c r="R6214" s="61"/>
      <c r="S6214" s="40"/>
      <c r="T6214" s="38"/>
      <c r="U6214" s="38"/>
      <c r="V6214" s="38"/>
      <c r="W6214" s="60"/>
      <c r="AB6214" s="42"/>
      <c r="AC6214" s="35"/>
      <c r="AD6214" s="38"/>
      <c r="AE6214" s="38"/>
      <c r="AF6214" s="38"/>
      <c r="AG6214" s="38"/>
      <c r="AH6214" s="60"/>
    </row>
    <row r="6215" spans="1:34" ht="15.75" customHeight="1">
      <c r="A6215" s="303"/>
      <c r="B6215" s="38"/>
      <c r="C6215" s="37"/>
      <c r="D6215" s="20"/>
      <c r="E6215" s="25"/>
      <c r="F6215" s="37"/>
      <c r="G6215" s="37"/>
      <c r="H6215" s="37"/>
      <c r="I6215" s="37"/>
      <c r="J6215" s="37"/>
      <c r="K6215" s="22"/>
      <c r="L6215" s="56"/>
      <c r="P6215" s="40"/>
      <c r="Q6215" s="61"/>
      <c r="R6215" s="61"/>
      <c r="S6215" s="40"/>
      <c r="T6215" s="38"/>
      <c r="U6215" s="38"/>
      <c r="V6215" s="38"/>
      <c r="W6215" s="60"/>
      <c r="AB6215" s="42"/>
      <c r="AC6215" s="35"/>
      <c r="AD6215" s="38"/>
      <c r="AE6215" s="38"/>
      <c r="AF6215" s="38"/>
      <c r="AG6215" s="38"/>
      <c r="AH6215" s="60"/>
    </row>
    <row r="6216" spans="1:34" ht="15.75" customHeight="1">
      <c r="A6216" s="303"/>
      <c r="B6216" s="38"/>
      <c r="C6216" s="37"/>
      <c r="D6216" s="20"/>
      <c r="E6216" s="25"/>
      <c r="F6216" s="37"/>
      <c r="G6216" s="37"/>
      <c r="H6216" s="37"/>
      <c r="I6216" s="37"/>
      <c r="J6216" s="37"/>
      <c r="K6216" s="22"/>
      <c r="L6216" s="56"/>
      <c r="P6216" s="40"/>
      <c r="Q6216" s="61"/>
      <c r="R6216" s="61"/>
      <c r="S6216" s="40"/>
      <c r="T6216" s="38"/>
      <c r="U6216" s="38"/>
      <c r="V6216" s="38"/>
      <c r="W6216" s="60"/>
      <c r="AB6216" s="42"/>
      <c r="AC6216" s="35"/>
      <c r="AD6216" s="38"/>
      <c r="AE6216" s="38"/>
      <c r="AF6216" s="38"/>
      <c r="AG6216" s="38"/>
      <c r="AH6216" s="60"/>
    </row>
    <row r="6217" spans="1:34" ht="15.75" customHeight="1">
      <c r="A6217" s="303"/>
      <c r="B6217" s="38"/>
      <c r="C6217" s="37"/>
      <c r="D6217" s="20"/>
      <c r="E6217" s="25"/>
      <c r="F6217" s="37"/>
      <c r="G6217" s="37"/>
      <c r="H6217" s="37"/>
      <c r="I6217" s="37"/>
      <c r="J6217" s="37"/>
      <c r="K6217" s="22"/>
      <c r="L6217" s="56"/>
      <c r="P6217" s="40"/>
      <c r="Q6217" s="61"/>
      <c r="R6217" s="61"/>
      <c r="S6217" s="40"/>
      <c r="T6217" s="38"/>
      <c r="U6217" s="38"/>
      <c r="V6217" s="38"/>
      <c r="W6217" s="60"/>
      <c r="AB6217" s="42"/>
      <c r="AC6217" s="35"/>
      <c r="AD6217" s="38"/>
      <c r="AE6217" s="38"/>
      <c r="AF6217" s="38"/>
      <c r="AG6217" s="38"/>
      <c r="AH6217" s="60"/>
    </row>
    <row r="6218" spans="1:34" ht="15.75" customHeight="1">
      <c r="A6218" s="303"/>
      <c r="B6218" s="38"/>
      <c r="C6218" s="37"/>
      <c r="D6218" s="20"/>
      <c r="E6218" s="25"/>
      <c r="F6218" s="37"/>
      <c r="G6218" s="37"/>
      <c r="H6218" s="37"/>
      <c r="I6218" s="37"/>
      <c r="J6218" s="37"/>
      <c r="K6218" s="22"/>
      <c r="L6218" s="56"/>
      <c r="P6218" s="40"/>
      <c r="Q6218" s="61"/>
      <c r="R6218" s="61"/>
      <c r="S6218" s="40"/>
      <c r="T6218" s="38"/>
      <c r="U6218" s="38"/>
      <c r="V6218" s="38"/>
      <c r="W6218" s="60"/>
      <c r="AB6218" s="42"/>
      <c r="AC6218" s="35"/>
      <c r="AD6218" s="38"/>
      <c r="AE6218" s="38"/>
      <c r="AF6218" s="38"/>
      <c r="AG6218" s="38"/>
      <c r="AH6218" s="60"/>
    </row>
    <row r="6219" spans="1:34" ht="15.75" customHeight="1">
      <c r="A6219" s="303"/>
      <c r="B6219" s="38"/>
      <c r="C6219" s="37"/>
      <c r="D6219" s="20"/>
      <c r="E6219" s="25"/>
      <c r="F6219" s="37"/>
      <c r="G6219" s="37"/>
      <c r="H6219" s="37"/>
      <c r="I6219" s="37"/>
      <c r="J6219" s="37"/>
      <c r="K6219" s="22"/>
      <c r="L6219" s="56"/>
      <c r="P6219" s="40"/>
      <c r="Q6219" s="61"/>
      <c r="R6219" s="61"/>
      <c r="S6219" s="40"/>
      <c r="T6219" s="38"/>
      <c r="U6219" s="38"/>
      <c r="V6219" s="38"/>
      <c r="W6219" s="60"/>
      <c r="AB6219" s="42"/>
      <c r="AC6219" s="35"/>
      <c r="AD6219" s="38"/>
      <c r="AE6219" s="38"/>
      <c r="AF6219" s="38"/>
      <c r="AG6219" s="38"/>
      <c r="AH6219" s="60"/>
    </row>
    <row r="6220" spans="1:34" ht="15.75" customHeight="1">
      <c r="A6220" s="303"/>
      <c r="B6220" s="38"/>
      <c r="C6220" s="37"/>
      <c r="D6220" s="20"/>
      <c r="E6220" s="25"/>
      <c r="F6220" s="37"/>
      <c r="G6220" s="37"/>
      <c r="H6220" s="37"/>
      <c r="I6220" s="37"/>
      <c r="J6220" s="37"/>
      <c r="K6220" s="22"/>
      <c r="L6220" s="56"/>
      <c r="P6220" s="40"/>
      <c r="Q6220" s="61"/>
      <c r="R6220" s="61"/>
      <c r="S6220" s="40"/>
      <c r="T6220" s="38"/>
      <c r="U6220" s="38"/>
      <c r="V6220" s="38"/>
      <c r="W6220" s="60"/>
      <c r="AB6220" s="42"/>
      <c r="AC6220" s="35"/>
      <c r="AD6220" s="38"/>
      <c r="AE6220" s="38"/>
      <c r="AF6220" s="38"/>
      <c r="AG6220" s="38"/>
      <c r="AH6220" s="60"/>
    </row>
    <row r="6221" spans="1:34" ht="15.75" customHeight="1">
      <c r="A6221" s="303"/>
      <c r="B6221" s="38"/>
      <c r="C6221" s="37"/>
      <c r="D6221" s="20"/>
      <c r="E6221" s="25"/>
      <c r="F6221" s="37"/>
      <c r="G6221" s="37"/>
      <c r="H6221" s="37"/>
      <c r="I6221" s="37"/>
      <c r="J6221" s="37"/>
      <c r="K6221" s="22"/>
      <c r="L6221" s="56"/>
      <c r="P6221" s="40"/>
      <c r="Q6221" s="61"/>
      <c r="R6221" s="61"/>
      <c r="S6221" s="40"/>
      <c r="T6221" s="38"/>
      <c r="U6221" s="38"/>
      <c r="V6221" s="38"/>
      <c r="W6221" s="60"/>
      <c r="AB6221" s="42"/>
      <c r="AC6221" s="35"/>
      <c r="AD6221" s="38"/>
      <c r="AE6221" s="38"/>
      <c r="AF6221" s="38"/>
      <c r="AG6221" s="38"/>
      <c r="AH6221" s="60"/>
    </row>
    <row r="6222" spans="1:34" ht="15.75" customHeight="1">
      <c r="A6222" s="303"/>
      <c r="B6222" s="38"/>
      <c r="C6222" s="37"/>
      <c r="D6222" s="20"/>
      <c r="E6222" s="25"/>
      <c r="F6222" s="37"/>
      <c r="G6222" s="37"/>
      <c r="H6222" s="37"/>
      <c r="I6222" s="37"/>
      <c r="J6222" s="37"/>
      <c r="K6222" s="22"/>
      <c r="L6222" s="56"/>
      <c r="P6222" s="40"/>
      <c r="Q6222" s="61"/>
      <c r="R6222" s="61"/>
      <c r="S6222" s="40"/>
      <c r="T6222" s="38"/>
      <c r="U6222" s="38"/>
      <c r="V6222" s="38"/>
      <c r="W6222" s="60"/>
      <c r="AB6222" s="42"/>
      <c r="AC6222" s="35"/>
      <c r="AD6222" s="38"/>
      <c r="AE6222" s="38"/>
      <c r="AF6222" s="38"/>
      <c r="AG6222" s="38"/>
      <c r="AH6222" s="60"/>
    </row>
    <row r="6223" spans="1:34" ht="15.75" customHeight="1">
      <c r="A6223" s="303"/>
      <c r="B6223" s="38"/>
      <c r="C6223" s="37"/>
      <c r="D6223" s="20"/>
      <c r="E6223" s="25"/>
      <c r="F6223" s="37"/>
      <c r="G6223" s="37"/>
      <c r="H6223" s="37"/>
      <c r="I6223" s="37"/>
      <c r="J6223" s="37"/>
      <c r="K6223" s="22"/>
      <c r="L6223" s="56"/>
      <c r="P6223" s="40"/>
      <c r="Q6223" s="61"/>
      <c r="R6223" s="61"/>
      <c r="S6223" s="40"/>
      <c r="T6223" s="38"/>
      <c r="U6223" s="38"/>
      <c r="V6223" s="38"/>
      <c r="W6223" s="60"/>
      <c r="AB6223" s="42"/>
      <c r="AC6223" s="35"/>
      <c r="AD6223" s="38"/>
      <c r="AE6223" s="38"/>
      <c r="AF6223" s="38"/>
      <c r="AG6223" s="38"/>
      <c r="AH6223" s="60"/>
    </row>
    <row r="6224" spans="1:34" ht="15.75" customHeight="1">
      <c r="A6224" s="303"/>
      <c r="B6224" s="38"/>
      <c r="C6224" s="37"/>
      <c r="D6224" s="20"/>
      <c r="E6224" s="25"/>
      <c r="F6224" s="37"/>
      <c r="G6224" s="37"/>
      <c r="H6224" s="37"/>
      <c r="I6224" s="37"/>
      <c r="J6224" s="37"/>
      <c r="K6224" s="22"/>
      <c r="L6224" s="56"/>
      <c r="P6224" s="40"/>
      <c r="Q6224" s="61"/>
      <c r="R6224" s="61"/>
      <c r="S6224" s="40"/>
      <c r="T6224" s="38"/>
      <c r="U6224" s="38"/>
      <c r="V6224" s="38"/>
      <c r="W6224" s="60"/>
      <c r="AB6224" s="42"/>
      <c r="AC6224" s="35"/>
      <c r="AD6224" s="38"/>
      <c r="AE6224" s="38"/>
      <c r="AF6224" s="38"/>
      <c r="AG6224" s="38"/>
      <c r="AH6224" s="60"/>
    </row>
    <row r="6225" spans="1:34" ht="15.75" customHeight="1">
      <c r="A6225" s="303"/>
      <c r="B6225" s="38"/>
      <c r="C6225" s="37"/>
      <c r="D6225" s="20"/>
      <c r="E6225" s="25"/>
      <c r="F6225" s="37"/>
      <c r="G6225" s="37"/>
      <c r="H6225" s="37"/>
      <c r="I6225" s="37"/>
      <c r="J6225" s="37"/>
      <c r="K6225" s="22"/>
      <c r="L6225" s="56"/>
      <c r="P6225" s="40"/>
      <c r="Q6225" s="61"/>
      <c r="R6225" s="61"/>
      <c r="S6225" s="40"/>
      <c r="T6225" s="38"/>
      <c r="U6225" s="38"/>
      <c r="V6225" s="38"/>
      <c r="W6225" s="60"/>
      <c r="AB6225" s="42"/>
      <c r="AC6225" s="35"/>
      <c r="AD6225" s="38"/>
      <c r="AE6225" s="38"/>
      <c r="AF6225" s="38"/>
      <c r="AG6225" s="38"/>
      <c r="AH6225" s="60"/>
    </row>
    <row r="6226" spans="1:34" ht="15.75" customHeight="1">
      <c r="A6226" s="303"/>
      <c r="B6226" s="38"/>
      <c r="C6226" s="37"/>
      <c r="D6226" s="20"/>
      <c r="E6226" s="25"/>
      <c r="F6226" s="37"/>
      <c r="G6226" s="37"/>
      <c r="H6226" s="37"/>
      <c r="I6226" s="37"/>
      <c r="J6226" s="37"/>
      <c r="K6226" s="22"/>
      <c r="L6226" s="56"/>
      <c r="P6226" s="40"/>
      <c r="Q6226" s="61"/>
      <c r="R6226" s="61"/>
      <c r="S6226" s="40"/>
      <c r="T6226" s="38"/>
      <c r="U6226" s="38"/>
      <c r="V6226" s="38"/>
      <c r="W6226" s="60"/>
      <c r="AB6226" s="42"/>
      <c r="AC6226" s="35"/>
      <c r="AD6226" s="38"/>
      <c r="AE6226" s="38"/>
      <c r="AF6226" s="38"/>
      <c r="AG6226" s="38"/>
      <c r="AH6226" s="60"/>
    </row>
    <row r="6227" spans="1:34" ht="15.75" customHeight="1">
      <c r="A6227" s="303"/>
      <c r="B6227" s="38"/>
      <c r="C6227" s="37"/>
      <c r="D6227" s="20"/>
      <c r="E6227" s="25"/>
      <c r="F6227" s="37"/>
      <c r="G6227" s="37"/>
      <c r="H6227" s="37"/>
      <c r="I6227" s="37"/>
      <c r="J6227" s="37"/>
      <c r="K6227" s="22"/>
      <c r="L6227" s="56"/>
      <c r="P6227" s="40"/>
      <c r="Q6227" s="61"/>
      <c r="R6227" s="61"/>
      <c r="S6227" s="40"/>
      <c r="T6227" s="38"/>
      <c r="U6227" s="38"/>
      <c r="V6227" s="38"/>
      <c r="W6227" s="60"/>
      <c r="AB6227" s="42"/>
      <c r="AC6227" s="35"/>
      <c r="AD6227" s="38"/>
      <c r="AE6227" s="38"/>
      <c r="AF6227" s="38"/>
      <c r="AG6227" s="38"/>
      <c r="AH6227" s="60"/>
    </row>
    <row r="6228" spans="1:34" ht="15.75" customHeight="1">
      <c r="A6228" s="303"/>
      <c r="B6228" s="38"/>
      <c r="C6228" s="37"/>
      <c r="D6228" s="20"/>
      <c r="E6228" s="25"/>
      <c r="F6228" s="37"/>
      <c r="G6228" s="37"/>
      <c r="H6228" s="37"/>
      <c r="I6228" s="37"/>
      <c r="J6228" s="37"/>
      <c r="K6228" s="22"/>
      <c r="L6228" s="56"/>
      <c r="P6228" s="40"/>
      <c r="Q6228" s="61"/>
      <c r="R6228" s="61"/>
      <c r="S6228" s="40"/>
      <c r="T6228" s="38"/>
      <c r="U6228" s="38"/>
      <c r="V6228" s="38"/>
      <c r="W6228" s="60"/>
      <c r="AB6228" s="42"/>
      <c r="AC6228" s="35"/>
      <c r="AD6228" s="38"/>
      <c r="AE6228" s="38"/>
      <c r="AF6228" s="38"/>
      <c r="AG6228" s="38"/>
      <c r="AH6228" s="60"/>
    </row>
    <row r="6229" spans="1:34" ht="15.75" customHeight="1">
      <c r="A6229" s="303"/>
      <c r="B6229" s="38"/>
      <c r="C6229" s="37"/>
      <c r="D6229" s="20"/>
      <c r="E6229" s="25"/>
      <c r="F6229" s="37"/>
      <c r="G6229" s="37"/>
      <c r="H6229" s="37"/>
      <c r="I6229" s="37"/>
      <c r="J6229" s="37"/>
      <c r="K6229" s="22"/>
      <c r="L6229" s="56"/>
      <c r="P6229" s="40"/>
      <c r="Q6229" s="61"/>
      <c r="R6229" s="61"/>
      <c r="S6229" s="40"/>
      <c r="T6229" s="38"/>
      <c r="U6229" s="38"/>
      <c r="V6229" s="38"/>
      <c r="W6229" s="60"/>
      <c r="AB6229" s="42"/>
      <c r="AC6229" s="35"/>
      <c r="AD6229" s="38"/>
      <c r="AE6229" s="38"/>
      <c r="AF6229" s="38"/>
      <c r="AG6229" s="38"/>
      <c r="AH6229" s="60"/>
    </row>
    <row r="6230" spans="1:34" ht="15.75" customHeight="1">
      <c r="A6230" s="303"/>
      <c r="B6230" s="38"/>
      <c r="C6230" s="37"/>
      <c r="D6230" s="20"/>
      <c r="E6230" s="25"/>
      <c r="F6230" s="37"/>
      <c r="G6230" s="37"/>
      <c r="H6230" s="37"/>
      <c r="I6230" s="37"/>
      <c r="J6230" s="37"/>
      <c r="K6230" s="22"/>
      <c r="L6230" s="56"/>
      <c r="P6230" s="40"/>
      <c r="Q6230" s="61"/>
      <c r="R6230" s="61"/>
      <c r="S6230" s="40"/>
      <c r="T6230" s="38"/>
      <c r="U6230" s="38"/>
      <c r="V6230" s="38"/>
      <c r="W6230" s="60"/>
      <c r="AB6230" s="42"/>
      <c r="AC6230" s="35"/>
      <c r="AD6230" s="38"/>
      <c r="AE6230" s="38"/>
      <c r="AF6230" s="38"/>
      <c r="AG6230" s="38"/>
      <c r="AH6230" s="60"/>
    </row>
    <row r="6231" spans="1:34" ht="15.75" customHeight="1">
      <c r="A6231" s="303"/>
      <c r="B6231" s="38"/>
      <c r="C6231" s="37"/>
      <c r="D6231" s="20"/>
      <c r="E6231" s="25"/>
      <c r="F6231" s="37"/>
      <c r="G6231" s="37"/>
      <c r="H6231" s="37"/>
      <c r="I6231" s="37"/>
      <c r="J6231" s="37"/>
      <c r="K6231" s="22"/>
      <c r="L6231" s="56"/>
      <c r="P6231" s="40"/>
      <c r="Q6231" s="61"/>
      <c r="R6231" s="61"/>
      <c r="S6231" s="40"/>
      <c r="T6231" s="38"/>
      <c r="U6231" s="38"/>
      <c r="V6231" s="38"/>
      <c r="W6231" s="60"/>
      <c r="AB6231" s="42"/>
      <c r="AC6231" s="35"/>
      <c r="AD6231" s="38"/>
      <c r="AE6231" s="38"/>
      <c r="AF6231" s="38"/>
      <c r="AG6231" s="38"/>
      <c r="AH6231" s="60"/>
    </row>
    <row r="6232" spans="1:34" ht="15.75" customHeight="1">
      <c r="A6232" s="303"/>
      <c r="B6232" s="38"/>
      <c r="C6232" s="37"/>
      <c r="D6232" s="20"/>
      <c r="E6232" s="25"/>
      <c r="F6232" s="37"/>
      <c r="G6232" s="37"/>
      <c r="H6232" s="37"/>
      <c r="I6232" s="37"/>
      <c r="J6232" s="37"/>
      <c r="K6232" s="22"/>
      <c r="L6232" s="56"/>
      <c r="P6232" s="40"/>
      <c r="Q6232" s="61"/>
      <c r="R6232" s="61"/>
      <c r="S6232" s="40"/>
      <c r="T6232" s="38"/>
      <c r="U6232" s="38"/>
      <c r="V6232" s="38"/>
      <c r="W6232" s="60"/>
      <c r="AB6232" s="42"/>
      <c r="AC6232" s="35"/>
      <c r="AD6232" s="38"/>
      <c r="AE6232" s="38"/>
      <c r="AF6232" s="38"/>
      <c r="AG6232" s="38"/>
      <c r="AH6232" s="60"/>
    </row>
    <row r="6233" spans="1:34" ht="15.75" customHeight="1">
      <c r="A6233" s="303"/>
      <c r="B6233" s="38"/>
      <c r="C6233" s="37"/>
      <c r="D6233" s="20"/>
      <c r="E6233" s="25"/>
      <c r="F6233" s="37"/>
      <c r="G6233" s="37"/>
      <c r="H6233" s="37"/>
      <c r="I6233" s="37"/>
      <c r="J6233" s="37"/>
      <c r="K6233" s="22"/>
      <c r="L6233" s="56"/>
      <c r="P6233" s="40"/>
      <c r="Q6233" s="61"/>
      <c r="R6233" s="61"/>
      <c r="S6233" s="40"/>
      <c r="T6233" s="38"/>
      <c r="U6233" s="38"/>
      <c r="V6233" s="38"/>
      <c r="W6233" s="60"/>
      <c r="AB6233" s="42"/>
      <c r="AC6233" s="35"/>
      <c r="AD6233" s="38"/>
      <c r="AE6233" s="38"/>
      <c r="AF6233" s="38"/>
      <c r="AG6233" s="38"/>
      <c r="AH6233" s="60"/>
    </row>
    <row r="6234" spans="1:34" ht="15.75" customHeight="1">
      <c r="A6234" s="303"/>
      <c r="B6234" s="38"/>
      <c r="C6234" s="37"/>
      <c r="D6234" s="20"/>
      <c r="E6234" s="25"/>
      <c r="F6234" s="37"/>
      <c r="G6234" s="37"/>
      <c r="H6234" s="37"/>
      <c r="I6234" s="37"/>
      <c r="J6234" s="37"/>
      <c r="K6234" s="22"/>
      <c r="L6234" s="56"/>
      <c r="P6234" s="40"/>
      <c r="Q6234" s="61"/>
      <c r="R6234" s="61"/>
      <c r="S6234" s="40"/>
      <c r="T6234" s="38"/>
      <c r="U6234" s="38"/>
      <c r="V6234" s="38"/>
      <c r="W6234" s="60"/>
      <c r="AB6234" s="42"/>
      <c r="AC6234" s="35"/>
      <c r="AD6234" s="38"/>
      <c r="AE6234" s="38"/>
      <c r="AF6234" s="38"/>
      <c r="AG6234" s="38"/>
      <c r="AH6234" s="60"/>
    </row>
    <row r="6235" spans="1:34" ht="15.75" customHeight="1">
      <c r="A6235" s="303"/>
      <c r="B6235" s="38"/>
      <c r="C6235" s="37"/>
      <c r="D6235" s="20"/>
      <c r="E6235" s="25"/>
      <c r="F6235" s="37"/>
      <c r="G6235" s="37"/>
      <c r="H6235" s="37"/>
      <c r="I6235" s="37"/>
      <c r="J6235" s="37"/>
      <c r="K6235" s="22"/>
      <c r="L6235" s="56"/>
      <c r="P6235" s="40"/>
      <c r="Q6235" s="61"/>
      <c r="R6235" s="61"/>
      <c r="S6235" s="40"/>
      <c r="T6235" s="38"/>
      <c r="U6235" s="38"/>
      <c r="V6235" s="38"/>
      <c r="W6235" s="60"/>
      <c r="AB6235" s="42"/>
      <c r="AC6235" s="35"/>
      <c r="AD6235" s="38"/>
      <c r="AE6235" s="38"/>
      <c r="AF6235" s="38"/>
      <c r="AG6235" s="38"/>
      <c r="AH6235" s="60"/>
    </row>
    <row r="6236" spans="1:34" ht="15.75" customHeight="1">
      <c r="A6236" s="303"/>
      <c r="B6236" s="38"/>
      <c r="C6236" s="37"/>
      <c r="D6236" s="20"/>
      <c r="E6236" s="25"/>
      <c r="F6236" s="37"/>
      <c r="G6236" s="37"/>
      <c r="H6236" s="37"/>
      <c r="I6236" s="37"/>
      <c r="J6236" s="37"/>
      <c r="K6236" s="22"/>
      <c r="L6236" s="56"/>
      <c r="P6236" s="40"/>
      <c r="Q6236" s="61"/>
      <c r="R6236" s="61"/>
      <c r="S6236" s="40"/>
      <c r="T6236" s="38"/>
      <c r="U6236" s="38"/>
      <c r="V6236" s="38"/>
      <c r="W6236" s="60"/>
      <c r="AB6236" s="42"/>
      <c r="AC6236" s="35"/>
      <c r="AD6236" s="38"/>
      <c r="AE6236" s="38"/>
      <c r="AF6236" s="38"/>
      <c r="AG6236" s="38"/>
      <c r="AH6236" s="60"/>
    </row>
    <row r="6237" spans="1:34" ht="15.75" customHeight="1">
      <c r="A6237" s="303"/>
      <c r="B6237" s="38"/>
      <c r="C6237" s="37"/>
      <c r="D6237" s="20"/>
      <c r="E6237" s="25"/>
      <c r="F6237" s="37"/>
      <c r="G6237" s="37"/>
      <c r="H6237" s="37"/>
      <c r="I6237" s="37"/>
      <c r="J6237" s="37"/>
      <c r="K6237" s="22"/>
      <c r="L6237" s="56"/>
      <c r="P6237" s="40"/>
      <c r="Q6237" s="61"/>
      <c r="R6237" s="61"/>
      <c r="S6237" s="40"/>
      <c r="T6237" s="38"/>
      <c r="U6237" s="38"/>
      <c r="V6237" s="38"/>
      <c r="W6237" s="60"/>
      <c r="AB6237" s="42"/>
      <c r="AC6237" s="35"/>
      <c r="AD6237" s="38"/>
      <c r="AE6237" s="38"/>
      <c r="AF6237" s="38"/>
      <c r="AG6237" s="38"/>
      <c r="AH6237" s="60"/>
    </row>
    <row r="6238" spans="1:34" ht="15.75" customHeight="1">
      <c r="A6238" s="303"/>
      <c r="B6238" s="38"/>
      <c r="C6238" s="37"/>
      <c r="D6238" s="20"/>
      <c r="E6238" s="25"/>
      <c r="F6238" s="37"/>
      <c r="G6238" s="37"/>
      <c r="H6238" s="37"/>
      <c r="I6238" s="37"/>
      <c r="J6238" s="37"/>
      <c r="K6238" s="22"/>
      <c r="L6238" s="56"/>
      <c r="P6238" s="40"/>
      <c r="Q6238" s="61"/>
      <c r="R6238" s="61"/>
      <c r="S6238" s="40"/>
      <c r="T6238" s="38"/>
      <c r="U6238" s="38"/>
      <c r="V6238" s="38"/>
      <c r="W6238" s="60"/>
      <c r="AB6238" s="42"/>
      <c r="AC6238" s="35"/>
      <c r="AD6238" s="38"/>
      <c r="AE6238" s="38"/>
      <c r="AF6238" s="38"/>
      <c r="AG6238" s="38"/>
      <c r="AH6238" s="60"/>
    </row>
    <row r="6239" spans="1:34" ht="15.75" customHeight="1">
      <c r="A6239" s="303"/>
      <c r="B6239" s="38"/>
      <c r="C6239" s="37"/>
      <c r="D6239" s="20"/>
      <c r="E6239" s="25"/>
      <c r="F6239" s="37"/>
      <c r="G6239" s="37"/>
      <c r="H6239" s="37"/>
      <c r="I6239" s="37"/>
      <c r="J6239" s="37"/>
      <c r="K6239" s="22"/>
      <c r="L6239" s="56"/>
      <c r="P6239" s="40"/>
      <c r="Q6239" s="61"/>
      <c r="R6239" s="61"/>
      <c r="S6239" s="40"/>
      <c r="T6239" s="38"/>
      <c r="U6239" s="38"/>
      <c r="V6239" s="38"/>
      <c r="W6239" s="60"/>
      <c r="AB6239" s="42"/>
      <c r="AC6239" s="35"/>
      <c r="AD6239" s="38"/>
      <c r="AE6239" s="38"/>
      <c r="AF6239" s="38"/>
      <c r="AG6239" s="38"/>
      <c r="AH6239" s="60"/>
    </row>
    <row r="6240" spans="1:34" ht="15.75" customHeight="1">
      <c r="A6240" s="303"/>
      <c r="B6240" s="38"/>
      <c r="C6240" s="37"/>
      <c r="D6240" s="20"/>
      <c r="E6240" s="25"/>
      <c r="F6240" s="37"/>
      <c r="G6240" s="37"/>
      <c r="H6240" s="37"/>
      <c r="I6240" s="37"/>
      <c r="J6240" s="37"/>
      <c r="K6240" s="22"/>
      <c r="L6240" s="56"/>
      <c r="P6240" s="40"/>
      <c r="Q6240" s="61"/>
      <c r="R6240" s="61"/>
      <c r="S6240" s="40"/>
      <c r="T6240" s="38"/>
      <c r="U6240" s="38"/>
      <c r="V6240" s="38"/>
      <c r="W6240" s="60"/>
      <c r="AB6240" s="42"/>
      <c r="AC6240" s="35"/>
      <c r="AD6240" s="38"/>
      <c r="AE6240" s="38"/>
      <c r="AF6240" s="38"/>
      <c r="AG6240" s="38"/>
      <c r="AH6240" s="60"/>
    </row>
    <row r="6241" spans="1:34" ht="15.75" customHeight="1">
      <c r="A6241" s="303"/>
      <c r="B6241" s="38"/>
      <c r="C6241" s="37"/>
      <c r="D6241" s="20"/>
      <c r="E6241" s="25"/>
      <c r="F6241" s="37"/>
      <c r="G6241" s="37"/>
      <c r="H6241" s="37"/>
      <c r="I6241" s="37"/>
      <c r="J6241" s="37"/>
      <c r="K6241" s="22"/>
      <c r="L6241" s="56"/>
      <c r="P6241" s="40"/>
      <c r="Q6241" s="61"/>
      <c r="R6241" s="61"/>
      <c r="S6241" s="40"/>
      <c r="T6241" s="38"/>
      <c r="U6241" s="38"/>
      <c r="V6241" s="38"/>
      <c r="W6241" s="60"/>
      <c r="AB6241" s="42"/>
      <c r="AC6241" s="35"/>
      <c r="AD6241" s="38"/>
      <c r="AE6241" s="38"/>
      <c r="AF6241" s="38"/>
      <c r="AG6241" s="38"/>
      <c r="AH6241" s="60"/>
    </row>
    <row r="6242" spans="1:34" ht="15.75" customHeight="1">
      <c r="A6242" s="303"/>
      <c r="B6242" s="38"/>
      <c r="C6242" s="37"/>
      <c r="D6242" s="20"/>
      <c r="E6242" s="25"/>
      <c r="F6242" s="37"/>
      <c r="G6242" s="37"/>
      <c r="H6242" s="37"/>
      <c r="I6242" s="37"/>
      <c r="J6242" s="37"/>
      <c r="K6242" s="22"/>
      <c r="L6242" s="56"/>
      <c r="P6242" s="40"/>
      <c r="Q6242" s="61"/>
      <c r="R6242" s="61"/>
      <c r="S6242" s="40"/>
      <c r="T6242" s="38"/>
      <c r="U6242" s="38"/>
      <c r="V6242" s="38"/>
      <c r="W6242" s="60"/>
      <c r="AB6242" s="42"/>
      <c r="AC6242" s="35"/>
      <c r="AD6242" s="38"/>
      <c r="AE6242" s="38"/>
      <c r="AF6242" s="38"/>
      <c r="AG6242" s="38"/>
      <c r="AH6242" s="60"/>
    </row>
    <row r="6243" spans="1:34" ht="15.75" customHeight="1">
      <c r="A6243" s="303"/>
      <c r="B6243" s="38"/>
      <c r="C6243" s="37"/>
      <c r="D6243" s="20"/>
      <c r="E6243" s="25"/>
      <c r="F6243" s="37"/>
      <c r="G6243" s="37"/>
      <c r="H6243" s="37"/>
      <c r="I6243" s="37"/>
      <c r="J6243" s="37"/>
      <c r="K6243" s="22"/>
      <c r="L6243" s="56"/>
      <c r="P6243" s="40"/>
      <c r="Q6243" s="61"/>
      <c r="R6243" s="61"/>
      <c r="S6243" s="40"/>
      <c r="T6243" s="38"/>
      <c r="U6243" s="38"/>
      <c r="V6243" s="38"/>
      <c r="W6243" s="60"/>
      <c r="AB6243" s="42"/>
      <c r="AC6243" s="35"/>
      <c r="AD6243" s="38"/>
      <c r="AE6243" s="38"/>
      <c r="AF6243" s="38"/>
      <c r="AG6243" s="38"/>
      <c r="AH6243" s="60"/>
    </row>
    <row r="6244" spans="1:34" ht="15.75" customHeight="1">
      <c r="A6244" s="303"/>
      <c r="B6244" s="38"/>
      <c r="C6244" s="37"/>
      <c r="D6244" s="20"/>
      <c r="E6244" s="25"/>
      <c r="F6244" s="37"/>
      <c r="G6244" s="37"/>
      <c r="H6244" s="37"/>
      <c r="I6244" s="37"/>
      <c r="J6244" s="37"/>
      <c r="K6244" s="22"/>
      <c r="L6244" s="56"/>
      <c r="P6244" s="40"/>
      <c r="Q6244" s="61"/>
      <c r="R6244" s="61"/>
      <c r="S6244" s="40"/>
      <c r="T6244" s="38"/>
      <c r="U6244" s="38"/>
      <c r="V6244" s="38"/>
      <c r="W6244" s="60"/>
      <c r="AB6244" s="42"/>
      <c r="AC6244" s="35"/>
      <c r="AD6244" s="38"/>
      <c r="AE6244" s="38"/>
      <c r="AF6244" s="38"/>
      <c r="AG6244" s="38"/>
      <c r="AH6244" s="60"/>
    </row>
    <row r="6245" spans="1:34" ht="15.75" customHeight="1">
      <c r="A6245" s="303"/>
      <c r="B6245" s="38"/>
      <c r="C6245" s="37"/>
      <c r="D6245" s="20"/>
      <c r="E6245" s="25"/>
      <c r="F6245" s="37"/>
      <c r="G6245" s="37"/>
      <c r="H6245" s="37"/>
      <c r="I6245" s="37"/>
      <c r="J6245" s="37"/>
      <c r="K6245" s="22"/>
      <c r="L6245" s="56"/>
      <c r="P6245" s="40"/>
      <c r="Q6245" s="61"/>
      <c r="R6245" s="61"/>
      <c r="S6245" s="40"/>
      <c r="T6245" s="38"/>
      <c r="U6245" s="38"/>
      <c r="V6245" s="38"/>
      <c r="W6245" s="60"/>
      <c r="AB6245" s="42"/>
      <c r="AC6245" s="35"/>
      <c r="AD6245" s="38"/>
      <c r="AE6245" s="38"/>
      <c r="AF6245" s="38"/>
      <c r="AG6245" s="38"/>
      <c r="AH6245" s="60"/>
    </row>
    <row r="6246" spans="1:34" ht="15.75" customHeight="1">
      <c r="A6246" s="303"/>
      <c r="B6246" s="38"/>
      <c r="C6246" s="37"/>
      <c r="D6246" s="20"/>
      <c r="E6246" s="25"/>
      <c r="F6246" s="37"/>
      <c r="G6246" s="37"/>
      <c r="H6246" s="37"/>
      <c r="I6246" s="37"/>
      <c r="J6246" s="37"/>
      <c r="K6246" s="22"/>
      <c r="L6246" s="56"/>
      <c r="P6246" s="40"/>
      <c r="Q6246" s="61"/>
      <c r="R6246" s="61"/>
      <c r="S6246" s="40"/>
      <c r="T6246" s="38"/>
      <c r="U6246" s="38"/>
      <c r="V6246" s="38"/>
      <c r="W6246" s="60"/>
      <c r="AB6246" s="42"/>
      <c r="AC6246" s="35"/>
      <c r="AD6246" s="38"/>
      <c r="AE6246" s="38"/>
      <c r="AF6246" s="38"/>
      <c r="AG6246" s="38"/>
      <c r="AH6246" s="60"/>
    </row>
    <row r="6247" spans="1:34" ht="15.75" customHeight="1">
      <c r="A6247" s="303"/>
      <c r="B6247" s="38"/>
      <c r="C6247" s="37"/>
      <c r="D6247" s="20"/>
      <c r="E6247" s="25"/>
      <c r="F6247" s="37"/>
      <c r="G6247" s="37"/>
      <c r="H6247" s="37"/>
      <c r="I6247" s="37"/>
      <c r="J6247" s="37"/>
      <c r="K6247" s="22"/>
      <c r="L6247" s="56"/>
      <c r="P6247" s="40"/>
      <c r="Q6247" s="61"/>
      <c r="R6247" s="61"/>
      <c r="S6247" s="40"/>
      <c r="T6247" s="38"/>
      <c r="U6247" s="38"/>
      <c r="V6247" s="38"/>
      <c r="W6247" s="60"/>
      <c r="AB6247" s="42"/>
      <c r="AC6247" s="35"/>
      <c r="AD6247" s="38"/>
      <c r="AE6247" s="38"/>
      <c r="AF6247" s="38"/>
      <c r="AG6247" s="38"/>
      <c r="AH6247" s="60"/>
    </row>
    <row r="6248" spans="1:34" ht="15.75" customHeight="1">
      <c r="A6248" s="303"/>
      <c r="B6248" s="38"/>
      <c r="C6248" s="37"/>
      <c r="D6248" s="20"/>
      <c r="E6248" s="25"/>
      <c r="F6248" s="37"/>
      <c r="G6248" s="37"/>
      <c r="H6248" s="37"/>
      <c r="I6248" s="37"/>
      <c r="J6248" s="37"/>
      <c r="K6248" s="22"/>
      <c r="L6248" s="56"/>
      <c r="P6248" s="40"/>
      <c r="Q6248" s="61"/>
      <c r="R6248" s="61"/>
      <c r="S6248" s="40"/>
      <c r="T6248" s="38"/>
      <c r="U6248" s="38"/>
      <c r="V6248" s="38"/>
      <c r="W6248" s="60"/>
      <c r="AB6248" s="42"/>
      <c r="AC6248" s="35"/>
      <c r="AD6248" s="38"/>
      <c r="AE6248" s="38"/>
      <c r="AF6248" s="38"/>
      <c r="AG6248" s="38"/>
      <c r="AH6248" s="60"/>
    </row>
    <row r="6249" spans="1:34" ht="15.75" customHeight="1">
      <c r="A6249" s="303"/>
      <c r="B6249" s="38"/>
      <c r="C6249" s="37"/>
      <c r="D6249" s="20"/>
      <c r="E6249" s="25"/>
      <c r="F6249" s="37"/>
      <c r="G6249" s="37"/>
      <c r="H6249" s="37"/>
      <c r="I6249" s="37"/>
      <c r="J6249" s="37"/>
      <c r="K6249" s="22"/>
      <c r="L6249" s="56"/>
      <c r="P6249" s="40"/>
      <c r="Q6249" s="61"/>
      <c r="R6249" s="61"/>
      <c r="S6249" s="40"/>
      <c r="T6249" s="38"/>
      <c r="U6249" s="38"/>
      <c r="V6249" s="38"/>
      <c r="W6249" s="60"/>
      <c r="AB6249" s="42"/>
      <c r="AC6249" s="35"/>
      <c r="AD6249" s="38"/>
      <c r="AE6249" s="38"/>
      <c r="AF6249" s="38"/>
      <c r="AG6249" s="38"/>
      <c r="AH6249" s="60"/>
    </row>
    <row r="6250" spans="1:34" ht="15.75" customHeight="1">
      <c r="A6250" s="303"/>
      <c r="B6250" s="38"/>
      <c r="C6250" s="37"/>
      <c r="D6250" s="20"/>
      <c r="E6250" s="25"/>
      <c r="F6250" s="37"/>
      <c r="G6250" s="37"/>
      <c r="H6250" s="37"/>
      <c r="I6250" s="37"/>
      <c r="J6250" s="37"/>
      <c r="K6250" s="22"/>
      <c r="L6250" s="56"/>
      <c r="P6250" s="40"/>
      <c r="Q6250" s="61"/>
      <c r="R6250" s="61"/>
      <c r="S6250" s="40"/>
      <c r="T6250" s="38"/>
      <c r="U6250" s="38"/>
      <c r="V6250" s="38"/>
      <c r="W6250" s="60"/>
      <c r="AB6250" s="42"/>
      <c r="AC6250" s="35"/>
      <c r="AD6250" s="38"/>
      <c r="AE6250" s="38"/>
      <c r="AF6250" s="38"/>
      <c r="AG6250" s="38"/>
      <c r="AH6250" s="60"/>
    </row>
    <row r="6251" spans="1:34" ht="15.75" customHeight="1">
      <c r="A6251" s="303"/>
      <c r="B6251" s="38"/>
      <c r="C6251" s="37"/>
      <c r="D6251" s="20"/>
      <c r="E6251" s="25"/>
      <c r="F6251" s="37"/>
      <c r="G6251" s="37"/>
      <c r="H6251" s="37"/>
      <c r="I6251" s="37"/>
      <c r="J6251" s="37"/>
      <c r="K6251" s="22"/>
      <c r="L6251" s="56"/>
      <c r="P6251" s="40"/>
      <c r="Q6251" s="61"/>
      <c r="R6251" s="61"/>
      <c r="S6251" s="40"/>
      <c r="T6251" s="38"/>
      <c r="U6251" s="38"/>
      <c r="V6251" s="38"/>
      <c r="W6251" s="60"/>
      <c r="AB6251" s="42"/>
      <c r="AC6251" s="35"/>
      <c r="AD6251" s="38"/>
      <c r="AE6251" s="38"/>
      <c r="AF6251" s="38"/>
      <c r="AG6251" s="38"/>
      <c r="AH6251" s="60"/>
    </row>
    <row r="6252" spans="1:34" ht="15.75" customHeight="1">
      <c r="A6252" s="303"/>
      <c r="B6252" s="38"/>
      <c r="C6252" s="37"/>
      <c r="D6252" s="20"/>
      <c r="E6252" s="25"/>
      <c r="F6252" s="37"/>
      <c r="G6252" s="37"/>
      <c r="H6252" s="37"/>
      <c r="I6252" s="37"/>
      <c r="J6252" s="37"/>
      <c r="K6252" s="22"/>
      <c r="L6252" s="56"/>
      <c r="P6252" s="40"/>
      <c r="Q6252" s="61"/>
      <c r="R6252" s="61"/>
      <c r="S6252" s="40"/>
      <c r="T6252" s="38"/>
      <c r="U6252" s="38"/>
      <c r="V6252" s="38"/>
      <c r="W6252" s="60"/>
      <c r="AB6252" s="42"/>
      <c r="AC6252" s="35"/>
      <c r="AD6252" s="38"/>
      <c r="AE6252" s="38"/>
      <c r="AF6252" s="38"/>
      <c r="AG6252" s="38"/>
      <c r="AH6252" s="60"/>
    </row>
    <row r="6253" spans="1:34" ht="15.75" customHeight="1">
      <c r="A6253" s="303"/>
      <c r="B6253" s="38"/>
      <c r="C6253" s="37"/>
      <c r="D6253" s="20"/>
      <c r="E6253" s="25"/>
      <c r="F6253" s="37"/>
      <c r="G6253" s="37"/>
      <c r="H6253" s="37"/>
      <c r="I6253" s="37"/>
      <c r="J6253" s="37"/>
      <c r="K6253" s="22"/>
      <c r="L6253" s="56"/>
      <c r="P6253" s="40"/>
      <c r="Q6253" s="61"/>
      <c r="R6253" s="61"/>
      <c r="S6253" s="40"/>
      <c r="T6253" s="38"/>
      <c r="U6253" s="38"/>
      <c r="V6253" s="38"/>
      <c r="W6253" s="60"/>
      <c r="AB6253" s="42"/>
      <c r="AC6253" s="35"/>
      <c r="AD6253" s="38"/>
      <c r="AE6253" s="38"/>
      <c r="AF6253" s="38"/>
      <c r="AG6253" s="38"/>
      <c r="AH6253" s="60"/>
    </row>
    <row r="6254" spans="1:34" ht="15.75" customHeight="1">
      <c r="A6254" s="303"/>
      <c r="B6254" s="38"/>
      <c r="C6254" s="37"/>
      <c r="D6254" s="20"/>
      <c r="E6254" s="25"/>
      <c r="F6254" s="37"/>
      <c r="G6254" s="37"/>
      <c r="H6254" s="37"/>
      <c r="I6254" s="37"/>
      <c r="J6254" s="37"/>
      <c r="K6254" s="22"/>
      <c r="L6254" s="56"/>
      <c r="P6254" s="40"/>
      <c r="Q6254" s="61"/>
      <c r="R6254" s="61"/>
      <c r="S6254" s="40"/>
      <c r="T6254" s="38"/>
      <c r="U6254" s="38"/>
      <c r="V6254" s="38"/>
      <c r="W6254" s="60"/>
      <c r="AB6254" s="42"/>
      <c r="AC6254" s="35"/>
      <c r="AD6254" s="38"/>
      <c r="AE6254" s="38"/>
      <c r="AF6254" s="38"/>
      <c r="AG6254" s="38"/>
      <c r="AH6254" s="60"/>
    </row>
    <row r="6255" spans="1:34" ht="15.75" customHeight="1">
      <c r="A6255" s="303"/>
      <c r="B6255" s="38"/>
      <c r="C6255" s="37"/>
      <c r="D6255" s="20"/>
      <c r="E6255" s="25"/>
      <c r="F6255" s="37"/>
      <c r="G6255" s="37"/>
      <c r="H6255" s="37"/>
      <c r="I6255" s="37"/>
      <c r="J6255" s="37"/>
      <c r="K6255" s="22"/>
      <c r="L6255" s="56"/>
      <c r="P6255" s="40"/>
      <c r="Q6255" s="61"/>
      <c r="R6255" s="61"/>
      <c r="S6255" s="40"/>
      <c r="T6255" s="38"/>
      <c r="U6255" s="38"/>
      <c r="V6255" s="38"/>
      <c r="W6255" s="60"/>
      <c r="AB6255" s="42"/>
      <c r="AC6255" s="35"/>
      <c r="AD6255" s="38"/>
      <c r="AE6255" s="38"/>
      <c r="AF6255" s="38"/>
      <c r="AG6255" s="38"/>
      <c r="AH6255" s="60"/>
    </row>
    <row r="6256" spans="1:34" ht="15.75" customHeight="1">
      <c r="A6256" s="303"/>
      <c r="B6256" s="38"/>
      <c r="C6256" s="37"/>
      <c r="D6256" s="20"/>
      <c r="E6256" s="25"/>
      <c r="F6256" s="37"/>
      <c r="G6256" s="37"/>
      <c r="H6256" s="37"/>
      <c r="I6256" s="37"/>
      <c r="J6256" s="37"/>
      <c r="K6256" s="22"/>
      <c r="L6256" s="56"/>
      <c r="P6256" s="40"/>
      <c r="Q6256" s="61"/>
      <c r="R6256" s="61"/>
      <c r="S6256" s="40"/>
      <c r="T6256" s="38"/>
      <c r="U6256" s="38"/>
      <c r="V6256" s="38"/>
      <c r="W6256" s="60"/>
      <c r="AB6256" s="42"/>
      <c r="AC6256" s="35"/>
      <c r="AD6256" s="38"/>
      <c r="AE6256" s="38"/>
      <c r="AF6256" s="38"/>
      <c r="AG6256" s="38"/>
      <c r="AH6256" s="60"/>
    </row>
    <row r="6257" spans="1:34" ht="15.75" customHeight="1">
      <c r="A6257" s="303"/>
      <c r="B6257" s="38"/>
      <c r="C6257" s="37"/>
      <c r="D6257" s="20"/>
      <c r="E6257" s="25"/>
      <c r="F6257" s="37"/>
      <c r="G6257" s="37"/>
      <c r="H6257" s="37"/>
      <c r="I6257" s="37"/>
      <c r="J6257" s="37"/>
      <c r="K6257" s="22"/>
      <c r="L6257" s="56"/>
      <c r="P6257" s="40"/>
      <c r="Q6257" s="61"/>
      <c r="R6257" s="61"/>
      <c r="S6257" s="40"/>
      <c r="T6257" s="38"/>
      <c r="U6257" s="38"/>
      <c r="V6257" s="38"/>
      <c r="W6257" s="60"/>
      <c r="AB6257" s="42"/>
      <c r="AC6257" s="35"/>
      <c r="AD6257" s="38"/>
      <c r="AE6257" s="38"/>
      <c r="AF6257" s="38"/>
      <c r="AG6257" s="38"/>
      <c r="AH6257" s="60"/>
    </row>
    <row r="6258" spans="1:34" ht="15.75" customHeight="1">
      <c r="A6258" s="303"/>
      <c r="B6258" s="38"/>
      <c r="C6258" s="37"/>
      <c r="D6258" s="20"/>
      <c r="E6258" s="25"/>
      <c r="F6258" s="37"/>
      <c r="G6258" s="37"/>
      <c r="H6258" s="37"/>
      <c r="I6258" s="37"/>
      <c r="J6258" s="37"/>
      <c r="K6258" s="22"/>
      <c r="L6258" s="56"/>
      <c r="P6258" s="40"/>
      <c r="Q6258" s="61"/>
      <c r="R6258" s="61"/>
      <c r="S6258" s="40"/>
      <c r="T6258" s="38"/>
      <c r="U6258" s="38"/>
      <c r="V6258" s="38"/>
      <c r="W6258" s="60"/>
      <c r="AB6258" s="42"/>
      <c r="AC6258" s="35"/>
      <c r="AD6258" s="38"/>
      <c r="AE6258" s="38"/>
      <c r="AF6258" s="38"/>
      <c r="AG6258" s="38"/>
      <c r="AH6258" s="60"/>
    </row>
    <row r="6259" spans="1:34" ht="15.75" customHeight="1">
      <c r="A6259" s="303"/>
      <c r="B6259" s="38"/>
      <c r="C6259" s="37"/>
      <c r="D6259" s="20"/>
      <c r="E6259" s="25"/>
      <c r="F6259" s="37"/>
      <c r="G6259" s="37"/>
      <c r="H6259" s="37"/>
      <c r="I6259" s="37"/>
      <c r="J6259" s="37"/>
      <c r="K6259" s="22"/>
      <c r="L6259" s="56"/>
      <c r="P6259" s="40"/>
      <c r="Q6259" s="61"/>
      <c r="R6259" s="61"/>
      <c r="S6259" s="40"/>
      <c r="T6259" s="38"/>
      <c r="U6259" s="38"/>
      <c r="V6259" s="38"/>
      <c r="W6259" s="60"/>
      <c r="AB6259" s="42"/>
      <c r="AC6259" s="35"/>
      <c r="AD6259" s="38"/>
      <c r="AE6259" s="38"/>
      <c r="AF6259" s="38"/>
      <c r="AG6259" s="38"/>
      <c r="AH6259" s="60"/>
    </row>
    <row r="6260" spans="1:34" ht="15.75" customHeight="1">
      <c r="A6260" s="303"/>
      <c r="B6260" s="38"/>
      <c r="C6260" s="37"/>
      <c r="D6260" s="20"/>
      <c r="E6260" s="25"/>
      <c r="F6260" s="37"/>
      <c r="G6260" s="37"/>
      <c r="H6260" s="37"/>
      <c r="I6260" s="37"/>
      <c r="J6260" s="37"/>
      <c r="K6260" s="22"/>
      <c r="L6260" s="56"/>
      <c r="P6260" s="40"/>
      <c r="Q6260" s="61"/>
      <c r="R6260" s="61"/>
      <c r="S6260" s="40"/>
      <c r="T6260" s="38"/>
      <c r="U6260" s="38"/>
      <c r="V6260" s="38"/>
      <c r="W6260" s="60"/>
      <c r="AB6260" s="42"/>
      <c r="AC6260" s="35"/>
      <c r="AD6260" s="38"/>
      <c r="AE6260" s="38"/>
      <c r="AF6260" s="38"/>
      <c r="AG6260" s="38"/>
      <c r="AH6260" s="60"/>
    </row>
    <row r="6261" spans="1:34" ht="15.75" customHeight="1">
      <c r="A6261" s="303"/>
      <c r="B6261" s="38"/>
      <c r="C6261" s="37"/>
      <c r="D6261" s="20"/>
      <c r="E6261" s="25"/>
      <c r="F6261" s="37"/>
      <c r="G6261" s="37"/>
      <c r="H6261" s="37"/>
      <c r="I6261" s="37"/>
      <c r="J6261" s="37"/>
      <c r="K6261" s="22"/>
      <c r="L6261" s="56"/>
      <c r="P6261" s="40"/>
      <c r="Q6261" s="61"/>
      <c r="R6261" s="61"/>
      <c r="S6261" s="40"/>
      <c r="T6261" s="38"/>
      <c r="U6261" s="38"/>
      <c r="V6261" s="38"/>
      <c r="W6261" s="60"/>
      <c r="AB6261" s="42"/>
      <c r="AC6261" s="35"/>
      <c r="AD6261" s="38"/>
      <c r="AE6261" s="38"/>
      <c r="AF6261" s="38"/>
      <c r="AG6261" s="38"/>
      <c r="AH6261" s="60"/>
    </row>
    <row r="6262" spans="1:34" ht="15.75" customHeight="1">
      <c r="A6262" s="303"/>
      <c r="B6262" s="38"/>
      <c r="C6262" s="37"/>
      <c r="D6262" s="20"/>
      <c r="E6262" s="25"/>
      <c r="F6262" s="37"/>
      <c r="G6262" s="37"/>
      <c r="H6262" s="37"/>
      <c r="I6262" s="37"/>
      <c r="J6262" s="37"/>
      <c r="K6262" s="22"/>
      <c r="L6262" s="56"/>
      <c r="P6262" s="40"/>
      <c r="Q6262" s="61"/>
      <c r="R6262" s="61"/>
      <c r="S6262" s="40"/>
      <c r="T6262" s="38"/>
      <c r="U6262" s="38"/>
      <c r="V6262" s="38"/>
      <c r="W6262" s="60"/>
      <c r="AB6262" s="42"/>
      <c r="AC6262" s="35"/>
      <c r="AD6262" s="38"/>
      <c r="AE6262" s="38"/>
      <c r="AF6262" s="38"/>
      <c r="AG6262" s="38"/>
      <c r="AH6262" s="60"/>
    </row>
    <row r="6263" spans="1:34" ht="15.75" customHeight="1">
      <c r="A6263" s="303"/>
      <c r="B6263" s="38"/>
      <c r="C6263" s="37"/>
      <c r="D6263" s="20"/>
      <c r="E6263" s="25"/>
      <c r="F6263" s="37"/>
      <c r="G6263" s="37"/>
      <c r="H6263" s="37"/>
      <c r="I6263" s="37"/>
      <c r="J6263" s="37"/>
      <c r="K6263" s="22"/>
      <c r="L6263" s="56"/>
      <c r="P6263" s="40"/>
      <c r="Q6263" s="61"/>
      <c r="R6263" s="61"/>
      <c r="S6263" s="40"/>
      <c r="T6263" s="38"/>
      <c r="U6263" s="38"/>
      <c r="V6263" s="38"/>
      <c r="W6263" s="60"/>
      <c r="AB6263" s="42"/>
      <c r="AC6263" s="35"/>
      <c r="AD6263" s="38"/>
      <c r="AE6263" s="38"/>
      <c r="AF6263" s="38"/>
      <c r="AG6263" s="38"/>
      <c r="AH6263" s="60"/>
    </row>
    <row r="6264" spans="1:34" ht="15.75" customHeight="1">
      <c r="A6264" s="303"/>
      <c r="B6264" s="38"/>
      <c r="C6264" s="37"/>
      <c r="D6264" s="20"/>
      <c r="E6264" s="25"/>
      <c r="F6264" s="37"/>
      <c r="G6264" s="37"/>
      <c r="H6264" s="37"/>
      <c r="I6264" s="37"/>
      <c r="J6264" s="37"/>
      <c r="K6264" s="22"/>
      <c r="L6264" s="56"/>
      <c r="P6264" s="40"/>
      <c r="Q6264" s="61"/>
      <c r="R6264" s="61"/>
      <c r="S6264" s="40"/>
      <c r="T6264" s="38"/>
      <c r="U6264" s="38"/>
      <c r="V6264" s="38"/>
      <c r="W6264" s="60"/>
      <c r="AB6264" s="42"/>
      <c r="AC6264" s="35"/>
      <c r="AD6264" s="38"/>
      <c r="AE6264" s="38"/>
      <c r="AF6264" s="38"/>
      <c r="AG6264" s="38"/>
      <c r="AH6264" s="60"/>
    </row>
    <row r="6265" spans="1:34" ht="15.75" customHeight="1">
      <c r="A6265" s="303"/>
      <c r="B6265" s="38"/>
      <c r="C6265" s="37"/>
      <c r="D6265" s="20"/>
      <c r="E6265" s="25"/>
      <c r="F6265" s="37"/>
      <c r="G6265" s="37"/>
      <c r="H6265" s="37"/>
      <c r="I6265" s="37"/>
      <c r="J6265" s="37"/>
      <c r="K6265" s="22"/>
      <c r="L6265" s="56"/>
      <c r="P6265" s="40"/>
      <c r="Q6265" s="61"/>
      <c r="R6265" s="61"/>
      <c r="S6265" s="40"/>
      <c r="T6265" s="38"/>
      <c r="U6265" s="38"/>
      <c r="V6265" s="38"/>
      <c r="W6265" s="60"/>
      <c r="AB6265" s="42"/>
      <c r="AC6265" s="35"/>
      <c r="AD6265" s="38"/>
      <c r="AE6265" s="38"/>
      <c r="AF6265" s="38"/>
      <c r="AG6265" s="38"/>
      <c r="AH6265" s="60"/>
    </row>
    <row r="6266" spans="1:34" ht="15.75" customHeight="1">
      <c r="A6266" s="303"/>
      <c r="B6266" s="38"/>
      <c r="C6266" s="37"/>
      <c r="D6266" s="20"/>
      <c r="E6266" s="25"/>
      <c r="F6266" s="37"/>
      <c r="G6266" s="37"/>
      <c r="H6266" s="37"/>
      <c r="I6266" s="37"/>
      <c r="J6266" s="37"/>
      <c r="K6266" s="22"/>
      <c r="L6266" s="56"/>
      <c r="P6266" s="40"/>
      <c r="Q6266" s="61"/>
      <c r="R6266" s="61"/>
      <c r="S6266" s="40"/>
      <c r="T6266" s="38"/>
      <c r="U6266" s="38"/>
      <c r="V6266" s="38"/>
      <c r="W6266" s="60"/>
      <c r="AB6266" s="42"/>
      <c r="AC6266" s="35"/>
      <c r="AD6266" s="38"/>
      <c r="AE6266" s="38"/>
      <c r="AF6266" s="38"/>
      <c r="AG6266" s="38"/>
      <c r="AH6266" s="60"/>
    </row>
    <row r="6267" spans="1:34" ht="15.75" customHeight="1">
      <c r="A6267" s="303"/>
      <c r="B6267" s="38"/>
      <c r="C6267" s="37"/>
      <c r="D6267" s="20"/>
      <c r="E6267" s="25"/>
      <c r="F6267" s="37"/>
      <c r="G6267" s="37"/>
      <c r="H6267" s="37"/>
      <c r="I6267" s="37"/>
      <c r="J6267" s="37"/>
      <c r="K6267" s="22"/>
      <c r="L6267" s="56"/>
      <c r="P6267" s="40"/>
      <c r="Q6267" s="61"/>
      <c r="R6267" s="61"/>
      <c r="S6267" s="40"/>
      <c r="T6267" s="38"/>
      <c r="U6267" s="38"/>
      <c r="V6267" s="38"/>
      <c r="W6267" s="60"/>
      <c r="AB6267" s="42"/>
      <c r="AC6267" s="35"/>
      <c r="AD6267" s="38"/>
      <c r="AE6267" s="38"/>
      <c r="AF6267" s="38"/>
      <c r="AG6267" s="38"/>
      <c r="AH6267" s="60"/>
    </row>
    <row r="6268" spans="1:34" ht="15.75" customHeight="1">
      <c r="A6268" s="303"/>
      <c r="B6268" s="38"/>
      <c r="C6268" s="37"/>
      <c r="D6268" s="20"/>
      <c r="E6268" s="25"/>
      <c r="F6268" s="37"/>
      <c r="G6268" s="37"/>
      <c r="H6268" s="37"/>
      <c r="I6268" s="37"/>
      <c r="J6268" s="37"/>
      <c r="K6268" s="22"/>
      <c r="L6268" s="56"/>
      <c r="P6268" s="40"/>
      <c r="Q6268" s="61"/>
      <c r="R6268" s="61"/>
      <c r="S6268" s="40"/>
      <c r="T6268" s="38"/>
      <c r="U6268" s="38"/>
      <c r="V6268" s="38"/>
      <c r="W6268" s="60"/>
      <c r="AB6268" s="42"/>
      <c r="AC6268" s="35"/>
      <c r="AD6268" s="38"/>
      <c r="AE6268" s="38"/>
      <c r="AF6268" s="38"/>
      <c r="AG6268" s="38"/>
      <c r="AH6268" s="60"/>
    </row>
    <row r="6269" spans="1:34" ht="15.75" customHeight="1">
      <c r="A6269" s="303"/>
      <c r="B6269" s="38"/>
      <c r="C6269" s="37"/>
      <c r="D6269" s="20"/>
      <c r="E6269" s="25"/>
      <c r="F6269" s="37"/>
      <c r="G6269" s="37"/>
      <c r="H6269" s="37"/>
      <c r="I6269" s="37"/>
      <c r="J6269" s="37"/>
      <c r="K6269" s="22"/>
      <c r="L6269" s="56"/>
      <c r="P6269" s="40"/>
      <c r="Q6269" s="61"/>
      <c r="R6269" s="61"/>
      <c r="S6269" s="40"/>
      <c r="T6269" s="38"/>
      <c r="U6269" s="38"/>
      <c r="V6269" s="38"/>
      <c r="W6269" s="60"/>
      <c r="AB6269" s="42"/>
      <c r="AC6269" s="35"/>
      <c r="AD6269" s="38"/>
      <c r="AE6269" s="38"/>
      <c r="AF6269" s="38"/>
      <c r="AG6269" s="38"/>
      <c r="AH6269" s="60"/>
    </row>
    <row r="6270" spans="1:34" ht="15.75" customHeight="1">
      <c r="A6270" s="303"/>
      <c r="B6270" s="38"/>
      <c r="C6270" s="37"/>
      <c r="D6270" s="20"/>
      <c r="E6270" s="25"/>
      <c r="F6270" s="37"/>
      <c r="G6270" s="37"/>
      <c r="H6270" s="37"/>
      <c r="I6270" s="37"/>
      <c r="J6270" s="37"/>
      <c r="K6270" s="22"/>
      <c r="L6270" s="56"/>
      <c r="P6270" s="40"/>
      <c r="Q6270" s="61"/>
      <c r="R6270" s="61"/>
      <c r="S6270" s="40"/>
      <c r="T6270" s="38"/>
      <c r="U6270" s="38"/>
      <c r="V6270" s="38"/>
      <c r="W6270" s="60"/>
      <c r="AB6270" s="42"/>
      <c r="AC6270" s="35"/>
      <c r="AD6270" s="38"/>
      <c r="AE6270" s="38"/>
      <c r="AF6270" s="38"/>
      <c r="AG6270" s="38"/>
      <c r="AH6270" s="60"/>
    </row>
    <row r="6271" spans="1:34" ht="15.75" customHeight="1">
      <c r="A6271" s="303"/>
      <c r="B6271" s="38"/>
      <c r="C6271" s="37"/>
      <c r="D6271" s="20"/>
      <c r="E6271" s="25"/>
      <c r="F6271" s="37"/>
      <c r="G6271" s="37"/>
      <c r="H6271" s="37"/>
      <c r="I6271" s="37"/>
      <c r="J6271" s="37"/>
      <c r="K6271" s="22"/>
      <c r="L6271" s="56"/>
      <c r="P6271" s="40"/>
      <c r="Q6271" s="61"/>
      <c r="R6271" s="61"/>
      <c r="S6271" s="40"/>
      <c r="T6271" s="38"/>
      <c r="U6271" s="38"/>
      <c r="V6271" s="38"/>
      <c r="W6271" s="60"/>
      <c r="AB6271" s="42"/>
      <c r="AC6271" s="35"/>
      <c r="AD6271" s="38"/>
      <c r="AE6271" s="38"/>
      <c r="AF6271" s="38"/>
      <c r="AG6271" s="38"/>
      <c r="AH6271" s="60"/>
    </row>
    <row r="6272" spans="1:34" ht="15.75" customHeight="1">
      <c r="A6272" s="303"/>
      <c r="B6272" s="38"/>
      <c r="C6272" s="37"/>
      <c r="D6272" s="20"/>
      <c r="E6272" s="25"/>
      <c r="F6272" s="37"/>
      <c r="G6272" s="37"/>
      <c r="H6272" s="37"/>
      <c r="I6272" s="37"/>
      <c r="J6272" s="37"/>
      <c r="K6272" s="22"/>
      <c r="L6272" s="56"/>
      <c r="P6272" s="40"/>
      <c r="Q6272" s="61"/>
      <c r="R6272" s="61"/>
      <c r="S6272" s="40"/>
      <c r="T6272" s="38"/>
      <c r="U6272" s="38"/>
      <c r="V6272" s="38"/>
      <c r="W6272" s="60"/>
      <c r="AB6272" s="42"/>
      <c r="AC6272" s="35"/>
      <c r="AD6272" s="38"/>
      <c r="AE6272" s="38"/>
      <c r="AF6272" s="38"/>
      <c r="AG6272" s="38"/>
      <c r="AH6272" s="60"/>
    </row>
    <row r="6273" spans="1:34" ht="15.75" customHeight="1">
      <c r="A6273" s="303"/>
      <c r="B6273" s="38"/>
      <c r="C6273" s="37"/>
      <c r="D6273" s="20"/>
      <c r="E6273" s="25"/>
      <c r="F6273" s="37"/>
      <c r="G6273" s="37"/>
      <c r="H6273" s="37"/>
      <c r="I6273" s="37"/>
      <c r="J6273" s="37"/>
      <c r="K6273" s="22"/>
      <c r="L6273" s="56"/>
      <c r="P6273" s="40"/>
      <c r="Q6273" s="61"/>
      <c r="R6273" s="61"/>
      <c r="S6273" s="40"/>
      <c r="T6273" s="38"/>
      <c r="U6273" s="38"/>
      <c r="V6273" s="38"/>
      <c r="W6273" s="60"/>
      <c r="AB6273" s="42"/>
      <c r="AC6273" s="35"/>
      <c r="AD6273" s="38"/>
      <c r="AE6273" s="38"/>
      <c r="AF6273" s="38"/>
      <c r="AG6273" s="38"/>
      <c r="AH6273" s="60"/>
    </row>
    <row r="6274" spans="1:34" ht="15.75" customHeight="1">
      <c r="A6274" s="303"/>
      <c r="B6274" s="38"/>
      <c r="C6274" s="37"/>
      <c r="D6274" s="20"/>
      <c r="E6274" s="25"/>
      <c r="F6274" s="37"/>
      <c r="G6274" s="37"/>
      <c r="H6274" s="37"/>
      <c r="I6274" s="37"/>
      <c r="J6274" s="37"/>
      <c r="K6274" s="22"/>
      <c r="L6274" s="56"/>
      <c r="P6274" s="40"/>
      <c r="Q6274" s="61"/>
      <c r="R6274" s="61"/>
      <c r="S6274" s="40"/>
      <c r="T6274" s="38"/>
      <c r="U6274" s="38"/>
      <c r="V6274" s="38"/>
      <c r="W6274" s="60"/>
      <c r="AB6274" s="42"/>
      <c r="AC6274" s="35"/>
      <c r="AD6274" s="38"/>
      <c r="AE6274" s="38"/>
      <c r="AF6274" s="38"/>
      <c r="AG6274" s="38"/>
      <c r="AH6274" s="60"/>
    </row>
    <row r="6275" spans="1:34" ht="15.75" customHeight="1">
      <c r="A6275" s="303"/>
      <c r="B6275" s="38"/>
      <c r="C6275" s="37"/>
      <c r="D6275" s="20"/>
      <c r="E6275" s="25"/>
      <c r="F6275" s="37"/>
      <c r="G6275" s="37"/>
      <c r="H6275" s="37"/>
      <c r="I6275" s="37"/>
      <c r="J6275" s="37"/>
      <c r="K6275" s="22"/>
      <c r="L6275" s="56"/>
      <c r="P6275" s="40"/>
      <c r="Q6275" s="61"/>
      <c r="R6275" s="61"/>
      <c r="S6275" s="40"/>
      <c r="T6275" s="38"/>
      <c r="U6275" s="38"/>
      <c r="V6275" s="38"/>
      <c r="W6275" s="60"/>
      <c r="AB6275" s="42"/>
      <c r="AC6275" s="35"/>
      <c r="AD6275" s="38"/>
      <c r="AE6275" s="38"/>
      <c r="AF6275" s="38"/>
      <c r="AG6275" s="38"/>
      <c r="AH6275" s="60"/>
    </row>
    <row r="6276" spans="1:34" ht="15.75" customHeight="1">
      <c r="A6276" s="303"/>
      <c r="B6276" s="38"/>
      <c r="C6276" s="37"/>
      <c r="D6276" s="20"/>
      <c r="E6276" s="25"/>
      <c r="F6276" s="37"/>
      <c r="G6276" s="37"/>
      <c r="H6276" s="37"/>
      <c r="I6276" s="37"/>
      <c r="J6276" s="37"/>
      <c r="K6276" s="22"/>
      <c r="L6276" s="56"/>
      <c r="P6276" s="40"/>
      <c r="Q6276" s="61"/>
      <c r="R6276" s="61"/>
      <c r="S6276" s="40"/>
      <c r="T6276" s="38"/>
      <c r="U6276" s="38"/>
      <c r="V6276" s="38"/>
      <c r="W6276" s="60"/>
      <c r="AB6276" s="42"/>
      <c r="AC6276" s="35"/>
      <c r="AD6276" s="38"/>
      <c r="AE6276" s="38"/>
      <c r="AF6276" s="38"/>
      <c r="AG6276" s="38"/>
      <c r="AH6276" s="60"/>
    </row>
    <row r="6277" spans="1:34" ht="15.75" customHeight="1">
      <c r="A6277" s="303"/>
      <c r="B6277" s="38"/>
      <c r="C6277" s="37"/>
      <c r="D6277" s="20"/>
      <c r="E6277" s="25"/>
      <c r="F6277" s="37"/>
      <c r="G6277" s="37"/>
      <c r="H6277" s="37"/>
      <c r="I6277" s="37"/>
      <c r="J6277" s="37"/>
      <c r="K6277" s="22"/>
      <c r="L6277" s="56"/>
      <c r="P6277" s="40"/>
      <c r="Q6277" s="61"/>
      <c r="R6277" s="61"/>
      <c r="S6277" s="40"/>
      <c r="T6277" s="38"/>
      <c r="U6277" s="38"/>
      <c r="V6277" s="38"/>
      <c r="W6277" s="60"/>
      <c r="AB6277" s="42"/>
      <c r="AC6277" s="35"/>
      <c r="AD6277" s="38"/>
      <c r="AE6277" s="38"/>
      <c r="AF6277" s="38"/>
      <c r="AG6277" s="38"/>
      <c r="AH6277" s="60"/>
    </row>
    <row r="6278" spans="1:34" ht="15.75" customHeight="1">
      <c r="A6278" s="303"/>
      <c r="B6278" s="38"/>
      <c r="C6278" s="37"/>
      <c r="D6278" s="20"/>
      <c r="E6278" s="25"/>
      <c r="F6278" s="37"/>
      <c r="G6278" s="37"/>
      <c r="H6278" s="37"/>
      <c r="I6278" s="37"/>
      <c r="J6278" s="37"/>
      <c r="K6278" s="22"/>
      <c r="L6278" s="56"/>
      <c r="P6278" s="40"/>
      <c r="Q6278" s="61"/>
      <c r="R6278" s="61"/>
      <c r="S6278" s="40"/>
      <c r="T6278" s="38"/>
      <c r="U6278" s="38"/>
      <c r="V6278" s="38"/>
      <c r="W6278" s="60"/>
      <c r="AB6278" s="42"/>
      <c r="AC6278" s="35"/>
      <c r="AD6278" s="38"/>
      <c r="AE6278" s="38"/>
      <c r="AF6278" s="38"/>
      <c r="AG6278" s="38"/>
      <c r="AH6278" s="60"/>
    </row>
    <row r="6279" spans="1:34" ht="15.75" customHeight="1">
      <c r="A6279" s="303"/>
      <c r="B6279" s="38"/>
      <c r="C6279" s="37"/>
      <c r="D6279" s="20"/>
      <c r="E6279" s="25"/>
      <c r="F6279" s="37"/>
      <c r="G6279" s="37"/>
      <c r="H6279" s="37"/>
      <c r="I6279" s="37"/>
      <c r="J6279" s="37"/>
      <c r="K6279" s="22"/>
      <c r="L6279" s="56"/>
      <c r="P6279" s="40"/>
      <c r="Q6279" s="61"/>
      <c r="R6279" s="61"/>
      <c r="S6279" s="40"/>
      <c r="T6279" s="38"/>
      <c r="U6279" s="38"/>
      <c r="V6279" s="38"/>
      <c r="W6279" s="60"/>
      <c r="AB6279" s="42"/>
      <c r="AC6279" s="35"/>
      <c r="AD6279" s="38"/>
      <c r="AE6279" s="38"/>
      <c r="AF6279" s="38"/>
      <c r="AG6279" s="38"/>
      <c r="AH6279" s="60"/>
    </row>
    <row r="6280" spans="1:34" ht="15.75" customHeight="1">
      <c r="A6280" s="303"/>
      <c r="B6280" s="38"/>
      <c r="C6280" s="37"/>
      <c r="D6280" s="20"/>
      <c r="E6280" s="25"/>
      <c r="F6280" s="37"/>
      <c r="G6280" s="37"/>
      <c r="H6280" s="37"/>
      <c r="I6280" s="37"/>
      <c r="J6280" s="37"/>
      <c r="K6280" s="22"/>
      <c r="L6280" s="56"/>
      <c r="P6280" s="40"/>
      <c r="Q6280" s="61"/>
      <c r="R6280" s="61"/>
      <c r="S6280" s="40"/>
      <c r="T6280" s="38"/>
      <c r="U6280" s="38"/>
      <c r="V6280" s="38"/>
      <c r="W6280" s="60"/>
      <c r="AB6280" s="42"/>
      <c r="AC6280" s="35"/>
      <c r="AD6280" s="38"/>
      <c r="AE6280" s="38"/>
      <c r="AF6280" s="38"/>
      <c r="AG6280" s="38"/>
      <c r="AH6280" s="60"/>
    </row>
    <row r="6281" spans="1:34" ht="15.75" customHeight="1">
      <c r="A6281" s="303"/>
      <c r="B6281" s="38"/>
      <c r="C6281" s="37"/>
      <c r="D6281" s="20"/>
      <c r="E6281" s="25"/>
      <c r="F6281" s="37"/>
      <c r="G6281" s="37"/>
      <c r="H6281" s="37"/>
      <c r="I6281" s="37"/>
      <c r="J6281" s="37"/>
      <c r="K6281" s="22"/>
      <c r="L6281" s="56"/>
      <c r="P6281" s="40"/>
      <c r="Q6281" s="61"/>
      <c r="R6281" s="61"/>
      <c r="S6281" s="40"/>
      <c r="T6281" s="38"/>
      <c r="U6281" s="38"/>
      <c r="V6281" s="38"/>
      <c r="W6281" s="60"/>
      <c r="AB6281" s="42"/>
      <c r="AC6281" s="35"/>
      <c r="AD6281" s="38"/>
      <c r="AE6281" s="38"/>
      <c r="AF6281" s="38"/>
      <c r="AG6281" s="38"/>
      <c r="AH6281" s="60"/>
    </row>
    <row r="6282" spans="1:34" ht="15.75" customHeight="1">
      <c r="A6282" s="303"/>
      <c r="B6282" s="38"/>
      <c r="C6282" s="37"/>
      <c r="D6282" s="20"/>
      <c r="E6282" s="25"/>
      <c r="F6282" s="37"/>
      <c r="G6282" s="37"/>
      <c r="H6282" s="37"/>
      <c r="I6282" s="37"/>
      <c r="J6282" s="37"/>
      <c r="K6282" s="22"/>
      <c r="L6282" s="56"/>
      <c r="P6282" s="40"/>
      <c r="Q6282" s="61"/>
      <c r="R6282" s="61"/>
      <c r="S6282" s="40"/>
      <c r="T6282" s="38"/>
      <c r="U6282" s="38"/>
      <c r="V6282" s="38"/>
      <c r="W6282" s="60"/>
      <c r="AB6282" s="42"/>
      <c r="AC6282" s="35"/>
      <c r="AD6282" s="38"/>
      <c r="AE6282" s="38"/>
      <c r="AF6282" s="38"/>
      <c r="AG6282" s="38"/>
      <c r="AH6282" s="60"/>
    </row>
    <row r="6283" spans="1:34" ht="15.75" customHeight="1">
      <c r="A6283" s="303"/>
      <c r="B6283" s="38"/>
      <c r="C6283" s="37"/>
      <c r="D6283" s="20"/>
      <c r="E6283" s="25"/>
      <c r="F6283" s="37"/>
      <c r="G6283" s="37"/>
      <c r="H6283" s="37"/>
      <c r="I6283" s="37"/>
      <c r="J6283" s="37"/>
      <c r="K6283" s="22"/>
      <c r="L6283" s="56"/>
      <c r="P6283" s="40"/>
      <c r="Q6283" s="61"/>
      <c r="R6283" s="61"/>
      <c r="S6283" s="40"/>
      <c r="T6283" s="38"/>
      <c r="U6283" s="38"/>
      <c r="V6283" s="38"/>
      <c r="W6283" s="60"/>
      <c r="AB6283" s="42"/>
      <c r="AC6283" s="35"/>
      <c r="AD6283" s="38"/>
      <c r="AE6283" s="38"/>
      <c r="AF6283" s="38"/>
      <c r="AG6283" s="38"/>
      <c r="AH6283" s="60"/>
    </row>
    <row r="6284" spans="1:34" ht="15.75" customHeight="1">
      <c r="A6284" s="303"/>
      <c r="B6284" s="38"/>
      <c r="C6284" s="37"/>
      <c r="D6284" s="20"/>
      <c r="E6284" s="25"/>
      <c r="F6284" s="37"/>
      <c r="G6284" s="37"/>
      <c r="H6284" s="37"/>
      <c r="I6284" s="37"/>
      <c r="J6284" s="37"/>
      <c r="K6284" s="22"/>
      <c r="L6284" s="56"/>
      <c r="P6284" s="40"/>
      <c r="Q6284" s="61"/>
      <c r="R6284" s="61"/>
      <c r="S6284" s="40"/>
      <c r="T6284" s="38"/>
      <c r="U6284" s="38"/>
      <c r="V6284" s="38"/>
      <c r="W6284" s="60"/>
      <c r="AB6284" s="42"/>
      <c r="AC6284" s="35"/>
      <c r="AD6284" s="38"/>
      <c r="AE6284" s="38"/>
      <c r="AF6284" s="38"/>
      <c r="AG6284" s="38"/>
      <c r="AH6284" s="60"/>
    </row>
    <row r="6285" spans="1:34" ht="15.75" customHeight="1">
      <c r="A6285" s="303"/>
      <c r="B6285" s="38"/>
      <c r="C6285" s="37"/>
      <c r="D6285" s="20"/>
      <c r="E6285" s="25"/>
      <c r="F6285" s="37"/>
      <c r="G6285" s="37"/>
      <c r="H6285" s="37"/>
      <c r="I6285" s="37"/>
      <c r="J6285" s="37"/>
      <c r="K6285" s="22"/>
      <c r="L6285" s="56"/>
      <c r="P6285" s="40"/>
      <c r="Q6285" s="61"/>
      <c r="R6285" s="61"/>
      <c r="S6285" s="40"/>
      <c r="T6285" s="38"/>
      <c r="U6285" s="38"/>
      <c r="V6285" s="38"/>
      <c r="W6285" s="60"/>
      <c r="AB6285" s="42"/>
      <c r="AC6285" s="35"/>
      <c r="AD6285" s="38"/>
      <c r="AE6285" s="38"/>
      <c r="AF6285" s="38"/>
      <c r="AG6285" s="38"/>
      <c r="AH6285" s="60"/>
    </row>
    <row r="6286" spans="1:34" ht="15.75" customHeight="1">
      <c r="A6286" s="303"/>
      <c r="B6286" s="38"/>
      <c r="C6286" s="37"/>
      <c r="D6286" s="20"/>
      <c r="E6286" s="25"/>
      <c r="F6286" s="37"/>
      <c r="G6286" s="37"/>
      <c r="H6286" s="37"/>
      <c r="I6286" s="37"/>
      <c r="J6286" s="37"/>
      <c r="K6286" s="22"/>
      <c r="L6286" s="56"/>
      <c r="P6286" s="40"/>
      <c r="Q6286" s="61"/>
      <c r="R6286" s="61"/>
      <c r="S6286" s="40"/>
      <c r="T6286" s="38"/>
      <c r="U6286" s="38"/>
      <c r="V6286" s="38"/>
      <c r="W6286" s="60"/>
      <c r="AB6286" s="42"/>
      <c r="AC6286" s="35"/>
      <c r="AD6286" s="38"/>
      <c r="AE6286" s="38"/>
      <c r="AF6286" s="38"/>
      <c r="AG6286" s="38"/>
      <c r="AH6286" s="60"/>
    </row>
    <row r="6287" spans="1:34" ht="15.75" customHeight="1">
      <c r="A6287" s="303"/>
      <c r="B6287" s="38"/>
      <c r="C6287" s="37"/>
      <c r="D6287" s="20"/>
      <c r="E6287" s="25"/>
      <c r="F6287" s="37"/>
      <c r="G6287" s="37"/>
      <c r="H6287" s="37"/>
      <c r="I6287" s="37"/>
      <c r="J6287" s="37"/>
      <c r="K6287" s="22"/>
      <c r="L6287" s="56"/>
      <c r="P6287" s="40"/>
      <c r="Q6287" s="61"/>
      <c r="R6287" s="61"/>
      <c r="S6287" s="40"/>
      <c r="T6287" s="38"/>
      <c r="U6287" s="38"/>
      <c r="V6287" s="38"/>
      <c r="W6287" s="60"/>
      <c r="AB6287" s="42"/>
      <c r="AC6287" s="35"/>
      <c r="AD6287" s="38"/>
      <c r="AE6287" s="38"/>
      <c r="AF6287" s="38"/>
      <c r="AG6287" s="38"/>
      <c r="AH6287" s="60"/>
    </row>
    <row r="6288" spans="1:34" ht="15.75" customHeight="1">
      <c r="A6288" s="303"/>
      <c r="B6288" s="38"/>
      <c r="C6288" s="37"/>
      <c r="D6288" s="20"/>
      <c r="E6288" s="25"/>
      <c r="F6288" s="37"/>
      <c r="G6288" s="37"/>
      <c r="H6288" s="37"/>
      <c r="I6288" s="37"/>
      <c r="J6288" s="37"/>
      <c r="K6288" s="22"/>
      <c r="L6288" s="56"/>
      <c r="P6288" s="40"/>
      <c r="Q6288" s="61"/>
      <c r="R6288" s="61"/>
      <c r="S6288" s="40"/>
      <c r="T6288" s="38"/>
      <c r="U6288" s="38"/>
      <c r="V6288" s="38"/>
      <c r="W6288" s="60"/>
      <c r="AB6288" s="42"/>
      <c r="AC6288" s="35"/>
      <c r="AD6288" s="38"/>
      <c r="AE6288" s="38"/>
      <c r="AF6288" s="38"/>
      <c r="AG6288" s="38"/>
      <c r="AH6288" s="60"/>
    </row>
    <row r="6289" spans="1:34" ht="15.75" customHeight="1">
      <c r="A6289" s="303"/>
      <c r="B6289" s="38"/>
      <c r="C6289" s="37"/>
      <c r="D6289" s="20"/>
      <c r="E6289" s="25"/>
      <c r="F6289" s="37"/>
      <c r="G6289" s="37"/>
      <c r="H6289" s="37"/>
      <c r="I6289" s="37"/>
      <c r="J6289" s="37"/>
      <c r="K6289" s="22"/>
      <c r="L6289" s="56"/>
      <c r="P6289" s="40"/>
      <c r="Q6289" s="61"/>
      <c r="R6289" s="61"/>
      <c r="S6289" s="40"/>
      <c r="T6289" s="38"/>
      <c r="U6289" s="38"/>
      <c r="V6289" s="38"/>
      <c r="W6289" s="60"/>
      <c r="AB6289" s="42"/>
      <c r="AC6289" s="35"/>
      <c r="AD6289" s="38"/>
      <c r="AE6289" s="38"/>
      <c r="AF6289" s="38"/>
      <c r="AG6289" s="38"/>
      <c r="AH6289" s="60"/>
    </row>
    <row r="6290" spans="1:34" ht="15.75" customHeight="1">
      <c r="A6290" s="303"/>
      <c r="B6290" s="38"/>
      <c r="C6290" s="37"/>
      <c r="D6290" s="20"/>
      <c r="E6290" s="25"/>
      <c r="F6290" s="37"/>
      <c r="G6290" s="37"/>
      <c r="H6290" s="37"/>
      <c r="I6290" s="37"/>
      <c r="J6290" s="37"/>
      <c r="K6290" s="22"/>
      <c r="L6290" s="56"/>
      <c r="P6290" s="40"/>
      <c r="Q6290" s="61"/>
      <c r="R6290" s="61"/>
      <c r="S6290" s="40"/>
      <c r="T6290" s="38"/>
      <c r="U6290" s="38"/>
      <c r="V6290" s="38"/>
      <c r="W6290" s="60"/>
      <c r="AB6290" s="42"/>
      <c r="AC6290" s="35"/>
      <c r="AD6290" s="38"/>
      <c r="AE6290" s="38"/>
      <c r="AF6290" s="38"/>
      <c r="AG6290" s="38"/>
      <c r="AH6290" s="60"/>
    </row>
    <row r="6291" spans="1:34" ht="15.75" customHeight="1">
      <c r="A6291" s="303"/>
      <c r="B6291" s="38"/>
      <c r="C6291" s="37"/>
      <c r="D6291" s="20"/>
      <c r="E6291" s="25"/>
      <c r="F6291" s="37"/>
      <c r="G6291" s="37"/>
      <c r="H6291" s="37"/>
      <c r="I6291" s="37"/>
      <c r="J6291" s="37"/>
      <c r="K6291" s="22"/>
      <c r="L6291" s="56"/>
      <c r="P6291" s="40"/>
      <c r="Q6291" s="61"/>
      <c r="R6291" s="61"/>
      <c r="S6291" s="40"/>
      <c r="T6291" s="38"/>
      <c r="U6291" s="38"/>
      <c r="V6291" s="38"/>
      <c r="W6291" s="60"/>
      <c r="AB6291" s="42"/>
      <c r="AC6291" s="35"/>
      <c r="AD6291" s="38"/>
      <c r="AE6291" s="38"/>
      <c r="AF6291" s="38"/>
      <c r="AG6291" s="38"/>
      <c r="AH6291" s="60"/>
    </row>
    <row r="6292" spans="1:34" ht="15.75" customHeight="1">
      <c r="A6292" s="303"/>
      <c r="B6292" s="38"/>
      <c r="C6292" s="37"/>
      <c r="D6292" s="20"/>
      <c r="E6292" s="25"/>
      <c r="F6292" s="37"/>
      <c r="G6292" s="37"/>
      <c r="H6292" s="37"/>
      <c r="I6292" s="37"/>
      <c r="J6292" s="37"/>
      <c r="K6292" s="22"/>
      <c r="L6292" s="56"/>
      <c r="P6292" s="40"/>
      <c r="Q6292" s="61"/>
      <c r="R6292" s="61"/>
      <c r="S6292" s="40"/>
      <c r="T6292" s="38"/>
      <c r="U6292" s="38"/>
      <c r="V6292" s="38"/>
      <c r="W6292" s="60"/>
      <c r="AB6292" s="42"/>
      <c r="AC6292" s="35"/>
      <c r="AD6292" s="38"/>
      <c r="AE6292" s="38"/>
      <c r="AF6292" s="38"/>
      <c r="AG6292" s="38"/>
      <c r="AH6292" s="60"/>
    </row>
    <row r="6293" spans="1:34" ht="15.75" customHeight="1">
      <c r="A6293" s="303"/>
      <c r="B6293" s="38"/>
      <c r="C6293" s="37"/>
      <c r="D6293" s="20"/>
      <c r="E6293" s="25"/>
      <c r="F6293" s="37"/>
      <c r="G6293" s="37"/>
      <c r="H6293" s="37"/>
      <c r="I6293" s="37"/>
      <c r="J6293" s="37"/>
      <c r="K6293" s="22"/>
      <c r="L6293" s="56"/>
      <c r="P6293" s="40"/>
      <c r="Q6293" s="61"/>
      <c r="R6293" s="61"/>
      <c r="S6293" s="40"/>
      <c r="T6293" s="38"/>
      <c r="U6293" s="38"/>
      <c r="V6293" s="38"/>
      <c r="W6293" s="60"/>
      <c r="AB6293" s="42"/>
      <c r="AC6293" s="35"/>
      <c r="AD6293" s="38"/>
      <c r="AE6293" s="38"/>
      <c r="AF6293" s="38"/>
      <c r="AG6293" s="38"/>
      <c r="AH6293" s="60"/>
    </row>
    <row r="6294" spans="1:34" ht="15.75" customHeight="1">
      <c r="A6294" s="303"/>
      <c r="B6294" s="38"/>
      <c r="C6294" s="37"/>
      <c r="D6294" s="20"/>
      <c r="E6294" s="25"/>
      <c r="F6294" s="37"/>
      <c r="G6294" s="37"/>
      <c r="H6294" s="37"/>
      <c r="I6294" s="37"/>
      <c r="J6294" s="37"/>
      <c r="K6294" s="22"/>
      <c r="L6294" s="56"/>
      <c r="P6294" s="40"/>
      <c r="Q6294" s="61"/>
      <c r="R6294" s="61"/>
      <c r="S6294" s="40"/>
      <c r="T6294" s="38"/>
      <c r="U6294" s="38"/>
      <c r="V6294" s="38"/>
      <c r="W6294" s="60"/>
      <c r="AB6294" s="42"/>
      <c r="AC6294" s="35"/>
      <c r="AD6294" s="38"/>
      <c r="AE6294" s="38"/>
      <c r="AF6294" s="38"/>
      <c r="AG6294" s="38"/>
      <c r="AH6294" s="60"/>
    </row>
    <row r="6295" spans="1:34" ht="15.75" customHeight="1">
      <c r="A6295" s="303"/>
      <c r="B6295" s="38"/>
      <c r="C6295" s="37"/>
      <c r="D6295" s="20"/>
      <c r="E6295" s="25"/>
      <c r="F6295" s="37"/>
      <c r="G6295" s="37"/>
      <c r="H6295" s="37"/>
      <c r="I6295" s="37"/>
      <c r="J6295" s="37"/>
      <c r="K6295" s="22"/>
      <c r="L6295" s="56"/>
      <c r="P6295" s="40"/>
      <c r="Q6295" s="61"/>
      <c r="R6295" s="61"/>
      <c r="S6295" s="40"/>
      <c r="T6295" s="38"/>
      <c r="U6295" s="38"/>
      <c r="V6295" s="38"/>
      <c r="W6295" s="60"/>
      <c r="AB6295" s="42"/>
      <c r="AC6295" s="35"/>
      <c r="AD6295" s="38"/>
      <c r="AE6295" s="38"/>
      <c r="AF6295" s="38"/>
      <c r="AG6295" s="38"/>
      <c r="AH6295" s="60"/>
    </row>
    <row r="6296" spans="1:34" ht="15.75" customHeight="1">
      <c r="A6296" s="303"/>
      <c r="B6296" s="38"/>
      <c r="C6296" s="37"/>
      <c r="D6296" s="20"/>
      <c r="E6296" s="25"/>
      <c r="F6296" s="37"/>
      <c r="G6296" s="37"/>
      <c r="H6296" s="37"/>
      <c r="I6296" s="37"/>
      <c r="J6296" s="37"/>
      <c r="K6296" s="22"/>
      <c r="L6296" s="56"/>
      <c r="P6296" s="40"/>
      <c r="Q6296" s="61"/>
      <c r="R6296" s="61"/>
      <c r="S6296" s="40"/>
      <c r="T6296" s="38"/>
      <c r="U6296" s="38"/>
      <c r="V6296" s="38"/>
      <c r="W6296" s="60"/>
      <c r="AB6296" s="42"/>
      <c r="AC6296" s="35"/>
      <c r="AD6296" s="38"/>
      <c r="AE6296" s="38"/>
      <c r="AF6296" s="38"/>
      <c r="AG6296" s="38"/>
      <c r="AH6296" s="60"/>
    </row>
    <row r="6297" spans="1:34" ht="15.75" customHeight="1">
      <c r="A6297" s="303"/>
      <c r="B6297" s="38"/>
      <c r="C6297" s="37"/>
      <c r="D6297" s="20"/>
      <c r="E6297" s="25"/>
      <c r="F6297" s="37"/>
      <c r="G6297" s="37"/>
      <c r="H6297" s="37"/>
      <c r="I6297" s="37"/>
      <c r="J6297" s="37"/>
      <c r="K6297" s="22"/>
      <c r="L6297" s="56"/>
      <c r="P6297" s="40"/>
      <c r="Q6297" s="61"/>
      <c r="R6297" s="61"/>
      <c r="S6297" s="40"/>
      <c r="T6297" s="38"/>
      <c r="U6297" s="38"/>
      <c r="V6297" s="38"/>
      <c r="W6297" s="60"/>
      <c r="AB6297" s="42"/>
      <c r="AC6297" s="35"/>
      <c r="AD6297" s="38"/>
      <c r="AE6297" s="38"/>
      <c r="AF6297" s="38"/>
      <c r="AG6297" s="38"/>
      <c r="AH6297" s="60"/>
    </row>
    <row r="6298" spans="1:34" ht="15.75" customHeight="1">
      <c r="A6298" s="303"/>
      <c r="B6298" s="38"/>
      <c r="C6298" s="37"/>
      <c r="D6298" s="20"/>
      <c r="E6298" s="25"/>
      <c r="F6298" s="37"/>
      <c r="G6298" s="37"/>
      <c r="H6298" s="37"/>
      <c r="I6298" s="37"/>
      <c r="J6298" s="37"/>
      <c r="K6298" s="22"/>
      <c r="L6298" s="56"/>
      <c r="P6298" s="40"/>
      <c r="Q6298" s="61"/>
      <c r="R6298" s="61"/>
      <c r="S6298" s="40"/>
      <c r="T6298" s="38"/>
      <c r="U6298" s="38"/>
      <c r="V6298" s="38"/>
      <c r="W6298" s="60"/>
      <c r="AB6298" s="42"/>
      <c r="AC6298" s="35"/>
      <c r="AD6298" s="38"/>
      <c r="AE6298" s="38"/>
      <c r="AF6298" s="38"/>
      <c r="AG6298" s="38"/>
      <c r="AH6298" s="60"/>
    </row>
    <row r="6299" spans="1:34" ht="15.75" customHeight="1">
      <c r="A6299" s="303"/>
      <c r="B6299" s="38"/>
      <c r="C6299" s="37"/>
      <c r="D6299" s="20"/>
      <c r="E6299" s="25"/>
      <c r="F6299" s="37"/>
      <c r="G6299" s="37"/>
      <c r="H6299" s="37"/>
      <c r="I6299" s="37"/>
      <c r="J6299" s="37"/>
      <c r="K6299" s="22"/>
      <c r="L6299" s="56"/>
      <c r="P6299" s="40"/>
      <c r="Q6299" s="61"/>
      <c r="R6299" s="61"/>
      <c r="S6299" s="40"/>
      <c r="T6299" s="38"/>
      <c r="U6299" s="38"/>
      <c r="V6299" s="38"/>
      <c r="W6299" s="60"/>
      <c r="AB6299" s="42"/>
      <c r="AC6299" s="35"/>
      <c r="AD6299" s="38"/>
      <c r="AE6299" s="38"/>
      <c r="AF6299" s="38"/>
      <c r="AG6299" s="38"/>
      <c r="AH6299" s="60"/>
    </row>
    <row r="6300" spans="1:34" ht="15.75" customHeight="1">
      <c r="A6300" s="303"/>
      <c r="B6300" s="38"/>
      <c r="C6300" s="37"/>
      <c r="D6300" s="20"/>
      <c r="E6300" s="25"/>
      <c r="F6300" s="37"/>
      <c r="G6300" s="37"/>
      <c r="H6300" s="37"/>
      <c r="I6300" s="37"/>
      <c r="J6300" s="37"/>
      <c r="K6300" s="22"/>
      <c r="L6300" s="56"/>
      <c r="P6300" s="40"/>
      <c r="Q6300" s="61"/>
      <c r="R6300" s="61"/>
      <c r="S6300" s="40"/>
      <c r="T6300" s="38"/>
      <c r="U6300" s="38"/>
      <c r="V6300" s="38"/>
      <c r="W6300" s="60"/>
      <c r="AB6300" s="42"/>
      <c r="AC6300" s="35"/>
      <c r="AD6300" s="38"/>
      <c r="AE6300" s="38"/>
      <c r="AF6300" s="38"/>
      <c r="AG6300" s="38"/>
      <c r="AH6300" s="60"/>
    </row>
    <row r="6301" spans="1:34" ht="15.75" customHeight="1">
      <c r="A6301" s="303"/>
      <c r="B6301" s="38"/>
      <c r="C6301" s="37"/>
      <c r="D6301" s="20"/>
      <c r="E6301" s="25"/>
      <c r="F6301" s="37"/>
      <c r="G6301" s="37"/>
      <c r="H6301" s="37"/>
      <c r="I6301" s="37"/>
      <c r="J6301" s="37"/>
      <c r="K6301" s="22"/>
      <c r="L6301" s="56"/>
      <c r="P6301" s="40"/>
      <c r="Q6301" s="61"/>
      <c r="R6301" s="61"/>
      <c r="S6301" s="40"/>
      <c r="T6301" s="38"/>
      <c r="U6301" s="38"/>
      <c r="V6301" s="38"/>
      <c r="W6301" s="60"/>
      <c r="AB6301" s="42"/>
      <c r="AC6301" s="35"/>
      <c r="AD6301" s="38"/>
      <c r="AE6301" s="38"/>
      <c r="AF6301" s="38"/>
      <c r="AG6301" s="38"/>
      <c r="AH6301" s="60"/>
    </row>
    <row r="6302" spans="1:34" ht="15.75" customHeight="1">
      <c r="A6302" s="303"/>
      <c r="B6302" s="38"/>
      <c r="C6302" s="37"/>
      <c r="D6302" s="20"/>
      <c r="E6302" s="25"/>
      <c r="F6302" s="37"/>
      <c r="G6302" s="37"/>
      <c r="H6302" s="37"/>
      <c r="I6302" s="37"/>
      <c r="J6302" s="37"/>
      <c r="K6302" s="22"/>
      <c r="L6302" s="56"/>
      <c r="P6302" s="40"/>
      <c r="Q6302" s="61"/>
      <c r="R6302" s="61"/>
      <c r="S6302" s="40"/>
      <c r="T6302" s="38"/>
      <c r="U6302" s="38"/>
      <c r="V6302" s="38"/>
      <c r="W6302" s="60"/>
      <c r="AB6302" s="42"/>
      <c r="AC6302" s="35"/>
      <c r="AD6302" s="38"/>
      <c r="AE6302" s="38"/>
      <c r="AF6302" s="38"/>
      <c r="AG6302" s="38"/>
      <c r="AH6302" s="60"/>
    </row>
    <row r="6303" spans="1:34" ht="15.75" customHeight="1">
      <c r="A6303" s="303"/>
      <c r="B6303" s="38"/>
      <c r="C6303" s="37"/>
      <c r="D6303" s="20"/>
      <c r="E6303" s="25"/>
      <c r="F6303" s="37"/>
      <c r="G6303" s="37"/>
      <c r="H6303" s="37"/>
      <c r="I6303" s="37"/>
      <c r="J6303" s="37"/>
      <c r="K6303" s="22"/>
      <c r="L6303" s="56"/>
      <c r="P6303" s="40"/>
      <c r="Q6303" s="61"/>
      <c r="R6303" s="61"/>
      <c r="S6303" s="40"/>
      <c r="T6303" s="38"/>
      <c r="U6303" s="38"/>
      <c r="V6303" s="38"/>
      <c r="W6303" s="60"/>
      <c r="AB6303" s="42"/>
      <c r="AC6303" s="35"/>
      <c r="AD6303" s="38"/>
      <c r="AE6303" s="38"/>
      <c r="AF6303" s="38"/>
      <c r="AG6303" s="38"/>
      <c r="AH6303" s="60"/>
    </row>
    <row r="6304" spans="1:34" ht="15.75" customHeight="1">
      <c r="A6304" s="303"/>
      <c r="B6304" s="38"/>
      <c r="C6304" s="37"/>
      <c r="D6304" s="20"/>
      <c r="E6304" s="25"/>
      <c r="F6304" s="37"/>
      <c r="G6304" s="37"/>
      <c r="H6304" s="37"/>
      <c r="I6304" s="37"/>
      <c r="J6304" s="37"/>
      <c r="K6304" s="22"/>
      <c r="L6304" s="56"/>
      <c r="P6304" s="40"/>
      <c r="Q6304" s="61"/>
      <c r="R6304" s="61"/>
      <c r="S6304" s="40"/>
      <c r="T6304" s="38"/>
      <c r="U6304" s="38"/>
      <c r="V6304" s="38"/>
      <c r="W6304" s="60"/>
      <c r="AB6304" s="42"/>
      <c r="AC6304" s="35"/>
      <c r="AD6304" s="38"/>
      <c r="AE6304" s="38"/>
      <c r="AF6304" s="38"/>
      <c r="AG6304" s="38"/>
      <c r="AH6304" s="60"/>
    </row>
    <row r="6305" spans="1:34" ht="15.75" customHeight="1">
      <c r="A6305" s="303"/>
      <c r="B6305" s="38"/>
      <c r="C6305" s="37"/>
      <c r="D6305" s="20"/>
      <c r="E6305" s="25"/>
      <c r="F6305" s="37"/>
      <c r="G6305" s="37"/>
      <c r="H6305" s="37"/>
      <c r="I6305" s="37"/>
      <c r="J6305" s="37"/>
      <c r="K6305" s="22"/>
      <c r="L6305" s="56"/>
      <c r="P6305" s="40"/>
      <c r="Q6305" s="61"/>
      <c r="R6305" s="61"/>
      <c r="S6305" s="40"/>
      <c r="T6305" s="38"/>
      <c r="U6305" s="38"/>
      <c r="V6305" s="38"/>
      <c r="W6305" s="60"/>
      <c r="AB6305" s="42"/>
      <c r="AC6305" s="35"/>
      <c r="AD6305" s="38"/>
      <c r="AE6305" s="38"/>
      <c r="AF6305" s="38"/>
      <c r="AG6305" s="38"/>
      <c r="AH6305" s="60"/>
    </row>
    <row r="6306" spans="1:34" ht="15.75" customHeight="1">
      <c r="A6306" s="303"/>
      <c r="B6306" s="38"/>
      <c r="C6306" s="37"/>
      <c r="D6306" s="20"/>
      <c r="E6306" s="25"/>
      <c r="F6306" s="37"/>
      <c r="G6306" s="37"/>
      <c r="H6306" s="37"/>
      <c r="I6306" s="37"/>
      <c r="J6306" s="37"/>
      <c r="K6306" s="22"/>
      <c r="L6306" s="56"/>
      <c r="P6306" s="40"/>
      <c r="Q6306" s="61"/>
      <c r="R6306" s="61"/>
      <c r="S6306" s="40"/>
      <c r="T6306" s="38"/>
      <c r="U6306" s="38"/>
      <c r="V6306" s="38"/>
      <c r="W6306" s="60"/>
      <c r="AB6306" s="42"/>
      <c r="AC6306" s="35"/>
      <c r="AD6306" s="38"/>
      <c r="AE6306" s="38"/>
      <c r="AF6306" s="38"/>
      <c r="AG6306" s="38"/>
      <c r="AH6306" s="60"/>
    </row>
    <row r="6307" spans="1:34" ht="15.75" customHeight="1">
      <c r="A6307" s="303"/>
      <c r="B6307" s="38"/>
      <c r="C6307" s="37"/>
      <c r="D6307" s="20"/>
      <c r="E6307" s="25"/>
      <c r="F6307" s="37"/>
      <c r="G6307" s="37"/>
      <c r="H6307" s="37"/>
      <c r="I6307" s="37"/>
      <c r="J6307" s="37"/>
      <c r="K6307" s="22"/>
      <c r="L6307" s="56"/>
      <c r="P6307" s="40"/>
      <c r="Q6307" s="61"/>
      <c r="R6307" s="61"/>
      <c r="S6307" s="40"/>
      <c r="T6307" s="38"/>
      <c r="U6307" s="38"/>
      <c r="V6307" s="38"/>
      <c r="W6307" s="60"/>
      <c r="AB6307" s="42"/>
      <c r="AC6307" s="35"/>
      <c r="AD6307" s="38"/>
      <c r="AE6307" s="38"/>
      <c r="AF6307" s="38"/>
      <c r="AG6307" s="38"/>
      <c r="AH6307" s="60"/>
    </row>
    <row r="6308" spans="1:34" ht="15.75" customHeight="1">
      <c r="A6308" s="303"/>
      <c r="B6308" s="38"/>
      <c r="C6308" s="37"/>
      <c r="D6308" s="20"/>
      <c r="E6308" s="25"/>
      <c r="F6308" s="37"/>
      <c r="G6308" s="37"/>
      <c r="H6308" s="37"/>
      <c r="I6308" s="37"/>
      <c r="J6308" s="37"/>
      <c r="K6308" s="22"/>
      <c r="L6308" s="56"/>
      <c r="P6308" s="40"/>
      <c r="Q6308" s="61"/>
      <c r="R6308" s="61"/>
      <c r="S6308" s="40"/>
      <c r="T6308" s="38"/>
      <c r="U6308" s="38"/>
      <c r="V6308" s="38"/>
      <c r="W6308" s="60"/>
      <c r="AB6308" s="42"/>
      <c r="AC6308" s="35"/>
      <c r="AD6308" s="38"/>
      <c r="AE6308" s="38"/>
      <c r="AF6308" s="38"/>
      <c r="AG6308" s="38"/>
      <c r="AH6308" s="60"/>
    </row>
    <row r="6309" spans="1:34" ht="15.75" customHeight="1">
      <c r="A6309" s="303"/>
      <c r="B6309" s="38"/>
      <c r="C6309" s="37"/>
      <c r="D6309" s="20"/>
      <c r="E6309" s="25"/>
      <c r="F6309" s="37"/>
      <c r="G6309" s="37"/>
      <c r="H6309" s="37"/>
      <c r="I6309" s="37"/>
      <c r="J6309" s="37"/>
      <c r="K6309" s="22"/>
      <c r="L6309" s="56"/>
      <c r="P6309" s="40"/>
      <c r="Q6309" s="61"/>
      <c r="R6309" s="61"/>
      <c r="S6309" s="40"/>
      <c r="T6309" s="38"/>
      <c r="U6309" s="38"/>
      <c r="V6309" s="38"/>
      <c r="W6309" s="60"/>
      <c r="AB6309" s="42"/>
      <c r="AC6309" s="35"/>
      <c r="AD6309" s="38"/>
      <c r="AE6309" s="38"/>
      <c r="AF6309" s="38"/>
      <c r="AG6309" s="38"/>
      <c r="AH6309" s="60"/>
    </row>
    <row r="6310" spans="1:34" ht="15.75" customHeight="1">
      <c r="A6310" s="303"/>
      <c r="B6310" s="38"/>
      <c r="C6310" s="37"/>
      <c r="D6310" s="20"/>
      <c r="E6310" s="25"/>
      <c r="F6310" s="37"/>
      <c r="G6310" s="37"/>
      <c r="H6310" s="37"/>
      <c r="I6310" s="37"/>
      <c r="J6310" s="37"/>
      <c r="K6310" s="22"/>
      <c r="L6310" s="56"/>
      <c r="P6310" s="40"/>
      <c r="Q6310" s="61"/>
      <c r="R6310" s="61"/>
      <c r="S6310" s="40"/>
      <c r="T6310" s="38"/>
      <c r="U6310" s="38"/>
      <c r="V6310" s="38"/>
      <c r="W6310" s="60"/>
      <c r="AB6310" s="42"/>
      <c r="AC6310" s="35"/>
      <c r="AD6310" s="38"/>
      <c r="AE6310" s="38"/>
      <c r="AF6310" s="38"/>
      <c r="AG6310" s="38"/>
      <c r="AH6310" s="60"/>
    </row>
    <row r="6311" spans="1:34" ht="15.75" customHeight="1">
      <c r="A6311" s="303"/>
      <c r="B6311" s="38"/>
      <c r="C6311" s="37"/>
      <c r="D6311" s="20"/>
      <c r="E6311" s="25"/>
      <c r="F6311" s="37"/>
      <c r="G6311" s="37"/>
      <c r="H6311" s="37"/>
      <c r="I6311" s="37"/>
      <c r="J6311" s="37"/>
      <c r="K6311" s="22"/>
      <c r="L6311" s="56"/>
      <c r="P6311" s="40"/>
      <c r="Q6311" s="61"/>
      <c r="R6311" s="61"/>
      <c r="S6311" s="40"/>
      <c r="T6311" s="38"/>
      <c r="U6311" s="38"/>
      <c r="V6311" s="38"/>
      <c r="W6311" s="60"/>
      <c r="AB6311" s="42"/>
      <c r="AC6311" s="35"/>
      <c r="AD6311" s="38"/>
      <c r="AE6311" s="38"/>
      <c r="AF6311" s="38"/>
      <c r="AG6311" s="38"/>
      <c r="AH6311" s="60"/>
    </row>
    <row r="6312" spans="1:34" ht="15.75" customHeight="1">
      <c r="A6312" s="303"/>
      <c r="B6312" s="38"/>
      <c r="C6312" s="37"/>
      <c r="D6312" s="20"/>
      <c r="E6312" s="25"/>
      <c r="F6312" s="37"/>
      <c r="G6312" s="37"/>
      <c r="H6312" s="37"/>
      <c r="I6312" s="37"/>
      <c r="J6312" s="37"/>
      <c r="K6312" s="22"/>
      <c r="L6312" s="56"/>
      <c r="P6312" s="40"/>
      <c r="Q6312" s="61"/>
      <c r="R6312" s="61"/>
      <c r="S6312" s="40"/>
      <c r="T6312" s="38"/>
      <c r="U6312" s="38"/>
      <c r="V6312" s="38"/>
      <c r="W6312" s="60"/>
      <c r="AB6312" s="42"/>
      <c r="AC6312" s="35"/>
      <c r="AD6312" s="38"/>
      <c r="AE6312" s="38"/>
      <c r="AF6312" s="38"/>
      <c r="AG6312" s="38"/>
      <c r="AH6312" s="60"/>
    </row>
    <row r="6313" spans="1:34" ht="15.75" customHeight="1">
      <c r="A6313" s="303"/>
      <c r="B6313" s="38"/>
      <c r="C6313" s="37"/>
      <c r="D6313" s="20"/>
      <c r="E6313" s="25"/>
      <c r="F6313" s="37"/>
      <c r="G6313" s="37"/>
      <c r="H6313" s="37"/>
      <c r="I6313" s="37"/>
      <c r="J6313" s="37"/>
      <c r="K6313" s="22"/>
      <c r="L6313" s="56"/>
      <c r="P6313" s="40"/>
      <c r="Q6313" s="61"/>
      <c r="R6313" s="61"/>
      <c r="S6313" s="40"/>
      <c r="T6313" s="38"/>
      <c r="U6313" s="38"/>
      <c r="V6313" s="38"/>
      <c r="W6313" s="60"/>
      <c r="AB6313" s="42"/>
      <c r="AC6313" s="35"/>
      <c r="AD6313" s="38"/>
      <c r="AE6313" s="38"/>
      <c r="AF6313" s="38"/>
      <c r="AG6313" s="38"/>
      <c r="AH6313" s="60"/>
    </row>
    <row r="6314" spans="1:34" ht="15.75" customHeight="1">
      <c r="A6314" s="303"/>
      <c r="B6314" s="38"/>
      <c r="C6314" s="37"/>
      <c r="D6314" s="20"/>
      <c r="E6314" s="25"/>
      <c r="F6314" s="37"/>
      <c r="G6314" s="37"/>
      <c r="H6314" s="37"/>
      <c r="I6314" s="37"/>
      <c r="J6314" s="37"/>
      <c r="K6314" s="22"/>
      <c r="L6314" s="56"/>
      <c r="P6314" s="40"/>
      <c r="Q6314" s="61"/>
      <c r="R6314" s="61"/>
      <c r="S6314" s="40"/>
      <c r="T6314" s="38"/>
      <c r="U6314" s="38"/>
      <c r="V6314" s="38"/>
      <c r="W6314" s="60"/>
      <c r="AB6314" s="42"/>
      <c r="AC6314" s="35"/>
      <c r="AD6314" s="38"/>
      <c r="AE6314" s="38"/>
      <c r="AF6314" s="38"/>
      <c r="AG6314" s="38"/>
      <c r="AH6314" s="60"/>
    </row>
    <row r="6315" spans="1:34" ht="15.75" customHeight="1">
      <c r="A6315" s="303"/>
      <c r="B6315" s="38"/>
      <c r="C6315" s="37"/>
      <c r="D6315" s="20"/>
      <c r="E6315" s="25"/>
      <c r="F6315" s="37"/>
      <c r="G6315" s="37"/>
      <c r="H6315" s="37"/>
      <c r="I6315" s="37"/>
      <c r="J6315" s="37"/>
      <c r="K6315" s="22"/>
      <c r="L6315" s="56"/>
      <c r="P6315" s="40"/>
      <c r="Q6315" s="61"/>
      <c r="R6315" s="61"/>
      <c r="S6315" s="40"/>
      <c r="T6315" s="38"/>
      <c r="U6315" s="38"/>
      <c r="V6315" s="38"/>
      <c r="W6315" s="60"/>
      <c r="AB6315" s="42"/>
      <c r="AC6315" s="35"/>
      <c r="AD6315" s="38"/>
      <c r="AE6315" s="38"/>
      <c r="AF6315" s="38"/>
      <c r="AG6315" s="38"/>
      <c r="AH6315" s="60"/>
    </row>
    <row r="6316" spans="1:34" ht="15.75" customHeight="1">
      <c r="A6316" s="303"/>
      <c r="B6316" s="38"/>
      <c r="C6316" s="37"/>
      <c r="D6316" s="20"/>
      <c r="E6316" s="25"/>
      <c r="F6316" s="37"/>
      <c r="G6316" s="37"/>
      <c r="H6316" s="37"/>
      <c r="I6316" s="37"/>
      <c r="J6316" s="37"/>
      <c r="K6316" s="22"/>
      <c r="L6316" s="56"/>
      <c r="P6316" s="40"/>
      <c r="Q6316" s="61"/>
      <c r="R6316" s="61"/>
      <c r="S6316" s="40"/>
      <c r="T6316" s="38"/>
      <c r="U6316" s="38"/>
      <c r="V6316" s="38"/>
      <c r="W6316" s="60"/>
      <c r="AB6316" s="42"/>
      <c r="AC6316" s="35"/>
      <c r="AD6316" s="38"/>
      <c r="AE6316" s="38"/>
      <c r="AF6316" s="38"/>
      <c r="AG6316" s="38"/>
      <c r="AH6316" s="60"/>
    </row>
    <row r="6317" spans="1:34" ht="15.75" customHeight="1">
      <c r="A6317" s="303"/>
      <c r="B6317" s="38"/>
      <c r="C6317" s="37"/>
      <c r="D6317" s="20"/>
      <c r="E6317" s="25"/>
      <c r="F6317" s="37"/>
      <c r="G6317" s="37"/>
      <c r="H6317" s="37"/>
      <c r="I6317" s="37"/>
      <c r="J6317" s="37"/>
      <c r="K6317" s="22"/>
      <c r="L6317" s="56"/>
      <c r="P6317" s="40"/>
      <c r="Q6317" s="61"/>
      <c r="R6317" s="61"/>
      <c r="S6317" s="40"/>
      <c r="T6317" s="38"/>
      <c r="U6317" s="38"/>
      <c r="V6317" s="38"/>
      <c r="W6317" s="60"/>
      <c r="AB6317" s="42"/>
      <c r="AC6317" s="35"/>
      <c r="AD6317" s="38"/>
      <c r="AE6317" s="38"/>
      <c r="AF6317" s="38"/>
      <c r="AG6317" s="38"/>
      <c r="AH6317" s="60"/>
    </row>
    <row r="6318" spans="1:34" ht="15.75" customHeight="1">
      <c r="A6318" s="303"/>
      <c r="B6318" s="38"/>
      <c r="C6318" s="37"/>
      <c r="D6318" s="20"/>
      <c r="E6318" s="25"/>
      <c r="F6318" s="37"/>
      <c r="G6318" s="37"/>
      <c r="H6318" s="37"/>
      <c r="I6318" s="37"/>
      <c r="J6318" s="37"/>
      <c r="K6318" s="22"/>
      <c r="L6318" s="56"/>
      <c r="P6318" s="40"/>
      <c r="Q6318" s="61"/>
      <c r="R6318" s="61"/>
      <c r="S6318" s="40"/>
      <c r="T6318" s="38"/>
      <c r="U6318" s="38"/>
      <c r="V6318" s="38"/>
      <c r="W6318" s="60"/>
      <c r="AB6318" s="42"/>
      <c r="AC6318" s="35"/>
      <c r="AD6318" s="38"/>
      <c r="AE6318" s="38"/>
      <c r="AF6318" s="38"/>
      <c r="AG6318" s="38"/>
      <c r="AH6318" s="60"/>
    </row>
    <row r="6319" spans="1:34" ht="15.75" customHeight="1">
      <c r="A6319" s="303"/>
      <c r="B6319" s="38"/>
      <c r="C6319" s="37"/>
      <c r="D6319" s="20"/>
      <c r="E6319" s="25"/>
      <c r="F6319" s="37"/>
      <c r="G6319" s="37"/>
      <c r="H6319" s="37"/>
      <c r="I6319" s="37"/>
      <c r="J6319" s="37"/>
      <c r="K6319" s="22"/>
      <c r="L6319" s="56"/>
      <c r="P6319" s="40"/>
      <c r="Q6319" s="61"/>
      <c r="R6319" s="61"/>
      <c r="S6319" s="40"/>
      <c r="T6319" s="38"/>
      <c r="U6319" s="38"/>
      <c r="V6319" s="38"/>
      <c r="W6319" s="60"/>
      <c r="AB6319" s="42"/>
      <c r="AC6319" s="35"/>
      <c r="AD6319" s="38"/>
      <c r="AE6319" s="38"/>
      <c r="AF6319" s="38"/>
      <c r="AG6319" s="38"/>
      <c r="AH6319" s="60"/>
    </row>
    <row r="6320" spans="1:34" ht="15.75" customHeight="1">
      <c r="A6320" s="303"/>
      <c r="B6320" s="38"/>
      <c r="C6320" s="37"/>
      <c r="D6320" s="20"/>
      <c r="E6320" s="25"/>
      <c r="F6320" s="37"/>
      <c r="G6320" s="37"/>
      <c r="H6320" s="37"/>
      <c r="I6320" s="37"/>
      <c r="J6320" s="37"/>
      <c r="K6320" s="22"/>
      <c r="L6320" s="56"/>
      <c r="P6320" s="40"/>
      <c r="Q6320" s="61"/>
      <c r="R6320" s="61"/>
      <c r="S6320" s="40"/>
      <c r="T6320" s="38"/>
      <c r="U6320" s="38"/>
      <c r="V6320" s="38"/>
      <c r="W6320" s="60"/>
      <c r="AB6320" s="42"/>
      <c r="AC6320" s="35"/>
      <c r="AD6320" s="38"/>
      <c r="AE6320" s="38"/>
      <c r="AF6320" s="38"/>
      <c r="AG6320" s="38"/>
      <c r="AH6320" s="60"/>
    </row>
    <row r="6321" spans="1:34" ht="15.75" customHeight="1">
      <c r="A6321" s="303"/>
      <c r="B6321" s="38"/>
      <c r="C6321" s="37"/>
      <c r="D6321" s="20"/>
      <c r="E6321" s="25"/>
      <c r="F6321" s="37"/>
      <c r="G6321" s="37"/>
      <c r="H6321" s="37"/>
      <c r="I6321" s="37"/>
      <c r="J6321" s="37"/>
      <c r="K6321" s="22"/>
      <c r="L6321" s="56"/>
      <c r="P6321" s="40"/>
      <c r="Q6321" s="61"/>
      <c r="R6321" s="61"/>
      <c r="S6321" s="40"/>
      <c r="T6321" s="38"/>
      <c r="U6321" s="38"/>
      <c r="V6321" s="38"/>
      <c r="W6321" s="60"/>
      <c r="AB6321" s="42"/>
      <c r="AC6321" s="35"/>
      <c r="AD6321" s="38"/>
      <c r="AE6321" s="38"/>
      <c r="AF6321" s="38"/>
      <c r="AG6321" s="38"/>
      <c r="AH6321" s="60"/>
    </row>
    <row r="6322" spans="1:34" ht="15.75" customHeight="1">
      <c r="A6322" s="303"/>
      <c r="B6322" s="38"/>
      <c r="C6322" s="37"/>
      <c r="D6322" s="20"/>
      <c r="E6322" s="25"/>
      <c r="F6322" s="37"/>
      <c r="G6322" s="37"/>
      <c r="H6322" s="37"/>
      <c r="I6322" s="37"/>
      <c r="J6322" s="37"/>
      <c r="K6322" s="22"/>
      <c r="L6322" s="56"/>
      <c r="P6322" s="40"/>
      <c r="Q6322" s="61"/>
      <c r="R6322" s="61"/>
      <c r="S6322" s="40"/>
      <c r="T6322" s="38"/>
      <c r="U6322" s="38"/>
      <c r="V6322" s="38"/>
      <c r="W6322" s="60"/>
      <c r="AB6322" s="42"/>
      <c r="AC6322" s="35"/>
      <c r="AD6322" s="38"/>
      <c r="AE6322" s="38"/>
      <c r="AF6322" s="38"/>
      <c r="AG6322" s="38"/>
      <c r="AH6322" s="60"/>
    </row>
    <row r="6323" spans="1:34" ht="15.75" customHeight="1">
      <c r="A6323" s="303"/>
      <c r="B6323" s="38"/>
      <c r="C6323" s="37"/>
      <c r="D6323" s="20"/>
      <c r="E6323" s="25"/>
      <c r="F6323" s="37"/>
      <c r="G6323" s="37"/>
      <c r="H6323" s="37"/>
      <c r="I6323" s="37"/>
      <c r="J6323" s="37"/>
      <c r="K6323" s="22"/>
      <c r="L6323" s="56"/>
      <c r="P6323" s="40"/>
      <c r="Q6323" s="61"/>
      <c r="R6323" s="61"/>
      <c r="S6323" s="40"/>
      <c r="T6323" s="38"/>
      <c r="U6323" s="38"/>
      <c r="V6323" s="38"/>
      <c r="W6323" s="60"/>
      <c r="AB6323" s="42"/>
      <c r="AC6323" s="35"/>
      <c r="AD6323" s="38"/>
      <c r="AE6323" s="38"/>
      <c r="AF6323" s="38"/>
      <c r="AG6323" s="38"/>
      <c r="AH6323" s="60"/>
    </row>
    <row r="6324" spans="1:34" ht="15.75" customHeight="1">
      <c r="A6324" s="303"/>
      <c r="B6324" s="38"/>
      <c r="C6324" s="37"/>
      <c r="D6324" s="20"/>
      <c r="E6324" s="25"/>
      <c r="F6324" s="37"/>
      <c r="G6324" s="37"/>
      <c r="H6324" s="37"/>
      <c r="I6324" s="37"/>
      <c r="J6324" s="37"/>
      <c r="K6324" s="22"/>
      <c r="L6324" s="56"/>
      <c r="P6324" s="40"/>
      <c r="Q6324" s="61"/>
      <c r="R6324" s="61"/>
      <c r="S6324" s="40"/>
      <c r="T6324" s="38"/>
      <c r="U6324" s="38"/>
      <c r="V6324" s="38"/>
      <c r="W6324" s="60"/>
      <c r="AB6324" s="42"/>
      <c r="AC6324" s="35"/>
      <c r="AD6324" s="38"/>
      <c r="AE6324" s="38"/>
      <c r="AF6324" s="38"/>
      <c r="AG6324" s="38"/>
      <c r="AH6324" s="60"/>
    </row>
    <row r="6325" spans="1:34" ht="15.75" customHeight="1">
      <c r="A6325" s="303"/>
      <c r="B6325" s="38"/>
      <c r="C6325" s="37"/>
      <c r="D6325" s="20"/>
      <c r="E6325" s="25"/>
      <c r="F6325" s="37"/>
      <c r="G6325" s="37"/>
      <c r="H6325" s="37"/>
      <c r="I6325" s="37"/>
      <c r="J6325" s="37"/>
      <c r="K6325" s="22"/>
      <c r="L6325" s="56"/>
      <c r="P6325" s="40"/>
      <c r="Q6325" s="61"/>
      <c r="R6325" s="61"/>
      <c r="S6325" s="40"/>
      <c r="T6325" s="38"/>
      <c r="U6325" s="38"/>
      <c r="V6325" s="38"/>
      <c r="W6325" s="60"/>
      <c r="AB6325" s="42"/>
      <c r="AC6325" s="35"/>
      <c r="AD6325" s="38"/>
      <c r="AE6325" s="38"/>
      <c r="AF6325" s="38"/>
      <c r="AG6325" s="38"/>
      <c r="AH6325" s="60"/>
    </row>
    <row r="6326" spans="1:34" ht="15.75" customHeight="1">
      <c r="A6326" s="303"/>
      <c r="B6326" s="38"/>
      <c r="C6326" s="37"/>
      <c r="D6326" s="20"/>
      <c r="E6326" s="25"/>
      <c r="F6326" s="37"/>
      <c r="G6326" s="37"/>
      <c r="H6326" s="37"/>
      <c r="I6326" s="37"/>
      <c r="J6326" s="37"/>
      <c r="K6326" s="22"/>
      <c r="L6326" s="56"/>
      <c r="P6326" s="40"/>
      <c r="Q6326" s="61"/>
      <c r="R6326" s="61"/>
      <c r="S6326" s="40"/>
      <c r="T6326" s="38"/>
      <c r="U6326" s="38"/>
      <c r="V6326" s="38"/>
      <c r="W6326" s="60"/>
      <c r="AB6326" s="42"/>
      <c r="AC6326" s="35"/>
      <c r="AD6326" s="38"/>
      <c r="AE6326" s="38"/>
      <c r="AF6326" s="38"/>
      <c r="AG6326" s="38"/>
      <c r="AH6326" s="60"/>
    </row>
    <row r="6327" spans="1:34" ht="15.75" customHeight="1">
      <c r="A6327" s="303"/>
      <c r="B6327" s="38"/>
      <c r="C6327" s="37"/>
      <c r="D6327" s="20"/>
      <c r="E6327" s="25"/>
      <c r="F6327" s="37"/>
      <c r="G6327" s="37"/>
      <c r="H6327" s="37"/>
      <c r="I6327" s="37"/>
      <c r="J6327" s="37"/>
      <c r="K6327" s="22"/>
      <c r="L6327" s="56"/>
      <c r="P6327" s="40"/>
      <c r="Q6327" s="61"/>
      <c r="R6327" s="61"/>
      <c r="S6327" s="40"/>
      <c r="T6327" s="38"/>
      <c r="U6327" s="38"/>
      <c r="V6327" s="38"/>
      <c r="W6327" s="60"/>
      <c r="AB6327" s="42"/>
      <c r="AC6327" s="35"/>
      <c r="AD6327" s="38"/>
      <c r="AE6327" s="38"/>
      <c r="AF6327" s="38"/>
      <c r="AG6327" s="38"/>
      <c r="AH6327" s="60"/>
    </row>
    <row r="6328" spans="1:34" ht="15.75" customHeight="1">
      <c r="A6328" s="303"/>
      <c r="B6328" s="38"/>
      <c r="C6328" s="37"/>
      <c r="D6328" s="20"/>
      <c r="E6328" s="25"/>
      <c r="F6328" s="37"/>
      <c r="G6328" s="37"/>
      <c r="H6328" s="37"/>
      <c r="I6328" s="37"/>
      <c r="J6328" s="37"/>
      <c r="K6328" s="22"/>
      <c r="L6328" s="56"/>
      <c r="P6328" s="40"/>
      <c r="Q6328" s="61"/>
      <c r="R6328" s="61"/>
      <c r="S6328" s="40"/>
      <c r="T6328" s="38"/>
      <c r="U6328" s="38"/>
      <c r="V6328" s="38"/>
      <c r="W6328" s="60"/>
      <c r="AB6328" s="42"/>
      <c r="AC6328" s="35"/>
      <c r="AD6328" s="38"/>
      <c r="AE6328" s="38"/>
      <c r="AF6328" s="38"/>
      <c r="AG6328" s="38"/>
      <c r="AH6328" s="60"/>
    </row>
    <row r="6329" spans="1:34" ht="15.75" customHeight="1">
      <c r="A6329" s="303"/>
      <c r="B6329" s="38"/>
      <c r="C6329" s="37"/>
      <c r="D6329" s="20"/>
      <c r="E6329" s="25"/>
      <c r="F6329" s="37"/>
      <c r="G6329" s="37"/>
      <c r="H6329" s="37"/>
      <c r="I6329" s="37"/>
      <c r="J6329" s="37"/>
      <c r="K6329" s="22"/>
      <c r="L6329" s="56"/>
      <c r="P6329" s="40"/>
      <c r="Q6329" s="61"/>
      <c r="R6329" s="61"/>
      <c r="S6329" s="40"/>
      <c r="T6329" s="38"/>
      <c r="U6329" s="38"/>
      <c r="V6329" s="38"/>
      <c r="W6329" s="60"/>
      <c r="AB6329" s="42"/>
      <c r="AC6329" s="35"/>
      <c r="AD6329" s="38"/>
      <c r="AE6329" s="38"/>
      <c r="AF6329" s="38"/>
      <c r="AG6329" s="38"/>
      <c r="AH6329" s="60"/>
    </row>
    <row r="6330" spans="1:34" ht="15.75" customHeight="1">
      <c r="A6330" s="303"/>
      <c r="B6330" s="38"/>
      <c r="C6330" s="37"/>
      <c r="D6330" s="20"/>
      <c r="E6330" s="25"/>
      <c r="F6330" s="37"/>
      <c r="G6330" s="37"/>
      <c r="H6330" s="37"/>
      <c r="I6330" s="37"/>
      <c r="J6330" s="37"/>
      <c r="K6330" s="22"/>
      <c r="L6330" s="56"/>
      <c r="P6330" s="40"/>
      <c r="Q6330" s="61"/>
      <c r="R6330" s="61"/>
      <c r="S6330" s="40"/>
      <c r="T6330" s="38"/>
      <c r="U6330" s="38"/>
      <c r="V6330" s="38"/>
      <c r="W6330" s="60"/>
      <c r="AB6330" s="42"/>
      <c r="AC6330" s="35"/>
      <c r="AD6330" s="38"/>
      <c r="AE6330" s="38"/>
      <c r="AF6330" s="38"/>
      <c r="AG6330" s="38"/>
      <c r="AH6330" s="60"/>
    </row>
    <row r="6331" spans="1:34" ht="15.75" customHeight="1">
      <c r="A6331" s="303"/>
      <c r="B6331" s="38"/>
      <c r="C6331" s="37"/>
      <c r="D6331" s="20"/>
      <c r="E6331" s="25"/>
      <c r="F6331" s="37"/>
      <c r="G6331" s="37"/>
      <c r="H6331" s="37"/>
      <c r="I6331" s="37"/>
      <c r="J6331" s="37"/>
      <c r="K6331" s="22"/>
      <c r="L6331" s="56"/>
      <c r="P6331" s="40"/>
      <c r="Q6331" s="61"/>
      <c r="R6331" s="61"/>
      <c r="S6331" s="40"/>
      <c r="T6331" s="38"/>
      <c r="U6331" s="38"/>
      <c r="V6331" s="38"/>
      <c r="W6331" s="60"/>
      <c r="AB6331" s="42"/>
      <c r="AC6331" s="35"/>
      <c r="AD6331" s="38"/>
      <c r="AE6331" s="38"/>
      <c r="AF6331" s="38"/>
      <c r="AG6331" s="38"/>
      <c r="AH6331" s="60"/>
    </row>
    <row r="6332" spans="1:34" ht="15.75" customHeight="1">
      <c r="A6332" s="303"/>
      <c r="B6332" s="38"/>
      <c r="C6332" s="37"/>
      <c r="D6332" s="20"/>
      <c r="E6332" s="25"/>
      <c r="F6332" s="37"/>
      <c r="G6332" s="37"/>
      <c r="H6332" s="37"/>
      <c r="I6332" s="37"/>
      <c r="J6332" s="37"/>
      <c r="K6332" s="22"/>
      <c r="L6332" s="56"/>
      <c r="P6332" s="40"/>
      <c r="Q6332" s="61"/>
      <c r="R6332" s="61"/>
      <c r="S6332" s="40"/>
      <c r="T6332" s="38"/>
      <c r="U6332" s="38"/>
      <c r="V6332" s="38"/>
      <c r="W6332" s="60"/>
      <c r="AB6332" s="42"/>
      <c r="AC6332" s="35"/>
      <c r="AD6332" s="38"/>
      <c r="AE6332" s="38"/>
      <c r="AF6332" s="38"/>
      <c r="AG6332" s="38"/>
      <c r="AH6332" s="60"/>
    </row>
    <row r="6333" spans="1:34" ht="15.75" customHeight="1">
      <c r="A6333" s="303"/>
      <c r="B6333" s="38"/>
      <c r="C6333" s="37"/>
      <c r="D6333" s="20"/>
      <c r="E6333" s="25"/>
      <c r="F6333" s="37"/>
      <c r="G6333" s="37"/>
      <c r="H6333" s="37"/>
      <c r="I6333" s="37"/>
      <c r="J6333" s="37"/>
      <c r="K6333" s="22"/>
      <c r="L6333" s="56"/>
      <c r="P6333" s="40"/>
      <c r="Q6333" s="61"/>
      <c r="R6333" s="61"/>
      <c r="S6333" s="40"/>
      <c r="T6333" s="38"/>
      <c r="U6333" s="38"/>
      <c r="V6333" s="38"/>
      <c r="W6333" s="60"/>
      <c r="AB6333" s="42"/>
      <c r="AC6333" s="35"/>
      <c r="AD6333" s="38"/>
      <c r="AE6333" s="38"/>
      <c r="AF6333" s="38"/>
      <c r="AG6333" s="38"/>
      <c r="AH6333" s="60"/>
    </row>
    <row r="6334" spans="1:34" ht="15.75" customHeight="1">
      <c r="A6334" s="303"/>
      <c r="B6334" s="38"/>
      <c r="C6334" s="37"/>
      <c r="D6334" s="20"/>
      <c r="E6334" s="25"/>
      <c r="F6334" s="37"/>
      <c r="G6334" s="37"/>
      <c r="H6334" s="37"/>
      <c r="I6334" s="37"/>
      <c r="J6334" s="37"/>
      <c r="K6334" s="22"/>
      <c r="L6334" s="56"/>
      <c r="P6334" s="40"/>
      <c r="Q6334" s="61"/>
      <c r="R6334" s="61"/>
      <c r="S6334" s="40"/>
      <c r="T6334" s="38"/>
      <c r="U6334" s="38"/>
      <c r="V6334" s="38"/>
      <c r="W6334" s="60"/>
      <c r="AB6334" s="42"/>
      <c r="AC6334" s="35"/>
      <c r="AD6334" s="38"/>
      <c r="AE6334" s="38"/>
      <c r="AF6334" s="38"/>
      <c r="AG6334" s="38"/>
      <c r="AH6334" s="60"/>
    </row>
    <row r="6335" spans="1:34" ht="15.75" customHeight="1">
      <c r="A6335" s="303"/>
      <c r="B6335" s="38"/>
      <c r="C6335" s="37"/>
      <c r="D6335" s="20"/>
      <c r="E6335" s="25"/>
      <c r="F6335" s="37"/>
      <c r="G6335" s="37"/>
      <c r="H6335" s="37"/>
      <c r="I6335" s="37"/>
      <c r="J6335" s="37"/>
      <c r="K6335" s="22"/>
      <c r="L6335" s="56"/>
      <c r="P6335" s="40"/>
      <c r="Q6335" s="61"/>
      <c r="R6335" s="61"/>
      <c r="S6335" s="40"/>
      <c r="T6335" s="38"/>
      <c r="U6335" s="38"/>
      <c r="V6335" s="38"/>
      <c r="W6335" s="60"/>
      <c r="AB6335" s="42"/>
      <c r="AC6335" s="35"/>
      <c r="AD6335" s="38"/>
      <c r="AE6335" s="38"/>
      <c r="AF6335" s="38"/>
      <c r="AG6335" s="38"/>
      <c r="AH6335" s="60"/>
    </row>
    <row r="6336" spans="1:34" ht="15.75" customHeight="1">
      <c r="A6336" s="303"/>
      <c r="B6336" s="38"/>
      <c r="C6336" s="37"/>
      <c r="D6336" s="20"/>
      <c r="E6336" s="25"/>
      <c r="F6336" s="37"/>
      <c r="G6336" s="37"/>
      <c r="H6336" s="37"/>
      <c r="I6336" s="37"/>
      <c r="J6336" s="37"/>
      <c r="K6336" s="22"/>
      <c r="L6336" s="56"/>
      <c r="P6336" s="40"/>
      <c r="Q6336" s="61"/>
      <c r="R6336" s="61"/>
      <c r="S6336" s="40"/>
      <c r="T6336" s="38"/>
      <c r="U6336" s="38"/>
      <c r="V6336" s="38"/>
      <c r="W6336" s="60"/>
      <c r="AB6336" s="42"/>
      <c r="AC6336" s="35"/>
      <c r="AD6336" s="38"/>
      <c r="AE6336" s="38"/>
      <c r="AF6336" s="38"/>
      <c r="AG6336" s="38"/>
      <c r="AH6336" s="60"/>
    </row>
    <row r="6337" spans="1:34" ht="15.75" customHeight="1">
      <c r="A6337" s="303"/>
      <c r="B6337" s="38"/>
      <c r="C6337" s="37"/>
      <c r="D6337" s="20"/>
      <c r="E6337" s="25"/>
      <c r="F6337" s="37"/>
      <c r="G6337" s="37"/>
      <c r="H6337" s="37"/>
      <c r="I6337" s="37"/>
      <c r="J6337" s="37"/>
      <c r="K6337" s="22"/>
      <c r="L6337" s="56"/>
      <c r="P6337" s="40"/>
      <c r="Q6337" s="61"/>
      <c r="R6337" s="61"/>
      <c r="S6337" s="40"/>
      <c r="T6337" s="38"/>
      <c r="U6337" s="38"/>
      <c r="V6337" s="38"/>
      <c r="W6337" s="60"/>
      <c r="AB6337" s="42"/>
      <c r="AC6337" s="35"/>
      <c r="AD6337" s="38"/>
      <c r="AE6337" s="38"/>
      <c r="AF6337" s="38"/>
      <c r="AG6337" s="38"/>
      <c r="AH6337" s="60"/>
    </row>
    <row r="6338" spans="1:34" ht="15.75" customHeight="1">
      <c r="A6338" s="303"/>
      <c r="B6338" s="38"/>
      <c r="C6338" s="37"/>
      <c r="D6338" s="20"/>
      <c r="E6338" s="25"/>
      <c r="F6338" s="37"/>
      <c r="G6338" s="37"/>
      <c r="H6338" s="37"/>
      <c r="I6338" s="37"/>
      <c r="J6338" s="37"/>
      <c r="K6338" s="22"/>
      <c r="L6338" s="56"/>
      <c r="P6338" s="40"/>
      <c r="Q6338" s="61"/>
      <c r="R6338" s="61"/>
      <c r="S6338" s="40"/>
      <c r="T6338" s="38"/>
      <c r="U6338" s="38"/>
      <c r="V6338" s="38"/>
      <c r="W6338" s="60"/>
      <c r="AB6338" s="42"/>
      <c r="AC6338" s="35"/>
      <c r="AD6338" s="38"/>
      <c r="AE6338" s="38"/>
      <c r="AF6338" s="38"/>
      <c r="AG6338" s="38"/>
      <c r="AH6338" s="60"/>
    </row>
    <row r="6339" spans="1:34" ht="15.75" customHeight="1">
      <c r="A6339" s="303"/>
      <c r="B6339" s="38"/>
      <c r="C6339" s="37"/>
      <c r="D6339" s="20"/>
      <c r="E6339" s="25"/>
      <c r="F6339" s="37"/>
      <c r="G6339" s="37"/>
      <c r="H6339" s="37"/>
      <c r="I6339" s="37"/>
      <c r="J6339" s="37"/>
      <c r="K6339" s="22"/>
      <c r="L6339" s="56"/>
      <c r="P6339" s="40"/>
      <c r="Q6339" s="61"/>
      <c r="R6339" s="61"/>
      <c r="S6339" s="40"/>
      <c r="T6339" s="38"/>
      <c r="U6339" s="38"/>
      <c r="V6339" s="38"/>
      <c r="W6339" s="60"/>
      <c r="AB6339" s="42"/>
      <c r="AC6339" s="35"/>
      <c r="AD6339" s="38"/>
      <c r="AE6339" s="38"/>
      <c r="AF6339" s="38"/>
      <c r="AG6339" s="38"/>
      <c r="AH6339" s="60"/>
    </row>
    <row r="6340" spans="1:34" ht="15.75" customHeight="1">
      <c r="A6340" s="303"/>
      <c r="B6340" s="38"/>
      <c r="C6340" s="37"/>
      <c r="D6340" s="20"/>
      <c r="E6340" s="25"/>
      <c r="F6340" s="37"/>
      <c r="G6340" s="37"/>
      <c r="H6340" s="37"/>
      <c r="I6340" s="37"/>
      <c r="J6340" s="37"/>
      <c r="K6340" s="22"/>
      <c r="L6340" s="56"/>
      <c r="P6340" s="40"/>
      <c r="Q6340" s="61"/>
      <c r="R6340" s="61"/>
      <c r="S6340" s="40"/>
      <c r="T6340" s="38"/>
      <c r="U6340" s="38"/>
      <c r="V6340" s="38"/>
      <c r="W6340" s="60"/>
      <c r="AB6340" s="42"/>
      <c r="AC6340" s="35"/>
      <c r="AD6340" s="38"/>
      <c r="AE6340" s="38"/>
      <c r="AF6340" s="38"/>
      <c r="AG6340" s="38"/>
      <c r="AH6340" s="60"/>
    </row>
    <row r="6341" spans="1:34" ht="15.75" customHeight="1">
      <c r="A6341" s="303"/>
      <c r="B6341" s="38"/>
      <c r="C6341" s="37"/>
      <c r="D6341" s="20"/>
      <c r="E6341" s="25"/>
      <c r="F6341" s="37"/>
      <c r="G6341" s="37"/>
      <c r="H6341" s="37"/>
      <c r="I6341" s="37"/>
      <c r="J6341" s="37"/>
      <c r="K6341" s="22"/>
      <c r="L6341" s="56"/>
      <c r="P6341" s="40"/>
      <c r="Q6341" s="61"/>
      <c r="R6341" s="61"/>
      <c r="S6341" s="40"/>
      <c r="T6341" s="38"/>
      <c r="U6341" s="38"/>
      <c r="V6341" s="38"/>
      <c r="W6341" s="60"/>
      <c r="AB6341" s="42"/>
      <c r="AC6341" s="35"/>
      <c r="AD6341" s="38"/>
      <c r="AE6341" s="38"/>
      <c r="AF6341" s="38"/>
      <c r="AG6341" s="38"/>
      <c r="AH6341" s="60"/>
    </row>
    <row r="6342" spans="1:34" ht="15.75" customHeight="1">
      <c r="A6342" s="303"/>
      <c r="B6342" s="38"/>
      <c r="C6342" s="37"/>
      <c r="D6342" s="20"/>
      <c r="E6342" s="25"/>
      <c r="F6342" s="37"/>
      <c r="G6342" s="37"/>
      <c r="H6342" s="37"/>
      <c r="I6342" s="37"/>
      <c r="J6342" s="37"/>
      <c r="K6342" s="22"/>
      <c r="L6342" s="56"/>
      <c r="P6342" s="40"/>
      <c r="Q6342" s="61"/>
      <c r="R6342" s="61"/>
      <c r="S6342" s="40"/>
      <c r="T6342" s="38"/>
      <c r="U6342" s="38"/>
      <c r="V6342" s="38"/>
      <c r="W6342" s="60"/>
      <c r="AB6342" s="42"/>
      <c r="AC6342" s="35"/>
      <c r="AD6342" s="38"/>
      <c r="AE6342" s="38"/>
      <c r="AF6342" s="38"/>
      <c r="AG6342" s="38"/>
      <c r="AH6342" s="60"/>
    </row>
    <row r="6343" spans="1:34" ht="15.75" customHeight="1">
      <c r="A6343" s="303"/>
      <c r="B6343" s="38"/>
      <c r="C6343" s="37"/>
      <c r="D6343" s="20"/>
      <c r="E6343" s="25"/>
      <c r="F6343" s="37"/>
      <c r="G6343" s="37"/>
      <c r="H6343" s="37"/>
      <c r="I6343" s="37"/>
      <c r="J6343" s="37"/>
      <c r="K6343" s="22"/>
      <c r="L6343" s="56"/>
      <c r="P6343" s="40"/>
      <c r="Q6343" s="61"/>
      <c r="R6343" s="61"/>
      <c r="S6343" s="40"/>
      <c r="T6343" s="38"/>
      <c r="U6343" s="38"/>
      <c r="V6343" s="38"/>
      <c r="W6343" s="60"/>
      <c r="AB6343" s="42"/>
      <c r="AC6343" s="35"/>
      <c r="AD6343" s="38"/>
      <c r="AE6343" s="38"/>
      <c r="AF6343" s="38"/>
      <c r="AG6343" s="38"/>
      <c r="AH6343" s="60"/>
    </row>
    <row r="6344" spans="1:34" ht="15.75" customHeight="1">
      <c r="A6344" s="303"/>
      <c r="B6344" s="38"/>
      <c r="C6344" s="37"/>
      <c r="D6344" s="20"/>
      <c r="E6344" s="25"/>
      <c r="F6344" s="37"/>
      <c r="G6344" s="37"/>
      <c r="H6344" s="37"/>
      <c r="I6344" s="37"/>
      <c r="J6344" s="37"/>
      <c r="K6344" s="22"/>
      <c r="L6344" s="56"/>
      <c r="P6344" s="40"/>
      <c r="Q6344" s="61"/>
      <c r="R6344" s="61"/>
      <c r="S6344" s="40"/>
      <c r="T6344" s="38"/>
      <c r="U6344" s="38"/>
      <c r="V6344" s="38"/>
      <c r="W6344" s="60"/>
      <c r="AB6344" s="42"/>
      <c r="AC6344" s="35"/>
      <c r="AD6344" s="38"/>
      <c r="AE6344" s="38"/>
      <c r="AF6344" s="38"/>
      <c r="AG6344" s="38"/>
      <c r="AH6344" s="60"/>
    </row>
    <row r="6345" spans="1:34" ht="15.75" customHeight="1">
      <c r="A6345" s="303"/>
      <c r="B6345" s="38"/>
      <c r="C6345" s="37"/>
      <c r="D6345" s="20"/>
      <c r="E6345" s="25"/>
      <c r="F6345" s="37"/>
      <c r="G6345" s="37"/>
      <c r="H6345" s="37"/>
      <c r="I6345" s="37"/>
      <c r="J6345" s="37"/>
      <c r="K6345" s="22"/>
      <c r="L6345" s="56"/>
      <c r="P6345" s="40"/>
      <c r="Q6345" s="61"/>
      <c r="R6345" s="61"/>
      <c r="S6345" s="40"/>
      <c r="T6345" s="38"/>
      <c r="U6345" s="38"/>
      <c r="V6345" s="38"/>
      <c r="W6345" s="60"/>
      <c r="AB6345" s="42"/>
      <c r="AC6345" s="35"/>
      <c r="AD6345" s="38"/>
      <c r="AE6345" s="38"/>
      <c r="AF6345" s="38"/>
      <c r="AG6345" s="38"/>
      <c r="AH6345" s="60"/>
    </row>
    <row r="6346" spans="1:34" ht="15.75" customHeight="1">
      <c r="A6346" s="303"/>
      <c r="B6346" s="38"/>
      <c r="C6346" s="37"/>
      <c r="D6346" s="20"/>
      <c r="E6346" s="25"/>
      <c r="F6346" s="37"/>
      <c r="G6346" s="37"/>
      <c r="H6346" s="37"/>
      <c r="I6346" s="37"/>
      <c r="J6346" s="37"/>
      <c r="K6346" s="22"/>
      <c r="L6346" s="56"/>
      <c r="P6346" s="40"/>
      <c r="Q6346" s="61"/>
      <c r="R6346" s="61"/>
      <c r="S6346" s="40"/>
      <c r="T6346" s="38"/>
      <c r="U6346" s="38"/>
      <c r="V6346" s="38"/>
      <c r="W6346" s="60"/>
      <c r="AB6346" s="42"/>
      <c r="AC6346" s="35"/>
      <c r="AD6346" s="38"/>
      <c r="AE6346" s="38"/>
      <c r="AF6346" s="38"/>
      <c r="AG6346" s="38"/>
      <c r="AH6346" s="60"/>
    </row>
    <row r="6347" spans="1:34" ht="15.75" customHeight="1">
      <c r="A6347" s="303"/>
      <c r="B6347" s="38"/>
      <c r="C6347" s="37"/>
      <c r="D6347" s="20"/>
      <c r="E6347" s="25"/>
      <c r="F6347" s="37"/>
      <c r="G6347" s="37"/>
      <c r="H6347" s="37"/>
      <c r="I6347" s="37"/>
      <c r="J6347" s="37"/>
      <c r="K6347" s="22"/>
      <c r="L6347" s="56"/>
      <c r="P6347" s="40"/>
      <c r="Q6347" s="61"/>
      <c r="R6347" s="61"/>
      <c r="S6347" s="40"/>
      <c r="T6347" s="38"/>
      <c r="U6347" s="38"/>
      <c r="V6347" s="38"/>
      <c r="W6347" s="60"/>
      <c r="AB6347" s="42"/>
      <c r="AC6347" s="35"/>
      <c r="AD6347" s="38"/>
      <c r="AE6347" s="38"/>
      <c r="AF6347" s="38"/>
      <c r="AG6347" s="38"/>
      <c r="AH6347" s="60"/>
    </row>
    <row r="6348" spans="1:34" ht="15.75" customHeight="1">
      <c r="A6348" s="303"/>
      <c r="B6348" s="38"/>
      <c r="C6348" s="37"/>
      <c r="D6348" s="20"/>
      <c r="E6348" s="25"/>
      <c r="F6348" s="37"/>
      <c r="G6348" s="37"/>
      <c r="H6348" s="37"/>
      <c r="I6348" s="37"/>
      <c r="J6348" s="37"/>
      <c r="K6348" s="22"/>
      <c r="L6348" s="56"/>
      <c r="P6348" s="40"/>
      <c r="Q6348" s="61"/>
      <c r="R6348" s="61"/>
      <c r="S6348" s="40"/>
      <c r="T6348" s="38"/>
      <c r="U6348" s="38"/>
      <c r="V6348" s="38"/>
      <c r="W6348" s="60"/>
      <c r="AB6348" s="42"/>
      <c r="AC6348" s="35"/>
      <c r="AD6348" s="38"/>
      <c r="AE6348" s="38"/>
      <c r="AF6348" s="38"/>
      <c r="AG6348" s="38"/>
      <c r="AH6348" s="60"/>
    </row>
    <row r="6349" spans="1:34" ht="15.75" customHeight="1">
      <c r="A6349" s="303"/>
      <c r="B6349" s="38"/>
      <c r="C6349" s="37"/>
      <c r="D6349" s="20"/>
      <c r="E6349" s="25"/>
      <c r="F6349" s="37"/>
      <c r="G6349" s="37"/>
      <c r="H6349" s="37"/>
      <c r="I6349" s="37"/>
      <c r="J6349" s="37"/>
      <c r="K6349" s="22"/>
      <c r="L6349" s="56"/>
      <c r="P6349" s="40"/>
      <c r="Q6349" s="61"/>
      <c r="R6349" s="61"/>
      <c r="S6349" s="40"/>
      <c r="T6349" s="38"/>
      <c r="U6349" s="38"/>
      <c r="V6349" s="38"/>
      <c r="W6349" s="60"/>
      <c r="AB6349" s="42"/>
      <c r="AC6349" s="35"/>
      <c r="AD6349" s="38"/>
      <c r="AE6349" s="38"/>
      <c r="AF6349" s="38"/>
      <c r="AG6349" s="38"/>
      <c r="AH6349" s="60"/>
    </row>
    <row r="6350" spans="1:34" ht="15.75" customHeight="1">
      <c r="A6350" s="303"/>
      <c r="B6350" s="38"/>
      <c r="C6350" s="37"/>
      <c r="D6350" s="20"/>
      <c r="E6350" s="25"/>
      <c r="F6350" s="37"/>
      <c r="G6350" s="37"/>
      <c r="H6350" s="37"/>
      <c r="I6350" s="37"/>
      <c r="J6350" s="37"/>
      <c r="K6350" s="22"/>
      <c r="L6350" s="56"/>
      <c r="P6350" s="40"/>
      <c r="Q6350" s="61"/>
      <c r="R6350" s="61"/>
      <c r="S6350" s="40"/>
      <c r="T6350" s="38"/>
      <c r="U6350" s="38"/>
      <c r="V6350" s="38"/>
      <c r="W6350" s="60"/>
      <c r="AB6350" s="42"/>
      <c r="AC6350" s="35"/>
      <c r="AD6350" s="38"/>
      <c r="AE6350" s="38"/>
      <c r="AF6350" s="38"/>
      <c r="AG6350" s="38"/>
      <c r="AH6350" s="60"/>
    </row>
    <row r="6351" spans="1:34" ht="15.75" customHeight="1">
      <c r="A6351" s="303"/>
      <c r="B6351" s="38"/>
      <c r="C6351" s="37"/>
      <c r="D6351" s="20"/>
      <c r="E6351" s="25"/>
      <c r="F6351" s="37"/>
      <c r="G6351" s="37"/>
      <c r="H6351" s="37"/>
      <c r="I6351" s="37"/>
      <c r="J6351" s="37"/>
      <c r="K6351" s="22"/>
      <c r="L6351" s="56"/>
      <c r="P6351" s="40"/>
      <c r="Q6351" s="61"/>
      <c r="R6351" s="61"/>
      <c r="S6351" s="40"/>
      <c r="T6351" s="38"/>
      <c r="U6351" s="38"/>
      <c r="V6351" s="38"/>
      <c r="W6351" s="60"/>
      <c r="AB6351" s="42"/>
      <c r="AC6351" s="35"/>
      <c r="AD6351" s="38"/>
      <c r="AE6351" s="38"/>
      <c r="AF6351" s="38"/>
      <c r="AG6351" s="38"/>
      <c r="AH6351" s="60"/>
    </row>
    <row r="6352" spans="1:34" ht="15.75" customHeight="1">
      <c r="A6352" s="303"/>
      <c r="B6352" s="38"/>
      <c r="C6352" s="37"/>
      <c r="D6352" s="20"/>
      <c r="E6352" s="25"/>
      <c r="F6352" s="37"/>
      <c r="G6352" s="37"/>
      <c r="H6352" s="37"/>
      <c r="I6352" s="37"/>
      <c r="J6352" s="37"/>
      <c r="K6352" s="22"/>
      <c r="L6352" s="56"/>
      <c r="P6352" s="40"/>
      <c r="Q6352" s="61"/>
      <c r="R6352" s="61"/>
      <c r="S6352" s="40"/>
      <c r="T6352" s="38"/>
      <c r="U6352" s="38"/>
      <c r="V6352" s="38"/>
      <c r="W6352" s="60"/>
      <c r="AB6352" s="42"/>
      <c r="AC6352" s="35"/>
      <c r="AD6352" s="38"/>
      <c r="AE6352" s="38"/>
      <c r="AF6352" s="38"/>
      <c r="AG6352" s="38"/>
      <c r="AH6352" s="60"/>
    </row>
    <row r="6353" spans="1:34" ht="15.75" customHeight="1">
      <c r="A6353" s="303"/>
      <c r="B6353" s="38"/>
      <c r="C6353" s="37"/>
      <c r="D6353" s="20"/>
      <c r="E6353" s="25"/>
      <c r="F6353" s="37"/>
      <c r="G6353" s="37"/>
      <c r="H6353" s="37"/>
      <c r="I6353" s="37"/>
      <c r="J6353" s="37"/>
      <c r="K6353" s="22"/>
      <c r="L6353" s="56"/>
      <c r="P6353" s="40"/>
      <c r="Q6353" s="61"/>
      <c r="R6353" s="61"/>
      <c r="S6353" s="40"/>
      <c r="T6353" s="38"/>
      <c r="U6353" s="38"/>
      <c r="V6353" s="38"/>
      <c r="W6353" s="60"/>
      <c r="AB6353" s="42"/>
      <c r="AC6353" s="35"/>
      <c r="AD6353" s="38"/>
      <c r="AE6353" s="38"/>
      <c r="AF6353" s="38"/>
      <c r="AG6353" s="38"/>
      <c r="AH6353" s="60"/>
    </row>
    <row r="6354" spans="1:34" ht="15.75" customHeight="1">
      <c r="A6354" s="303"/>
      <c r="B6354" s="38"/>
      <c r="C6354" s="37"/>
      <c r="D6354" s="20"/>
      <c r="E6354" s="25"/>
      <c r="F6354" s="37"/>
      <c r="G6354" s="37"/>
      <c r="H6354" s="37"/>
      <c r="I6354" s="37"/>
      <c r="J6354" s="37"/>
      <c r="K6354" s="22"/>
      <c r="L6354" s="56"/>
      <c r="P6354" s="40"/>
      <c r="Q6354" s="61"/>
      <c r="R6354" s="61"/>
      <c r="S6354" s="40"/>
      <c r="T6354" s="38"/>
      <c r="U6354" s="38"/>
      <c r="V6354" s="38"/>
      <c r="W6354" s="60"/>
      <c r="AB6354" s="42"/>
      <c r="AC6354" s="35"/>
      <c r="AD6354" s="38"/>
      <c r="AE6354" s="38"/>
      <c r="AF6354" s="38"/>
      <c r="AG6354" s="38"/>
      <c r="AH6354" s="60"/>
    </row>
    <row r="6355" spans="1:34" ht="15.75" customHeight="1">
      <c r="A6355" s="303"/>
      <c r="B6355" s="38"/>
      <c r="C6355" s="37"/>
      <c r="D6355" s="20"/>
      <c r="E6355" s="25"/>
      <c r="F6355" s="37"/>
      <c r="G6355" s="37"/>
      <c r="H6355" s="37"/>
      <c r="I6355" s="37"/>
      <c r="J6355" s="37"/>
      <c r="K6355" s="22"/>
      <c r="L6355" s="56"/>
      <c r="P6355" s="40"/>
      <c r="Q6355" s="61"/>
      <c r="R6355" s="61"/>
      <c r="S6355" s="40"/>
      <c r="T6355" s="38"/>
      <c r="U6355" s="38"/>
      <c r="V6355" s="38"/>
      <c r="W6355" s="60"/>
      <c r="AB6355" s="42"/>
      <c r="AC6355" s="35"/>
      <c r="AD6355" s="38"/>
      <c r="AE6355" s="38"/>
      <c r="AF6355" s="38"/>
      <c r="AG6355" s="38"/>
      <c r="AH6355" s="60"/>
    </row>
    <row r="6356" spans="1:34" ht="15.75" customHeight="1">
      <c r="A6356" s="303"/>
      <c r="B6356" s="38"/>
      <c r="C6356" s="37"/>
      <c r="D6356" s="20"/>
      <c r="E6356" s="25"/>
      <c r="F6356" s="37"/>
      <c r="G6356" s="37"/>
      <c r="H6356" s="37"/>
      <c r="I6356" s="37"/>
      <c r="J6356" s="37"/>
      <c r="K6356" s="22"/>
      <c r="L6356" s="56"/>
      <c r="P6356" s="40"/>
      <c r="Q6356" s="61"/>
      <c r="R6356" s="61"/>
      <c r="S6356" s="40"/>
      <c r="T6356" s="38"/>
      <c r="U6356" s="38"/>
      <c r="V6356" s="38"/>
      <c r="W6356" s="60"/>
      <c r="AB6356" s="42"/>
      <c r="AC6356" s="35"/>
      <c r="AD6356" s="38"/>
      <c r="AE6356" s="38"/>
      <c r="AF6356" s="38"/>
      <c r="AG6356" s="38"/>
      <c r="AH6356" s="60"/>
    </row>
    <row r="6357" spans="1:34" ht="15.75" customHeight="1">
      <c r="A6357" s="303"/>
      <c r="B6357" s="38"/>
      <c r="C6357" s="37"/>
      <c r="D6357" s="20"/>
      <c r="E6357" s="25"/>
      <c r="F6357" s="37"/>
      <c r="G6357" s="37"/>
      <c r="H6357" s="37"/>
      <c r="I6357" s="37"/>
      <c r="J6357" s="37"/>
      <c r="K6357" s="22"/>
      <c r="L6357" s="56"/>
      <c r="P6357" s="40"/>
      <c r="Q6357" s="61"/>
      <c r="R6357" s="61"/>
      <c r="S6357" s="40"/>
      <c r="T6357" s="38"/>
      <c r="U6357" s="38"/>
      <c r="V6357" s="38"/>
      <c r="W6357" s="60"/>
      <c r="AB6357" s="42"/>
      <c r="AC6357" s="35"/>
      <c r="AD6357" s="38"/>
      <c r="AE6357" s="38"/>
      <c r="AF6357" s="38"/>
      <c r="AG6357" s="38"/>
      <c r="AH6357" s="60"/>
    </row>
    <row r="6358" spans="1:34" ht="15.75" customHeight="1">
      <c r="A6358" s="303"/>
      <c r="B6358" s="38"/>
      <c r="C6358" s="37"/>
      <c r="D6358" s="20"/>
      <c r="E6358" s="25"/>
      <c r="F6358" s="37"/>
      <c r="G6358" s="37"/>
      <c r="H6358" s="37"/>
      <c r="I6358" s="37"/>
      <c r="J6358" s="37"/>
      <c r="K6358" s="22"/>
      <c r="L6358" s="56"/>
      <c r="P6358" s="40"/>
      <c r="Q6358" s="61"/>
      <c r="R6358" s="61"/>
      <c r="S6358" s="40"/>
      <c r="T6358" s="38"/>
      <c r="U6358" s="38"/>
      <c r="V6358" s="38"/>
      <c r="W6358" s="60"/>
      <c r="AB6358" s="42"/>
      <c r="AC6358" s="35"/>
      <c r="AD6358" s="38"/>
      <c r="AE6358" s="38"/>
      <c r="AF6358" s="38"/>
      <c r="AG6358" s="38"/>
      <c r="AH6358" s="60"/>
    </row>
    <row r="6359" spans="1:34" ht="15.75" customHeight="1">
      <c r="A6359" s="303"/>
      <c r="B6359" s="38"/>
      <c r="C6359" s="37"/>
      <c r="D6359" s="20"/>
      <c r="E6359" s="25"/>
      <c r="F6359" s="37"/>
      <c r="G6359" s="37"/>
      <c r="H6359" s="37"/>
      <c r="I6359" s="37"/>
      <c r="J6359" s="37"/>
      <c r="K6359" s="22"/>
      <c r="L6359" s="56"/>
      <c r="P6359" s="40"/>
      <c r="Q6359" s="61"/>
      <c r="R6359" s="61"/>
      <c r="S6359" s="40"/>
      <c r="T6359" s="38"/>
      <c r="U6359" s="38"/>
      <c r="V6359" s="38"/>
      <c r="W6359" s="60"/>
      <c r="AB6359" s="42"/>
      <c r="AC6359" s="35"/>
      <c r="AD6359" s="38"/>
      <c r="AE6359" s="38"/>
      <c r="AF6359" s="38"/>
      <c r="AG6359" s="38"/>
      <c r="AH6359" s="60"/>
    </row>
    <row r="6360" spans="1:34" ht="15.75" customHeight="1">
      <c r="A6360" s="303"/>
      <c r="B6360" s="38"/>
      <c r="C6360" s="37"/>
      <c r="D6360" s="20"/>
      <c r="E6360" s="25"/>
      <c r="F6360" s="37"/>
      <c r="G6360" s="37"/>
      <c r="H6360" s="37"/>
      <c r="I6360" s="37"/>
      <c r="J6360" s="37"/>
      <c r="K6360" s="22"/>
      <c r="L6360" s="56"/>
      <c r="P6360" s="40"/>
      <c r="Q6360" s="61"/>
      <c r="R6360" s="61"/>
      <c r="S6360" s="40"/>
      <c r="T6360" s="38"/>
      <c r="U6360" s="38"/>
      <c r="V6360" s="38"/>
      <c r="W6360" s="60"/>
      <c r="AB6360" s="42"/>
      <c r="AC6360" s="35"/>
      <c r="AD6360" s="38"/>
      <c r="AE6360" s="38"/>
      <c r="AF6360" s="38"/>
      <c r="AG6360" s="38"/>
      <c r="AH6360" s="60"/>
    </row>
    <row r="6361" spans="1:34" ht="15.75" customHeight="1">
      <c r="A6361" s="303"/>
      <c r="B6361" s="38"/>
      <c r="C6361" s="37"/>
      <c r="D6361" s="20"/>
      <c r="E6361" s="25"/>
      <c r="F6361" s="37"/>
      <c r="G6361" s="37"/>
      <c r="H6361" s="37"/>
      <c r="I6361" s="37"/>
      <c r="J6361" s="37"/>
      <c r="K6361" s="22"/>
      <c r="L6361" s="56"/>
      <c r="P6361" s="40"/>
      <c r="Q6361" s="61"/>
      <c r="R6361" s="61"/>
      <c r="S6361" s="40"/>
      <c r="T6361" s="38"/>
      <c r="U6361" s="38"/>
      <c r="V6361" s="38"/>
      <c r="W6361" s="60"/>
      <c r="AB6361" s="42"/>
      <c r="AC6361" s="35"/>
      <c r="AD6361" s="38"/>
      <c r="AE6361" s="38"/>
      <c r="AF6361" s="38"/>
      <c r="AG6361" s="38"/>
      <c r="AH6361" s="60"/>
    </row>
    <row r="6362" spans="1:34" ht="15.75" customHeight="1">
      <c r="A6362" s="303"/>
      <c r="B6362" s="38"/>
      <c r="C6362" s="37"/>
      <c r="D6362" s="20"/>
      <c r="E6362" s="25"/>
      <c r="F6362" s="37"/>
      <c r="G6362" s="37"/>
      <c r="H6362" s="37"/>
      <c r="I6362" s="37"/>
      <c r="J6362" s="37"/>
      <c r="K6362" s="22"/>
      <c r="L6362" s="56"/>
      <c r="P6362" s="40"/>
      <c r="Q6362" s="61"/>
      <c r="R6362" s="61"/>
      <c r="S6362" s="40"/>
      <c r="T6362" s="38"/>
      <c r="U6362" s="38"/>
      <c r="V6362" s="38"/>
      <c r="W6362" s="60"/>
      <c r="AB6362" s="42"/>
      <c r="AC6362" s="35"/>
      <c r="AD6362" s="38"/>
      <c r="AE6362" s="38"/>
      <c r="AF6362" s="38"/>
      <c r="AG6362" s="38"/>
      <c r="AH6362" s="60"/>
    </row>
    <row r="6363" spans="1:34" ht="15.75" customHeight="1">
      <c r="A6363" s="303"/>
      <c r="B6363" s="38"/>
      <c r="C6363" s="37"/>
      <c r="D6363" s="20"/>
      <c r="E6363" s="25"/>
      <c r="F6363" s="37"/>
      <c r="G6363" s="37"/>
      <c r="H6363" s="37"/>
      <c r="I6363" s="37"/>
      <c r="J6363" s="37"/>
      <c r="K6363" s="22"/>
      <c r="L6363" s="56"/>
      <c r="P6363" s="40"/>
      <c r="Q6363" s="61"/>
      <c r="R6363" s="61"/>
      <c r="S6363" s="40"/>
      <c r="T6363" s="38"/>
      <c r="U6363" s="38"/>
      <c r="V6363" s="38"/>
      <c r="W6363" s="60"/>
      <c r="AB6363" s="42"/>
      <c r="AC6363" s="35"/>
      <c r="AD6363" s="38"/>
      <c r="AE6363" s="38"/>
      <c r="AF6363" s="38"/>
      <c r="AG6363" s="38"/>
      <c r="AH6363" s="60"/>
    </row>
    <row r="6364" spans="1:34" ht="15.75" customHeight="1">
      <c r="A6364" s="303"/>
      <c r="B6364" s="38"/>
      <c r="C6364" s="37"/>
      <c r="D6364" s="20"/>
      <c r="E6364" s="25"/>
      <c r="F6364" s="37"/>
      <c r="G6364" s="37"/>
      <c r="H6364" s="37"/>
      <c r="I6364" s="37"/>
      <c r="J6364" s="37"/>
      <c r="K6364" s="22"/>
      <c r="L6364" s="56"/>
      <c r="P6364" s="40"/>
      <c r="Q6364" s="61"/>
      <c r="R6364" s="61"/>
      <c r="S6364" s="40"/>
      <c r="T6364" s="38"/>
      <c r="U6364" s="38"/>
      <c r="V6364" s="38"/>
      <c r="W6364" s="60"/>
      <c r="AB6364" s="42"/>
      <c r="AC6364" s="35"/>
      <c r="AD6364" s="38"/>
      <c r="AE6364" s="38"/>
      <c r="AF6364" s="38"/>
      <c r="AG6364" s="38"/>
      <c r="AH6364" s="60"/>
    </row>
    <row r="6365" spans="1:34" ht="15.75" customHeight="1">
      <c r="A6365" s="303"/>
      <c r="B6365" s="38"/>
      <c r="C6365" s="37"/>
      <c r="D6365" s="20"/>
      <c r="E6365" s="25"/>
      <c r="F6365" s="37"/>
      <c r="G6365" s="37"/>
      <c r="H6365" s="37"/>
      <c r="I6365" s="37"/>
      <c r="J6365" s="37"/>
      <c r="K6365" s="22"/>
      <c r="L6365" s="56"/>
      <c r="P6365" s="40"/>
      <c r="Q6365" s="61"/>
      <c r="R6365" s="61"/>
      <c r="S6365" s="40"/>
      <c r="T6365" s="38"/>
      <c r="U6365" s="38"/>
      <c r="V6365" s="38"/>
      <c r="W6365" s="60"/>
      <c r="AB6365" s="42"/>
      <c r="AC6365" s="35"/>
      <c r="AD6365" s="38"/>
      <c r="AE6365" s="38"/>
      <c r="AF6365" s="38"/>
      <c r="AG6365" s="38"/>
      <c r="AH6365" s="60"/>
    </row>
    <row r="6366" spans="1:34" ht="15.75" customHeight="1">
      <c r="A6366" s="303"/>
      <c r="B6366" s="38"/>
      <c r="C6366" s="37"/>
      <c r="D6366" s="20"/>
      <c r="E6366" s="25"/>
      <c r="F6366" s="37"/>
      <c r="G6366" s="37"/>
      <c r="H6366" s="37"/>
      <c r="I6366" s="37"/>
      <c r="J6366" s="37"/>
      <c r="K6366" s="22"/>
      <c r="L6366" s="56"/>
      <c r="P6366" s="40"/>
      <c r="Q6366" s="61"/>
      <c r="R6366" s="61"/>
      <c r="S6366" s="40"/>
      <c r="T6366" s="38"/>
      <c r="U6366" s="38"/>
      <c r="V6366" s="38"/>
      <c r="W6366" s="60"/>
      <c r="AB6366" s="42"/>
      <c r="AC6366" s="35"/>
      <c r="AD6366" s="38"/>
      <c r="AE6366" s="38"/>
      <c r="AF6366" s="38"/>
      <c r="AG6366" s="38"/>
      <c r="AH6366" s="60"/>
    </row>
    <row r="6367" spans="1:34" ht="15.75" customHeight="1">
      <c r="A6367" s="303"/>
      <c r="B6367" s="38"/>
      <c r="C6367" s="37"/>
      <c r="D6367" s="20"/>
      <c r="E6367" s="25"/>
      <c r="F6367" s="37"/>
      <c r="G6367" s="37"/>
      <c r="H6367" s="37"/>
      <c r="I6367" s="37"/>
      <c r="J6367" s="37"/>
      <c r="K6367" s="22"/>
      <c r="L6367" s="56"/>
      <c r="P6367" s="40"/>
      <c r="Q6367" s="61"/>
      <c r="R6367" s="61"/>
      <c r="S6367" s="40"/>
      <c r="T6367" s="38"/>
      <c r="U6367" s="38"/>
      <c r="V6367" s="38"/>
      <c r="W6367" s="60"/>
      <c r="AB6367" s="42"/>
      <c r="AC6367" s="35"/>
      <c r="AD6367" s="38"/>
      <c r="AE6367" s="38"/>
      <c r="AF6367" s="38"/>
      <c r="AG6367" s="38"/>
      <c r="AH6367" s="60"/>
    </row>
    <row r="6368" spans="1:34" ht="15.75" customHeight="1">
      <c r="A6368" s="303"/>
      <c r="B6368" s="38"/>
      <c r="C6368" s="37"/>
      <c r="D6368" s="20"/>
      <c r="E6368" s="25"/>
      <c r="F6368" s="37"/>
      <c r="G6368" s="37"/>
      <c r="H6368" s="37"/>
      <c r="I6368" s="37"/>
      <c r="J6368" s="37"/>
      <c r="K6368" s="22"/>
      <c r="L6368" s="56"/>
      <c r="P6368" s="40"/>
      <c r="Q6368" s="61"/>
      <c r="R6368" s="61"/>
      <c r="S6368" s="40"/>
      <c r="T6368" s="38"/>
      <c r="U6368" s="38"/>
      <c r="V6368" s="38"/>
      <c r="W6368" s="60"/>
      <c r="AB6368" s="42"/>
      <c r="AC6368" s="35"/>
      <c r="AD6368" s="38"/>
      <c r="AE6368" s="38"/>
      <c r="AF6368" s="38"/>
      <c r="AG6368" s="38"/>
      <c r="AH6368" s="60"/>
    </row>
    <row r="6369" spans="1:34" ht="15.75" customHeight="1">
      <c r="A6369" s="303"/>
      <c r="B6369" s="38"/>
      <c r="C6369" s="37"/>
      <c r="D6369" s="20"/>
      <c r="E6369" s="25"/>
      <c r="F6369" s="37"/>
      <c r="G6369" s="37"/>
      <c r="H6369" s="37"/>
      <c r="I6369" s="37"/>
      <c r="J6369" s="37"/>
      <c r="K6369" s="22"/>
      <c r="L6369" s="56"/>
      <c r="P6369" s="40"/>
      <c r="Q6369" s="61"/>
      <c r="R6369" s="61"/>
      <c r="S6369" s="40"/>
      <c r="T6369" s="38"/>
      <c r="U6369" s="38"/>
      <c r="V6369" s="38"/>
      <c r="W6369" s="60"/>
      <c r="AB6369" s="42"/>
      <c r="AC6369" s="35"/>
      <c r="AD6369" s="38"/>
      <c r="AE6369" s="38"/>
      <c r="AF6369" s="38"/>
      <c r="AG6369" s="38"/>
      <c r="AH6369" s="60"/>
    </row>
    <row r="6370" spans="1:34" ht="15.75" customHeight="1">
      <c r="A6370" s="303"/>
      <c r="B6370" s="38"/>
      <c r="C6370" s="37"/>
      <c r="D6370" s="20"/>
      <c r="E6370" s="25"/>
      <c r="F6370" s="37"/>
      <c r="G6370" s="37"/>
      <c r="H6370" s="37"/>
      <c r="I6370" s="37"/>
      <c r="J6370" s="37"/>
      <c r="K6370" s="22"/>
      <c r="L6370" s="56"/>
      <c r="P6370" s="40"/>
      <c r="Q6370" s="61"/>
      <c r="R6370" s="61"/>
      <c r="S6370" s="40"/>
      <c r="T6370" s="38"/>
      <c r="U6370" s="38"/>
      <c r="V6370" s="38"/>
      <c r="W6370" s="60"/>
      <c r="AB6370" s="42"/>
      <c r="AC6370" s="35"/>
      <c r="AD6370" s="38"/>
      <c r="AE6370" s="38"/>
      <c r="AF6370" s="38"/>
      <c r="AG6370" s="38"/>
      <c r="AH6370" s="60"/>
    </row>
    <row r="6371" spans="1:34" ht="15.75" customHeight="1">
      <c r="A6371" s="303"/>
      <c r="B6371" s="38"/>
      <c r="C6371" s="37"/>
      <c r="D6371" s="20"/>
      <c r="E6371" s="25"/>
      <c r="F6371" s="37"/>
      <c r="G6371" s="37"/>
      <c r="H6371" s="37"/>
      <c r="I6371" s="37"/>
      <c r="J6371" s="37"/>
      <c r="K6371" s="22"/>
      <c r="L6371" s="56"/>
      <c r="P6371" s="40"/>
      <c r="Q6371" s="61"/>
      <c r="R6371" s="61"/>
      <c r="S6371" s="40"/>
      <c r="T6371" s="38"/>
      <c r="U6371" s="38"/>
      <c r="V6371" s="38"/>
      <c r="W6371" s="60"/>
      <c r="AB6371" s="42"/>
      <c r="AC6371" s="35"/>
      <c r="AD6371" s="38"/>
      <c r="AE6371" s="38"/>
      <c r="AF6371" s="38"/>
      <c r="AG6371" s="38"/>
      <c r="AH6371" s="60"/>
    </row>
    <row r="6372" spans="1:34" ht="15.75" customHeight="1">
      <c r="A6372" s="303"/>
      <c r="B6372" s="38"/>
      <c r="C6372" s="37"/>
      <c r="D6372" s="20"/>
      <c r="E6372" s="25"/>
      <c r="F6372" s="37"/>
      <c r="G6372" s="37"/>
      <c r="H6372" s="37"/>
      <c r="I6372" s="37"/>
      <c r="J6372" s="37"/>
      <c r="K6372" s="22"/>
      <c r="L6372" s="56"/>
      <c r="P6372" s="40"/>
      <c r="Q6372" s="61"/>
      <c r="R6372" s="61"/>
      <c r="S6372" s="40"/>
      <c r="T6372" s="38"/>
      <c r="U6372" s="38"/>
      <c r="V6372" s="38"/>
      <c r="W6372" s="60"/>
      <c r="AB6372" s="42"/>
      <c r="AC6372" s="35"/>
      <c r="AD6372" s="38"/>
      <c r="AE6372" s="38"/>
      <c r="AF6372" s="38"/>
      <c r="AG6372" s="38"/>
      <c r="AH6372" s="60"/>
    </row>
    <row r="6373" spans="1:34" ht="15.75" customHeight="1">
      <c r="A6373" s="303"/>
      <c r="B6373" s="38"/>
      <c r="C6373" s="37"/>
      <c r="D6373" s="20"/>
      <c r="E6373" s="25"/>
      <c r="F6373" s="37"/>
      <c r="G6373" s="37"/>
      <c r="H6373" s="37"/>
      <c r="I6373" s="37"/>
      <c r="J6373" s="37"/>
      <c r="K6373" s="22"/>
      <c r="L6373" s="56"/>
      <c r="P6373" s="40"/>
      <c r="Q6373" s="61"/>
      <c r="R6373" s="61"/>
      <c r="S6373" s="40"/>
      <c r="T6373" s="38"/>
      <c r="U6373" s="38"/>
      <c r="V6373" s="38"/>
      <c r="W6373" s="60"/>
      <c r="AB6373" s="42"/>
      <c r="AC6373" s="35"/>
      <c r="AD6373" s="38"/>
      <c r="AE6373" s="38"/>
      <c r="AF6373" s="38"/>
      <c r="AG6373" s="38"/>
      <c r="AH6373" s="60"/>
    </row>
    <row r="6374" spans="1:34" ht="15.75" customHeight="1">
      <c r="A6374" s="303"/>
      <c r="B6374" s="38"/>
      <c r="C6374" s="37"/>
      <c r="D6374" s="20"/>
      <c r="E6374" s="25"/>
      <c r="F6374" s="37"/>
      <c r="G6374" s="37"/>
      <c r="H6374" s="37"/>
      <c r="I6374" s="37"/>
      <c r="J6374" s="37"/>
      <c r="K6374" s="22"/>
      <c r="L6374" s="56"/>
      <c r="P6374" s="40"/>
      <c r="Q6374" s="61"/>
      <c r="R6374" s="61"/>
      <c r="S6374" s="40"/>
      <c r="T6374" s="38"/>
      <c r="U6374" s="38"/>
      <c r="V6374" s="38"/>
      <c r="W6374" s="60"/>
      <c r="AB6374" s="42"/>
      <c r="AC6374" s="35"/>
      <c r="AD6374" s="38"/>
      <c r="AE6374" s="38"/>
      <c r="AF6374" s="38"/>
      <c r="AG6374" s="38"/>
      <c r="AH6374" s="60"/>
    </row>
    <row r="6375" spans="1:34" ht="15.75" customHeight="1">
      <c r="A6375" s="303"/>
      <c r="B6375" s="38"/>
      <c r="C6375" s="37"/>
      <c r="D6375" s="20"/>
      <c r="E6375" s="25"/>
      <c r="F6375" s="37"/>
      <c r="G6375" s="37"/>
      <c r="H6375" s="37"/>
      <c r="I6375" s="37"/>
      <c r="J6375" s="37"/>
      <c r="K6375" s="22"/>
      <c r="L6375" s="56"/>
      <c r="P6375" s="40"/>
      <c r="Q6375" s="61"/>
      <c r="R6375" s="61"/>
      <c r="S6375" s="40"/>
      <c r="T6375" s="38"/>
      <c r="U6375" s="38"/>
      <c r="V6375" s="38"/>
      <c r="W6375" s="60"/>
      <c r="AB6375" s="42"/>
      <c r="AC6375" s="35"/>
      <c r="AD6375" s="38"/>
      <c r="AE6375" s="38"/>
      <c r="AF6375" s="38"/>
      <c r="AG6375" s="38"/>
      <c r="AH6375" s="60"/>
    </row>
    <row r="6376" spans="1:34" ht="15.75" customHeight="1">
      <c r="A6376" s="303"/>
      <c r="B6376" s="38"/>
      <c r="C6376" s="37"/>
      <c r="D6376" s="20"/>
      <c r="E6376" s="25"/>
      <c r="F6376" s="37"/>
      <c r="G6376" s="37"/>
      <c r="H6376" s="37"/>
      <c r="I6376" s="37"/>
      <c r="J6376" s="37"/>
      <c r="K6376" s="22"/>
      <c r="L6376" s="56"/>
      <c r="P6376" s="40"/>
      <c r="Q6376" s="61"/>
      <c r="R6376" s="61"/>
      <c r="S6376" s="40"/>
      <c r="T6376" s="38"/>
      <c r="U6376" s="38"/>
      <c r="V6376" s="38"/>
      <c r="W6376" s="60"/>
      <c r="AB6376" s="42"/>
      <c r="AC6376" s="35"/>
      <c r="AD6376" s="38"/>
      <c r="AE6376" s="38"/>
      <c r="AF6376" s="38"/>
      <c r="AG6376" s="38"/>
      <c r="AH6376" s="60"/>
    </row>
    <row r="6377" spans="1:34" ht="15.75" customHeight="1">
      <c r="A6377" s="303"/>
      <c r="B6377" s="38"/>
      <c r="C6377" s="37"/>
      <c r="D6377" s="20"/>
      <c r="E6377" s="25"/>
      <c r="F6377" s="37"/>
      <c r="G6377" s="37"/>
      <c r="H6377" s="37"/>
      <c r="I6377" s="37"/>
      <c r="J6377" s="37"/>
      <c r="K6377" s="22"/>
      <c r="L6377" s="56"/>
      <c r="P6377" s="40"/>
      <c r="Q6377" s="61"/>
      <c r="R6377" s="61"/>
      <c r="S6377" s="40"/>
      <c r="T6377" s="38"/>
      <c r="U6377" s="38"/>
      <c r="V6377" s="38"/>
      <c r="W6377" s="60"/>
      <c r="AB6377" s="42"/>
      <c r="AC6377" s="35"/>
      <c r="AD6377" s="38"/>
      <c r="AE6377" s="38"/>
      <c r="AF6377" s="38"/>
      <c r="AG6377" s="38"/>
      <c r="AH6377" s="60"/>
    </row>
    <row r="6378" spans="1:34" ht="15.75" customHeight="1">
      <c r="A6378" s="303"/>
      <c r="B6378" s="38"/>
      <c r="C6378" s="37"/>
      <c r="D6378" s="20"/>
      <c r="E6378" s="25"/>
      <c r="F6378" s="37"/>
      <c r="G6378" s="37"/>
      <c r="H6378" s="37"/>
      <c r="I6378" s="37"/>
      <c r="J6378" s="37"/>
      <c r="K6378" s="22"/>
      <c r="L6378" s="56"/>
      <c r="P6378" s="40"/>
      <c r="Q6378" s="61"/>
      <c r="R6378" s="61"/>
      <c r="S6378" s="40"/>
      <c r="T6378" s="38"/>
      <c r="U6378" s="38"/>
      <c r="V6378" s="38"/>
      <c r="W6378" s="60"/>
      <c r="AB6378" s="42"/>
      <c r="AC6378" s="35"/>
      <c r="AD6378" s="38"/>
      <c r="AE6378" s="38"/>
      <c r="AF6378" s="38"/>
      <c r="AG6378" s="38"/>
      <c r="AH6378" s="60"/>
    </row>
    <row r="6379" spans="1:34" ht="15.75" customHeight="1">
      <c r="A6379" s="303"/>
      <c r="B6379" s="38"/>
      <c r="C6379" s="37"/>
      <c r="D6379" s="20"/>
      <c r="E6379" s="25"/>
      <c r="F6379" s="37"/>
      <c r="G6379" s="37"/>
      <c r="H6379" s="37"/>
      <c r="I6379" s="37"/>
      <c r="J6379" s="37"/>
      <c r="K6379" s="22"/>
      <c r="L6379" s="56"/>
      <c r="P6379" s="40"/>
      <c r="Q6379" s="61"/>
      <c r="R6379" s="61"/>
      <c r="S6379" s="40"/>
      <c r="T6379" s="38"/>
      <c r="U6379" s="38"/>
      <c r="V6379" s="38"/>
      <c r="W6379" s="60"/>
      <c r="AB6379" s="42"/>
      <c r="AC6379" s="35"/>
      <c r="AD6379" s="38"/>
      <c r="AE6379" s="38"/>
      <c r="AF6379" s="38"/>
      <c r="AG6379" s="38"/>
      <c r="AH6379" s="60"/>
    </row>
    <row r="6380" spans="1:34" ht="15.75" customHeight="1">
      <c r="A6380" s="303"/>
      <c r="B6380" s="38"/>
      <c r="C6380" s="37"/>
      <c r="D6380" s="20"/>
      <c r="E6380" s="25"/>
      <c r="F6380" s="37"/>
      <c r="G6380" s="37"/>
      <c r="H6380" s="37"/>
      <c r="I6380" s="37"/>
      <c r="J6380" s="37"/>
      <c r="K6380" s="22"/>
      <c r="L6380" s="56"/>
      <c r="P6380" s="40"/>
      <c r="Q6380" s="61"/>
      <c r="R6380" s="61"/>
      <c r="S6380" s="40"/>
      <c r="T6380" s="38"/>
      <c r="U6380" s="38"/>
      <c r="V6380" s="38"/>
      <c r="W6380" s="60"/>
      <c r="AB6380" s="42"/>
      <c r="AC6380" s="35"/>
      <c r="AD6380" s="38"/>
      <c r="AE6380" s="38"/>
      <c r="AF6380" s="38"/>
      <c r="AG6380" s="38"/>
      <c r="AH6380" s="60"/>
    </row>
    <row r="6381" spans="1:34" ht="15.75" customHeight="1">
      <c r="A6381" s="303"/>
      <c r="B6381" s="38"/>
      <c r="C6381" s="37"/>
      <c r="D6381" s="20"/>
      <c r="E6381" s="25"/>
      <c r="F6381" s="37"/>
      <c r="G6381" s="37"/>
      <c r="H6381" s="37"/>
      <c r="I6381" s="37"/>
      <c r="J6381" s="37"/>
      <c r="K6381" s="22"/>
      <c r="L6381" s="56"/>
      <c r="P6381" s="40"/>
      <c r="Q6381" s="61"/>
      <c r="R6381" s="61"/>
      <c r="S6381" s="40"/>
      <c r="T6381" s="38"/>
      <c r="U6381" s="38"/>
      <c r="V6381" s="38"/>
      <c r="W6381" s="60"/>
      <c r="AB6381" s="42"/>
      <c r="AC6381" s="35"/>
      <c r="AD6381" s="38"/>
      <c r="AE6381" s="38"/>
      <c r="AF6381" s="38"/>
      <c r="AG6381" s="38"/>
      <c r="AH6381" s="60"/>
    </row>
    <row r="6382" spans="1:34" ht="15.75" customHeight="1">
      <c r="A6382" s="303"/>
      <c r="B6382" s="38"/>
      <c r="C6382" s="37"/>
      <c r="D6382" s="20"/>
      <c r="E6382" s="25"/>
      <c r="F6382" s="37"/>
      <c r="G6382" s="37"/>
      <c r="H6382" s="37"/>
      <c r="I6382" s="37"/>
      <c r="J6382" s="37"/>
      <c r="K6382" s="22"/>
      <c r="L6382" s="56"/>
      <c r="P6382" s="40"/>
      <c r="Q6382" s="61"/>
      <c r="R6382" s="61"/>
      <c r="S6382" s="40"/>
      <c r="T6382" s="38"/>
      <c r="U6382" s="38"/>
      <c r="V6382" s="38"/>
      <c r="W6382" s="60"/>
      <c r="AB6382" s="42"/>
      <c r="AC6382" s="35"/>
      <c r="AD6382" s="38"/>
      <c r="AE6382" s="38"/>
      <c r="AF6382" s="38"/>
      <c r="AG6382" s="38"/>
      <c r="AH6382" s="60"/>
    </row>
    <row r="6383" spans="1:34" ht="15.75" customHeight="1">
      <c r="A6383" s="303"/>
      <c r="B6383" s="38"/>
      <c r="C6383" s="37"/>
      <c r="D6383" s="20"/>
      <c r="E6383" s="25"/>
      <c r="F6383" s="37"/>
      <c r="G6383" s="37"/>
      <c r="H6383" s="37"/>
      <c r="I6383" s="37"/>
      <c r="J6383" s="37"/>
      <c r="K6383" s="22"/>
      <c r="L6383" s="56"/>
      <c r="P6383" s="40"/>
      <c r="Q6383" s="61"/>
      <c r="R6383" s="61"/>
      <c r="S6383" s="40"/>
      <c r="T6383" s="38"/>
      <c r="U6383" s="38"/>
      <c r="V6383" s="38"/>
      <c r="W6383" s="60"/>
      <c r="AB6383" s="42"/>
      <c r="AC6383" s="35"/>
      <c r="AD6383" s="38"/>
      <c r="AE6383" s="38"/>
      <c r="AF6383" s="38"/>
      <c r="AG6383" s="38"/>
      <c r="AH6383" s="60"/>
    </row>
    <row r="6384" spans="1:34" ht="15.75" customHeight="1">
      <c r="A6384" s="303"/>
      <c r="B6384" s="38"/>
      <c r="C6384" s="37"/>
      <c r="D6384" s="20"/>
      <c r="E6384" s="25"/>
      <c r="F6384" s="37"/>
      <c r="G6384" s="37"/>
      <c r="H6384" s="37"/>
      <c r="I6384" s="37"/>
      <c r="J6384" s="37"/>
      <c r="K6384" s="22"/>
      <c r="L6384" s="56"/>
      <c r="P6384" s="40"/>
      <c r="Q6384" s="61"/>
      <c r="R6384" s="61"/>
      <c r="S6384" s="40"/>
      <c r="T6384" s="38"/>
      <c r="U6384" s="38"/>
      <c r="V6384" s="38"/>
      <c r="W6384" s="60"/>
      <c r="AB6384" s="42"/>
      <c r="AC6384" s="35"/>
      <c r="AD6384" s="38"/>
      <c r="AE6384" s="38"/>
      <c r="AF6384" s="38"/>
      <c r="AG6384" s="38"/>
      <c r="AH6384" s="60"/>
    </row>
    <row r="6385" spans="1:34" ht="15.75" customHeight="1">
      <c r="A6385" s="303"/>
      <c r="B6385" s="38"/>
      <c r="C6385" s="37"/>
      <c r="D6385" s="20"/>
      <c r="E6385" s="25"/>
      <c r="F6385" s="37"/>
      <c r="G6385" s="37"/>
      <c r="H6385" s="37"/>
      <c r="I6385" s="37"/>
      <c r="J6385" s="37"/>
      <c r="K6385" s="22"/>
      <c r="L6385" s="56"/>
      <c r="P6385" s="40"/>
      <c r="Q6385" s="61"/>
      <c r="R6385" s="61"/>
      <c r="S6385" s="40"/>
      <c r="T6385" s="38"/>
      <c r="U6385" s="38"/>
      <c r="V6385" s="38"/>
      <c r="W6385" s="60"/>
      <c r="AB6385" s="42"/>
      <c r="AC6385" s="35"/>
      <c r="AD6385" s="38"/>
      <c r="AE6385" s="38"/>
      <c r="AF6385" s="38"/>
      <c r="AG6385" s="38"/>
      <c r="AH6385" s="60"/>
    </row>
    <row r="6386" spans="1:34" ht="15.75" customHeight="1">
      <c r="A6386" s="303"/>
      <c r="B6386" s="38"/>
      <c r="C6386" s="37"/>
      <c r="D6386" s="20"/>
      <c r="E6386" s="25"/>
      <c r="F6386" s="37"/>
      <c r="G6386" s="37"/>
      <c r="H6386" s="37"/>
      <c r="I6386" s="37"/>
      <c r="J6386" s="37"/>
      <c r="K6386" s="22"/>
      <c r="L6386" s="56"/>
      <c r="P6386" s="40"/>
      <c r="Q6386" s="61"/>
      <c r="R6386" s="61"/>
      <c r="S6386" s="40"/>
      <c r="T6386" s="38"/>
      <c r="U6386" s="38"/>
      <c r="V6386" s="38"/>
      <c r="W6386" s="60"/>
      <c r="AB6386" s="42"/>
      <c r="AC6386" s="35"/>
      <c r="AD6386" s="38"/>
      <c r="AE6386" s="38"/>
      <c r="AF6386" s="38"/>
      <c r="AG6386" s="38"/>
      <c r="AH6386" s="60"/>
    </row>
    <row r="6387" spans="1:34" ht="15.75" customHeight="1">
      <c r="A6387" s="303"/>
      <c r="B6387" s="38"/>
      <c r="C6387" s="37"/>
      <c r="D6387" s="20"/>
      <c r="E6387" s="25"/>
      <c r="F6387" s="37"/>
      <c r="G6387" s="37"/>
      <c r="H6387" s="37"/>
      <c r="I6387" s="37"/>
      <c r="J6387" s="37"/>
      <c r="K6387" s="22"/>
      <c r="L6387" s="56"/>
      <c r="P6387" s="40"/>
      <c r="Q6387" s="61"/>
      <c r="R6387" s="61"/>
      <c r="S6387" s="40"/>
      <c r="T6387" s="38"/>
      <c r="U6387" s="38"/>
      <c r="V6387" s="38"/>
      <c r="W6387" s="60"/>
      <c r="AB6387" s="42"/>
      <c r="AC6387" s="35"/>
      <c r="AD6387" s="38"/>
      <c r="AE6387" s="38"/>
      <c r="AF6387" s="38"/>
      <c r="AG6387" s="38"/>
      <c r="AH6387" s="60"/>
    </row>
    <row r="6388" spans="1:34" ht="15.75" customHeight="1">
      <c r="A6388" s="303"/>
      <c r="B6388" s="38"/>
      <c r="C6388" s="37"/>
      <c r="D6388" s="20"/>
      <c r="E6388" s="25"/>
      <c r="F6388" s="37"/>
      <c r="G6388" s="37"/>
      <c r="H6388" s="37"/>
      <c r="I6388" s="37"/>
      <c r="J6388" s="37"/>
      <c r="K6388" s="22"/>
      <c r="L6388" s="56"/>
      <c r="P6388" s="40"/>
      <c r="Q6388" s="61"/>
      <c r="R6388" s="61"/>
      <c r="S6388" s="40"/>
      <c r="T6388" s="38"/>
      <c r="U6388" s="38"/>
      <c r="V6388" s="38"/>
      <c r="W6388" s="60"/>
      <c r="AB6388" s="42"/>
      <c r="AC6388" s="35"/>
      <c r="AD6388" s="38"/>
      <c r="AE6388" s="38"/>
      <c r="AF6388" s="38"/>
      <c r="AG6388" s="38"/>
      <c r="AH6388" s="60"/>
    </row>
    <row r="6389" spans="1:34" ht="15.75" customHeight="1">
      <c r="A6389" s="303"/>
      <c r="B6389" s="38"/>
      <c r="C6389" s="37"/>
      <c r="D6389" s="20"/>
      <c r="E6389" s="25"/>
      <c r="F6389" s="37"/>
      <c r="G6389" s="37"/>
      <c r="H6389" s="37"/>
      <c r="I6389" s="37"/>
      <c r="J6389" s="37"/>
      <c r="K6389" s="22"/>
      <c r="L6389" s="56"/>
      <c r="P6389" s="40"/>
      <c r="Q6389" s="61"/>
      <c r="R6389" s="61"/>
      <c r="S6389" s="40"/>
      <c r="T6389" s="38"/>
      <c r="U6389" s="38"/>
      <c r="V6389" s="38"/>
      <c r="W6389" s="60"/>
      <c r="AB6389" s="42"/>
      <c r="AC6389" s="35"/>
      <c r="AD6389" s="38"/>
      <c r="AE6389" s="38"/>
      <c r="AF6389" s="38"/>
      <c r="AG6389" s="38"/>
      <c r="AH6389" s="60"/>
    </row>
    <row r="6390" spans="1:34" ht="15.75" customHeight="1">
      <c r="A6390" s="303"/>
      <c r="B6390" s="38"/>
      <c r="C6390" s="37"/>
      <c r="D6390" s="20"/>
      <c r="E6390" s="25"/>
      <c r="F6390" s="37"/>
      <c r="G6390" s="37"/>
      <c r="H6390" s="37"/>
      <c r="I6390" s="37"/>
      <c r="J6390" s="37"/>
      <c r="K6390" s="22"/>
      <c r="L6390" s="56"/>
      <c r="P6390" s="40"/>
      <c r="Q6390" s="61"/>
      <c r="R6390" s="61"/>
      <c r="S6390" s="40"/>
      <c r="T6390" s="38"/>
      <c r="U6390" s="38"/>
      <c r="V6390" s="38"/>
      <c r="W6390" s="60"/>
      <c r="AB6390" s="42"/>
      <c r="AC6390" s="35"/>
      <c r="AD6390" s="38"/>
      <c r="AE6390" s="38"/>
      <c r="AF6390" s="38"/>
      <c r="AG6390" s="38"/>
      <c r="AH6390" s="60"/>
    </row>
    <row r="6391" spans="1:34" ht="15.75" customHeight="1">
      <c r="A6391" s="303"/>
      <c r="B6391" s="38"/>
      <c r="C6391" s="37"/>
      <c r="D6391" s="20"/>
      <c r="E6391" s="25"/>
      <c r="F6391" s="37"/>
      <c r="G6391" s="37"/>
      <c r="H6391" s="37"/>
      <c r="I6391" s="37"/>
      <c r="J6391" s="37"/>
      <c r="K6391" s="22"/>
      <c r="L6391" s="56"/>
      <c r="P6391" s="40"/>
      <c r="Q6391" s="61"/>
      <c r="R6391" s="61"/>
      <c r="S6391" s="40"/>
      <c r="T6391" s="38"/>
      <c r="U6391" s="38"/>
      <c r="V6391" s="38"/>
      <c r="W6391" s="60"/>
      <c r="AB6391" s="42"/>
      <c r="AC6391" s="35"/>
      <c r="AD6391" s="38"/>
      <c r="AE6391" s="38"/>
      <c r="AF6391" s="38"/>
      <c r="AG6391" s="38"/>
      <c r="AH6391" s="60"/>
    </row>
    <row r="6392" spans="1:34" ht="15.75" customHeight="1">
      <c r="A6392" s="303"/>
      <c r="B6392" s="38"/>
      <c r="C6392" s="37"/>
      <c r="D6392" s="20"/>
      <c r="E6392" s="25"/>
      <c r="F6392" s="37"/>
      <c r="G6392" s="37"/>
      <c r="H6392" s="37"/>
      <c r="I6392" s="37"/>
      <c r="J6392" s="37"/>
      <c r="K6392" s="22"/>
      <c r="L6392" s="56"/>
      <c r="P6392" s="40"/>
      <c r="Q6392" s="61"/>
      <c r="R6392" s="61"/>
      <c r="S6392" s="40"/>
      <c r="T6392" s="38"/>
      <c r="U6392" s="38"/>
      <c r="V6392" s="38"/>
      <c r="W6392" s="60"/>
      <c r="AB6392" s="42"/>
      <c r="AC6392" s="35"/>
      <c r="AD6392" s="38"/>
      <c r="AE6392" s="38"/>
      <c r="AF6392" s="38"/>
      <c r="AG6392" s="38"/>
      <c r="AH6392" s="60"/>
    </row>
    <row r="6393" spans="1:34" ht="15.75" customHeight="1">
      <c r="A6393" s="303"/>
      <c r="B6393" s="38"/>
      <c r="C6393" s="37"/>
      <c r="D6393" s="20"/>
      <c r="E6393" s="25"/>
      <c r="F6393" s="37"/>
      <c r="G6393" s="37"/>
      <c r="H6393" s="37"/>
      <c r="I6393" s="37"/>
      <c r="J6393" s="37"/>
      <c r="K6393" s="22"/>
      <c r="L6393" s="56"/>
      <c r="P6393" s="40"/>
      <c r="Q6393" s="61"/>
      <c r="R6393" s="61"/>
      <c r="S6393" s="40"/>
      <c r="T6393" s="38"/>
      <c r="U6393" s="38"/>
      <c r="V6393" s="38"/>
      <c r="W6393" s="60"/>
      <c r="AB6393" s="42"/>
      <c r="AC6393" s="35"/>
      <c r="AD6393" s="38"/>
      <c r="AE6393" s="38"/>
      <c r="AF6393" s="38"/>
      <c r="AG6393" s="38"/>
      <c r="AH6393" s="60"/>
    </row>
    <row r="6394" spans="1:34" ht="15.75" customHeight="1">
      <c r="A6394" s="303"/>
      <c r="B6394" s="38"/>
      <c r="C6394" s="37"/>
      <c r="D6394" s="20"/>
      <c r="E6394" s="25"/>
      <c r="F6394" s="37"/>
      <c r="G6394" s="37"/>
      <c r="H6394" s="37"/>
      <c r="I6394" s="37"/>
      <c r="J6394" s="37"/>
      <c r="K6394" s="22"/>
      <c r="L6394" s="56"/>
      <c r="P6394" s="40"/>
      <c r="Q6394" s="61"/>
      <c r="R6394" s="61"/>
      <c r="S6394" s="40"/>
      <c r="T6394" s="38"/>
      <c r="U6394" s="38"/>
      <c r="V6394" s="38"/>
      <c r="W6394" s="60"/>
      <c r="AB6394" s="42"/>
      <c r="AC6394" s="35"/>
      <c r="AD6394" s="38"/>
      <c r="AE6394" s="38"/>
      <c r="AF6394" s="38"/>
      <c r="AG6394" s="38"/>
      <c r="AH6394" s="60"/>
    </row>
    <row r="6395" spans="1:34" ht="15.75" customHeight="1">
      <c r="A6395" s="303"/>
      <c r="B6395" s="38"/>
      <c r="C6395" s="37"/>
      <c r="D6395" s="20"/>
      <c r="E6395" s="25"/>
      <c r="F6395" s="37"/>
      <c r="G6395" s="37"/>
      <c r="H6395" s="37"/>
      <c r="I6395" s="37"/>
      <c r="J6395" s="37"/>
      <c r="K6395" s="22"/>
      <c r="L6395" s="56"/>
      <c r="P6395" s="40"/>
      <c r="Q6395" s="61"/>
      <c r="R6395" s="61"/>
      <c r="S6395" s="40"/>
      <c r="T6395" s="38"/>
      <c r="U6395" s="38"/>
      <c r="V6395" s="38"/>
      <c r="W6395" s="60"/>
      <c r="AB6395" s="42"/>
      <c r="AC6395" s="35"/>
      <c r="AD6395" s="38"/>
      <c r="AE6395" s="38"/>
      <c r="AF6395" s="38"/>
      <c r="AG6395" s="38"/>
      <c r="AH6395" s="60"/>
    </row>
    <row r="6396" spans="1:34" ht="15.75" customHeight="1">
      <c r="A6396" s="303"/>
      <c r="B6396" s="38"/>
      <c r="C6396" s="37"/>
      <c r="D6396" s="20"/>
      <c r="E6396" s="25"/>
      <c r="F6396" s="37"/>
      <c r="G6396" s="37"/>
      <c r="H6396" s="37"/>
      <c r="I6396" s="37"/>
      <c r="J6396" s="37"/>
      <c r="K6396" s="22"/>
      <c r="L6396" s="56"/>
      <c r="P6396" s="40"/>
      <c r="Q6396" s="61"/>
      <c r="R6396" s="61"/>
      <c r="S6396" s="40"/>
      <c r="T6396" s="38"/>
      <c r="U6396" s="38"/>
      <c r="V6396" s="38"/>
      <c r="W6396" s="60"/>
      <c r="AB6396" s="42"/>
      <c r="AC6396" s="35"/>
      <c r="AD6396" s="38"/>
      <c r="AE6396" s="38"/>
      <c r="AF6396" s="38"/>
      <c r="AG6396" s="38"/>
      <c r="AH6396" s="60"/>
    </row>
    <row r="6397" spans="1:34" ht="15.75" customHeight="1">
      <c r="A6397" s="303"/>
      <c r="B6397" s="38"/>
      <c r="C6397" s="37"/>
      <c r="D6397" s="20"/>
      <c r="E6397" s="25"/>
      <c r="F6397" s="37"/>
      <c r="G6397" s="37"/>
      <c r="H6397" s="37"/>
      <c r="I6397" s="37"/>
      <c r="J6397" s="37"/>
      <c r="K6397" s="22"/>
      <c r="L6397" s="56"/>
      <c r="P6397" s="40"/>
      <c r="Q6397" s="61"/>
      <c r="R6397" s="61"/>
      <c r="S6397" s="40"/>
      <c r="T6397" s="38"/>
      <c r="U6397" s="38"/>
      <c r="V6397" s="38"/>
      <c r="W6397" s="60"/>
      <c r="AB6397" s="42"/>
      <c r="AC6397" s="35"/>
      <c r="AD6397" s="38"/>
      <c r="AE6397" s="38"/>
      <c r="AF6397" s="38"/>
      <c r="AG6397" s="38"/>
      <c r="AH6397" s="60"/>
    </row>
    <row r="6398" spans="1:34" ht="15.75" customHeight="1">
      <c r="A6398" s="303"/>
      <c r="B6398" s="38"/>
      <c r="C6398" s="37"/>
      <c r="D6398" s="20"/>
      <c r="E6398" s="25"/>
      <c r="F6398" s="37"/>
      <c r="G6398" s="37"/>
      <c r="H6398" s="37"/>
      <c r="I6398" s="37"/>
      <c r="J6398" s="37"/>
      <c r="K6398" s="22"/>
      <c r="L6398" s="56"/>
      <c r="P6398" s="40"/>
      <c r="Q6398" s="61"/>
      <c r="R6398" s="61"/>
      <c r="S6398" s="40"/>
      <c r="T6398" s="38"/>
      <c r="U6398" s="38"/>
      <c r="V6398" s="38"/>
      <c r="W6398" s="60"/>
      <c r="AB6398" s="42"/>
      <c r="AC6398" s="35"/>
      <c r="AD6398" s="38"/>
      <c r="AE6398" s="38"/>
      <c r="AF6398" s="38"/>
      <c r="AG6398" s="38"/>
      <c r="AH6398" s="60"/>
    </row>
    <row r="6399" spans="1:34" ht="15.75" customHeight="1">
      <c r="A6399" s="303"/>
      <c r="B6399" s="38"/>
      <c r="C6399" s="37"/>
      <c r="D6399" s="20"/>
      <c r="E6399" s="25"/>
      <c r="F6399" s="37"/>
      <c r="G6399" s="37"/>
      <c r="H6399" s="37"/>
      <c r="I6399" s="37"/>
      <c r="J6399" s="37"/>
      <c r="K6399" s="22"/>
      <c r="L6399" s="56"/>
      <c r="P6399" s="40"/>
      <c r="Q6399" s="61"/>
      <c r="R6399" s="61"/>
      <c r="S6399" s="40"/>
      <c r="T6399" s="38"/>
      <c r="U6399" s="38"/>
      <c r="V6399" s="38"/>
      <c r="W6399" s="60"/>
      <c r="AB6399" s="42"/>
      <c r="AC6399" s="35"/>
      <c r="AD6399" s="38"/>
      <c r="AE6399" s="38"/>
      <c r="AF6399" s="38"/>
      <c r="AG6399" s="38"/>
      <c r="AH6399" s="60"/>
    </row>
    <row r="6400" spans="1:34" ht="15.75" customHeight="1">
      <c r="A6400" s="303"/>
      <c r="B6400" s="38"/>
      <c r="C6400" s="37"/>
      <c r="D6400" s="20"/>
      <c r="E6400" s="25"/>
      <c r="F6400" s="37"/>
      <c r="G6400" s="37"/>
      <c r="H6400" s="37"/>
      <c r="I6400" s="37"/>
      <c r="J6400" s="37"/>
      <c r="K6400" s="22"/>
      <c r="L6400" s="56"/>
      <c r="P6400" s="40"/>
      <c r="Q6400" s="61"/>
      <c r="R6400" s="61"/>
      <c r="S6400" s="40"/>
      <c r="T6400" s="38"/>
      <c r="U6400" s="38"/>
      <c r="V6400" s="38"/>
      <c r="W6400" s="60"/>
      <c r="AB6400" s="42"/>
      <c r="AC6400" s="35"/>
      <c r="AD6400" s="38"/>
      <c r="AE6400" s="38"/>
      <c r="AF6400" s="38"/>
      <c r="AG6400" s="38"/>
      <c r="AH6400" s="60"/>
    </row>
    <row r="6401" spans="1:34" ht="15.75" customHeight="1">
      <c r="A6401" s="303"/>
      <c r="B6401" s="38"/>
      <c r="C6401" s="37"/>
      <c r="D6401" s="20"/>
      <c r="E6401" s="25"/>
      <c r="F6401" s="37"/>
      <c r="G6401" s="37"/>
      <c r="H6401" s="37"/>
      <c r="I6401" s="37"/>
      <c r="J6401" s="37"/>
      <c r="K6401" s="22"/>
      <c r="L6401" s="56"/>
      <c r="P6401" s="40"/>
      <c r="Q6401" s="61"/>
      <c r="R6401" s="61"/>
      <c r="S6401" s="40"/>
      <c r="T6401" s="38"/>
      <c r="U6401" s="38"/>
      <c r="V6401" s="38"/>
      <c r="W6401" s="60"/>
      <c r="AB6401" s="42"/>
      <c r="AC6401" s="35"/>
      <c r="AD6401" s="38"/>
      <c r="AE6401" s="38"/>
      <c r="AF6401" s="38"/>
      <c r="AG6401" s="38"/>
      <c r="AH6401" s="60"/>
    </row>
    <row r="6402" spans="1:34" ht="15.75" customHeight="1">
      <c r="A6402" s="303"/>
      <c r="B6402" s="38"/>
      <c r="C6402" s="37"/>
      <c r="D6402" s="20"/>
      <c r="E6402" s="25"/>
      <c r="F6402" s="37"/>
      <c r="G6402" s="37"/>
      <c r="H6402" s="37"/>
      <c r="I6402" s="37"/>
      <c r="J6402" s="37"/>
      <c r="K6402" s="22"/>
      <c r="L6402" s="56"/>
      <c r="P6402" s="40"/>
      <c r="Q6402" s="61"/>
      <c r="R6402" s="61"/>
      <c r="S6402" s="40"/>
      <c r="T6402" s="38"/>
      <c r="U6402" s="38"/>
      <c r="V6402" s="38"/>
      <c r="W6402" s="60"/>
      <c r="AB6402" s="42"/>
      <c r="AC6402" s="35"/>
      <c r="AD6402" s="38"/>
      <c r="AE6402" s="38"/>
      <c r="AF6402" s="38"/>
      <c r="AG6402" s="38"/>
      <c r="AH6402" s="60"/>
    </row>
    <row r="6403" spans="1:34" ht="15.75" customHeight="1">
      <c r="A6403" s="303"/>
      <c r="B6403" s="38"/>
      <c r="C6403" s="37"/>
      <c r="D6403" s="20"/>
      <c r="E6403" s="25"/>
      <c r="F6403" s="37"/>
      <c r="G6403" s="37"/>
      <c r="H6403" s="37"/>
      <c r="I6403" s="37"/>
      <c r="J6403" s="37"/>
      <c r="K6403" s="22"/>
      <c r="L6403" s="56"/>
      <c r="P6403" s="40"/>
      <c r="Q6403" s="61"/>
      <c r="R6403" s="61"/>
      <c r="S6403" s="40"/>
      <c r="T6403" s="38"/>
      <c r="U6403" s="38"/>
      <c r="V6403" s="38"/>
      <c r="W6403" s="60"/>
      <c r="AB6403" s="42"/>
      <c r="AC6403" s="35"/>
      <c r="AD6403" s="38"/>
      <c r="AE6403" s="38"/>
      <c r="AF6403" s="38"/>
      <c r="AG6403" s="38"/>
      <c r="AH6403" s="60"/>
    </row>
    <row r="6404" spans="1:34" ht="15.75" customHeight="1">
      <c r="A6404" s="303"/>
      <c r="B6404" s="38"/>
      <c r="C6404" s="37"/>
      <c r="D6404" s="20"/>
      <c r="E6404" s="25"/>
      <c r="F6404" s="37"/>
      <c r="G6404" s="37"/>
      <c r="H6404" s="37"/>
      <c r="I6404" s="37"/>
      <c r="J6404" s="37"/>
      <c r="K6404" s="22"/>
      <c r="L6404" s="56"/>
      <c r="P6404" s="40"/>
      <c r="Q6404" s="61"/>
      <c r="R6404" s="61"/>
      <c r="S6404" s="40"/>
      <c r="T6404" s="38"/>
      <c r="U6404" s="38"/>
      <c r="V6404" s="38"/>
      <c r="W6404" s="60"/>
      <c r="AB6404" s="42"/>
      <c r="AC6404" s="35"/>
      <c r="AD6404" s="38"/>
      <c r="AE6404" s="38"/>
      <c r="AF6404" s="38"/>
      <c r="AG6404" s="38"/>
      <c r="AH6404" s="60"/>
    </row>
    <row r="6405" spans="1:34" ht="15.75" customHeight="1">
      <c r="A6405" s="303"/>
      <c r="B6405" s="38"/>
      <c r="C6405" s="37"/>
      <c r="D6405" s="20"/>
      <c r="E6405" s="25"/>
      <c r="F6405" s="37"/>
      <c r="G6405" s="37"/>
      <c r="H6405" s="37"/>
      <c r="I6405" s="37"/>
      <c r="J6405" s="37"/>
      <c r="K6405" s="22"/>
      <c r="L6405" s="56"/>
      <c r="P6405" s="40"/>
      <c r="Q6405" s="61"/>
      <c r="R6405" s="61"/>
      <c r="S6405" s="40"/>
      <c r="T6405" s="38"/>
      <c r="U6405" s="38"/>
      <c r="V6405" s="38"/>
      <c r="W6405" s="60"/>
      <c r="AB6405" s="42"/>
      <c r="AC6405" s="35"/>
      <c r="AD6405" s="38"/>
      <c r="AE6405" s="38"/>
      <c r="AF6405" s="38"/>
      <c r="AG6405" s="38"/>
      <c r="AH6405" s="60"/>
    </row>
    <row r="6406" spans="1:34" ht="15.75" customHeight="1">
      <c r="A6406" s="303"/>
      <c r="B6406" s="38"/>
      <c r="C6406" s="37"/>
      <c r="D6406" s="20"/>
      <c r="E6406" s="25"/>
      <c r="F6406" s="37"/>
      <c r="G6406" s="37"/>
      <c r="H6406" s="37"/>
      <c r="I6406" s="37"/>
      <c r="J6406" s="37"/>
      <c r="K6406" s="22"/>
      <c r="L6406" s="56"/>
      <c r="P6406" s="40"/>
      <c r="Q6406" s="61"/>
      <c r="R6406" s="61"/>
      <c r="S6406" s="40"/>
      <c r="T6406" s="38"/>
      <c r="U6406" s="38"/>
      <c r="V6406" s="38"/>
      <c r="W6406" s="60"/>
      <c r="AB6406" s="42"/>
      <c r="AC6406" s="35"/>
      <c r="AD6406" s="38"/>
      <c r="AE6406" s="38"/>
      <c r="AF6406" s="38"/>
      <c r="AG6406" s="38"/>
      <c r="AH6406" s="60"/>
    </row>
    <row r="6407" spans="1:34" ht="15.75" customHeight="1">
      <c r="A6407" s="303"/>
      <c r="B6407" s="38"/>
      <c r="C6407" s="37"/>
      <c r="D6407" s="20"/>
      <c r="E6407" s="25"/>
      <c r="F6407" s="37"/>
      <c r="G6407" s="37"/>
      <c r="H6407" s="37"/>
      <c r="I6407" s="37"/>
      <c r="J6407" s="37"/>
      <c r="K6407" s="22"/>
      <c r="L6407" s="56"/>
      <c r="P6407" s="40"/>
      <c r="Q6407" s="61"/>
      <c r="R6407" s="61"/>
      <c r="S6407" s="40"/>
      <c r="T6407" s="38"/>
      <c r="U6407" s="38"/>
      <c r="V6407" s="38"/>
      <c r="W6407" s="60"/>
      <c r="AB6407" s="42"/>
      <c r="AC6407" s="35"/>
      <c r="AD6407" s="38"/>
      <c r="AE6407" s="38"/>
      <c r="AF6407" s="38"/>
      <c r="AG6407" s="38"/>
      <c r="AH6407" s="60"/>
    </row>
    <row r="6408" spans="1:34" ht="15.75" customHeight="1">
      <c r="A6408" s="303"/>
      <c r="B6408" s="38"/>
      <c r="C6408" s="37"/>
      <c r="D6408" s="20"/>
      <c r="E6408" s="25"/>
      <c r="F6408" s="37"/>
      <c r="G6408" s="37"/>
      <c r="H6408" s="37"/>
      <c r="I6408" s="37"/>
      <c r="J6408" s="37"/>
      <c r="K6408" s="22"/>
      <c r="L6408" s="56"/>
      <c r="P6408" s="40"/>
      <c r="Q6408" s="61"/>
      <c r="R6408" s="61"/>
      <c r="S6408" s="40"/>
      <c r="T6408" s="38"/>
      <c r="U6408" s="38"/>
      <c r="V6408" s="38"/>
      <c r="W6408" s="60"/>
      <c r="AB6408" s="42"/>
      <c r="AC6408" s="35"/>
      <c r="AD6408" s="38"/>
      <c r="AE6408" s="38"/>
      <c r="AF6408" s="38"/>
      <c r="AG6408" s="38"/>
      <c r="AH6408" s="60"/>
    </row>
    <row r="6409" spans="1:34" ht="15.75" customHeight="1">
      <c r="A6409" s="303"/>
      <c r="B6409" s="38"/>
      <c r="C6409" s="37"/>
      <c r="D6409" s="20"/>
      <c r="E6409" s="25"/>
      <c r="F6409" s="37"/>
      <c r="G6409" s="37"/>
      <c r="H6409" s="37"/>
      <c r="I6409" s="37"/>
      <c r="J6409" s="37"/>
      <c r="K6409" s="22"/>
      <c r="L6409" s="56"/>
      <c r="P6409" s="40"/>
      <c r="Q6409" s="61"/>
      <c r="R6409" s="61"/>
      <c r="S6409" s="40"/>
      <c r="T6409" s="38"/>
      <c r="U6409" s="38"/>
      <c r="V6409" s="38"/>
      <c r="W6409" s="60"/>
      <c r="AB6409" s="42"/>
      <c r="AC6409" s="35"/>
      <c r="AD6409" s="38"/>
      <c r="AE6409" s="38"/>
      <c r="AF6409" s="38"/>
      <c r="AG6409" s="38"/>
      <c r="AH6409" s="60"/>
    </row>
    <row r="6410" spans="1:34" ht="15.75" customHeight="1">
      <c r="A6410" s="303"/>
      <c r="B6410" s="38"/>
      <c r="C6410" s="37"/>
      <c r="D6410" s="20"/>
      <c r="E6410" s="25"/>
      <c r="F6410" s="37"/>
      <c r="G6410" s="37"/>
      <c r="H6410" s="37"/>
      <c r="I6410" s="37"/>
      <c r="J6410" s="37"/>
      <c r="K6410" s="22"/>
      <c r="L6410" s="56"/>
      <c r="P6410" s="40"/>
      <c r="Q6410" s="61"/>
      <c r="R6410" s="61"/>
      <c r="S6410" s="40"/>
      <c r="T6410" s="38"/>
      <c r="U6410" s="38"/>
      <c r="V6410" s="38"/>
      <c r="W6410" s="60"/>
      <c r="AB6410" s="42"/>
      <c r="AC6410" s="35"/>
      <c r="AD6410" s="38"/>
      <c r="AE6410" s="38"/>
      <c r="AF6410" s="38"/>
      <c r="AG6410" s="38"/>
      <c r="AH6410" s="60"/>
    </row>
    <row r="6411" spans="1:34" ht="15.75" customHeight="1">
      <c r="A6411" s="303"/>
      <c r="B6411" s="38"/>
      <c r="C6411" s="37"/>
      <c r="D6411" s="20"/>
      <c r="E6411" s="25"/>
      <c r="F6411" s="37"/>
      <c r="G6411" s="37"/>
      <c r="H6411" s="37"/>
      <c r="I6411" s="37"/>
      <c r="J6411" s="37"/>
      <c r="K6411" s="22"/>
      <c r="L6411" s="56"/>
      <c r="P6411" s="40"/>
      <c r="Q6411" s="61"/>
      <c r="R6411" s="61"/>
      <c r="S6411" s="40"/>
      <c r="T6411" s="38"/>
      <c r="U6411" s="38"/>
      <c r="V6411" s="38"/>
      <c r="W6411" s="60"/>
      <c r="AB6411" s="42"/>
      <c r="AC6411" s="35"/>
      <c r="AD6411" s="38"/>
      <c r="AE6411" s="38"/>
      <c r="AF6411" s="38"/>
      <c r="AG6411" s="38"/>
      <c r="AH6411" s="60"/>
    </row>
    <row r="6412" spans="1:34" ht="15.75" customHeight="1">
      <c r="A6412" s="303"/>
      <c r="B6412" s="38"/>
      <c r="C6412" s="37"/>
      <c r="D6412" s="20"/>
      <c r="E6412" s="25"/>
      <c r="F6412" s="37"/>
      <c r="G6412" s="37"/>
      <c r="H6412" s="37"/>
      <c r="I6412" s="37"/>
      <c r="J6412" s="37"/>
      <c r="K6412" s="22"/>
      <c r="L6412" s="56"/>
      <c r="P6412" s="40"/>
      <c r="Q6412" s="61"/>
      <c r="R6412" s="61"/>
      <c r="S6412" s="40"/>
      <c r="T6412" s="38"/>
      <c r="U6412" s="38"/>
      <c r="V6412" s="38"/>
      <c r="W6412" s="60"/>
      <c r="AB6412" s="42"/>
      <c r="AC6412" s="35"/>
      <c r="AD6412" s="38"/>
      <c r="AE6412" s="38"/>
      <c r="AF6412" s="38"/>
      <c r="AG6412" s="38"/>
      <c r="AH6412" s="60"/>
    </row>
    <row r="6413" spans="1:34" ht="15.75" customHeight="1">
      <c r="A6413" s="303"/>
      <c r="B6413" s="38"/>
      <c r="C6413" s="37"/>
      <c r="D6413" s="20"/>
      <c r="E6413" s="25"/>
      <c r="F6413" s="37"/>
      <c r="G6413" s="37"/>
      <c r="H6413" s="37"/>
      <c r="I6413" s="37"/>
      <c r="J6413" s="37"/>
      <c r="K6413" s="22"/>
      <c r="L6413" s="56"/>
      <c r="P6413" s="40"/>
      <c r="Q6413" s="61"/>
      <c r="R6413" s="61"/>
      <c r="S6413" s="40"/>
      <c r="T6413" s="38"/>
      <c r="U6413" s="38"/>
      <c r="V6413" s="38"/>
      <c r="W6413" s="60"/>
      <c r="AB6413" s="42"/>
      <c r="AC6413" s="35"/>
      <c r="AD6413" s="38"/>
      <c r="AE6413" s="38"/>
      <c r="AF6413" s="38"/>
      <c r="AG6413" s="38"/>
      <c r="AH6413" s="60"/>
    </row>
    <row r="6414" spans="1:34" ht="15.75" customHeight="1">
      <c r="A6414" s="303"/>
      <c r="B6414" s="38"/>
      <c r="C6414" s="37"/>
      <c r="D6414" s="20"/>
      <c r="E6414" s="25"/>
      <c r="F6414" s="37"/>
      <c r="G6414" s="37"/>
      <c r="H6414" s="37"/>
      <c r="I6414" s="37"/>
      <c r="J6414" s="37"/>
      <c r="K6414" s="22"/>
      <c r="L6414" s="56"/>
      <c r="P6414" s="40"/>
      <c r="Q6414" s="61"/>
      <c r="R6414" s="61"/>
      <c r="S6414" s="40"/>
      <c r="T6414" s="38"/>
      <c r="U6414" s="38"/>
      <c r="V6414" s="38"/>
      <c r="W6414" s="60"/>
      <c r="AB6414" s="42"/>
      <c r="AC6414" s="35"/>
      <c r="AD6414" s="38"/>
      <c r="AE6414" s="38"/>
      <c r="AF6414" s="38"/>
      <c r="AG6414" s="38"/>
      <c r="AH6414" s="60"/>
    </row>
    <row r="6415" spans="1:34" ht="15.75" customHeight="1">
      <c r="A6415" s="303"/>
      <c r="B6415" s="38"/>
      <c r="C6415" s="37"/>
      <c r="D6415" s="20"/>
      <c r="E6415" s="25"/>
      <c r="F6415" s="37"/>
      <c r="G6415" s="37"/>
      <c r="H6415" s="37"/>
      <c r="I6415" s="37"/>
      <c r="J6415" s="37"/>
      <c r="K6415" s="22"/>
      <c r="L6415" s="56"/>
      <c r="P6415" s="40"/>
      <c r="Q6415" s="61"/>
      <c r="R6415" s="61"/>
      <c r="S6415" s="40"/>
      <c r="T6415" s="38"/>
      <c r="U6415" s="38"/>
      <c r="V6415" s="38"/>
      <c r="W6415" s="60"/>
      <c r="AB6415" s="42"/>
      <c r="AC6415" s="35"/>
      <c r="AD6415" s="38"/>
      <c r="AE6415" s="38"/>
      <c r="AF6415" s="38"/>
      <c r="AG6415" s="38"/>
      <c r="AH6415" s="60"/>
    </row>
    <row r="6416" spans="1:34" ht="15.75" customHeight="1">
      <c r="A6416" s="303"/>
      <c r="B6416" s="38"/>
      <c r="C6416" s="37"/>
      <c r="D6416" s="20"/>
      <c r="E6416" s="25"/>
      <c r="F6416" s="37"/>
      <c r="G6416" s="37"/>
      <c r="H6416" s="37"/>
      <c r="I6416" s="37"/>
      <c r="J6416" s="37"/>
      <c r="K6416" s="22"/>
      <c r="L6416" s="56"/>
      <c r="P6416" s="40"/>
      <c r="Q6416" s="61"/>
      <c r="R6416" s="61"/>
      <c r="S6416" s="40"/>
      <c r="T6416" s="38"/>
      <c r="U6416" s="38"/>
      <c r="V6416" s="38"/>
      <c r="W6416" s="60"/>
      <c r="AB6416" s="42"/>
      <c r="AC6416" s="35"/>
      <c r="AD6416" s="38"/>
      <c r="AE6416" s="38"/>
      <c r="AF6416" s="38"/>
      <c r="AG6416" s="38"/>
      <c r="AH6416" s="60"/>
    </row>
    <row r="6417" spans="1:34" ht="15.75" customHeight="1">
      <c r="A6417" s="303"/>
      <c r="B6417" s="38"/>
      <c r="C6417" s="37"/>
      <c r="D6417" s="20"/>
      <c r="E6417" s="25"/>
      <c r="F6417" s="37"/>
      <c r="G6417" s="37"/>
      <c r="H6417" s="37"/>
      <c r="I6417" s="37"/>
      <c r="J6417" s="37"/>
      <c r="K6417" s="22"/>
      <c r="L6417" s="56"/>
      <c r="P6417" s="40"/>
      <c r="Q6417" s="61"/>
      <c r="R6417" s="61"/>
      <c r="S6417" s="40"/>
      <c r="T6417" s="38"/>
      <c r="U6417" s="38"/>
      <c r="V6417" s="38"/>
      <c r="W6417" s="60"/>
      <c r="AB6417" s="42"/>
      <c r="AC6417" s="35"/>
      <c r="AD6417" s="38"/>
      <c r="AE6417" s="38"/>
      <c r="AF6417" s="38"/>
      <c r="AG6417" s="38"/>
      <c r="AH6417" s="60"/>
    </row>
    <row r="6418" spans="1:34" ht="15.75" customHeight="1">
      <c r="A6418" s="303"/>
      <c r="B6418" s="38"/>
      <c r="C6418" s="37"/>
      <c r="D6418" s="20"/>
      <c r="E6418" s="25"/>
      <c r="F6418" s="37"/>
      <c r="G6418" s="37"/>
      <c r="H6418" s="37"/>
      <c r="I6418" s="37"/>
      <c r="J6418" s="37"/>
      <c r="K6418" s="22"/>
      <c r="L6418" s="56"/>
      <c r="P6418" s="40"/>
      <c r="Q6418" s="61"/>
      <c r="R6418" s="61"/>
      <c r="S6418" s="40"/>
      <c r="T6418" s="38"/>
      <c r="U6418" s="38"/>
      <c r="V6418" s="38"/>
      <c r="W6418" s="60"/>
      <c r="AB6418" s="42"/>
      <c r="AC6418" s="35"/>
      <c r="AD6418" s="38"/>
      <c r="AE6418" s="38"/>
      <c r="AF6418" s="38"/>
      <c r="AG6418" s="38"/>
      <c r="AH6418" s="60"/>
    </row>
    <row r="6419" spans="1:34" ht="15.75" customHeight="1">
      <c r="A6419" s="303"/>
      <c r="B6419" s="38"/>
      <c r="C6419" s="37"/>
      <c r="D6419" s="20"/>
      <c r="E6419" s="25"/>
      <c r="F6419" s="37"/>
      <c r="G6419" s="37"/>
      <c r="H6419" s="37"/>
      <c r="I6419" s="37"/>
      <c r="J6419" s="37"/>
      <c r="K6419" s="22"/>
      <c r="L6419" s="56"/>
      <c r="P6419" s="40"/>
      <c r="Q6419" s="61"/>
      <c r="R6419" s="61"/>
      <c r="S6419" s="40"/>
      <c r="T6419" s="38"/>
      <c r="U6419" s="38"/>
      <c r="V6419" s="38"/>
      <c r="W6419" s="60"/>
      <c r="AB6419" s="42"/>
      <c r="AC6419" s="35"/>
      <c r="AD6419" s="38"/>
      <c r="AE6419" s="38"/>
      <c r="AF6419" s="38"/>
      <c r="AG6419" s="38"/>
      <c r="AH6419" s="60"/>
    </row>
    <row r="6420" spans="1:34" ht="15.75" customHeight="1">
      <c r="A6420" s="303"/>
      <c r="B6420" s="38"/>
      <c r="C6420" s="37"/>
      <c r="D6420" s="20"/>
      <c r="E6420" s="25"/>
      <c r="F6420" s="37"/>
      <c r="G6420" s="37"/>
      <c r="H6420" s="37"/>
      <c r="I6420" s="37"/>
      <c r="J6420" s="37"/>
      <c r="K6420" s="22"/>
      <c r="L6420" s="56"/>
      <c r="P6420" s="40"/>
      <c r="Q6420" s="61"/>
      <c r="R6420" s="61"/>
      <c r="S6420" s="40"/>
      <c r="T6420" s="38"/>
      <c r="U6420" s="38"/>
      <c r="V6420" s="38"/>
      <c r="W6420" s="60"/>
      <c r="AB6420" s="42"/>
      <c r="AC6420" s="35"/>
      <c r="AD6420" s="38"/>
      <c r="AE6420" s="38"/>
      <c r="AF6420" s="38"/>
      <c r="AG6420" s="38"/>
      <c r="AH6420" s="60"/>
    </row>
    <row r="6421" spans="1:34" ht="15.75" customHeight="1">
      <c r="A6421" s="303"/>
      <c r="B6421" s="38"/>
      <c r="C6421" s="37"/>
      <c r="D6421" s="20"/>
      <c r="E6421" s="25"/>
      <c r="F6421" s="37"/>
      <c r="G6421" s="37"/>
      <c r="H6421" s="37"/>
      <c r="I6421" s="37"/>
      <c r="J6421" s="37"/>
      <c r="K6421" s="22"/>
      <c r="L6421" s="56"/>
      <c r="P6421" s="40"/>
      <c r="Q6421" s="61"/>
      <c r="R6421" s="61"/>
      <c r="S6421" s="40"/>
      <c r="T6421" s="38"/>
      <c r="U6421" s="38"/>
      <c r="V6421" s="38"/>
      <c r="W6421" s="60"/>
      <c r="AB6421" s="42"/>
      <c r="AC6421" s="35"/>
      <c r="AD6421" s="38"/>
      <c r="AE6421" s="38"/>
      <c r="AF6421" s="38"/>
      <c r="AG6421" s="38"/>
      <c r="AH6421" s="60"/>
    </row>
    <row r="6422" spans="1:34" ht="15.75" customHeight="1">
      <c r="A6422" s="303"/>
      <c r="B6422" s="38"/>
      <c r="C6422" s="37"/>
      <c r="D6422" s="20"/>
      <c r="E6422" s="25"/>
      <c r="F6422" s="37"/>
      <c r="G6422" s="37"/>
      <c r="H6422" s="37"/>
      <c r="I6422" s="37"/>
      <c r="J6422" s="37"/>
      <c r="K6422" s="22"/>
      <c r="L6422" s="56"/>
      <c r="P6422" s="40"/>
      <c r="Q6422" s="61"/>
      <c r="R6422" s="61"/>
      <c r="S6422" s="40"/>
      <c r="T6422" s="38"/>
      <c r="U6422" s="38"/>
      <c r="V6422" s="38"/>
      <c r="W6422" s="60"/>
      <c r="AB6422" s="42"/>
      <c r="AC6422" s="35"/>
      <c r="AD6422" s="38"/>
      <c r="AE6422" s="38"/>
      <c r="AF6422" s="38"/>
      <c r="AG6422" s="38"/>
      <c r="AH6422" s="60"/>
    </row>
    <row r="6423" spans="1:34" ht="15.75" customHeight="1">
      <c r="A6423" s="303"/>
      <c r="B6423" s="38"/>
      <c r="C6423" s="37"/>
      <c r="D6423" s="20"/>
      <c r="E6423" s="25"/>
      <c r="F6423" s="37"/>
      <c r="G6423" s="37"/>
      <c r="H6423" s="37"/>
      <c r="I6423" s="37"/>
      <c r="J6423" s="37"/>
      <c r="K6423" s="22"/>
      <c r="L6423" s="56"/>
      <c r="P6423" s="40"/>
      <c r="Q6423" s="61"/>
      <c r="R6423" s="61"/>
      <c r="S6423" s="40"/>
      <c r="T6423" s="38"/>
      <c r="U6423" s="38"/>
      <c r="V6423" s="38"/>
      <c r="W6423" s="60"/>
      <c r="AB6423" s="42"/>
      <c r="AC6423" s="35"/>
      <c r="AD6423" s="38"/>
      <c r="AE6423" s="38"/>
      <c r="AF6423" s="38"/>
      <c r="AG6423" s="38"/>
      <c r="AH6423" s="60"/>
    </row>
    <row r="6424" spans="1:34" ht="15.75" customHeight="1">
      <c r="A6424" s="303"/>
      <c r="B6424" s="38"/>
      <c r="C6424" s="37"/>
      <c r="D6424" s="20"/>
      <c r="E6424" s="25"/>
      <c r="F6424" s="37"/>
      <c r="G6424" s="37"/>
      <c r="H6424" s="37"/>
      <c r="I6424" s="37"/>
      <c r="J6424" s="37"/>
      <c r="K6424" s="22"/>
      <c r="L6424" s="56"/>
      <c r="P6424" s="40"/>
      <c r="Q6424" s="61"/>
      <c r="R6424" s="61"/>
      <c r="S6424" s="40"/>
      <c r="T6424" s="38"/>
      <c r="U6424" s="38"/>
      <c r="V6424" s="38"/>
      <c r="W6424" s="60"/>
      <c r="AB6424" s="42"/>
      <c r="AC6424" s="35"/>
      <c r="AD6424" s="38"/>
      <c r="AE6424" s="38"/>
      <c r="AF6424" s="38"/>
      <c r="AG6424" s="38"/>
      <c r="AH6424" s="60"/>
    </row>
    <row r="6425" spans="1:34" ht="15.75" customHeight="1">
      <c r="A6425" s="303"/>
      <c r="B6425" s="38"/>
      <c r="C6425" s="37"/>
      <c r="D6425" s="20"/>
      <c r="E6425" s="25"/>
      <c r="F6425" s="37"/>
      <c r="G6425" s="37"/>
      <c r="H6425" s="37"/>
      <c r="I6425" s="37"/>
      <c r="J6425" s="37"/>
      <c r="K6425" s="22"/>
      <c r="L6425" s="56"/>
      <c r="P6425" s="40"/>
      <c r="Q6425" s="61"/>
      <c r="R6425" s="61"/>
      <c r="S6425" s="40"/>
      <c r="T6425" s="38"/>
      <c r="U6425" s="38"/>
      <c r="V6425" s="38"/>
      <c r="W6425" s="60"/>
      <c r="AB6425" s="42"/>
      <c r="AC6425" s="35"/>
      <c r="AD6425" s="38"/>
      <c r="AE6425" s="38"/>
      <c r="AF6425" s="38"/>
      <c r="AG6425" s="38"/>
      <c r="AH6425" s="60"/>
    </row>
    <row r="6426" spans="1:34" ht="15.75" customHeight="1">
      <c r="A6426" s="303"/>
      <c r="B6426" s="38"/>
      <c r="C6426" s="37"/>
      <c r="D6426" s="20"/>
      <c r="E6426" s="25"/>
      <c r="F6426" s="37"/>
      <c r="G6426" s="37"/>
      <c r="H6426" s="37"/>
      <c r="I6426" s="37"/>
      <c r="J6426" s="37"/>
      <c r="K6426" s="22"/>
      <c r="L6426" s="56"/>
      <c r="P6426" s="40"/>
      <c r="Q6426" s="61"/>
      <c r="R6426" s="61"/>
      <c r="S6426" s="40"/>
      <c r="T6426" s="38"/>
      <c r="U6426" s="38"/>
      <c r="V6426" s="38"/>
      <c r="W6426" s="60"/>
      <c r="AB6426" s="42"/>
      <c r="AC6426" s="35"/>
      <c r="AD6426" s="38"/>
      <c r="AE6426" s="38"/>
      <c r="AF6426" s="38"/>
      <c r="AG6426" s="38"/>
      <c r="AH6426" s="60"/>
    </row>
    <row r="6427" spans="1:34" ht="15.75" customHeight="1">
      <c r="A6427" s="303"/>
      <c r="B6427" s="38"/>
      <c r="C6427" s="37"/>
      <c r="D6427" s="20"/>
      <c r="E6427" s="25"/>
      <c r="F6427" s="37"/>
      <c r="G6427" s="37"/>
      <c r="H6427" s="37"/>
      <c r="I6427" s="37"/>
      <c r="J6427" s="37"/>
      <c r="K6427" s="22"/>
      <c r="L6427" s="56"/>
      <c r="P6427" s="40"/>
      <c r="Q6427" s="61"/>
      <c r="R6427" s="61"/>
      <c r="S6427" s="40"/>
      <c r="T6427" s="38"/>
      <c r="U6427" s="38"/>
      <c r="V6427" s="38"/>
      <c r="W6427" s="60"/>
      <c r="AB6427" s="42"/>
      <c r="AC6427" s="35"/>
      <c r="AD6427" s="38"/>
      <c r="AE6427" s="38"/>
      <c r="AF6427" s="38"/>
      <c r="AG6427" s="38"/>
      <c r="AH6427" s="60"/>
    </row>
    <row r="6428" spans="1:34" ht="15.75" customHeight="1">
      <c r="A6428" s="303"/>
      <c r="B6428" s="38"/>
      <c r="C6428" s="37"/>
      <c r="D6428" s="20"/>
      <c r="E6428" s="25"/>
      <c r="F6428" s="37"/>
      <c r="G6428" s="37"/>
      <c r="H6428" s="37"/>
      <c r="I6428" s="37"/>
      <c r="J6428" s="37"/>
      <c r="K6428" s="22"/>
      <c r="L6428" s="56"/>
      <c r="P6428" s="40"/>
      <c r="Q6428" s="61"/>
      <c r="R6428" s="61"/>
      <c r="S6428" s="40"/>
      <c r="T6428" s="38"/>
      <c r="U6428" s="38"/>
      <c r="V6428" s="38"/>
      <c r="W6428" s="60"/>
      <c r="AB6428" s="42"/>
      <c r="AC6428" s="35"/>
      <c r="AD6428" s="38"/>
      <c r="AE6428" s="38"/>
      <c r="AF6428" s="38"/>
      <c r="AG6428" s="38"/>
      <c r="AH6428" s="60"/>
    </row>
    <row r="6429" spans="1:34" ht="15.75" customHeight="1">
      <c r="A6429" s="303"/>
      <c r="B6429" s="38"/>
      <c r="C6429" s="37"/>
      <c r="D6429" s="20"/>
      <c r="E6429" s="25"/>
      <c r="F6429" s="37"/>
      <c r="G6429" s="37"/>
      <c r="H6429" s="37"/>
      <c r="I6429" s="37"/>
      <c r="J6429" s="37"/>
      <c r="K6429" s="22"/>
      <c r="L6429" s="56"/>
      <c r="P6429" s="40"/>
      <c r="Q6429" s="61"/>
      <c r="R6429" s="61"/>
      <c r="S6429" s="40"/>
      <c r="T6429" s="38"/>
      <c r="U6429" s="38"/>
      <c r="V6429" s="38"/>
      <c r="W6429" s="60"/>
      <c r="AB6429" s="42"/>
      <c r="AC6429" s="35"/>
      <c r="AD6429" s="38"/>
      <c r="AE6429" s="38"/>
      <c r="AF6429" s="38"/>
      <c r="AG6429" s="38"/>
      <c r="AH6429" s="60"/>
    </row>
    <row r="6430" spans="1:34" ht="15.75" customHeight="1">
      <c r="A6430" s="303"/>
      <c r="B6430" s="38"/>
      <c r="C6430" s="37"/>
      <c r="D6430" s="20"/>
      <c r="E6430" s="25"/>
      <c r="F6430" s="37"/>
      <c r="G6430" s="37"/>
      <c r="H6430" s="37"/>
      <c r="I6430" s="37"/>
      <c r="J6430" s="37"/>
      <c r="K6430" s="22"/>
      <c r="L6430" s="56"/>
      <c r="P6430" s="40"/>
      <c r="Q6430" s="61"/>
      <c r="R6430" s="61"/>
      <c r="S6430" s="40"/>
      <c r="T6430" s="38"/>
      <c r="U6430" s="38"/>
      <c r="V6430" s="38"/>
      <c r="W6430" s="60"/>
      <c r="AB6430" s="42"/>
      <c r="AC6430" s="35"/>
      <c r="AD6430" s="38"/>
      <c r="AE6430" s="38"/>
      <c r="AF6430" s="38"/>
      <c r="AG6430" s="38"/>
      <c r="AH6430" s="60"/>
    </row>
    <row r="6431" spans="1:34" ht="15.75" customHeight="1">
      <c r="A6431" s="303"/>
      <c r="B6431" s="38"/>
      <c r="C6431" s="37"/>
      <c r="D6431" s="20"/>
      <c r="E6431" s="25"/>
      <c r="F6431" s="37"/>
      <c r="G6431" s="37"/>
      <c r="H6431" s="37"/>
      <c r="I6431" s="37"/>
      <c r="J6431" s="37"/>
      <c r="K6431" s="22"/>
      <c r="L6431" s="56"/>
      <c r="P6431" s="40"/>
      <c r="Q6431" s="61"/>
      <c r="R6431" s="61"/>
      <c r="S6431" s="40"/>
      <c r="T6431" s="38"/>
      <c r="U6431" s="38"/>
      <c r="V6431" s="38"/>
      <c r="W6431" s="60"/>
      <c r="AB6431" s="42"/>
      <c r="AC6431" s="35"/>
      <c r="AD6431" s="38"/>
      <c r="AE6431" s="38"/>
      <c r="AF6431" s="38"/>
      <c r="AG6431" s="38"/>
      <c r="AH6431" s="60"/>
    </row>
    <row r="6432" spans="1:34" ht="15.75" customHeight="1">
      <c r="A6432" s="303"/>
      <c r="B6432" s="38"/>
      <c r="C6432" s="37"/>
      <c r="D6432" s="20"/>
      <c r="E6432" s="25"/>
      <c r="F6432" s="37"/>
      <c r="G6432" s="37"/>
      <c r="H6432" s="37"/>
      <c r="I6432" s="37"/>
      <c r="J6432" s="37"/>
      <c r="K6432" s="22"/>
      <c r="L6432" s="56"/>
      <c r="P6432" s="40"/>
      <c r="Q6432" s="61"/>
      <c r="R6432" s="61"/>
      <c r="S6432" s="40"/>
      <c r="T6432" s="38"/>
      <c r="U6432" s="38"/>
      <c r="V6432" s="38"/>
      <c r="W6432" s="60"/>
      <c r="AB6432" s="42"/>
      <c r="AC6432" s="35"/>
      <c r="AD6432" s="38"/>
      <c r="AE6432" s="38"/>
      <c r="AF6432" s="38"/>
      <c r="AG6432" s="38"/>
      <c r="AH6432" s="60"/>
    </row>
    <row r="6433" spans="1:34" ht="15.75" customHeight="1">
      <c r="A6433" s="303"/>
      <c r="B6433" s="38"/>
      <c r="C6433" s="37"/>
      <c r="D6433" s="20"/>
      <c r="E6433" s="25"/>
      <c r="F6433" s="37"/>
      <c r="G6433" s="37"/>
      <c r="H6433" s="37"/>
      <c r="I6433" s="37"/>
      <c r="J6433" s="37"/>
      <c r="K6433" s="22"/>
      <c r="L6433" s="56"/>
      <c r="P6433" s="40"/>
      <c r="Q6433" s="61"/>
      <c r="R6433" s="61"/>
      <c r="S6433" s="40"/>
      <c r="T6433" s="38"/>
      <c r="U6433" s="38"/>
      <c r="V6433" s="38"/>
      <c r="W6433" s="60"/>
      <c r="AB6433" s="42"/>
      <c r="AC6433" s="35"/>
      <c r="AD6433" s="38"/>
      <c r="AE6433" s="38"/>
      <c r="AF6433" s="38"/>
      <c r="AG6433" s="38"/>
      <c r="AH6433" s="60"/>
    </row>
    <row r="6434" spans="1:34" ht="15.75" customHeight="1">
      <c r="A6434" s="303"/>
      <c r="B6434" s="38"/>
      <c r="C6434" s="37"/>
      <c r="D6434" s="20"/>
      <c r="E6434" s="25"/>
      <c r="F6434" s="37"/>
      <c r="G6434" s="37"/>
      <c r="H6434" s="37"/>
      <c r="I6434" s="37"/>
      <c r="J6434" s="37"/>
      <c r="K6434" s="22"/>
      <c r="L6434" s="56"/>
      <c r="P6434" s="40"/>
      <c r="Q6434" s="61"/>
      <c r="R6434" s="61"/>
      <c r="S6434" s="40"/>
      <c r="T6434" s="38"/>
      <c r="U6434" s="38"/>
      <c r="V6434" s="38"/>
      <c r="W6434" s="60"/>
      <c r="AB6434" s="42"/>
      <c r="AC6434" s="35"/>
      <c r="AD6434" s="38"/>
      <c r="AE6434" s="38"/>
      <c r="AF6434" s="38"/>
      <c r="AG6434" s="38"/>
      <c r="AH6434" s="60"/>
    </row>
    <row r="6435" spans="1:34" ht="15.75" customHeight="1">
      <c r="A6435" s="303"/>
      <c r="B6435" s="38"/>
      <c r="C6435" s="37"/>
      <c r="D6435" s="20"/>
      <c r="E6435" s="25"/>
      <c r="F6435" s="37"/>
      <c r="G6435" s="37"/>
      <c r="H6435" s="37"/>
      <c r="I6435" s="37"/>
      <c r="J6435" s="37"/>
      <c r="K6435" s="22"/>
      <c r="L6435" s="56"/>
      <c r="P6435" s="40"/>
      <c r="Q6435" s="61"/>
      <c r="R6435" s="61"/>
      <c r="S6435" s="40"/>
      <c r="T6435" s="38"/>
      <c r="U6435" s="38"/>
      <c r="V6435" s="38"/>
      <c r="W6435" s="60"/>
      <c r="AB6435" s="42"/>
      <c r="AC6435" s="35"/>
      <c r="AD6435" s="38"/>
      <c r="AE6435" s="38"/>
      <c r="AF6435" s="38"/>
      <c r="AG6435" s="38"/>
      <c r="AH6435" s="60"/>
    </row>
    <row r="6436" spans="1:34" ht="15.75" customHeight="1">
      <c r="A6436" s="303"/>
      <c r="B6436" s="38"/>
      <c r="C6436" s="37"/>
      <c r="D6436" s="20"/>
      <c r="E6436" s="25"/>
      <c r="F6436" s="37"/>
      <c r="G6436" s="37"/>
      <c r="H6436" s="37"/>
      <c r="I6436" s="37"/>
      <c r="J6436" s="37"/>
      <c r="K6436" s="22"/>
      <c r="L6436" s="56"/>
      <c r="P6436" s="40"/>
      <c r="Q6436" s="61"/>
      <c r="R6436" s="61"/>
      <c r="S6436" s="40"/>
      <c r="T6436" s="38"/>
      <c r="U6436" s="38"/>
      <c r="V6436" s="38"/>
      <c r="W6436" s="60"/>
      <c r="AB6436" s="42"/>
      <c r="AC6436" s="35"/>
      <c r="AD6436" s="38"/>
      <c r="AE6436" s="38"/>
      <c r="AF6436" s="38"/>
      <c r="AG6436" s="38"/>
      <c r="AH6436" s="60"/>
    </row>
    <row r="6437" spans="1:34" ht="15.75" customHeight="1">
      <c r="A6437" s="303"/>
      <c r="B6437" s="38"/>
      <c r="C6437" s="37"/>
      <c r="D6437" s="20"/>
      <c r="E6437" s="25"/>
      <c r="F6437" s="37"/>
      <c r="G6437" s="37"/>
      <c r="H6437" s="37"/>
      <c r="I6437" s="37"/>
      <c r="J6437" s="37"/>
      <c r="K6437" s="22"/>
      <c r="L6437" s="56"/>
      <c r="P6437" s="40"/>
      <c r="Q6437" s="61"/>
      <c r="R6437" s="61"/>
      <c r="S6437" s="40"/>
      <c r="T6437" s="38"/>
      <c r="U6437" s="38"/>
      <c r="V6437" s="38"/>
      <c r="W6437" s="60"/>
      <c r="AB6437" s="42"/>
      <c r="AC6437" s="35"/>
      <c r="AD6437" s="38"/>
      <c r="AE6437" s="38"/>
      <c r="AF6437" s="38"/>
      <c r="AG6437" s="38"/>
      <c r="AH6437" s="60"/>
    </row>
    <row r="6438" spans="1:34" ht="15.75" customHeight="1">
      <c r="A6438" s="303"/>
      <c r="B6438" s="38"/>
      <c r="C6438" s="37"/>
      <c r="D6438" s="20"/>
      <c r="E6438" s="25"/>
      <c r="F6438" s="37"/>
      <c r="G6438" s="37"/>
      <c r="H6438" s="37"/>
      <c r="I6438" s="37"/>
      <c r="J6438" s="37"/>
      <c r="K6438" s="22"/>
      <c r="L6438" s="56"/>
      <c r="P6438" s="40"/>
      <c r="Q6438" s="61"/>
      <c r="R6438" s="61"/>
      <c r="S6438" s="40"/>
      <c r="T6438" s="38"/>
      <c r="U6438" s="38"/>
      <c r="V6438" s="38"/>
      <c r="W6438" s="60"/>
      <c r="AB6438" s="42"/>
      <c r="AC6438" s="35"/>
      <c r="AD6438" s="38"/>
      <c r="AE6438" s="38"/>
      <c r="AF6438" s="38"/>
      <c r="AG6438" s="38"/>
      <c r="AH6438" s="60"/>
    </row>
    <row r="6439" spans="1:34" ht="15.75" customHeight="1">
      <c r="A6439" s="303"/>
      <c r="B6439" s="38"/>
      <c r="C6439" s="37"/>
      <c r="D6439" s="20"/>
      <c r="E6439" s="25"/>
      <c r="F6439" s="37"/>
      <c r="G6439" s="37"/>
      <c r="H6439" s="37"/>
      <c r="I6439" s="37"/>
      <c r="J6439" s="37"/>
      <c r="K6439" s="22"/>
      <c r="L6439" s="56"/>
      <c r="P6439" s="40"/>
      <c r="Q6439" s="61"/>
      <c r="R6439" s="61"/>
      <c r="S6439" s="40"/>
      <c r="T6439" s="38"/>
      <c r="U6439" s="38"/>
      <c r="V6439" s="38"/>
      <c r="W6439" s="60"/>
      <c r="AB6439" s="42"/>
      <c r="AC6439" s="35"/>
      <c r="AD6439" s="38"/>
      <c r="AE6439" s="38"/>
      <c r="AF6439" s="38"/>
      <c r="AG6439" s="38"/>
      <c r="AH6439" s="60"/>
    </row>
    <row r="6440" spans="1:34" ht="15.75" customHeight="1">
      <c r="A6440" s="303"/>
      <c r="B6440" s="38"/>
      <c r="C6440" s="37"/>
      <c r="D6440" s="20"/>
      <c r="E6440" s="25"/>
      <c r="F6440" s="37"/>
      <c r="G6440" s="37"/>
      <c r="H6440" s="37"/>
      <c r="I6440" s="37"/>
      <c r="J6440" s="37"/>
      <c r="K6440" s="22"/>
      <c r="L6440" s="56"/>
      <c r="P6440" s="40"/>
      <c r="Q6440" s="61"/>
      <c r="R6440" s="61"/>
      <c r="S6440" s="40"/>
      <c r="T6440" s="38"/>
      <c r="U6440" s="38"/>
      <c r="V6440" s="38"/>
      <c r="W6440" s="60"/>
      <c r="AB6440" s="42"/>
      <c r="AC6440" s="35"/>
      <c r="AD6440" s="38"/>
      <c r="AE6440" s="38"/>
      <c r="AF6440" s="38"/>
      <c r="AG6440" s="38"/>
      <c r="AH6440" s="60"/>
    </row>
    <row r="6441" spans="1:34" ht="15.75" customHeight="1">
      <c r="A6441" s="303"/>
      <c r="B6441" s="38"/>
      <c r="C6441" s="37"/>
      <c r="D6441" s="20"/>
      <c r="E6441" s="25"/>
      <c r="F6441" s="37"/>
      <c r="G6441" s="37"/>
      <c r="H6441" s="37"/>
      <c r="I6441" s="37"/>
      <c r="J6441" s="37"/>
      <c r="K6441" s="22"/>
      <c r="L6441" s="56"/>
      <c r="P6441" s="40"/>
      <c r="Q6441" s="61"/>
      <c r="R6441" s="61"/>
      <c r="S6441" s="40"/>
      <c r="T6441" s="38"/>
      <c r="U6441" s="38"/>
      <c r="V6441" s="38"/>
      <c r="W6441" s="60"/>
      <c r="AB6441" s="42"/>
      <c r="AC6441" s="35"/>
      <c r="AD6441" s="38"/>
      <c r="AE6441" s="38"/>
      <c r="AF6441" s="38"/>
      <c r="AG6441" s="38"/>
      <c r="AH6441" s="60"/>
    </row>
    <row r="6442" spans="1:34" ht="15.75" customHeight="1">
      <c r="A6442" s="303"/>
      <c r="B6442" s="38"/>
      <c r="C6442" s="37"/>
      <c r="D6442" s="20"/>
      <c r="E6442" s="25"/>
      <c r="F6442" s="37"/>
      <c r="G6442" s="37"/>
      <c r="H6442" s="37"/>
      <c r="I6442" s="37"/>
      <c r="J6442" s="37"/>
      <c r="K6442" s="22"/>
      <c r="L6442" s="56"/>
      <c r="P6442" s="40"/>
      <c r="Q6442" s="61"/>
      <c r="R6442" s="61"/>
      <c r="S6442" s="40"/>
      <c r="T6442" s="38"/>
      <c r="U6442" s="38"/>
      <c r="V6442" s="38"/>
      <c r="W6442" s="60"/>
      <c r="AB6442" s="42"/>
      <c r="AC6442" s="35"/>
      <c r="AD6442" s="38"/>
      <c r="AE6442" s="38"/>
      <c r="AF6442" s="38"/>
      <c r="AG6442" s="38"/>
      <c r="AH6442" s="60"/>
    </row>
    <row r="6443" spans="1:34" ht="15.75" customHeight="1">
      <c r="A6443" s="303"/>
      <c r="B6443" s="38"/>
      <c r="C6443" s="37"/>
      <c r="D6443" s="20"/>
      <c r="E6443" s="25"/>
      <c r="F6443" s="37"/>
      <c r="G6443" s="37"/>
      <c r="H6443" s="37"/>
      <c r="I6443" s="37"/>
      <c r="J6443" s="37"/>
      <c r="K6443" s="22"/>
      <c r="L6443" s="56"/>
      <c r="P6443" s="40"/>
      <c r="Q6443" s="61"/>
      <c r="R6443" s="61"/>
      <c r="S6443" s="40"/>
      <c r="T6443" s="38"/>
      <c r="U6443" s="38"/>
      <c r="V6443" s="38"/>
      <c r="W6443" s="60"/>
      <c r="AB6443" s="42"/>
      <c r="AC6443" s="35"/>
      <c r="AD6443" s="38"/>
      <c r="AE6443" s="38"/>
      <c r="AF6443" s="38"/>
      <c r="AG6443" s="38"/>
      <c r="AH6443" s="60"/>
    </row>
    <row r="6444" spans="1:34" ht="15.75" customHeight="1">
      <c r="A6444" s="303"/>
      <c r="B6444" s="38"/>
      <c r="C6444" s="37"/>
      <c r="D6444" s="20"/>
      <c r="E6444" s="25"/>
      <c r="F6444" s="37"/>
      <c r="G6444" s="37"/>
      <c r="H6444" s="37"/>
      <c r="I6444" s="37"/>
      <c r="J6444" s="37"/>
      <c r="K6444" s="22"/>
      <c r="L6444" s="56"/>
      <c r="P6444" s="40"/>
      <c r="Q6444" s="61"/>
      <c r="R6444" s="61"/>
      <c r="S6444" s="40"/>
      <c r="T6444" s="38"/>
      <c r="U6444" s="38"/>
      <c r="V6444" s="38"/>
      <c r="W6444" s="60"/>
      <c r="AB6444" s="42"/>
      <c r="AC6444" s="35"/>
      <c r="AD6444" s="38"/>
      <c r="AE6444" s="38"/>
      <c r="AF6444" s="38"/>
      <c r="AG6444" s="38"/>
      <c r="AH6444" s="60"/>
    </row>
    <row r="6445" spans="1:34" ht="15.75" customHeight="1">
      <c r="A6445" s="303"/>
      <c r="B6445" s="38"/>
      <c r="C6445" s="37"/>
      <c r="D6445" s="20"/>
      <c r="E6445" s="25"/>
      <c r="F6445" s="37"/>
      <c r="G6445" s="37"/>
      <c r="H6445" s="37"/>
      <c r="I6445" s="37"/>
      <c r="J6445" s="37"/>
      <c r="K6445" s="22"/>
      <c r="L6445" s="56"/>
      <c r="P6445" s="40"/>
      <c r="Q6445" s="61"/>
      <c r="R6445" s="61"/>
      <c r="S6445" s="40"/>
      <c r="T6445" s="38"/>
      <c r="U6445" s="38"/>
      <c r="V6445" s="38"/>
      <c r="W6445" s="60"/>
      <c r="AB6445" s="42"/>
      <c r="AC6445" s="35"/>
      <c r="AD6445" s="38"/>
      <c r="AE6445" s="38"/>
      <c r="AF6445" s="38"/>
      <c r="AG6445" s="38"/>
      <c r="AH6445" s="60"/>
    </row>
    <row r="6446" spans="1:34" ht="15.75" customHeight="1">
      <c r="A6446" s="303"/>
      <c r="B6446" s="38"/>
      <c r="C6446" s="37"/>
      <c r="D6446" s="20"/>
      <c r="E6446" s="25"/>
      <c r="F6446" s="37"/>
      <c r="G6446" s="37"/>
      <c r="H6446" s="37"/>
      <c r="I6446" s="37"/>
      <c r="J6446" s="37"/>
      <c r="K6446" s="22"/>
      <c r="L6446" s="56"/>
      <c r="P6446" s="40"/>
      <c r="Q6446" s="61"/>
      <c r="R6446" s="61"/>
      <c r="S6446" s="40"/>
      <c r="T6446" s="38"/>
      <c r="U6446" s="38"/>
      <c r="V6446" s="38"/>
      <c r="W6446" s="60"/>
      <c r="AB6446" s="42"/>
      <c r="AC6446" s="35"/>
      <c r="AD6446" s="38"/>
      <c r="AE6446" s="38"/>
      <c r="AF6446" s="38"/>
      <c r="AG6446" s="38"/>
      <c r="AH6446" s="60"/>
    </row>
    <row r="6447" spans="1:34" ht="15.75" customHeight="1">
      <c r="A6447" s="303"/>
      <c r="B6447" s="38"/>
      <c r="C6447" s="37"/>
      <c r="D6447" s="20"/>
      <c r="E6447" s="25"/>
      <c r="F6447" s="37"/>
      <c r="G6447" s="37"/>
      <c r="H6447" s="37"/>
      <c r="I6447" s="37"/>
      <c r="J6447" s="37"/>
      <c r="K6447" s="22"/>
      <c r="L6447" s="56"/>
      <c r="P6447" s="40"/>
      <c r="Q6447" s="61"/>
      <c r="R6447" s="61"/>
      <c r="S6447" s="40"/>
      <c r="T6447" s="38"/>
      <c r="U6447" s="38"/>
      <c r="V6447" s="38"/>
      <c r="W6447" s="60"/>
      <c r="AB6447" s="42"/>
      <c r="AC6447" s="35"/>
      <c r="AD6447" s="38"/>
      <c r="AE6447" s="38"/>
      <c r="AF6447" s="38"/>
      <c r="AG6447" s="38"/>
      <c r="AH6447" s="60"/>
    </row>
    <row r="6448" spans="1:34" ht="15.75" customHeight="1">
      <c r="A6448" s="303"/>
      <c r="B6448" s="38"/>
      <c r="C6448" s="37"/>
      <c r="D6448" s="20"/>
      <c r="E6448" s="25"/>
      <c r="F6448" s="37"/>
      <c r="G6448" s="37"/>
      <c r="H6448" s="37"/>
      <c r="I6448" s="37"/>
      <c r="J6448" s="37"/>
      <c r="K6448" s="22"/>
      <c r="L6448" s="56"/>
      <c r="P6448" s="40"/>
      <c r="Q6448" s="61"/>
      <c r="R6448" s="61"/>
      <c r="S6448" s="40"/>
      <c r="T6448" s="38"/>
      <c r="U6448" s="38"/>
      <c r="V6448" s="38"/>
      <c r="W6448" s="60"/>
      <c r="AB6448" s="42"/>
      <c r="AC6448" s="35"/>
      <c r="AD6448" s="38"/>
      <c r="AE6448" s="38"/>
      <c r="AF6448" s="38"/>
      <c r="AG6448" s="38"/>
      <c r="AH6448" s="60"/>
    </row>
    <row r="6449" spans="1:34" ht="15.75" customHeight="1">
      <c r="A6449" s="303"/>
      <c r="B6449" s="38"/>
      <c r="C6449" s="37"/>
      <c r="D6449" s="20"/>
      <c r="E6449" s="25"/>
      <c r="F6449" s="37"/>
      <c r="G6449" s="37"/>
      <c r="H6449" s="37"/>
      <c r="I6449" s="37"/>
      <c r="J6449" s="37"/>
      <c r="K6449" s="22"/>
      <c r="L6449" s="56"/>
      <c r="P6449" s="40"/>
      <c r="Q6449" s="61"/>
      <c r="R6449" s="61"/>
      <c r="S6449" s="40"/>
      <c r="T6449" s="38"/>
      <c r="U6449" s="38"/>
      <c r="V6449" s="38"/>
      <c r="W6449" s="60"/>
      <c r="AB6449" s="42"/>
      <c r="AC6449" s="35"/>
      <c r="AD6449" s="38"/>
      <c r="AE6449" s="38"/>
      <c r="AF6449" s="38"/>
      <c r="AG6449" s="38"/>
      <c r="AH6449" s="60"/>
    </row>
    <row r="6450" spans="1:34" ht="15.75" customHeight="1">
      <c r="A6450" s="303"/>
      <c r="B6450" s="38"/>
      <c r="C6450" s="37"/>
      <c r="D6450" s="20"/>
      <c r="E6450" s="25"/>
      <c r="F6450" s="37"/>
      <c r="G6450" s="37"/>
      <c r="H6450" s="37"/>
      <c r="I6450" s="37"/>
      <c r="J6450" s="37"/>
      <c r="K6450" s="22"/>
      <c r="L6450" s="56"/>
      <c r="P6450" s="40"/>
      <c r="Q6450" s="61"/>
      <c r="R6450" s="61"/>
      <c r="S6450" s="40"/>
      <c r="T6450" s="38"/>
      <c r="U6450" s="38"/>
      <c r="V6450" s="38"/>
      <c r="W6450" s="60"/>
      <c r="AB6450" s="42"/>
      <c r="AC6450" s="35"/>
      <c r="AD6450" s="38"/>
      <c r="AE6450" s="38"/>
      <c r="AF6450" s="38"/>
      <c r="AG6450" s="38"/>
      <c r="AH6450" s="60"/>
    </row>
    <row r="6451" spans="1:34" ht="15.75" customHeight="1">
      <c r="A6451" s="303"/>
      <c r="B6451" s="38"/>
      <c r="C6451" s="37"/>
      <c r="D6451" s="20"/>
      <c r="E6451" s="25"/>
      <c r="F6451" s="37"/>
      <c r="G6451" s="37"/>
      <c r="H6451" s="37"/>
      <c r="I6451" s="37"/>
      <c r="J6451" s="37"/>
      <c r="K6451" s="22"/>
      <c r="L6451" s="56"/>
      <c r="P6451" s="40"/>
      <c r="Q6451" s="61"/>
      <c r="R6451" s="61"/>
      <c r="S6451" s="40"/>
      <c r="T6451" s="38"/>
      <c r="U6451" s="38"/>
      <c r="V6451" s="38"/>
      <c r="W6451" s="60"/>
      <c r="AB6451" s="42"/>
      <c r="AC6451" s="35"/>
      <c r="AD6451" s="38"/>
      <c r="AE6451" s="38"/>
      <c r="AF6451" s="38"/>
      <c r="AG6451" s="38"/>
      <c r="AH6451" s="60"/>
    </row>
    <row r="6452" spans="1:34" ht="15.75" customHeight="1">
      <c r="A6452" s="303"/>
      <c r="B6452" s="38"/>
      <c r="C6452" s="37"/>
      <c r="D6452" s="20"/>
      <c r="E6452" s="25"/>
      <c r="F6452" s="37"/>
      <c r="G6452" s="37"/>
      <c r="H6452" s="37"/>
      <c r="I6452" s="37"/>
      <c r="J6452" s="37"/>
      <c r="K6452" s="22"/>
      <c r="L6452" s="56"/>
      <c r="P6452" s="40"/>
      <c r="Q6452" s="61"/>
      <c r="R6452" s="61"/>
      <c r="S6452" s="40"/>
      <c r="T6452" s="38"/>
      <c r="U6452" s="38"/>
      <c r="V6452" s="38"/>
      <c r="W6452" s="60"/>
      <c r="AB6452" s="42"/>
      <c r="AC6452" s="35"/>
      <c r="AD6452" s="38"/>
      <c r="AE6452" s="38"/>
      <c r="AF6452" s="38"/>
      <c r="AG6452" s="38"/>
      <c r="AH6452" s="60"/>
    </row>
    <row r="6453" spans="1:34" ht="15.75" customHeight="1">
      <c r="A6453" s="303"/>
      <c r="B6453" s="38"/>
      <c r="C6453" s="37"/>
      <c r="D6453" s="20"/>
      <c r="E6453" s="25"/>
      <c r="F6453" s="37"/>
      <c r="G6453" s="37"/>
      <c r="H6453" s="37"/>
      <c r="I6453" s="37"/>
      <c r="J6453" s="37"/>
      <c r="K6453" s="22"/>
      <c r="L6453" s="56"/>
      <c r="P6453" s="40"/>
      <c r="Q6453" s="61"/>
      <c r="R6453" s="61"/>
      <c r="S6453" s="40"/>
      <c r="T6453" s="38"/>
      <c r="U6453" s="38"/>
      <c r="V6453" s="38"/>
      <c r="W6453" s="60"/>
      <c r="AB6453" s="42"/>
      <c r="AC6453" s="35"/>
      <c r="AD6453" s="38"/>
      <c r="AE6453" s="38"/>
      <c r="AF6453" s="38"/>
      <c r="AG6453" s="38"/>
      <c r="AH6453" s="60"/>
    </row>
    <row r="6454" spans="1:34" ht="15.75" customHeight="1">
      <c r="A6454" s="303"/>
      <c r="B6454" s="38"/>
      <c r="C6454" s="37"/>
      <c r="D6454" s="20"/>
      <c r="E6454" s="25"/>
      <c r="F6454" s="37"/>
      <c r="G6454" s="37"/>
      <c r="H6454" s="37"/>
      <c r="I6454" s="37"/>
      <c r="J6454" s="37"/>
      <c r="K6454" s="22"/>
      <c r="L6454" s="56"/>
      <c r="P6454" s="40"/>
      <c r="Q6454" s="61"/>
      <c r="R6454" s="61"/>
      <c r="S6454" s="40"/>
      <c r="T6454" s="38"/>
      <c r="U6454" s="38"/>
      <c r="V6454" s="38"/>
      <c r="W6454" s="60"/>
      <c r="AB6454" s="42"/>
      <c r="AC6454" s="35"/>
      <c r="AD6454" s="38"/>
      <c r="AE6454" s="38"/>
      <c r="AF6454" s="38"/>
      <c r="AG6454" s="38"/>
      <c r="AH6454" s="60"/>
    </row>
    <row r="6455" spans="1:34" ht="15.75" customHeight="1">
      <c r="A6455" s="303"/>
      <c r="B6455" s="38"/>
      <c r="C6455" s="37"/>
      <c r="D6455" s="20"/>
      <c r="E6455" s="25"/>
      <c r="F6455" s="37"/>
      <c r="G6455" s="37"/>
      <c r="H6455" s="37"/>
      <c r="I6455" s="37"/>
      <c r="J6455" s="37"/>
      <c r="K6455" s="22"/>
      <c r="L6455" s="56"/>
      <c r="P6455" s="40"/>
      <c r="Q6455" s="61"/>
      <c r="R6455" s="61"/>
      <c r="S6455" s="40"/>
      <c r="T6455" s="38"/>
      <c r="U6455" s="38"/>
      <c r="V6455" s="38"/>
      <c r="W6455" s="60"/>
      <c r="AB6455" s="42"/>
      <c r="AC6455" s="35"/>
      <c r="AD6455" s="38"/>
      <c r="AE6455" s="38"/>
      <c r="AF6455" s="38"/>
      <c r="AG6455" s="38"/>
      <c r="AH6455" s="60"/>
    </row>
    <row r="6456" spans="1:34" ht="15.75" customHeight="1">
      <c r="A6456" s="303"/>
      <c r="B6456" s="38"/>
      <c r="C6456" s="37"/>
      <c r="D6456" s="20"/>
      <c r="E6456" s="25"/>
      <c r="F6456" s="37"/>
      <c r="G6456" s="37"/>
      <c r="H6456" s="37"/>
      <c r="I6456" s="37"/>
      <c r="J6456" s="37"/>
      <c r="K6456" s="22"/>
      <c r="L6456" s="56"/>
      <c r="P6456" s="40"/>
      <c r="Q6456" s="61"/>
      <c r="R6456" s="61"/>
      <c r="S6456" s="40"/>
      <c r="T6456" s="38"/>
      <c r="U6456" s="38"/>
      <c r="V6456" s="38"/>
      <c r="W6456" s="60"/>
      <c r="AB6456" s="42"/>
      <c r="AC6456" s="35"/>
      <c r="AD6456" s="38"/>
      <c r="AE6456" s="38"/>
      <c r="AF6456" s="38"/>
      <c r="AG6456" s="38"/>
      <c r="AH6456" s="60"/>
    </row>
    <row r="6457" spans="1:34" ht="15.75" customHeight="1">
      <c r="A6457" s="303"/>
      <c r="B6457" s="38"/>
      <c r="C6457" s="37"/>
      <c r="D6457" s="20"/>
      <c r="E6457" s="25"/>
      <c r="F6457" s="37"/>
      <c r="G6457" s="37"/>
      <c r="H6457" s="37"/>
      <c r="I6457" s="37"/>
      <c r="J6457" s="37"/>
      <c r="K6457" s="22"/>
      <c r="L6457" s="56"/>
      <c r="P6457" s="40"/>
      <c r="Q6457" s="61"/>
      <c r="R6457" s="61"/>
      <c r="S6457" s="40"/>
      <c r="T6457" s="38"/>
      <c r="U6457" s="38"/>
      <c r="V6457" s="38"/>
      <c r="W6457" s="60"/>
      <c r="AB6457" s="42"/>
      <c r="AC6457" s="35"/>
      <c r="AD6457" s="38"/>
      <c r="AE6457" s="38"/>
      <c r="AF6457" s="38"/>
      <c r="AG6457" s="38"/>
      <c r="AH6457" s="60"/>
    </row>
    <row r="6458" spans="1:34" ht="15.75" customHeight="1">
      <c r="A6458" s="303"/>
      <c r="B6458" s="38"/>
      <c r="C6458" s="37"/>
      <c r="D6458" s="20"/>
      <c r="E6458" s="25"/>
      <c r="F6458" s="37"/>
      <c r="G6458" s="37"/>
      <c r="H6458" s="37"/>
      <c r="I6458" s="37"/>
      <c r="J6458" s="37"/>
      <c r="K6458" s="22"/>
      <c r="L6458" s="56"/>
      <c r="P6458" s="40"/>
      <c r="Q6458" s="61"/>
      <c r="R6458" s="61"/>
      <c r="S6458" s="40"/>
      <c r="T6458" s="38"/>
      <c r="U6458" s="38"/>
      <c r="V6458" s="38"/>
      <c r="W6458" s="60"/>
      <c r="AB6458" s="42"/>
      <c r="AC6458" s="35"/>
      <c r="AD6458" s="38"/>
      <c r="AE6458" s="38"/>
      <c r="AF6458" s="38"/>
      <c r="AG6458" s="38"/>
      <c r="AH6458" s="60"/>
    </row>
    <row r="6459" spans="1:34" ht="15.75" customHeight="1">
      <c r="A6459" s="303"/>
      <c r="B6459" s="38"/>
      <c r="C6459" s="37"/>
      <c r="D6459" s="20"/>
      <c r="E6459" s="25"/>
      <c r="F6459" s="37"/>
      <c r="G6459" s="37"/>
      <c r="H6459" s="37"/>
      <c r="I6459" s="37"/>
      <c r="J6459" s="37"/>
      <c r="K6459" s="22"/>
      <c r="L6459" s="56"/>
      <c r="P6459" s="40"/>
      <c r="Q6459" s="61"/>
      <c r="R6459" s="61"/>
      <c r="S6459" s="40"/>
      <c r="T6459" s="38"/>
      <c r="U6459" s="38"/>
      <c r="V6459" s="38"/>
      <c r="W6459" s="60"/>
      <c r="AB6459" s="42"/>
      <c r="AC6459" s="35"/>
      <c r="AD6459" s="38"/>
      <c r="AE6459" s="38"/>
      <c r="AF6459" s="38"/>
      <c r="AG6459" s="38"/>
      <c r="AH6459" s="60"/>
    </row>
    <row r="6460" spans="1:34" ht="15.75" customHeight="1">
      <c r="A6460" s="303"/>
      <c r="B6460" s="38"/>
      <c r="C6460" s="37"/>
      <c r="D6460" s="20"/>
      <c r="E6460" s="25"/>
      <c r="F6460" s="37"/>
      <c r="G6460" s="37"/>
      <c r="H6460" s="37"/>
      <c r="I6460" s="37"/>
      <c r="J6460" s="37"/>
      <c r="K6460" s="22"/>
      <c r="L6460" s="56"/>
      <c r="P6460" s="40"/>
      <c r="Q6460" s="61"/>
      <c r="R6460" s="61"/>
      <c r="S6460" s="40"/>
      <c r="T6460" s="38"/>
      <c r="U6460" s="38"/>
      <c r="V6460" s="38"/>
      <c r="W6460" s="60"/>
      <c r="AB6460" s="42"/>
      <c r="AC6460" s="35"/>
      <c r="AD6460" s="38"/>
      <c r="AE6460" s="38"/>
      <c r="AF6460" s="38"/>
      <c r="AG6460" s="38"/>
      <c r="AH6460" s="60"/>
    </row>
    <row r="6461" spans="1:34" ht="15.75" customHeight="1">
      <c r="A6461" s="303"/>
      <c r="B6461" s="38"/>
      <c r="C6461" s="37"/>
      <c r="D6461" s="20"/>
      <c r="E6461" s="25"/>
      <c r="F6461" s="37"/>
      <c r="G6461" s="37"/>
      <c r="H6461" s="37"/>
      <c r="I6461" s="37"/>
      <c r="J6461" s="37"/>
      <c r="K6461" s="22"/>
      <c r="L6461" s="56"/>
      <c r="P6461" s="40"/>
      <c r="Q6461" s="61"/>
      <c r="R6461" s="61"/>
      <c r="S6461" s="40"/>
      <c r="T6461" s="38"/>
      <c r="U6461" s="38"/>
      <c r="V6461" s="38"/>
      <c r="W6461" s="60"/>
      <c r="AB6461" s="42"/>
      <c r="AC6461" s="35"/>
      <c r="AD6461" s="38"/>
      <c r="AE6461" s="38"/>
      <c r="AF6461" s="38"/>
      <c r="AG6461" s="38"/>
      <c r="AH6461" s="60"/>
    </row>
    <row r="6462" spans="1:34" ht="15.75" customHeight="1">
      <c r="A6462" s="303"/>
      <c r="B6462" s="38"/>
      <c r="C6462" s="37"/>
      <c r="D6462" s="20"/>
      <c r="E6462" s="25"/>
      <c r="F6462" s="37"/>
      <c r="G6462" s="37"/>
      <c r="H6462" s="37"/>
      <c r="I6462" s="37"/>
      <c r="J6462" s="37"/>
      <c r="K6462" s="22"/>
      <c r="L6462" s="56"/>
      <c r="P6462" s="40"/>
      <c r="Q6462" s="61"/>
      <c r="R6462" s="61"/>
      <c r="S6462" s="40"/>
      <c r="T6462" s="38"/>
      <c r="U6462" s="38"/>
      <c r="V6462" s="38"/>
      <c r="W6462" s="60"/>
      <c r="AB6462" s="42"/>
      <c r="AC6462" s="35"/>
      <c r="AD6462" s="38"/>
      <c r="AE6462" s="38"/>
      <c r="AF6462" s="38"/>
      <c r="AG6462" s="38"/>
      <c r="AH6462" s="60"/>
    </row>
    <row r="6463" spans="1:34" ht="15.75" customHeight="1">
      <c r="A6463" s="303"/>
      <c r="B6463" s="38"/>
      <c r="C6463" s="37"/>
      <c r="D6463" s="20"/>
      <c r="E6463" s="25"/>
      <c r="F6463" s="37"/>
      <c r="G6463" s="37"/>
      <c r="H6463" s="37"/>
      <c r="I6463" s="37"/>
      <c r="J6463" s="37"/>
      <c r="K6463" s="22"/>
      <c r="L6463" s="56"/>
      <c r="P6463" s="40"/>
      <c r="Q6463" s="61"/>
      <c r="R6463" s="61"/>
      <c r="S6463" s="40"/>
      <c r="T6463" s="38"/>
      <c r="U6463" s="38"/>
      <c r="V6463" s="38"/>
      <c r="W6463" s="60"/>
      <c r="AB6463" s="42"/>
      <c r="AC6463" s="35"/>
      <c r="AD6463" s="38"/>
      <c r="AE6463" s="38"/>
      <c r="AF6463" s="38"/>
      <c r="AG6463" s="38"/>
      <c r="AH6463" s="60"/>
    </row>
    <row r="6464" spans="1:34" ht="15.75" customHeight="1">
      <c r="A6464" s="303"/>
      <c r="B6464" s="38"/>
      <c r="C6464" s="37"/>
      <c r="D6464" s="20"/>
      <c r="E6464" s="25"/>
      <c r="F6464" s="37"/>
      <c r="G6464" s="37"/>
      <c r="H6464" s="37"/>
      <c r="I6464" s="37"/>
      <c r="J6464" s="37"/>
      <c r="K6464" s="22"/>
      <c r="L6464" s="56"/>
      <c r="P6464" s="40"/>
      <c r="Q6464" s="61"/>
      <c r="R6464" s="61"/>
      <c r="S6464" s="40"/>
      <c r="T6464" s="38"/>
      <c r="U6464" s="38"/>
      <c r="V6464" s="38"/>
      <c r="W6464" s="60"/>
      <c r="AB6464" s="42"/>
      <c r="AC6464" s="35"/>
      <c r="AD6464" s="38"/>
      <c r="AE6464" s="38"/>
      <c r="AF6464" s="38"/>
      <c r="AG6464" s="38"/>
      <c r="AH6464" s="60"/>
    </row>
    <row r="6465" spans="1:34" ht="15.75" customHeight="1">
      <c r="A6465" s="303"/>
      <c r="B6465" s="38"/>
      <c r="C6465" s="37"/>
      <c r="D6465" s="20"/>
      <c r="E6465" s="25"/>
      <c r="F6465" s="37"/>
      <c r="G6465" s="37"/>
      <c r="H6465" s="37"/>
      <c r="I6465" s="37"/>
      <c r="J6465" s="37"/>
      <c r="K6465" s="22"/>
      <c r="L6465" s="56"/>
      <c r="P6465" s="40"/>
      <c r="Q6465" s="61"/>
      <c r="R6465" s="61"/>
      <c r="S6465" s="40"/>
      <c r="T6465" s="38"/>
      <c r="U6465" s="38"/>
      <c r="V6465" s="38"/>
      <c r="W6465" s="60"/>
      <c r="AB6465" s="42"/>
      <c r="AC6465" s="35"/>
      <c r="AD6465" s="38"/>
      <c r="AE6465" s="38"/>
      <c r="AF6465" s="38"/>
      <c r="AG6465" s="38"/>
      <c r="AH6465" s="60"/>
    </row>
    <row r="6466" spans="1:34" ht="15.75" customHeight="1">
      <c r="A6466" s="303"/>
      <c r="B6466" s="38"/>
      <c r="C6466" s="37"/>
      <c r="D6466" s="20"/>
      <c r="E6466" s="25"/>
      <c r="F6466" s="37"/>
      <c r="G6466" s="37"/>
      <c r="H6466" s="37"/>
      <c r="I6466" s="37"/>
      <c r="J6466" s="37"/>
      <c r="K6466" s="22"/>
      <c r="L6466" s="56"/>
      <c r="P6466" s="40"/>
      <c r="Q6466" s="61"/>
      <c r="R6466" s="61"/>
      <c r="S6466" s="40"/>
      <c r="T6466" s="38"/>
      <c r="U6466" s="38"/>
      <c r="V6466" s="38"/>
      <c r="W6466" s="60"/>
      <c r="AB6466" s="42"/>
      <c r="AC6466" s="35"/>
      <c r="AD6466" s="38"/>
      <c r="AE6466" s="38"/>
      <c r="AF6466" s="38"/>
      <c r="AG6466" s="38"/>
      <c r="AH6466" s="60"/>
    </row>
    <row r="6467" spans="1:34" ht="15.75" customHeight="1">
      <c r="A6467" s="303"/>
      <c r="B6467" s="38"/>
      <c r="C6467" s="37"/>
      <c r="D6467" s="20"/>
      <c r="E6467" s="25"/>
      <c r="F6467" s="37"/>
      <c r="G6467" s="37"/>
      <c r="H6467" s="37"/>
      <c r="I6467" s="37"/>
      <c r="J6467" s="37"/>
      <c r="K6467" s="22"/>
      <c r="L6467" s="56"/>
      <c r="P6467" s="40"/>
      <c r="Q6467" s="61"/>
      <c r="R6467" s="61"/>
      <c r="S6467" s="40"/>
      <c r="T6467" s="38"/>
      <c r="U6467" s="38"/>
      <c r="V6467" s="38"/>
      <c r="W6467" s="60"/>
      <c r="AB6467" s="42"/>
      <c r="AC6467" s="35"/>
      <c r="AD6467" s="38"/>
      <c r="AE6467" s="38"/>
      <c r="AF6467" s="38"/>
      <c r="AG6467" s="38"/>
      <c r="AH6467" s="60"/>
    </row>
    <row r="6468" spans="1:34" ht="15.75" customHeight="1">
      <c r="A6468" s="303"/>
      <c r="B6468" s="38"/>
      <c r="C6468" s="37"/>
      <c r="D6468" s="20"/>
      <c r="E6468" s="25"/>
      <c r="F6468" s="37"/>
      <c r="G6468" s="37"/>
      <c r="H6468" s="37"/>
      <c r="I6468" s="37"/>
      <c r="J6468" s="37"/>
      <c r="K6468" s="22"/>
      <c r="L6468" s="56"/>
      <c r="P6468" s="40"/>
      <c r="Q6468" s="61"/>
      <c r="R6468" s="61"/>
      <c r="S6468" s="40"/>
      <c r="T6468" s="38"/>
      <c r="U6468" s="38"/>
      <c r="V6468" s="38"/>
      <c r="W6468" s="60"/>
      <c r="AB6468" s="42"/>
      <c r="AC6468" s="35"/>
      <c r="AD6468" s="38"/>
      <c r="AE6468" s="38"/>
      <c r="AF6468" s="38"/>
      <c r="AG6468" s="38"/>
      <c r="AH6468" s="60"/>
    </row>
    <row r="6469" spans="1:34" ht="15.75" customHeight="1">
      <c r="A6469" s="303"/>
      <c r="B6469" s="38"/>
      <c r="C6469" s="37"/>
      <c r="D6469" s="20"/>
      <c r="E6469" s="25"/>
      <c r="F6469" s="37"/>
      <c r="G6469" s="37"/>
      <c r="H6469" s="37"/>
      <c r="I6469" s="37"/>
      <c r="J6469" s="37"/>
      <c r="K6469" s="22"/>
      <c r="L6469" s="56"/>
      <c r="P6469" s="40"/>
      <c r="Q6469" s="61"/>
      <c r="R6469" s="61"/>
      <c r="S6469" s="40"/>
      <c r="T6469" s="38"/>
      <c r="U6469" s="38"/>
      <c r="V6469" s="38"/>
      <c r="W6469" s="60"/>
      <c r="AB6469" s="42"/>
      <c r="AC6469" s="35"/>
      <c r="AD6469" s="38"/>
      <c r="AE6469" s="38"/>
      <c r="AF6469" s="38"/>
      <c r="AG6469" s="38"/>
      <c r="AH6469" s="60"/>
    </row>
    <row r="6470" spans="1:34" ht="15.75" customHeight="1">
      <c r="A6470" s="303"/>
      <c r="B6470" s="38"/>
      <c r="C6470" s="37"/>
      <c r="D6470" s="20"/>
      <c r="E6470" s="25"/>
      <c r="F6470" s="37"/>
      <c r="G6470" s="37"/>
      <c r="H6470" s="37"/>
      <c r="I6470" s="37"/>
      <c r="J6470" s="37"/>
      <c r="K6470" s="22"/>
      <c r="L6470" s="56"/>
      <c r="P6470" s="40"/>
      <c r="Q6470" s="61"/>
      <c r="R6470" s="61"/>
      <c r="S6470" s="40"/>
      <c r="T6470" s="38"/>
      <c r="U6470" s="38"/>
      <c r="V6470" s="38"/>
      <c r="W6470" s="60"/>
      <c r="AB6470" s="42"/>
      <c r="AC6470" s="35"/>
      <c r="AD6470" s="38"/>
      <c r="AE6470" s="38"/>
      <c r="AF6470" s="38"/>
      <c r="AG6470" s="38"/>
      <c r="AH6470" s="60"/>
    </row>
    <row r="6471" spans="1:34" ht="15.75" customHeight="1">
      <c r="A6471" s="303"/>
      <c r="B6471" s="38"/>
      <c r="C6471" s="37"/>
      <c r="D6471" s="20"/>
      <c r="E6471" s="25"/>
      <c r="F6471" s="37"/>
      <c r="G6471" s="37"/>
      <c r="H6471" s="37"/>
      <c r="I6471" s="37"/>
      <c r="J6471" s="37"/>
      <c r="K6471" s="22"/>
      <c r="L6471" s="56"/>
      <c r="P6471" s="40"/>
      <c r="Q6471" s="61"/>
      <c r="R6471" s="61"/>
      <c r="S6471" s="40"/>
      <c r="T6471" s="38"/>
      <c r="U6471" s="38"/>
      <c r="V6471" s="38"/>
      <c r="W6471" s="60"/>
      <c r="AB6471" s="42"/>
      <c r="AC6471" s="35"/>
      <c r="AD6471" s="38"/>
      <c r="AE6471" s="38"/>
      <c r="AF6471" s="38"/>
      <c r="AG6471" s="38"/>
      <c r="AH6471" s="60"/>
    </row>
    <row r="6472" spans="1:34" ht="15.75" customHeight="1">
      <c r="A6472" s="303"/>
      <c r="B6472" s="38"/>
      <c r="C6472" s="37"/>
      <c r="D6472" s="20"/>
      <c r="E6472" s="25"/>
      <c r="F6472" s="37"/>
      <c r="G6472" s="37"/>
      <c r="H6472" s="37"/>
      <c r="I6472" s="37"/>
      <c r="J6472" s="37"/>
      <c r="K6472" s="22"/>
      <c r="L6472" s="56"/>
      <c r="P6472" s="40"/>
      <c r="Q6472" s="61"/>
      <c r="R6472" s="61"/>
      <c r="S6472" s="40"/>
      <c r="T6472" s="38"/>
      <c r="U6472" s="38"/>
      <c r="V6472" s="38"/>
      <c r="W6472" s="60"/>
      <c r="AB6472" s="42"/>
      <c r="AC6472" s="35"/>
      <c r="AD6472" s="38"/>
      <c r="AE6472" s="38"/>
      <c r="AF6472" s="38"/>
      <c r="AG6472" s="38"/>
      <c r="AH6472" s="60"/>
    </row>
    <row r="6473" spans="1:34" ht="15.75" customHeight="1">
      <c r="A6473" s="303"/>
      <c r="B6473" s="38"/>
      <c r="C6473" s="37"/>
      <c r="D6473" s="20"/>
      <c r="E6473" s="25"/>
      <c r="F6473" s="37"/>
      <c r="G6473" s="37"/>
      <c r="H6473" s="37"/>
      <c r="I6473" s="37"/>
      <c r="J6473" s="37"/>
      <c r="K6473" s="22"/>
      <c r="L6473" s="56"/>
      <c r="P6473" s="40"/>
      <c r="Q6473" s="61"/>
      <c r="R6473" s="61"/>
      <c r="S6473" s="40"/>
      <c r="T6473" s="38"/>
      <c r="U6473" s="38"/>
      <c r="V6473" s="38"/>
      <c r="W6473" s="60"/>
      <c r="AB6473" s="42"/>
      <c r="AC6473" s="35"/>
      <c r="AD6473" s="38"/>
      <c r="AE6473" s="38"/>
      <c r="AF6473" s="38"/>
      <c r="AG6473" s="38"/>
      <c r="AH6473" s="60"/>
    </row>
    <row r="6474" spans="1:34" ht="15.75" customHeight="1">
      <c r="A6474" s="303"/>
      <c r="B6474" s="38"/>
      <c r="C6474" s="37"/>
      <c r="D6474" s="20"/>
      <c r="E6474" s="25"/>
      <c r="F6474" s="37"/>
      <c r="G6474" s="37"/>
      <c r="H6474" s="37"/>
      <c r="I6474" s="37"/>
      <c r="J6474" s="37"/>
      <c r="K6474" s="22"/>
      <c r="L6474" s="56"/>
      <c r="P6474" s="40"/>
      <c r="Q6474" s="61"/>
      <c r="R6474" s="61"/>
      <c r="S6474" s="40"/>
      <c r="T6474" s="38"/>
      <c r="U6474" s="38"/>
      <c r="V6474" s="38"/>
      <c r="W6474" s="60"/>
      <c r="AB6474" s="42"/>
      <c r="AC6474" s="35"/>
      <c r="AD6474" s="38"/>
      <c r="AE6474" s="38"/>
      <c r="AF6474" s="38"/>
      <c r="AG6474" s="38"/>
      <c r="AH6474" s="60"/>
    </row>
    <row r="6475" spans="1:34" ht="15.75" customHeight="1">
      <c r="A6475" s="303"/>
      <c r="B6475" s="38"/>
      <c r="C6475" s="37"/>
      <c r="D6475" s="20"/>
      <c r="E6475" s="25"/>
      <c r="F6475" s="37"/>
      <c r="G6475" s="37"/>
      <c r="H6475" s="37"/>
      <c r="I6475" s="37"/>
      <c r="J6475" s="37"/>
      <c r="K6475" s="22"/>
      <c r="L6475" s="56"/>
      <c r="P6475" s="40"/>
      <c r="Q6475" s="61"/>
      <c r="R6475" s="61"/>
      <c r="S6475" s="40"/>
      <c r="T6475" s="38"/>
      <c r="U6475" s="38"/>
      <c r="V6475" s="38"/>
      <c r="W6475" s="60"/>
      <c r="AB6475" s="42"/>
      <c r="AC6475" s="35"/>
      <c r="AD6475" s="38"/>
      <c r="AE6475" s="38"/>
      <c r="AF6475" s="38"/>
      <c r="AG6475" s="38"/>
      <c r="AH6475" s="60"/>
    </row>
    <row r="6476" spans="1:34" ht="15.75" customHeight="1">
      <c r="A6476" s="303"/>
      <c r="B6476" s="38"/>
      <c r="C6476" s="37"/>
      <c r="D6476" s="20"/>
      <c r="E6476" s="25"/>
      <c r="F6476" s="37"/>
      <c r="G6476" s="37"/>
      <c r="H6476" s="37"/>
      <c r="I6476" s="37"/>
      <c r="J6476" s="37"/>
      <c r="K6476" s="22"/>
      <c r="L6476" s="56"/>
      <c r="P6476" s="40"/>
      <c r="Q6476" s="61"/>
      <c r="R6476" s="61"/>
      <c r="S6476" s="40"/>
      <c r="T6476" s="38"/>
      <c r="U6476" s="38"/>
      <c r="V6476" s="38"/>
      <c r="W6476" s="60"/>
      <c r="AB6476" s="42"/>
      <c r="AC6476" s="35"/>
      <c r="AD6476" s="38"/>
      <c r="AE6476" s="38"/>
      <c r="AF6476" s="38"/>
      <c r="AG6476" s="38"/>
      <c r="AH6476" s="60"/>
    </row>
    <row r="6477" spans="1:34" ht="15.75" customHeight="1">
      <c r="A6477" s="303"/>
      <c r="B6477" s="38"/>
      <c r="C6477" s="37"/>
      <c r="D6477" s="20"/>
      <c r="E6477" s="25"/>
      <c r="F6477" s="37"/>
      <c r="G6477" s="37"/>
      <c r="H6477" s="37"/>
      <c r="I6477" s="37"/>
      <c r="J6477" s="37"/>
      <c r="K6477" s="22"/>
      <c r="L6477" s="56"/>
      <c r="P6477" s="40"/>
      <c r="Q6477" s="61"/>
      <c r="R6477" s="61"/>
      <c r="S6477" s="40"/>
      <c r="T6477" s="38"/>
      <c r="U6477" s="38"/>
      <c r="V6477" s="38"/>
      <c r="W6477" s="60"/>
      <c r="AB6477" s="42"/>
      <c r="AC6477" s="35"/>
      <c r="AD6477" s="38"/>
      <c r="AE6477" s="38"/>
      <c r="AF6477" s="38"/>
      <c r="AG6477" s="38"/>
      <c r="AH6477" s="60"/>
    </row>
    <row r="6478" spans="1:34" ht="15.75" customHeight="1">
      <c r="A6478" s="303"/>
      <c r="B6478" s="38"/>
      <c r="C6478" s="37"/>
      <c r="D6478" s="20"/>
      <c r="E6478" s="25"/>
      <c r="F6478" s="37"/>
      <c r="G6478" s="37"/>
      <c r="H6478" s="37"/>
      <c r="I6478" s="37"/>
      <c r="J6478" s="37"/>
      <c r="K6478" s="22"/>
      <c r="L6478" s="56"/>
      <c r="P6478" s="40"/>
      <c r="Q6478" s="61"/>
      <c r="R6478" s="61"/>
      <c r="S6478" s="40"/>
      <c r="T6478" s="38"/>
      <c r="U6478" s="38"/>
      <c r="V6478" s="38"/>
      <c r="W6478" s="60"/>
      <c r="AB6478" s="42"/>
      <c r="AC6478" s="35"/>
      <c r="AD6478" s="38"/>
      <c r="AE6478" s="38"/>
      <c r="AF6478" s="38"/>
      <c r="AG6478" s="38"/>
      <c r="AH6478" s="60"/>
    </row>
    <row r="6479" spans="1:34" ht="15.75" customHeight="1">
      <c r="A6479" s="303"/>
      <c r="B6479" s="38"/>
      <c r="C6479" s="37"/>
      <c r="D6479" s="20"/>
      <c r="E6479" s="25"/>
      <c r="F6479" s="37"/>
      <c r="G6479" s="37"/>
      <c r="H6479" s="37"/>
      <c r="I6479" s="37"/>
      <c r="J6479" s="37"/>
      <c r="K6479" s="22"/>
      <c r="L6479" s="56"/>
      <c r="P6479" s="40"/>
      <c r="Q6479" s="61"/>
      <c r="R6479" s="61"/>
      <c r="S6479" s="40"/>
      <c r="T6479" s="38"/>
      <c r="U6479" s="38"/>
      <c r="V6479" s="38"/>
      <c r="W6479" s="60"/>
      <c r="AB6479" s="42"/>
      <c r="AC6479" s="35"/>
      <c r="AD6479" s="38"/>
      <c r="AE6479" s="38"/>
      <c r="AF6479" s="38"/>
      <c r="AG6479" s="38"/>
      <c r="AH6479" s="60"/>
    </row>
    <row r="6480" spans="1:34" ht="15.75" customHeight="1">
      <c r="A6480" s="303"/>
      <c r="B6480" s="38"/>
      <c r="C6480" s="37"/>
      <c r="D6480" s="20"/>
      <c r="E6480" s="25"/>
      <c r="F6480" s="37"/>
      <c r="G6480" s="37"/>
      <c r="H6480" s="37"/>
      <c r="I6480" s="37"/>
      <c r="J6480" s="37"/>
      <c r="K6480" s="22"/>
      <c r="L6480" s="56"/>
      <c r="P6480" s="40"/>
      <c r="Q6480" s="61"/>
      <c r="R6480" s="61"/>
      <c r="S6480" s="40"/>
      <c r="T6480" s="38"/>
      <c r="U6480" s="38"/>
      <c r="V6480" s="38"/>
      <c r="W6480" s="60"/>
      <c r="AB6480" s="42"/>
      <c r="AC6480" s="35"/>
      <c r="AD6480" s="38"/>
      <c r="AE6480" s="38"/>
      <c r="AF6480" s="38"/>
      <c r="AG6480" s="38"/>
      <c r="AH6480" s="60"/>
    </row>
    <row r="6481" spans="1:34" ht="15.75" customHeight="1">
      <c r="A6481" s="303"/>
      <c r="B6481" s="38"/>
      <c r="C6481" s="37"/>
      <c r="D6481" s="20"/>
      <c r="E6481" s="25"/>
      <c r="F6481" s="37"/>
      <c r="G6481" s="37"/>
      <c r="H6481" s="37"/>
      <c r="I6481" s="37"/>
      <c r="J6481" s="37"/>
      <c r="K6481" s="22"/>
      <c r="L6481" s="56"/>
      <c r="P6481" s="40"/>
      <c r="Q6481" s="61"/>
      <c r="R6481" s="61"/>
      <c r="S6481" s="40"/>
      <c r="T6481" s="38"/>
      <c r="U6481" s="38"/>
      <c r="V6481" s="38"/>
      <c r="W6481" s="60"/>
      <c r="AB6481" s="42"/>
      <c r="AC6481" s="35"/>
      <c r="AD6481" s="38"/>
      <c r="AE6481" s="38"/>
      <c r="AF6481" s="38"/>
      <c r="AG6481" s="38"/>
      <c r="AH6481" s="60"/>
    </row>
    <row r="6482" spans="1:34" ht="15.75" customHeight="1">
      <c r="A6482" s="303"/>
      <c r="B6482" s="38"/>
      <c r="C6482" s="37"/>
      <c r="D6482" s="20"/>
      <c r="E6482" s="25"/>
      <c r="F6482" s="37"/>
      <c r="G6482" s="37"/>
      <c r="H6482" s="37"/>
      <c r="I6482" s="37"/>
      <c r="J6482" s="37"/>
      <c r="K6482" s="22"/>
      <c r="L6482" s="56"/>
      <c r="P6482" s="40"/>
      <c r="Q6482" s="61"/>
      <c r="R6482" s="61"/>
      <c r="S6482" s="40"/>
      <c r="T6482" s="38"/>
      <c r="U6482" s="38"/>
      <c r="V6482" s="38"/>
      <c r="W6482" s="60"/>
      <c r="AB6482" s="42"/>
      <c r="AC6482" s="35"/>
      <c r="AD6482" s="38"/>
      <c r="AE6482" s="38"/>
      <c r="AF6482" s="38"/>
      <c r="AG6482" s="38"/>
      <c r="AH6482" s="60"/>
    </row>
    <row r="6483" spans="1:34" ht="15.75" customHeight="1">
      <c r="A6483" s="303"/>
      <c r="B6483" s="38"/>
      <c r="C6483" s="37"/>
      <c r="D6483" s="20"/>
      <c r="E6483" s="25"/>
      <c r="F6483" s="37"/>
      <c r="G6483" s="37"/>
      <c r="H6483" s="37"/>
      <c r="I6483" s="37"/>
      <c r="J6483" s="37"/>
      <c r="K6483" s="22"/>
      <c r="L6483" s="56"/>
      <c r="P6483" s="40"/>
      <c r="Q6483" s="61"/>
      <c r="R6483" s="61"/>
      <c r="S6483" s="40"/>
      <c r="T6483" s="38"/>
      <c r="U6483" s="38"/>
      <c r="V6483" s="38"/>
      <c r="W6483" s="60"/>
      <c r="AB6483" s="42"/>
      <c r="AC6483" s="35"/>
      <c r="AD6483" s="38"/>
      <c r="AE6483" s="38"/>
      <c r="AF6483" s="38"/>
      <c r="AG6483" s="38"/>
      <c r="AH6483" s="60"/>
    </row>
    <row r="6484" spans="1:34" ht="15.75" customHeight="1">
      <c r="A6484" s="303"/>
      <c r="B6484" s="38"/>
      <c r="C6484" s="37"/>
      <c r="D6484" s="20"/>
      <c r="E6484" s="25"/>
      <c r="F6484" s="37"/>
      <c r="G6484" s="37"/>
      <c r="H6484" s="37"/>
      <c r="I6484" s="37"/>
      <c r="J6484" s="37"/>
      <c r="K6484" s="22"/>
      <c r="L6484" s="56"/>
      <c r="P6484" s="40"/>
      <c r="Q6484" s="61"/>
      <c r="R6484" s="61"/>
      <c r="S6484" s="40"/>
      <c r="T6484" s="38"/>
      <c r="U6484" s="38"/>
      <c r="V6484" s="38"/>
      <c r="W6484" s="60"/>
      <c r="AB6484" s="42"/>
      <c r="AC6484" s="35"/>
      <c r="AD6484" s="38"/>
      <c r="AE6484" s="38"/>
      <c r="AF6484" s="38"/>
      <c r="AG6484" s="38"/>
      <c r="AH6484" s="60"/>
    </row>
    <row r="6485" spans="1:34" ht="15.75" customHeight="1">
      <c r="A6485" s="303"/>
      <c r="B6485" s="38"/>
      <c r="C6485" s="37"/>
      <c r="D6485" s="20"/>
      <c r="E6485" s="25"/>
      <c r="F6485" s="37"/>
      <c r="G6485" s="37"/>
      <c r="H6485" s="37"/>
      <c r="I6485" s="37"/>
      <c r="J6485" s="37"/>
      <c r="K6485" s="22"/>
      <c r="L6485" s="56"/>
      <c r="P6485" s="40"/>
      <c r="Q6485" s="61"/>
      <c r="R6485" s="61"/>
      <c r="S6485" s="40"/>
      <c r="T6485" s="38"/>
      <c r="U6485" s="38"/>
      <c r="V6485" s="38"/>
      <c r="W6485" s="60"/>
      <c r="AB6485" s="42"/>
      <c r="AC6485" s="35"/>
      <c r="AD6485" s="38"/>
      <c r="AE6485" s="38"/>
      <c r="AF6485" s="38"/>
      <c r="AG6485" s="38"/>
      <c r="AH6485" s="60"/>
    </row>
    <row r="6486" spans="1:34" ht="15.75" customHeight="1">
      <c r="A6486" s="303"/>
      <c r="B6486" s="38"/>
      <c r="C6486" s="37"/>
      <c r="D6486" s="20"/>
      <c r="E6486" s="25"/>
      <c r="F6486" s="37"/>
      <c r="G6486" s="37"/>
      <c r="H6486" s="37"/>
      <c r="I6486" s="37"/>
      <c r="J6486" s="37"/>
      <c r="K6486" s="22"/>
      <c r="L6486" s="56"/>
      <c r="P6486" s="40"/>
      <c r="Q6486" s="61"/>
      <c r="R6486" s="61"/>
      <c r="S6486" s="40"/>
      <c r="T6486" s="38"/>
      <c r="U6486" s="38"/>
      <c r="V6486" s="38"/>
      <c r="W6486" s="60"/>
      <c r="AB6486" s="42"/>
      <c r="AC6486" s="35"/>
      <c r="AD6486" s="38"/>
      <c r="AE6486" s="38"/>
      <c r="AF6486" s="38"/>
      <c r="AG6486" s="38"/>
      <c r="AH6486" s="60"/>
    </row>
    <row r="6487" spans="1:34" ht="15.75" customHeight="1">
      <c r="A6487" s="303"/>
      <c r="B6487" s="38"/>
      <c r="C6487" s="37"/>
      <c r="D6487" s="20"/>
      <c r="E6487" s="25"/>
      <c r="F6487" s="37"/>
      <c r="G6487" s="37"/>
      <c r="H6487" s="37"/>
      <c r="I6487" s="37"/>
      <c r="J6487" s="37"/>
      <c r="K6487" s="22"/>
      <c r="L6487" s="56"/>
      <c r="P6487" s="40"/>
      <c r="Q6487" s="61"/>
      <c r="R6487" s="61"/>
      <c r="S6487" s="40"/>
      <c r="T6487" s="38"/>
      <c r="U6487" s="38"/>
      <c r="V6487" s="38"/>
      <c r="W6487" s="60"/>
      <c r="AB6487" s="42"/>
      <c r="AC6487" s="35"/>
      <c r="AD6487" s="38"/>
      <c r="AE6487" s="38"/>
      <c r="AF6487" s="38"/>
      <c r="AG6487" s="38"/>
      <c r="AH6487" s="60"/>
    </row>
    <row r="6488" spans="1:34" ht="15.75" customHeight="1">
      <c r="A6488" s="303"/>
      <c r="B6488" s="38"/>
      <c r="C6488" s="37"/>
      <c r="D6488" s="20"/>
      <c r="E6488" s="25"/>
      <c r="F6488" s="37"/>
      <c r="G6488" s="37"/>
      <c r="H6488" s="37"/>
      <c r="I6488" s="37"/>
      <c r="J6488" s="37"/>
      <c r="K6488" s="22"/>
      <c r="L6488" s="56"/>
      <c r="P6488" s="40"/>
      <c r="Q6488" s="61"/>
      <c r="R6488" s="61"/>
      <c r="S6488" s="40"/>
      <c r="T6488" s="38"/>
      <c r="U6488" s="38"/>
      <c r="V6488" s="38"/>
      <c r="W6488" s="60"/>
      <c r="AB6488" s="42"/>
      <c r="AC6488" s="35"/>
      <c r="AD6488" s="38"/>
      <c r="AE6488" s="38"/>
      <c r="AF6488" s="38"/>
      <c r="AG6488" s="38"/>
      <c r="AH6488" s="60"/>
    </row>
    <row r="6489" spans="1:34" ht="15.75" customHeight="1">
      <c r="A6489" s="303"/>
      <c r="B6489" s="38"/>
      <c r="C6489" s="37"/>
      <c r="D6489" s="20"/>
      <c r="E6489" s="25"/>
      <c r="F6489" s="37"/>
      <c r="G6489" s="37"/>
      <c r="H6489" s="37"/>
      <c r="I6489" s="37"/>
      <c r="J6489" s="37"/>
      <c r="K6489" s="22"/>
      <c r="L6489" s="56"/>
      <c r="P6489" s="40"/>
      <c r="Q6489" s="61"/>
      <c r="R6489" s="61"/>
      <c r="S6489" s="40"/>
      <c r="T6489" s="38"/>
      <c r="U6489" s="38"/>
      <c r="V6489" s="38"/>
      <c r="W6489" s="60"/>
      <c r="AB6489" s="42"/>
      <c r="AC6489" s="35"/>
      <c r="AD6489" s="38"/>
      <c r="AE6489" s="38"/>
      <c r="AF6489" s="38"/>
      <c r="AG6489" s="38"/>
      <c r="AH6489" s="60"/>
    </row>
    <row r="6490" spans="1:34" ht="15.75" customHeight="1">
      <c r="A6490" s="303"/>
      <c r="B6490" s="38"/>
      <c r="C6490" s="37"/>
      <c r="D6490" s="20"/>
      <c r="E6490" s="25"/>
      <c r="F6490" s="37"/>
      <c r="G6490" s="37"/>
      <c r="H6490" s="37"/>
      <c r="I6490" s="37"/>
      <c r="J6490" s="37"/>
      <c r="K6490" s="22"/>
      <c r="L6490" s="56"/>
      <c r="P6490" s="40"/>
      <c r="Q6490" s="61"/>
      <c r="R6490" s="61"/>
      <c r="S6490" s="40"/>
      <c r="T6490" s="38"/>
      <c r="U6490" s="38"/>
      <c r="V6490" s="38"/>
      <c r="W6490" s="60"/>
      <c r="AB6490" s="42"/>
      <c r="AC6490" s="35"/>
      <c r="AD6490" s="38"/>
      <c r="AE6490" s="38"/>
      <c r="AF6490" s="38"/>
      <c r="AG6490" s="38"/>
      <c r="AH6490" s="60"/>
    </row>
    <row r="6491" spans="1:34" ht="15.75" customHeight="1">
      <c r="A6491" s="303"/>
      <c r="B6491" s="38"/>
      <c r="C6491" s="37"/>
      <c r="D6491" s="20"/>
      <c r="E6491" s="25"/>
      <c r="F6491" s="37"/>
      <c r="G6491" s="37"/>
      <c r="H6491" s="37"/>
      <c r="I6491" s="37"/>
      <c r="J6491" s="37"/>
      <c r="K6491" s="22"/>
      <c r="L6491" s="56"/>
      <c r="P6491" s="40"/>
      <c r="Q6491" s="61"/>
      <c r="R6491" s="61"/>
      <c r="S6491" s="40"/>
      <c r="T6491" s="38"/>
      <c r="U6491" s="38"/>
      <c r="V6491" s="38"/>
      <c r="W6491" s="60"/>
      <c r="AB6491" s="42"/>
      <c r="AC6491" s="35"/>
      <c r="AD6491" s="38"/>
      <c r="AE6491" s="38"/>
      <c r="AF6491" s="38"/>
      <c r="AG6491" s="38"/>
      <c r="AH6491" s="60"/>
    </row>
    <row r="6492" spans="1:34" ht="15.75" customHeight="1">
      <c r="A6492" s="303"/>
      <c r="B6492" s="38"/>
      <c r="C6492" s="37"/>
      <c r="D6492" s="20"/>
      <c r="E6492" s="25"/>
      <c r="F6492" s="37"/>
      <c r="G6492" s="37"/>
      <c r="H6492" s="37"/>
      <c r="I6492" s="37"/>
      <c r="J6492" s="37"/>
      <c r="K6492" s="22"/>
      <c r="L6492" s="56"/>
      <c r="P6492" s="40"/>
      <c r="Q6492" s="61"/>
      <c r="R6492" s="61"/>
      <c r="S6492" s="40"/>
      <c r="T6492" s="38"/>
      <c r="U6492" s="38"/>
      <c r="V6492" s="38"/>
      <c r="W6492" s="60"/>
      <c r="AB6492" s="42"/>
      <c r="AC6492" s="35"/>
      <c r="AD6492" s="38"/>
      <c r="AE6492" s="38"/>
      <c r="AF6492" s="38"/>
      <c r="AG6492" s="38"/>
      <c r="AH6492" s="60"/>
    </row>
    <row r="6493" spans="1:34" ht="15.75" customHeight="1">
      <c r="A6493" s="303"/>
      <c r="B6493" s="38"/>
      <c r="C6493" s="37"/>
      <c r="D6493" s="20"/>
      <c r="E6493" s="25"/>
      <c r="F6493" s="37"/>
      <c r="G6493" s="37"/>
      <c r="H6493" s="37"/>
      <c r="I6493" s="37"/>
      <c r="J6493" s="37"/>
      <c r="K6493" s="22"/>
      <c r="L6493" s="56"/>
      <c r="P6493" s="40"/>
      <c r="Q6493" s="61"/>
      <c r="R6493" s="61"/>
      <c r="S6493" s="40"/>
      <c r="T6493" s="38"/>
      <c r="U6493" s="38"/>
      <c r="V6493" s="38"/>
      <c r="W6493" s="60"/>
      <c r="AB6493" s="42"/>
      <c r="AC6493" s="35"/>
      <c r="AD6493" s="38"/>
      <c r="AE6493" s="38"/>
      <c r="AF6493" s="38"/>
      <c r="AG6493" s="38"/>
      <c r="AH6493" s="60"/>
    </row>
    <row r="6494" spans="1:34" ht="15.75" customHeight="1">
      <c r="A6494" s="303"/>
      <c r="B6494" s="38"/>
      <c r="C6494" s="37"/>
      <c r="D6494" s="20"/>
      <c r="E6494" s="25"/>
      <c r="F6494" s="37"/>
      <c r="G6494" s="37"/>
      <c r="H6494" s="37"/>
      <c r="I6494" s="37"/>
      <c r="J6494" s="37"/>
      <c r="K6494" s="22"/>
      <c r="L6494" s="56"/>
      <c r="P6494" s="40"/>
      <c r="Q6494" s="61"/>
      <c r="R6494" s="61"/>
      <c r="S6494" s="40"/>
      <c r="T6494" s="38"/>
      <c r="U6494" s="38"/>
      <c r="V6494" s="38"/>
      <c r="W6494" s="60"/>
      <c r="AB6494" s="42"/>
      <c r="AC6494" s="35"/>
      <c r="AD6494" s="38"/>
      <c r="AE6494" s="38"/>
      <c r="AF6494" s="38"/>
      <c r="AG6494" s="38"/>
      <c r="AH6494" s="60"/>
    </row>
    <row r="6495" spans="1:34" ht="15.75" customHeight="1">
      <c r="A6495" s="303"/>
      <c r="B6495" s="38"/>
      <c r="C6495" s="37"/>
      <c r="D6495" s="20"/>
      <c r="E6495" s="25"/>
      <c r="F6495" s="37"/>
      <c r="G6495" s="37"/>
      <c r="H6495" s="37"/>
      <c r="I6495" s="37"/>
      <c r="J6495" s="37"/>
      <c r="K6495" s="22"/>
      <c r="L6495" s="56"/>
      <c r="P6495" s="40"/>
      <c r="Q6495" s="61"/>
      <c r="R6495" s="61"/>
      <c r="S6495" s="40"/>
      <c r="T6495" s="38"/>
      <c r="U6495" s="38"/>
      <c r="V6495" s="38"/>
      <c r="W6495" s="60"/>
      <c r="AB6495" s="42"/>
      <c r="AC6495" s="35"/>
      <c r="AD6495" s="38"/>
      <c r="AE6495" s="38"/>
      <c r="AF6495" s="38"/>
      <c r="AG6495" s="38"/>
      <c r="AH6495" s="60"/>
    </row>
    <row r="6496" spans="1:34" ht="15.75" customHeight="1">
      <c r="A6496" s="303"/>
      <c r="B6496" s="38"/>
      <c r="C6496" s="37"/>
      <c r="D6496" s="20"/>
      <c r="E6496" s="25"/>
      <c r="F6496" s="37"/>
      <c r="G6496" s="37"/>
      <c r="H6496" s="37"/>
      <c r="I6496" s="37"/>
      <c r="J6496" s="37"/>
      <c r="K6496" s="22"/>
      <c r="L6496" s="56"/>
      <c r="P6496" s="40"/>
      <c r="Q6496" s="61"/>
      <c r="R6496" s="61"/>
      <c r="S6496" s="40"/>
      <c r="T6496" s="38"/>
      <c r="U6496" s="38"/>
      <c r="V6496" s="38"/>
      <c r="W6496" s="60"/>
      <c r="AB6496" s="42"/>
      <c r="AC6496" s="35"/>
      <c r="AD6496" s="38"/>
      <c r="AE6496" s="38"/>
      <c r="AF6496" s="38"/>
      <c r="AG6496" s="38"/>
      <c r="AH6496" s="60"/>
    </row>
    <row r="6497" spans="1:34" ht="15.75" customHeight="1">
      <c r="A6497" s="303"/>
      <c r="B6497" s="38"/>
      <c r="C6497" s="37"/>
      <c r="D6497" s="20"/>
      <c r="E6497" s="25"/>
      <c r="F6497" s="37"/>
      <c r="G6497" s="37"/>
      <c r="H6497" s="37"/>
      <c r="I6497" s="37"/>
      <c r="J6497" s="37"/>
      <c r="K6497" s="22"/>
      <c r="L6497" s="56"/>
      <c r="P6497" s="40"/>
      <c r="Q6497" s="61"/>
      <c r="R6497" s="61"/>
      <c r="S6497" s="40"/>
      <c r="T6497" s="38"/>
      <c r="U6497" s="38"/>
      <c r="V6497" s="38"/>
      <c r="W6497" s="60"/>
      <c r="AB6497" s="42"/>
      <c r="AC6497" s="35"/>
      <c r="AD6497" s="38"/>
      <c r="AE6497" s="38"/>
      <c r="AF6497" s="38"/>
      <c r="AG6497" s="38"/>
      <c r="AH6497" s="60"/>
    </row>
    <row r="6498" spans="1:34" ht="15.75" customHeight="1">
      <c r="A6498" s="303"/>
      <c r="B6498" s="38"/>
      <c r="C6498" s="37"/>
      <c r="D6498" s="20"/>
      <c r="E6498" s="25"/>
      <c r="F6498" s="37"/>
      <c r="G6498" s="37"/>
      <c r="H6498" s="37"/>
      <c r="I6498" s="37"/>
      <c r="J6498" s="37"/>
      <c r="K6498" s="22"/>
      <c r="L6498" s="56"/>
      <c r="P6498" s="40"/>
      <c r="Q6498" s="61"/>
      <c r="R6498" s="61"/>
      <c r="S6498" s="40"/>
      <c r="T6498" s="38"/>
      <c r="U6498" s="38"/>
      <c r="V6498" s="38"/>
      <c r="W6498" s="60"/>
      <c r="AB6498" s="42"/>
      <c r="AC6498" s="35"/>
      <c r="AD6498" s="38"/>
      <c r="AE6498" s="38"/>
      <c r="AF6498" s="38"/>
      <c r="AG6498" s="38"/>
      <c r="AH6498" s="60"/>
    </row>
    <row r="6499" spans="1:34" ht="15.75" customHeight="1">
      <c r="A6499" s="303"/>
      <c r="B6499" s="38"/>
      <c r="C6499" s="37"/>
      <c r="D6499" s="20"/>
      <c r="E6499" s="25"/>
      <c r="F6499" s="37"/>
      <c r="G6499" s="37"/>
      <c r="H6499" s="37"/>
      <c r="I6499" s="37"/>
      <c r="J6499" s="37"/>
      <c r="K6499" s="22"/>
      <c r="L6499" s="56"/>
      <c r="P6499" s="40"/>
      <c r="Q6499" s="61"/>
      <c r="R6499" s="61"/>
      <c r="S6499" s="40"/>
      <c r="T6499" s="38"/>
      <c r="U6499" s="38"/>
      <c r="V6499" s="38"/>
      <c r="W6499" s="60"/>
      <c r="AB6499" s="42"/>
      <c r="AC6499" s="35"/>
      <c r="AD6499" s="38"/>
      <c r="AE6499" s="38"/>
      <c r="AF6499" s="38"/>
      <c r="AG6499" s="38"/>
      <c r="AH6499" s="60"/>
    </row>
    <row r="6500" spans="1:34" ht="15.75" customHeight="1">
      <c r="A6500" s="303"/>
      <c r="B6500" s="38"/>
      <c r="C6500" s="37"/>
      <c r="D6500" s="20"/>
      <c r="E6500" s="25"/>
      <c r="F6500" s="37"/>
      <c r="G6500" s="37"/>
      <c r="H6500" s="37"/>
      <c r="I6500" s="37"/>
      <c r="J6500" s="37"/>
      <c r="K6500" s="22"/>
      <c r="L6500" s="56"/>
      <c r="P6500" s="40"/>
      <c r="Q6500" s="61"/>
      <c r="R6500" s="61"/>
      <c r="S6500" s="40"/>
      <c r="T6500" s="38"/>
      <c r="U6500" s="38"/>
      <c r="V6500" s="38"/>
      <c r="W6500" s="60"/>
      <c r="AB6500" s="42"/>
      <c r="AC6500" s="35"/>
      <c r="AD6500" s="38"/>
      <c r="AE6500" s="38"/>
      <c r="AF6500" s="38"/>
      <c r="AG6500" s="38"/>
      <c r="AH6500" s="60"/>
    </row>
    <row r="6501" spans="1:34" ht="15.75" customHeight="1">
      <c r="A6501" s="303"/>
      <c r="B6501" s="38"/>
      <c r="C6501" s="37"/>
      <c r="D6501" s="20"/>
      <c r="E6501" s="25"/>
      <c r="F6501" s="37"/>
      <c r="G6501" s="37"/>
      <c r="H6501" s="37"/>
      <c r="I6501" s="37"/>
      <c r="J6501" s="37"/>
      <c r="K6501" s="22"/>
      <c r="L6501" s="56"/>
      <c r="P6501" s="40"/>
      <c r="Q6501" s="61"/>
      <c r="R6501" s="61"/>
      <c r="S6501" s="40"/>
      <c r="T6501" s="38"/>
      <c r="U6501" s="38"/>
      <c r="V6501" s="38"/>
      <c r="W6501" s="60"/>
      <c r="AB6501" s="42"/>
      <c r="AC6501" s="35"/>
      <c r="AD6501" s="38"/>
      <c r="AE6501" s="38"/>
      <c r="AF6501" s="38"/>
      <c r="AG6501" s="38"/>
      <c r="AH6501" s="60"/>
    </row>
    <row r="6502" spans="1:34" ht="15.75" customHeight="1">
      <c r="A6502" s="303"/>
      <c r="B6502" s="38"/>
      <c r="C6502" s="37"/>
      <c r="D6502" s="20"/>
      <c r="E6502" s="25"/>
      <c r="F6502" s="37"/>
      <c r="G6502" s="37"/>
      <c r="H6502" s="37"/>
      <c r="I6502" s="37"/>
      <c r="J6502" s="37"/>
      <c r="K6502" s="22"/>
      <c r="L6502" s="56"/>
      <c r="P6502" s="40"/>
      <c r="Q6502" s="61"/>
      <c r="R6502" s="61"/>
      <c r="S6502" s="40"/>
      <c r="T6502" s="38"/>
      <c r="U6502" s="38"/>
      <c r="V6502" s="38"/>
      <c r="W6502" s="60"/>
      <c r="AB6502" s="42"/>
      <c r="AC6502" s="35"/>
      <c r="AD6502" s="38"/>
      <c r="AE6502" s="38"/>
      <c r="AF6502" s="38"/>
      <c r="AG6502" s="38"/>
      <c r="AH6502" s="60"/>
    </row>
    <row r="6503" spans="1:34" ht="15.75" customHeight="1">
      <c r="A6503" s="303"/>
      <c r="B6503" s="38"/>
      <c r="C6503" s="37"/>
      <c r="D6503" s="20"/>
      <c r="E6503" s="25"/>
      <c r="F6503" s="37"/>
      <c r="G6503" s="37"/>
      <c r="H6503" s="37"/>
      <c r="I6503" s="37"/>
      <c r="J6503" s="37"/>
      <c r="K6503" s="22"/>
      <c r="L6503" s="56"/>
      <c r="P6503" s="40"/>
      <c r="Q6503" s="61"/>
      <c r="R6503" s="61"/>
      <c r="S6503" s="40"/>
      <c r="T6503" s="38"/>
      <c r="U6503" s="38"/>
      <c r="V6503" s="38"/>
      <c r="W6503" s="60"/>
      <c r="AB6503" s="42"/>
      <c r="AC6503" s="35"/>
      <c r="AD6503" s="38"/>
      <c r="AE6503" s="38"/>
      <c r="AF6503" s="38"/>
      <c r="AG6503" s="38"/>
      <c r="AH6503" s="60"/>
    </row>
    <row r="6504" spans="1:34" ht="15.75" customHeight="1">
      <c r="A6504" s="303"/>
      <c r="B6504" s="38"/>
      <c r="C6504" s="37"/>
      <c r="D6504" s="20"/>
      <c r="E6504" s="25"/>
      <c r="F6504" s="37"/>
      <c r="G6504" s="37"/>
      <c r="H6504" s="37"/>
      <c r="I6504" s="37"/>
      <c r="J6504" s="37"/>
      <c r="K6504" s="22"/>
      <c r="L6504" s="56"/>
      <c r="P6504" s="40"/>
      <c r="Q6504" s="61"/>
      <c r="R6504" s="61"/>
      <c r="S6504" s="40"/>
      <c r="T6504" s="38"/>
      <c r="U6504" s="38"/>
      <c r="V6504" s="38"/>
      <c r="W6504" s="60"/>
      <c r="AB6504" s="42"/>
      <c r="AC6504" s="35"/>
      <c r="AD6504" s="38"/>
      <c r="AE6504" s="38"/>
      <c r="AF6504" s="38"/>
      <c r="AG6504" s="38"/>
      <c r="AH6504" s="60"/>
    </row>
    <row r="6505" spans="1:34" ht="15.75" customHeight="1">
      <c r="A6505" s="303"/>
      <c r="B6505" s="38"/>
      <c r="C6505" s="37"/>
      <c r="D6505" s="20"/>
      <c r="E6505" s="25"/>
      <c r="F6505" s="37"/>
      <c r="G6505" s="37"/>
      <c r="H6505" s="37"/>
      <c r="I6505" s="37"/>
      <c r="J6505" s="37"/>
      <c r="K6505" s="22"/>
      <c r="L6505" s="56"/>
      <c r="P6505" s="40"/>
      <c r="Q6505" s="61"/>
      <c r="R6505" s="61"/>
      <c r="S6505" s="40"/>
      <c r="T6505" s="38"/>
      <c r="U6505" s="38"/>
      <c r="V6505" s="38"/>
      <c r="W6505" s="60"/>
      <c r="AB6505" s="42"/>
      <c r="AC6505" s="35"/>
      <c r="AD6505" s="38"/>
      <c r="AE6505" s="38"/>
      <c r="AF6505" s="38"/>
      <c r="AG6505" s="38"/>
      <c r="AH6505" s="60"/>
    </row>
    <row r="6506" spans="1:34" ht="15.75" customHeight="1">
      <c r="A6506" s="303"/>
      <c r="B6506" s="38"/>
      <c r="C6506" s="37"/>
      <c r="D6506" s="20"/>
      <c r="E6506" s="25"/>
      <c r="F6506" s="37"/>
      <c r="G6506" s="37"/>
      <c r="H6506" s="37"/>
      <c r="I6506" s="37"/>
      <c r="J6506" s="37"/>
      <c r="K6506" s="22"/>
      <c r="L6506" s="56"/>
      <c r="P6506" s="40"/>
      <c r="Q6506" s="61"/>
      <c r="R6506" s="61"/>
      <c r="S6506" s="40"/>
      <c r="T6506" s="38"/>
      <c r="U6506" s="38"/>
      <c r="V6506" s="38"/>
      <c r="W6506" s="60"/>
      <c r="AB6506" s="42"/>
      <c r="AC6506" s="35"/>
      <c r="AD6506" s="38"/>
      <c r="AE6506" s="38"/>
      <c r="AF6506" s="38"/>
      <c r="AG6506" s="38"/>
      <c r="AH6506" s="60"/>
    </row>
    <row r="6507" spans="1:34" ht="15.75" customHeight="1">
      <c r="A6507" s="303"/>
      <c r="B6507" s="38"/>
      <c r="C6507" s="37"/>
      <c r="D6507" s="20"/>
      <c r="E6507" s="25"/>
      <c r="F6507" s="37"/>
      <c r="G6507" s="37"/>
      <c r="H6507" s="37"/>
      <c r="I6507" s="37"/>
      <c r="J6507" s="37"/>
      <c r="K6507" s="22"/>
      <c r="L6507" s="56"/>
      <c r="P6507" s="40"/>
      <c r="Q6507" s="61"/>
      <c r="R6507" s="61"/>
      <c r="S6507" s="40"/>
      <c r="T6507" s="38"/>
      <c r="U6507" s="38"/>
      <c r="V6507" s="38"/>
      <c r="W6507" s="60"/>
      <c r="AB6507" s="42"/>
      <c r="AC6507" s="35"/>
      <c r="AD6507" s="38"/>
      <c r="AE6507" s="38"/>
      <c r="AF6507" s="38"/>
      <c r="AG6507" s="38"/>
      <c r="AH6507" s="60"/>
    </row>
    <row r="6508" spans="1:34" ht="15.75" customHeight="1">
      <c r="A6508" s="303"/>
      <c r="B6508" s="38"/>
      <c r="C6508" s="37"/>
      <c r="D6508" s="20"/>
      <c r="E6508" s="25"/>
      <c r="F6508" s="37"/>
      <c r="G6508" s="37"/>
      <c r="H6508" s="37"/>
      <c r="I6508" s="37"/>
      <c r="J6508" s="37"/>
      <c r="K6508" s="22"/>
      <c r="L6508" s="56"/>
      <c r="P6508" s="40"/>
      <c r="Q6508" s="61"/>
      <c r="R6508" s="61"/>
      <c r="S6508" s="40"/>
      <c r="T6508" s="38"/>
      <c r="U6508" s="38"/>
      <c r="V6508" s="38"/>
      <c r="W6508" s="60"/>
      <c r="AB6508" s="42"/>
      <c r="AC6508" s="35"/>
      <c r="AD6508" s="38"/>
      <c r="AE6508" s="38"/>
      <c r="AF6508" s="38"/>
      <c r="AG6508" s="38"/>
      <c r="AH6508" s="60"/>
    </row>
    <row r="6509" spans="1:34" ht="15.75" customHeight="1">
      <c r="A6509" s="303"/>
      <c r="B6509" s="38"/>
      <c r="C6509" s="37"/>
      <c r="D6509" s="20"/>
      <c r="E6509" s="25"/>
      <c r="F6509" s="37"/>
      <c r="G6509" s="37"/>
      <c r="H6509" s="37"/>
      <c r="I6509" s="37"/>
      <c r="J6509" s="37"/>
      <c r="K6509" s="22"/>
      <c r="L6509" s="56"/>
      <c r="P6509" s="40"/>
      <c r="Q6509" s="61"/>
      <c r="R6509" s="61"/>
      <c r="S6509" s="40"/>
      <c r="T6509" s="38"/>
      <c r="U6509" s="38"/>
      <c r="V6509" s="38"/>
      <c r="W6509" s="60"/>
      <c r="AB6509" s="42"/>
      <c r="AC6509" s="35"/>
      <c r="AD6509" s="38"/>
      <c r="AE6509" s="38"/>
      <c r="AF6509" s="38"/>
      <c r="AG6509" s="38"/>
      <c r="AH6509" s="60"/>
    </row>
    <row r="6510" spans="1:34" ht="15.75" customHeight="1">
      <c r="A6510" s="303"/>
      <c r="B6510" s="38"/>
      <c r="C6510" s="37"/>
      <c r="D6510" s="20"/>
      <c r="E6510" s="25"/>
      <c r="F6510" s="37"/>
      <c r="G6510" s="37"/>
      <c r="H6510" s="37"/>
      <c r="I6510" s="37"/>
      <c r="J6510" s="37"/>
      <c r="K6510" s="22"/>
      <c r="L6510" s="56"/>
      <c r="P6510" s="40"/>
      <c r="Q6510" s="61"/>
      <c r="R6510" s="61"/>
      <c r="S6510" s="40"/>
      <c r="T6510" s="38"/>
      <c r="U6510" s="38"/>
      <c r="V6510" s="38"/>
      <c r="W6510" s="60"/>
      <c r="AB6510" s="42"/>
      <c r="AC6510" s="35"/>
      <c r="AD6510" s="38"/>
      <c r="AE6510" s="38"/>
      <c r="AF6510" s="38"/>
      <c r="AG6510" s="38"/>
      <c r="AH6510" s="60"/>
    </row>
    <row r="6511" spans="1:34" ht="15.75" customHeight="1">
      <c r="A6511" s="303"/>
      <c r="B6511" s="38"/>
      <c r="C6511" s="37"/>
      <c r="D6511" s="20"/>
      <c r="E6511" s="25"/>
      <c r="F6511" s="37"/>
      <c r="G6511" s="37"/>
      <c r="H6511" s="37"/>
      <c r="I6511" s="37"/>
      <c r="J6511" s="37"/>
      <c r="K6511" s="22"/>
      <c r="L6511" s="56"/>
      <c r="P6511" s="40"/>
      <c r="Q6511" s="61"/>
      <c r="R6511" s="61"/>
      <c r="S6511" s="40"/>
      <c r="T6511" s="38"/>
      <c r="U6511" s="38"/>
      <c r="V6511" s="38"/>
      <c r="W6511" s="60"/>
      <c r="AB6511" s="42"/>
      <c r="AC6511" s="35"/>
      <c r="AD6511" s="38"/>
      <c r="AE6511" s="38"/>
      <c r="AF6511" s="38"/>
      <c r="AG6511" s="38"/>
      <c r="AH6511" s="60"/>
    </row>
    <row r="6512" spans="1:34" ht="15.75" customHeight="1">
      <c r="A6512" s="303"/>
      <c r="B6512" s="38"/>
      <c r="C6512" s="37"/>
      <c r="D6512" s="20"/>
      <c r="E6512" s="25"/>
      <c r="F6512" s="37"/>
      <c r="G6512" s="37"/>
      <c r="H6512" s="37"/>
      <c r="I6512" s="37"/>
      <c r="J6512" s="37"/>
      <c r="K6512" s="22"/>
      <c r="L6512" s="56"/>
      <c r="P6512" s="40"/>
      <c r="Q6512" s="61"/>
      <c r="R6512" s="61"/>
      <c r="S6512" s="40"/>
      <c r="T6512" s="38"/>
      <c r="U6512" s="38"/>
      <c r="V6512" s="38"/>
      <c r="W6512" s="60"/>
      <c r="AB6512" s="42"/>
      <c r="AC6512" s="35"/>
      <c r="AD6512" s="38"/>
      <c r="AE6512" s="38"/>
      <c r="AF6512" s="38"/>
      <c r="AG6512" s="38"/>
      <c r="AH6512" s="60"/>
    </row>
    <row r="6513" spans="1:34" ht="15.75" customHeight="1">
      <c r="A6513" s="303"/>
      <c r="B6513" s="38"/>
      <c r="C6513" s="37"/>
      <c r="D6513" s="20"/>
      <c r="E6513" s="25"/>
      <c r="F6513" s="37"/>
      <c r="G6513" s="37"/>
      <c r="H6513" s="37"/>
      <c r="I6513" s="37"/>
      <c r="J6513" s="37"/>
      <c r="K6513" s="22"/>
      <c r="L6513" s="56"/>
      <c r="P6513" s="40"/>
      <c r="Q6513" s="61"/>
      <c r="R6513" s="61"/>
      <c r="S6513" s="40"/>
      <c r="T6513" s="38"/>
      <c r="U6513" s="38"/>
      <c r="V6513" s="38"/>
      <c r="W6513" s="60"/>
      <c r="AB6513" s="42"/>
      <c r="AC6513" s="35"/>
      <c r="AD6513" s="38"/>
      <c r="AE6513" s="38"/>
      <c r="AF6513" s="38"/>
      <c r="AG6513" s="38"/>
      <c r="AH6513" s="60"/>
    </row>
    <row r="6514" spans="1:34" ht="15.75" customHeight="1">
      <c r="A6514" s="303"/>
      <c r="B6514" s="38"/>
      <c r="C6514" s="37"/>
      <c r="D6514" s="20"/>
      <c r="E6514" s="25"/>
      <c r="F6514" s="37"/>
      <c r="G6514" s="37"/>
      <c r="H6514" s="37"/>
      <c r="I6514" s="37"/>
      <c r="J6514" s="37"/>
      <c r="K6514" s="22"/>
      <c r="L6514" s="56"/>
      <c r="P6514" s="40"/>
      <c r="Q6514" s="61"/>
      <c r="R6514" s="61"/>
      <c r="S6514" s="40"/>
      <c r="T6514" s="38"/>
      <c r="U6514" s="38"/>
      <c r="V6514" s="38"/>
      <c r="W6514" s="60"/>
      <c r="AB6514" s="42"/>
      <c r="AC6514" s="35"/>
      <c r="AD6514" s="38"/>
      <c r="AE6514" s="38"/>
      <c r="AF6514" s="38"/>
      <c r="AG6514" s="38"/>
      <c r="AH6514" s="60"/>
    </row>
    <row r="6515" spans="1:34" ht="15.75" customHeight="1">
      <c r="A6515" s="303"/>
      <c r="B6515" s="38"/>
      <c r="C6515" s="37"/>
      <c r="D6515" s="20"/>
      <c r="E6515" s="25"/>
      <c r="F6515" s="37"/>
      <c r="G6515" s="37"/>
      <c r="H6515" s="37"/>
      <c r="I6515" s="37"/>
      <c r="J6515" s="37"/>
      <c r="K6515" s="22"/>
      <c r="L6515" s="56"/>
      <c r="P6515" s="40"/>
      <c r="Q6515" s="61"/>
      <c r="R6515" s="61"/>
      <c r="S6515" s="40"/>
      <c r="T6515" s="38"/>
      <c r="U6515" s="38"/>
      <c r="V6515" s="38"/>
      <c r="W6515" s="60"/>
      <c r="AB6515" s="42"/>
      <c r="AC6515" s="35"/>
      <c r="AD6515" s="38"/>
      <c r="AE6515" s="38"/>
      <c r="AF6515" s="38"/>
      <c r="AG6515" s="38"/>
      <c r="AH6515" s="60"/>
    </row>
    <row r="6516" spans="1:34" ht="15.75" customHeight="1">
      <c r="A6516" s="303"/>
      <c r="B6516" s="38"/>
      <c r="C6516" s="37"/>
      <c r="D6516" s="20"/>
      <c r="E6516" s="25"/>
      <c r="F6516" s="37"/>
      <c r="G6516" s="37"/>
      <c r="H6516" s="37"/>
      <c r="I6516" s="37"/>
      <c r="J6516" s="37"/>
      <c r="K6516" s="22"/>
      <c r="L6516" s="56"/>
      <c r="P6516" s="40"/>
      <c r="Q6516" s="61"/>
      <c r="R6516" s="61"/>
      <c r="S6516" s="40"/>
      <c r="T6516" s="38"/>
      <c r="U6516" s="38"/>
      <c r="V6516" s="38"/>
      <c r="W6516" s="60"/>
      <c r="AB6516" s="42"/>
      <c r="AC6516" s="35"/>
      <c r="AD6516" s="38"/>
      <c r="AE6516" s="38"/>
      <c r="AF6516" s="38"/>
      <c r="AG6516" s="38"/>
      <c r="AH6516" s="60"/>
    </row>
    <row r="6517" spans="1:34" ht="15.75" customHeight="1">
      <c r="A6517" s="303"/>
      <c r="B6517" s="38"/>
      <c r="C6517" s="37"/>
      <c r="D6517" s="20"/>
      <c r="E6517" s="25"/>
      <c r="F6517" s="37"/>
      <c r="G6517" s="37"/>
      <c r="H6517" s="37"/>
      <c r="I6517" s="37"/>
      <c r="J6517" s="37"/>
      <c r="K6517" s="22"/>
      <c r="L6517" s="56"/>
      <c r="P6517" s="40"/>
      <c r="Q6517" s="61"/>
      <c r="R6517" s="61"/>
      <c r="S6517" s="40"/>
      <c r="T6517" s="38"/>
      <c r="U6517" s="38"/>
      <c r="V6517" s="38"/>
      <c r="W6517" s="60"/>
      <c r="AB6517" s="42"/>
      <c r="AC6517" s="35"/>
      <c r="AD6517" s="38"/>
      <c r="AE6517" s="38"/>
      <c r="AF6517" s="38"/>
      <c r="AG6517" s="38"/>
      <c r="AH6517" s="60"/>
    </row>
    <row r="6518" spans="1:34" ht="15.75" customHeight="1">
      <c r="A6518" s="303"/>
      <c r="B6518" s="38"/>
      <c r="C6518" s="37"/>
      <c r="D6518" s="20"/>
      <c r="E6518" s="25"/>
      <c r="F6518" s="37"/>
      <c r="G6518" s="37"/>
      <c r="H6518" s="37"/>
      <c r="I6518" s="37"/>
      <c r="J6518" s="37"/>
      <c r="K6518" s="22"/>
      <c r="L6518" s="56"/>
      <c r="P6518" s="40"/>
      <c r="Q6518" s="61"/>
      <c r="R6518" s="61"/>
      <c r="S6518" s="40"/>
      <c r="T6518" s="38"/>
      <c r="U6518" s="38"/>
      <c r="V6518" s="38"/>
      <c r="W6518" s="60"/>
      <c r="AB6518" s="42"/>
      <c r="AC6518" s="35"/>
      <c r="AD6518" s="38"/>
      <c r="AE6518" s="38"/>
      <c r="AF6518" s="38"/>
      <c r="AG6518" s="38"/>
      <c r="AH6518" s="60"/>
    </row>
    <row r="6519" spans="1:34" ht="15.75" customHeight="1">
      <c r="A6519" s="303"/>
      <c r="B6519" s="38"/>
      <c r="C6519" s="37"/>
      <c r="D6519" s="20"/>
      <c r="E6519" s="25"/>
      <c r="F6519" s="37"/>
      <c r="G6519" s="37"/>
      <c r="H6519" s="37"/>
      <c r="I6519" s="37"/>
      <c r="J6519" s="37"/>
      <c r="K6519" s="22"/>
      <c r="L6519" s="56"/>
      <c r="P6519" s="40"/>
      <c r="Q6519" s="61"/>
      <c r="R6519" s="61"/>
      <c r="S6519" s="40"/>
      <c r="T6519" s="38"/>
      <c r="U6519" s="38"/>
      <c r="V6519" s="38"/>
      <c r="W6519" s="60"/>
      <c r="AB6519" s="42"/>
      <c r="AC6519" s="35"/>
      <c r="AD6519" s="38"/>
      <c r="AE6519" s="38"/>
      <c r="AF6519" s="38"/>
      <c r="AG6519" s="38"/>
      <c r="AH6519" s="60"/>
    </row>
    <row r="6520" spans="1:34" ht="15.75" customHeight="1">
      <c r="A6520" s="303"/>
      <c r="B6520" s="38"/>
      <c r="C6520" s="37"/>
      <c r="D6520" s="20"/>
      <c r="E6520" s="25"/>
      <c r="F6520" s="37"/>
      <c r="G6520" s="37"/>
      <c r="H6520" s="37"/>
      <c r="I6520" s="37"/>
      <c r="J6520" s="37"/>
      <c r="K6520" s="22"/>
      <c r="L6520" s="56"/>
      <c r="P6520" s="40"/>
      <c r="Q6520" s="61"/>
      <c r="R6520" s="61"/>
      <c r="S6520" s="40"/>
      <c r="T6520" s="38"/>
      <c r="U6520" s="38"/>
      <c r="V6520" s="38"/>
      <c r="W6520" s="60"/>
      <c r="AB6520" s="42"/>
      <c r="AC6520" s="35"/>
      <c r="AD6520" s="38"/>
      <c r="AE6520" s="38"/>
      <c r="AF6520" s="38"/>
      <c r="AG6520" s="38"/>
      <c r="AH6520" s="60"/>
    </row>
    <row r="6521" spans="1:34" ht="15.75" customHeight="1">
      <c r="A6521" s="303"/>
      <c r="B6521" s="38"/>
      <c r="C6521" s="37"/>
      <c r="D6521" s="20"/>
      <c r="E6521" s="25"/>
      <c r="F6521" s="37"/>
      <c r="G6521" s="37"/>
      <c r="H6521" s="37"/>
      <c r="I6521" s="37"/>
      <c r="J6521" s="37"/>
      <c r="K6521" s="22"/>
      <c r="L6521" s="56"/>
      <c r="P6521" s="40"/>
      <c r="Q6521" s="61"/>
      <c r="R6521" s="61"/>
      <c r="S6521" s="40"/>
      <c r="T6521" s="38"/>
      <c r="U6521" s="38"/>
      <c r="V6521" s="38"/>
      <c r="W6521" s="60"/>
      <c r="AB6521" s="42"/>
      <c r="AC6521" s="35"/>
      <c r="AD6521" s="38"/>
      <c r="AE6521" s="38"/>
      <c r="AF6521" s="38"/>
      <c r="AG6521" s="38"/>
      <c r="AH6521" s="60"/>
    </row>
    <row r="6522" spans="1:34" ht="15.75" customHeight="1">
      <c r="A6522" s="303"/>
      <c r="B6522" s="38"/>
      <c r="C6522" s="37"/>
      <c r="D6522" s="20"/>
      <c r="E6522" s="25"/>
      <c r="F6522" s="37"/>
      <c r="G6522" s="37"/>
      <c r="H6522" s="37"/>
      <c r="I6522" s="37"/>
      <c r="J6522" s="37"/>
      <c r="K6522" s="22"/>
      <c r="L6522" s="56"/>
      <c r="P6522" s="40"/>
      <c r="Q6522" s="61"/>
      <c r="R6522" s="61"/>
      <c r="S6522" s="40"/>
      <c r="T6522" s="38"/>
      <c r="U6522" s="38"/>
      <c r="V6522" s="38"/>
      <c r="W6522" s="60"/>
      <c r="AB6522" s="42"/>
      <c r="AC6522" s="35"/>
      <c r="AD6522" s="38"/>
      <c r="AE6522" s="38"/>
      <c r="AF6522" s="38"/>
      <c r="AG6522" s="38"/>
      <c r="AH6522" s="60"/>
    </row>
    <row r="6523" spans="1:34" ht="15.75" customHeight="1">
      <c r="A6523" s="303"/>
      <c r="B6523" s="38"/>
      <c r="C6523" s="37"/>
      <c r="D6523" s="20"/>
      <c r="E6523" s="25"/>
      <c r="F6523" s="37"/>
      <c r="G6523" s="37"/>
      <c r="H6523" s="37"/>
      <c r="I6523" s="37"/>
      <c r="J6523" s="37"/>
      <c r="K6523" s="22"/>
      <c r="L6523" s="56"/>
      <c r="P6523" s="40"/>
      <c r="Q6523" s="61"/>
      <c r="R6523" s="61"/>
      <c r="S6523" s="40"/>
      <c r="T6523" s="38"/>
      <c r="U6523" s="38"/>
      <c r="V6523" s="38"/>
      <c r="W6523" s="60"/>
      <c r="AB6523" s="42"/>
      <c r="AC6523" s="35"/>
      <c r="AD6523" s="38"/>
      <c r="AE6523" s="38"/>
      <c r="AF6523" s="38"/>
      <c r="AG6523" s="38"/>
      <c r="AH6523" s="60"/>
    </row>
    <row r="6524" spans="1:34" ht="15.75" customHeight="1">
      <c r="A6524" s="303"/>
      <c r="B6524" s="38"/>
      <c r="C6524" s="37"/>
      <c r="D6524" s="20"/>
      <c r="E6524" s="25"/>
      <c r="F6524" s="37"/>
      <c r="G6524" s="37"/>
      <c r="H6524" s="37"/>
      <c r="I6524" s="37"/>
      <c r="J6524" s="37"/>
      <c r="K6524" s="22"/>
      <c r="L6524" s="56"/>
      <c r="P6524" s="40"/>
      <c r="Q6524" s="61"/>
      <c r="R6524" s="61"/>
      <c r="S6524" s="40"/>
      <c r="T6524" s="38"/>
      <c r="U6524" s="38"/>
      <c r="V6524" s="38"/>
      <c r="W6524" s="60"/>
      <c r="AB6524" s="42"/>
      <c r="AC6524" s="35"/>
      <c r="AD6524" s="38"/>
      <c r="AE6524" s="38"/>
      <c r="AF6524" s="38"/>
      <c r="AG6524" s="38"/>
      <c r="AH6524" s="60"/>
    </row>
    <row r="6525" spans="1:34" ht="15.75" customHeight="1">
      <c r="A6525" s="303"/>
      <c r="B6525" s="38"/>
      <c r="C6525" s="37"/>
      <c r="D6525" s="20"/>
      <c r="E6525" s="25"/>
      <c r="F6525" s="37"/>
      <c r="G6525" s="37"/>
      <c r="H6525" s="37"/>
      <c r="I6525" s="37"/>
      <c r="J6525" s="37"/>
      <c r="K6525" s="22"/>
      <c r="L6525" s="56"/>
      <c r="P6525" s="40"/>
      <c r="Q6525" s="61"/>
      <c r="R6525" s="61"/>
      <c r="S6525" s="40"/>
      <c r="T6525" s="38"/>
      <c r="U6525" s="38"/>
      <c r="V6525" s="38"/>
      <c r="W6525" s="60"/>
      <c r="AB6525" s="42"/>
      <c r="AC6525" s="35"/>
      <c r="AD6525" s="38"/>
      <c r="AE6525" s="38"/>
      <c r="AF6525" s="38"/>
      <c r="AG6525" s="38"/>
      <c r="AH6525" s="60"/>
    </row>
    <row r="6526" spans="1:34" ht="15.75" customHeight="1">
      <c r="A6526" s="303"/>
      <c r="B6526" s="38"/>
      <c r="C6526" s="37"/>
      <c r="D6526" s="20"/>
      <c r="E6526" s="25"/>
      <c r="F6526" s="37"/>
      <c r="G6526" s="37"/>
      <c r="H6526" s="37"/>
      <c r="I6526" s="37"/>
      <c r="J6526" s="37"/>
      <c r="K6526" s="22"/>
      <c r="L6526" s="56"/>
      <c r="P6526" s="40"/>
      <c r="Q6526" s="61"/>
      <c r="R6526" s="61"/>
      <c r="S6526" s="40"/>
      <c r="T6526" s="38"/>
      <c r="U6526" s="38"/>
      <c r="V6526" s="38"/>
      <c r="W6526" s="60"/>
      <c r="AB6526" s="42"/>
      <c r="AC6526" s="35"/>
      <c r="AD6526" s="38"/>
      <c r="AE6526" s="38"/>
      <c r="AF6526" s="38"/>
      <c r="AG6526" s="38"/>
      <c r="AH6526" s="60"/>
    </row>
    <row r="6527" spans="1:34" ht="15.75" customHeight="1">
      <c r="A6527" s="303"/>
      <c r="B6527" s="38"/>
      <c r="C6527" s="37"/>
      <c r="D6527" s="20"/>
      <c r="E6527" s="25"/>
      <c r="F6527" s="37"/>
      <c r="G6527" s="37"/>
      <c r="H6527" s="37"/>
      <c r="I6527" s="37"/>
      <c r="J6527" s="37"/>
      <c r="K6527" s="22"/>
      <c r="L6527" s="56"/>
      <c r="P6527" s="40"/>
      <c r="Q6527" s="61"/>
      <c r="R6527" s="61"/>
      <c r="S6527" s="40"/>
      <c r="T6527" s="38"/>
      <c r="U6527" s="38"/>
      <c r="V6527" s="38"/>
      <c r="W6527" s="60"/>
      <c r="AB6527" s="42"/>
      <c r="AC6527" s="35"/>
      <c r="AD6527" s="38"/>
      <c r="AE6527" s="38"/>
      <c r="AF6527" s="38"/>
      <c r="AG6527" s="38"/>
      <c r="AH6527" s="60"/>
    </row>
    <row r="6528" spans="1:34" ht="15.75" customHeight="1">
      <c r="A6528" s="303"/>
      <c r="B6528" s="38"/>
      <c r="C6528" s="37"/>
      <c r="D6528" s="20"/>
      <c r="E6528" s="25"/>
      <c r="F6528" s="37"/>
      <c r="G6528" s="37"/>
      <c r="H6528" s="37"/>
      <c r="I6528" s="37"/>
      <c r="J6528" s="37"/>
      <c r="K6528" s="22"/>
      <c r="L6528" s="56"/>
      <c r="P6528" s="40"/>
      <c r="Q6528" s="61"/>
      <c r="R6528" s="61"/>
      <c r="S6528" s="40"/>
      <c r="T6528" s="38"/>
      <c r="U6528" s="38"/>
      <c r="V6528" s="38"/>
      <c r="W6528" s="60"/>
      <c r="AB6528" s="42"/>
      <c r="AC6528" s="35"/>
      <c r="AD6528" s="38"/>
      <c r="AE6528" s="38"/>
      <c r="AF6528" s="38"/>
      <c r="AG6528" s="38"/>
      <c r="AH6528" s="60"/>
    </row>
    <row r="6529" spans="1:34" ht="15.75" customHeight="1">
      <c r="A6529" s="303"/>
      <c r="B6529" s="38"/>
      <c r="C6529" s="37"/>
      <c r="D6529" s="20"/>
      <c r="E6529" s="25"/>
      <c r="F6529" s="37"/>
      <c r="G6529" s="37"/>
      <c r="H6529" s="37"/>
      <c r="I6529" s="37"/>
      <c r="J6529" s="37"/>
      <c r="K6529" s="22"/>
      <c r="L6529" s="56"/>
      <c r="P6529" s="40"/>
      <c r="Q6529" s="61"/>
      <c r="R6529" s="61"/>
      <c r="S6529" s="40"/>
      <c r="T6529" s="38"/>
      <c r="U6529" s="38"/>
      <c r="V6529" s="38"/>
      <c r="W6529" s="60"/>
      <c r="AB6529" s="42"/>
      <c r="AC6529" s="35"/>
      <c r="AD6529" s="38"/>
      <c r="AE6529" s="38"/>
      <c r="AF6529" s="38"/>
      <c r="AG6529" s="38"/>
      <c r="AH6529" s="60"/>
    </row>
    <row r="6530" spans="1:34" ht="15.75" customHeight="1">
      <c r="A6530" s="303"/>
      <c r="B6530" s="38"/>
      <c r="C6530" s="37"/>
      <c r="D6530" s="20"/>
      <c r="E6530" s="25"/>
      <c r="F6530" s="37"/>
      <c r="G6530" s="37"/>
      <c r="H6530" s="37"/>
      <c r="I6530" s="37"/>
      <c r="J6530" s="37"/>
      <c r="K6530" s="22"/>
      <c r="L6530" s="56"/>
      <c r="P6530" s="40"/>
      <c r="Q6530" s="61"/>
      <c r="R6530" s="61"/>
      <c r="S6530" s="40"/>
      <c r="T6530" s="38"/>
      <c r="U6530" s="38"/>
      <c r="V6530" s="38"/>
      <c r="W6530" s="60"/>
      <c r="AB6530" s="42"/>
      <c r="AC6530" s="35"/>
      <c r="AD6530" s="38"/>
      <c r="AE6530" s="38"/>
      <c r="AF6530" s="38"/>
      <c r="AG6530" s="38"/>
      <c r="AH6530" s="60"/>
    </row>
    <row r="6531" spans="1:34" ht="15.75" customHeight="1">
      <c r="A6531" s="303"/>
      <c r="B6531" s="38"/>
      <c r="C6531" s="37"/>
      <c r="D6531" s="20"/>
      <c r="E6531" s="25"/>
      <c r="F6531" s="37"/>
      <c r="G6531" s="37"/>
      <c r="H6531" s="37"/>
      <c r="I6531" s="37"/>
      <c r="J6531" s="37"/>
      <c r="K6531" s="22"/>
      <c r="L6531" s="56"/>
      <c r="P6531" s="40"/>
      <c r="Q6531" s="61"/>
      <c r="R6531" s="61"/>
      <c r="S6531" s="40"/>
      <c r="T6531" s="38"/>
      <c r="U6531" s="38"/>
      <c r="V6531" s="38"/>
      <c r="W6531" s="60"/>
      <c r="AB6531" s="42"/>
      <c r="AC6531" s="35"/>
      <c r="AD6531" s="38"/>
      <c r="AE6531" s="38"/>
      <c r="AF6531" s="38"/>
      <c r="AG6531" s="38"/>
      <c r="AH6531" s="60"/>
    </row>
    <row r="6532" spans="1:34" ht="15.75" customHeight="1">
      <c r="A6532" s="303"/>
      <c r="B6532" s="38"/>
      <c r="C6532" s="37"/>
      <c r="D6532" s="20"/>
      <c r="E6532" s="25"/>
      <c r="F6532" s="37"/>
      <c r="G6532" s="37"/>
      <c r="H6532" s="37"/>
      <c r="I6532" s="37"/>
      <c r="J6532" s="37"/>
      <c r="K6532" s="22"/>
      <c r="L6532" s="56"/>
      <c r="P6532" s="40"/>
      <c r="Q6532" s="61"/>
      <c r="R6532" s="61"/>
      <c r="S6532" s="40"/>
      <c r="T6532" s="38"/>
      <c r="U6532" s="38"/>
      <c r="V6532" s="38"/>
      <c r="W6532" s="60"/>
      <c r="AB6532" s="42"/>
      <c r="AC6532" s="35"/>
      <c r="AD6532" s="38"/>
      <c r="AE6532" s="38"/>
      <c r="AF6532" s="38"/>
      <c r="AG6532" s="38"/>
      <c r="AH6532" s="60"/>
    </row>
    <row r="6533" spans="1:34" ht="15.75" customHeight="1">
      <c r="A6533" s="303"/>
      <c r="B6533" s="38"/>
      <c r="C6533" s="37"/>
      <c r="D6533" s="20"/>
      <c r="E6533" s="25"/>
      <c r="F6533" s="37"/>
      <c r="G6533" s="37"/>
      <c r="H6533" s="37"/>
      <c r="I6533" s="37"/>
      <c r="J6533" s="37"/>
      <c r="K6533" s="22"/>
      <c r="L6533" s="56"/>
      <c r="P6533" s="40"/>
      <c r="Q6533" s="61"/>
      <c r="R6533" s="61"/>
      <c r="S6533" s="40"/>
      <c r="T6533" s="38"/>
      <c r="U6533" s="38"/>
      <c r="V6533" s="38"/>
      <c r="W6533" s="60"/>
      <c r="AB6533" s="42"/>
      <c r="AC6533" s="35"/>
      <c r="AD6533" s="38"/>
      <c r="AE6533" s="38"/>
      <c r="AF6533" s="38"/>
      <c r="AG6533" s="38"/>
      <c r="AH6533" s="60"/>
    </row>
    <row r="6534" spans="1:34" ht="15.75" customHeight="1">
      <c r="A6534" s="303"/>
      <c r="B6534" s="38"/>
      <c r="C6534" s="37"/>
      <c r="D6534" s="20"/>
      <c r="E6534" s="25"/>
      <c r="F6534" s="37"/>
      <c r="G6534" s="37"/>
      <c r="H6534" s="37"/>
      <c r="I6534" s="37"/>
      <c r="J6534" s="37"/>
      <c r="K6534" s="22"/>
      <c r="L6534" s="56"/>
      <c r="P6534" s="40"/>
      <c r="Q6534" s="61"/>
      <c r="R6534" s="61"/>
      <c r="S6534" s="40"/>
      <c r="T6534" s="38"/>
      <c r="U6534" s="38"/>
      <c r="V6534" s="38"/>
      <c r="W6534" s="60"/>
      <c r="AB6534" s="42"/>
      <c r="AC6534" s="35"/>
      <c r="AD6534" s="38"/>
      <c r="AE6534" s="38"/>
      <c r="AF6534" s="38"/>
      <c r="AG6534" s="38"/>
      <c r="AH6534" s="60"/>
    </row>
    <row r="6535" spans="1:34" ht="15.75" customHeight="1">
      <c r="A6535" s="303"/>
      <c r="B6535" s="38"/>
      <c r="C6535" s="37"/>
      <c r="D6535" s="20"/>
      <c r="E6535" s="25"/>
      <c r="F6535" s="37"/>
      <c r="G6535" s="37"/>
      <c r="H6535" s="37"/>
      <c r="I6535" s="37"/>
      <c r="J6535" s="37"/>
      <c r="K6535" s="22"/>
      <c r="L6535" s="56"/>
      <c r="P6535" s="40"/>
      <c r="Q6535" s="61"/>
      <c r="R6535" s="61"/>
      <c r="S6535" s="40"/>
      <c r="T6535" s="38"/>
      <c r="U6535" s="38"/>
      <c r="V6535" s="38"/>
      <c r="W6535" s="60"/>
      <c r="AB6535" s="42"/>
      <c r="AC6535" s="35"/>
      <c r="AD6535" s="38"/>
      <c r="AE6535" s="38"/>
      <c r="AF6535" s="38"/>
      <c r="AG6535" s="38"/>
      <c r="AH6535" s="60"/>
    </row>
    <row r="6536" spans="1:34" ht="15.75" customHeight="1">
      <c r="A6536" s="303"/>
      <c r="B6536" s="38"/>
      <c r="C6536" s="37"/>
      <c r="D6536" s="20"/>
      <c r="E6536" s="25"/>
      <c r="F6536" s="37"/>
      <c r="G6536" s="37"/>
      <c r="H6536" s="37"/>
      <c r="I6536" s="37"/>
      <c r="J6536" s="37"/>
      <c r="K6536" s="22"/>
      <c r="L6536" s="56"/>
      <c r="P6536" s="40"/>
      <c r="Q6536" s="61"/>
      <c r="R6536" s="61"/>
      <c r="S6536" s="40"/>
      <c r="T6536" s="38"/>
      <c r="U6536" s="38"/>
      <c r="V6536" s="38"/>
      <c r="W6536" s="60"/>
      <c r="AB6536" s="42"/>
      <c r="AC6536" s="35"/>
      <c r="AD6536" s="38"/>
      <c r="AE6536" s="38"/>
      <c r="AF6536" s="38"/>
      <c r="AG6536" s="38"/>
      <c r="AH6536" s="60"/>
    </row>
    <row r="6537" spans="1:34" ht="15.75" customHeight="1">
      <c r="A6537" s="303"/>
      <c r="B6537" s="38"/>
      <c r="C6537" s="37"/>
      <c r="D6537" s="20"/>
      <c r="E6537" s="25"/>
      <c r="F6537" s="37"/>
      <c r="G6537" s="37"/>
      <c r="H6537" s="37"/>
      <c r="I6537" s="37"/>
      <c r="J6537" s="37"/>
      <c r="K6537" s="22"/>
      <c r="L6537" s="56"/>
      <c r="P6537" s="40"/>
      <c r="Q6537" s="61"/>
      <c r="R6537" s="61"/>
      <c r="S6537" s="40"/>
      <c r="T6537" s="38"/>
      <c r="U6537" s="38"/>
      <c r="V6537" s="38"/>
      <c r="W6537" s="60"/>
      <c r="AB6537" s="42"/>
      <c r="AC6537" s="35"/>
      <c r="AD6537" s="38"/>
      <c r="AE6537" s="38"/>
      <c r="AF6537" s="38"/>
      <c r="AG6537" s="38"/>
      <c r="AH6537" s="60"/>
    </row>
    <row r="6538" spans="1:34" ht="15.75" customHeight="1">
      <c r="A6538" s="303"/>
      <c r="B6538" s="38"/>
      <c r="C6538" s="37"/>
      <c r="D6538" s="20"/>
      <c r="E6538" s="25"/>
      <c r="F6538" s="37"/>
      <c r="G6538" s="37"/>
      <c r="H6538" s="37"/>
      <c r="I6538" s="37"/>
      <c r="J6538" s="37"/>
      <c r="K6538" s="22"/>
      <c r="L6538" s="56"/>
      <c r="P6538" s="40"/>
      <c r="Q6538" s="61"/>
      <c r="R6538" s="61"/>
      <c r="S6538" s="40"/>
      <c r="T6538" s="38"/>
      <c r="U6538" s="38"/>
      <c r="V6538" s="38"/>
      <c r="W6538" s="60"/>
      <c r="AB6538" s="42"/>
      <c r="AC6538" s="35"/>
      <c r="AD6538" s="38"/>
      <c r="AE6538" s="38"/>
      <c r="AF6538" s="38"/>
      <c r="AG6538" s="38"/>
      <c r="AH6538" s="60"/>
    </row>
    <row r="6539" spans="1:34" ht="15.75" customHeight="1">
      <c r="A6539" s="303"/>
      <c r="B6539" s="38"/>
      <c r="C6539" s="37"/>
      <c r="D6539" s="20"/>
      <c r="E6539" s="25"/>
      <c r="F6539" s="37"/>
      <c r="G6539" s="37"/>
      <c r="H6539" s="37"/>
      <c r="I6539" s="37"/>
      <c r="J6539" s="37"/>
      <c r="K6539" s="22"/>
      <c r="L6539" s="56"/>
      <c r="P6539" s="40"/>
      <c r="Q6539" s="61"/>
      <c r="R6539" s="61"/>
      <c r="S6539" s="40"/>
      <c r="T6539" s="38"/>
      <c r="U6539" s="38"/>
      <c r="V6539" s="38"/>
      <c r="W6539" s="60"/>
      <c r="AB6539" s="42"/>
      <c r="AC6539" s="35"/>
      <c r="AD6539" s="38"/>
      <c r="AE6539" s="38"/>
      <c r="AF6539" s="38"/>
      <c r="AG6539" s="38"/>
      <c r="AH6539" s="60"/>
    </row>
    <row r="6540" spans="1:34" ht="15.75" customHeight="1">
      <c r="A6540" s="303"/>
      <c r="B6540" s="38"/>
      <c r="C6540" s="37"/>
      <c r="D6540" s="20"/>
      <c r="E6540" s="25"/>
      <c r="F6540" s="37"/>
      <c r="G6540" s="37"/>
      <c r="H6540" s="37"/>
      <c r="I6540" s="37"/>
      <c r="J6540" s="37"/>
      <c r="K6540" s="22"/>
      <c r="L6540" s="56"/>
      <c r="P6540" s="40"/>
      <c r="Q6540" s="61"/>
      <c r="R6540" s="61"/>
      <c r="S6540" s="40"/>
      <c r="T6540" s="38"/>
      <c r="U6540" s="38"/>
      <c r="V6540" s="38"/>
      <c r="W6540" s="60"/>
      <c r="AB6540" s="42"/>
      <c r="AC6540" s="35"/>
      <c r="AD6540" s="38"/>
      <c r="AE6540" s="38"/>
      <c r="AF6540" s="38"/>
      <c r="AG6540" s="38"/>
      <c r="AH6540" s="60"/>
    </row>
    <row r="6541" spans="1:34" ht="15.75" customHeight="1">
      <c r="A6541" s="303"/>
      <c r="B6541" s="38"/>
      <c r="C6541" s="37"/>
      <c r="D6541" s="20"/>
      <c r="E6541" s="25"/>
      <c r="F6541" s="37"/>
      <c r="G6541" s="37"/>
      <c r="H6541" s="37"/>
      <c r="I6541" s="37"/>
      <c r="J6541" s="37"/>
      <c r="K6541" s="22"/>
      <c r="L6541" s="56"/>
      <c r="P6541" s="40"/>
      <c r="Q6541" s="61"/>
      <c r="R6541" s="61"/>
      <c r="S6541" s="40"/>
      <c r="T6541" s="38"/>
      <c r="U6541" s="38"/>
      <c r="V6541" s="38"/>
      <c r="W6541" s="60"/>
      <c r="AB6541" s="42"/>
      <c r="AC6541" s="35"/>
      <c r="AD6541" s="38"/>
      <c r="AE6541" s="38"/>
      <c r="AF6541" s="38"/>
      <c r="AG6541" s="38"/>
      <c r="AH6541" s="60"/>
    </row>
    <row r="6542" spans="1:34" ht="15.75" customHeight="1">
      <c r="A6542" s="303"/>
      <c r="B6542" s="38"/>
      <c r="C6542" s="37"/>
      <c r="D6542" s="20"/>
      <c r="E6542" s="25"/>
      <c r="F6542" s="37"/>
      <c r="G6542" s="37"/>
      <c r="H6542" s="37"/>
      <c r="I6542" s="37"/>
      <c r="J6542" s="37"/>
      <c r="K6542" s="22"/>
      <c r="L6542" s="56"/>
      <c r="P6542" s="40"/>
      <c r="Q6542" s="61"/>
      <c r="R6542" s="61"/>
      <c r="S6542" s="40"/>
      <c r="T6542" s="38"/>
      <c r="U6542" s="38"/>
      <c r="V6542" s="38"/>
      <c r="W6542" s="60"/>
      <c r="AB6542" s="42"/>
      <c r="AC6542" s="35"/>
      <c r="AD6542" s="38"/>
      <c r="AE6542" s="38"/>
      <c r="AF6542" s="38"/>
      <c r="AG6542" s="38"/>
      <c r="AH6542" s="60"/>
    </row>
  </sheetData>
  <mergeCells count="4">
    <mergeCell ref="P1:P2"/>
    <mergeCell ref="Q1:Q2"/>
    <mergeCell ref="R1:R2"/>
    <mergeCell ref="S1:S2"/>
  </mergeCells>
  <hyperlinks>
    <hyperlink ref="B3" r:id="rId1" xr:uid="{00000000-0004-0000-0000-000000000000}"/>
    <hyperlink ref="R3" r:id="rId2" xr:uid="{00000000-0004-0000-0000-000001000000}"/>
    <hyperlink ref="A4" r:id="rId3" xr:uid="{00000000-0004-0000-0000-000002000000}"/>
    <hyperlink ref="B4" r:id="rId4" xr:uid="{00000000-0004-0000-0000-000003000000}"/>
    <hyperlink ref="R4" r:id="rId5" xr:uid="{00000000-0004-0000-0000-000004000000}"/>
    <hyperlink ref="B5" r:id="rId6" xr:uid="{00000000-0004-0000-0000-000005000000}"/>
    <hyperlink ref="B6" r:id="rId7" xr:uid="{00000000-0004-0000-0000-000006000000}"/>
    <hyperlink ref="B7" r:id="rId8" xr:uid="{00000000-0004-0000-0000-000007000000}"/>
    <hyperlink ref="B8" r:id="rId9" xr:uid="{00000000-0004-0000-0000-000008000000}"/>
    <hyperlink ref="B9" r:id="rId10" xr:uid="{00000000-0004-0000-0000-000009000000}"/>
    <hyperlink ref="B10" r:id="rId11" xr:uid="{00000000-0004-0000-0000-00000A000000}"/>
    <hyperlink ref="B11" r:id="rId12" xr:uid="{00000000-0004-0000-0000-00000B000000}"/>
    <hyperlink ref="B12" r:id="rId13" xr:uid="{00000000-0004-0000-0000-00000C000000}"/>
    <hyperlink ref="B13" r:id="rId14" xr:uid="{00000000-0004-0000-0000-00000D000000}"/>
    <hyperlink ref="B14" r:id="rId15" xr:uid="{00000000-0004-0000-0000-00000E000000}"/>
    <hyperlink ref="B15" r:id="rId16" xr:uid="{00000000-0004-0000-0000-00000F000000}"/>
    <hyperlink ref="B16" r:id="rId17" xr:uid="{00000000-0004-0000-0000-000010000000}"/>
    <hyperlink ref="B17" r:id="rId18" xr:uid="{00000000-0004-0000-0000-000011000000}"/>
    <hyperlink ref="B18" r:id="rId19" xr:uid="{00000000-0004-0000-0000-000012000000}"/>
    <hyperlink ref="B19" r:id="rId20" xr:uid="{00000000-0004-0000-0000-000013000000}"/>
    <hyperlink ref="B20" r:id="rId21" xr:uid="{00000000-0004-0000-0000-000014000000}"/>
    <hyperlink ref="B21" r:id="rId22" xr:uid="{00000000-0004-0000-0000-000015000000}"/>
    <hyperlink ref="B22" r:id="rId23" xr:uid="{00000000-0004-0000-0000-000016000000}"/>
    <hyperlink ref="B23" r:id="rId24" xr:uid="{00000000-0004-0000-0000-000017000000}"/>
    <hyperlink ref="B24" r:id="rId25" xr:uid="{00000000-0004-0000-0000-000018000000}"/>
    <hyperlink ref="B25" r:id="rId26" xr:uid="{00000000-0004-0000-0000-000019000000}"/>
    <hyperlink ref="B26" r:id="rId27" xr:uid="{00000000-0004-0000-0000-00001A000000}"/>
    <hyperlink ref="B27" r:id="rId28" xr:uid="{00000000-0004-0000-0000-00001B000000}"/>
    <hyperlink ref="B28" r:id="rId29" xr:uid="{00000000-0004-0000-0000-00001C000000}"/>
    <hyperlink ref="B29" r:id="rId30" xr:uid="{00000000-0004-0000-0000-00001D000000}"/>
    <hyperlink ref="B30" r:id="rId31" xr:uid="{00000000-0004-0000-0000-00001E000000}"/>
    <hyperlink ref="B31" r:id="rId32" xr:uid="{00000000-0004-0000-0000-00001F000000}"/>
    <hyperlink ref="B32" r:id="rId33" xr:uid="{00000000-0004-0000-0000-000020000000}"/>
    <hyperlink ref="B33" r:id="rId34" xr:uid="{00000000-0004-0000-0000-000021000000}"/>
    <hyperlink ref="B34" r:id="rId35" xr:uid="{00000000-0004-0000-0000-000022000000}"/>
    <hyperlink ref="B35" r:id="rId36" xr:uid="{00000000-0004-0000-0000-000023000000}"/>
    <hyperlink ref="B36" r:id="rId37" xr:uid="{00000000-0004-0000-0000-000024000000}"/>
    <hyperlink ref="B37" r:id="rId38" xr:uid="{00000000-0004-0000-0000-000025000000}"/>
    <hyperlink ref="B38" r:id="rId39" xr:uid="{00000000-0004-0000-0000-000026000000}"/>
    <hyperlink ref="B39" r:id="rId40" xr:uid="{00000000-0004-0000-0000-000027000000}"/>
    <hyperlink ref="B40" r:id="rId41" xr:uid="{00000000-0004-0000-0000-000028000000}"/>
    <hyperlink ref="B41" r:id="rId42" xr:uid="{00000000-0004-0000-0000-000029000000}"/>
    <hyperlink ref="B42" r:id="rId43" xr:uid="{00000000-0004-0000-0000-00002A000000}"/>
    <hyperlink ref="B43" r:id="rId44" xr:uid="{00000000-0004-0000-0000-00002B000000}"/>
    <hyperlink ref="B44" r:id="rId45" xr:uid="{00000000-0004-0000-0000-00002C000000}"/>
    <hyperlink ref="B45" r:id="rId46" xr:uid="{00000000-0004-0000-0000-00002D000000}"/>
    <hyperlink ref="B46" r:id="rId47" xr:uid="{00000000-0004-0000-0000-00002E000000}"/>
    <hyperlink ref="B47" r:id="rId48" xr:uid="{00000000-0004-0000-0000-00002F000000}"/>
    <hyperlink ref="B48" r:id="rId49" xr:uid="{00000000-0004-0000-0000-000030000000}"/>
    <hyperlink ref="B49" r:id="rId50" xr:uid="{00000000-0004-0000-0000-000031000000}"/>
    <hyperlink ref="B50" r:id="rId51" xr:uid="{00000000-0004-0000-0000-000032000000}"/>
    <hyperlink ref="B51" r:id="rId52" xr:uid="{00000000-0004-0000-0000-000033000000}"/>
    <hyperlink ref="B52" r:id="rId53" xr:uid="{00000000-0004-0000-0000-000034000000}"/>
    <hyperlink ref="B53" r:id="rId54" xr:uid="{00000000-0004-0000-0000-000035000000}"/>
    <hyperlink ref="B54" r:id="rId55" xr:uid="{00000000-0004-0000-0000-000036000000}"/>
    <hyperlink ref="B55" r:id="rId56" xr:uid="{00000000-0004-0000-0000-000037000000}"/>
    <hyperlink ref="B56" r:id="rId57" xr:uid="{00000000-0004-0000-0000-000038000000}"/>
    <hyperlink ref="B57" r:id="rId58" xr:uid="{00000000-0004-0000-0000-000039000000}"/>
    <hyperlink ref="B58" r:id="rId59" xr:uid="{00000000-0004-0000-0000-00003A000000}"/>
    <hyperlink ref="B59" r:id="rId60" xr:uid="{00000000-0004-0000-0000-00003B000000}"/>
    <hyperlink ref="B60" r:id="rId61" xr:uid="{00000000-0004-0000-0000-00003C000000}"/>
    <hyperlink ref="B61" r:id="rId62" xr:uid="{00000000-0004-0000-0000-00003D000000}"/>
    <hyperlink ref="B62" r:id="rId63" xr:uid="{00000000-0004-0000-0000-00003E000000}"/>
    <hyperlink ref="B63" r:id="rId64" xr:uid="{00000000-0004-0000-0000-00003F000000}"/>
    <hyperlink ref="B64" r:id="rId65" xr:uid="{00000000-0004-0000-0000-000040000000}"/>
    <hyperlink ref="B65" r:id="rId66" xr:uid="{00000000-0004-0000-0000-000041000000}"/>
    <hyperlink ref="B66" r:id="rId67" xr:uid="{00000000-0004-0000-0000-000042000000}"/>
    <hyperlink ref="B67" r:id="rId68" xr:uid="{00000000-0004-0000-0000-000043000000}"/>
    <hyperlink ref="B68" r:id="rId69" xr:uid="{00000000-0004-0000-0000-000044000000}"/>
    <hyperlink ref="B69" r:id="rId70" xr:uid="{00000000-0004-0000-0000-000045000000}"/>
    <hyperlink ref="B70" r:id="rId71" xr:uid="{00000000-0004-0000-0000-000046000000}"/>
    <hyperlink ref="B71" r:id="rId72" xr:uid="{00000000-0004-0000-0000-000047000000}"/>
    <hyperlink ref="B72" r:id="rId73" xr:uid="{00000000-0004-0000-0000-000048000000}"/>
    <hyperlink ref="B73" r:id="rId74" xr:uid="{00000000-0004-0000-0000-000049000000}"/>
    <hyperlink ref="B74" r:id="rId75" xr:uid="{00000000-0004-0000-0000-00004A000000}"/>
    <hyperlink ref="B75" r:id="rId76" xr:uid="{00000000-0004-0000-0000-00004B000000}"/>
    <hyperlink ref="B76" r:id="rId77" xr:uid="{00000000-0004-0000-0000-00004C000000}"/>
    <hyperlink ref="B77" r:id="rId78" xr:uid="{00000000-0004-0000-0000-00004D000000}"/>
    <hyperlink ref="B78" r:id="rId79" xr:uid="{00000000-0004-0000-0000-00004E000000}"/>
    <hyperlink ref="B79" r:id="rId80" xr:uid="{00000000-0004-0000-0000-00004F000000}"/>
    <hyperlink ref="B80" r:id="rId81" xr:uid="{00000000-0004-0000-0000-000050000000}"/>
    <hyperlink ref="B81" r:id="rId82" xr:uid="{00000000-0004-0000-0000-000051000000}"/>
    <hyperlink ref="B82" r:id="rId83" xr:uid="{00000000-0004-0000-0000-000052000000}"/>
    <hyperlink ref="B83" r:id="rId84" xr:uid="{00000000-0004-0000-0000-000053000000}"/>
    <hyperlink ref="B84" r:id="rId85" xr:uid="{00000000-0004-0000-0000-000054000000}"/>
    <hyperlink ref="B85" r:id="rId86" xr:uid="{00000000-0004-0000-0000-000055000000}"/>
    <hyperlink ref="B86" r:id="rId87" xr:uid="{00000000-0004-0000-0000-000056000000}"/>
    <hyperlink ref="B87" r:id="rId88" xr:uid="{00000000-0004-0000-0000-000057000000}"/>
    <hyperlink ref="B88" r:id="rId89" xr:uid="{00000000-0004-0000-0000-000058000000}"/>
    <hyperlink ref="B89" r:id="rId90" xr:uid="{00000000-0004-0000-0000-000059000000}"/>
    <hyperlink ref="B90" r:id="rId91" xr:uid="{00000000-0004-0000-0000-00005A000000}"/>
    <hyperlink ref="B91" r:id="rId92" xr:uid="{00000000-0004-0000-0000-00005B000000}"/>
    <hyperlink ref="B92" r:id="rId93" xr:uid="{00000000-0004-0000-0000-00005C000000}"/>
    <hyperlink ref="B93" r:id="rId94" xr:uid="{00000000-0004-0000-0000-00005D000000}"/>
    <hyperlink ref="B94" r:id="rId95" xr:uid="{00000000-0004-0000-0000-00005E000000}"/>
    <hyperlink ref="B95" r:id="rId96" xr:uid="{00000000-0004-0000-0000-00005F000000}"/>
    <hyperlink ref="B96" r:id="rId97" xr:uid="{00000000-0004-0000-0000-000060000000}"/>
    <hyperlink ref="B97" r:id="rId98" xr:uid="{00000000-0004-0000-0000-000061000000}"/>
    <hyperlink ref="B98" r:id="rId99" xr:uid="{00000000-0004-0000-0000-000062000000}"/>
    <hyperlink ref="B99" r:id="rId100" xr:uid="{00000000-0004-0000-0000-000063000000}"/>
    <hyperlink ref="B100" r:id="rId101" xr:uid="{00000000-0004-0000-0000-000064000000}"/>
    <hyperlink ref="B101" r:id="rId102" xr:uid="{00000000-0004-0000-0000-000065000000}"/>
    <hyperlink ref="B102" r:id="rId103" xr:uid="{00000000-0004-0000-0000-000066000000}"/>
    <hyperlink ref="B103" r:id="rId104" xr:uid="{00000000-0004-0000-0000-000067000000}"/>
    <hyperlink ref="B104" r:id="rId105" xr:uid="{00000000-0004-0000-0000-000068000000}"/>
    <hyperlink ref="B105" r:id="rId106" xr:uid="{00000000-0004-0000-0000-000069000000}"/>
    <hyperlink ref="B106" r:id="rId107" xr:uid="{00000000-0004-0000-0000-00006A000000}"/>
    <hyperlink ref="B107" r:id="rId108" xr:uid="{00000000-0004-0000-0000-00006B000000}"/>
    <hyperlink ref="B108" r:id="rId109" xr:uid="{00000000-0004-0000-0000-00006C000000}"/>
    <hyperlink ref="B109" r:id="rId110" xr:uid="{00000000-0004-0000-0000-00006D000000}"/>
    <hyperlink ref="B110" r:id="rId111" xr:uid="{00000000-0004-0000-0000-00006E000000}"/>
    <hyperlink ref="B111" r:id="rId112" xr:uid="{00000000-0004-0000-0000-00006F000000}"/>
    <hyperlink ref="B112" r:id="rId113" xr:uid="{00000000-0004-0000-0000-000070000000}"/>
    <hyperlink ref="B113" r:id="rId114" xr:uid="{00000000-0004-0000-0000-000071000000}"/>
    <hyperlink ref="B114" r:id="rId115" xr:uid="{00000000-0004-0000-0000-000072000000}"/>
    <hyperlink ref="B115" r:id="rId116" xr:uid="{00000000-0004-0000-0000-000073000000}"/>
    <hyperlink ref="B116" r:id="rId117" xr:uid="{00000000-0004-0000-0000-000074000000}"/>
    <hyperlink ref="B117" r:id="rId118" xr:uid="{00000000-0004-0000-0000-000075000000}"/>
    <hyperlink ref="B118" r:id="rId119" xr:uid="{00000000-0004-0000-0000-000076000000}"/>
    <hyperlink ref="B119" r:id="rId120" xr:uid="{00000000-0004-0000-0000-000077000000}"/>
    <hyperlink ref="B120" r:id="rId121" xr:uid="{00000000-0004-0000-0000-000078000000}"/>
    <hyperlink ref="B121" r:id="rId122" xr:uid="{00000000-0004-0000-0000-000079000000}"/>
    <hyperlink ref="B122" r:id="rId123" xr:uid="{00000000-0004-0000-0000-00007A000000}"/>
    <hyperlink ref="B123" r:id="rId124" xr:uid="{00000000-0004-0000-0000-00007B000000}"/>
    <hyperlink ref="B124" r:id="rId125" xr:uid="{00000000-0004-0000-0000-00007C000000}"/>
    <hyperlink ref="B125" r:id="rId126" xr:uid="{00000000-0004-0000-0000-00007D000000}"/>
    <hyperlink ref="B126" r:id="rId127" xr:uid="{00000000-0004-0000-0000-00007E000000}"/>
    <hyperlink ref="B127" r:id="rId128" xr:uid="{00000000-0004-0000-0000-00007F000000}"/>
    <hyperlink ref="B128" r:id="rId129" xr:uid="{00000000-0004-0000-0000-000080000000}"/>
    <hyperlink ref="B129" r:id="rId130" xr:uid="{00000000-0004-0000-0000-000081000000}"/>
    <hyperlink ref="B130" r:id="rId131" xr:uid="{00000000-0004-0000-0000-000082000000}"/>
    <hyperlink ref="B131" r:id="rId132" xr:uid="{00000000-0004-0000-0000-000083000000}"/>
    <hyperlink ref="B132" r:id="rId133" xr:uid="{00000000-0004-0000-0000-000084000000}"/>
    <hyperlink ref="B133" r:id="rId134" xr:uid="{00000000-0004-0000-0000-000085000000}"/>
    <hyperlink ref="B134" r:id="rId135" xr:uid="{00000000-0004-0000-0000-000086000000}"/>
    <hyperlink ref="B135" r:id="rId136" xr:uid="{00000000-0004-0000-0000-000087000000}"/>
    <hyperlink ref="B136" r:id="rId137" xr:uid="{00000000-0004-0000-0000-000088000000}"/>
    <hyperlink ref="B137" r:id="rId138" xr:uid="{00000000-0004-0000-0000-000089000000}"/>
    <hyperlink ref="B138" r:id="rId139" xr:uid="{00000000-0004-0000-0000-00008A000000}"/>
    <hyperlink ref="B140" r:id="rId140" xr:uid="{00000000-0004-0000-0000-00008B000000}"/>
    <hyperlink ref="A142" r:id="rId141" xr:uid="{00000000-0004-0000-0000-00008C000000}"/>
    <hyperlink ref="B142" r:id="rId142" xr:uid="{00000000-0004-0000-0000-00008D000000}"/>
    <hyperlink ref="B143" r:id="rId143" xr:uid="{00000000-0004-0000-0000-00008E000000}"/>
    <hyperlink ref="B144" r:id="rId144" xr:uid="{00000000-0004-0000-0000-00008F000000}"/>
    <hyperlink ref="B145" r:id="rId145" xr:uid="{00000000-0004-0000-0000-000090000000}"/>
    <hyperlink ref="B146" r:id="rId146" xr:uid="{00000000-0004-0000-0000-000091000000}"/>
    <hyperlink ref="B147" r:id="rId147" xr:uid="{00000000-0004-0000-0000-000092000000}"/>
    <hyperlink ref="B148" r:id="rId148" xr:uid="{00000000-0004-0000-0000-000093000000}"/>
    <hyperlink ref="B149"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2" r:id="rId160" xr:uid="{00000000-0004-0000-0000-00009F000000}"/>
    <hyperlink ref="B163" r:id="rId161" xr:uid="{00000000-0004-0000-0000-0000A0000000}"/>
    <hyperlink ref="B164" r:id="rId162" xr:uid="{00000000-0004-0000-0000-0000A1000000}"/>
    <hyperlink ref="B165" r:id="rId163" xr:uid="{00000000-0004-0000-0000-0000A2000000}"/>
    <hyperlink ref="B166" r:id="rId164" xr:uid="{00000000-0004-0000-0000-0000A3000000}"/>
    <hyperlink ref="B167" r:id="rId165" xr:uid="{00000000-0004-0000-0000-0000A4000000}"/>
    <hyperlink ref="B168" r:id="rId166" xr:uid="{00000000-0004-0000-0000-0000A5000000}"/>
    <hyperlink ref="B169" r:id="rId167" xr:uid="{00000000-0004-0000-0000-0000A6000000}"/>
    <hyperlink ref="B170" r:id="rId168" xr:uid="{00000000-0004-0000-0000-0000A7000000}"/>
    <hyperlink ref="B171" r:id="rId169" xr:uid="{00000000-0004-0000-0000-0000A8000000}"/>
    <hyperlink ref="B172" r:id="rId170" xr:uid="{00000000-0004-0000-0000-0000A9000000}"/>
    <hyperlink ref="B173" r:id="rId171" xr:uid="{00000000-0004-0000-0000-0000AA000000}"/>
    <hyperlink ref="B174" r:id="rId172" xr:uid="{00000000-0004-0000-0000-0000AB000000}"/>
    <hyperlink ref="B175" r:id="rId173" xr:uid="{00000000-0004-0000-0000-0000AC000000}"/>
    <hyperlink ref="B176" r:id="rId174" xr:uid="{00000000-0004-0000-0000-0000AD000000}"/>
    <hyperlink ref="B177" r:id="rId175" xr:uid="{00000000-0004-0000-0000-0000AE000000}"/>
    <hyperlink ref="B178" r:id="rId176" xr:uid="{00000000-0004-0000-0000-0000AF000000}"/>
    <hyperlink ref="B179" r:id="rId177" xr:uid="{00000000-0004-0000-0000-0000B0000000}"/>
    <hyperlink ref="B180" r:id="rId178" xr:uid="{00000000-0004-0000-0000-0000B1000000}"/>
    <hyperlink ref="B181" r:id="rId179" xr:uid="{00000000-0004-0000-0000-0000B2000000}"/>
    <hyperlink ref="B182" r:id="rId180" xr:uid="{00000000-0004-0000-0000-0000B3000000}"/>
    <hyperlink ref="B183" r:id="rId181" xr:uid="{00000000-0004-0000-0000-0000B4000000}"/>
    <hyperlink ref="B184" r:id="rId182" xr:uid="{00000000-0004-0000-0000-0000B5000000}"/>
    <hyperlink ref="B185" r:id="rId183" xr:uid="{00000000-0004-0000-0000-0000B6000000}"/>
    <hyperlink ref="B186" r:id="rId184" xr:uid="{00000000-0004-0000-0000-0000B7000000}"/>
    <hyperlink ref="B187" r:id="rId185" xr:uid="{00000000-0004-0000-0000-0000B8000000}"/>
    <hyperlink ref="B188" r:id="rId186" xr:uid="{00000000-0004-0000-0000-0000B9000000}"/>
    <hyperlink ref="B189" r:id="rId187" xr:uid="{00000000-0004-0000-0000-0000BA000000}"/>
    <hyperlink ref="B190" r:id="rId188" xr:uid="{00000000-0004-0000-0000-0000BB000000}"/>
    <hyperlink ref="B191" r:id="rId189" xr:uid="{00000000-0004-0000-0000-0000BC000000}"/>
    <hyperlink ref="B192" r:id="rId190" xr:uid="{00000000-0004-0000-0000-0000BD000000}"/>
    <hyperlink ref="B194" r:id="rId191" xr:uid="{00000000-0004-0000-0000-0000BE000000}"/>
    <hyperlink ref="A195" r:id="rId192" xr:uid="{00000000-0004-0000-0000-0000BF000000}"/>
    <hyperlink ref="B195" r:id="rId193" xr:uid="{00000000-0004-0000-0000-0000C0000000}"/>
    <hyperlink ref="B196" r:id="rId194" xr:uid="{00000000-0004-0000-0000-0000C1000000}"/>
    <hyperlink ref="B197" r:id="rId195" xr:uid="{00000000-0004-0000-0000-0000C2000000}"/>
    <hyperlink ref="B198" r:id="rId196" xr:uid="{00000000-0004-0000-0000-0000C3000000}"/>
    <hyperlink ref="B199" r:id="rId197" xr:uid="{00000000-0004-0000-0000-0000C4000000}"/>
    <hyperlink ref="B200" r:id="rId198" xr:uid="{00000000-0004-0000-0000-0000C5000000}"/>
    <hyperlink ref="B201" r:id="rId199" xr:uid="{00000000-0004-0000-0000-0000C6000000}"/>
    <hyperlink ref="B202" r:id="rId200" xr:uid="{00000000-0004-0000-0000-0000C7000000}"/>
    <hyperlink ref="B203" r:id="rId201" xr:uid="{00000000-0004-0000-0000-0000C8000000}"/>
    <hyperlink ref="B204" r:id="rId202" xr:uid="{00000000-0004-0000-0000-0000C9000000}"/>
    <hyperlink ref="B205" r:id="rId203" xr:uid="{00000000-0004-0000-0000-0000CA000000}"/>
    <hyperlink ref="B206" r:id="rId204" xr:uid="{00000000-0004-0000-0000-0000CB000000}"/>
    <hyperlink ref="B207" r:id="rId205" xr:uid="{00000000-0004-0000-0000-0000CC000000}"/>
    <hyperlink ref="B208" r:id="rId206" xr:uid="{00000000-0004-0000-0000-0000CD000000}"/>
    <hyperlink ref="B209" r:id="rId207" xr:uid="{00000000-0004-0000-0000-0000CE000000}"/>
    <hyperlink ref="B210" r:id="rId208" xr:uid="{00000000-0004-0000-0000-0000CF000000}"/>
    <hyperlink ref="B211" r:id="rId209" xr:uid="{00000000-0004-0000-0000-0000D0000000}"/>
    <hyperlink ref="B212" r:id="rId210" xr:uid="{00000000-0004-0000-0000-0000D1000000}"/>
    <hyperlink ref="B213" r:id="rId211" xr:uid="{00000000-0004-0000-0000-0000D2000000}"/>
    <hyperlink ref="B214" r:id="rId212" xr:uid="{00000000-0004-0000-0000-0000D3000000}"/>
    <hyperlink ref="B215" r:id="rId213" xr:uid="{00000000-0004-0000-0000-0000D4000000}"/>
    <hyperlink ref="B216" r:id="rId214" xr:uid="{00000000-0004-0000-0000-0000D5000000}"/>
    <hyperlink ref="B217" r:id="rId215" xr:uid="{00000000-0004-0000-0000-0000D6000000}"/>
    <hyperlink ref="B218" r:id="rId216" xr:uid="{00000000-0004-0000-0000-0000D7000000}"/>
    <hyperlink ref="B220" r:id="rId217" xr:uid="{00000000-0004-0000-0000-0000D8000000}"/>
    <hyperlink ref="A221" r:id="rId218" xr:uid="{00000000-0004-0000-0000-0000D9000000}"/>
    <hyperlink ref="B221" r:id="rId219" xr:uid="{00000000-0004-0000-0000-0000DA000000}"/>
    <hyperlink ref="B222" r:id="rId220" xr:uid="{00000000-0004-0000-0000-0000DB000000}"/>
    <hyperlink ref="B223" r:id="rId221" xr:uid="{00000000-0004-0000-0000-0000DC000000}"/>
    <hyperlink ref="B224" r:id="rId222" xr:uid="{00000000-0004-0000-0000-0000DD000000}"/>
    <hyperlink ref="B225" r:id="rId223" xr:uid="{00000000-0004-0000-0000-0000DE000000}"/>
    <hyperlink ref="B226" r:id="rId224" xr:uid="{00000000-0004-0000-0000-0000DF000000}"/>
    <hyperlink ref="B227" r:id="rId225" xr:uid="{00000000-0004-0000-0000-0000E0000000}"/>
    <hyperlink ref="B228" r:id="rId226" xr:uid="{00000000-0004-0000-0000-0000E1000000}"/>
    <hyperlink ref="B229" r:id="rId227" xr:uid="{00000000-0004-0000-0000-0000E2000000}"/>
    <hyperlink ref="B230" r:id="rId228" xr:uid="{00000000-0004-0000-0000-0000E3000000}"/>
    <hyperlink ref="B231" r:id="rId229" xr:uid="{00000000-0004-0000-0000-0000E4000000}"/>
    <hyperlink ref="B232" r:id="rId230" xr:uid="{00000000-0004-0000-0000-0000E5000000}"/>
    <hyperlink ref="B233" r:id="rId231" xr:uid="{00000000-0004-0000-0000-0000E6000000}"/>
    <hyperlink ref="B234" r:id="rId232" xr:uid="{00000000-0004-0000-0000-0000E7000000}"/>
    <hyperlink ref="B235" r:id="rId233" xr:uid="{00000000-0004-0000-0000-0000E8000000}"/>
    <hyperlink ref="B236" r:id="rId234" xr:uid="{00000000-0004-0000-0000-0000E9000000}"/>
    <hyperlink ref="B237" r:id="rId235" xr:uid="{00000000-0004-0000-0000-0000EA000000}"/>
    <hyperlink ref="B238" r:id="rId236" xr:uid="{00000000-0004-0000-0000-0000EB000000}"/>
    <hyperlink ref="B239" r:id="rId237" xr:uid="{00000000-0004-0000-0000-0000EC000000}"/>
    <hyperlink ref="B240" r:id="rId238" xr:uid="{00000000-0004-0000-0000-0000ED000000}"/>
    <hyperlink ref="B241" r:id="rId239" xr:uid="{00000000-0004-0000-0000-0000EE000000}"/>
    <hyperlink ref="B242" r:id="rId240" xr:uid="{00000000-0004-0000-0000-0000EF000000}"/>
    <hyperlink ref="B243" r:id="rId241" xr:uid="{00000000-0004-0000-0000-0000F0000000}"/>
    <hyperlink ref="B244" r:id="rId242" xr:uid="{00000000-0004-0000-0000-0000F1000000}"/>
    <hyperlink ref="B245" r:id="rId243" xr:uid="{00000000-0004-0000-0000-0000F2000000}"/>
    <hyperlink ref="B246" r:id="rId244" xr:uid="{00000000-0004-0000-0000-0000F3000000}"/>
    <hyperlink ref="B247" r:id="rId245" xr:uid="{00000000-0004-0000-0000-0000F4000000}"/>
    <hyperlink ref="B248" r:id="rId246" xr:uid="{00000000-0004-0000-0000-0000F5000000}"/>
    <hyperlink ref="B249" r:id="rId247" xr:uid="{00000000-0004-0000-0000-0000F6000000}"/>
    <hyperlink ref="B250" r:id="rId248" xr:uid="{00000000-0004-0000-0000-0000F7000000}"/>
    <hyperlink ref="B251" r:id="rId249" xr:uid="{00000000-0004-0000-0000-0000F8000000}"/>
    <hyperlink ref="B252" r:id="rId250" xr:uid="{00000000-0004-0000-0000-0000F9000000}"/>
    <hyperlink ref="B253" r:id="rId251" xr:uid="{00000000-0004-0000-0000-0000FA000000}"/>
    <hyperlink ref="B254" r:id="rId252" xr:uid="{00000000-0004-0000-0000-0000FB000000}"/>
    <hyperlink ref="B255" r:id="rId253" xr:uid="{00000000-0004-0000-0000-0000FC000000}"/>
    <hyperlink ref="B256" r:id="rId254" xr:uid="{00000000-0004-0000-0000-0000FD000000}"/>
    <hyperlink ref="B257" r:id="rId255" xr:uid="{00000000-0004-0000-0000-0000FE000000}"/>
    <hyperlink ref="B258" r:id="rId256" xr:uid="{00000000-0004-0000-0000-0000FF000000}"/>
    <hyperlink ref="B259" r:id="rId257" xr:uid="{00000000-0004-0000-0000-000000010000}"/>
    <hyperlink ref="B260" r:id="rId258" xr:uid="{00000000-0004-0000-0000-000001010000}"/>
    <hyperlink ref="B261" r:id="rId259" xr:uid="{00000000-0004-0000-0000-000002010000}"/>
    <hyperlink ref="B262" r:id="rId260" xr:uid="{00000000-0004-0000-0000-000003010000}"/>
    <hyperlink ref="B263" r:id="rId261" xr:uid="{00000000-0004-0000-0000-000004010000}"/>
    <hyperlink ref="B265" r:id="rId262" xr:uid="{00000000-0004-0000-0000-000005010000}"/>
    <hyperlink ref="A267" r:id="rId263" xr:uid="{00000000-0004-0000-0000-000006010000}"/>
    <hyperlink ref="B267" r:id="rId264" xr:uid="{00000000-0004-0000-0000-000007010000}"/>
    <hyperlink ref="B268" r:id="rId265" xr:uid="{00000000-0004-0000-0000-000008010000}"/>
    <hyperlink ref="B269" r:id="rId266" xr:uid="{00000000-0004-0000-0000-000009010000}"/>
    <hyperlink ref="B270" r:id="rId267" xr:uid="{00000000-0004-0000-0000-00000A010000}"/>
    <hyperlink ref="B271" r:id="rId268" xr:uid="{00000000-0004-0000-0000-00000B010000}"/>
    <hyperlink ref="B273" r:id="rId269" xr:uid="{00000000-0004-0000-0000-00000C010000}"/>
    <hyperlink ref="B274" r:id="rId270" xr:uid="{00000000-0004-0000-0000-00000D010000}"/>
    <hyperlink ref="B275" r:id="rId271" xr:uid="{00000000-0004-0000-0000-00000E010000}"/>
    <hyperlink ref="B276" r:id="rId272" xr:uid="{00000000-0004-0000-0000-00000F010000}"/>
    <hyperlink ref="B277" r:id="rId273" xr:uid="{00000000-0004-0000-0000-000010010000}"/>
    <hyperlink ref="B278" r:id="rId274" xr:uid="{00000000-0004-0000-0000-000011010000}"/>
    <hyperlink ref="B279" r:id="rId275" xr:uid="{00000000-0004-0000-0000-000012010000}"/>
    <hyperlink ref="B280" r:id="rId276" xr:uid="{00000000-0004-0000-0000-000013010000}"/>
    <hyperlink ref="B281" r:id="rId277" xr:uid="{00000000-0004-0000-0000-000014010000}"/>
    <hyperlink ref="B283" r:id="rId278" xr:uid="{00000000-0004-0000-0000-000015010000}"/>
    <hyperlink ref="B284" r:id="rId279" xr:uid="{00000000-0004-0000-0000-000016010000}"/>
    <hyperlink ref="B285" r:id="rId280" xr:uid="{00000000-0004-0000-0000-000017010000}"/>
    <hyperlink ref="B286" r:id="rId281" xr:uid="{00000000-0004-0000-0000-000018010000}"/>
    <hyperlink ref="B287" r:id="rId282" xr:uid="{00000000-0004-0000-0000-000019010000}"/>
    <hyperlink ref="B288" r:id="rId283" xr:uid="{00000000-0004-0000-0000-00001A010000}"/>
    <hyperlink ref="B289" r:id="rId284" xr:uid="{00000000-0004-0000-0000-00001B010000}"/>
    <hyperlink ref="B290" r:id="rId285" xr:uid="{00000000-0004-0000-0000-00001C010000}"/>
    <hyperlink ref="B291" r:id="rId286" xr:uid="{00000000-0004-0000-0000-00001D010000}"/>
    <hyperlink ref="B292" r:id="rId287" xr:uid="{00000000-0004-0000-0000-00001E010000}"/>
    <hyperlink ref="B293" r:id="rId288" xr:uid="{00000000-0004-0000-0000-00001F010000}"/>
    <hyperlink ref="B294" r:id="rId289" xr:uid="{00000000-0004-0000-0000-000020010000}"/>
    <hyperlink ref="B295" r:id="rId290" xr:uid="{00000000-0004-0000-0000-000021010000}"/>
    <hyperlink ref="B296" r:id="rId291" xr:uid="{00000000-0004-0000-0000-000022010000}"/>
    <hyperlink ref="B297" r:id="rId292" xr:uid="{00000000-0004-0000-0000-000023010000}"/>
    <hyperlink ref="B298" r:id="rId293" xr:uid="{00000000-0004-0000-0000-000024010000}"/>
    <hyperlink ref="B299" r:id="rId294" xr:uid="{00000000-0004-0000-0000-000025010000}"/>
    <hyperlink ref="B300" r:id="rId295" xr:uid="{00000000-0004-0000-0000-000026010000}"/>
    <hyperlink ref="B301" r:id="rId296" xr:uid="{00000000-0004-0000-0000-000027010000}"/>
    <hyperlink ref="B302" r:id="rId297" xr:uid="{00000000-0004-0000-0000-000028010000}"/>
    <hyperlink ref="B303" r:id="rId298" xr:uid="{00000000-0004-0000-0000-000029010000}"/>
    <hyperlink ref="B304" r:id="rId299" xr:uid="{00000000-0004-0000-0000-00002A010000}"/>
    <hyperlink ref="B305" r:id="rId300" xr:uid="{00000000-0004-0000-0000-00002B010000}"/>
    <hyperlink ref="B306" r:id="rId301" xr:uid="{00000000-0004-0000-0000-00002C010000}"/>
    <hyperlink ref="B307" r:id="rId302" xr:uid="{00000000-0004-0000-0000-00002D010000}"/>
    <hyperlink ref="B308" r:id="rId303" xr:uid="{00000000-0004-0000-0000-00002E010000}"/>
    <hyperlink ref="B309" r:id="rId304" xr:uid="{00000000-0004-0000-0000-00002F010000}"/>
    <hyperlink ref="B310" r:id="rId305" xr:uid="{00000000-0004-0000-0000-000030010000}"/>
    <hyperlink ref="B311" r:id="rId306" xr:uid="{00000000-0004-0000-0000-000031010000}"/>
    <hyperlink ref="B312" r:id="rId307" xr:uid="{00000000-0004-0000-0000-000032010000}"/>
    <hyperlink ref="B313" r:id="rId308" xr:uid="{00000000-0004-0000-0000-000033010000}"/>
    <hyperlink ref="B314" r:id="rId309" xr:uid="{00000000-0004-0000-0000-000034010000}"/>
    <hyperlink ref="B315" r:id="rId310" xr:uid="{00000000-0004-0000-0000-000035010000}"/>
    <hyperlink ref="B316" r:id="rId311" xr:uid="{00000000-0004-0000-0000-000036010000}"/>
    <hyperlink ref="B317" r:id="rId312" xr:uid="{00000000-0004-0000-0000-000037010000}"/>
    <hyperlink ref="B318" r:id="rId313" xr:uid="{00000000-0004-0000-0000-000038010000}"/>
    <hyperlink ref="B319" r:id="rId314" xr:uid="{00000000-0004-0000-0000-000039010000}"/>
    <hyperlink ref="B320" r:id="rId315" xr:uid="{00000000-0004-0000-0000-00003A010000}"/>
    <hyperlink ref="B321" r:id="rId316" xr:uid="{00000000-0004-0000-0000-00003B010000}"/>
    <hyperlink ref="B322" r:id="rId317" xr:uid="{00000000-0004-0000-0000-00003C010000}"/>
    <hyperlink ref="B323" r:id="rId318" xr:uid="{00000000-0004-0000-0000-00003D010000}"/>
    <hyperlink ref="B325" r:id="rId319" xr:uid="{00000000-0004-0000-0000-00003E010000}"/>
    <hyperlink ref="B326" r:id="rId320" xr:uid="{00000000-0004-0000-0000-00003F010000}"/>
    <hyperlink ref="B327" r:id="rId321" xr:uid="{00000000-0004-0000-0000-000040010000}"/>
    <hyperlink ref="B328" r:id="rId322" xr:uid="{00000000-0004-0000-0000-000041010000}"/>
    <hyperlink ref="B329" r:id="rId323" xr:uid="{00000000-0004-0000-0000-000042010000}"/>
    <hyperlink ref="B330" r:id="rId324" xr:uid="{00000000-0004-0000-0000-000043010000}"/>
    <hyperlink ref="B331" r:id="rId325" xr:uid="{00000000-0004-0000-0000-000044010000}"/>
    <hyperlink ref="B332" r:id="rId326" xr:uid="{00000000-0004-0000-0000-000045010000}"/>
    <hyperlink ref="B333" r:id="rId327" xr:uid="{00000000-0004-0000-0000-000046010000}"/>
    <hyperlink ref="B334" r:id="rId328" xr:uid="{00000000-0004-0000-0000-000047010000}"/>
    <hyperlink ref="B335" r:id="rId329" xr:uid="{00000000-0004-0000-0000-000048010000}"/>
    <hyperlink ref="B336" r:id="rId330" xr:uid="{00000000-0004-0000-0000-000049010000}"/>
    <hyperlink ref="B337" r:id="rId331" xr:uid="{00000000-0004-0000-0000-00004A010000}"/>
    <hyperlink ref="B338" r:id="rId332" xr:uid="{00000000-0004-0000-0000-00004B010000}"/>
    <hyperlink ref="B339" r:id="rId333" xr:uid="{00000000-0004-0000-0000-00004C010000}"/>
    <hyperlink ref="B340" r:id="rId334" xr:uid="{00000000-0004-0000-0000-00004D010000}"/>
    <hyperlink ref="B341" r:id="rId335" xr:uid="{00000000-0004-0000-0000-00004E010000}"/>
    <hyperlink ref="B342" r:id="rId336" xr:uid="{00000000-0004-0000-0000-00004F010000}"/>
    <hyperlink ref="B343" r:id="rId337" xr:uid="{00000000-0004-0000-0000-000050010000}"/>
    <hyperlink ref="B344" r:id="rId338" xr:uid="{00000000-0004-0000-0000-000051010000}"/>
    <hyperlink ref="B345" r:id="rId339" xr:uid="{00000000-0004-0000-0000-000052010000}"/>
    <hyperlink ref="B346" r:id="rId340" xr:uid="{00000000-0004-0000-0000-000053010000}"/>
    <hyperlink ref="B347" r:id="rId341" xr:uid="{00000000-0004-0000-0000-000054010000}"/>
    <hyperlink ref="B348" r:id="rId342" xr:uid="{00000000-0004-0000-0000-000055010000}"/>
    <hyperlink ref="B349" r:id="rId343" xr:uid="{00000000-0004-0000-0000-000056010000}"/>
    <hyperlink ref="B350" r:id="rId344" xr:uid="{00000000-0004-0000-0000-000057010000}"/>
    <hyperlink ref="B351" r:id="rId345" xr:uid="{00000000-0004-0000-0000-000058010000}"/>
    <hyperlink ref="B353" r:id="rId346" xr:uid="{00000000-0004-0000-0000-000059010000}"/>
    <hyperlink ref="B354" r:id="rId347" xr:uid="{00000000-0004-0000-0000-00005A010000}"/>
    <hyperlink ref="B355" r:id="rId348" xr:uid="{00000000-0004-0000-0000-00005B010000}"/>
    <hyperlink ref="B356" r:id="rId349" xr:uid="{00000000-0004-0000-0000-00005C010000}"/>
    <hyperlink ref="B357" r:id="rId350" xr:uid="{00000000-0004-0000-0000-00005D010000}"/>
    <hyperlink ref="B358" r:id="rId351" xr:uid="{00000000-0004-0000-0000-00005E010000}"/>
    <hyperlink ref="B359" r:id="rId352" xr:uid="{00000000-0004-0000-0000-00005F010000}"/>
    <hyperlink ref="B360" r:id="rId353" xr:uid="{00000000-0004-0000-0000-000060010000}"/>
    <hyperlink ref="B361" r:id="rId354" xr:uid="{00000000-0004-0000-0000-000061010000}"/>
    <hyperlink ref="B362" r:id="rId355" xr:uid="{00000000-0004-0000-0000-000062010000}"/>
    <hyperlink ref="B363" r:id="rId356" xr:uid="{00000000-0004-0000-0000-000063010000}"/>
    <hyperlink ref="B365" r:id="rId357" xr:uid="{00000000-0004-0000-0000-000064010000}"/>
    <hyperlink ref="B366" r:id="rId358" xr:uid="{00000000-0004-0000-0000-000065010000}"/>
    <hyperlink ref="B367" r:id="rId359" xr:uid="{00000000-0004-0000-0000-000066010000}"/>
    <hyperlink ref="B368" r:id="rId360" xr:uid="{00000000-0004-0000-0000-000067010000}"/>
    <hyperlink ref="B369" r:id="rId361" xr:uid="{00000000-0004-0000-0000-000068010000}"/>
    <hyperlink ref="B370" r:id="rId362" xr:uid="{00000000-0004-0000-0000-000069010000}"/>
    <hyperlink ref="B371" r:id="rId363" xr:uid="{00000000-0004-0000-0000-00006A010000}"/>
    <hyperlink ref="B372" r:id="rId364" xr:uid="{00000000-0004-0000-0000-00006B010000}"/>
    <hyperlink ref="B373" r:id="rId365" xr:uid="{00000000-0004-0000-0000-00006C010000}"/>
    <hyperlink ref="B375" r:id="rId366" xr:uid="{00000000-0004-0000-0000-00006D010000}"/>
    <hyperlink ref="A376" r:id="rId367" xr:uid="{00000000-0004-0000-0000-00006E010000}"/>
    <hyperlink ref="B376" r:id="rId368" xr:uid="{00000000-0004-0000-0000-00006F010000}"/>
    <hyperlink ref="B377" r:id="rId369" xr:uid="{00000000-0004-0000-0000-000070010000}"/>
    <hyperlink ref="B379" r:id="rId370" xr:uid="{00000000-0004-0000-0000-000071010000}"/>
    <hyperlink ref="B380" r:id="rId371" xr:uid="{00000000-0004-0000-0000-000072010000}"/>
    <hyperlink ref="B381" r:id="rId372" xr:uid="{00000000-0004-0000-0000-000073010000}"/>
    <hyperlink ref="B382" r:id="rId373" xr:uid="{00000000-0004-0000-0000-000074010000}"/>
    <hyperlink ref="B383" r:id="rId374" xr:uid="{00000000-0004-0000-0000-000075010000}"/>
    <hyperlink ref="B384" r:id="rId375" xr:uid="{00000000-0004-0000-0000-000076010000}"/>
    <hyperlink ref="B385" r:id="rId376" xr:uid="{00000000-0004-0000-0000-000077010000}"/>
    <hyperlink ref="B386" r:id="rId377" xr:uid="{00000000-0004-0000-0000-000078010000}"/>
    <hyperlink ref="B387" r:id="rId378" xr:uid="{00000000-0004-0000-0000-000079010000}"/>
    <hyperlink ref="B388" r:id="rId379" xr:uid="{00000000-0004-0000-0000-00007A010000}"/>
    <hyperlink ref="B389" r:id="rId380" xr:uid="{00000000-0004-0000-0000-00007B010000}"/>
    <hyperlink ref="B390" r:id="rId381" xr:uid="{00000000-0004-0000-0000-00007C010000}"/>
    <hyperlink ref="B391" r:id="rId382" xr:uid="{00000000-0004-0000-0000-00007D010000}"/>
    <hyperlink ref="B392" r:id="rId383" xr:uid="{00000000-0004-0000-0000-00007E010000}"/>
    <hyperlink ref="B393" r:id="rId384" xr:uid="{00000000-0004-0000-0000-00007F010000}"/>
    <hyperlink ref="B394" r:id="rId385" xr:uid="{00000000-0004-0000-0000-000080010000}"/>
    <hyperlink ref="B395" r:id="rId386" xr:uid="{00000000-0004-0000-0000-000081010000}"/>
    <hyperlink ref="B396" r:id="rId387" xr:uid="{00000000-0004-0000-0000-000082010000}"/>
    <hyperlink ref="B397" r:id="rId388" xr:uid="{00000000-0004-0000-0000-000083010000}"/>
    <hyperlink ref="B398" r:id="rId389" xr:uid="{00000000-0004-0000-0000-000084010000}"/>
    <hyperlink ref="B400" r:id="rId390" xr:uid="{00000000-0004-0000-0000-000085010000}"/>
    <hyperlink ref="B401" r:id="rId391" xr:uid="{00000000-0004-0000-0000-000086010000}"/>
    <hyperlink ref="B402" r:id="rId392" xr:uid="{00000000-0004-0000-0000-000087010000}"/>
    <hyperlink ref="B403" r:id="rId393" xr:uid="{00000000-0004-0000-0000-000088010000}"/>
    <hyperlink ref="B404" r:id="rId394" xr:uid="{00000000-0004-0000-0000-000089010000}"/>
    <hyperlink ref="B405" r:id="rId395" xr:uid="{00000000-0004-0000-0000-00008A010000}"/>
    <hyperlink ref="B406" r:id="rId396" xr:uid="{00000000-0004-0000-0000-00008B010000}"/>
    <hyperlink ref="B407" r:id="rId397" xr:uid="{00000000-0004-0000-0000-00008C010000}"/>
    <hyperlink ref="B408" r:id="rId398" xr:uid="{00000000-0004-0000-0000-00008D010000}"/>
    <hyperlink ref="B409" r:id="rId399" xr:uid="{00000000-0004-0000-0000-00008E010000}"/>
    <hyperlink ref="B410" r:id="rId400" xr:uid="{00000000-0004-0000-0000-00008F010000}"/>
    <hyperlink ref="B411" r:id="rId401" xr:uid="{00000000-0004-0000-0000-000090010000}"/>
    <hyperlink ref="B412" r:id="rId402" xr:uid="{00000000-0004-0000-0000-000091010000}"/>
    <hyperlink ref="B413" r:id="rId403" xr:uid="{00000000-0004-0000-0000-000092010000}"/>
    <hyperlink ref="B414" r:id="rId404" xr:uid="{00000000-0004-0000-0000-000093010000}"/>
    <hyperlink ref="B415" r:id="rId405" xr:uid="{00000000-0004-0000-0000-000094010000}"/>
    <hyperlink ref="B416" r:id="rId406" xr:uid="{00000000-0004-0000-0000-000095010000}"/>
    <hyperlink ref="B417" r:id="rId407" xr:uid="{00000000-0004-0000-0000-000096010000}"/>
    <hyperlink ref="B418" r:id="rId408" xr:uid="{00000000-0004-0000-0000-000097010000}"/>
    <hyperlink ref="B419" r:id="rId409" xr:uid="{00000000-0004-0000-0000-000098010000}"/>
    <hyperlink ref="B420" r:id="rId410" xr:uid="{00000000-0004-0000-0000-000099010000}"/>
    <hyperlink ref="B421" r:id="rId411" xr:uid="{00000000-0004-0000-0000-00009A010000}"/>
    <hyperlink ref="B422" r:id="rId412" xr:uid="{00000000-0004-0000-0000-00009B010000}"/>
    <hyperlink ref="B423" r:id="rId413" xr:uid="{00000000-0004-0000-0000-00009C010000}"/>
    <hyperlink ref="B424" r:id="rId414" xr:uid="{00000000-0004-0000-0000-00009D010000}"/>
    <hyperlink ref="B425" r:id="rId415" xr:uid="{00000000-0004-0000-0000-00009E010000}"/>
    <hyperlink ref="B426" r:id="rId416" xr:uid="{00000000-0004-0000-0000-00009F010000}"/>
    <hyperlink ref="B427" r:id="rId417" xr:uid="{00000000-0004-0000-0000-0000A0010000}"/>
    <hyperlink ref="B428" r:id="rId418" xr:uid="{00000000-0004-0000-0000-0000A1010000}"/>
    <hyperlink ref="B429" r:id="rId419" xr:uid="{00000000-0004-0000-0000-0000A2010000}"/>
    <hyperlink ref="B430" r:id="rId420" xr:uid="{00000000-0004-0000-0000-0000A3010000}"/>
    <hyperlink ref="B431" r:id="rId421" xr:uid="{00000000-0004-0000-0000-0000A4010000}"/>
    <hyperlink ref="B432" r:id="rId422" xr:uid="{00000000-0004-0000-0000-0000A5010000}"/>
    <hyperlink ref="B433" r:id="rId423" xr:uid="{00000000-0004-0000-0000-0000A6010000}"/>
    <hyperlink ref="B434" r:id="rId424" xr:uid="{00000000-0004-0000-0000-0000A7010000}"/>
    <hyperlink ref="B435" r:id="rId425" xr:uid="{00000000-0004-0000-0000-0000A8010000}"/>
    <hyperlink ref="B436" r:id="rId426" xr:uid="{00000000-0004-0000-0000-0000A9010000}"/>
    <hyperlink ref="B437" r:id="rId427" xr:uid="{00000000-0004-0000-0000-0000AA010000}"/>
    <hyperlink ref="B438" r:id="rId428" xr:uid="{00000000-0004-0000-0000-0000AB010000}"/>
    <hyperlink ref="B439" r:id="rId429" xr:uid="{00000000-0004-0000-0000-0000AC010000}"/>
    <hyperlink ref="B440" r:id="rId430" xr:uid="{00000000-0004-0000-0000-0000AD010000}"/>
    <hyperlink ref="B441" r:id="rId431" xr:uid="{00000000-0004-0000-0000-0000AE010000}"/>
    <hyperlink ref="B442" r:id="rId432" xr:uid="{00000000-0004-0000-0000-0000AF010000}"/>
    <hyperlink ref="B443" r:id="rId433" xr:uid="{00000000-0004-0000-0000-0000B0010000}"/>
    <hyperlink ref="B444" r:id="rId434" xr:uid="{00000000-0004-0000-0000-0000B1010000}"/>
    <hyperlink ref="B447" r:id="rId435" xr:uid="{00000000-0004-0000-0000-0000B2010000}"/>
    <hyperlink ref="B449" r:id="rId436" xr:uid="{00000000-0004-0000-0000-0000B3010000}"/>
    <hyperlink ref="A450" r:id="rId437" xr:uid="{00000000-0004-0000-0000-0000B4010000}"/>
    <hyperlink ref="B450" r:id="rId438" xr:uid="{00000000-0004-0000-0000-0000B5010000}"/>
    <hyperlink ref="B451" r:id="rId439" xr:uid="{00000000-0004-0000-0000-0000B6010000}"/>
    <hyperlink ref="B452" r:id="rId440" xr:uid="{00000000-0004-0000-0000-0000B7010000}"/>
    <hyperlink ref="B453" r:id="rId441" xr:uid="{00000000-0004-0000-0000-0000B8010000}"/>
    <hyperlink ref="B454" r:id="rId442" xr:uid="{00000000-0004-0000-0000-0000B9010000}"/>
    <hyperlink ref="B455" r:id="rId443" xr:uid="{00000000-0004-0000-0000-0000BA010000}"/>
    <hyperlink ref="B456" r:id="rId444" xr:uid="{00000000-0004-0000-0000-0000BB010000}"/>
    <hyperlink ref="B457" r:id="rId445" xr:uid="{00000000-0004-0000-0000-0000BC010000}"/>
    <hyperlink ref="B458" r:id="rId446" xr:uid="{00000000-0004-0000-0000-0000BD010000}"/>
    <hyperlink ref="B459" r:id="rId447" xr:uid="{00000000-0004-0000-0000-0000BE010000}"/>
    <hyperlink ref="B460" r:id="rId448" xr:uid="{00000000-0004-0000-0000-0000BF010000}"/>
    <hyperlink ref="B461" r:id="rId449" xr:uid="{00000000-0004-0000-0000-0000C0010000}"/>
    <hyperlink ref="B462" r:id="rId450" xr:uid="{00000000-0004-0000-0000-0000C1010000}"/>
    <hyperlink ref="B463" r:id="rId451" xr:uid="{00000000-0004-0000-0000-0000C2010000}"/>
    <hyperlink ref="B466" r:id="rId452" xr:uid="{00000000-0004-0000-0000-0000C3010000}"/>
    <hyperlink ref="B467" r:id="rId453" xr:uid="{00000000-0004-0000-0000-0000C4010000}"/>
    <hyperlink ref="B468" r:id="rId454" xr:uid="{00000000-0004-0000-0000-0000C5010000}"/>
    <hyperlink ref="B469" r:id="rId455" xr:uid="{00000000-0004-0000-0000-0000C6010000}"/>
    <hyperlink ref="B470" r:id="rId456" xr:uid="{00000000-0004-0000-0000-0000C7010000}"/>
    <hyperlink ref="B471" r:id="rId457" xr:uid="{00000000-0004-0000-0000-0000C8010000}"/>
    <hyperlink ref="B472" r:id="rId458" xr:uid="{00000000-0004-0000-0000-0000C9010000}"/>
    <hyperlink ref="B473" r:id="rId459" xr:uid="{00000000-0004-0000-0000-0000CA010000}"/>
    <hyperlink ref="B474" r:id="rId460" xr:uid="{00000000-0004-0000-0000-0000CB010000}"/>
    <hyperlink ref="B475" r:id="rId461" xr:uid="{00000000-0004-0000-0000-0000CC010000}"/>
    <hyperlink ref="B476" r:id="rId462" xr:uid="{00000000-0004-0000-0000-0000CD010000}"/>
    <hyperlink ref="B477" r:id="rId463" xr:uid="{00000000-0004-0000-0000-0000CE010000}"/>
    <hyperlink ref="B478" r:id="rId464" xr:uid="{00000000-0004-0000-0000-0000CF010000}"/>
    <hyperlink ref="B479" r:id="rId465" xr:uid="{00000000-0004-0000-0000-0000D0010000}"/>
    <hyperlink ref="B480" r:id="rId466" xr:uid="{00000000-0004-0000-0000-0000D1010000}"/>
    <hyperlink ref="B481" r:id="rId467" xr:uid="{00000000-0004-0000-0000-0000D2010000}"/>
    <hyperlink ref="B482" r:id="rId468" xr:uid="{00000000-0004-0000-0000-0000D3010000}"/>
    <hyperlink ref="B483" r:id="rId469" xr:uid="{00000000-0004-0000-0000-0000D4010000}"/>
    <hyperlink ref="B484" r:id="rId470" xr:uid="{00000000-0004-0000-0000-0000D5010000}"/>
    <hyperlink ref="B485" r:id="rId471" xr:uid="{00000000-0004-0000-0000-0000D6010000}"/>
    <hyperlink ref="B486" r:id="rId472" xr:uid="{00000000-0004-0000-0000-0000D7010000}"/>
    <hyperlink ref="B487" r:id="rId473" xr:uid="{00000000-0004-0000-0000-0000D8010000}"/>
    <hyperlink ref="B488" r:id="rId474" xr:uid="{00000000-0004-0000-0000-0000D9010000}"/>
    <hyperlink ref="B489" r:id="rId475" xr:uid="{00000000-0004-0000-0000-0000DA010000}"/>
    <hyperlink ref="B490" r:id="rId476" xr:uid="{00000000-0004-0000-0000-0000DB010000}"/>
    <hyperlink ref="B491" r:id="rId477" xr:uid="{00000000-0004-0000-0000-0000DC010000}"/>
    <hyperlink ref="B492" r:id="rId478" xr:uid="{00000000-0004-0000-0000-0000DD010000}"/>
    <hyperlink ref="B493" r:id="rId479" xr:uid="{00000000-0004-0000-0000-0000DE010000}"/>
    <hyperlink ref="B495" r:id="rId480" xr:uid="{00000000-0004-0000-0000-0000DF010000}"/>
    <hyperlink ref="B496" r:id="rId481" xr:uid="{00000000-0004-0000-0000-0000E0010000}"/>
    <hyperlink ref="B497" r:id="rId482" xr:uid="{00000000-0004-0000-0000-0000E1010000}"/>
    <hyperlink ref="B498" r:id="rId483" xr:uid="{00000000-0004-0000-0000-0000E2010000}"/>
    <hyperlink ref="B499" r:id="rId484" xr:uid="{00000000-0004-0000-0000-0000E3010000}"/>
    <hyperlink ref="B500" r:id="rId485" xr:uid="{00000000-0004-0000-0000-0000E4010000}"/>
    <hyperlink ref="B501" r:id="rId486" xr:uid="{00000000-0004-0000-0000-0000E5010000}"/>
    <hyperlink ref="B502" r:id="rId487" xr:uid="{00000000-0004-0000-0000-0000E6010000}"/>
    <hyperlink ref="B503" r:id="rId488" xr:uid="{00000000-0004-0000-0000-0000E7010000}"/>
    <hyperlink ref="B504" r:id="rId489" xr:uid="{00000000-0004-0000-0000-0000E8010000}"/>
    <hyperlink ref="B505" r:id="rId490" xr:uid="{00000000-0004-0000-0000-0000E9010000}"/>
    <hyperlink ref="B506" r:id="rId491" xr:uid="{00000000-0004-0000-0000-0000EA010000}"/>
    <hyperlink ref="B507" r:id="rId492" xr:uid="{00000000-0004-0000-0000-0000EB010000}"/>
    <hyperlink ref="B508" r:id="rId493" xr:uid="{00000000-0004-0000-0000-0000EC010000}"/>
    <hyperlink ref="B509" r:id="rId494" xr:uid="{00000000-0004-0000-0000-0000ED010000}"/>
    <hyperlink ref="B510" r:id="rId495" xr:uid="{00000000-0004-0000-0000-0000EE010000}"/>
    <hyperlink ref="B511" r:id="rId496" xr:uid="{00000000-0004-0000-0000-0000EF010000}"/>
    <hyperlink ref="B512" r:id="rId497" xr:uid="{00000000-0004-0000-0000-0000F0010000}"/>
    <hyperlink ref="B513" r:id="rId498" xr:uid="{00000000-0004-0000-0000-0000F1010000}"/>
    <hyperlink ref="B514" r:id="rId499" xr:uid="{00000000-0004-0000-0000-0000F2010000}"/>
    <hyperlink ref="B515" r:id="rId500" xr:uid="{00000000-0004-0000-0000-0000F3010000}"/>
    <hyperlink ref="B517" r:id="rId501" xr:uid="{00000000-0004-0000-0000-0000F4010000}"/>
    <hyperlink ref="B520" r:id="rId502" xr:uid="{00000000-0004-0000-0000-0000F5010000}"/>
    <hyperlink ref="B521" r:id="rId503" xr:uid="{00000000-0004-0000-0000-0000F6010000}"/>
    <hyperlink ref="B522" r:id="rId504" xr:uid="{00000000-0004-0000-0000-0000F7010000}"/>
    <hyperlink ref="B523" r:id="rId505" xr:uid="{00000000-0004-0000-0000-0000F8010000}"/>
    <hyperlink ref="B524" r:id="rId506" xr:uid="{00000000-0004-0000-0000-0000F9010000}"/>
    <hyperlink ref="B525" r:id="rId507" xr:uid="{00000000-0004-0000-0000-0000FA010000}"/>
    <hyperlink ref="B526" r:id="rId508" xr:uid="{00000000-0004-0000-0000-0000FB010000}"/>
    <hyperlink ref="B527" r:id="rId509" xr:uid="{00000000-0004-0000-0000-0000FC010000}"/>
    <hyperlink ref="B528" r:id="rId510" xr:uid="{00000000-0004-0000-0000-0000FD010000}"/>
    <hyperlink ref="B529" r:id="rId511" xr:uid="{00000000-0004-0000-0000-0000FE010000}"/>
    <hyperlink ref="B531" r:id="rId512" xr:uid="{00000000-0004-0000-0000-0000FF010000}"/>
    <hyperlink ref="B532" r:id="rId513" xr:uid="{00000000-0004-0000-0000-000000020000}"/>
    <hyperlink ref="B533" r:id="rId514" xr:uid="{00000000-0004-0000-0000-000001020000}"/>
    <hyperlink ref="B534" r:id="rId515" xr:uid="{00000000-0004-0000-0000-000002020000}"/>
    <hyperlink ref="B535" r:id="rId516" xr:uid="{00000000-0004-0000-0000-000003020000}"/>
    <hyperlink ref="B536" r:id="rId517" xr:uid="{00000000-0004-0000-0000-000004020000}"/>
    <hyperlink ref="B537" r:id="rId518" xr:uid="{00000000-0004-0000-0000-000005020000}"/>
    <hyperlink ref="B538" r:id="rId519" xr:uid="{00000000-0004-0000-0000-000006020000}"/>
    <hyperlink ref="B539" r:id="rId520" xr:uid="{00000000-0004-0000-0000-000007020000}"/>
    <hyperlink ref="B541" r:id="rId521" xr:uid="{00000000-0004-0000-0000-000008020000}"/>
    <hyperlink ref="B543" r:id="rId522" xr:uid="{00000000-0004-0000-0000-000009020000}"/>
    <hyperlink ref="B544" r:id="rId523" xr:uid="{00000000-0004-0000-0000-00000A020000}"/>
    <hyperlink ref="B545" r:id="rId524" xr:uid="{00000000-0004-0000-0000-00000B020000}"/>
    <hyperlink ref="B546" r:id="rId525" xr:uid="{00000000-0004-0000-0000-00000C020000}"/>
    <hyperlink ref="B547" r:id="rId526" xr:uid="{00000000-0004-0000-0000-00000D020000}"/>
    <hyperlink ref="B549" r:id="rId527" xr:uid="{00000000-0004-0000-0000-00000E020000}"/>
    <hyperlink ref="B550" r:id="rId528" xr:uid="{00000000-0004-0000-0000-00000F020000}"/>
    <hyperlink ref="B551" r:id="rId529" xr:uid="{00000000-0004-0000-0000-000010020000}"/>
    <hyperlink ref="B552" r:id="rId530" xr:uid="{00000000-0004-0000-0000-000011020000}"/>
    <hyperlink ref="B554" r:id="rId531" xr:uid="{00000000-0004-0000-0000-000012020000}"/>
    <hyperlink ref="B555" r:id="rId532" xr:uid="{00000000-0004-0000-0000-000013020000}"/>
    <hyperlink ref="B556" r:id="rId533" xr:uid="{00000000-0004-0000-0000-000014020000}"/>
    <hyperlink ref="B557" r:id="rId534" xr:uid="{00000000-0004-0000-0000-000015020000}"/>
    <hyperlink ref="B558" r:id="rId535" xr:uid="{00000000-0004-0000-0000-000016020000}"/>
    <hyperlink ref="B559" r:id="rId536" xr:uid="{00000000-0004-0000-0000-000017020000}"/>
    <hyperlink ref="B560" r:id="rId537" xr:uid="{00000000-0004-0000-0000-000018020000}"/>
    <hyperlink ref="B562" r:id="rId538" xr:uid="{00000000-0004-0000-0000-000019020000}"/>
    <hyperlink ref="A563" r:id="rId539" xr:uid="{00000000-0004-0000-0000-00001A020000}"/>
    <hyperlink ref="B563" r:id="rId540" xr:uid="{00000000-0004-0000-0000-00001B020000}"/>
    <hyperlink ref="B564" r:id="rId541" xr:uid="{00000000-0004-0000-0000-00001C020000}"/>
    <hyperlink ref="B565" r:id="rId542" xr:uid="{00000000-0004-0000-0000-00001D020000}"/>
    <hyperlink ref="B567" r:id="rId543" xr:uid="{00000000-0004-0000-0000-00001E020000}"/>
    <hyperlink ref="B568" r:id="rId544" xr:uid="{00000000-0004-0000-0000-00001F020000}"/>
    <hyperlink ref="B569" r:id="rId545" xr:uid="{00000000-0004-0000-0000-000020020000}"/>
    <hyperlink ref="B570" r:id="rId546" xr:uid="{00000000-0004-0000-0000-000021020000}"/>
    <hyperlink ref="B571" r:id="rId547" xr:uid="{00000000-0004-0000-0000-000022020000}"/>
    <hyperlink ref="B572" r:id="rId548" xr:uid="{00000000-0004-0000-0000-000023020000}"/>
    <hyperlink ref="B573" r:id="rId549" xr:uid="{00000000-0004-0000-0000-000024020000}"/>
    <hyperlink ref="B574" r:id="rId550" xr:uid="{00000000-0004-0000-0000-000025020000}"/>
    <hyperlink ref="B575" r:id="rId551" xr:uid="{00000000-0004-0000-0000-000026020000}"/>
    <hyperlink ref="B576" r:id="rId552" xr:uid="{00000000-0004-0000-0000-000027020000}"/>
    <hyperlink ref="B578" r:id="rId553" xr:uid="{00000000-0004-0000-0000-000028020000}"/>
    <hyperlink ref="B579" r:id="rId554" xr:uid="{00000000-0004-0000-0000-000029020000}"/>
    <hyperlink ref="B580" r:id="rId555" xr:uid="{00000000-0004-0000-0000-00002A020000}"/>
    <hyperlink ref="B581" r:id="rId556" xr:uid="{00000000-0004-0000-0000-00002B020000}"/>
    <hyperlink ref="B582" r:id="rId557" xr:uid="{00000000-0004-0000-0000-00002C020000}"/>
    <hyperlink ref="B583" r:id="rId558" xr:uid="{00000000-0004-0000-0000-00002D020000}"/>
    <hyperlink ref="B584" r:id="rId559" xr:uid="{00000000-0004-0000-0000-00002E020000}"/>
    <hyperlink ref="B585" r:id="rId560" xr:uid="{00000000-0004-0000-0000-00002F020000}"/>
    <hyperlink ref="B586" r:id="rId561" xr:uid="{00000000-0004-0000-0000-000030020000}"/>
    <hyperlink ref="B587" r:id="rId562" xr:uid="{00000000-0004-0000-0000-000031020000}"/>
    <hyperlink ref="B588" r:id="rId563" xr:uid="{00000000-0004-0000-0000-000032020000}"/>
    <hyperlink ref="B589" r:id="rId564" xr:uid="{00000000-0004-0000-0000-000033020000}"/>
    <hyperlink ref="B591" r:id="rId565" xr:uid="{00000000-0004-0000-0000-000034020000}"/>
    <hyperlink ref="B592" r:id="rId566" xr:uid="{00000000-0004-0000-0000-000035020000}"/>
    <hyperlink ref="B593" r:id="rId567" xr:uid="{00000000-0004-0000-0000-000036020000}"/>
    <hyperlink ref="B594" r:id="rId568" xr:uid="{00000000-0004-0000-0000-000037020000}"/>
    <hyperlink ref="B595" r:id="rId569" xr:uid="{00000000-0004-0000-0000-000038020000}"/>
    <hyperlink ref="B596" r:id="rId570" xr:uid="{00000000-0004-0000-0000-000039020000}"/>
    <hyperlink ref="B597" r:id="rId571" xr:uid="{00000000-0004-0000-0000-00003A020000}"/>
    <hyperlink ref="B598" r:id="rId572" xr:uid="{00000000-0004-0000-0000-00003B020000}"/>
    <hyperlink ref="B599" r:id="rId573" xr:uid="{00000000-0004-0000-0000-00003C020000}"/>
    <hyperlink ref="B601" r:id="rId574" xr:uid="{00000000-0004-0000-0000-00003D020000}"/>
    <hyperlink ref="B602" r:id="rId575" xr:uid="{00000000-0004-0000-0000-00003E020000}"/>
    <hyperlink ref="B603" r:id="rId576" xr:uid="{00000000-0004-0000-0000-00003F020000}"/>
    <hyperlink ref="B604" r:id="rId577" xr:uid="{00000000-0004-0000-0000-000040020000}"/>
    <hyperlink ref="B605" r:id="rId578" xr:uid="{00000000-0004-0000-0000-000041020000}"/>
    <hyperlink ref="B606" r:id="rId579" xr:uid="{00000000-0004-0000-0000-000042020000}"/>
    <hyperlink ref="B607" r:id="rId580" xr:uid="{00000000-0004-0000-0000-000043020000}"/>
    <hyperlink ref="B608" r:id="rId581" xr:uid="{00000000-0004-0000-0000-000044020000}"/>
    <hyperlink ref="B609" r:id="rId582" xr:uid="{00000000-0004-0000-0000-000045020000}"/>
    <hyperlink ref="B611" r:id="rId583" xr:uid="{00000000-0004-0000-0000-000046020000}"/>
    <hyperlink ref="B612" r:id="rId584" xr:uid="{00000000-0004-0000-0000-000047020000}"/>
    <hyperlink ref="B613" r:id="rId585" xr:uid="{00000000-0004-0000-0000-000048020000}"/>
    <hyperlink ref="B614" r:id="rId586" xr:uid="{00000000-0004-0000-0000-000049020000}"/>
    <hyperlink ref="B615" r:id="rId587" xr:uid="{00000000-0004-0000-0000-00004A020000}"/>
    <hyperlink ref="B616" r:id="rId588" xr:uid="{00000000-0004-0000-0000-00004B020000}"/>
    <hyperlink ref="B617" r:id="rId589" xr:uid="{00000000-0004-0000-0000-00004C020000}"/>
    <hyperlink ref="B618" r:id="rId590" xr:uid="{00000000-0004-0000-0000-00004D020000}"/>
    <hyperlink ref="B619" r:id="rId591" xr:uid="{00000000-0004-0000-0000-00004E020000}"/>
    <hyperlink ref="B620" r:id="rId592" xr:uid="{00000000-0004-0000-0000-00004F020000}"/>
    <hyperlink ref="B621" r:id="rId593" xr:uid="{00000000-0004-0000-0000-000050020000}"/>
    <hyperlink ref="B622" r:id="rId594" xr:uid="{00000000-0004-0000-0000-000051020000}"/>
    <hyperlink ref="B623" r:id="rId595" xr:uid="{00000000-0004-0000-0000-000052020000}"/>
    <hyperlink ref="B624" r:id="rId596" xr:uid="{00000000-0004-0000-0000-000053020000}"/>
    <hyperlink ref="B625" r:id="rId597" xr:uid="{00000000-0004-0000-0000-000054020000}"/>
    <hyperlink ref="B626" r:id="rId598" xr:uid="{00000000-0004-0000-0000-000055020000}"/>
    <hyperlink ref="B627" r:id="rId599" xr:uid="{00000000-0004-0000-0000-000056020000}"/>
    <hyperlink ref="B628" r:id="rId600" xr:uid="{00000000-0004-0000-0000-000057020000}"/>
    <hyperlink ref="B629" r:id="rId601" xr:uid="{00000000-0004-0000-0000-000058020000}"/>
    <hyperlink ref="B630" r:id="rId602" xr:uid="{00000000-0004-0000-0000-000059020000}"/>
    <hyperlink ref="B631" r:id="rId603" xr:uid="{00000000-0004-0000-0000-00005A020000}"/>
    <hyperlink ref="B632" r:id="rId604" xr:uid="{00000000-0004-0000-0000-00005B020000}"/>
    <hyperlink ref="B633" r:id="rId605" xr:uid="{00000000-0004-0000-0000-00005C020000}"/>
    <hyperlink ref="B634" r:id="rId606" xr:uid="{00000000-0004-0000-0000-00005D020000}"/>
    <hyperlink ref="B635" r:id="rId607" xr:uid="{00000000-0004-0000-0000-00005E020000}"/>
    <hyperlink ref="B636" r:id="rId608" xr:uid="{00000000-0004-0000-0000-00005F020000}"/>
    <hyperlink ref="B637" r:id="rId609" xr:uid="{00000000-0004-0000-0000-000060020000}"/>
    <hyperlink ref="B638" r:id="rId610" xr:uid="{00000000-0004-0000-0000-000061020000}"/>
    <hyperlink ref="B639" r:id="rId611" xr:uid="{00000000-0004-0000-0000-000062020000}"/>
    <hyperlink ref="B640" r:id="rId612" xr:uid="{00000000-0004-0000-0000-000063020000}"/>
    <hyperlink ref="B641" r:id="rId613" xr:uid="{00000000-0004-0000-0000-000064020000}"/>
    <hyperlink ref="B642" r:id="rId614" xr:uid="{00000000-0004-0000-0000-000065020000}"/>
    <hyperlink ref="B643" r:id="rId615" xr:uid="{00000000-0004-0000-0000-000066020000}"/>
    <hyperlink ref="B644" r:id="rId616" xr:uid="{00000000-0004-0000-0000-000067020000}"/>
    <hyperlink ref="B645" r:id="rId617" xr:uid="{00000000-0004-0000-0000-000068020000}"/>
    <hyperlink ref="B646" r:id="rId618" xr:uid="{00000000-0004-0000-0000-000069020000}"/>
    <hyperlink ref="B647" r:id="rId619" xr:uid="{00000000-0004-0000-0000-00006A020000}"/>
    <hyperlink ref="B648" r:id="rId620" xr:uid="{00000000-0004-0000-0000-00006B020000}"/>
    <hyperlink ref="B649" r:id="rId621" xr:uid="{00000000-0004-0000-0000-00006C020000}"/>
    <hyperlink ref="B650" r:id="rId622" xr:uid="{00000000-0004-0000-0000-00006D020000}"/>
    <hyperlink ref="B651" r:id="rId623" xr:uid="{00000000-0004-0000-0000-00006E020000}"/>
    <hyperlink ref="B652" r:id="rId624" xr:uid="{00000000-0004-0000-0000-00006F020000}"/>
    <hyperlink ref="B653" r:id="rId625" xr:uid="{00000000-0004-0000-0000-000070020000}"/>
    <hyperlink ref="B654" r:id="rId626" xr:uid="{00000000-0004-0000-0000-000071020000}"/>
    <hyperlink ref="B655" r:id="rId627" xr:uid="{00000000-0004-0000-0000-000072020000}"/>
    <hyperlink ref="B656" r:id="rId628" xr:uid="{00000000-0004-0000-0000-000073020000}"/>
    <hyperlink ref="B657" r:id="rId629" xr:uid="{00000000-0004-0000-0000-000074020000}"/>
    <hyperlink ref="B658" r:id="rId630" xr:uid="{00000000-0004-0000-0000-000075020000}"/>
    <hyperlink ref="B659" r:id="rId631" xr:uid="{00000000-0004-0000-0000-000076020000}"/>
    <hyperlink ref="B660" r:id="rId632" xr:uid="{00000000-0004-0000-0000-000077020000}"/>
    <hyperlink ref="B661" r:id="rId633" xr:uid="{00000000-0004-0000-0000-000078020000}"/>
    <hyperlink ref="B662" r:id="rId634" xr:uid="{00000000-0004-0000-0000-000079020000}"/>
    <hyperlink ref="B663" r:id="rId635" xr:uid="{00000000-0004-0000-0000-00007A020000}"/>
    <hyperlink ref="B664" r:id="rId636" xr:uid="{00000000-0004-0000-0000-00007B020000}"/>
    <hyperlink ref="B665" r:id="rId637" xr:uid="{00000000-0004-0000-0000-00007C020000}"/>
    <hyperlink ref="B666" r:id="rId638" xr:uid="{00000000-0004-0000-0000-00007D020000}"/>
    <hyperlink ref="B667" r:id="rId639" xr:uid="{00000000-0004-0000-0000-00007E020000}"/>
    <hyperlink ref="B668" r:id="rId640" xr:uid="{00000000-0004-0000-0000-00007F020000}"/>
    <hyperlink ref="B669" r:id="rId641" xr:uid="{00000000-0004-0000-0000-000080020000}"/>
    <hyperlink ref="B670" r:id="rId642" xr:uid="{00000000-0004-0000-0000-000081020000}"/>
    <hyperlink ref="B671" r:id="rId643" xr:uid="{00000000-0004-0000-0000-000082020000}"/>
    <hyperlink ref="B673" r:id="rId644" xr:uid="{00000000-0004-0000-0000-000083020000}"/>
    <hyperlink ref="A675" r:id="rId645" xr:uid="{00000000-0004-0000-0000-000084020000}"/>
    <hyperlink ref="B675" r:id="rId646" xr:uid="{00000000-0004-0000-0000-000085020000}"/>
    <hyperlink ref="B677" r:id="rId647" xr:uid="{00000000-0004-0000-0000-000086020000}"/>
    <hyperlink ref="B678" r:id="rId648" xr:uid="{00000000-0004-0000-0000-000087020000}"/>
    <hyperlink ref="B679" r:id="rId649" xr:uid="{00000000-0004-0000-0000-000088020000}"/>
    <hyperlink ref="B680" r:id="rId650" xr:uid="{00000000-0004-0000-0000-000089020000}"/>
    <hyperlink ref="B681" r:id="rId651" xr:uid="{00000000-0004-0000-0000-00008A020000}"/>
    <hyperlink ref="B682" r:id="rId652" xr:uid="{00000000-0004-0000-0000-00008B020000}"/>
    <hyperlink ref="B683" r:id="rId653" xr:uid="{00000000-0004-0000-0000-00008C020000}"/>
    <hyperlink ref="B684" r:id="rId654" xr:uid="{00000000-0004-0000-0000-00008D020000}"/>
    <hyperlink ref="B685" r:id="rId655" xr:uid="{00000000-0004-0000-0000-00008E020000}"/>
    <hyperlink ref="B686" r:id="rId656" xr:uid="{00000000-0004-0000-0000-00008F020000}"/>
    <hyperlink ref="B687" r:id="rId657" xr:uid="{00000000-0004-0000-0000-000090020000}"/>
    <hyperlink ref="B688" r:id="rId658" xr:uid="{00000000-0004-0000-0000-000091020000}"/>
    <hyperlink ref="B689" r:id="rId659" xr:uid="{00000000-0004-0000-0000-000092020000}"/>
    <hyperlink ref="B690" r:id="rId660" xr:uid="{00000000-0004-0000-0000-000093020000}"/>
    <hyperlink ref="B691" r:id="rId661" xr:uid="{00000000-0004-0000-0000-000094020000}"/>
    <hyperlink ref="B692" r:id="rId662" xr:uid="{00000000-0004-0000-0000-000095020000}"/>
    <hyperlink ref="B693" r:id="rId663" xr:uid="{00000000-0004-0000-0000-000096020000}"/>
    <hyperlink ref="B694" r:id="rId664" xr:uid="{00000000-0004-0000-0000-000097020000}"/>
    <hyperlink ref="B695" r:id="rId665" xr:uid="{00000000-0004-0000-0000-000098020000}"/>
    <hyperlink ref="B696" r:id="rId666" xr:uid="{00000000-0004-0000-0000-000099020000}"/>
    <hyperlink ref="B697" r:id="rId667" xr:uid="{00000000-0004-0000-0000-00009A020000}"/>
    <hyperlink ref="B698" r:id="rId668" xr:uid="{00000000-0004-0000-0000-00009B020000}"/>
    <hyperlink ref="B699" r:id="rId669" xr:uid="{00000000-0004-0000-0000-00009C020000}"/>
    <hyperlink ref="B700" r:id="rId670" xr:uid="{00000000-0004-0000-0000-00009D020000}"/>
    <hyperlink ref="B701" r:id="rId671" xr:uid="{00000000-0004-0000-0000-00009E020000}"/>
    <hyperlink ref="B702" r:id="rId672" xr:uid="{00000000-0004-0000-0000-00009F020000}"/>
    <hyperlink ref="B703" r:id="rId673" xr:uid="{00000000-0004-0000-0000-0000A0020000}"/>
    <hyperlink ref="B704" r:id="rId674" xr:uid="{00000000-0004-0000-0000-0000A1020000}"/>
    <hyperlink ref="B705" r:id="rId675" xr:uid="{00000000-0004-0000-0000-0000A2020000}"/>
    <hyperlink ref="B706" r:id="rId676" xr:uid="{00000000-0004-0000-0000-0000A3020000}"/>
    <hyperlink ref="B707" r:id="rId677" xr:uid="{00000000-0004-0000-0000-0000A4020000}"/>
    <hyperlink ref="B708" r:id="rId678" xr:uid="{00000000-0004-0000-0000-0000A5020000}"/>
    <hyperlink ref="B709" r:id="rId679" xr:uid="{00000000-0004-0000-0000-0000A6020000}"/>
    <hyperlink ref="B710" r:id="rId680" xr:uid="{00000000-0004-0000-0000-0000A7020000}"/>
    <hyperlink ref="B711" r:id="rId681" xr:uid="{00000000-0004-0000-0000-0000A8020000}"/>
    <hyperlink ref="B712" r:id="rId682" xr:uid="{00000000-0004-0000-0000-0000A9020000}"/>
    <hyperlink ref="B713" r:id="rId683" xr:uid="{00000000-0004-0000-0000-0000AA020000}"/>
    <hyperlink ref="B714" r:id="rId684" xr:uid="{00000000-0004-0000-0000-0000AB020000}"/>
    <hyperlink ref="B715" r:id="rId685" xr:uid="{00000000-0004-0000-0000-0000AC020000}"/>
    <hyperlink ref="B716" r:id="rId686" xr:uid="{00000000-0004-0000-0000-0000AD020000}"/>
    <hyperlink ref="B718" r:id="rId687" xr:uid="{00000000-0004-0000-0000-0000AE020000}"/>
    <hyperlink ref="A719" r:id="rId688" xr:uid="{00000000-0004-0000-0000-0000AF020000}"/>
    <hyperlink ref="B719" r:id="rId689" xr:uid="{00000000-0004-0000-0000-0000B0020000}"/>
    <hyperlink ref="B720" r:id="rId690" xr:uid="{00000000-0004-0000-0000-0000B1020000}"/>
    <hyperlink ref="B721" r:id="rId691" xr:uid="{00000000-0004-0000-0000-0000B2020000}"/>
    <hyperlink ref="B722" r:id="rId692" xr:uid="{00000000-0004-0000-0000-0000B3020000}"/>
    <hyperlink ref="B723" r:id="rId693" xr:uid="{00000000-0004-0000-0000-0000B4020000}"/>
    <hyperlink ref="B724" r:id="rId694" xr:uid="{00000000-0004-0000-0000-0000B5020000}"/>
    <hyperlink ref="B726" r:id="rId695" xr:uid="{00000000-0004-0000-0000-0000B6020000}"/>
    <hyperlink ref="B727" r:id="rId696" xr:uid="{00000000-0004-0000-0000-0000B7020000}"/>
    <hyperlink ref="B728" r:id="rId697" xr:uid="{00000000-0004-0000-0000-0000B8020000}"/>
    <hyperlink ref="B729" r:id="rId698" xr:uid="{00000000-0004-0000-0000-0000B9020000}"/>
    <hyperlink ref="B730" r:id="rId699" xr:uid="{00000000-0004-0000-0000-0000BA020000}"/>
    <hyperlink ref="B731" r:id="rId700" xr:uid="{00000000-0004-0000-0000-0000BB020000}"/>
    <hyperlink ref="B732" r:id="rId701" xr:uid="{00000000-0004-0000-0000-0000BC020000}"/>
    <hyperlink ref="B733" r:id="rId702" xr:uid="{00000000-0004-0000-0000-0000BD020000}"/>
    <hyperlink ref="B734" r:id="rId703" xr:uid="{00000000-0004-0000-0000-0000BE020000}"/>
    <hyperlink ref="B735" r:id="rId704" xr:uid="{00000000-0004-0000-0000-0000BF020000}"/>
    <hyperlink ref="B736" r:id="rId705" xr:uid="{00000000-0004-0000-0000-0000C0020000}"/>
    <hyperlink ref="B737" r:id="rId706" xr:uid="{00000000-0004-0000-0000-0000C1020000}"/>
    <hyperlink ref="B738" r:id="rId707" xr:uid="{00000000-0004-0000-0000-0000C2020000}"/>
    <hyperlink ref="B739" r:id="rId708" xr:uid="{00000000-0004-0000-0000-0000C3020000}"/>
    <hyperlink ref="B740" r:id="rId709" xr:uid="{00000000-0004-0000-0000-0000C4020000}"/>
    <hyperlink ref="B741" r:id="rId710" xr:uid="{00000000-0004-0000-0000-0000C5020000}"/>
    <hyperlink ref="B742" r:id="rId711" xr:uid="{00000000-0004-0000-0000-0000C6020000}"/>
    <hyperlink ref="B743" r:id="rId712" xr:uid="{00000000-0004-0000-0000-0000C7020000}"/>
    <hyperlink ref="B744" r:id="rId713" xr:uid="{00000000-0004-0000-0000-0000C8020000}"/>
    <hyperlink ref="B745" r:id="rId714" xr:uid="{00000000-0004-0000-0000-0000C9020000}"/>
    <hyperlink ref="B746" r:id="rId715" xr:uid="{00000000-0004-0000-0000-0000CA020000}"/>
    <hyperlink ref="B748" r:id="rId716" xr:uid="{00000000-0004-0000-0000-0000CB020000}"/>
    <hyperlink ref="A749" r:id="rId717" xr:uid="{00000000-0004-0000-0000-0000CC020000}"/>
    <hyperlink ref="B749" r:id="rId718" xr:uid="{00000000-0004-0000-0000-0000CD020000}"/>
    <hyperlink ref="B750" r:id="rId719" xr:uid="{00000000-0004-0000-0000-0000CE020000}"/>
    <hyperlink ref="B751" r:id="rId720" xr:uid="{00000000-0004-0000-0000-0000CF020000}"/>
    <hyperlink ref="B752" r:id="rId721" xr:uid="{00000000-0004-0000-0000-0000D0020000}"/>
    <hyperlink ref="B753" r:id="rId722" xr:uid="{00000000-0004-0000-0000-0000D1020000}"/>
    <hyperlink ref="B754" r:id="rId723" xr:uid="{00000000-0004-0000-0000-0000D2020000}"/>
    <hyperlink ref="B755" r:id="rId724" xr:uid="{00000000-0004-0000-0000-0000D3020000}"/>
    <hyperlink ref="B756" r:id="rId725" xr:uid="{00000000-0004-0000-0000-0000D4020000}"/>
    <hyperlink ref="B757" r:id="rId726" xr:uid="{00000000-0004-0000-0000-0000D5020000}"/>
    <hyperlink ref="B758" r:id="rId727" xr:uid="{00000000-0004-0000-0000-0000D6020000}"/>
    <hyperlink ref="B759" r:id="rId728" xr:uid="{00000000-0004-0000-0000-0000D7020000}"/>
    <hyperlink ref="B760" r:id="rId729" xr:uid="{00000000-0004-0000-0000-0000D8020000}"/>
    <hyperlink ref="B761" r:id="rId730" xr:uid="{00000000-0004-0000-0000-0000D9020000}"/>
    <hyperlink ref="B762" r:id="rId731" xr:uid="{00000000-0004-0000-0000-0000DA020000}"/>
    <hyperlink ref="B763" r:id="rId732" xr:uid="{00000000-0004-0000-0000-0000DB020000}"/>
    <hyperlink ref="B764" r:id="rId733" xr:uid="{00000000-0004-0000-0000-0000DC020000}"/>
    <hyperlink ref="B765" r:id="rId734" xr:uid="{00000000-0004-0000-0000-0000DD020000}"/>
    <hyperlink ref="B766" r:id="rId735" xr:uid="{00000000-0004-0000-0000-0000DE020000}"/>
    <hyperlink ref="B768" r:id="rId736" xr:uid="{00000000-0004-0000-0000-0000DF020000}"/>
    <hyperlink ref="B769" r:id="rId737" xr:uid="{00000000-0004-0000-0000-0000E0020000}"/>
    <hyperlink ref="B771" r:id="rId738" xr:uid="{00000000-0004-0000-0000-0000E1020000}"/>
    <hyperlink ref="B773" r:id="rId739" xr:uid="{00000000-0004-0000-0000-0000E2020000}"/>
    <hyperlink ref="B774" r:id="rId740" xr:uid="{00000000-0004-0000-0000-0000E3020000}"/>
    <hyperlink ref="B775" r:id="rId741" xr:uid="{00000000-0004-0000-0000-0000E4020000}"/>
    <hyperlink ref="B776" r:id="rId742" xr:uid="{00000000-0004-0000-0000-0000E5020000}"/>
    <hyperlink ref="B777" r:id="rId743" xr:uid="{00000000-0004-0000-0000-0000E6020000}"/>
    <hyperlink ref="B778" r:id="rId744" xr:uid="{00000000-0004-0000-0000-0000E7020000}"/>
    <hyperlink ref="B779" r:id="rId745" xr:uid="{00000000-0004-0000-0000-0000E8020000}"/>
    <hyperlink ref="B780" r:id="rId746" xr:uid="{00000000-0004-0000-0000-0000E9020000}"/>
    <hyperlink ref="B781" r:id="rId747" xr:uid="{00000000-0004-0000-0000-0000EA020000}"/>
    <hyperlink ref="B782" r:id="rId748" xr:uid="{00000000-0004-0000-0000-0000EB020000}"/>
    <hyperlink ref="B784" r:id="rId749" xr:uid="{00000000-0004-0000-0000-0000EC020000}"/>
    <hyperlink ref="B785" r:id="rId750" xr:uid="{00000000-0004-0000-0000-0000ED020000}"/>
    <hyperlink ref="B786" r:id="rId751" xr:uid="{00000000-0004-0000-0000-0000EE020000}"/>
    <hyperlink ref="B787" r:id="rId752" xr:uid="{00000000-0004-0000-0000-0000EF020000}"/>
    <hyperlink ref="B788" r:id="rId753" xr:uid="{00000000-0004-0000-0000-0000F0020000}"/>
    <hyperlink ref="B791" r:id="rId754" xr:uid="{00000000-0004-0000-0000-0000F1020000}"/>
    <hyperlink ref="A792" r:id="rId755" xr:uid="{00000000-0004-0000-0000-0000F2020000}"/>
    <hyperlink ref="B792" r:id="rId756" xr:uid="{00000000-0004-0000-0000-0000F3020000}"/>
    <hyperlink ref="B793" r:id="rId757" xr:uid="{00000000-0004-0000-0000-0000F4020000}"/>
    <hyperlink ref="B794" r:id="rId758" xr:uid="{00000000-0004-0000-0000-0000F5020000}"/>
    <hyperlink ref="B795" r:id="rId759" xr:uid="{00000000-0004-0000-0000-0000F6020000}"/>
    <hyperlink ref="B796" r:id="rId760" xr:uid="{00000000-0004-0000-0000-0000F7020000}"/>
    <hyperlink ref="B797" r:id="rId761" xr:uid="{00000000-0004-0000-0000-0000F8020000}"/>
    <hyperlink ref="B798" r:id="rId762" xr:uid="{00000000-0004-0000-0000-0000F9020000}"/>
    <hyperlink ref="B799" r:id="rId763" xr:uid="{00000000-0004-0000-0000-0000FA020000}"/>
    <hyperlink ref="B800" r:id="rId764" xr:uid="{00000000-0004-0000-0000-0000FB020000}"/>
    <hyperlink ref="B801" r:id="rId765" xr:uid="{00000000-0004-0000-0000-0000FC020000}"/>
    <hyperlink ref="B802" r:id="rId766" xr:uid="{00000000-0004-0000-0000-0000FD020000}"/>
    <hyperlink ref="B804" r:id="rId767" xr:uid="{00000000-0004-0000-0000-0000FE020000}"/>
    <hyperlink ref="B805" r:id="rId768" xr:uid="{00000000-0004-0000-0000-0000FF020000}"/>
    <hyperlink ref="B806" r:id="rId769" xr:uid="{00000000-0004-0000-0000-000000030000}"/>
    <hyperlink ref="B807" r:id="rId770" xr:uid="{00000000-0004-0000-0000-000001030000}"/>
    <hyperlink ref="B808" r:id="rId771" xr:uid="{00000000-0004-0000-0000-000002030000}"/>
    <hyperlink ref="B809" r:id="rId772" xr:uid="{00000000-0004-0000-0000-000003030000}"/>
    <hyperlink ref="B810" r:id="rId773" xr:uid="{00000000-0004-0000-0000-000004030000}"/>
    <hyperlink ref="B811" r:id="rId774" xr:uid="{00000000-0004-0000-0000-000005030000}"/>
    <hyperlink ref="B812" r:id="rId775" xr:uid="{00000000-0004-0000-0000-000006030000}"/>
    <hyperlink ref="B813" r:id="rId776" xr:uid="{00000000-0004-0000-0000-000007030000}"/>
    <hyperlink ref="B814" r:id="rId777" xr:uid="{00000000-0004-0000-0000-000008030000}"/>
    <hyperlink ref="B815" r:id="rId778" xr:uid="{00000000-0004-0000-0000-000009030000}"/>
    <hyperlink ref="B816" r:id="rId779" xr:uid="{00000000-0004-0000-0000-00000A030000}"/>
    <hyperlink ref="B817" r:id="rId780" xr:uid="{00000000-0004-0000-0000-00000B030000}"/>
    <hyperlink ref="B818" r:id="rId781" xr:uid="{00000000-0004-0000-0000-00000C030000}"/>
    <hyperlink ref="B819" r:id="rId782" xr:uid="{00000000-0004-0000-0000-00000D030000}"/>
    <hyperlink ref="B820" r:id="rId783" xr:uid="{00000000-0004-0000-0000-00000E030000}"/>
    <hyperlink ref="B821" r:id="rId784" xr:uid="{00000000-0004-0000-0000-00000F030000}"/>
    <hyperlink ref="B822" r:id="rId785" xr:uid="{00000000-0004-0000-0000-000010030000}"/>
    <hyperlink ref="B823" r:id="rId786" xr:uid="{00000000-0004-0000-0000-000011030000}"/>
    <hyperlink ref="B824" r:id="rId787" xr:uid="{00000000-0004-0000-0000-000012030000}"/>
    <hyperlink ref="B825" r:id="rId788" xr:uid="{00000000-0004-0000-0000-000013030000}"/>
    <hyperlink ref="B826" r:id="rId789" xr:uid="{00000000-0004-0000-0000-000014030000}"/>
    <hyperlink ref="B827" r:id="rId790" xr:uid="{00000000-0004-0000-0000-000015030000}"/>
    <hyperlink ref="B828" r:id="rId791" xr:uid="{00000000-0004-0000-0000-000016030000}"/>
    <hyperlink ref="B829" r:id="rId792" xr:uid="{00000000-0004-0000-0000-000017030000}"/>
    <hyperlink ref="B831" r:id="rId793" xr:uid="{00000000-0004-0000-0000-000018030000}"/>
    <hyperlink ref="B832" r:id="rId794" xr:uid="{00000000-0004-0000-0000-000019030000}"/>
    <hyperlink ref="B833" r:id="rId795" xr:uid="{00000000-0004-0000-0000-00001A030000}"/>
    <hyperlink ref="B834" r:id="rId796" xr:uid="{00000000-0004-0000-0000-00001B030000}"/>
    <hyperlink ref="B835" r:id="rId797" xr:uid="{00000000-0004-0000-0000-00001C030000}"/>
    <hyperlink ref="B836" r:id="rId798" xr:uid="{00000000-0004-0000-0000-00001D030000}"/>
    <hyperlink ref="B837" r:id="rId799" xr:uid="{00000000-0004-0000-0000-00001E030000}"/>
    <hyperlink ref="B838" r:id="rId800" xr:uid="{00000000-0004-0000-0000-00001F030000}"/>
    <hyperlink ref="B839" r:id="rId801" xr:uid="{00000000-0004-0000-0000-000020030000}"/>
    <hyperlink ref="B840" r:id="rId802" xr:uid="{00000000-0004-0000-0000-000021030000}"/>
    <hyperlink ref="B841" r:id="rId803" xr:uid="{00000000-0004-0000-0000-000022030000}"/>
    <hyperlink ref="B842" r:id="rId804" xr:uid="{00000000-0004-0000-0000-000023030000}"/>
    <hyperlink ref="B844" r:id="rId805" xr:uid="{00000000-0004-0000-0000-000024030000}"/>
    <hyperlink ref="B845" r:id="rId806" xr:uid="{00000000-0004-0000-0000-000025030000}"/>
    <hyperlink ref="B846" r:id="rId807" xr:uid="{00000000-0004-0000-0000-000026030000}"/>
    <hyperlink ref="B847" r:id="rId808" xr:uid="{00000000-0004-0000-0000-000027030000}"/>
    <hyperlink ref="B848" r:id="rId809" xr:uid="{00000000-0004-0000-0000-000028030000}"/>
    <hyperlink ref="B849" r:id="rId810" xr:uid="{00000000-0004-0000-0000-000029030000}"/>
    <hyperlink ref="B850" r:id="rId811" xr:uid="{00000000-0004-0000-0000-00002A030000}"/>
    <hyperlink ref="B851" r:id="rId812" xr:uid="{00000000-0004-0000-0000-00002B030000}"/>
    <hyperlink ref="B852" r:id="rId813" xr:uid="{00000000-0004-0000-0000-00002C030000}"/>
    <hyperlink ref="B853" r:id="rId814" xr:uid="{00000000-0004-0000-0000-00002D030000}"/>
    <hyperlink ref="B854" r:id="rId815" xr:uid="{00000000-0004-0000-0000-00002E030000}"/>
    <hyperlink ref="B855" r:id="rId816" xr:uid="{00000000-0004-0000-0000-00002F030000}"/>
    <hyperlink ref="B857" r:id="rId817" xr:uid="{00000000-0004-0000-0000-000030030000}"/>
    <hyperlink ref="B859" r:id="rId818" xr:uid="{00000000-0004-0000-0000-000031030000}"/>
    <hyperlink ref="B860" r:id="rId819" xr:uid="{00000000-0004-0000-0000-000032030000}"/>
    <hyperlink ref="B862" r:id="rId820" xr:uid="{00000000-0004-0000-0000-000033030000}"/>
    <hyperlink ref="E862" r:id="rId821" xr:uid="{00000000-0004-0000-0000-000034030000}"/>
    <hyperlink ref="K862" r:id="rId822" xr:uid="{00000000-0004-0000-0000-000035030000}"/>
    <hyperlink ref="A863" r:id="rId823" xr:uid="{00000000-0004-0000-0000-000036030000}"/>
    <hyperlink ref="B863" r:id="rId824" xr:uid="{00000000-0004-0000-0000-000037030000}"/>
    <hyperlink ref="E863" r:id="rId825" xr:uid="{00000000-0004-0000-0000-000038030000}"/>
    <hyperlink ref="K863" r:id="rId826" xr:uid="{00000000-0004-0000-0000-000039030000}"/>
    <hyperlink ref="B864" r:id="rId827" xr:uid="{00000000-0004-0000-0000-00003A030000}"/>
    <hyperlink ref="E864" r:id="rId828" xr:uid="{00000000-0004-0000-0000-00003B030000}"/>
    <hyperlink ref="K864" r:id="rId829" xr:uid="{00000000-0004-0000-0000-00003C030000}"/>
    <hyperlink ref="B865" r:id="rId830" xr:uid="{00000000-0004-0000-0000-00003D030000}"/>
    <hyperlink ref="E865" r:id="rId831" xr:uid="{00000000-0004-0000-0000-00003E030000}"/>
    <hyperlink ref="K865" r:id="rId832" xr:uid="{00000000-0004-0000-0000-00003F030000}"/>
    <hyperlink ref="B866" r:id="rId833" xr:uid="{00000000-0004-0000-0000-000040030000}"/>
    <hyperlink ref="E866" r:id="rId834" xr:uid="{00000000-0004-0000-0000-000041030000}"/>
    <hyperlink ref="K866" r:id="rId835" xr:uid="{00000000-0004-0000-0000-000042030000}"/>
    <hyperlink ref="B867" r:id="rId836" xr:uid="{00000000-0004-0000-0000-000043030000}"/>
    <hyperlink ref="E867" r:id="rId837" xr:uid="{00000000-0004-0000-0000-000044030000}"/>
    <hyperlink ref="K867" r:id="rId838" xr:uid="{00000000-0004-0000-0000-000045030000}"/>
    <hyperlink ref="B868" r:id="rId839" xr:uid="{00000000-0004-0000-0000-000046030000}"/>
    <hyperlink ref="E868" r:id="rId840" xr:uid="{00000000-0004-0000-0000-000047030000}"/>
    <hyperlink ref="K868" r:id="rId841" xr:uid="{00000000-0004-0000-0000-000048030000}"/>
    <hyperlink ref="B869" r:id="rId842" xr:uid="{00000000-0004-0000-0000-000049030000}"/>
    <hyperlink ref="E869" r:id="rId843" xr:uid="{00000000-0004-0000-0000-00004A030000}"/>
    <hyperlink ref="K869" r:id="rId844" xr:uid="{00000000-0004-0000-0000-00004B030000}"/>
    <hyperlink ref="B870" r:id="rId845" xr:uid="{00000000-0004-0000-0000-00004C030000}"/>
    <hyperlink ref="E870" r:id="rId846" xr:uid="{00000000-0004-0000-0000-00004D030000}"/>
    <hyperlink ref="K870" r:id="rId847" xr:uid="{00000000-0004-0000-0000-00004E030000}"/>
    <hyperlink ref="B871" r:id="rId848" xr:uid="{00000000-0004-0000-0000-00004F030000}"/>
    <hyperlink ref="E871" r:id="rId849" xr:uid="{00000000-0004-0000-0000-000050030000}"/>
    <hyperlink ref="K871" r:id="rId850" xr:uid="{00000000-0004-0000-0000-000051030000}"/>
    <hyperlink ref="B872" r:id="rId851" xr:uid="{00000000-0004-0000-0000-000052030000}"/>
    <hyperlink ref="E872" r:id="rId852" xr:uid="{00000000-0004-0000-0000-000053030000}"/>
    <hyperlink ref="K872" r:id="rId853" xr:uid="{00000000-0004-0000-0000-000054030000}"/>
    <hyperlink ref="B873" r:id="rId854" xr:uid="{00000000-0004-0000-0000-000055030000}"/>
    <hyperlink ref="E873" r:id="rId855" xr:uid="{00000000-0004-0000-0000-000056030000}"/>
    <hyperlink ref="K873" r:id="rId856" xr:uid="{00000000-0004-0000-0000-000057030000}"/>
    <hyperlink ref="B874" r:id="rId857" xr:uid="{00000000-0004-0000-0000-000058030000}"/>
    <hyperlink ref="E874" r:id="rId858" xr:uid="{00000000-0004-0000-0000-000059030000}"/>
    <hyperlink ref="K874" r:id="rId859" xr:uid="{00000000-0004-0000-0000-00005A030000}"/>
    <hyperlink ref="B875" r:id="rId860" xr:uid="{00000000-0004-0000-0000-00005B030000}"/>
    <hyperlink ref="E875" r:id="rId861" xr:uid="{00000000-0004-0000-0000-00005C030000}"/>
    <hyperlink ref="K875" r:id="rId862" xr:uid="{00000000-0004-0000-0000-00005D030000}"/>
    <hyperlink ref="B876" r:id="rId863" xr:uid="{00000000-0004-0000-0000-00005E030000}"/>
    <hyperlink ref="E876" r:id="rId864" xr:uid="{00000000-0004-0000-0000-00005F030000}"/>
    <hyperlink ref="K876" r:id="rId865" xr:uid="{00000000-0004-0000-0000-000060030000}"/>
    <hyperlink ref="B877" r:id="rId866" xr:uid="{00000000-0004-0000-0000-000061030000}"/>
    <hyperlink ref="E877" r:id="rId867" xr:uid="{00000000-0004-0000-0000-000062030000}"/>
    <hyperlink ref="K877" r:id="rId868" xr:uid="{00000000-0004-0000-0000-000063030000}"/>
    <hyperlink ref="B878" r:id="rId869" xr:uid="{00000000-0004-0000-0000-000064030000}"/>
    <hyperlink ref="E878" r:id="rId870" xr:uid="{00000000-0004-0000-0000-000065030000}"/>
    <hyperlink ref="K878" r:id="rId871" xr:uid="{00000000-0004-0000-0000-000066030000}"/>
    <hyperlink ref="B879" r:id="rId872" xr:uid="{00000000-0004-0000-0000-000067030000}"/>
    <hyperlink ref="E879" r:id="rId873" xr:uid="{00000000-0004-0000-0000-000068030000}"/>
    <hyperlink ref="K879" r:id="rId874" xr:uid="{00000000-0004-0000-0000-000069030000}"/>
    <hyperlink ref="B880" r:id="rId875" xr:uid="{00000000-0004-0000-0000-00006A030000}"/>
    <hyperlink ref="E880" r:id="rId876" xr:uid="{00000000-0004-0000-0000-00006B030000}"/>
    <hyperlink ref="K880" r:id="rId877" xr:uid="{00000000-0004-0000-0000-00006C030000}"/>
    <hyperlink ref="B881" r:id="rId878" xr:uid="{00000000-0004-0000-0000-00006D030000}"/>
    <hyperlink ref="B882" r:id="rId879" xr:uid="{00000000-0004-0000-0000-00006E030000}"/>
    <hyperlink ref="E882" r:id="rId880" xr:uid="{00000000-0004-0000-0000-00006F030000}"/>
    <hyperlink ref="K882" r:id="rId881" xr:uid="{00000000-0004-0000-0000-000070030000}"/>
    <hyperlink ref="B883" r:id="rId882" xr:uid="{00000000-0004-0000-0000-000071030000}"/>
    <hyperlink ref="E883" r:id="rId883" xr:uid="{00000000-0004-0000-0000-000072030000}"/>
    <hyperlink ref="K883" r:id="rId884" xr:uid="{00000000-0004-0000-0000-000073030000}"/>
    <hyperlink ref="B884" r:id="rId885" xr:uid="{00000000-0004-0000-0000-000074030000}"/>
    <hyperlink ref="E884" r:id="rId886" xr:uid="{00000000-0004-0000-0000-000075030000}"/>
    <hyperlink ref="K884" r:id="rId887" xr:uid="{00000000-0004-0000-0000-000076030000}"/>
    <hyperlink ref="B885" r:id="rId888" xr:uid="{00000000-0004-0000-0000-000077030000}"/>
    <hyperlink ref="E885" r:id="rId889" xr:uid="{00000000-0004-0000-0000-000078030000}"/>
    <hyperlink ref="K885" r:id="rId890" xr:uid="{00000000-0004-0000-0000-000079030000}"/>
    <hyperlink ref="B886" r:id="rId891" xr:uid="{00000000-0004-0000-0000-00007A030000}"/>
    <hyperlink ref="E886" r:id="rId892" xr:uid="{00000000-0004-0000-0000-00007B030000}"/>
    <hyperlink ref="K886" r:id="rId893" xr:uid="{00000000-0004-0000-0000-00007C030000}"/>
    <hyperlink ref="B887" r:id="rId894" xr:uid="{00000000-0004-0000-0000-00007D030000}"/>
    <hyperlink ref="E887" r:id="rId895" xr:uid="{00000000-0004-0000-0000-00007E030000}"/>
    <hyperlink ref="K887" r:id="rId896" xr:uid="{00000000-0004-0000-0000-00007F030000}"/>
    <hyperlink ref="B888" r:id="rId897" xr:uid="{00000000-0004-0000-0000-000080030000}"/>
    <hyperlink ref="E888" r:id="rId898" xr:uid="{00000000-0004-0000-0000-000081030000}"/>
    <hyperlink ref="K888" r:id="rId899" xr:uid="{00000000-0004-0000-0000-000082030000}"/>
    <hyperlink ref="B889" r:id="rId900" xr:uid="{00000000-0004-0000-0000-000083030000}"/>
    <hyperlink ref="E889" r:id="rId901" xr:uid="{00000000-0004-0000-0000-000084030000}"/>
    <hyperlink ref="K889" r:id="rId902" xr:uid="{00000000-0004-0000-0000-000085030000}"/>
    <hyperlink ref="B890" r:id="rId903" xr:uid="{00000000-0004-0000-0000-000086030000}"/>
    <hyperlink ref="E890" r:id="rId904" xr:uid="{00000000-0004-0000-0000-000087030000}"/>
    <hyperlink ref="K890" r:id="rId905" xr:uid="{00000000-0004-0000-0000-000088030000}"/>
    <hyperlink ref="B891" r:id="rId906" xr:uid="{00000000-0004-0000-0000-000089030000}"/>
    <hyperlink ref="E891" r:id="rId907" xr:uid="{00000000-0004-0000-0000-00008A030000}"/>
    <hyperlink ref="K891" r:id="rId908" xr:uid="{00000000-0004-0000-0000-00008B030000}"/>
    <hyperlink ref="B892" r:id="rId909" xr:uid="{00000000-0004-0000-0000-00008C030000}"/>
    <hyperlink ref="E892" r:id="rId910" xr:uid="{00000000-0004-0000-0000-00008D030000}"/>
    <hyperlink ref="K892" r:id="rId911" xr:uid="{00000000-0004-0000-0000-00008E030000}"/>
    <hyperlink ref="B893" r:id="rId912" xr:uid="{00000000-0004-0000-0000-00008F030000}"/>
    <hyperlink ref="E893" r:id="rId913" xr:uid="{00000000-0004-0000-0000-000090030000}"/>
    <hyperlink ref="K893" r:id="rId914" xr:uid="{00000000-0004-0000-0000-000091030000}"/>
    <hyperlink ref="B894" r:id="rId915" xr:uid="{00000000-0004-0000-0000-000092030000}"/>
    <hyperlink ref="E894" r:id="rId916" xr:uid="{00000000-0004-0000-0000-000093030000}"/>
    <hyperlink ref="K894" r:id="rId917" xr:uid="{00000000-0004-0000-0000-000094030000}"/>
    <hyperlink ref="B895" r:id="rId918" xr:uid="{00000000-0004-0000-0000-000095030000}"/>
    <hyperlink ref="E895" r:id="rId919" xr:uid="{00000000-0004-0000-0000-000096030000}"/>
    <hyperlink ref="K895" r:id="rId920" xr:uid="{00000000-0004-0000-0000-000097030000}"/>
    <hyperlink ref="B896" r:id="rId921" xr:uid="{00000000-0004-0000-0000-000098030000}"/>
    <hyperlink ref="B897" r:id="rId922" xr:uid="{00000000-0004-0000-0000-000099030000}"/>
    <hyperlink ref="E897" r:id="rId923" xr:uid="{00000000-0004-0000-0000-00009A030000}"/>
    <hyperlink ref="K897" r:id="rId924" xr:uid="{00000000-0004-0000-0000-00009B030000}"/>
    <hyperlink ref="B898" r:id="rId925" xr:uid="{00000000-0004-0000-0000-00009C030000}"/>
    <hyperlink ref="E898" r:id="rId926" xr:uid="{00000000-0004-0000-0000-00009D030000}"/>
    <hyperlink ref="K898" r:id="rId927" xr:uid="{00000000-0004-0000-0000-00009E030000}"/>
    <hyperlink ref="B899" r:id="rId928" xr:uid="{00000000-0004-0000-0000-00009F030000}"/>
    <hyperlink ref="E899" r:id="rId929" xr:uid="{00000000-0004-0000-0000-0000A0030000}"/>
    <hyperlink ref="K899" r:id="rId930" xr:uid="{00000000-0004-0000-0000-0000A1030000}"/>
    <hyperlink ref="B900" r:id="rId931" xr:uid="{00000000-0004-0000-0000-0000A2030000}"/>
    <hyperlink ref="E900" r:id="rId932" xr:uid="{00000000-0004-0000-0000-0000A3030000}"/>
    <hyperlink ref="K900" r:id="rId933" xr:uid="{00000000-0004-0000-0000-0000A4030000}"/>
    <hyperlink ref="B902" r:id="rId934" xr:uid="{00000000-0004-0000-0000-0000A5030000}"/>
    <hyperlink ref="E902" r:id="rId935" xr:uid="{00000000-0004-0000-0000-0000A6030000}"/>
    <hyperlink ref="K902" r:id="rId936" xr:uid="{00000000-0004-0000-0000-0000A7030000}"/>
    <hyperlink ref="B903" r:id="rId937" xr:uid="{00000000-0004-0000-0000-0000A8030000}"/>
    <hyperlink ref="E903" r:id="rId938" xr:uid="{00000000-0004-0000-0000-0000A9030000}"/>
    <hyperlink ref="K903" r:id="rId939" xr:uid="{00000000-0004-0000-0000-0000AA030000}"/>
    <hyperlink ref="B904" r:id="rId940" xr:uid="{00000000-0004-0000-0000-0000AB030000}"/>
    <hyperlink ref="E904" r:id="rId941" xr:uid="{00000000-0004-0000-0000-0000AC030000}"/>
    <hyperlink ref="K904" r:id="rId942" xr:uid="{00000000-0004-0000-0000-0000AD030000}"/>
    <hyperlink ref="B905" r:id="rId943" xr:uid="{00000000-0004-0000-0000-0000AE030000}"/>
    <hyperlink ref="E905" r:id="rId944" xr:uid="{00000000-0004-0000-0000-0000AF030000}"/>
    <hyperlink ref="K905" r:id="rId945" xr:uid="{00000000-0004-0000-0000-0000B0030000}"/>
    <hyperlink ref="B906" r:id="rId946" xr:uid="{00000000-0004-0000-0000-0000B1030000}"/>
    <hyperlink ref="B907" r:id="rId947" xr:uid="{00000000-0004-0000-0000-0000B2030000}"/>
    <hyperlink ref="B909" r:id="rId948" xr:uid="{00000000-0004-0000-0000-0000B3030000}"/>
    <hyperlink ref="A910" r:id="rId949" xr:uid="{00000000-0004-0000-0000-0000B4030000}"/>
    <hyperlink ref="B910" r:id="rId950" xr:uid="{00000000-0004-0000-0000-0000B5030000}"/>
    <hyperlink ref="B911" r:id="rId951" xr:uid="{00000000-0004-0000-0000-0000B6030000}"/>
    <hyperlink ref="B912" r:id="rId952" xr:uid="{00000000-0004-0000-0000-0000B7030000}"/>
    <hyperlink ref="B913" r:id="rId953" xr:uid="{00000000-0004-0000-0000-0000B8030000}"/>
    <hyperlink ref="B914" r:id="rId954" xr:uid="{00000000-0004-0000-0000-0000B9030000}"/>
    <hyperlink ref="B915" r:id="rId955" xr:uid="{00000000-0004-0000-0000-0000BA030000}"/>
    <hyperlink ref="B916" r:id="rId956" xr:uid="{00000000-0004-0000-0000-0000BB030000}"/>
    <hyperlink ref="B917" r:id="rId957" xr:uid="{00000000-0004-0000-0000-0000BC030000}"/>
    <hyperlink ref="B918" r:id="rId958" xr:uid="{00000000-0004-0000-0000-0000BD030000}"/>
    <hyperlink ref="B919" r:id="rId959" xr:uid="{00000000-0004-0000-0000-0000BE030000}"/>
    <hyperlink ref="B920" r:id="rId960" xr:uid="{00000000-0004-0000-0000-0000BF030000}"/>
    <hyperlink ref="B921" r:id="rId961" xr:uid="{00000000-0004-0000-0000-0000C0030000}"/>
    <hyperlink ref="B922" r:id="rId962" xr:uid="{00000000-0004-0000-0000-0000C1030000}"/>
    <hyperlink ref="B923" r:id="rId963" xr:uid="{00000000-0004-0000-0000-0000C2030000}"/>
    <hyperlink ref="B924" r:id="rId964" xr:uid="{00000000-0004-0000-0000-0000C3030000}"/>
    <hyperlink ref="B926" r:id="rId965" xr:uid="{00000000-0004-0000-0000-0000C4030000}"/>
    <hyperlink ref="B927" r:id="rId966" xr:uid="{00000000-0004-0000-0000-0000C5030000}"/>
    <hyperlink ref="B928" r:id="rId967" xr:uid="{00000000-0004-0000-0000-0000C6030000}"/>
    <hyperlink ref="B929" r:id="rId968" xr:uid="{00000000-0004-0000-0000-0000C7030000}"/>
    <hyperlink ref="B930" r:id="rId969" xr:uid="{00000000-0004-0000-0000-0000C8030000}"/>
    <hyperlink ref="B932" r:id="rId970" xr:uid="{00000000-0004-0000-0000-0000C9030000}"/>
    <hyperlink ref="B933" r:id="rId971" xr:uid="{00000000-0004-0000-0000-0000CA030000}"/>
    <hyperlink ref="B934" r:id="rId972" xr:uid="{00000000-0004-0000-0000-0000CB030000}"/>
    <hyperlink ref="B935" r:id="rId973" xr:uid="{00000000-0004-0000-0000-0000CC030000}"/>
    <hyperlink ref="B936" r:id="rId974" xr:uid="{00000000-0004-0000-0000-0000CD030000}"/>
    <hyperlink ref="B937" r:id="rId975" xr:uid="{00000000-0004-0000-0000-0000CE030000}"/>
    <hyperlink ref="B939" r:id="rId976" xr:uid="{00000000-0004-0000-0000-0000CF030000}"/>
    <hyperlink ref="B940" r:id="rId977" xr:uid="{00000000-0004-0000-0000-0000D0030000}"/>
    <hyperlink ref="B942" r:id="rId978" xr:uid="{00000000-0004-0000-0000-0000D1030000}"/>
    <hyperlink ref="A943" r:id="rId979" location="Faculty" xr:uid="{00000000-0004-0000-0000-0000D2030000}"/>
    <hyperlink ref="B943" r:id="rId980" xr:uid="{00000000-0004-0000-0000-0000D3030000}"/>
    <hyperlink ref="B944" r:id="rId981" xr:uid="{00000000-0004-0000-0000-0000D4030000}"/>
    <hyperlink ref="B945" r:id="rId982" xr:uid="{00000000-0004-0000-0000-0000D5030000}"/>
    <hyperlink ref="B946" r:id="rId983" xr:uid="{00000000-0004-0000-0000-0000D6030000}"/>
    <hyperlink ref="B947" r:id="rId984" xr:uid="{00000000-0004-0000-0000-0000D7030000}"/>
    <hyperlink ref="B948" r:id="rId985" xr:uid="{00000000-0004-0000-0000-0000D8030000}"/>
    <hyperlink ref="B949" r:id="rId986" xr:uid="{00000000-0004-0000-0000-0000D9030000}"/>
    <hyperlink ref="B950" r:id="rId987" xr:uid="{00000000-0004-0000-0000-0000DA030000}"/>
    <hyperlink ref="B951" r:id="rId988" xr:uid="{00000000-0004-0000-0000-0000DB030000}"/>
    <hyperlink ref="B952" r:id="rId989" xr:uid="{00000000-0004-0000-0000-0000DC030000}"/>
    <hyperlink ref="B953" r:id="rId990" xr:uid="{00000000-0004-0000-0000-0000DD030000}"/>
    <hyperlink ref="B954" r:id="rId991" xr:uid="{00000000-0004-0000-0000-0000DE030000}"/>
    <hyperlink ref="B955" r:id="rId992" xr:uid="{00000000-0004-0000-0000-0000DF030000}"/>
    <hyperlink ref="B956" r:id="rId993" xr:uid="{00000000-0004-0000-0000-0000E0030000}"/>
    <hyperlink ref="B957" r:id="rId994" xr:uid="{00000000-0004-0000-0000-0000E1030000}"/>
    <hyperlink ref="B958" r:id="rId995" xr:uid="{00000000-0004-0000-0000-0000E2030000}"/>
    <hyperlink ref="B959" r:id="rId996" xr:uid="{00000000-0004-0000-0000-0000E3030000}"/>
    <hyperlink ref="B960" r:id="rId997" xr:uid="{00000000-0004-0000-0000-0000E4030000}"/>
    <hyperlink ref="B961" r:id="rId998" xr:uid="{00000000-0004-0000-0000-0000E5030000}"/>
    <hyperlink ref="B962" r:id="rId999" xr:uid="{00000000-0004-0000-0000-0000E6030000}"/>
    <hyperlink ref="B963" r:id="rId1000" xr:uid="{00000000-0004-0000-0000-0000E7030000}"/>
    <hyperlink ref="B964" r:id="rId1001" xr:uid="{00000000-0004-0000-0000-0000E8030000}"/>
    <hyperlink ref="B965" r:id="rId1002" xr:uid="{00000000-0004-0000-0000-0000E9030000}"/>
    <hyperlink ref="B966" r:id="rId1003" xr:uid="{00000000-0004-0000-0000-0000EA030000}"/>
    <hyperlink ref="B967" r:id="rId1004" xr:uid="{00000000-0004-0000-0000-0000EB030000}"/>
    <hyperlink ref="B968" r:id="rId1005" xr:uid="{00000000-0004-0000-0000-0000EC030000}"/>
    <hyperlink ref="B969" r:id="rId1006" xr:uid="{00000000-0004-0000-0000-0000ED030000}"/>
    <hyperlink ref="B970" r:id="rId1007" xr:uid="{00000000-0004-0000-0000-0000EE030000}"/>
    <hyperlink ref="B971" r:id="rId1008" xr:uid="{00000000-0004-0000-0000-0000EF030000}"/>
    <hyperlink ref="B972" r:id="rId1009" xr:uid="{00000000-0004-0000-0000-0000F0030000}"/>
    <hyperlink ref="B973" r:id="rId1010" xr:uid="{00000000-0004-0000-0000-0000F1030000}"/>
    <hyperlink ref="B974" r:id="rId1011" xr:uid="{00000000-0004-0000-0000-0000F2030000}"/>
    <hyperlink ref="B975" r:id="rId1012" xr:uid="{00000000-0004-0000-0000-0000F3030000}"/>
    <hyperlink ref="B976" r:id="rId1013" xr:uid="{00000000-0004-0000-0000-0000F4030000}"/>
    <hyperlink ref="B977" r:id="rId1014" xr:uid="{00000000-0004-0000-0000-0000F5030000}"/>
    <hyperlink ref="B978" r:id="rId1015" xr:uid="{00000000-0004-0000-0000-0000F6030000}"/>
    <hyperlink ref="B979" r:id="rId1016" xr:uid="{00000000-0004-0000-0000-0000F7030000}"/>
    <hyperlink ref="B980" r:id="rId1017" xr:uid="{00000000-0004-0000-0000-0000F8030000}"/>
    <hyperlink ref="B981" r:id="rId1018" xr:uid="{00000000-0004-0000-0000-0000F9030000}"/>
    <hyperlink ref="B982" r:id="rId1019" xr:uid="{00000000-0004-0000-0000-0000FA030000}"/>
    <hyperlink ref="B983" r:id="rId1020" xr:uid="{00000000-0004-0000-0000-0000FB030000}"/>
    <hyperlink ref="B984" r:id="rId1021" xr:uid="{00000000-0004-0000-0000-0000FC030000}"/>
    <hyperlink ref="B985" r:id="rId1022" xr:uid="{00000000-0004-0000-0000-0000FD030000}"/>
    <hyperlink ref="B986" r:id="rId1023" xr:uid="{00000000-0004-0000-0000-0000FE030000}"/>
    <hyperlink ref="B987" r:id="rId1024" xr:uid="{00000000-0004-0000-0000-0000FF030000}"/>
    <hyperlink ref="D988" r:id="rId1025" xr:uid="{00000000-0004-0000-0000-000000040000}"/>
    <hyperlink ref="B989" r:id="rId1026" xr:uid="{00000000-0004-0000-0000-000001040000}"/>
    <hyperlink ref="B990" r:id="rId1027" xr:uid="{00000000-0004-0000-0000-000002040000}"/>
    <hyperlink ref="B991" r:id="rId1028" xr:uid="{00000000-0004-0000-0000-000003040000}"/>
    <hyperlink ref="B992" r:id="rId1029" xr:uid="{00000000-0004-0000-0000-000004040000}"/>
    <hyperlink ref="B993" r:id="rId1030" xr:uid="{00000000-0004-0000-0000-000005040000}"/>
    <hyperlink ref="B994" r:id="rId1031" xr:uid="{00000000-0004-0000-0000-000006040000}"/>
    <hyperlink ref="B995" r:id="rId1032" xr:uid="{00000000-0004-0000-0000-000007040000}"/>
    <hyperlink ref="B996" r:id="rId1033" xr:uid="{00000000-0004-0000-0000-000008040000}"/>
    <hyperlink ref="B997" r:id="rId1034" xr:uid="{00000000-0004-0000-0000-000009040000}"/>
    <hyperlink ref="B998" r:id="rId1035" xr:uid="{00000000-0004-0000-0000-00000A040000}"/>
    <hyperlink ref="B999" r:id="rId1036" xr:uid="{00000000-0004-0000-0000-00000B040000}"/>
    <hyperlink ref="B1000" r:id="rId1037" xr:uid="{00000000-0004-0000-0000-00000C040000}"/>
    <hyperlink ref="B1001" r:id="rId1038" xr:uid="{00000000-0004-0000-0000-00000D040000}"/>
    <hyperlink ref="B1002" r:id="rId1039" xr:uid="{00000000-0004-0000-0000-00000E040000}"/>
    <hyperlink ref="B1003" r:id="rId1040" xr:uid="{00000000-0004-0000-0000-00000F040000}"/>
    <hyperlink ref="B1004" r:id="rId1041" xr:uid="{00000000-0004-0000-0000-000010040000}"/>
    <hyperlink ref="B1006" r:id="rId1042" xr:uid="{00000000-0004-0000-0000-000011040000}"/>
    <hyperlink ref="B1007" r:id="rId1043" xr:uid="{00000000-0004-0000-0000-000012040000}"/>
    <hyperlink ref="B1008" r:id="rId1044" xr:uid="{00000000-0004-0000-0000-000013040000}"/>
    <hyperlink ref="B1009" r:id="rId1045" xr:uid="{00000000-0004-0000-0000-000014040000}"/>
    <hyperlink ref="B1010" r:id="rId1046" xr:uid="{00000000-0004-0000-0000-000015040000}"/>
    <hyperlink ref="B1012" r:id="rId1047" xr:uid="{00000000-0004-0000-0000-000016040000}"/>
    <hyperlink ref="B1013" r:id="rId1048" xr:uid="{00000000-0004-0000-0000-000017040000}"/>
    <hyperlink ref="B1014" r:id="rId1049" xr:uid="{00000000-0004-0000-0000-000018040000}"/>
    <hyperlink ref="B1015" r:id="rId1050" xr:uid="{00000000-0004-0000-0000-000019040000}"/>
    <hyperlink ref="B1016" r:id="rId1051" xr:uid="{00000000-0004-0000-0000-00001A040000}"/>
    <hyperlink ref="B1017" r:id="rId1052" xr:uid="{00000000-0004-0000-0000-00001B040000}"/>
    <hyperlink ref="B1018" r:id="rId1053" xr:uid="{00000000-0004-0000-0000-00001C040000}"/>
    <hyperlink ref="B1019" r:id="rId1054" xr:uid="{00000000-0004-0000-0000-00001D040000}"/>
    <hyperlink ref="B1020" r:id="rId1055" xr:uid="{00000000-0004-0000-0000-00001E040000}"/>
    <hyperlink ref="B1021" r:id="rId1056" xr:uid="{00000000-0004-0000-0000-00001F040000}"/>
    <hyperlink ref="B1023" r:id="rId1057" xr:uid="{00000000-0004-0000-0000-000020040000}"/>
    <hyperlink ref="B1024" r:id="rId1058" xr:uid="{00000000-0004-0000-0000-000021040000}"/>
    <hyperlink ref="B1025" r:id="rId1059" xr:uid="{00000000-0004-0000-0000-000022040000}"/>
    <hyperlink ref="B1026" r:id="rId1060" xr:uid="{00000000-0004-0000-0000-000023040000}"/>
    <hyperlink ref="B1027" r:id="rId1061" xr:uid="{00000000-0004-0000-0000-000024040000}"/>
    <hyperlink ref="B1028" r:id="rId1062" xr:uid="{00000000-0004-0000-0000-000025040000}"/>
    <hyperlink ref="B1030" r:id="rId1063" xr:uid="{00000000-0004-0000-0000-000026040000}"/>
    <hyperlink ref="B1031" r:id="rId1064" xr:uid="{00000000-0004-0000-0000-000027040000}"/>
    <hyperlink ref="B1032" r:id="rId1065" xr:uid="{00000000-0004-0000-0000-000028040000}"/>
    <hyperlink ref="B1033" r:id="rId1066" xr:uid="{00000000-0004-0000-0000-000029040000}"/>
    <hyperlink ref="B1034" r:id="rId1067" xr:uid="{00000000-0004-0000-0000-00002A040000}"/>
    <hyperlink ref="B1035" r:id="rId1068" xr:uid="{00000000-0004-0000-0000-00002B040000}"/>
    <hyperlink ref="B1036" r:id="rId1069" xr:uid="{00000000-0004-0000-0000-00002C040000}"/>
    <hyperlink ref="B1037" r:id="rId1070" xr:uid="{00000000-0004-0000-0000-00002D040000}"/>
    <hyperlink ref="B1038" r:id="rId1071" xr:uid="{00000000-0004-0000-0000-00002E040000}"/>
    <hyperlink ref="B1039" r:id="rId1072" xr:uid="{00000000-0004-0000-0000-00002F040000}"/>
    <hyperlink ref="B1041" r:id="rId1073" xr:uid="{00000000-0004-0000-0000-000030040000}"/>
    <hyperlink ref="B1043" r:id="rId1074" xr:uid="{00000000-0004-0000-0000-000031040000}"/>
    <hyperlink ref="A1044" r:id="rId1075" location="mae" xr:uid="{00000000-0004-0000-0000-000032040000}"/>
    <hyperlink ref="B1044" r:id="rId1076" xr:uid="{00000000-0004-0000-0000-000033040000}"/>
    <hyperlink ref="B1045" r:id="rId1077" xr:uid="{00000000-0004-0000-0000-000034040000}"/>
    <hyperlink ref="B1046" r:id="rId1078" xr:uid="{00000000-0004-0000-0000-000035040000}"/>
    <hyperlink ref="B1047" r:id="rId1079" xr:uid="{00000000-0004-0000-0000-000036040000}"/>
    <hyperlink ref="B1048" r:id="rId1080" xr:uid="{00000000-0004-0000-0000-000037040000}"/>
    <hyperlink ref="B1049" r:id="rId1081" xr:uid="{00000000-0004-0000-0000-000038040000}"/>
    <hyperlink ref="B1050" r:id="rId1082" xr:uid="{00000000-0004-0000-0000-000039040000}"/>
    <hyperlink ref="B1051" r:id="rId1083" xr:uid="{00000000-0004-0000-0000-00003A040000}"/>
    <hyperlink ref="B1052" r:id="rId1084" xr:uid="{00000000-0004-0000-0000-00003B040000}"/>
    <hyperlink ref="B1053" r:id="rId1085" xr:uid="{00000000-0004-0000-0000-00003C040000}"/>
    <hyperlink ref="B1054" r:id="rId1086" xr:uid="{00000000-0004-0000-0000-00003D040000}"/>
    <hyperlink ref="B1055" r:id="rId1087" xr:uid="{00000000-0004-0000-0000-00003E040000}"/>
    <hyperlink ref="B1056" r:id="rId1088" xr:uid="{00000000-0004-0000-0000-00003F040000}"/>
    <hyperlink ref="B1057" r:id="rId1089" xr:uid="{00000000-0004-0000-0000-000040040000}"/>
    <hyperlink ref="B1058" r:id="rId1090" xr:uid="{00000000-0004-0000-0000-000041040000}"/>
    <hyperlink ref="B1059" r:id="rId1091" xr:uid="{00000000-0004-0000-0000-000042040000}"/>
    <hyperlink ref="B1060" r:id="rId1092" xr:uid="{00000000-0004-0000-0000-000043040000}"/>
    <hyperlink ref="B1062" r:id="rId1093" xr:uid="{00000000-0004-0000-0000-000044040000}"/>
    <hyperlink ref="B1063" r:id="rId1094" xr:uid="{00000000-0004-0000-0000-000045040000}"/>
    <hyperlink ref="B1064" r:id="rId1095" xr:uid="{00000000-0004-0000-0000-000046040000}"/>
    <hyperlink ref="B1065" r:id="rId1096" xr:uid="{00000000-0004-0000-0000-000047040000}"/>
    <hyperlink ref="B1066" r:id="rId1097" xr:uid="{00000000-0004-0000-0000-000048040000}"/>
    <hyperlink ref="B1067" r:id="rId1098" xr:uid="{00000000-0004-0000-0000-000049040000}"/>
    <hyperlink ref="B1068" r:id="rId1099" xr:uid="{00000000-0004-0000-0000-00004A040000}"/>
    <hyperlink ref="B1069" r:id="rId1100" xr:uid="{00000000-0004-0000-0000-00004B040000}"/>
    <hyperlink ref="B1070" r:id="rId1101" xr:uid="{00000000-0004-0000-0000-00004C040000}"/>
    <hyperlink ref="B1071" r:id="rId1102" xr:uid="{00000000-0004-0000-0000-00004D040000}"/>
    <hyperlink ref="B1072" r:id="rId1103" xr:uid="{00000000-0004-0000-0000-00004E040000}"/>
    <hyperlink ref="B1073" r:id="rId1104" xr:uid="{00000000-0004-0000-0000-00004F040000}"/>
    <hyperlink ref="B1074" r:id="rId1105" xr:uid="{00000000-0004-0000-0000-000050040000}"/>
    <hyperlink ref="B1075" r:id="rId1106" xr:uid="{00000000-0004-0000-0000-000051040000}"/>
    <hyperlink ref="B1076" r:id="rId1107" xr:uid="{00000000-0004-0000-0000-000052040000}"/>
    <hyperlink ref="B1077" r:id="rId1108" xr:uid="{00000000-0004-0000-0000-000053040000}"/>
    <hyperlink ref="B1078" r:id="rId1109" xr:uid="{00000000-0004-0000-0000-000054040000}"/>
    <hyperlink ref="B1079" r:id="rId1110" xr:uid="{00000000-0004-0000-0000-000055040000}"/>
    <hyperlink ref="B1081" r:id="rId1111" xr:uid="{00000000-0004-0000-0000-000056040000}"/>
    <hyperlink ref="A1083" r:id="rId1112" xr:uid="{00000000-0004-0000-0000-000057040000}"/>
    <hyperlink ref="B1083" r:id="rId1113" xr:uid="{00000000-0004-0000-0000-000058040000}"/>
    <hyperlink ref="B1085" r:id="rId1114" xr:uid="{00000000-0004-0000-0000-000059040000}"/>
    <hyperlink ref="B1086" r:id="rId1115" xr:uid="{00000000-0004-0000-0000-00005A040000}"/>
    <hyperlink ref="B1087" r:id="rId1116" xr:uid="{00000000-0004-0000-0000-00005B040000}"/>
    <hyperlink ref="B1089" r:id="rId1117" xr:uid="{00000000-0004-0000-0000-00005C040000}"/>
    <hyperlink ref="B1090" r:id="rId1118" xr:uid="{00000000-0004-0000-0000-00005D040000}"/>
    <hyperlink ref="B1092" r:id="rId1119" xr:uid="{00000000-0004-0000-0000-00005E040000}"/>
    <hyperlink ref="B1093" r:id="rId1120" xr:uid="{00000000-0004-0000-0000-00005F040000}"/>
    <hyperlink ref="B1094" r:id="rId1121" xr:uid="{00000000-0004-0000-0000-000060040000}"/>
    <hyperlink ref="B1095" r:id="rId1122" xr:uid="{00000000-0004-0000-0000-000061040000}"/>
    <hyperlink ref="B1096" r:id="rId1123" xr:uid="{00000000-0004-0000-0000-000062040000}"/>
    <hyperlink ref="B1097" r:id="rId1124" xr:uid="{00000000-0004-0000-0000-000063040000}"/>
    <hyperlink ref="B1098" r:id="rId1125" xr:uid="{00000000-0004-0000-0000-000064040000}"/>
    <hyperlink ref="B1099" r:id="rId1126" xr:uid="{00000000-0004-0000-0000-000065040000}"/>
    <hyperlink ref="B1100" r:id="rId1127" xr:uid="{00000000-0004-0000-0000-000066040000}"/>
    <hyperlink ref="B1101" r:id="rId1128" xr:uid="{00000000-0004-0000-0000-000067040000}"/>
    <hyperlink ref="B1102" r:id="rId1129" xr:uid="{00000000-0004-0000-0000-000068040000}"/>
    <hyperlink ref="B1103" r:id="rId1130" xr:uid="{00000000-0004-0000-0000-000069040000}"/>
    <hyperlink ref="B1104" r:id="rId1131" xr:uid="{00000000-0004-0000-0000-00006A040000}"/>
    <hyperlink ref="B1105" r:id="rId1132" xr:uid="{00000000-0004-0000-0000-00006B040000}"/>
    <hyperlink ref="B1107" r:id="rId1133" xr:uid="{00000000-0004-0000-0000-00006C040000}"/>
    <hyperlink ref="B1108" r:id="rId1134" xr:uid="{00000000-0004-0000-0000-00006D040000}"/>
    <hyperlink ref="B1109" r:id="rId1135" xr:uid="{00000000-0004-0000-0000-00006E040000}"/>
    <hyperlink ref="B1110" r:id="rId1136" xr:uid="{00000000-0004-0000-0000-00006F040000}"/>
    <hyperlink ref="B1111" r:id="rId1137" xr:uid="{00000000-0004-0000-0000-000070040000}"/>
    <hyperlink ref="B1112" r:id="rId1138" xr:uid="{00000000-0004-0000-0000-000071040000}"/>
    <hyperlink ref="B1113" r:id="rId1139" xr:uid="{00000000-0004-0000-0000-000072040000}"/>
    <hyperlink ref="B1114" r:id="rId1140" xr:uid="{00000000-0004-0000-0000-000073040000}"/>
    <hyperlink ref="B1115" r:id="rId1141" xr:uid="{00000000-0004-0000-0000-000074040000}"/>
    <hyperlink ref="B1116" r:id="rId1142" xr:uid="{00000000-0004-0000-0000-000075040000}"/>
    <hyperlink ref="B1117" r:id="rId1143" xr:uid="{00000000-0004-0000-0000-000076040000}"/>
    <hyperlink ref="B1118" r:id="rId1144" xr:uid="{00000000-0004-0000-0000-000077040000}"/>
    <hyperlink ref="B1119" r:id="rId1145" xr:uid="{00000000-0004-0000-0000-000078040000}"/>
    <hyperlink ref="B1120" r:id="rId1146" xr:uid="{00000000-0004-0000-0000-000079040000}"/>
    <hyperlink ref="B1121" r:id="rId1147" xr:uid="{00000000-0004-0000-0000-00007A040000}"/>
    <hyperlink ref="B1122" r:id="rId1148" xr:uid="{00000000-0004-0000-0000-00007B040000}"/>
    <hyperlink ref="B1123" r:id="rId1149" xr:uid="{00000000-0004-0000-0000-00007C040000}"/>
    <hyperlink ref="B1124" r:id="rId1150" xr:uid="{00000000-0004-0000-0000-00007D040000}"/>
    <hyperlink ref="B1125" r:id="rId1151" xr:uid="{00000000-0004-0000-0000-00007E040000}"/>
    <hyperlink ref="B1126" r:id="rId1152" xr:uid="{00000000-0004-0000-0000-00007F040000}"/>
    <hyperlink ref="B1127" r:id="rId1153" xr:uid="{00000000-0004-0000-0000-000080040000}"/>
    <hyperlink ref="B1128" r:id="rId1154" xr:uid="{00000000-0004-0000-0000-000081040000}"/>
    <hyperlink ref="B1129" r:id="rId1155" xr:uid="{00000000-0004-0000-0000-000082040000}"/>
    <hyperlink ref="B1130" r:id="rId1156" xr:uid="{00000000-0004-0000-0000-000083040000}"/>
    <hyperlink ref="B1131" r:id="rId1157" xr:uid="{00000000-0004-0000-0000-000084040000}"/>
    <hyperlink ref="B1132" r:id="rId1158" xr:uid="{00000000-0004-0000-0000-000085040000}"/>
    <hyperlink ref="B1133" r:id="rId1159" xr:uid="{00000000-0004-0000-0000-000086040000}"/>
    <hyperlink ref="B1134" r:id="rId1160" xr:uid="{00000000-0004-0000-0000-000087040000}"/>
    <hyperlink ref="B1135" r:id="rId1161" xr:uid="{00000000-0004-0000-0000-000088040000}"/>
    <hyperlink ref="B1136" r:id="rId1162" xr:uid="{00000000-0004-0000-0000-000089040000}"/>
    <hyperlink ref="B1137" r:id="rId1163" xr:uid="{00000000-0004-0000-0000-00008A040000}"/>
    <hyperlink ref="B1138" r:id="rId1164" xr:uid="{00000000-0004-0000-0000-00008B040000}"/>
    <hyperlink ref="B1139" r:id="rId1165" xr:uid="{00000000-0004-0000-0000-00008C040000}"/>
    <hyperlink ref="B1140" r:id="rId1166" xr:uid="{00000000-0004-0000-0000-00008D040000}"/>
    <hyperlink ref="B1141" r:id="rId1167" xr:uid="{00000000-0004-0000-0000-00008E040000}"/>
    <hyperlink ref="B1143" r:id="rId1168" xr:uid="{00000000-0004-0000-0000-00008F040000}"/>
    <hyperlink ref="A1144" r:id="rId1169" xr:uid="{00000000-0004-0000-0000-000090040000}"/>
    <hyperlink ref="B1144" r:id="rId1170" xr:uid="{00000000-0004-0000-0000-000091040000}"/>
    <hyperlink ref="B1145" r:id="rId1171" xr:uid="{00000000-0004-0000-0000-000092040000}"/>
    <hyperlink ref="B1146" r:id="rId1172" xr:uid="{00000000-0004-0000-0000-000093040000}"/>
    <hyperlink ref="B1147" r:id="rId1173" xr:uid="{00000000-0004-0000-0000-000094040000}"/>
    <hyperlink ref="B1148" r:id="rId1174" xr:uid="{00000000-0004-0000-0000-000095040000}"/>
    <hyperlink ref="B1149" r:id="rId1175" xr:uid="{00000000-0004-0000-0000-000096040000}"/>
    <hyperlink ref="B1150" r:id="rId1176" xr:uid="{00000000-0004-0000-0000-000097040000}"/>
    <hyperlink ref="B1151" r:id="rId1177" xr:uid="{00000000-0004-0000-0000-000098040000}"/>
    <hyperlink ref="B1152" r:id="rId1178" xr:uid="{00000000-0004-0000-0000-000099040000}"/>
    <hyperlink ref="B1153" r:id="rId1179" xr:uid="{00000000-0004-0000-0000-00009A040000}"/>
    <hyperlink ref="B1154" r:id="rId1180" xr:uid="{00000000-0004-0000-0000-00009B040000}"/>
    <hyperlink ref="B1155" r:id="rId1181" xr:uid="{00000000-0004-0000-0000-00009C040000}"/>
    <hyperlink ref="B1156" r:id="rId1182" xr:uid="{00000000-0004-0000-0000-00009D040000}"/>
    <hyperlink ref="B1157" r:id="rId1183" xr:uid="{00000000-0004-0000-0000-00009E040000}"/>
    <hyperlink ref="B1158" r:id="rId1184" xr:uid="{00000000-0004-0000-0000-00009F040000}"/>
    <hyperlink ref="B1159" r:id="rId1185" xr:uid="{00000000-0004-0000-0000-0000A0040000}"/>
    <hyperlink ref="B1160" r:id="rId1186" xr:uid="{00000000-0004-0000-0000-0000A1040000}"/>
    <hyperlink ref="B1161" r:id="rId1187" xr:uid="{00000000-0004-0000-0000-0000A2040000}"/>
    <hyperlink ref="B1162" r:id="rId1188" xr:uid="{00000000-0004-0000-0000-0000A3040000}"/>
    <hyperlink ref="B1163" r:id="rId1189" xr:uid="{00000000-0004-0000-0000-0000A4040000}"/>
    <hyperlink ref="B1164" r:id="rId1190" xr:uid="{00000000-0004-0000-0000-0000A5040000}"/>
    <hyperlink ref="B1165" r:id="rId1191" xr:uid="{00000000-0004-0000-0000-0000A6040000}"/>
    <hyperlink ref="B1166" r:id="rId1192" xr:uid="{00000000-0004-0000-0000-0000A7040000}"/>
    <hyperlink ref="B1167" r:id="rId1193" xr:uid="{00000000-0004-0000-0000-0000A8040000}"/>
    <hyperlink ref="B1168" r:id="rId1194" xr:uid="{00000000-0004-0000-0000-0000A9040000}"/>
    <hyperlink ref="B1169" r:id="rId1195" xr:uid="{00000000-0004-0000-0000-0000AA040000}"/>
    <hyperlink ref="B1170" r:id="rId1196" xr:uid="{00000000-0004-0000-0000-0000AB040000}"/>
    <hyperlink ref="B1171" r:id="rId1197" xr:uid="{00000000-0004-0000-0000-0000AC040000}"/>
    <hyperlink ref="B1172" r:id="rId1198" xr:uid="{00000000-0004-0000-0000-0000AD040000}"/>
    <hyperlink ref="B1173" r:id="rId1199" xr:uid="{00000000-0004-0000-0000-0000AE040000}"/>
    <hyperlink ref="B1174" r:id="rId1200" xr:uid="{00000000-0004-0000-0000-0000AF040000}"/>
    <hyperlink ref="B1176" r:id="rId1201" xr:uid="{00000000-0004-0000-0000-0000B0040000}"/>
    <hyperlink ref="B1177" r:id="rId1202" xr:uid="{00000000-0004-0000-0000-0000B1040000}"/>
    <hyperlink ref="B1178" r:id="rId1203" xr:uid="{00000000-0004-0000-0000-0000B2040000}"/>
    <hyperlink ref="B1179" r:id="rId1204" xr:uid="{00000000-0004-0000-0000-0000B3040000}"/>
    <hyperlink ref="B1180" r:id="rId1205" xr:uid="{00000000-0004-0000-0000-0000B4040000}"/>
    <hyperlink ref="B1181" r:id="rId1206" xr:uid="{00000000-0004-0000-0000-0000B5040000}"/>
    <hyperlink ref="B1182" r:id="rId1207" xr:uid="{00000000-0004-0000-0000-0000B6040000}"/>
    <hyperlink ref="B1183" r:id="rId1208" xr:uid="{00000000-0004-0000-0000-0000B7040000}"/>
    <hyperlink ref="B1184" r:id="rId1209" xr:uid="{00000000-0004-0000-0000-0000B8040000}"/>
    <hyperlink ref="B1185" r:id="rId1210" xr:uid="{00000000-0004-0000-0000-0000B9040000}"/>
    <hyperlink ref="B1186" r:id="rId1211" xr:uid="{00000000-0004-0000-0000-0000BA040000}"/>
    <hyperlink ref="B1187" r:id="rId1212" xr:uid="{00000000-0004-0000-0000-0000BB040000}"/>
    <hyperlink ref="B1188" r:id="rId1213" xr:uid="{00000000-0004-0000-0000-0000BC040000}"/>
    <hyperlink ref="B1189" r:id="rId1214" xr:uid="{00000000-0004-0000-0000-0000BD040000}"/>
    <hyperlink ref="B1190" r:id="rId1215" xr:uid="{00000000-0004-0000-0000-0000BE040000}"/>
    <hyperlink ref="B1191" r:id="rId1216" xr:uid="{00000000-0004-0000-0000-0000BF040000}"/>
    <hyperlink ref="B1192" r:id="rId1217" xr:uid="{00000000-0004-0000-0000-0000C0040000}"/>
    <hyperlink ref="B1193" r:id="rId1218" xr:uid="{00000000-0004-0000-0000-0000C1040000}"/>
    <hyperlink ref="B1194" r:id="rId1219" xr:uid="{00000000-0004-0000-0000-0000C2040000}"/>
    <hyperlink ref="B1195" r:id="rId1220" xr:uid="{00000000-0004-0000-0000-0000C3040000}"/>
    <hyperlink ref="B1196" r:id="rId1221" xr:uid="{00000000-0004-0000-0000-0000C4040000}"/>
    <hyperlink ref="B1197" r:id="rId1222" xr:uid="{00000000-0004-0000-0000-0000C5040000}"/>
    <hyperlink ref="B1199" r:id="rId1223" xr:uid="{00000000-0004-0000-0000-0000C6040000}"/>
    <hyperlink ref="A1200" r:id="rId1224" xr:uid="{00000000-0004-0000-0000-0000C7040000}"/>
    <hyperlink ref="B1200" r:id="rId1225" xr:uid="{00000000-0004-0000-0000-0000C8040000}"/>
    <hyperlink ref="B1201" r:id="rId1226" xr:uid="{00000000-0004-0000-0000-0000C9040000}"/>
    <hyperlink ref="B1202" r:id="rId1227" xr:uid="{00000000-0004-0000-0000-0000CA040000}"/>
    <hyperlink ref="B1203" r:id="rId1228" xr:uid="{00000000-0004-0000-0000-0000CB040000}"/>
    <hyperlink ref="B1204" r:id="rId1229" xr:uid="{00000000-0004-0000-0000-0000CC040000}"/>
    <hyperlink ref="B1205" r:id="rId1230" xr:uid="{00000000-0004-0000-0000-0000CD040000}"/>
    <hyperlink ref="B1206" r:id="rId1231" xr:uid="{00000000-0004-0000-0000-0000CE040000}"/>
    <hyperlink ref="B1207" r:id="rId1232" xr:uid="{00000000-0004-0000-0000-0000CF040000}"/>
    <hyperlink ref="B1208" r:id="rId1233" xr:uid="{00000000-0004-0000-0000-0000D0040000}"/>
    <hyperlink ref="B1209" r:id="rId1234" xr:uid="{00000000-0004-0000-0000-0000D1040000}"/>
    <hyperlink ref="B1210" r:id="rId1235" xr:uid="{00000000-0004-0000-0000-0000D2040000}"/>
    <hyperlink ref="B1211" r:id="rId1236" xr:uid="{00000000-0004-0000-0000-0000D3040000}"/>
    <hyperlink ref="B1212" r:id="rId1237" xr:uid="{00000000-0004-0000-0000-0000D4040000}"/>
    <hyperlink ref="B1213" r:id="rId1238" xr:uid="{00000000-0004-0000-0000-0000D5040000}"/>
    <hyperlink ref="B1214" r:id="rId1239" xr:uid="{00000000-0004-0000-0000-0000D6040000}"/>
    <hyperlink ref="B1215" r:id="rId1240" xr:uid="{00000000-0004-0000-0000-0000D7040000}"/>
    <hyperlink ref="B1216" r:id="rId1241" xr:uid="{00000000-0004-0000-0000-0000D8040000}"/>
    <hyperlink ref="B1217" r:id="rId1242" xr:uid="{00000000-0004-0000-0000-0000D9040000}"/>
    <hyperlink ref="B1218" r:id="rId1243" xr:uid="{00000000-0004-0000-0000-0000DA040000}"/>
    <hyperlink ref="B1219" r:id="rId1244" xr:uid="{00000000-0004-0000-0000-0000DB040000}"/>
    <hyperlink ref="B1220" r:id="rId1245" xr:uid="{00000000-0004-0000-0000-0000DC040000}"/>
    <hyperlink ref="B1221" r:id="rId1246" xr:uid="{00000000-0004-0000-0000-0000DD040000}"/>
    <hyperlink ref="B1222" r:id="rId1247" xr:uid="{00000000-0004-0000-0000-0000DE040000}"/>
    <hyperlink ref="B1223" r:id="rId1248" xr:uid="{00000000-0004-0000-0000-0000DF040000}"/>
    <hyperlink ref="B1224" r:id="rId1249" xr:uid="{00000000-0004-0000-0000-0000E0040000}"/>
    <hyperlink ref="B1225" r:id="rId1250" xr:uid="{00000000-0004-0000-0000-0000E1040000}"/>
    <hyperlink ref="B1226" r:id="rId1251" xr:uid="{00000000-0004-0000-0000-0000E2040000}"/>
    <hyperlink ref="B1227" r:id="rId1252" xr:uid="{00000000-0004-0000-0000-0000E3040000}"/>
    <hyperlink ref="B1228" r:id="rId1253" xr:uid="{00000000-0004-0000-0000-0000E4040000}"/>
    <hyperlink ref="B1229" r:id="rId1254" xr:uid="{00000000-0004-0000-0000-0000E5040000}"/>
    <hyperlink ref="B1230" r:id="rId1255" xr:uid="{00000000-0004-0000-0000-0000E6040000}"/>
    <hyperlink ref="B1231" r:id="rId1256" xr:uid="{00000000-0004-0000-0000-0000E7040000}"/>
    <hyperlink ref="B1232" r:id="rId1257" xr:uid="{00000000-0004-0000-0000-0000E8040000}"/>
    <hyperlink ref="B1233" r:id="rId1258" xr:uid="{00000000-0004-0000-0000-0000E9040000}"/>
    <hyperlink ref="B1234" r:id="rId1259" xr:uid="{00000000-0004-0000-0000-0000EA040000}"/>
    <hyperlink ref="B1235" r:id="rId1260" xr:uid="{00000000-0004-0000-0000-0000EB040000}"/>
    <hyperlink ref="B1236" r:id="rId1261" xr:uid="{00000000-0004-0000-0000-0000EC040000}"/>
    <hyperlink ref="B1237" r:id="rId1262" xr:uid="{00000000-0004-0000-0000-0000ED040000}"/>
    <hyperlink ref="B1238" r:id="rId1263" xr:uid="{00000000-0004-0000-0000-0000EE040000}"/>
    <hyperlink ref="B1239" r:id="rId1264" xr:uid="{00000000-0004-0000-0000-0000EF040000}"/>
    <hyperlink ref="B1240" r:id="rId1265" xr:uid="{00000000-0004-0000-0000-0000F0040000}"/>
    <hyperlink ref="B1246" r:id="rId1266" xr:uid="{00000000-0004-0000-0000-0000F1040000}"/>
    <hyperlink ref="A1247" r:id="rId1267" xr:uid="{00000000-0004-0000-0000-0000F2040000}"/>
    <hyperlink ref="B1247" r:id="rId1268" xr:uid="{00000000-0004-0000-0000-0000F3040000}"/>
    <hyperlink ref="B1248" r:id="rId1269" xr:uid="{00000000-0004-0000-0000-0000F4040000}"/>
    <hyperlink ref="B1249" r:id="rId1270" xr:uid="{00000000-0004-0000-0000-0000F5040000}"/>
    <hyperlink ref="B1250" r:id="rId1271" xr:uid="{00000000-0004-0000-0000-0000F6040000}"/>
    <hyperlink ref="B1251" r:id="rId1272" xr:uid="{00000000-0004-0000-0000-0000F7040000}"/>
    <hyperlink ref="B1252" r:id="rId1273" xr:uid="{00000000-0004-0000-0000-0000F8040000}"/>
    <hyperlink ref="B1253" r:id="rId1274" xr:uid="{00000000-0004-0000-0000-0000F9040000}"/>
    <hyperlink ref="B1254" r:id="rId1275" xr:uid="{00000000-0004-0000-0000-0000FA040000}"/>
    <hyperlink ref="B1255" r:id="rId1276" xr:uid="{00000000-0004-0000-0000-0000FB040000}"/>
    <hyperlink ref="B1256" r:id="rId1277" xr:uid="{00000000-0004-0000-0000-0000FC040000}"/>
    <hyperlink ref="B1257" r:id="rId1278" xr:uid="{00000000-0004-0000-0000-0000FD040000}"/>
    <hyperlink ref="B1258" r:id="rId1279" xr:uid="{00000000-0004-0000-0000-0000FE040000}"/>
    <hyperlink ref="B1259" r:id="rId1280" xr:uid="{00000000-0004-0000-0000-0000FF040000}"/>
    <hyperlink ref="B1260" r:id="rId1281" xr:uid="{00000000-0004-0000-0000-000000050000}"/>
    <hyperlink ref="B1261" r:id="rId1282" xr:uid="{00000000-0004-0000-0000-000001050000}"/>
    <hyperlink ref="B1262" r:id="rId1283" xr:uid="{00000000-0004-0000-0000-000002050000}"/>
    <hyperlink ref="B1263" r:id="rId1284" xr:uid="{00000000-0004-0000-0000-000003050000}"/>
    <hyperlink ref="B1264" r:id="rId1285" xr:uid="{00000000-0004-0000-0000-000004050000}"/>
    <hyperlink ref="B1265" r:id="rId1286" xr:uid="{00000000-0004-0000-0000-000005050000}"/>
    <hyperlink ref="B1266" r:id="rId1287" xr:uid="{00000000-0004-0000-0000-000006050000}"/>
    <hyperlink ref="B1267" r:id="rId1288" xr:uid="{00000000-0004-0000-0000-000007050000}"/>
    <hyperlink ref="B1268" r:id="rId1289" xr:uid="{00000000-0004-0000-0000-000008050000}"/>
    <hyperlink ref="B1269" r:id="rId1290" xr:uid="{00000000-0004-0000-0000-000009050000}"/>
    <hyperlink ref="B1270" r:id="rId1291" xr:uid="{00000000-0004-0000-0000-00000A050000}"/>
    <hyperlink ref="B1271" r:id="rId1292" xr:uid="{00000000-0004-0000-0000-00000B050000}"/>
    <hyperlink ref="B1272" r:id="rId1293" xr:uid="{00000000-0004-0000-0000-00000C050000}"/>
    <hyperlink ref="B1273" r:id="rId1294" xr:uid="{00000000-0004-0000-0000-00000D050000}"/>
    <hyperlink ref="B1274" r:id="rId1295" xr:uid="{00000000-0004-0000-0000-00000E050000}"/>
    <hyperlink ref="B1275" r:id="rId1296" xr:uid="{00000000-0004-0000-0000-00000F050000}"/>
    <hyperlink ref="B1276" r:id="rId1297" xr:uid="{00000000-0004-0000-0000-000010050000}"/>
    <hyperlink ref="B1277" r:id="rId1298" xr:uid="{00000000-0004-0000-0000-000011050000}"/>
    <hyperlink ref="B1278" r:id="rId1299" xr:uid="{00000000-0004-0000-0000-000012050000}"/>
    <hyperlink ref="B1279" r:id="rId1300" xr:uid="{00000000-0004-0000-0000-000013050000}"/>
    <hyperlink ref="B1280" r:id="rId1301" xr:uid="{00000000-0004-0000-0000-000014050000}"/>
    <hyperlink ref="B1281" r:id="rId1302" xr:uid="{00000000-0004-0000-0000-000015050000}"/>
    <hyperlink ref="B1282" r:id="rId1303" xr:uid="{00000000-0004-0000-0000-000016050000}"/>
    <hyperlink ref="B1283" r:id="rId1304" xr:uid="{00000000-0004-0000-0000-000017050000}"/>
    <hyperlink ref="B1285" r:id="rId1305" xr:uid="{00000000-0004-0000-0000-000018050000}"/>
    <hyperlink ref="A1286" r:id="rId1306" xr:uid="{00000000-0004-0000-0000-000019050000}"/>
    <hyperlink ref="B1286" r:id="rId1307" xr:uid="{00000000-0004-0000-0000-00001A050000}"/>
    <hyperlink ref="B1287" r:id="rId1308" xr:uid="{00000000-0004-0000-0000-00001B050000}"/>
    <hyperlink ref="B1288" r:id="rId1309" xr:uid="{00000000-0004-0000-0000-00001C050000}"/>
    <hyperlink ref="B1289" r:id="rId1310" xr:uid="{00000000-0004-0000-0000-00001D050000}"/>
    <hyperlink ref="B1290" r:id="rId1311" xr:uid="{00000000-0004-0000-0000-00001E050000}"/>
    <hyperlink ref="B1291" r:id="rId1312" xr:uid="{00000000-0004-0000-0000-00001F050000}"/>
    <hyperlink ref="B1292" r:id="rId1313" xr:uid="{00000000-0004-0000-0000-000020050000}"/>
    <hyperlink ref="B1293" r:id="rId1314" xr:uid="{00000000-0004-0000-0000-000021050000}"/>
    <hyperlink ref="B1294" r:id="rId1315" xr:uid="{00000000-0004-0000-0000-000022050000}"/>
    <hyperlink ref="B1295" r:id="rId1316" xr:uid="{00000000-0004-0000-0000-000023050000}"/>
    <hyperlink ref="B1296" r:id="rId1317" xr:uid="{00000000-0004-0000-0000-000024050000}"/>
    <hyperlink ref="B1297" r:id="rId1318" xr:uid="{00000000-0004-0000-0000-000025050000}"/>
    <hyperlink ref="B1298" r:id="rId1319" xr:uid="{00000000-0004-0000-0000-000026050000}"/>
    <hyperlink ref="B1299" r:id="rId1320" xr:uid="{00000000-0004-0000-0000-000027050000}"/>
    <hyperlink ref="B1300" r:id="rId1321" xr:uid="{00000000-0004-0000-0000-000028050000}"/>
    <hyperlink ref="B1301" r:id="rId1322" xr:uid="{00000000-0004-0000-0000-000029050000}"/>
    <hyperlink ref="B1302" r:id="rId1323" xr:uid="{00000000-0004-0000-0000-00002A050000}"/>
    <hyperlink ref="B1303" r:id="rId1324" xr:uid="{00000000-0004-0000-0000-00002B050000}"/>
    <hyperlink ref="B1304" r:id="rId1325" xr:uid="{00000000-0004-0000-0000-00002C050000}"/>
    <hyperlink ref="B1305" r:id="rId1326" xr:uid="{00000000-0004-0000-0000-00002D050000}"/>
    <hyperlink ref="B1306" r:id="rId1327" xr:uid="{00000000-0004-0000-0000-00002E050000}"/>
    <hyperlink ref="B1307" r:id="rId1328" xr:uid="{00000000-0004-0000-0000-00002F050000}"/>
    <hyperlink ref="B1308" r:id="rId1329" xr:uid="{00000000-0004-0000-0000-000030050000}"/>
    <hyperlink ref="B1309" r:id="rId1330" xr:uid="{00000000-0004-0000-0000-000031050000}"/>
    <hyperlink ref="B1310" r:id="rId1331" xr:uid="{00000000-0004-0000-0000-000032050000}"/>
    <hyperlink ref="B1311" r:id="rId1332" xr:uid="{00000000-0004-0000-0000-000033050000}"/>
    <hyperlink ref="B1312" r:id="rId1333" xr:uid="{00000000-0004-0000-0000-000034050000}"/>
    <hyperlink ref="B1313" r:id="rId1334" xr:uid="{00000000-0004-0000-0000-000035050000}"/>
    <hyperlink ref="B1314" r:id="rId1335" xr:uid="{00000000-0004-0000-0000-000036050000}"/>
    <hyperlink ref="B1315" r:id="rId1336" xr:uid="{00000000-0004-0000-0000-000037050000}"/>
    <hyperlink ref="B1316" r:id="rId1337" xr:uid="{00000000-0004-0000-0000-000038050000}"/>
    <hyperlink ref="B1317" r:id="rId1338" xr:uid="{00000000-0004-0000-0000-000039050000}"/>
    <hyperlink ref="B1318" r:id="rId1339" xr:uid="{00000000-0004-0000-0000-00003A050000}"/>
    <hyperlink ref="B1319" r:id="rId1340" xr:uid="{00000000-0004-0000-0000-00003B050000}"/>
    <hyperlink ref="B1320" r:id="rId1341" xr:uid="{00000000-0004-0000-0000-00003C050000}"/>
    <hyperlink ref="B1321" r:id="rId1342" xr:uid="{00000000-0004-0000-0000-00003D050000}"/>
    <hyperlink ref="B1322" r:id="rId1343" xr:uid="{00000000-0004-0000-0000-00003E050000}"/>
    <hyperlink ref="B1323" r:id="rId1344" xr:uid="{00000000-0004-0000-0000-00003F050000}"/>
    <hyperlink ref="B1324" r:id="rId1345" xr:uid="{00000000-0004-0000-0000-000040050000}"/>
    <hyperlink ref="B1325" r:id="rId1346" xr:uid="{00000000-0004-0000-0000-000041050000}"/>
    <hyperlink ref="B1326" r:id="rId1347" xr:uid="{00000000-0004-0000-0000-000042050000}"/>
    <hyperlink ref="B1327" r:id="rId1348" xr:uid="{00000000-0004-0000-0000-000043050000}"/>
    <hyperlink ref="B1328" r:id="rId1349" xr:uid="{00000000-0004-0000-0000-000044050000}"/>
    <hyperlink ref="B1329" r:id="rId1350" xr:uid="{00000000-0004-0000-0000-000045050000}"/>
    <hyperlink ref="B1330" r:id="rId1351" xr:uid="{00000000-0004-0000-0000-000046050000}"/>
    <hyperlink ref="B1331" r:id="rId1352" xr:uid="{00000000-0004-0000-0000-000047050000}"/>
    <hyperlink ref="B1332" r:id="rId1353" xr:uid="{00000000-0004-0000-0000-000048050000}"/>
    <hyperlink ref="B1333" r:id="rId1354" xr:uid="{00000000-0004-0000-0000-000049050000}"/>
    <hyperlink ref="B1334" r:id="rId1355" xr:uid="{00000000-0004-0000-0000-00004A050000}"/>
    <hyperlink ref="B1335" r:id="rId1356" xr:uid="{00000000-0004-0000-0000-00004B050000}"/>
    <hyperlink ref="B1336" r:id="rId1357" xr:uid="{00000000-0004-0000-0000-00004C050000}"/>
    <hyperlink ref="B1337" r:id="rId1358" xr:uid="{00000000-0004-0000-0000-00004D050000}"/>
    <hyperlink ref="B1338" r:id="rId1359" xr:uid="{00000000-0004-0000-0000-00004E050000}"/>
    <hyperlink ref="B1339" r:id="rId1360" xr:uid="{00000000-0004-0000-0000-00004F050000}"/>
    <hyperlink ref="B1340" r:id="rId1361" xr:uid="{00000000-0004-0000-0000-000050050000}"/>
    <hyperlink ref="B1341" r:id="rId1362" xr:uid="{00000000-0004-0000-0000-000051050000}"/>
    <hyperlink ref="B1342" r:id="rId1363" xr:uid="{00000000-0004-0000-0000-000052050000}"/>
    <hyperlink ref="B1343" r:id="rId1364" xr:uid="{00000000-0004-0000-0000-000053050000}"/>
    <hyperlink ref="B1344" r:id="rId1365" xr:uid="{00000000-0004-0000-0000-000054050000}"/>
    <hyperlink ref="B1345" r:id="rId1366" xr:uid="{00000000-0004-0000-0000-000055050000}"/>
    <hyperlink ref="B1347" r:id="rId1367" xr:uid="{00000000-0004-0000-0000-000056050000}"/>
    <hyperlink ref="A1348" r:id="rId1368" xr:uid="{00000000-0004-0000-0000-000057050000}"/>
    <hyperlink ref="B1348" r:id="rId1369" xr:uid="{00000000-0004-0000-0000-000058050000}"/>
    <hyperlink ref="B1349" r:id="rId1370" xr:uid="{00000000-0004-0000-0000-000059050000}"/>
    <hyperlink ref="B1350" r:id="rId1371" xr:uid="{00000000-0004-0000-0000-00005A050000}"/>
    <hyperlink ref="B1351" r:id="rId1372" xr:uid="{00000000-0004-0000-0000-00005B050000}"/>
    <hyperlink ref="B1352" r:id="rId1373" xr:uid="{00000000-0004-0000-0000-00005C050000}"/>
    <hyperlink ref="B1353" r:id="rId1374" xr:uid="{00000000-0004-0000-0000-00005D050000}"/>
    <hyperlink ref="B1354" r:id="rId1375" xr:uid="{00000000-0004-0000-0000-00005E050000}"/>
    <hyperlink ref="B1355" r:id="rId1376" xr:uid="{00000000-0004-0000-0000-00005F050000}"/>
    <hyperlink ref="B1356" r:id="rId1377" xr:uid="{00000000-0004-0000-0000-000060050000}"/>
    <hyperlink ref="B1357" r:id="rId1378" xr:uid="{00000000-0004-0000-0000-000061050000}"/>
    <hyperlink ref="B1358" r:id="rId1379" xr:uid="{00000000-0004-0000-0000-000062050000}"/>
    <hyperlink ref="B1359" r:id="rId1380" xr:uid="{00000000-0004-0000-0000-000063050000}"/>
    <hyperlink ref="B1360" r:id="rId1381" xr:uid="{00000000-0004-0000-0000-000064050000}"/>
    <hyperlink ref="B1361" r:id="rId1382" xr:uid="{00000000-0004-0000-0000-000065050000}"/>
    <hyperlink ref="B1362" r:id="rId1383" xr:uid="{00000000-0004-0000-0000-000066050000}"/>
    <hyperlink ref="B1363" r:id="rId1384" xr:uid="{00000000-0004-0000-0000-000067050000}"/>
    <hyperlink ref="B1364" r:id="rId1385" xr:uid="{00000000-0004-0000-0000-000068050000}"/>
    <hyperlink ref="B1365" r:id="rId1386" xr:uid="{00000000-0004-0000-0000-000069050000}"/>
    <hyperlink ref="B1366" r:id="rId1387" xr:uid="{00000000-0004-0000-0000-00006A050000}"/>
    <hyperlink ref="B1367" r:id="rId1388" xr:uid="{00000000-0004-0000-0000-00006B050000}"/>
    <hyperlink ref="B1368" r:id="rId1389" xr:uid="{00000000-0004-0000-0000-00006C050000}"/>
    <hyperlink ref="B1369" r:id="rId1390" xr:uid="{00000000-0004-0000-0000-00006D050000}"/>
    <hyperlink ref="B1370" r:id="rId1391" xr:uid="{00000000-0004-0000-0000-00006E050000}"/>
    <hyperlink ref="B1371" r:id="rId1392" xr:uid="{00000000-0004-0000-0000-00006F050000}"/>
    <hyperlink ref="B1372" r:id="rId1393" xr:uid="{00000000-0004-0000-0000-000070050000}"/>
    <hyperlink ref="B1373" r:id="rId1394" xr:uid="{00000000-0004-0000-0000-000071050000}"/>
    <hyperlink ref="B1374" r:id="rId1395" xr:uid="{00000000-0004-0000-0000-000072050000}"/>
    <hyperlink ref="B1375" r:id="rId1396" xr:uid="{00000000-0004-0000-0000-000073050000}"/>
    <hyperlink ref="B1376" r:id="rId1397" xr:uid="{00000000-0004-0000-0000-000074050000}"/>
    <hyperlink ref="B1377" r:id="rId1398" xr:uid="{00000000-0004-0000-0000-000075050000}"/>
    <hyperlink ref="B1378" r:id="rId1399" xr:uid="{00000000-0004-0000-0000-000076050000}"/>
    <hyperlink ref="B1379" r:id="rId1400" xr:uid="{00000000-0004-0000-0000-000077050000}"/>
    <hyperlink ref="B1380" r:id="rId1401" xr:uid="{00000000-0004-0000-0000-000078050000}"/>
    <hyperlink ref="B1381" r:id="rId1402" xr:uid="{00000000-0004-0000-0000-000079050000}"/>
    <hyperlink ref="B1382" r:id="rId1403" xr:uid="{00000000-0004-0000-0000-00007A050000}"/>
    <hyperlink ref="B1383" r:id="rId1404" xr:uid="{00000000-0004-0000-0000-00007B050000}"/>
    <hyperlink ref="B1384" r:id="rId1405" xr:uid="{00000000-0004-0000-0000-00007C050000}"/>
    <hyperlink ref="B1385" r:id="rId1406" xr:uid="{00000000-0004-0000-0000-00007D050000}"/>
    <hyperlink ref="B1386" r:id="rId1407" xr:uid="{00000000-0004-0000-0000-00007E050000}"/>
    <hyperlink ref="B1387" r:id="rId1408" xr:uid="{00000000-0004-0000-0000-00007F050000}"/>
    <hyperlink ref="B1388" r:id="rId1409" xr:uid="{00000000-0004-0000-0000-000080050000}"/>
    <hyperlink ref="B1389" r:id="rId1410" xr:uid="{00000000-0004-0000-0000-000081050000}"/>
    <hyperlink ref="B1390" r:id="rId1411" xr:uid="{00000000-0004-0000-0000-000082050000}"/>
    <hyperlink ref="B1391" r:id="rId1412" xr:uid="{00000000-0004-0000-0000-000083050000}"/>
    <hyperlink ref="B1392" r:id="rId1413" xr:uid="{00000000-0004-0000-0000-000084050000}"/>
    <hyperlink ref="B1393" r:id="rId1414" xr:uid="{00000000-0004-0000-0000-000085050000}"/>
    <hyperlink ref="B1394" r:id="rId1415" xr:uid="{00000000-0004-0000-0000-000086050000}"/>
    <hyperlink ref="B1395" r:id="rId1416" xr:uid="{00000000-0004-0000-0000-000087050000}"/>
    <hyperlink ref="B1396" r:id="rId1417" xr:uid="{00000000-0004-0000-0000-000088050000}"/>
    <hyperlink ref="B1397" r:id="rId1418" xr:uid="{00000000-0004-0000-0000-000089050000}"/>
    <hyperlink ref="B1398" r:id="rId1419" xr:uid="{00000000-0004-0000-0000-00008A050000}"/>
    <hyperlink ref="B1399" r:id="rId1420" xr:uid="{00000000-0004-0000-0000-00008B050000}"/>
    <hyperlink ref="B1400" r:id="rId1421" xr:uid="{00000000-0004-0000-0000-00008C050000}"/>
    <hyperlink ref="B1401" r:id="rId1422" xr:uid="{00000000-0004-0000-0000-00008D050000}"/>
    <hyperlink ref="B1402" r:id="rId1423" xr:uid="{00000000-0004-0000-0000-00008E050000}"/>
    <hyperlink ref="B1403" r:id="rId1424" xr:uid="{00000000-0004-0000-0000-00008F050000}"/>
    <hyperlink ref="B1404" r:id="rId1425" xr:uid="{00000000-0004-0000-0000-000090050000}"/>
    <hyperlink ref="B1405" r:id="rId1426" xr:uid="{00000000-0004-0000-0000-000091050000}"/>
    <hyperlink ref="B1406" r:id="rId1427" xr:uid="{00000000-0004-0000-0000-000092050000}"/>
    <hyperlink ref="B1407" r:id="rId1428" xr:uid="{00000000-0004-0000-0000-000093050000}"/>
    <hyperlink ref="B1408" r:id="rId1429" xr:uid="{00000000-0004-0000-0000-000094050000}"/>
    <hyperlink ref="B1409" r:id="rId1430" xr:uid="{00000000-0004-0000-0000-000095050000}"/>
    <hyperlink ref="B1410" r:id="rId1431" xr:uid="{00000000-0004-0000-0000-000096050000}"/>
    <hyperlink ref="B1412" r:id="rId1432" xr:uid="{00000000-0004-0000-0000-000097050000}"/>
    <hyperlink ref="A1413" r:id="rId1433" xr:uid="{00000000-0004-0000-0000-000098050000}"/>
    <hyperlink ref="B1413" r:id="rId1434" xr:uid="{00000000-0004-0000-0000-000099050000}"/>
    <hyperlink ref="B1414" r:id="rId1435" xr:uid="{00000000-0004-0000-0000-00009A050000}"/>
    <hyperlink ref="B1415" r:id="rId1436" xr:uid="{00000000-0004-0000-0000-00009B050000}"/>
    <hyperlink ref="B1416" r:id="rId1437" xr:uid="{00000000-0004-0000-0000-00009C050000}"/>
    <hyperlink ref="B1417" r:id="rId1438" xr:uid="{00000000-0004-0000-0000-00009D050000}"/>
    <hyperlink ref="B1418" r:id="rId1439" xr:uid="{00000000-0004-0000-0000-00009E050000}"/>
    <hyperlink ref="B1419" r:id="rId1440" xr:uid="{00000000-0004-0000-0000-00009F050000}"/>
    <hyperlink ref="B1420" r:id="rId1441" xr:uid="{00000000-0004-0000-0000-0000A0050000}"/>
    <hyperlink ref="B1421" r:id="rId1442" xr:uid="{00000000-0004-0000-0000-0000A1050000}"/>
    <hyperlink ref="B1422" r:id="rId1443" xr:uid="{00000000-0004-0000-0000-0000A2050000}"/>
    <hyperlink ref="B1423" r:id="rId1444" xr:uid="{00000000-0004-0000-0000-0000A3050000}"/>
    <hyperlink ref="B1424" r:id="rId1445" xr:uid="{00000000-0004-0000-0000-0000A4050000}"/>
    <hyperlink ref="B1425" r:id="rId1446" xr:uid="{00000000-0004-0000-0000-0000A5050000}"/>
    <hyperlink ref="B1426" r:id="rId1447" xr:uid="{00000000-0004-0000-0000-0000A6050000}"/>
    <hyperlink ref="B1427" r:id="rId1448" xr:uid="{00000000-0004-0000-0000-0000A7050000}"/>
    <hyperlink ref="B1428" r:id="rId1449" xr:uid="{00000000-0004-0000-0000-0000A8050000}"/>
    <hyperlink ref="A1431" r:id="rId1450" xr:uid="{00000000-0004-0000-0000-0000A9050000}"/>
    <hyperlink ref="B1431" r:id="rId1451" xr:uid="{00000000-0004-0000-0000-0000AA050000}"/>
    <hyperlink ref="B1432" r:id="rId1452" xr:uid="{00000000-0004-0000-0000-0000AB050000}"/>
    <hyperlink ref="B1433" r:id="rId1453" xr:uid="{00000000-0004-0000-0000-0000AC050000}"/>
    <hyperlink ref="B1434" r:id="rId1454" xr:uid="{00000000-0004-0000-0000-0000AD050000}"/>
    <hyperlink ref="B1435" r:id="rId1455" xr:uid="{00000000-0004-0000-0000-0000AE050000}"/>
    <hyperlink ref="B1436" r:id="rId1456" xr:uid="{00000000-0004-0000-0000-0000AF050000}"/>
    <hyperlink ref="B1437" r:id="rId1457" xr:uid="{00000000-0004-0000-0000-0000B0050000}"/>
    <hyperlink ref="B1438" r:id="rId1458" xr:uid="{00000000-0004-0000-0000-0000B1050000}"/>
    <hyperlink ref="B1439" r:id="rId1459" xr:uid="{00000000-0004-0000-0000-0000B2050000}"/>
    <hyperlink ref="B1440" r:id="rId1460" xr:uid="{00000000-0004-0000-0000-0000B3050000}"/>
    <hyperlink ref="B1441" r:id="rId1461" xr:uid="{00000000-0004-0000-0000-0000B4050000}"/>
    <hyperlink ref="B1442" r:id="rId1462" xr:uid="{00000000-0004-0000-0000-0000B5050000}"/>
    <hyperlink ref="B1443" r:id="rId1463" xr:uid="{00000000-0004-0000-0000-0000B6050000}"/>
    <hyperlink ref="B1444" r:id="rId1464" xr:uid="{00000000-0004-0000-0000-0000B7050000}"/>
    <hyperlink ref="B1445" r:id="rId1465" xr:uid="{00000000-0004-0000-0000-0000B8050000}"/>
    <hyperlink ref="B1446" r:id="rId1466" xr:uid="{00000000-0004-0000-0000-0000B9050000}"/>
    <hyperlink ref="B1447" r:id="rId1467" xr:uid="{00000000-0004-0000-0000-0000BA050000}"/>
    <hyperlink ref="B1448" r:id="rId1468" xr:uid="{00000000-0004-0000-0000-0000BB050000}"/>
    <hyperlink ref="B1449" r:id="rId1469" xr:uid="{00000000-0004-0000-0000-0000BC050000}"/>
    <hyperlink ref="B1450" r:id="rId1470" xr:uid="{00000000-0004-0000-0000-0000BD050000}"/>
    <hyperlink ref="B1451" r:id="rId1471" xr:uid="{00000000-0004-0000-0000-0000BE050000}"/>
    <hyperlink ref="B1452" r:id="rId1472" xr:uid="{00000000-0004-0000-0000-0000BF050000}"/>
    <hyperlink ref="B1453" r:id="rId1473" xr:uid="{00000000-0004-0000-0000-0000C0050000}"/>
    <hyperlink ref="B1454" r:id="rId1474" xr:uid="{00000000-0004-0000-0000-0000C1050000}"/>
    <hyperlink ref="B1455" r:id="rId1475" xr:uid="{00000000-0004-0000-0000-0000C2050000}"/>
    <hyperlink ref="B1456" r:id="rId1476" xr:uid="{00000000-0004-0000-0000-0000C3050000}"/>
    <hyperlink ref="B1457" r:id="rId1477" xr:uid="{00000000-0004-0000-0000-0000C4050000}"/>
    <hyperlink ref="B1458" r:id="rId1478" xr:uid="{00000000-0004-0000-0000-0000C5050000}"/>
    <hyperlink ref="B1459" r:id="rId1479" xr:uid="{00000000-0004-0000-0000-0000C6050000}"/>
    <hyperlink ref="B1460" r:id="rId1480" xr:uid="{00000000-0004-0000-0000-0000C7050000}"/>
    <hyperlink ref="B1461" r:id="rId1481" xr:uid="{00000000-0004-0000-0000-0000C8050000}"/>
    <hyperlink ref="B1462" r:id="rId1482" xr:uid="{00000000-0004-0000-0000-0000C9050000}"/>
    <hyperlink ref="B1463" r:id="rId1483" xr:uid="{00000000-0004-0000-0000-0000CA050000}"/>
    <hyperlink ref="B1464" r:id="rId1484" xr:uid="{00000000-0004-0000-0000-0000CB050000}"/>
    <hyperlink ref="B1465" r:id="rId1485" xr:uid="{00000000-0004-0000-0000-0000CC050000}"/>
    <hyperlink ref="B1466" r:id="rId1486" xr:uid="{00000000-0004-0000-0000-0000CD050000}"/>
    <hyperlink ref="B1467" r:id="rId1487" xr:uid="{00000000-0004-0000-0000-0000CE050000}"/>
    <hyperlink ref="B1468" r:id="rId1488" xr:uid="{00000000-0004-0000-0000-0000CF050000}"/>
    <hyperlink ref="B1469" r:id="rId1489" xr:uid="{00000000-0004-0000-0000-0000D0050000}"/>
    <hyperlink ref="B1470" r:id="rId1490" xr:uid="{00000000-0004-0000-0000-0000D1050000}"/>
    <hyperlink ref="B1471" r:id="rId1491" xr:uid="{00000000-0004-0000-0000-0000D2050000}"/>
    <hyperlink ref="B1472" r:id="rId1492" xr:uid="{00000000-0004-0000-0000-0000D3050000}"/>
    <hyperlink ref="B1473" r:id="rId1493" xr:uid="{00000000-0004-0000-0000-0000D4050000}"/>
    <hyperlink ref="B1474" r:id="rId1494" xr:uid="{00000000-0004-0000-0000-0000D5050000}"/>
    <hyperlink ref="B1475" r:id="rId1495" xr:uid="{00000000-0004-0000-0000-0000D6050000}"/>
    <hyperlink ref="B1476" r:id="rId1496" xr:uid="{00000000-0004-0000-0000-0000D7050000}"/>
    <hyperlink ref="B1477" r:id="rId1497" xr:uid="{00000000-0004-0000-0000-0000D8050000}"/>
    <hyperlink ref="B1478" r:id="rId1498" xr:uid="{00000000-0004-0000-0000-0000D9050000}"/>
    <hyperlink ref="B1479" r:id="rId1499" xr:uid="{00000000-0004-0000-0000-0000DA050000}"/>
    <hyperlink ref="B1480" r:id="rId1500" xr:uid="{00000000-0004-0000-0000-0000DB050000}"/>
    <hyperlink ref="B1481" r:id="rId1501" xr:uid="{00000000-0004-0000-0000-0000DC050000}"/>
    <hyperlink ref="B1482" r:id="rId1502" xr:uid="{00000000-0004-0000-0000-0000DD050000}"/>
    <hyperlink ref="B1483" r:id="rId1503" xr:uid="{00000000-0004-0000-0000-0000DE050000}"/>
    <hyperlink ref="B1484" r:id="rId1504" xr:uid="{00000000-0004-0000-0000-0000DF050000}"/>
    <hyperlink ref="B1485" r:id="rId1505" xr:uid="{00000000-0004-0000-0000-0000E0050000}"/>
    <hyperlink ref="B1486" r:id="rId1506" xr:uid="{00000000-0004-0000-0000-0000E1050000}"/>
    <hyperlink ref="B1487" r:id="rId1507" xr:uid="{00000000-0004-0000-0000-0000E2050000}"/>
    <hyperlink ref="B1488" r:id="rId1508" xr:uid="{00000000-0004-0000-0000-0000E3050000}"/>
    <hyperlink ref="B1489" r:id="rId1509" xr:uid="{00000000-0004-0000-0000-0000E4050000}"/>
    <hyperlink ref="B1490" r:id="rId1510" xr:uid="{00000000-0004-0000-0000-0000E5050000}"/>
    <hyperlink ref="B1491" r:id="rId1511" xr:uid="{00000000-0004-0000-0000-0000E6050000}"/>
    <hyperlink ref="B1492" r:id="rId1512" xr:uid="{00000000-0004-0000-0000-0000E7050000}"/>
    <hyperlink ref="A1494" r:id="rId1513" xr:uid="{00000000-0004-0000-0000-0000E8050000}"/>
    <hyperlink ref="B1494" r:id="rId1514" xr:uid="{00000000-0004-0000-0000-0000E9050000}"/>
    <hyperlink ref="A1495" r:id="rId1515" xr:uid="{00000000-0004-0000-0000-0000EA050000}"/>
    <hyperlink ref="B1495" r:id="rId1516" xr:uid="{00000000-0004-0000-0000-0000EB050000}"/>
    <hyperlink ref="B1496" r:id="rId1517" xr:uid="{00000000-0004-0000-0000-0000EC050000}"/>
    <hyperlink ref="B1497" r:id="rId1518" xr:uid="{00000000-0004-0000-0000-0000ED050000}"/>
    <hyperlink ref="B1498" r:id="rId1519" xr:uid="{00000000-0004-0000-0000-0000EE050000}"/>
    <hyperlink ref="B1499" r:id="rId1520" xr:uid="{00000000-0004-0000-0000-0000EF050000}"/>
    <hyperlink ref="B1500" r:id="rId1521" xr:uid="{00000000-0004-0000-0000-0000F0050000}"/>
    <hyperlink ref="B1501" r:id="rId1522" xr:uid="{00000000-0004-0000-0000-0000F1050000}"/>
    <hyperlink ref="B1502" r:id="rId1523" xr:uid="{00000000-0004-0000-0000-0000F2050000}"/>
    <hyperlink ref="B1503" r:id="rId1524" xr:uid="{00000000-0004-0000-0000-0000F3050000}"/>
    <hyperlink ref="B1504" r:id="rId1525" xr:uid="{00000000-0004-0000-0000-0000F4050000}"/>
    <hyperlink ref="B1505" r:id="rId1526" xr:uid="{00000000-0004-0000-0000-0000F5050000}"/>
    <hyperlink ref="B1506" r:id="rId1527" xr:uid="{00000000-0004-0000-0000-0000F6050000}"/>
    <hyperlink ref="B1507" r:id="rId1528" xr:uid="{00000000-0004-0000-0000-0000F7050000}"/>
    <hyperlink ref="B1508" r:id="rId1529" xr:uid="{00000000-0004-0000-0000-0000F8050000}"/>
    <hyperlink ref="B1509" r:id="rId1530" xr:uid="{00000000-0004-0000-0000-0000F9050000}"/>
    <hyperlink ref="B1510" r:id="rId1531" xr:uid="{00000000-0004-0000-0000-0000FA050000}"/>
    <hyperlink ref="B1511" r:id="rId1532" xr:uid="{00000000-0004-0000-0000-0000FB050000}"/>
    <hyperlink ref="B1512" r:id="rId1533" xr:uid="{00000000-0004-0000-0000-0000FC050000}"/>
    <hyperlink ref="B1513" r:id="rId1534" xr:uid="{00000000-0004-0000-0000-0000FD050000}"/>
    <hyperlink ref="B1514" r:id="rId1535" xr:uid="{00000000-0004-0000-0000-0000FE050000}"/>
    <hyperlink ref="B1515" r:id="rId1536" xr:uid="{00000000-0004-0000-0000-0000FF050000}"/>
    <hyperlink ref="B1516" r:id="rId1537" xr:uid="{00000000-0004-0000-0000-000000060000}"/>
    <hyperlink ref="B1517" r:id="rId1538" xr:uid="{00000000-0004-0000-0000-000001060000}"/>
    <hyperlink ref="B1518" r:id="rId1539" xr:uid="{00000000-0004-0000-0000-000002060000}"/>
    <hyperlink ref="B1519" r:id="rId1540" xr:uid="{00000000-0004-0000-0000-000003060000}"/>
    <hyperlink ref="B1520" r:id="rId1541" xr:uid="{00000000-0004-0000-0000-000004060000}"/>
    <hyperlink ref="B1521" r:id="rId1542" xr:uid="{00000000-0004-0000-0000-000005060000}"/>
    <hyperlink ref="B1522" r:id="rId1543" xr:uid="{00000000-0004-0000-0000-000006060000}"/>
    <hyperlink ref="B1523" r:id="rId1544" xr:uid="{00000000-0004-0000-0000-000007060000}"/>
    <hyperlink ref="B1524" r:id="rId1545" xr:uid="{00000000-0004-0000-0000-000008060000}"/>
    <hyperlink ref="B1525" r:id="rId1546" xr:uid="{00000000-0004-0000-0000-000009060000}"/>
    <hyperlink ref="B1526" r:id="rId1547" xr:uid="{00000000-0004-0000-0000-00000A060000}"/>
    <hyperlink ref="B1527" r:id="rId1548" xr:uid="{00000000-0004-0000-0000-00000B060000}"/>
    <hyperlink ref="B1528" r:id="rId1549" xr:uid="{00000000-0004-0000-0000-00000C060000}"/>
    <hyperlink ref="B1529" r:id="rId1550" xr:uid="{00000000-0004-0000-0000-00000D060000}"/>
    <hyperlink ref="B1530" r:id="rId1551" xr:uid="{00000000-0004-0000-0000-00000E060000}"/>
    <hyperlink ref="B1531" r:id="rId1552" xr:uid="{00000000-0004-0000-0000-00000F060000}"/>
    <hyperlink ref="B1532" r:id="rId1553" xr:uid="{00000000-0004-0000-0000-000010060000}"/>
    <hyperlink ref="B1533" r:id="rId1554" xr:uid="{00000000-0004-0000-0000-000011060000}"/>
    <hyperlink ref="B1534" r:id="rId1555" xr:uid="{00000000-0004-0000-0000-000012060000}"/>
    <hyperlink ref="B1535" r:id="rId1556" xr:uid="{00000000-0004-0000-0000-000013060000}"/>
    <hyperlink ref="B1536" r:id="rId1557" xr:uid="{00000000-0004-0000-0000-000014060000}"/>
    <hyperlink ref="B1537" r:id="rId1558" xr:uid="{00000000-0004-0000-0000-000015060000}"/>
    <hyperlink ref="B1538" r:id="rId1559" xr:uid="{00000000-0004-0000-0000-000016060000}"/>
    <hyperlink ref="B1539" r:id="rId1560" xr:uid="{00000000-0004-0000-0000-000017060000}"/>
    <hyperlink ref="B1540" r:id="rId1561" xr:uid="{00000000-0004-0000-0000-000018060000}"/>
    <hyperlink ref="B1541" r:id="rId1562" xr:uid="{00000000-0004-0000-0000-000019060000}"/>
    <hyperlink ref="B1542" r:id="rId1563" xr:uid="{00000000-0004-0000-0000-00001A060000}"/>
    <hyperlink ref="B1543" r:id="rId1564" xr:uid="{00000000-0004-0000-0000-00001B060000}"/>
    <hyperlink ref="B1545" r:id="rId1565" xr:uid="{00000000-0004-0000-0000-00001C060000}"/>
    <hyperlink ref="A1546" r:id="rId1566" xr:uid="{00000000-0004-0000-0000-00001D060000}"/>
    <hyperlink ref="B1546" r:id="rId1567" xr:uid="{00000000-0004-0000-0000-00001E060000}"/>
    <hyperlink ref="B1547" r:id="rId1568" xr:uid="{00000000-0004-0000-0000-00001F060000}"/>
    <hyperlink ref="B1548" r:id="rId1569" xr:uid="{00000000-0004-0000-0000-000020060000}"/>
    <hyperlink ref="B1549" r:id="rId1570" xr:uid="{00000000-0004-0000-0000-000021060000}"/>
    <hyperlink ref="B1550" r:id="rId1571" xr:uid="{00000000-0004-0000-0000-000022060000}"/>
    <hyperlink ref="B1551" r:id="rId1572" xr:uid="{00000000-0004-0000-0000-000023060000}"/>
    <hyperlink ref="B1552" r:id="rId1573" xr:uid="{00000000-0004-0000-0000-000024060000}"/>
    <hyperlink ref="B1553" r:id="rId1574" xr:uid="{00000000-0004-0000-0000-000025060000}"/>
    <hyperlink ref="B1554" r:id="rId1575" xr:uid="{00000000-0004-0000-0000-000026060000}"/>
    <hyperlink ref="B1555" r:id="rId1576" xr:uid="{00000000-0004-0000-0000-000027060000}"/>
    <hyperlink ref="B1556" r:id="rId1577" xr:uid="{00000000-0004-0000-0000-000028060000}"/>
    <hyperlink ref="B1557" r:id="rId1578" xr:uid="{00000000-0004-0000-0000-000029060000}"/>
    <hyperlink ref="B1558" r:id="rId1579" xr:uid="{00000000-0004-0000-0000-00002A060000}"/>
    <hyperlink ref="B1559" r:id="rId1580" xr:uid="{00000000-0004-0000-0000-00002B060000}"/>
    <hyperlink ref="B1560" r:id="rId1581" xr:uid="{00000000-0004-0000-0000-00002C060000}"/>
    <hyperlink ref="B1561" r:id="rId1582" xr:uid="{00000000-0004-0000-0000-00002D060000}"/>
    <hyperlink ref="B1562" r:id="rId1583" xr:uid="{00000000-0004-0000-0000-00002E060000}"/>
    <hyperlink ref="B1563" r:id="rId1584" xr:uid="{00000000-0004-0000-0000-00002F060000}"/>
    <hyperlink ref="B1564" r:id="rId1585" xr:uid="{00000000-0004-0000-0000-000030060000}"/>
    <hyperlink ref="B1565" r:id="rId1586" xr:uid="{00000000-0004-0000-0000-000031060000}"/>
    <hyperlink ref="B1566" r:id="rId1587" xr:uid="{00000000-0004-0000-0000-000032060000}"/>
    <hyperlink ref="B1567" r:id="rId1588" xr:uid="{00000000-0004-0000-0000-000033060000}"/>
    <hyperlink ref="B1568" r:id="rId1589" xr:uid="{00000000-0004-0000-0000-000034060000}"/>
    <hyperlink ref="B1569" r:id="rId1590" xr:uid="{00000000-0004-0000-0000-000035060000}"/>
    <hyperlink ref="B1570" r:id="rId1591" xr:uid="{00000000-0004-0000-0000-000036060000}"/>
    <hyperlink ref="B1571" r:id="rId1592" xr:uid="{00000000-0004-0000-0000-000037060000}"/>
    <hyperlink ref="B1572" r:id="rId1593" xr:uid="{00000000-0004-0000-0000-000038060000}"/>
    <hyperlink ref="B1573" r:id="rId1594" xr:uid="{00000000-0004-0000-0000-000039060000}"/>
    <hyperlink ref="B1574" r:id="rId1595" xr:uid="{00000000-0004-0000-0000-00003A060000}"/>
    <hyperlink ref="B1575" r:id="rId1596" xr:uid="{00000000-0004-0000-0000-00003B060000}"/>
    <hyperlink ref="B1576" r:id="rId1597" xr:uid="{00000000-0004-0000-0000-00003C060000}"/>
    <hyperlink ref="B1577" r:id="rId1598" xr:uid="{00000000-0004-0000-0000-00003D060000}"/>
    <hyperlink ref="B1578" r:id="rId1599" xr:uid="{00000000-0004-0000-0000-00003E060000}"/>
    <hyperlink ref="B1579" r:id="rId1600" xr:uid="{00000000-0004-0000-0000-00003F060000}"/>
    <hyperlink ref="B1580" r:id="rId1601" xr:uid="{00000000-0004-0000-0000-000040060000}"/>
    <hyperlink ref="B1581" r:id="rId1602" xr:uid="{00000000-0004-0000-0000-000041060000}"/>
    <hyperlink ref="B1582" r:id="rId1603" xr:uid="{00000000-0004-0000-0000-000042060000}"/>
    <hyperlink ref="B1583" r:id="rId1604" xr:uid="{00000000-0004-0000-0000-000043060000}"/>
    <hyperlink ref="B1584" r:id="rId1605" xr:uid="{00000000-0004-0000-0000-000044060000}"/>
    <hyperlink ref="B1585" r:id="rId1606" xr:uid="{00000000-0004-0000-0000-000045060000}"/>
    <hyperlink ref="B1586" r:id="rId1607" xr:uid="{00000000-0004-0000-0000-000046060000}"/>
    <hyperlink ref="B1587" r:id="rId1608" xr:uid="{00000000-0004-0000-0000-000047060000}"/>
    <hyperlink ref="B1588" r:id="rId1609" xr:uid="{00000000-0004-0000-0000-000048060000}"/>
    <hyperlink ref="B1589" r:id="rId1610" xr:uid="{00000000-0004-0000-0000-000049060000}"/>
    <hyperlink ref="B1590" r:id="rId1611" xr:uid="{00000000-0004-0000-0000-00004A060000}"/>
    <hyperlink ref="B1591" r:id="rId1612" xr:uid="{00000000-0004-0000-0000-00004B060000}"/>
    <hyperlink ref="B1592" r:id="rId1613" xr:uid="{00000000-0004-0000-0000-00004C060000}"/>
    <hyperlink ref="B1593" r:id="rId1614" xr:uid="{00000000-0004-0000-0000-00004D060000}"/>
    <hyperlink ref="B1594" r:id="rId1615" xr:uid="{00000000-0004-0000-0000-00004E060000}"/>
    <hyperlink ref="B1595" r:id="rId1616" xr:uid="{00000000-0004-0000-0000-00004F060000}"/>
    <hyperlink ref="B1596" r:id="rId1617" xr:uid="{00000000-0004-0000-0000-000050060000}"/>
    <hyperlink ref="B1597" r:id="rId1618" xr:uid="{00000000-0004-0000-0000-000051060000}"/>
    <hyperlink ref="B1598" r:id="rId1619" xr:uid="{00000000-0004-0000-0000-000052060000}"/>
    <hyperlink ref="B1599" r:id="rId1620" xr:uid="{00000000-0004-0000-0000-000053060000}"/>
    <hyperlink ref="B1600" r:id="rId1621" xr:uid="{00000000-0004-0000-0000-000054060000}"/>
    <hyperlink ref="B1601" r:id="rId1622" xr:uid="{00000000-0004-0000-0000-000055060000}"/>
    <hyperlink ref="B1602" r:id="rId1623" xr:uid="{00000000-0004-0000-0000-000056060000}"/>
    <hyperlink ref="B1603" r:id="rId1624" xr:uid="{00000000-0004-0000-0000-000057060000}"/>
    <hyperlink ref="B1604" r:id="rId1625" xr:uid="{00000000-0004-0000-0000-000058060000}"/>
    <hyperlink ref="B1605" r:id="rId1626" xr:uid="{00000000-0004-0000-0000-000059060000}"/>
    <hyperlink ref="B1606" r:id="rId1627" xr:uid="{00000000-0004-0000-0000-00005A060000}"/>
    <hyperlink ref="B1607" r:id="rId1628" xr:uid="{00000000-0004-0000-0000-00005B060000}"/>
    <hyperlink ref="B1608" r:id="rId1629" xr:uid="{00000000-0004-0000-0000-00005C060000}"/>
    <hyperlink ref="B1609" r:id="rId1630" xr:uid="{00000000-0004-0000-0000-00005D060000}"/>
    <hyperlink ref="B1610" r:id="rId1631" xr:uid="{00000000-0004-0000-0000-00005E060000}"/>
    <hyperlink ref="B1611" r:id="rId1632" xr:uid="{00000000-0004-0000-0000-00005F060000}"/>
    <hyperlink ref="A1616" r:id="rId1633" xr:uid="{00000000-0004-0000-0000-000060060000}"/>
    <hyperlink ref="B1616" r:id="rId1634" xr:uid="{00000000-0004-0000-0000-000061060000}"/>
    <hyperlink ref="A1617" r:id="rId1635" xr:uid="{00000000-0004-0000-0000-000062060000}"/>
    <hyperlink ref="B1617" r:id="rId1636" xr:uid="{00000000-0004-0000-0000-000063060000}"/>
    <hyperlink ref="B1618" r:id="rId1637" xr:uid="{00000000-0004-0000-0000-000064060000}"/>
    <hyperlink ref="B1619" r:id="rId1638" xr:uid="{00000000-0004-0000-0000-000065060000}"/>
    <hyperlink ref="B1620" r:id="rId1639" xr:uid="{00000000-0004-0000-0000-000066060000}"/>
    <hyperlink ref="B1621" r:id="rId1640" xr:uid="{00000000-0004-0000-0000-000067060000}"/>
    <hyperlink ref="B1622" r:id="rId1641" xr:uid="{00000000-0004-0000-0000-000068060000}"/>
    <hyperlink ref="B1623" r:id="rId1642" xr:uid="{00000000-0004-0000-0000-000069060000}"/>
    <hyperlink ref="B1624" r:id="rId1643" xr:uid="{00000000-0004-0000-0000-00006A060000}"/>
    <hyperlink ref="B1625" r:id="rId1644" xr:uid="{00000000-0004-0000-0000-00006B060000}"/>
    <hyperlink ref="B1626" r:id="rId1645" xr:uid="{00000000-0004-0000-0000-00006C060000}"/>
    <hyperlink ref="B1627" r:id="rId1646" xr:uid="{00000000-0004-0000-0000-00006D060000}"/>
    <hyperlink ref="B1628" r:id="rId1647" xr:uid="{00000000-0004-0000-0000-00006E060000}"/>
    <hyperlink ref="B1629" r:id="rId1648" xr:uid="{00000000-0004-0000-0000-00006F060000}"/>
    <hyperlink ref="B1630" r:id="rId1649" xr:uid="{00000000-0004-0000-0000-000070060000}"/>
    <hyperlink ref="B1631" r:id="rId1650" xr:uid="{00000000-0004-0000-0000-000071060000}"/>
    <hyperlink ref="B1632" r:id="rId1651" xr:uid="{00000000-0004-0000-0000-000072060000}"/>
    <hyperlink ref="B1633" r:id="rId1652" xr:uid="{00000000-0004-0000-0000-000073060000}"/>
    <hyperlink ref="B1634" r:id="rId1653" xr:uid="{00000000-0004-0000-0000-000074060000}"/>
    <hyperlink ref="A1636" r:id="rId1654" xr:uid="{00000000-0004-0000-0000-000075060000}"/>
    <hyperlink ref="B1636" r:id="rId1655" xr:uid="{00000000-0004-0000-0000-000076060000}"/>
    <hyperlink ref="A1637" r:id="rId1656" xr:uid="{00000000-0004-0000-0000-000077060000}"/>
    <hyperlink ref="B1637" r:id="rId1657" xr:uid="{00000000-0004-0000-0000-000078060000}"/>
    <hyperlink ref="B1638" r:id="rId1658" xr:uid="{00000000-0004-0000-0000-000079060000}"/>
    <hyperlink ref="B1639" r:id="rId1659" xr:uid="{00000000-0004-0000-0000-00007A060000}"/>
    <hyperlink ref="B1640" r:id="rId1660" xr:uid="{00000000-0004-0000-0000-00007B060000}"/>
    <hyperlink ref="B1641" r:id="rId1661" xr:uid="{00000000-0004-0000-0000-00007C060000}"/>
    <hyperlink ref="B1642" r:id="rId1662" xr:uid="{00000000-0004-0000-0000-00007D060000}"/>
    <hyperlink ref="B1643" r:id="rId1663" xr:uid="{00000000-0004-0000-0000-00007E060000}"/>
    <hyperlink ref="B1644" r:id="rId1664" xr:uid="{00000000-0004-0000-0000-00007F060000}"/>
    <hyperlink ref="B1645" r:id="rId1665" xr:uid="{00000000-0004-0000-0000-000080060000}"/>
    <hyperlink ref="B1646" r:id="rId1666" xr:uid="{00000000-0004-0000-0000-000081060000}"/>
    <hyperlink ref="B1647" r:id="rId1667" xr:uid="{00000000-0004-0000-0000-000082060000}"/>
    <hyperlink ref="B1648" r:id="rId1668" xr:uid="{00000000-0004-0000-0000-000083060000}"/>
    <hyperlink ref="B1649" r:id="rId1669" xr:uid="{00000000-0004-0000-0000-000084060000}"/>
    <hyperlink ref="B1650" r:id="rId1670" xr:uid="{00000000-0004-0000-0000-000085060000}"/>
    <hyperlink ref="B1651" r:id="rId1671" xr:uid="{00000000-0004-0000-0000-000086060000}"/>
    <hyperlink ref="B1652" r:id="rId1672" xr:uid="{00000000-0004-0000-0000-000087060000}"/>
    <hyperlink ref="B1653" r:id="rId1673" xr:uid="{00000000-0004-0000-0000-000088060000}"/>
    <hyperlink ref="B1654" r:id="rId1674" xr:uid="{00000000-0004-0000-0000-000089060000}"/>
    <hyperlink ref="B1655" r:id="rId1675" xr:uid="{00000000-0004-0000-0000-00008A060000}"/>
    <hyperlink ref="A1658" r:id="rId1676" xr:uid="{00000000-0004-0000-0000-00008B060000}"/>
    <hyperlink ref="B1658" r:id="rId1677" xr:uid="{00000000-0004-0000-0000-00008C060000}"/>
    <hyperlink ref="A1659" r:id="rId1678" xr:uid="{00000000-0004-0000-0000-00008D060000}"/>
    <hyperlink ref="B1659" r:id="rId1679" xr:uid="{00000000-0004-0000-0000-00008E060000}"/>
    <hyperlink ref="B1660" r:id="rId1680" xr:uid="{00000000-0004-0000-0000-00008F060000}"/>
    <hyperlink ref="B1661" r:id="rId1681" xr:uid="{00000000-0004-0000-0000-000090060000}"/>
    <hyperlink ref="B1662" r:id="rId1682" xr:uid="{00000000-0004-0000-0000-000091060000}"/>
    <hyperlink ref="B1663" r:id="rId1683" xr:uid="{00000000-0004-0000-0000-000092060000}"/>
    <hyperlink ref="B1664" r:id="rId1684" xr:uid="{00000000-0004-0000-0000-000093060000}"/>
    <hyperlink ref="B1665" r:id="rId1685" xr:uid="{00000000-0004-0000-0000-000094060000}"/>
    <hyperlink ref="B1666" r:id="rId1686" xr:uid="{00000000-0004-0000-0000-000095060000}"/>
    <hyperlink ref="B1667" r:id="rId1687" xr:uid="{00000000-0004-0000-0000-000096060000}"/>
    <hyperlink ref="B1668" r:id="rId1688" xr:uid="{00000000-0004-0000-0000-000097060000}"/>
    <hyperlink ref="B1669" r:id="rId1689" xr:uid="{00000000-0004-0000-0000-000098060000}"/>
    <hyperlink ref="B1670" r:id="rId1690" xr:uid="{00000000-0004-0000-0000-000099060000}"/>
    <hyperlink ref="B1671" r:id="rId1691" xr:uid="{00000000-0004-0000-0000-00009A060000}"/>
    <hyperlink ref="B1672" r:id="rId1692" xr:uid="{00000000-0004-0000-0000-00009B060000}"/>
    <hyperlink ref="B1673" r:id="rId1693" xr:uid="{00000000-0004-0000-0000-00009C060000}"/>
    <hyperlink ref="B1674" r:id="rId1694" xr:uid="{00000000-0004-0000-0000-00009D060000}"/>
    <hyperlink ref="B1675" r:id="rId1695" xr:uid="{00000000-0004-0000-0000-00009E060000}"/>
    <hyperlink ref="B1676" r:id="rId1696" xr:uid="{00000000-0004-0000-0000-00009F060000}"/>
    <hyperlink ref="B1677" r:id="rId1697" xr:uid="{00000000-0004-0000-0000-0000A0060000}"/>
    <hyperlink ref="B1678" r:id="rId1698" xr:uid="{00000000-0004-0000-0000-0000A1060000}"/>
    <hyperlink ref="B1679" r:id="rId1699" xr:uid="{00000000-0004-0000-0000-0000A2060000}"/>
    <hyperlink ref="B1680" r:id="rId1700" xr:uid="{00000000-0004-0000-0000-0000A3060000}"/>
    <hyperlink ref="B1681" r:id="rId1701" xr:uid="{00000000-0004-0000-0000-0000A4060000}"/>
    <hyperlink ref="B1682" r:id="rId1702" xr:uid="{00000000-0004-0000-0000-0000A5060000}"/>
    <hyperlink ref="B1683" r:id="rId1703" xr:uid="{00000000-0004-0000-0000-0000A6060000}"/>
    <hyperlink ref="B1684" r:id="rId1704" xr:uid="{00000000-0004-0000-0000-0000A7060000}"/>
    <hyperlink ref="B1685" r:id="rId1705" xr:uid="{00000000-0004-0000-0000-0000A8060000}"/>
    <hyperlink ref="B1686" r:id="rId1706" xr:uid="{00000000-0004-0000-0000-0000A9060000}"/>
    <hyperlink ref="B1687" r:id="rId1707" xr:uid="{00000000-0004-0000-0000-0000AA060000}"/>
    <hyperlink ref="B1688" r:id="rId1708" xr:uid="{00000000-0004-0000-0000-0000AB060000}"/>
    <hyperlink ref="B1689" r:id="rId1709" xr:uid="{00000000-0004-0000-0000-0000AC060000}"/>
    <hyperlink ref="B1690" r:id="rId1710" xr:uid="{00000000-0004-0000-0000-0000AD060000}"/>
    <hyperlink ref="B1691" r:id="rId1711" xr:uid="{00000000-0004-0000-0000-0000AE060000}"/>
    <hyperlink ref="B1692" r:id="rId1712" xr:uid="{00000000-0004-0000-0000-0000AF060000}"/>
    <hyperlink ref="B1693" r:id="rId1713" xr:uid="{00000000-0004-0000-0000-0000B0060000}"/>
    <hyperlink ref="B1694" r:id="rId1714" xr:uid="{00000000-0004-0000-0000-0000B1060000}"/>
    <hyperlink ref="B1695" r:id="rId1715" xr:uid="{00000000-0004-0000-0000-0000B2060000}"/>
    <hyperlink ref="B1696" r:id="rId1716" xr:uid="{00000000-0004-0000-0000-0000B3060000}"/>
    <hyperlink ref="B1697" r:id="rId1717" xr:uid="{00000000-0004-0000-0000-0000B4060000}"/>
    <hyperlink ref="B1698" r:id="rId1718" xr:uid="{00000000-0004-0000-0000-0000B5060000}"/>
    <hyperlink ref="B1699" r:id="rId1719" xr:uid="{00000000-0004-0000-0000-0000B6060000}"/>
    <hyperlink ref="B1700" r:id="rId1720" xr:uid="{00000000-0004-0000-0000-0000B7060000}"/>
    <hyperlink ref="B1701" r:id="rId1721" xr:uid="{00000000-0004-0000-0000-0000B8060000}"/>
    <hyperlink ref="B1702" r:id="rId1722" xr:uid="{00000000-0004-0000-0000-0000B9060000}"/>
    <hyperlink ref="B1703" r:id="rId1723" xr:uid="{00000000-0004-0000-0000-0000BA060000}"/>
    <hyperlink ref="B1704" r:id="rId1724" xr:uid="{00000000-0004-0000-0000-0000BB060000}"/>
    <hyperlink ref="B1705" r:id="rId1725" xr:uid="{00000000-0004-0000-0000-0000BC060000}"/>
    <hyperlink ref="B1706" r:id="rId1726" xr:uid="{00000000-0004-0000-0000-0000BD060000}"/>
    <hyperlink ref="B1707" r:id="rId1727" xr:uid="{00000000-0004-0000-0000-0000BE060000}"/>
    <hyperlink ref="B1708" r:id="rId1728" xr:uid="{00000000-0004-0000-0000-0000BF060000}"/>
    <hyperlink ref="B1709" r:id="rId1729" xr:uid="{00000000-0004-0000-0000-0000C0060000}"/>
    <hyperlink ref="B1710" r:id="rId1730" xr:uid="{00000000-0004-0000-0000-0000C1060000}"/>
    <hyperlink ref="B1711" r:id="rId1731" xr:uid="{00000000-0004-0000-0000-0000C2060000}"/>
    <hyperlink ref="B1712" r:id="rId1732" xr:uid="{00000000-0004-0000-0000-0000C3060000}"/>
    <hyperlink ref="B1713" r:id="rId1733" xr:uid="{00000000-0004-0000-0000-0000C4060000}"/>
    <hyperlink ref="B1714" r:id="rId1734" xr:uid="{00000000-0004-0000-0000-0000C5060000}"/>
    <hyperlink ref="B1715" r:id="rId1735" xr:uid="{00000000-0004-0000-0000-0000C6060000}"/>
    <hyperlink ref="B1716" r:id="rId1736" xr:uid="{00000000-0004-0000-0000-0000C7060000}"/>
    <hyperlink ref="B1717" r:id="rId1737" xr:uid="{00000000-0004-0000-0000-0000C8060000}"/>
    <hyperlink ref="B1718" r:id="rId1738" xr:uid="{00000000-0004-0000-0000-0000C9060000}"/>
    <hyperlink ref="B1719" r:id="rId1739" xr:uid="{00000000-0004-0000-0000-0000CA060000}"/>
    <hyperlink ref="B1721" r:id="rId1740" xr:uid="{00000000-0004-0000-0000-0000CB060000}"/>
    <hyperlink ref="A1722" r:id="rId1741" xr:uid="{00000000-0004-0000-0000-0000CC060000}"/>
    <hyperlink ref="B1722" r:id="rId1742" xr:uid="{00000000-0004-0000-0000-0000CD060000}"/>
    <hyperlink ref="B1723" r:id="rId1743" xr:uid="{00000000-0004-0000-0000-0000CE060000}"/>
    <hyperlink ref="B1724" r:id="rId1744" xr:uid="{00000000-0004-0000-0000-0000CF060000}"/>
    <hyperlink ref="B1725" r:id="rId1745" xr:uid="{00000000-0004-0000-0000-0000D0060000}"/>
    <hyperlink ref="B1726" r:id="rId1746" xr:uid="{00000000-0004-0000-0000-0000D1060000}"/>
    <hyperlink ref="B1727" r:id="rId1747" xr:uid="{00000000-0004-0000-0000-0000D2060000}"/>
    <hyperlink ref="B1728" r:id="rId1748" xr:uid="{00000000-0004-0000-0000-0000D3060000}"/>
    <hyperlink ref="B1729" r:id="rId1749" xr:uid="{00000000-0004-0000-0000-0000D4060000}"/>
    <hyperlink ref="B1730" r:id="rId1750" xr:uid="{00000000-0004-0000-0000-0000D5060000}"/>
    <hyperlink ref="B1731" r:id="rId1751" xr:uid="{00000000-0004-0000-0000-0000D6060000}"/>
    <hyperlink ref="B1732" r:id="rId1752" xr:uid="{00000000-0004-0000-0000-0000D7060000}"/>
    <hyperlink ref="B1733" r:id="rId1753" xr:uid="{00000000-0004-0000-0000-0000D8060000}"/>
    <hyperlink ref="B1734" r:id="rId1754" xr:uid="{00000000-0004-0000-0000-0000D9060000}"/>
    <hyperlink ref="B1735" r:id="rId1755" xr:uid="{00000000-0004-0000-0000-0000DA060000}"/>
    <hyperlink ref="B1736" r:id="rId1756" xr:uid="{00000000-0004-0000-0000-0000DB060000}"/>
    <hyperlink ref="B1737" r:id="rId1757" xr:uid="{00000000-0004-0000-0000-0000DC060000}"/>
    <hyperlink ref="B1738" r:id="rId1758" xr:uid="{00000000-0004-0000-0000-0000DD060000}"/>
    <hyperlink ref="B1739" r:id="rId1759" xr:uid="{00000000-0004-0000-0000-0000DE060000}"/>
    <hyperlink ref="B1740" r:id="rId1760" xr:uid="{00000000-0004-0000-0000-0000DF060000}"/>
    <hyperlink ref="B1741" r:id="rId1761" xr:uid="{00000000-0004-0000-0000-0000E0060000}"/>
    <hyperlink ref="B1742" r:id="rId1762" xr:uid="{00000000-0004-0000-0000-0000E1060000}"/>
    <hyperlink ref="B1743" r:id="rId1763" xr:uid="{00000000-0004-0000-0000-0000E2060000}"/>
    <hyperlink ref="B1744" r:id="rId1764" xr:uid="{00000000-0004-0000-0000-0000E3060000}"/>
    <hyperlink ref="B1745" r:id="rId1765" xr:uid="{00000000-0004-0000-0000-0000E4060000}"/>
    <hyperlink ref="B1746" r:id="rId1766" xr:uid="{00000000-0004-0000-0000-0000E5060000}"/>
    <hyperlink ref="B1747" r:id="rId1767" xr:uid="{00000000-0004-0000-0000-0000E6060000}"/>
    <hyperlink ref="B1748" r:id="rId1768" xr:uid="{00000000-0004-0000-0000-0000E7060000}"/>
    <hyperlink ref="B1749" r:id="rId1769" xr:uid="{00000000-0004-0000-0000-0000E8060000}"/>
    <hyperlink ref="B1750" r:id="rId1770" xr:uid="{00000000-0004-0000-0000-0000E9060000}"/>
    <hyperlink ref="B1751" r:id="rId1771" xr:uid="{00000000-0004-0000-0000-0000EA060000}"/>
    <hyperlink ref="B1752" r:id="rId1772" xr:uid="{00000000-0004-0000-0000-0000EB060000}"/>
    <hyperlink ref="B1753" r:id="rId1773" xr:uid="{00000000-0004-0000-0000-0000EC060000}"/>
    <hyperlink ref="B1754" r:id="rId1774" xr:uid="{00000000-0004-0000-0000-0000ED060000}"/>
    <hyperlink ref="B1755" r:id="rId1775" xr:uid="{00000000-0004-0000-0000-0000EE060000}"/>
    <hyperlink ref="B1756" r:id="rId1776" xr:uid="{00000000-0004-0000-0000-0000EF060000}"/>
    <hyperlink ref="B1757" r:id="rId1777" xr:uid="{00000000-0004-0000-0000-0000F0060000}"/>
    <hyperlink ref="B1758" r:id="rId1778" xr:uid="{00000000-0004-0000-0000-0000F1060000}"/>
    <hyperlink ref="B1759" r:id="rId1779" xr:uid="{00000000-0004-0000-0000-0000F2060000}"/>
    <hyperlink ref="B1760" r:id="rId1780" xr:uid="{00000000-0004-0000-0000-0000F3060000}"/>
    <hyperlink ref="B1761" r:id="rId1781" xr:uid="{00000000-0004-0000-0000-0000F4060000}"/>
    <hyperlink ref="B1762" r:id="rId1782" xr:uid="{00000000-0004-0000-0000-0000F5060000}"/>
    <hyperlink ref="B1763" r:id="rId1783" xr:uid="{00000000-0004-0000-0000-0000F6060000}"/>
    <hyperlink ref="B1764" r:id="rId1784" xr:uid="{00000000-0004-0000-0000-0000F7060000}"/>
    <hyperlink ref="B1765" r:id="rId1785" xr:uid="{00000000-0004-0000-0000-0000F8060000}"/>
    <hyperlink ref="B1766" r:id="rId1786" xr:uid="{00000000-0004-0000-0000-0000F9060000}"/>
    <hyperlink ref="B1767" r:id="rId1787" xr:uid="{00000000-0004-0000-0000-0000FA060000}"/>
    <hyperlink ref="B1768" r:id="rId1788" xr:uid="{00000000-0004-0000-0000-0000FB060000}"/>
    <hyperlink ref="B1769" r:id="rId1789" xr:uid="{00000000-0004-0000-0000-0000FC060000}"/>
    <hyperlink ref="B1770" r:id="rId1790" xr:uid="{00000000-0004-0000-0000-0000FD060000}"/>
    <hyperlink ref="B1771" r:id="rId1791" xr:uid="{00000000-0004-0000-0000-0000FE060000}"/>
    <hyperlink ref="B1772" r:id="rId1792" xr:uid="{00000000-0004-0000-0000-0000FF060000}"/>
    <hyperlink ref="B1773" r:id="rId1793" xr:uid="{00000000-0004-0000-0000-000000070000}"/>
    <hyperlink ref="B1774" r:id="rId1794" xr:uid="{00000000-0004-0000-0000-000001070000}"/>
    <hyperlink ref="B1775" r:id="rId1795" xr:uid="{00000000-0004-0000-0000-000002070000}"/>
    <hyperlink ref="B1776" r:id="rId1796" xr:uid="{00000000-0004-0000-0000-000003070000}"/>
    <hyperlink ref="B1777" r:id="rId1797" xr:uid="{00000000-0004-0000-0000-000004070000}"/>
    <hyperlink ref="B1778" r:id="rId1798" xr:uid="{00000000-0004-0000-0000-000005070000}"/>
    <hyperlink ref="B1779" r:id="rId1799" xr:uid="{00000000-0004-0000-0000-000006070000}"/>
    <hyperlink ref="B1780" r:id="rId1800" xr:uid="{00000000-0004-0000-0000-000007070000}"/>
    <hyperlink ref="B1781" r:id="rId1801" xr:uid="{00000000-0004-0000-0000-000008070000}"/>
    <hyperlink ref="B1782" r:id="rId1802" xr:uid="{00000000-0004-0000-0000-000009070000}"/>
    <hyperlink ref="B1784" r:id="rId1803" xr:uid="{00000000-0004-0000-0000-00000A070000}"/>
    <hyperlink ref="A1785" r:id="rId1804" xr:uid="{00000000-0004-0000-0000-00000B070000}"/>
    <hyperlink ref="B1785" r:id="rId1805" xr:uid="{00000000-0004-0000-0000-00000C070000}"/>
    <hyperlink ref="B1786" r:id="rId1806" xr:uid="{00000000-0004-0000-0000-00000D070000}"/>
    <hyperlink ref="B1787" r:id="rId1807" xr:uid="{00000000-0004-0000-0000-00000E070000}"/>
    <hyperlink ref="B1788" r:id="rId1808" xr:uid="{00000000-0004-0000-0000-00000F070000}"/>
    <hyperlink ref="B1789" r:id="rId1809" xr:uid="{00000000-0004-0000-0000-000010070000}"/>
    <hyperlink ref="B1790" r:id="rId1810" xr:uid="{00000000-0004-0000-0000-000011070000}"/>
    <hyperlink ref="B1791" r:id="rId1811" xr:uid="{00000000-0004-0000-0000-000012070000}"/>
    <hyperlink ref="B1792" r:id="rId1812" xr:uid="{00000000-0004-0000-0000-000013070000}"/>
    <hyperlink ref="B1793" r:id="rId1813" xr:uid="{00000000-0004-0000-0000-000014070000}"/>
    <hyperlink ref="B1794" r:id="rId1814" xr:uid="{00000000-0004-0000-0000-000015070000}"/>
    <hyperlink ref="B1795" r:id="rId1815" xr:uid="{00000000-0004-0000-0000-000016070000}"/>
    <hyperlink ref="B1796" r:id="rId1816" xr:uid="{00000000-0004-0000-0000-000017070000}"/>
    <hyperlink ref="B1797" r:id="rId1817" xr:uid="{00000000-0004-0000-0000-000018070000}"/>
    <hyperlink ref="B1798" r:id="rId1818" xr:uid="{00000000-0004-0000-0000-000019070000}"/>
    <hyperlink ref="B1799" r:id="rId1819" xr:uid="{00000000-0004-0000-0000-00001A070000}"/>
    <hyperlink ref="B1800" r:id="rId1820" xr:uid="{00000000-0004-0000-0000-00001B070000}"/>
    <hyperlink ref="B1801" r:id="rId1821" xr:uid="{00000000-0004-0000-0000-00001C070000}"/>
    <hyperlink ref="B1802" r:id="rId1822" xr:uid="{00000000-0004-0000-0000-00001D070000}"/>
    <hyperlink ref="B1803" r:id="rId1823" xr:uid="{00000000-0004-0000-0000-00001E070000}"/>
    <hyperlink ref="B1804" r:id="rId1824" xr:uid="{00000000-0004-0000-0000-00001F070000}"/>
    <hyperlink ref="B1805" r:id="rId1825" xr:uid="{00000000-0004-0000-0000-000020070000}"/>
    <hyperlink ref="B1806" r:id="rId1826" xr:uid="{00000000-0004-0000-0000-000021070000}"/>
    <hyperlink ref="B1807" r:id="rId1827" xr:uid="{00000000-0004-0000-0000-000022070000}"/>
    <hyperlink ref="B1808" r:id="rId1828" xr:uid="{00000000-0004-0000-0000-000023070000}"/>
    <hyperlink ref="B1809" r:id="rId1829" xr:uid="{00000000-0004-0000-0000-000024070000}"/>
    <hyperlink ref="B1810" r:id="rId1830" xr:uid="{00000000-0004-0000-0000-000025070000}"/>
    <hyperlink ref="B1811" r:id="rId1831" xr:uid="{00000000-0004-0000-0000-000026070000}"/>
    <hyperlink ref="E1811" r:id="rId1832" xr:uid="{00000000-0004-0000-0000-000027070000}"/>
    <hyperlink ref="K1811" r:id="rId1833" xr:uid="{00000000-0004-0000-0000-000028070000}"/>
    <hyperlink ref="B1812" r:id="rId1834" xr:uid="{00000000-0004-0000-0000-000029070000}"/>
    <hyperlink ref="B1813" r:id="rId1835" xr:uid="{00000000-0004-0000-0000-00002A070000}"/>
    <hyperlink ref="B1814" r:id="rId1836" xr:uid="{00000000-0004-0000-0000-00002B070000}"/>
    <hyperlink ref="B1815" r:id="rId1837" xr:uid="{00000000-0004-0000-0000-00002C070000}"/>
    <hyperlink ref="B1816" r:id="rId1838" xr:uid="{00000000-0004-0000-0000-00002D070000}"/>
    <hyperlink ref="B1817" r:id="rId1839" xr:uid="{00000000-0004-0000-0000-00002E070000}"/>
    <hyperlink ref="A1819" r:id="rId1840" xr:uid="{00000000-0004-0000-0000-00002F070000}"/>
    <hyperlink ref="B1819" r:id="rId1841" xr:uid="{00000000-0004-0000-0000-000030070000}"/>
    <hyperlink ref="A1820" r:id="rId1842" xr:uid="{00000000-0004-0000-0000-000031070000}"/>
    <hyperlink ref="B1820" r:id="rId1843" xr:uid="{00000000-0004-0000-0000-000032070000}"/>
    <hyperlink ref="B1821" r:id="rId1844" xr:uid="{00000000-0004-0000-0000-000033070000}"/>
    <hyperlink ref="B1823" r:id="rId1845" xr:uid="{00000000-0004-0000-0000-000034070000}"/>
    <hyperlink ref="B1824" r:id="rId1846" xr:uid="{00000000-0004-0000-0000-000035070000}"/>
    <hyperlink ref="B1825" r:id="rId1847" xr:uid="{00000000-0004-0000-0000-000036070000}"/>
    <hyperlink ref="B1826" r:id="rId1848" xr:uid="{00000000-0004-0000-0000-000037070000}"/>
    <hyperlink ref="B1827" r:id="rId1849" xr:uid="{00000000-0004-0000-0000-000038070000}"/>
    <hyperlink ref="B1828" r:id="rId1850" xr:uid="{00000000-0004-0000-0000-000039070000}"/>
    <hyperlink ref="B1829" r:id="rId1851" xr:uid="{00000000-0004-0000-0000-00003A070000}"/>
    <hyperlink ref="B1830" r:id="rId1852" xr:uid="{00000000-0004-0000-0000-00003B070000}"/>
    <hyperlink ref="B1831" r:id="rId1853" xr:uid="{00000000-0004-0000-0000-00003C070000}"/>
    <hyperlink ref="B1832" r:id="rId1854" xr:uid="{00000000-0004-0000-0000-00003D070000}"/>
    <hyperlink ref="B1833" r:id="rId1855" xr:uid="{00000000-0004-0000-0000-00003E070000}"/>
    <hyperlink ref="B1834" r:id="rId1856" xr:uid="{00000000-0004-0000-0000-00003F070000}"/>
    <hyperlink ref="B1835" r:id="rId1857" xr:uid="{00000000-0004-0000-0000-000040070000}"/>
    <hyperlink ref="B1836" r:id="rId1858" xr:uid="{00000000-0004-0000-0000-000041070000}"/>
    <hyperlink ref="B1837" r:id="rId1859" xr:uid="{00000000-0004-0000-0000-000042070000}"/>
    <hyperlink ref="B1838" r:id="rId1860" xr:uid="{00000000-0004-0000-0000-000043070000}"/>
    <hyperlink ref="B1839" r:id="rId1861" xr:uid="{00000000-0004-0000-0000-000044070000}"/>
    <hyperlink ref="B1841" r:id="rId1862" xr:uid="{00000000-0004-0000-0000-000045070000}"/>
    <hyperlink ref="B1842" r:id="rId1863" xr:uid="{00000000-0004-0000-0000-000046070000}"/>
    <hyperlink ref="B1843" r:id="rId1864" xr:uid="{00000000-0004-0000-0000-000047070000}"/>
    <hyperlink ref="B1844" r:id="rId1865" xr:uid="{00000000-0004-0000-0000-000048070000}"/>
    <hyperlink ref="B1845" r:id="rId1866" xr:uid="{00000000-0004-0000-0000-000049070000}"/>
    <hyperlink ref="B1846" r:id="rId1867" xr:uid="{00000000-0004-0000-0000-00004A070000}"/>
    <hyperlink ref="B1847" r:id="rId1868" xr:uid="{00000000-0004-0000-0000-00004B070000}"/>
    <hyperlink ref="B1848" r:id="rId1869" xr:uid="{00000000-0004-0000-0000-00004C070000}"/>
    <hyperlink ref="B1849" r:id="rId1870" xr:uid="{00000000-0004-0000-0000-00004D070000}"/>
    <hyperlink ref="B1850" r:id="rId1871" xr:uid="{00000000-0004-0000-0000-00004E070000}"/>
    <hyperlink ref="B1851" r:id="rId1872" xr:uid="{00000000-0004-0000-0000-00004F070000}"/>
    <hyperlink ref="B1852" r:id="rId1873" xr:uid="{00000000-0004-0000-0000-000050070000}"/>
    <hyperlink ref="B1853" r:id="rId1874" xr:uid="{00000000-0004-0000-0000-000051070000}"/>
    <hyperlink ref="B1854" r:id="rId1875" xr:uid="{00000000-0004-0000-0000-000052070000}"/>
    <hyperlink ref="B1855" r:id="rId1876" xr:uid="{00000000-0004-0000-0000-000053070000}"/>
    <hyperlink ref="B1856" r:id="rId1877" xr:uid="{00000000-0004-0000-0000-000054070000}"/>
    <hyperlink ref="B1857" r:id="rId1878" xr:uid="{00000000-0004-0000-0000-000055070000}"/>
    <hyperlink ref="B1858" r:id="rId1879" xr:uid="{00000000-0004-0000-0000-000056070000}"/>
    <hyperlink ref="B1860" r:id="rId1880" xr:uid="{00000000-0004-0000-0000-000057070000}"/>
    <hyperlink ref="B1861" r:id="rId1881" xr:uid="{00000000-0004-0000-0000-000058070000}"/>
    <hyperlink ref="B1865" r:id="rId1882" xr:uid="{00000000-0004-0000-0000-000059070000}"/>
    <hyperlink ref="A1866" r:id="rId1883" xr:uid="{00000000-0004-0000-0000-00005A070000}"/>
    <hyperlink ref="B1866" r:id="rId1884" xr:uid="{00000000-0004-0000-0000-00005B070000}"/>
    <hyperlink ref="B1867" r:id="rId1885" xr:uid="{00000000-0004-0000-0000-00005C070000}"/>
    <hyperlink ref="B1868" r:id="rId1886" xr:uid="{00000000-0004-0000-0000-00005D070000}"/>
    <hyperlink ref="B1869" r:id="rId1887" xr:uid="{00000000-0004-0000-0000-00005E070000}"/>
    <hyperlink ref="B1870" r:id="rId1888" xr:uid="{00000000-0004-0000-0000-00005F070000}"/>
    <hyperlink ref="B1871" r:id="rId1889" xr:uid="{00000000-0004-0000-0000-000060070000}"/>
    <hyperlink ref="B1872" r:id="rId1890" xr:uid="{00000000-0004-0000-0000-000061070000}"/>
    <hyperlink ref="B1873" r:id="rId1891" xr:uid="{00000000-0004-0000-0000-000062070000}"/>
    <hyperlink ref="B1874" r:id="rId1892" xr:uid="{00000000-0004-0000-0000-000063070000}"/>
    <hyperlink ref="B1875" r:id="rId1893" xr:uid="{00000000-0004-0000-0000-000064070000}"/>
    <hyperlink ref="B1876" r:id="rId1894" xr:uid="{00000000-0004-0000-0000-000065070000}"/>
    <hyperlink ref="B1877" r:id="rId1895" xr:uid="{00000000-0004-0000-0000-000066070000}"/>
    <hyperlink ref="B1878" r:id="rId1896" xr:uid="{00000000-0004-0000-0000-000067070000}"/>
    <hyperlink ref="B1879" r:id="rId1897" xr:uid="{00000000-0004-0000-0000-000068070000}"/>
    <hyperlink ref="B1880" r:id="rId1898" xr:uid="{00000000-0004-0000-0000-000069070000}"/>
    <hyperlink ref="B1881" r:id="rId1899" xr:uid="{00000000-0004-0000-0000-00006A070000}"/>
    <hyperlink ref="B1882" r:id="rId1900" xr:uid="{00000000-0004-0000-0000-00006B070000}"/>
    <hyperlink ref="B1883" r:id="rId1901" xr:uid="{00000000-0004-0000-0000-00006C070000}"/>
    <hyperlink ref="B1884" r:id="rId1902" xr:uid="{00000000-0004-0000-0000-00006D070000}"/>
    <hyperlink ref="B1885" r:id="rId1903" xr:uid="{00000000-0004-0000-0000-00006E070000}"/>
    <hyperlink ref="B1886" r:id="rId1904" xr:uid="{00000000-0004-0000-0000-00006F070000}"/>
    <hyperlink ref="B1887" r:id="rId1905" xr:uid="{00000000-0004-0000-0000-000070070000}"/>
    <hyperlink ref="B1888" r:id="rId1906" xr:uid="{00000000-0004-0000-0000-000071070000}"/>
    <hyperlink ref="B1889" r:id="rId1907" xr:uid="{00000000-0004-0000-0000-000072070000}"/>
    <hyperlink ref="B1890" r:id="rId1908" xr:uid="{00000000-0004-0000-0000-000073070000}"/>
    <hyperlink ref="B1891" r:id="rId1909" xr:uid="{00000000-0004-0000-0000-000074070000}"/>
    <hyperlink ref="B1892" r:id="rId1910" xr:uid="{00000000-0004-0000-0000-000075070000}"/>
    <hyperlink ref="B1893" r:id="rId1911" xr:uid="{00000000-0004-0000-0000-000076070000}"/>
    <hyperlink ref="B1894" r:id="rId1912" xr:uid="{00000000-0004-0000-0000-000077070000}"/>
    <hyperlink ref="B1895" r:id="rId1913" xr:uid="{00000000-0004-0000-0000-000078070000}"/>
    <hyperlink ref="B1896" r:id="rId1914" xr:uid="{00000000-0004-0000-0000-000079070000}"/>
    <hyperlink ref="B1897" r:id="rId1915" xr:uid="{00000000-0004-0000-0000-00007A070000}"/>
    <hyperlink ref="B1898" r:id="rId1916" xr:uid="{00000000-0004-0000-0000-00007B070000}"/>
    <hyperlink ref="B1899" r:id="rId1917" xr:uid="{00000000-0004-0000-0000-00007C070000}"/>
    <hyperlink ref="B1900" r:id="rId1918" xr:uid="{00000000-0004-0000-0000-00007D070000}"/>
    <hyperlink ref="B1901" r:id="rId1919" xr:uid="{00000000-0004-0000-0000-00007E070000}"/>
    <hyperlink ref="B1902" r:id="rId1920" xr:uid="{00000000-0004-0000-0000-00007F070000}"/>
    <hyperlink ref="B1903" r:id="rId1921" xr:uid="{00000000-0004-0000-0000-000080070000}"/>
    <hyperlink ref="B1904" r:id="rId1922" xr:uid="{00000000-0004-0000-0000-000081070000}"/>
    <hyperlink ref="B1905" r:id="rId1923" xr:uid="{00000000-0004-0000-0000-000082070000}"/>
    <hyperlink ref="B1906" r:id="rId1924" xr:uid="{00000000-0004-0000-0000-000083070000}"/>
    <hyperlink ref="B1907" r:id="rId1925" xr:uid="{00000000-0004-0000-0000-000084070000}"/>
    <hyperlink ref="B1908" r:id="rId1926" xr:uid="{00000000-0004-0000-0000-000085070000}"/>
    <hyperlink ref="B1909" r:id="rId1927" xr:uid="{00000000-0004-0000-0000-000086070000}"/>
    <hyperlink ref="B1910" r:id="rId1928" xr:uid="{00000000-0004-0000-0000-000087070000}"/>
    <hyperlink ref="B1911" r:id="rId1929" xr:uid="{00000000-0004-0000-0000-000088070000}"/>
    <hyperlink ref="B1912" r:id="rId1930" xr:uid="{00000000-0004-0000-0000-000089070000}"/>
    <hyperlink ref="B1913" r:id="rId1931" xr:uid="{00000000-0004-0000-0000-00008A070000}"/>
    <hyperlink ref="B1914" r:id="rId1932" xr:uid="{00000000-0004-0000-0000-00008B070000}"/>
    <hyperlink ref="B1915" r:id="rId1933" xr:uid="{00000000-0004-0000-0000-00008C070000}"/>
    <hyperlink ref="B1916" r:id="rId1934" xr:uid="{00000000-0004-0000-0000-00008D070000}"/>
    <hyperlink ref="B1917" r:id="rId1935" xr:uid="{00000000-0004-0000-0000-00008E070000}"/>
    <hyperlink ref="B1918" r:id="rId1936" xr:uid="{00000000-0004-0000-0000-00008F070000}"/>
    <hyperlink ref="B1919" r:id="rId1937" xr:uid="{00000000-0004-0000-0000-000090070000}"/>
    <hyperlink ref="B1920" r:id="rId1938" xr:uid="{00000000-0004-0000-0000-000091070000}"/>
    <hyperlink ref="B1921" r:id="rId1939" xr:uid="{00000000-0004-0000-0000-000092070000}"/>
    <hyperlink ref="B1922" r:id="rId1940" xr:uid="{00000000-0004-0000-0000-000093070000}"/>
    <hyperlink ref="B1923" r:id="rId1941" xr:uid="{00000000-0004-0000-0000-000094070000}"/>
    <hyperlink ref="B1924" r:id="rId1942" xr:uid="{00000000-0004-0000-0000-000095070000}"/>
    <hyperlink ref="B1925" r:id="rId1943" xr:uid="{00000000-0004-0000-0000-000096070000}"/>
    <hyperlink ref="B1926" r:id="rId1944" xr:uid="{00000000-0004-0000-0000-000097070000}"/>
    <hyperlink ref="B1927" r:id="rId1945" xr:uid="{00000000-0004-0000-0000-000098070000}"/>
    <hyperlink ref="B1928" r:id="rId1946" xr:uid="{00000000-0004-0000-0000-000099070000}"/>
    <hyperlink ref="B1929" r:id="rId1947" xr:uid="{00000000-0004-0000-0000-00009A070000}"/>
    <hyperlink ref="B1930" r:id="rId1948" xr:uid="{00000000-0004-0000-0000-00009B070000}"/>
    <hyperlink ref="B1931" r:id="rId1949" xr:uid="{00000000-0004-0000-0000-00009C070000}"/>
    <hyperlink ref="B1932" r:id="rId1950" xr:uid="{00000000-0004-0000-0000-00009D070000}"/>
    <hyperlink ref="B1933" r:id="rId1951" xr:uid="{00000000-0004-0000-0000-00009E070000}"/>
    <hyperlink ref="B1934" r:id="rId1952" xr:uid="{00000000-0004-0000-0000-00009F070000}"/>
    <hyperlink ref="B1935" r:id="rId1953" xr:uid="{00000000-0004-0000-0000-0000A0070000}"/>
    <hyperlink ref="B1937" r:id="rId1954" xr:uid="{00000000-0004-0000-0000-0000A1070000}"/>
    <hyperlink ref="A1938" r:id="rId1955" xr:uid="{00000000-0004-0000-0000-0000A2070000}"/>
    <hyperlink ref="B1938" r:id="rId1956" xr:uid="{00000000-0004-0000-0000-0000A3070000}"/>
    <hyperlink ref="B1939" r:id="rId1957" xr:uid="{00000000-0004-0000-0000-0000A4070000}"/>
    <hyperlink ref="B1940" r:id="rId1958" xr:uid="{00000000-0004-0000-0000-0000A5070000}"/>
    <hyperlink ref="B1941" r:id="rId1959" xr:uid="{00000000-0004-0000-0000-0000A6070000}"/>
    <hyperlink ref="B1942" r:id="rId1960" xr:uid="{00000000-0004-0000-0000-0000A7070000}"/>
    <hyperlink ref="B1943" r:id="rId1961" xr:uid="{00000000-0004-0000-0000-0000A8070000}"/>
    <hyperlink ref="B1944" r:id="rId1962" xr:uid="{00000000-0004-0000-0000-0000A9070000}"/>
    <hyperlink ref="B1945" r:id="rId1963" xr:uid="{00000000-0004-0000-0000-0000AA070000}"/>
    <hyperlink ref="B1946" r:id="rId1964" xr:uid="{00000000-0004-0000-0000-0000AB070000}"/>
    <hyperlink ref="B1947" r:id="rId1965" xr:uid="{00000000-0004-0000-0000-0000AC070000}"/>
    <hyperlink ref="B1948" r:id="rId1966" xr:uid="{00000000-0004-0000-0000-0000AD070000}"/>
    <hyperlink ref="B1949" r:id="rId1967" xr:uid="{00000000-0004-0000-0000-0000AE070000}"/>
    <hyperlink ref="B1950" r:id="rId1968" xr:uid="{00000000-0004-0000-0000-0000AF070000}"/>
    <hyperlink ref="B1951" r:id="rId1969" xr:uid="{00000000-0004-0000-0000-0000B0070000}"/>
    <hyperlink ref="B1952" r:id="rId1970" xr:uid="{00000000-0004-0000-0000-0000B1070000}"/>
    <hyperlink ref="B1953" r:id="rId1971" xr:uid="{00000000-0004-0000-0000-0000B2070000}"/>
    <hyperlink ref="B1954" r:id="rId1972" xr:uid="{00000000-0004-0000-0000-0000B3070000}"/>
    <hyperlink ref="B1956" r:id="rId1973" xr:uid="{00000000-0004-0000-0000-0000B4070000}"/>
    <hyperlink ref="A1957" r:id="rId1974" xr:uid="{00000000-0004-0000-0000-0000B5070000}"/>
    <hyperlink ref="B1957" r:id="rId1975" xr:uid="{00000000-0004-0000-0000-0000B6070000}"/>
    <hyperlink ref="B1958" r:id="rId1976" xr:uid="{00000000-0004-0000-0000-0000B7070000}"/>
    <hyperlink ref="B1959" r:id="rId1977" xr:uid="{00000000-0004-0000-0000-0000B8070000}"/>
    <hyperlink ref="B1960" r:id="rId1978" xr:uid="{00000000-0004-0000-0000-0000B9070000}"/>
    <hyperlink ref="B1961" r:id="rId1979" xr:uid="{00000000-0004-0000-0000-0000BA070000}"/>
    <hyperlink ref="B1962" r:id="rId1980" xr:uid="{00000000-0004-0000-0000-0000BB070000}"/>
    <hyperlink ref="B1963" r:id="rId1981" xr:uid="{00000000-0004-0000-0000-0000BC070000}"/>
    <hyperlink ref="B1964" r:id="rId1982" xr:uid="{00000000-0004-0000-0000-0000BD070000}"/>
    <hyperlink ref="B1965" r:id="rId1983" xr:uid="{00000000-0004-0000-0000-0000BE070000}"/>
    <hyperlink ref="B1966" r:id="rId1984" xr:uid="{00000000-0004-0000-0000-0000BF070000}"/>
    <hyperlink ref="B1967" r:id="rId1985" xr:uid="{00000000-0004-0000-0000-0000C0070000}"/>
    <hyperlink ref="B1968" r:id="rId1986" xr:uid="{00000000-0004-0000-0000-0000C1070000}"/>
    <hyperlink ref="B1969" r:id="rId1987" xr:uid="{00000000-0004-0000-0000-0000C2070000}"/>
    <hyperlink ref="B1970" r:id="rId1988" xr:uid="{00000000-0004-0000-0000-0000C3070000}"/>
    <hyperlink ref="B1971" r:id="rId1989" xr:uid="{00000000-0004-0000-0000-0000C4070000}"/>
    <hyperlink ref="B1972" r:id="rId1990" xr:uid="{00000000-0004-0000-0000-0000C5070000}"/>
    <hyperlink ref="B1973" r:id="rId1991" xr:uid="{00000000-0004-0000-0000-0000C6070000}"/>
    <hyperlink ref="B1974" r:id="rId1992" xr:uid="{00000000-0004-0000-0000-0000C7070000}"/>
    <hyperlink ref="B1975" r:id="rId1993" xr:uid="{00000000-0004-0000-0000-0000C8070000}"/>
    <hyperlink ref="B1976" r:id="rId1994" xr:uid="{00000000-0004-0000-0000-0000C9070000}"/>
    <hyperlink ref="B1977" r:id="rId1995" xr:uid="{00000000-0004-0000-0000-0000CA070000}"/>
    <hyperlink ref="B1978" r:id="rId1996" xr:uid="{00000000-0004-0000-0000-0000CB070000}"/>
    <hyperlink ref="B1979" r:id="rId1997" xr:uid="{00000000-0004-0000-0000-0000CC070000}"/>
    <hyperlink ref="B1980" r:id="rId1998" xr:uid="{00000000-0004-0000-0000-0000CD070000}"/>
    <hyperlink ref="B1981" r:id="rId1999" xr:uid="{00000000-0004-0000-0000-0000CE070000}"/>
    <hyperlink ref="B1982" r:id="rId2000" xr:uid="{00000000-0004-0000-0000-0000CF070000}"/>
    <hyperlink ref="B1983" r:id="rId2001" xr:uid="{00000000-0004-0000-0000-0000D0070000}"/>
    <hyperlink ref="B1984" r:id="rId2002" xr:uid="{00000000-0004-0000-0000-0000D1070000}"/>
    <hyperlink ref="B1985" r:id="rId2003" xr:uid="{00000000-0004-0000-0000-0000D2070000}"/>
    <hyperlink ref="B1986" r:id="rId2004" xr:uid="{00000000-0004-0000-0000-0000D3070000}"/>
    <hyperlink ref="B1987" r:id="rId2005" xr:uid="{00000000-0004-0000-0000-0000D4070000}"/>
    <hyperlink ref="B1988" r:id="rId2006" xr:uid="{00000000-0004-0000-0000-0000D5070000}"/>
    <hyperlink ref="B1989" r:id="rId2007" xr:uid="{00000000-0004-0000-0000-0000D6070000}"/>
    <hyperlink ref="B1990" r:id="rId2008" xr:uid="{00000000-0004-0000-0000-0000D7070000}"/>
    <hyperlink ref="B1992" r:id="rId2009" xr:uid="{00000000-0004-0000-0000-0000D8070000}"/>
    <hyperlink ref="A1993" r:id="rId2010" xr:uid="{00000000-0004-0000-0000-0000D9070000}"/>
    <hyperlink ref="B1993" r:id="rId2011" xr:uid="{00000000-0004-0000-0000-0000DA070000}"/>
    <hyperlink ref="B1994" r:id="rId2012" xr:uid="{00000000-0004-0000-0000-0000DB070000}"/>
    <hyperlink ref="B1995" r:id="rId2013" xr:uid="{00000000-0004-0000-0000-0000DC070000}"/>
    <hyperlink ref="B1996" r:id="rId2014" xr:uid="{00000000-0004-0000-0000-0000DD070000}"/>
    <hyperlink ref="B1997" r:id="rId2015" xr:uid="{00000000-0004-0000-0000-0000DE070000}"/>
    <hyperlink ref="B1998" r:id="rId2016" xr:uid="{00000000-0004-0000-0000-0000DF070000}"/>
    <hyperlink ref="B1999" r:id="rId2017" xr:uid="{00000000-0004-0000-0000-0000E0070000}"/>
    <hyperlink ref="B2000" r:id="rId2018" xr:uid="{00000000-0004-0000-0000-0000E1070000}"/>
    <hyperlink ref="B2001" r:id="rId2019" xr:uid="{00000000-0004-0000-0000-0000E2070000}"/>
    <hyperlink ref="B2002" r:id="rId2020" xr:uid="{00000000-0004-0000-0000-0000E3070000}"/>
    <hyperlink ref="B2003" r:id="rId2021" xr:uid="{00000000-0004-0000-0000-0000E4070000}"/>
    <hyperlink ref="B2004" r:id="rId2022" xr:uid="{00000000-0004-0000-0000-0000E5070000}"/>
    <hyperlink ref="B2005" r:id="rId2023" xr:uid="{00000000-0004-0000-0000-0000E6070000}"/>
    <hyperlink ref="B2006" r:id="rId2024" xr:uid="{00000000-0004-0000-0000-0000E7070000}"/>
    <hyperlink ref="B2007" r:id="rId2025" xr:uid="{00000000-0004-0000-0000-0000E8070000}"/>
    <hyperlink ref="B2008" r:id="rId2026" xr:uid="{00000000-0004-0000-0000-0000E9070000}"/>
    <hyperlink ref="B2009" r:id="rId2027" xr:uid="{00000000-0004-0000-0000-0000EA070000}"/>
    <hyperlink ref="B2010" r:id="rId2028" xr:uid="{00000000-0004-0000-0000-0000EB070000}"/>
    <hyperlink ref="B2011" r:id="rId2029" xr:uid="{00000000-0004-0000-0000-0000EC070000}"/>
    <hyperlink ref="B2012" r:id="rId2030" xr:uid="{00000000-0004-0000-0000-0000ED070000}"/>
    <hyperlink ref="B2013" r:id="rId2031" xr:uid="{00000000-0004-0000-0000-0000EE070000}"/>
    <hyperlink ref="B2014" r:id="rId2032" xr:uid="{00000000-0004-0000-0000-0000EF070000}"/>
    <hyperlink ref="B2015" r:id="rId2033" xr:uid="{00000000-0004-0000-0000-0000F0070000}"/>
    <hyperlink ref="B2016" r:id="rId2034" xr:uid="{00000000-0004-0000-0000-0000F1070000}"/>
    <hyperlink ref="B2017" r:id="rId2035" xr:uid="{00000000-0004-0000-0000-0000F2070000}"/>
    <hyperlink ref="B2018" r:id="rId2036" xr:uid="{00000000-0004-0000-0000-0000F3070000}"/>
    <hyperlink ref="B2019" r:id="rId2037" xr:uid="{00000000-0004-0000-0000-0000F4070000}"/>
    <hyperlink ref="B2020" r:id="rId2038" xr:uid="{00000000-0004-0000-0000-0000F5070000}"/>
    <hyperlink ref="B2021" r:id="rId2039" xr:uid="{00000000-0004-0000-0000-0000F6070000}"/>
    <hyperlink ref="B2022" r:id="rId2040" xr:uid="{00000000-0004-0000-0000-0000F7070000}"/>
    <hyperlink ref="B2023" r:id="rId2041" xr:uid="{00000000-0004-0000-0000-0000F8070000}"/>
    <hyperlink ref="B2024" r:id="rId2042" xr:uid="{00000000-0004-0000-0000-0000F9070000}"/>
    <hyperlink ref="B2025" r:id="rId2043" xr:uid="{00000000-0004-0000-0000-0000FA070000}"/>
    <hyperlink ref="B2026" r:id="rId2044" xr:uid="{00000000-0004-0000-0000-0000FB070000}"/>
    <hyperlink ref="B2027" r:id="rId2045" xr:uid="{00000000-0004-0000-0000-0000FC070000}"/>
    <hyperlink ref="B2028" r:id="rId2046" xr:uid="{00000000-0004-0000-0000-0000FD070000}"/>
    <hyperlink ref="B2029" r:id="rId2047" xr:uid="{00000000-0004-0000-0000-0000FE070000}"/>
    <hyperlink ref="B2030" r:id="rId2048" xr:uid="{00000000-0004-0000-0000-0000FF070000}"/>
    <hyperlink ref="B2031" r:id="rId2049" xr:uid="{00000000-0004-0000-0000-000000080000}"/>
    <hyperlink ref="B2032" r:id="rId2050" xr:uid="{00000000-0004-0000-0000-000001080000}"/>
    <hyperlink ref="B2033" r:id="rId2051" xr:uid="{00000000-0004-0000-0000-000002080000}"/>
    <hyperlink ref="B2034" r:id="rId2052" xr:uid="{00000000-0004-0000-0000-000003080000}"/>
    <hyperlink ref="B2035" r:id="rId2053" xr:uid="{00000000-0004-0000-0000-000004080000}"/>
    <hyperlink ref="B2036" r:id="rId2054" xr:uid="{00000000-0004-0000-0000-000005080000}"/>
    <hyperlink ref="B2037" r:id="rId2055" xr:uid="{00000000-0004-0000-0000-000006080000}"/>
    <hyperlink ref="B2038" r:id="rId2056" xr:uid="{00000000-0004-0000-0000-000007080000}"/>
    <hyperlink ref="B2039" r:id="rId2057" xr:uid="{00000000-0004-0000-0000-000008080000}"/>
    <hyperlink ref="B2040" r:id="rId2058" xr:uid="{00000000-0004-0000-0000-000009080000}"/>
    <hyperlink ref="B2041" r:id="rId2059" xr:uid="{00000000-0004-0000-0000-00000A080000}"/>
    <hyperlink ref="B2042" r:id="rId2060" xr:uid="{00000000-0004-0000-0000-00000B080000}"/>
    <hyperlink ref="B2043" r:id="rId2061" xr:uid="{00000000-0004-0000-0000-00000C080000}"/>
    <hyperlink ref="B2045" r:id="rId2062" xr:uid="{00000000-0004-0000-0000-00000D080000}"/>
    <hyperlink ref="A2046" r:id="rId2063" xr:uid="{00000000-0004-0000-0000-00000E080000}"/>
    <hyperlink ref="B2046" r:id="rId2064" xr:uid="{00000000-0004-0000-0000-00000F080000}"/>
    <hyperlink ref="B2047" r:id="rId2065" xr:uid="{00000000-0004-0000-0000-000010080000}"/>
    <hyperlink ref="B2048" r:id="rId2066" xr:uid="{00000000-0004-0000-0000-000011080000}"/>
    <hyperlink ref="B2049" r:id="rId2067" xr:uid="{00000000-0004-0000-0000-000012080000}"/>
    <hyperlink ref="B2050" r:id="rId2068" xr:uid="{00000000-0004-0000-0000-000013080000}"/>
    <hyperlink ref="B2051" r:id="rId2069" xr:uid="{00000000-0004-0000-0000-000014080000}"/>
    <hyperlink ref="B2052" r:id="rId2070" xr:uid="{00000000-0004-0000-0000-000015080000}"/>
    <hyperlink ref="B2053" r:id="rId2071" xr:uid="{00000000-0004-0000-0000-000016080000}"/>
    <hyperlink ref="B2054" r:id="rId2072" xr:uid="{00000000-0004-0000-0000-000017080000}"/>
    <hyperlink ref="B2055" r:id="rId2073" xr:uid="{00000000-0004-0000-0000-000018080000}"/>
    <hyperlink ref="B2056" r:id="rId2074" xr:uid="{00000000-0004-0000-0000-000019080000}"/>
    <hyperlink ref="B2057" r:id="rId2075" xr:uid="{00000000-0004-0000-0000-00001A080000}"/>
    <hyperlink ref="B2058" r:id="rId2076" xr:uid="{00000000-0004-0000-0000-00001B080000}"/>
    <hyperlink ref="B2059" r:id="rId2077" xr:uid="{00000000-0004-0000-0000-00001C080000}"/>
    <hyperlink ref="B2060" r:id="rId2078" xr:uid="{00000000-0004-0000-0000-00001D080000}"/>
    <hyperlink ref="B2061" r:id="rId2079" xr:uid="{00000000-0004-0000-0000-00001E080000}"/>
    <hyperlink ref="B2062" r:id="rId2080" xr:uid="{00000000-0004-0000-0000-00001F080000}"/>
    <hyperlink ref="B2063" r:id="rId2081" xr:uid="{00000000-0004-0000-0000-000020080000}"/>
    <hyperlink ref="B2064" r:id="rId2082" xr:uid="{00000000-0004-0000-0000-000021080000}"/>
    <hyperlink ref="B2065" r:id="rId2083" xr:uid="{00000000-0004-0000-0000-000022080000}"/>
    <hyperlink ref="B2066" r:id="rId2084" xr:uid="{00000000-0004-0000-0000-000023080000}"/>
    <hyperlink ref="B2068" r:id="rId2085" xr:uid="{00000000-0004-0000-0000-000024080000}"/>
    <hyperlink ref="A2069" r:id="rId2086" xr:uid="{00000000-0004-0000-0000-000025080000}"/>
    <hyperlink ref="B2069" r:id="rId2087" xr:uid="{00000000-0004-0000-0000-000026080000}"/>
    <hyperlink ref="B2070" r:id="rId2088" xr:uid="{00000000-0004-0000-0000-000027080000}"/>
    <hyperlink ref="B2071" r:id="rId2089" xr:uid="{00000000-0004-0000-0000-000028080000}"/>
    <hyperlink ref="B2072" r:id="rId2090" xr:uid="{00000000-0004-0000-0000-000029080000}"/>
    <hyperlink ref="B2073" r:id="rId2091" xr:uid="{00000000-0004-0000-0000-00002A080000}"/>
    <hyperlink ref="B2074" r:id="rId2092" xr:uid="{00000000-0004-0000-0000-00002B080000}"/>
    <hyperlink ref="B2076" r:id="rId2093" xr:uid="{00000000-0004-0000-0000-00002C080000}"/>
    <hyperlink ref="B2077" r:id="rId2094" xr:uid="{00000000-0004-0000-0000-00002D080000}"/>
    <hyperlink ref="B2078" r:id="rId2095" xr:uid="{00000000-0004-0000-0000-00002E080000}"/>
    <hyperlink ref="B2079" r:id="rId2096" xr:uid="{00000000-0004-0000-0000-00002F080000}"/>
    <hyperlink ref="B2080" r:id="rId2097" xr:uid="{00000000-0004-0000-0000-000030080000}"/>
    <hyperlink ref="B2081" r:id="rId2098" xr:uid="{00000000-0004-0000-0000-000031080000}"/>
    <hyperlink ref="B2082" r:id="rId2099" xr:uid="{00000000-0004-0000-0000-000032080000}"/>
    <hyperlink ref="B2083" r:id="rId2100" xr:uid="{00000000-0004-0000-0000-000033080000}"/>
    <hyperlink ref="B2084" r:id="rId2101" xr:uid="{00000000-0004-0000-0000-000034080000}"/>
    <hyperlink ref="B2085" r:id="rId2102" xr:uid="{00000000-0004-0000-0000-000035080000}"/>
    <hyperlink ref="B2086" r:id="rId2103" xr:uid="{00000000-0004-0000-0000-000036080000}"/>
    <hyperlink ref="B2087" r:id="rId2104" xr:uid="{00000000-0004-0000-0000-000037080000}"/>
    <hyperlink ref="B2088" r:id="rId2105" xr:uid="{00000000-0004-0000-0000-000038080000}"/>
    <hyperlink ref="B2089" r:id="rId2106" xr:uid="{00000000-0004-0000-0000-000039080000}"/>
    <hyperlink ref="B2090" r:id="rId2107" xr:uid="{00000000-0004-0000-0000-00003A080000}"/>
    <hyperlink ref="B2091" r:id="rId2108" xr:uid="{00000000-0004-0000-0000-00003B080000}"/>
    <hyperlink ref="B2092" r:id="rId2109" xr:uid="{00000000-0004-0000-0000-00003C080000}"/>
    <hyperlink ref="B2093" r:id="rId2110" xr:uid="{00000000-0004-0000-0000-00003D080000}"/>
    <hyperlink ref="B2094" r:id="rId2111" xr:uid="{00000000-0004-0000-0000-00003E080000}"/>
    <hyperlink ref="B2095" r:id="rId2112" xr:uid="{00000000-0004-0000-0000-00003F080000}"/>
    <hyperlink ref="B2096" r:id="rId2113" xr:uid="{00000000-0004-0000-0000-000040080000}"/>
    <hyperlink ref="B2097" r:id="rId2114" xr:uid="{00000000-0004-0000-0000-000041080000}"/>
    <hyperlink ref="B2098" r:id="rId2115" xr:uid="{00000000-0004-0000-0000-000042080000}"/>
    <hyperlink ref="B2099" r:id="rId2116" xr:uid="{00000000-0004-0000-0000-000043080000}"/>
    <hyperlink ref="B2100" r:id="rId2117" xr:uid="{00000000-0004-0000-0000-000044080000}"/>
    <hyperlink ref="B2101" r:id="rId2118" xr:uid="{00000000-0004-0000-0000-000045080000}"/>
    <hyperlink ref="B2102" r:id="rId2119" xr:uid="{00000000-0004-0000-0000-000046080000}"/>
    <hyperlink ref="B2103" r:id="rId2120" xr:uid="{00000000-0004-0000-0000-000047080000}"/>
    <hyperlink ref="B2104" r:id="rId2121" xr:uid="{00000000-0004-0000-0000-000048080000}"/>
    <hyperlink ref="B2105" r:id="rId2122" xr:uid="{00000000-0004-0000-0000-000049080000}"/>
    <hyperlink ref="B2106" r:id="rId2123" xr:uid="{00000000-0004-0000-0000-00004A080000}"/>
    <hyperlink ref="B2107" r:id="rId2124" xr:uid="{00000000-0004-0000-0000-00004B080000}"/>
    <hyperlink ref="B2108" r:id="rId2125" xr:uid="{00000000-0004-0000-0000-00004C080000}"/>
    <hyperlink ref="B2110" r:id="rId2126" xr:uid="{00000000-0004-0000-0000-00004D080000}"/>
    <hyperlink ref="A2111" r:id="rId2127" xr:uid="{00000000-0004-0000-0000-00004E080000}"/>
    <hyperlink ref="B2111" r:id="rId2128" xr:uid="{00000000-0004-0000-0000-00004F080000}"/>
    <hyperlink ref="B2112" r:id="rId2129" xr:uid="{00000000-0004-0000-0000-000050080000}"/>
    <hyperlink ref="B2113" r:id="rId2130" xr:uid="{00000000-0004-0000-0000-000051080000}"/>
    <hyperlink ref="B2114" r:id="rId2131" xr:uid="{00000000-0004-0000-0000-000052080000}"/>
    <hyperlink ref="B2115" r:id="rId2132" xr:uid="{00000000-0004-0000-0000-000053080000}"/>
    <hyperlink ref="B2116" r:id="rId2133" xr:uid="{00000000-0004-0000-0000-000054080000}"/>
    <hyperlink ref="B2117" r:id="rId2134" xr:uid="{00000000-0004-0000-0000-000055080000}"/>
    <hyperlink ref="B2118" r:id="rId2135" xr:uid="{00000000-0004-0000-0000-000056080000}"/>
    <hyperlink ref="B2119" r:id="rId2136" xr:uid="{00000000-0004-0000-0000-000057080000}"/>
    <hyperlink ref="B2120" r:id="rId2137" xr:uid="{00000000-0004-0000-0000-000058080000}"/>
    <hyperlink ref="B2122" r:id="rId2138" xr:uid="{00000000-0004-0000-0000-000059080000}"/>
    <hyperlink ref="B2123" r:id="rId2139" xr:uid="{00000000-0004-0000-0000-00005A080000}"/>
    <hyperlink ref="B2124" r:id="rId2140" xr:uid="{00000000-0004-0000-0000-00005B080000}"/>
    <hyperlink ref="B2125" r:id="rId2141" xr:uid="{00000000-0004-0000-0000-00005C080000}"/>
    <hyperlink ref="B2126" r:id="rId2142" xr:uid="{00000000-0004-0000-0000-00005D080000}"/>
    <hyperlink ref="B2127" r:id="rId2143" xr:uid="{00000000-0004-0000-0000-00005E080000}"/>
    <hyperlink ref="B2128" r:id="rId2144" xr:uid="{00000000-0004-0000-0000-00005F080000}"/>
    <hyperlink ref="B2129" r:id="rId2145" xr:uid="{00000000-0004-0000-0000-000060080000}"/>
    <hyperlink ref="B2130" r:id="rId2146" xr:uid="{00000000-0004-0000-0000-000061080000}"/>
    <hyperlink ref="B2131" r:id="rId2147" xr:uid="{00000000-0004-0000-0000-000062080000}"/>
    <hyperlink ref="B2132" r:id="rId2148" xr:uid="{00000000-0004-0000-0000-000063080000}"/>
    <hyperlink ref="B2133" r:id="rId2149" xr:uid="{00000000-0004-0000-0000-000064080000}"/>
    <hyperlink ref="B2134" r:id="rId2150" xr:uid="{00000000-0004-0000-0000-000065080000}"/>
    <hyperlink ref="B2135" r:id="rId2151" xr:uid="{00000000-0004-0000-0000-000066080000}"/>
    <hyperlink ref="B2136" r:id="rId2152" xr:uid="{00000000-0004-0000-0000-000067080000}"/>
    <hyperlink ref="B2137" r:id="rId2153" xr:uid="{00000000-0004-0000-0000-000068080000}"/>
    <hyperlink ref="B2138" r:id="rId2154" xr:uid="{00000000-0004-0000-0000-000069080000}"/>
    <hyperlink ref="B2139" r:id="rId2155" xr:uid="{00000000-0004-0000-0000-00006A080000}"/>
    <hyperlink ref="B2140" r:id="rId2156" xr:uid="{00000000-0004-0000-0000-00006B080000}"/>
    <hyperlink ref="B2141" r:id="rId2157" xr:uid="{00000000-0004-0000-0000-00006C080000}"/>
    <hyperlink ref="B2142" r:id="rId2158" xr:uid="{00000000-0004-0000-0000-00006D080000}"/>
    <hyperlink ref="B2144" r:id="rId2159" xr:uid="{00000000-0004-0000-0000-00006E080000}"/>
    <hyperlink ref="B2145" r:id="rId2160" xr:uid="{00000000-0004-0000-0000-00006F080000}"/>
    <hyperlink ref="B2146" r:id="rId2161" xr:uid="{00000000-0004-0000-0000-000070080000}"/>
    <hyperlink ref="B2147" r:id="rId2162" xr:uid="{00000000-0004-0000-0000-000071080000}"/>
    <hyperlink ref="B2148" r:id="rId2163" xr:uid="{00000000-0004-0000-0000-000072080000}"/>
    <hyperlink ref="B2149" r:id="rId2164" xr:uid="{00000000-0004-0000-0000-000073080000}"/>
    <hyperlink ref="B2150" r:id="rId2165" xr:uid="{00000000-0004-0000-0000-000074080000}"/>
    <hyperlink ref="B2151" r:id="rId2166" xr:uid="{00000000-0004-0000-0000-000075080000}"/>
    <hyperlink ref="B2152" r:id="rId2167" xr:uid="{00000000-0004-0000-0000-000076080000}"/>
    <hyperlink ref="B2153" r:id="rId2168" xr:uid="{00000000-0004-0000-0000-000077080000}"/>
    <hyperlink ref="B2154" r:id="rId2169" xr:uid="{00000000-0004-0000-0000-000078080000}"/>
    <hyperlink ref="B2156" r:id="rId2170" xr:uid="{00000000-0004-0000-0000-000079080000}"/>
    <hyperlink ref="A2157" r:id="rId2171" xr:uid="{00000000-0004-0000-0000-00007A080000}"/>
    <hyperlink ref="B2157" r:id="rId2172" xr:uid="{00000000-0004-0000-0000-00007B080000}"/>
    <hyperlink ref="B2158" r:id="rId2173" xr:uid="{00000000-0004-0000-0000-00007C080000}"/>
    <hyperlink ref="B2159" r:id="rId2174" xr:uid="{00000000-0004-0000-0000-00007D080000}"/>
    <hyperlink ref="B2160" r:id="rId2175" xr:uid="{00000000-0004-0000-0000-00007E080000}"/>
    <hyperlink ref="B2161" r:id="rId2176" xr:uid="{00000000-0004-0000-0000-00007F080000}"/>
    <hyperlink ref="B2162" r:id="rId2177" xr:uid="{00000000-0004-0000-0000-000080080000}"/>
    <hyperlink ref="B2163" r:id="rId2178" xr:uid="{00000000-0004-0000-0000-000081080000}"/>
    <hyperlink ref="B2164" r:id="rId2179" xr:uid="{00000000-0004-0000-0000-000082080000}"/>
    <hyperlink ref="B2165" r:id="rId2180" xr:uid="{00000000-0004-0000-0000-000083080000}"/>
    <hyperlink ref="B2166" r:id="rId2181" xr:uid="{00000000-0004-0000-0000-000084080000}"/>
    <hyperlink ref="B2167" r:id="rId2182" xr:uid="{00000000-0004-0000-0000-000085080000}"/>
    <hyperlink ref="B2168" r:id="rId2183" xr:uid="{00000000-0004-0000-0000-000086080000}"/>
    <hyperlink ref="B2169" r:id="rId2184" xr:uid="{00000000-0004-0000-0000-000087080000}"/>
    <hyperlink ref="B2170" r:id="rId2185" xr:uid="{00000000-0004-0000-0000-000088080000}"/>
    <hyperlink ref="B2171" r:id="rId2186" xr:uid="{00000000-0004-0000-0000-000089080000}"/>
    <hyperlink ref="B2172" r:id="rId2187" xr:uid="{00000000-0004-0000-0000-00008A080000}"/>
    <hyperlink ref="B2173" r:id="rId2188" xr:uid="{00000000-0004-0000-0000-00008B080000}"/>
    <hyperlink ref="B2174" r:id="rId2189" xr:uid="{00000000-0004-0000-0000-00008C080000}"/>
    <hyperlink ref="B2175" r:id="rId2190" xr:uid="{00000000-0004-0000-0000-00008D080000}"/>
    <hyperlink ref="B2176" r:id="rId2191" xr:uid="{00000000-0004-0000-0000-00008E080000}"/>
    <hyperlink ref="B2177" r:id="rId2192" xr:uid="{00000000-0004-0000-0000-00008F080000}"/>
    <hyperlink ref="B2178" r:id="rId2193" xr:uid="{00000000-0004-0000-0000-000090080000}"/>
    <hyperlink ref="B2179" r:id="rId2194" xr:uid="{00000000-0004-0000-0000-000091080000}"/>
    <hyperlink ref="B2180" r:id="rId2195" xr:uid="{00000000-0004-0000-0000-000092080000}"/>
    <hyperlink ref="B2181" r:id="rId2196" xr:uid="{00000000-0004-0000-0000-000093080000}"/>
    <hyperlink ref="B2182" r:id="rId2197" xr:uid="{00000000-0004-0000-0000-000094080000}"/>
    <hyperlink ref="B2183" r:id="rId2198" xr:uid="{00000000-0004-0000-0000-000095080000}"/>
    <hyperlink ref="B2185" r:id="rId2199" xr:uid="{00000000-0004-0000-0000-000096080000}"/>
    <hyperlink ref="B2186" r:id="rId2200" xr:uid="{00000000-0004-0000-0000-000097080000}"/>
    <hyperlink ref="A2189" r:id="rId2201" xr:uid="{00000000-0004-0000-0000-000098080000}"/>
    <hyperlink ref="B2189" r:id="rId2202" xr:uid="{00000000-0004-0000-0000-000099080000}"/>
    <hyperlink ref="A2190" r:id="rId2203" xr:uid="{00000000-0004-0000-0000-00009A080000}"/>
    <hyperlink ref="B2190" r:id="rId2204" xr:uid="{00000000-0004-0000-0000-00009B080000}"/>
    <hyperlink ref="B2191" r:id="rId2205" xr:uid="{00000000-0004-0000-0000-00009C080000}"/>
    <hyperlink ref="B2192" r:id="rId2206" xr:uid="{00000000-0004-0000-0000-00009D080000}"/>
    <hyperlink ref="B2193" r:id="rId2207" xr:uid="{00000000-0004-0000-0000-00009E080000}"/>
    <hyperlink ref="B2194" r:id="rId2208" xr:uid="{00000000-0004-0000-0000-00009F080000}"/>
    <hyperlink ref="B2195" r:id="rId2209" xr:uid="{00000000-0004-0000-0000-0000A0080000}"/>
    <hyperlink ref="B2196" r:id="rId2210" xr:uid="{00000000-0004-0000-0000-0000A1080000}"/>
    <hyperlink ref="B2197" r:id="rId2211" xr:uid="{00000000-0004-0000-0000-0000A2080000}"/>
    <hyperlink ref="B2198" r:id="rId2212" xr:uid="{00000000-0004-0000-0000-0000A3080000}"/>
    <hyperlink ref="B2199" r:id="rId2213" xr:uid="{00000000-0004-0000-0000-0000A4080000}"/>
    <hyperlink ref="B2200" r:id="rId2214" xr:uid="{00000000-0004-0000-0000-0000A5080000}"/>
    <hyperlink ref="B2201" r:id="rId2215" xr:uid="{00000000-0004-0000-0000-0000A6080000}"/>
    <hyperlink ref="B2202" r:id="rId2216" xr:uid="{00000000-0004-0000-0000-0000A7080000}"/>
    <hyperlink ref="B2203" r:id="rId2217" xr:uid="{00000000-0004-0000-0000-0000A8080000}"/>
    <hyperlink ref="B2204" r:id="rId2218" xr:uid="{00000000-0004-0000-0000-0000A9080000}"/>
    <hyperlink ref="B2205" r:id="rId2219" xr:uid="{00000000-0004-0000-0000-0000AA080000}"/>
    <hyperlink ref="B2206" r:id="rId2220" xr:uid="{00000000-0004-0000-0000-0000AB080000}"/>
    <hyperlink ref="B2207" r:id="rId2221" xr:uid="{00000000-0004-0000-0000-0000AC080000}"/>
    <hyperlink ref="B2208" r:id="rId2222" xr:uid="{00000000-0004-0000-0000-0000AD080000}"/>
    <hyperlink ref="B2209" r:id="rId2223" xr:uid="{00000000-0004-0000-0000-0000AE080000}"/>
    <hyperlink ref="B2210" r:id="rId2224" xr:uid="{00000000-0004-0000-0000-0000AF080000}"/>
    <hyperlink ref="B2211" r:id="rId2225" xr:uid="{00000000-0004-0000-0000-0000B0080000}"/>
    <hyperlink ref="B2212" r:id="rId2226" xr:uid="{00000000-0004-0000-0000-0000B1080000}"/>
    <hyperlink ref="B2213" r:id="rId2227" xr:uid="{00000000-0004-0000-0000-0000B2080000}"/>
    <hyperlink ref="B2214" r:id="rId2228" xr:uid="{00000000-0004-0000-0000-0000B3080000}"/>
    <hyperlink ref="B2215" r:id="rId2229" xr:uid="{00000000-0004-0000-0000-0000B4080000}"/>
    <hyperlink ref="B2216" r:id="rId2230" xr:uid="{00000000-0004-0000-0000-0000B5080000}"/>
    <hyperlink ref="B2217" r:id="rId2231" xr:uid="{00000000-0004-0000-0000-0000B6080000}"/>
    <hyperlink ref="B2218" r:id="rId2232" xr:uid="{00000000-0004-0000-0000-0000B7080000}"/>
    <hyperlink ref="B2219" r:id="rId2233" xr:uid="{00000000-0004-0000-0000-0000B8080000}"/>
    <hyperlink ref="B2220" r:id="rId2234" xr:uid="{00000000-0004-0000-0000-0000B9080000}"/>
    <hyperlink ref="B2221" r:id="rId2235" xr:uid="{00000000-0004-0000-0000-0000BA080000}"/>
    <hyperlink ref="B2222" r:id="rId2236" xr:uid="{00000000-0004-0000-0000-0000BB080000}"/>
    <hyperlink ref="B2223" r:id="rId2237" xr:uid="{00000000-0004-0000-0000-0000BC080000}"/>
    <hyperlink ref="B2224" r:id="rId2238" xr:uid="{00000000-0004-0000-0000-0000BD080000}"/>
    <hyperlink ref="B2225" r:id="rId2239" xr:uid="{00000000-0004-0000-0000-0000BE080000}"/>
    <hyperlink ref="B2226" r:id="rId2240" xr:uid="{00000000-0004-0000-0000-0000BF080000}"/>
    <hyperlink ref="B2227" r:id="rId2241" xr:uid="{00000000-0004-0000-0000-0000C0080000}"/>
    <hyperlink ref="B2228" r:id="rId2242" xr:uid="{00000000-0004-0000-0000-0000C1080000}"/>
    <hyperlink ref="B2229" r:id="rId2243" xr:uid="{00000000-0004-0000-0000-0000C2080000}"/>
    <hyperlink ref="B2230" r:id="rId2244" xr:uid="{00000000-0004-0000-0000-0000C3080000}"/>
    <hyperlink ref="B2231" r:id="rId2245" xr:uid="{00000000-0004-0000-0000-0000C4080000}"/>
    <hyperlink ref="B2232" r:id="rId2246" xr:uid="{00000000-0004-0000-0000-0000C5080000}"/>
    <hyperlink ref="B2233" r:id="rId2247" xr:uid="{00000000-0004-0000-0000-0000C6080000}"/>
    <hyperlink ref="B2234" r:id="rId2248" xr:uid="{00000000-0004-0000-0000-0000C7080000}"/>
    <hyperlink ref="B2235" r:id="rId2249" xr:uid="{00000000-0004-0000-0000-0000C8080000}"/>
    <hyperlink ref="B2236" r:id="rId2250" xr:uid="{00000000-0004-0000-0000-0000C9080000}"/>
    <hyperlink ref="B2237" r:id="rId2251" xr:uid="{00000000-0004-0000-0000-0000CA080000}"/>
    <hyperlink ref="B2238" r:id="rId2252" xr:uid="{00000000-0004-0000-0000-0000CB080000}"/>
    <hyperlink ref="B2239" r:id="rId2253" xr:uid="{00000000-0004-0000-0000-0000CC080000}"/>
    <hyperlink ref="B2240" r:id="rId2254" xr:uid="{00000000-0004-0000-0000-0000CD080000}"/>
    <hyperlink ref="B2241" r:id="rId2255" xr:uid="{00000000-0004-0000-0000-0000CE080000}"/>
    <hyperlink ref="B2242" r:id="rId2256" xr:uid="{00000000-0004-0000-0000-0000CF080000}"/>
    <hyperlink ref="B2244" r:id="rId2257" xr:uid="{00000000-0004-0000-0000-0000D0080000}"/>
    <hyperlink ref="A2245" r:id="rId2258" xr:uid="{00000000-0004-0000-0000-0000D1080000}"/>
    <hyperlink ref="B2245" r:id="rId2259" xr:uid="{00000000-0004-0000-0000-0000D2080000}"/>
    <hyperlink ref="B2246" r:id="rId2260" xr:uid="{00000000-0004-0000-0000-0000D3080000}"/>
    <hyperlink ref="B2247" r:id="rId2261" xr:uid="{00000000-0004-0000-0000-0000D4080000}"/>
    <hyperlink ref="B2248" r:id="rId2262" xr:uid="{00000000-0004-0000-0000-0000D5080000}"/>
    <hyperlink ref="B2249" r:id="rId2263" xr:uid="{00000000-0004-0000-0000-0000D6080000}"/>
    <hyperlink ref="B2250" r:id="rId2264" xr:uid="{00000000-0004-0000-0000-0000D7080000}"/>
    <hyperlink ref="B2251" r:id="rId2265" xr:uid="{00000000-0004-0000-0000-0000D8080000}"/>
    <hyperlink ref="B2252" r:id="rId2266" xr:uid="{00000000-0004-0000-0000-0000D9080000}"/>
    <hyperlink ref="B2253" r:id="rId2267" xr:uid="{00000000-0004-0000-0000-0000DA080000}"/>
    <hyperlink ref="B2254" r:id="rId2268" xr:uid="{00000000-0004-0000-0000-0000DB080000}"/>
    <hyperlink ref="B2255" r:id="rId2269" xr:uid="{00000000-0004-0000-0000-0000DC080000}"/>
    <hyperlink ref="B2256" r:id="rId2270" xr:uid="{00000000-0004-0000-0000-0000DD080000}"/>
    <hyperlink ref="B2257" r:id="rId2271" xr:uid="{00000000-0004-0000-0000-0000DE080000}"/>
    <hyperlink ref="B2258" r:id="rId2272" xr:uid="{00000000-0004-0000-0000-0000DF080000}"/>
    <hyperlink ref="B2259" r:id="rId2273" xr:uid="{00000000-0004-0000-0000-0000E0080000}"/>
    <hyperlink ref="B2260" r:id="rId2274" xr:uid="{00000000-0004-0000-0000-0000E1080000}"/>
    <hyperlink ref="B2261" r:id="rId2275" xr:uid="{00000000-0004-0000-0000-0000E2080000}"/>
    <hyperlink ref="B2262" r:id="rId2276" xr:uid="{00000000-0004-0000-0000-0000E3080000}"/>
    <hyperlink ref="B2263" r:id="rId2277" xr:uid="{00000000-0004-0000-0000-0000E4080000}"/>
    <hyperlink ref="B2264" r:id="rId2278" xr:uid="{00000000-0004-0000-0000-0000E5080000}"/>
    <hyperlink ref="B2265" r:id="rId2279" xr:uid="{00000000-0004-0000-0000-0000E6080000}"/>
    <hyperlink ref="B2266" r:id="rId2280" xr:uid="{00000000-0004-0000-0000-0000E7080000}"/>
    <hyperlink ref="B2267" r:id="rId2281" xr:uid="{00000000-0004-0000-0000-0000E8080000}"/>
    <hyperlink ref="B2268" r:id="rId2282" xr:uid="{00000000-0004-0000-0000-0000E9080000}"/>
    <hyperlink ref="B2269" r:id="rId2283" xr:uid="{00000000-0004-0000-0000-0000EA080000}"/>
    <hyperlink ref="B2270" r:id="rId2284" xr:uid="{00000000-0004-0000-0000-0000EB080000}"/>
    <hyperlink ref="B2271" r:id="rId2285" xr:uid="{00000000-0004-0000-0000-0000EC080000}"/>
    <hyperlink ref="B2272" r:id="rId2286" xr:uid="{00000000-0004-0000-0000-0000ED080000}"/>
    <hyperlink ref="B2273" r:id="rId2287" xr:uid="{00000000-0004-0000-0000-0000EE080000}"/>
    <hyperlink ref="B2274" r:id="rId2288" xr:uid="{00000000-0004-0000-0000-0000EF080000}"/>
    <hyperlink ref="B2275" r:id="rId2289" xr:uid="{00000000-0004-0000-0000-0000F0080000}"/>
    <hyperlink ref="B2276" r:id="rId2290" xr:uid="{00000000-0004-0000-0000-0000F1080000}"/>
    <hyperlink ref="B2277" r:id="rId2291" xr:uid="{00000000-0004-0000-0000-0000F2080000}"/>
    <hyperlink ref="B2278" r:id="rId2292" xr:uid="{00000000-0004-0000-0000-0000F3080000}"/>
    <hyperlink ref="B2279" r:id="rId2293" xr:uid="{00000000-0004-0000-0000-0000F4080000}"/>
    <hyperlink ref="B2280" r:id="rId2294" xr:uid="{00000000-0004-0000-0000-0000F5080000}"/>
    <hyperlink ref="B2281" r:id="rId2295" xr:uid="{00000000-0004-0000-0000-0000F6080000}"/>
    <hyperlink ref="B2283" r:id="rId2296" xr:uid="{00000000-0004-0000-0000-0000F7080000}"/>
    <hyperlink ref="B2284" r:id="rId2297" xr:uid="{00000000-0004-0000-0000-0000F8080000}"/>
    <hyperlink ref="B2285" r:id="rId2298" xr:uid="{00000000-0004-0000-0000-0000F9080000}"/>
    <hyperlink ref="B2286" r:id="rId2299" xr:uid="{00000000-0004-0000-0000-0000FA080000}"/>
    <hyperlink ref="B2287" r:id="rId2300" xr:uid="{00000000-0004-0000-0000-0000FB080000}"/>
    <hyperlink ref="B2288" r:id="rId2301" xr:uid="{00000000-0004-0000-0000-0000FC080000}"/>
    <hyperlink ref="B2289" r:id="rId2302" xr:uid="{00000000-0004-0000-0000-0000FD080000}"/>
    <hyperlink ref="B2290" r:id="rId2303" xr:uid="{00000000-0004-0000-0000-0000FE080000}"/>
    <hyperlink ref="B2291" r:id="rId2304" xr:uid="{00000000-0004-0000-0000-0000FF080000}"/>
    <hyperlink ref="B2292" r:id="rId2305" xr:uid="{00000000-0004-0000-0000-000000090000}"/>
    <hyperlink ref="B2293" r:id="rId2306" xr:uid="{00000000-0004-0000-0000-000001090000}"/>
    <hyperlink ref="B2294" r:id="rId2307" xr:uid="{00000000-0004-0000-0000-000002090000}"/>
    <hyperlink ref="B2295" r:id="rId2308" xr:uid="{00000000-0004-0000-0000-000003090000}"/>
    <hyperlink ref="B2296" r:id="rId2309" xr:uid="{00000000-0004-0000-0000-000004090000}"/>
    <hyperlink ref="B2297" r:id="rId2310" xr:uid="{00000000-0004-0000-0000-000005090000}"/>
    <hyperlink ref="B2298" r:id="rId2311" xr:uid="{00000000-0004-0000-0000-000006090000}"/>
    <hyperlink ref="B2299" r:id="rId2312" xr:uid="{00000000-0004-0000-0000-000007090000}"/>
    <hyperlink ref="A2303" r:id="rId2313" xr:uid="{00000000-0004-0000-0000-000008090000}"/>
    <hyperlink ref="B2320" r:id="rId2314" xr:uid="{00000000-0004-0000-0000-000009090000}"/>
    <hyperlink ref="A2321" r:id="rId2315" xr:uid="{00000000-0004-0000-0000-00000A090000}"/>
    <hyperlink ref="B2321" r:id="rId2316" xr:uid="{00000000-0004-0000-0000-00000B090000}"/>
    <hyperlink ref="B2322" r:id="rId2317" xr:uid="{00000000-0004-0000-0000-00000C090000}"/>
    <hyperlink ref="B2323" r:id="rId2318" xr:uid="{00000000-0004-0000-0000-00000D090000}"/>
    <hyperlink ref="B2324" r:id="rId2319" xr:uid="{00000000-0004-0000-0000-00000E090000}"/>
    <hyperlink ref="B2325" r:id="rId2320" xr:uid="{00000000-0004-0000-0000-00000F090000}"/>
    <hyperlink ref="B2326" r:id="rId2321" xr:uid="{00000000-0004-0000-0000-000010090000}"/>
    <hyperlink ref="B2327" r:id="rId2322" xr:uid="{00000000-0004-0000-0000-000011090000}"/>
    <hyperlink ref="B2328" r:id="rId2323" xr:uid="{00000000-0004-0000-0000-000012090000}"/>
    <hyperlink ref="B2329" r:id="rId2324" xr:uid="{00000000-0004-0000-0000-000013090000}"/>
    <hyperlink ref="B2330" r:id="rId2325" xr:uid="{00000000-0004-0000-0000-000014090000}"/>
    <hyperlink ref="B2332" r:id="rId2326" xr:uid="{00000000-0004-0000-0000-000015090000}"/>
    <hyperlink ref="B2333" r:id="rId2327" xr:uid="{00000000-0004-0000-0000-000016090000}"/>
    <hyperlink ref="B2334" r:id="rId2328" xr:uid="{00000000-0004-0000-0000-000017090000}"/>
    <hyperlink ref="B2335" r:id="rId2329" xr:uid="{00000000-0004-0000-0000-000018090000}"/>
    <hyperlink ref="B2336" r:id="rId2330" xr:uid="{00000000-0004-0000-0000-000019090000}"/>
    <hyperlink ref="B2337" r:id="rId2331" xr:uid="{00000000-0004-0000-0000-00001A090000}"/>
    <hyperlink ref="B2338" r:id="rId2332" xr:uid="{00000000-0004-0000-0000-00001B090000}"/>
    <hyperlink ref="B2339" r:id="rId2333" xr:uid="{00000000-0004-0000-0000-00001C090000}"/>
    <hyperlink ref="B2340" r:id="rId2334" xr:uid="{00000000-0004-0000-0000-00001D090000}"/>
    <hyperlink ref="B2341" r:id="rId2335" xr:uid="{00000000-0004-0000-0000-00001E090000}"/>
    <hyperlink ref="B2342" r:id="rId2336" xr:uid="{00000000-0004-0000-0000-00001F090000}"/>
    <hyperlink ref="B2343" r:id="rId2337" xr:uid="{00000000-0004-0000-0000-000020090000}"/>
    <hyperlink ref="B2344" r:id="rId2338" xr:uid="{00000000-0004-0000-0000-000021090000}"/>
    <hyperlink ref="B2345" r:id="rId2339" xr:uid="{00000000-0004-0000-0000-000022090000}"/>
    <hyperlink ref="B2346" r:id="rId2340" xr:uid="{00000000-0004-0000-0000-000023090000}"/>
    <hyperlink ref="B2347" r:id="rId2341" xr:uid="{00000000-0004-0000-0000-000024090000}"/>
    <hyperlink ref="B2348" r:id="rId2342" xr:uid="{00000000-0004-0000-0000-000025090000}"/>
    <hyperlink ref="B2349" r:id="rId2343" xr:uid="{00000000-0004-0000-0000-000026090000}"/>
    <hyperlink ref="B2350" r:id="rId2344" xr:uid="{00000000-0004-0000-0000-000027090000}"/>
    <hyperlink ref="B2351" r:id="rId2345" xr:uid="{00000000-0004-0000-0000-000028090000}"/>
    <hyperlink ref="B2352" r:id="rId2346" xr:uid="{00000000-0004-0000-0000-000029090000}"/>
    <hyperlink ref="B2353" r:id="rId2347" xr:uid="{00000000-0004-0000-0000-00002A090000}"/>
    <hyperlink ref="B2354" r:id="rId2348" xr:uid="{00000000-0004-0000-0000-00002B090000}"/>
    <hyperlink ref="B2355" r:id="rId2349" xr:uid="{00000000-0004-0000-0000-00002C090000}"/>
    <hyperlink ref="B2357" r:id="rId2350" xr:uid="{00000000-0004-0000-0000-00002D090000}"/>
    <hyperlink ref="B2358" r:id="rId2351" xr:uid="{00000000-0004-0000-0000-00002E090000}"/>
    <hyperlink ref="B2360" r:id="rId2352" xr:uid="{00000000-0004-0000-0000-00002F090000}"/>
    <hyperlink ref="A2361" r:id="rId2353" xr:uid="{00000000-0004-0000-0000-000030090000}"/>
    <hyperlink ref="B2361" r:id="rId2354" xr:uid="{00000000-0004-0000-0000-000031090000}"/>
    <hyperlink ref="B2362" r:id="rId2355" xr:uid="{00000000-0004-0000-0000-000032090000}"/>
    <hyperlink ref="B2363" r:id="rId2356" xr:uid="{00000000-0004-0000-0000-000033090000}"/>
    <hyperlink ref="B2364" r:id="rId2357" xr:uid="{00000000-0004-0000-0000-000034090000}"/>
    <hyperlink ref="B2365" r:id="rId2358" xr:uid="{00000000-0004-0000-0000-000035090000}"/>
    <hyperlink ref="B2366" r:id="rId2359" xr:uid="{00000000-0004-0000-0000-000036090000}"/>
    <hyperlink ref="B2367" r:id="rId2360" xr:uid="{00000000-0004-0000-0000-000037090000}"/>
    <hyperlink ref="B2368" r:id="rId2361" xr:uid="{00000000-0004-0000-0000-000038090000}"/>
    <hyperlink ref="B2369" r:id="rId2362" xr:uid="{00000000-0004-0000-0000-000039090000}"/>
    <hyperlink ref="B2370" r:id="rId2363" xr:uid="{00000000-0004-0000-0000-00003A090000}"/>
    <hyperlink ref="B2371" r:id="rId2364" xr:uid="{00000000-0004-0000-0000-00003B090000}"/>
    <hyperlink ref="B2372" r:id="rId2365" xr:uid="{00000000-0004-0000-0000-00003C090000}"/>
    <hyperlink ref="B2373" r:id="rId2366" xr:uid="{00000000-0004-0000-0000-00003D090000}"/>
    <hyperlink ref="B2374" r:id="rId2367" xr:uid="{00000000-0004-0000-0000-00003E090000}"/>
    <hyperlink ref="B2375" r:id="rId2368" xr:uid="{00000000-0004-0000-0000-00003F090000}"/>
    <hyperlink ref="B2376" r:id="rId2369" xr:uid="{00000000-0004-0000-0000-000040090000}"/>
    <hyperlink ref="B2377" r:id="rId2370" xr:uid="{00000000-0004-0000-0000-000041090000}"/>
    <hyperlink ref="B2378" r:id="rId2371" xr:uid="{00000000-0004-0000-0000-000042090000}"/>
    <hyperlink ref="B2379" r:id="rId2372" xr:uid="{00000000-0004-0000-0000-000043090000}"/>
    <hyperlink ref="B2380" r:id="rId2373" xr:uid="{00000000-0004-0000-0000-000044090000}"/>
    <hyperlink ref="B2381" r:id="rId2374" xr:uid="{00000000-0004-0000-0000-000045090000}"/>
    <hyperlink ref="B2382" r:id="rId2375" xr:uid="{00000000-0004-0000-0000-000046090000}"/>
    <hyperlink ref="B2383" r:id="rId2376" xr:uid="{00000000-0004-0000-0000-000047090000}"/>
    <hyperlink ref="B2384" r:id="rId2377" xr:uid="{00000000-0004-0000-0000-000048090000}"/>
    <hyperlink ref="B2385" r:id="rId2378" xr:uid="{00000000-0004-0000-0000-000049090000}"/>
    <hyperlink ref="B2387" r:id="rId2379" xr:uid="{00000000-0004-0000-0000-00004A090000}"/>
    <hyperlink ref="A2388" r:id="rId2380" xr:uid="{00000000-0004-0000-0000-00004B090000}"/>
    <hyperlink ref="B2388" r:id="rId2381" xr:uid="{00000000-0004-0000-0000-00004C090000}"/>
    <hyperlink ref="B2389" r:id="rId2382" xr:uid="{00000000-0004-0000-0000-00004D090000}"/>
    <hyperlink ref="B2390" r:id="rId2383" xr:uid="{00000000-0004-0000-0000-00004E090000}"/>
    <hyperlink ref="B2391" r:id="rId2384" xr:uid="{00000000-0004-0000-0000-00004F090000}"/>
    <hyperlink ref="B2392" r:id="rId2385" xr:uid="{00000000-0004-0000-0000-000050090000}"/>
    <hyperlink ref="B2393" r:id="rId2386" xr:uid="{00000000-0004-0000-0000-000051090000}"/>
    <hyperlink ref="B2394" r:id="rId2387" xr:uid="{00000000-0004-0000-0000-000052090000}"/>
    <hyperlink ref="B2395" r:id="rId2388" xr:uid="{00000000-0004-0000-0000-000053090000}"/>
    <hyperlink ref="B2396" r:id="rId2389" xr:uid="{00000000-0004-0000-0000-000054090000}"/>
    <hyperlink ref="B2397" r:id="rId2390" xr:uid="{00000000-0004-0000-0000-000055090000}"/>
    <hyperlink ref="B2398" r:id="rId2391" xr:uid="{00000000-0004-0000-0000-000056090000}"/>
    <hyperlink ref="B2399" r:id="rId2392" xr:uid="{00000000-0004-0000-0000-000057090000}"/>
    <hyperlink ref="B2400" r:id="rId2393" xr:uid="{00000000-0004-0000-0000-000058090000}"/>
    <hyperlink ref="B2401" r:id="rId2394" xr:uid="{00000000-0004-0000-0000-000059090000}"/>
    <hyperlink ref="B2402" r:id="rId2395" xr:uid="{00000000-0004-0000-0000-00005A090000}"/>
    <hyperlink ref="B2403" r:id="rId2396" xr:uid="{00000000-0004-0000-0000-00005B090000}"/>
    <hyperlink ref="B2404" r:id="rId2397" xr:uid="{00000000-0004-0000-0000-00005C090000}"/>
    <hyperlink ref="B2405" r:id="rId2398" xr:uid="{00000000-0004-0000-0000-00005D090000}"/>
    <hyperlink ref="B2406" r:id="rId2399" xr:uid="{00000000-0004-0000-0000-00005E090000}"/>
    <hyperlink ref="B2407" r:id="rId2400" xr:uid="{00000000-0004-0000-0000-00005F090000}"/>
    <hyperlink ref="B2408" r:id="rId2401" xr:uid="{00000000-0004-0000-0000-000060090000}"/>
    <hyperlink ref="B2409" r:id="rId2402" xr:uid="{00000000-0004-0000-0000-000061090000}"/>
    <hyperlink ref="B2410" r:id="rId2403" xr:uid="{00000000-0004-0000-0000-000062090000}"/>
    <hyperlink ref="B2412" r:id="rId2404" xr:uid="{00000000-0004-0000-0000-000063090000}"/>
    <hyperlink ref="A2413" r:id="rId2405" xr:uid="{00000000-0004-0000-0000-000064090000}"/>
    <hyperlink ref="B2413" r:id="rId2406" xr:uid="{00000000-0004-0000-0000-000065090000}"/>
    <hyperlink ref="B2414" r:id="rId2407" xr:uid="{00000000-0004-0000-0000-000066090000}"/>
    <hyperlink ref="B2415" r:id="rId2408" xr:uid="{00000000-0004-0000-0000-000067090000}"/>
    <hyperlink ref="B2416" r:id="rId2409" xr:uid="{00000000-0004-0000-0000-000068090000}"/>
    <hyperlink ref="B2417" r:id="rId2410" xr:uid="{00000000-0004-0000-0000-000069090000}"/>
    <hyperlink ref="B2418" r:id="rId2411" xr:uid="{00000000-0004-0000-0000-00006A090000}"/>
    <hyperlink ref="B2419" r:id="rId2412" xr:uid="{00000000-0004-0000-0000-00006B090000}"/>
    <hyperlink ref="B2420" r:id="rId2413" xr:uid="{00000000-0004-0000-0000-00006C090000}"/>
    <hyperlink ref="B2421" r:id="rId2414" xr:uid="{00000000-0004-0000-0000-00006D090000}"/>
    <hyperlink ref="B2422" r:id="rId2415" xr:uid="{00000000-0004-0000-0000-00006E090000}"/>
    <hyperlink ref="B2423" r:id="rId2416" xr:uid="{00000000-0004-0000-0000-00006F090000}"/>
    <hyperlink ref="B2424" r:id="rId2417" xr:uid="{00000000-0004-0000-0000-000070090000}"/>
    <hyperlink ref="B2425" r:id="rId2418" xr:uid="{00000000-0004-0000-0000-000071090000}"/>
    <hyperlink ref="B2426" r:id="rId2419" xr:uid="{00000000-0004-0000-0000-000072090000}"/>
    <hyperlink ref="B2427" r:id="rId2420" xr:uid="{00000000-0004-0000-0000-000073090000}"/>
    <hyperlink ref="B2428" r:id="rId2421" xr:uid="{00000000-0004-0000-0000-000074090000}"/>
    <hyperlink ref="B2429" r:id="rId2422" xr:uid="{00000000-0004-0000-0000-000075090000}"/>
    <hyperlink ref="B2430" r:id="rId2423" xr:uid="{00000000-0004-0000-0000-000076090000}"/>
    <hyperlink ref="B2431" r:id="rId2424" xr:uid="{00000000-0004-0000-0000-000077090000}"/>
    <hyperlink ref="B2432" r:id="rId2425" xr:uid="{00000000-0004-0000-0000-000078090000}"/>
    <hyperlink ref="B2433" r:id="rId2426" xr:uid="{00000000-0004-0000-0000-000079090000}"/>
    <hyperlink ref="B2434" r:id="rId2427" xr:uid="{00000000-0004-0000-0000-00007A090000}"/>
    <hyperlink ref="B2435" r:id="rId2428" xr:uid="{00000000-0004-0000-0000-00007B090000}"/>
    <hyperlink ref="B2436" r:id="rId2429" xr:uid="{00000000-0004-0000-0000-00007C090000}"/>
    <hyperlink ref="B2437" r:id="rId2430" xr:uid="{00000000-0004-0000-0000-00007D090000}"/>
    <hyperlink ref="B2438" r:id="rId2431" xr:uid="{00000000-0004-0000-0000-00007E090000}"/>
    <hyperlink ref="B2439" r:id="rId2432" xr:uid="{00000000-0004-0000-0000-00007F090000}"/>
    <hyperlink ref="B2440" r:id="rId2433" xr:uid="{00000000-0004-0000-0000-000080090000}"/>
    <hyperlink ref="B2441" r:id="rId2434" xr:uid="{00000000-0004-0000-0000-000081090000}"/>
    <hyperlink ref="B2442" r:id="rId2435" xr:uid="{00000000-0004-0000-0000-000082090000}"/>
    <hyperlink ref="B2443" r:id="rId2436" xr:uid="{00000000-0004-0000-0000-000083090000}"/>
    <hyperlink ref="B2444" r:id="rId2437" xr:uid="{00000000-0004-0000-0000-000084090000}"/>
    <hyperlink ref="B2445" r:id="rId2438" xr:uid="{00000000-0004-0000-0000-000085090000}"/>
    <hyperlink ref="B2446" r:id="rId2439" xr:uid="{00000000-0004-0000-0000-000086090000}"/>
    <hyperlink ref="B2447" r:id="rId2440" xr:uid="{00000000-0004-0000-0000-000087090000}"/>
    <hyperlink ref="B2448" r:id="rId2441" xr:uid="{00000000-0004-0000-0000-000088090000}"/>
    <hyperlink ref="B2449" r:id="rId2442" xr:uid="{00000000-0004-0000-0000-000089090000}"/>
    <hyperlink ref="B2450" r:id="rId2443" xr:uid="{00000000-0004-0000-0000-00008A090000}"/>
    <hyperlink ref="B2451" r:id="rId2444" xr:uid="{00000000-0004-0000-0000-00008B090000}"/>
    <hyperlink ref="B2452" r:id="rId2445" xr:uid="{00000000-0004-0000-0000-00008C090000}"/>
    <hyperlink ref="B2453" r:id="rId2446" xr:uid="{00000000-0004-0000-0000-00008D090000}"/>
    <hyperlink ref="B2454" r:id="rId2447" xr:uid="{00000000-0004-0000-0000-00008E090000}"/>
    <hyperlink ref="B2455" r:id="rId2448" xr:uid="{00000000-0004-0000-0000-00008F090000}"/>
    <hyperlink ref="B2456" r:id="rId2449" xr:uid="{00000000-0004-0000-0000-000090090000}"/>
    <hyperlink ref="B2457" r:id="rId2450" xr:uid="{00000000-0004-0000-0000-000091090000}"/>
    <hyperlink ref="B2458" r:id="rId2451" xr:uid="{00000000-0004-0000-0000-000092090000}"/>
    <hyperlink ref="B2459" r:id="rId2452" xr:uid="{00000000-0004-0000-0000-000093090000}"/>
    <hyperlink ref="B2460" r:id="rId2453" xr:uid="{00000000-0004-0000-0000-000094090000}"/>
    <hyperlink ref="B2461" r:id="rId2454" xr:uid="{00000000-0004-0000-0000-000095090000}"/>
    <hyperlink ref="B2462" r:id="rId2455" xr:uid="{00000000-0004-0000-0000-000096090000}"/>
    <hyperlink ref="B2464" r:id="rId2456" xr:uid="{00000000-0004-0000-0000-000097090000}"/>
    <hyperlink ref="A2465" r:id="rId2457" xr:uid="{00000000-0004-0000-0000-000098090000}"/>
    <hyperlink ref="B2465" r:id="rId2458" xr:uid="{00000000-0004-0000-0000-000099090000}"/>
    <hyperlink ref="B2466" r:id="rId2459" xr:uid="{00000000-0004-0000-0000-00009A090000}"/>
    <hyperlink ref="B2467" r:id="rId2460" xr:uid="{00000000-0004-0000-0000-00009B090000}"/>
    <hyperlink ref="B2468" r:id="rId2461" xr:uid="{00000000-0004-0000-0000-00009C090000}"/>
    <hyperlink ref="B2469" r:id="rId2462" xr:uid="{00000000-0004-0000-0000-00009D090000}"/>
    <hyperlink ref="B2470" r:id="rId2463" xr:uid="{00000000-0004-0000-0000-00009E090000}"/>
    <hyperlink ref="B2471" r:id="rId2464" xr:uid="{00000000-0004-0000-0000-00009F090000}"/>
    <hyperlink ref="B2472" r:id="rId2465" xr:uid="{00000000-0004-0000-0000-0000A0090000}"/>
    <hyperlink ref="B2473" r:id="rId2466" xr:uid="{00000000-0004-0000-0000-0000A1090000}"/>
    <hyperlink ref="B2474" r:id="rId2467" xr:uid="{00000000-0004-0000-0000-0000A2090000}"/>
    <hyperlink ref="B2475" r:id="rId2468" xr:uid="{00000000-0004-0000-0000-0000A3090000}"/>
    <hyperlink ref="B2476" r:id="rId2469" xr:uid="{00000000-0004-0000-0000-0000A4090000}"/>
    <hyperlink ref="B2477" r:id="rId2470" xr:uid="{00000000-0004-0000-0000-0000A5090000}"/>
    <hyperlink ref="B2478" r:id="rId2471" xr:uid="{00000000-0004-0000-0000-0000A6090000}"/>
    <hyperlink ref="B2479" r:id="rId2472" xr:uid="{00000000-0004-0000-0000-0000A7090000}"/>
    <hyperlink ref="B2480" r:id="rId2473" xr:uid="{00000000-0004-0000-0000-0000A8090000}"/>
    <hyperlink ref="B2481" r:id="rId2474" xr:uid="{00000000-0004-0000-0000-0000A9090000}"/>
    <hyperlink ref="B2483" r:id="rId2475" xr:uid="{00000000-0004-0000-0000-0000AA090000}"/>
    <hyperlink ref="A2484" r:id="rId2476" xr:uid="{00000000-0004-0000-0000-0000AB090000}"/>
    <hyperlink ref="B2484" r:id="rId2477" xr:uid="{00000000-0004-0000-0000-0000AC090000}"/>
    <hyperlink ref="B2485" r:id="rId2478" xr:uid="{00000000-0004-0000-0000-0000AD090000}"/>
    <hyperlink ref="B2486" r:id="rId2479" xr:uid="{00000000-0004-0000-0000-0000AE090000}"/>
    <hyperlink ref="B2487" r:id="rId2480" xr:uid="{00000000-0004-0000-0000-0000AF090000}"/>
    <hyperlink ref="B2488" r:id="rId2481" xr:uid="{00000000-0004-0000-0000-0000B0090000}"/>
    <hyperlink ref="B2489" r:id="rId2482" xr:uid="{00000000-0004-0000-0000-0000B1090000}"/>
    <hyperlink ref="B2490" r:id="rId2483" xr:uid="{00000000-0004-0000-0000-0000B2090000}"/>
    <hyperlink ref="B2491" r:id="rId2484" xr:uid="{00000000-0004-0000-0000-0000B3090000}"/>
    <hyperlink ref="B2492" r:id="rId2485" xr:uid="{00000000-0004-0000-0000-0000B4090000}"/>
    <hyperlink ref="B2493" r:id="rId2486" xr:uid="{00000000-0004-0000-0000-0000B5090000}"/>
    <hyperlink ref="B2494" r:id="rId2487" xr:uid="{00000000-0004-0000-0000-0000B6090000}"/>
    <hyperlink ref="B2495" r:id="rId2488" xr:uid="{00000000-0004-0000-0000-0000B7090000}"/>
    <hyperlink ref="B2496" r:id="rId2489" xr:uid="{00000000-0004-0000-0000-0000B8090000}"/>
    <hyperlink ref="B2497" r:id="rId2490" xr:uid="{00000000-0004-0000-0000-0000B9090000}"/>
    <hyperlink ref="B2498" r:id="rId2491" xr:uid="{00000000-0004-0000-0000-0000BA090000}"/>
    <hyperlink ref="B2499" r:id="rId2492" xr:uid="{00000000-0004-0000-0000-0000BB090000}"/>
    <hyperlink ref="B2500" r:id="rId2493" xr:uid="{00000000-0004-0000-0000-0000BC090000}"/>
    <hyperlink ref="B2501" r:id="rId2494" xr:uid="{00000000-0004-0000-0000-0000BD090000}"/>
    <hyperlink ref="B2502" r:id="rId2495" xr:uid="{00000000-0004-0000-0000-0000BE090000}"/>
    <hyperlink ref="B2503" r:id="rId2496" xr:uid="{00000000-0004-0000-0000-0000BF090000}"/>
    <hyperlink ref="B2504" r:id="rId2497" xr:uid="{00000000-0004-0000-0000-0000C0090000}"/>
    <hyperlink ref="B2505" r:id="rId2498" xr:uid="{00000000-0004-0000-0000-0000C1090000}"/>
    <hyperlink ref="B2506" r:id="rId2499" xr:uid="{00000000-0004-0000-0000-0000C2090000}"/>
    <hyperlink ref="B2507" r:id="rId2500" xr:uid="{00000000-0004-0000-0000-0000C3090000}"/>
    <hyperlink ref="B2508" r:id="rId2501" xr:uid="{00000000-0004-0000-0000-0000C4090000}"/>
    <hyperlink ref="B2509" r:id="rId2502" xr:uid="{00000000-0004-0000-0000-0000C5090000}"/>
    <hyperlink ref="B2510" r:id="rId2503" xr:uid="{00000000-0004-0000-0000-0000C6090000}"/>
    <hyperlink ref="B2511" r:id="rId2504" xr:uid="{00000000-0004-0000-0000-0000C7090000}"/>
    <hyperlink ref="B2512" r:id="rId2505" xr:uid="{00000000-0004-0000-0000-0000C8090000}"/>
    <hyperlink ref="B2513" r:id="rId2506" xr:uid="{00000000-0004-0000-0000-0000C9090000}"/>
    <hyperlink ref="B2514" r:id="rId2507" xr:uid="{00000000-0004-0000-0000-0000CA090000}"/>
    <hyperlink ref="B2515" r:id="rId2508" xr:uid="{00000000-0004-0000-0000-0000CB090000}"/>
    <hyperlink ref="B2516" r:id="rId2509" xr:uid="{00000000-0004-0000-0000-0000CC090000}"/>
    <hyperlink ref="B2517" r:id="rId2510" xr:uid="{00000000-0004-0000-0000-0000CD090000}"/>
    <hyperlink ref="B2518" r:id="rId2511" xr:uid="{00000000-0004-0000-0000-0000CE090000}"/>
    <hyperlink ref="B2519" r:id="rId2512" xr:uid="{00000000-0004-0000-0000-0000CF090000}"/>
    <hyperlink ref="B2520" r:id="rId2513" xr:uid="{00000000-0004-0000-0000-0000D0090000}"/>
    <hyperlink ref="B2521" r:id="rId2514" xr:uid="{00000000-0004-0000-0000-0000D1090000}"/>
    <hyperlink ref="B2522" r:id="rId2515" xr:uid="{00000000-0004-0000-0000-0000D2090000}"/>
    <hyperlink ref="B2523" r:id="rId2516" xr:uid="{00000000-0004-0000-0000-0000D3090000}"/>
    <hyperlink ref="B2524" r:id="rId2517" xr:uid="{00000000-0004-0000-0000-0000D4090000}"/>
    <hyperlink ref="B2525" r:id="rId2518" xr:uid="{00000000-0004-0000-0000-0000D5090000}"/>
    <hyperlink ref="B2526" r:id="rId2519" xr:uid="{00000000-0004-0000-0000-0000D6090000}"/>
    <hyperlink ref="B2527" r:id="rId2520" xr:uid="{00000000-0004-0000-0000-0000D7090000}"/>
    <hyperlink ref="B2528" r:id="rId2521" xr:uid="{00000000-0004-0000-0000-0000D8090000}"/>
    <hyperlink ref="B2529" r:id="rId2522" xr:uid="{00000000-0004-0000-0000-0000D9090000}"/>
    <hyperlink ref="B2530" r:id="rId2523" xr:uid="{00000000-0004-0000-0000-0000DA090000}"/>
    <hyperlink ref="B2531" r:id="rId2524" xr:uid="{00000000-0004-0000-0000-0000DB090000}"/>
    <hyperlink ref="B2532" r:id="rId2525" xr:uid="{00000000-0004-0000-0000-0000DC090000}"/>
    <hyperlink ref="B2533" r:id="rId2526" xr:uid="{00000000-0004-0000-0000-0000DD090000}"/>
    <hyperlink ref="B2534" r:id="rId2527" xr:uid="{00000000-0004-0000-0000-0000DE090000}"/>
    <hyperlink ref="B2536" r:id="rId2528" xr:uid="{00000000-0004-0000-0000-0000DF090000}"/>
    <hyperlink ref="A2537" r:id="rId2529" xr:uid="{00000000-0004-0000-0000-0000E0090000}"/>
    <hyperlink ref="B2537" r:id="rId2530" xr:uid="{00000000-0004-0000-0000-0000E1090000}"/>
    <hyperlink ref="B2538" r:id="rId2531" xr:uid="{00000000-0004-0000-0000-0000E2090000}"/>
    <hyperlink ref="B2539" r:id="rId2532" xr:uid="{00000000-0004-0000-0000-0000E3090000}"/>
    <hyperlink ref="B2540" r:id="rId2533" xr:uid="{00000000-0004-0000-0000-0000E4090000}"/>
    <hyperlink ref="B2541" r:id="rId2534" xr:uid="{00000000-0004-0000-0000-0000E5090000}"/>
    <hyperlink ref="B2542" r:id="rId2535" xr:uid="{00000000-0004-0000-0000-0000E6090000}"/>
    <hyperlink ref="B2543" r:id="rId2536" xr:uid="{00000000-0004-0000-0000-0000E7090000}"/>
    <hyperlink ref="B2544" r:id="rId2537" xr:uid="{00000000-0004-0000-0000-0000E8090000}"/>
    <hyperlink ref="B2545" r:id="rId2538" xr:uid="{00000000-0004-0000-0000-0000E9090000}"/>
    <hyperlink ref="B2546" r:id="rId2539" xr:uid="{00000000-0004-0000-0000-0000EA090000}"/>
    <hyperlink ref="B2547" r:id="rId2540" xr:uid="{00000000-0004-0000-0000-0000EB090000}"/>
    <hyperlink ref="B2548" r:id="rId2541" xr:uid="{00000000-0004-0000-0000-0000EC090000}"/>
    <hyperlink ref="B2549" r:id="rId2542" xr:uid="{00000000-0004-0000-0000-0000ED090000}"/>
    <hyperlink ref="B2550" r:id="rId2543" xr:uid="{00000000-0004-0000-0000-0000EE090000}"/>
    <hyperlink ref="B2551" r:id="rId2544" xr:uid="{00000000-0004-0000-0000-0000EF090000}"/>
    <hyperlink ref="B2552" r:id="rId2545" xr:uid="{00000000-0004-0000-0000-0000F0090000}"/>
    <hyperlink ref="B2553" r:id="rId2546" xr:uid="{00000000-0004-0000-0000-0000F1090000}"/>
    <hyperlink ref="B2554" r:id="rId2547" xr:uid="{00000000-0004-0000-0000-0000F2090000}"/>
    <hyperlink ref="B2555" r:id="rId2548" xr:uid="{00000000-0004-0000-0000-0000F3090000}"/>
    <hyperlink ref="B2556" r:id="rId2549" xr:uid="{00000000-0004-0000-0000-0000F4090000}"/>
    <hyperlink ref="B2557" r:id="rId2550" xr:uid="{00000000-0004-0000-0000-0000F5090000}"/>
    <hyperlink ref="B2558" r:id="rId2551" xr:uid="{00000000-0004-0000-0000-0000F6090000}"/>
    <hyperlink ref="B2559" r:id="rId2552" xr:uid="{00000000-0004-0000-0000-0000F7090000}"/>
    <hyperlink ref="B2560" r:id="rId2553" xr:uid="{00000000-0004-0000-0000-0000F8090000}"/>
    <hyperlink ref="B2561" r:id="rId2554" xr:uid="{00000000-0004-0000-0000-0000F9090000}"/>
    <hyperlink ref="B2562" r:id="rId2555" xr:uid="{00000000-0004-0000-0000-0000FA090000}"/>
    <hyperlink ref="B2563" r:id="rId2556" xr:uid="{00000000-0004-0000-0000-0000FB090000}"/>
    <hyperlink ref="B2564" r:id="rId2557" xr:uid="{00000000-0004-0000-0000-0000FC090000}"/>
    <hyperlink ref="B2565" r:id="rId2558" xr:uid="{00000000-0004-0000-0000-0000FD090000}"/>
    <hyperlink ref="B2566" r:id="rId2559" xr:uid="{00000000-0004-0000-0000-0000FE090000}"/>
    <hyperlink ref="B2567" r:id="rId2560" xr:uid="{00000000-0004-0000-0000-0000FF090000}"/>
    <hyperlink ref="B2568" r:id="rId2561" xr:uid="{00000000-0004-0000-0000-0000000A0000}"/>
    <hyperlink ref="B2569" r:id="rId2562" xr:uid="{00000000-0004-0000-0000-0000010A0000}"/>
    <hyperlink ref="B2570" r:id="rId2563" xr:uid="{00000000-0004-0000-0000-0000020A0000}"/>
    <hyperlink ref="B2571" r:id="rId2564" xr:uid="{00000000-0004-0000-0000-0000030A0000}"/>
    <hyperlink ref="B2572" r:id="rId2565" xr:uid="{00000000-0004-0000-0000-0000040A0000}"/>
    <hyperlink ref="B2573" r:id="rId2566" xr:uid="{00000000-0004-0000-0000-0000050A0000}"/>
    <hyperlink ref="B2574" r:id="rId2567" xr:uid="{00000000-0004-0000-0000-0000060A0000}"/>
    <hyperlink ref="B2575" r:id="rId2568" xr:uid="{00000000-0004-0000-0000-0000070A0000}"/>
    <hyperlink ref="B2576" r:id="rId2569" xr:uid="{00000000-0004-0000-0000-0000080A0000}"/>
    <hyperlink ref="B2577" r:id="rId2570" xr:uid="{00000000-0004-0000-0000-0000090A0000}"/>
    <hyperlink ref="B2578" r:id="rId2571" xr:uid="{00000000-0004-0000-0000-00000A0A0000}"/>
    <hyperlink ref="B2579" r:id="rId2572" xr:uid="{00000000-0004-0000-0000-00000B0A0000}"/>
    <hyperlink ref="B2580" r:id="rId2573" xr:uid="{00000000-0004-0000-0000-00000C0A0000}"/>
    <hyperlink ref="B2581" r:id="rId2574" xr:uid="{00000000-0004-0000-0000-00000D0A0000}"/>
    <hyperlink ref="B2582" r:id="rId2575" xr:uid="{00000000-0004-0000-0000-00000E0A0000}"/>
    <hyperlink ref="B2583" r:id="rId2576" xr:uid="{00000000-0004-0000-0000-00000F0A0000}"/>
    <hyperlink ref="B2584" r:id="rId2577" xr:uid="{00000000-0004-0000-0000-0000100A0000}"/>
    <hyperlink ref="B2585" r:id="rId2578" xr:uid="{00000000-0004-0000-0000-0000110A0000}"/>
    <hyperlink ref="B2586" r:id="rId2579" xr:uid="{00000000-0004-0000-0000-0000120A0000}"/>
    <hyperlink ref="B2588" r:id="rId2580" xr:uid="{00000000-0004-0000-0000-0000130A0000}"/>
    <hyperlink ref="A2589" r:id="rId2581" xr:uid="{00000000-0004-0000-0000-0000140A0000}"/>
    <hyperlink ref="B2589" r:id="rId2582" xr:uid="{00000000-0004-0000-0000-0000150A0000}"/>
    <hyperlink ref="B2590" r:id="rId2583" xr:uid="{00000000-0004-0000-0000-0000160A0000}"/>
    <hyperlink ref="B2591" r:id="rId2584" xr:uid="{00000000-0004-0000-0000-0000170A0000}"/>
    <hyperlink ref="B2593" r:id="rId2585" xr:uid="{00000000-0004-0000-0000-0000180A0000}"/>
    <hyperlink ref="B2594" r:id="rId2586" xr:uid="{00000000-0004-0000-0000-0000190A0000}"/>
    <hyperlink ref="B2595" r:id="rId2587" xr:uid="{00000000-0004-0000-0000-00001A0A0000}"/>
    <hyperlink ref="B2596" r:id="rId2588" xr:uid="{00000000-0004-0000-0000-00001B0A0000}"/>
    <hyperlink ref="B2597" r:id="rId2589" xr:uid="{00000000-0004-0000-0000-00001C0A0000}"/>
    <hyperlink ref="B2598" r:id="rId2590" xr:uid="{00000000-0004-0000-0000-00001D0A0000}"/>
    <hyperlink ref="B2599" r:id="rId2591" xr:uid="{00000000-0004-0000-0000-00001E0A0000}"/>
    <hyperlink ref="B2600" r:id="rId2592" xr:uid="{00000000-0004-0000-0000-00001F0A0000}"/>
    <hyperlink ref="B2601" r:id="rId2593" xr:uid="{00000000-0004-0000-0000-0000200A0000}"/>
    <hyperlink ref="B2602" r:id="rId2594" xr:uid="{00000000-0004-0000-0000-0000210A0000}"/>
    <hyperlink ref="B2603" r:id="rId2595" xr:uid="{00000000-0004-0000-0000-0000220A0000}"/>
    <hyperlink ref="B2604" r:id="rId2596" xr:uid="{00000000-0004-0000-0000-0000230A0000}"/>
    <hyperlink ref="B2605" r:id="rId2597" xr:uid="{00000000-0004-0000-0000-0000240A0000}"/>
    <hyperlink ref="B2606" r:id="rId2598" xr:uid="{00000000-0004-0000-0000-0000250A0000}"/>
    <hyperlink ref="B2607" r:id="rId2599" xr:uid="{00000000-0004-0000-0000-0000260A0000}"/>
    <hyperlink ref="B2608" r:id="rId2600" xr:uid="{00000000-0004-0000-0000-0000270A0000}"/>
    <hyperlink ref="B2609" r:id="rId2601" xr:uid="{00000000-0004-0000-0000-0000280A0000}"/>
    <hyperlink ref="B2610" r:id="rId2602" xr:uid="{00000000-0004-0000-0000-0000290A0000}"/>
    <hyperlink ref="B2611" r:id="rId2603" xr:uid="{00000000-0004-0000-0000-00002A0A0000}"/>
    <hyperlink ref="B2612" r:id="rId2604" xr:uid="{00000000-0004-0000-0000-00002B0A0000}"/>
    <hyperlink ref="B2613" r:id="rId2605" xr:uid="{00000000-0004-0000-0000-00002C0A0000}"/>
    <hyperlink ref="B2614" r:id="rId2606" xr:uid="{00000000-0004-0000-0000-00002D0A0000}"/>
    <hyperlink ref="B2615" r:id="rId2607" xr:uid="{00000000-0004-0000-0000-00002E0A0000}"/>
    <hyperlink ref="B2616" r:id="rId2608" xr:uid="{00000000-0004-0000-0000-00002F0A0000}"/>
    <hyperlink ref="B2617" r:id="rId2609" xr:uid="{00000000-0004-0000-0000-0000300A0000}"/>
    <hyperlink ref="B2618" r:id="rId2610" xr:uid="{00000000-0004-0000-0000-0000310A0000}"/>
    <hyperlink ref="B2619" r:id="rId2611" xr:uid="{00000000-0004-0000-0000-0000320A0000}"/>
    <hyperlink ref="B2620" r:id="rId2612" xr:uid="{00000000-0004-0000-0000-0000330A0000}"/>
    <hyperlink ref="B2621" r:id="rId2613" xr:uid="{00000000-0004-0000-0000-0000340A0000}"/>
    <hyperlink ref="B2622" r:id="rId2614" xr:uid="{00000000-0004-0000-0000-0000350A0000}"/>
    <hyperlink ref="B2623" r:id="rId2615" xr:uid="{00000000-0004-0000-0000-0000360A0000}"/>
    <hyperlink ref="B2624" r:id="rId2616" xr:uid="{00000000-0004-0000-0000-0000370A0000}"/>
    <hyperlink ref="B2625" r:id="rId2617" xr:uid="{00000000-0004-0000-0000-0000380A0000}"/>
    <hyperlink ref="B2627" r:id="rId2618" xr:uid="{00000000-0004-0000-0000-0000390A0000}"/>
    <hyperlink ref="A2628" r:id="rId2619" xr:uid="{00000000-0004-0000-0000-00003A0A0000}"/>
    <hyperlink ref="B2628" r:id="rId2620" xr:uid="{00000000-0004-0000-0000-00003B0A0000}"/>
    <hyperlink ref="B2629" r:id="rId2621" xr:uid="{00000000-0004-0000-0000-00003C0A0000}"/>
    <hyperlink ref="B2630" r:id="rId2622" xr:uid="{00000000-0004-0000-0000-00003D0A0000}"/>
    <hyperlink ref="B2631" r:id="rId2623" xr:uid="{00000000-0004-0000-0000-00003E0A0000}"/>
    <hyperlink ref="B2632" r:id="rId2624" xr:uid="{00000000-0004-0000-0000-00003F0A0000}"/>
    <hyperlink ref="B2633" r:id="rId2625" xr:uid="{00000000-0004-0000-0000-0000400A0000}"/>
    <hyperlink ref="B2634" r:id="rId2626" xr:uid="{00000000-0004-0000-0000-0000410A0000}"/>
    <hyperlink ref="B2635" r:id="rId2627" xr:uid="{00000000-0004-0000-0000-0000420A0000}"/>
    <hyperlink ref="B2636" r:id="rId2628" xr:uid="{00000000-0004-0000-0000-0000430A0000}"/>
    <hyperlink ref="B2637" r:id="rId2629" xr:uid="{00000000-0004-0000-0000-0000440A0000}"/>
    <hyperlink ref="B2638" r:id="rId2630" xr:uid="{00000000-0004-0000-0000-0000450A0000}"/>
    <hyperlink ref="B2639" r:id="rId2631" xr:uid="{00000000-0004-0000-0000-0000460A0000}"/>
    <hyperlink ref="B2640" r:id="rId2632" xr:uid="{00000000-0004-0000-0000-0000470A0000}"/>
    <hyperlink ref="B2641" r:id="rId2633" xr:uid="{00000000-0004-0000-0000-0000480A0000}"/>
    <hyperlink ref="B2642" r:id="rId2634" xr:uid="{00000000-0004-0000-0000-0000490A0000}"/>
    <hyperlink ref="B2643" r:id="rId2635" xr:uid="{00000000-0004-0000-0000-00004A0A0000}"/>
    <hyperlink ref="B2644" r:id="rId2636" xr:uid="{00000000-0004-0000-0000-00004B0A0000}"/>
    <hyperlink ref="B2645" r:id="rId2637" xr:uid="{00000000-0004-0000-0000-00004C0A0000}"/>
    <hyperlink ref="B2646" r:id="rId2638" xr:uid="{00000000-0004-0000-0000-00004D0A0000}"/>
    <hyperlink ref="B2647" r:id="rId2639" xr:uid="{00000000-0004-0000-0000-00004E0A0000}"/>
    <hyperlink ref="B2648" r:id="rId2640" xr:uid="{00000000-0004-0000-0000-00004F0A0000}"/>
    <hyperlink ref="B2649" r:id="rId2641" xr:uid="{00000000-0004-0000-0000-0000500A0000}"/>
    <hyperlink ref="B2650" r:id="rId2642" xr:uid="{00000000-0004-0000-0000-0000510A0000}"/>
    <hyperlink ref="B2651" r:id="rId2643" xr:uid="{00000000-0004-0000-0000-0000520A0000}"/>
    <hyperlink ref="B2652" r:id="rId2644" xr:uid="{00000000-0004-0000-0000-0000530A0000}"/>
    <hyperlink ref="B2653" r:id="rId2645" xr:uid="{00000000-0004-0000-0000-0000540A0000}"/>
    <hyperlink ref="B2654" r:id="rId2646" xr:uid="{00000000-0004-0000-0000-0000550A0000}"/>
    <hyperlink ref="B2655" r:id="rId2647" xr:uid="{00000000-0004-0000-0000-0000560A0000}"/>
    <hyperlink ref="B2656" r:id="rId2648" xr:uid="{00000000-0004-0000-0000-0000570A0000}"/>
    <hyperlink ref="B2657" r:id="rId2649" xr:uid="{00000000-0004-0000-0000-0000580A0000}"/>
    <hyperlink ref="B2658" r:id="rId2650" xr:uid="{00000000-0004-0000-0000-0000590A0000}"/>
    <hyperlink ref="B2659" r:id="rId2651" xr:uid="{00000000-0004-0000-0000-00005A0A0000}"/>
    <hyperlink ref="B2660" r:id="rId2652" xr:uid="{00000000-0004-0000-0000-00005B0A0000}"/>
    <hyperlink ref="B2661" r:id="rId2653" xr:uid="{00000000-0004-0000-0000-00005C0A0000}"/>
    <hyperlink ref="B2663" r:id="rId2654" xr:uid="{00000000-0004-0000-0000-00005D0A0000}"/>
    <hyperlink ref="A2664" r:id="rId2655" xr:uid="{00000000-0004-0000-0000-00005E0A0000}"/>
    <hyperlink ref="B2664" r:id="rId2656" xr:uid="{00000000-0004-0000-0000-00005F0A0000}"/>
    <hyperlink ref="B2665" r:id="rId2657" xr:uid="{00000000-0004-0000-0000-0000600A0000}"/>
    <hyperlink ref="B2666" r:id="rId2658" xr:uid="{00000000-0004-0000-0000-0000610A0000}"/>
    <hyperlink ref="B2667" r:id="rId2659" xr:uid="{00000000-0004-0000-0000-0000620A0000}"/>
    <hyperlink ref="B2668" r:id="rId2660" xr:uid="{00000000-0004-0000-0000-0000630A0000}"/>
    <hyperlink ref="B2669" r:id="rId2661" xr:uid="{00000000-0004-0000-0000-0000640A0000}"/>
    <hyperlink ref="B2670" r:id="rId2662" xr:uid="{00000000-0004-0000-0000-0000650A0000}"/>
    <hyperlink ref="B2671" r:id="rId2663" xr:uid="{00000000-0004-0000-0000-0000660A0000}"/>
    <hyperlink ref="B2672" r:id="rId2664" xr:uid="{00000000-0004-0000-0000-0000670A0000}"/>
    <hyperlink ref="B2673" r:id="rId2665" xr:uid="{00000000-0004-0000-0000-0000680A0000}"/>
    <hyperlink ref="B2674" r:id="rId2666" xr:uid="{00000000-0004-0000-0000-0000690A0000}"/>
    <hyperlink ref="B2675" r:id="rId2667" xr:uid="{00000000-0004-0000-0000-00006A0A0000}"/>
    <hyperlink ref="B2676" r:id="rId2668" xr:uid="{00000000-0004-0000-0000-00006B0A0000}"/>
    <hyperlink ref="B2677" r:id="rId2669" xr:uid="{00000000-0004-0000-0000-00006C0A0000}"/>
    <hyperlink ref="B2678" r:id="rId2670" xr:uid="{00000000-0004-0000-0000-00006D0A0000}"/>
    <hyperlink ref="B2679" r:id="rId2671" xr:uid="{00000000-0004-0000-0000-00006E0A0000}"/>
    <hyperlink ref="B2680" r:id="rId2672" xr:uid="{00000000-0004-0000-0000-00006F0A0000}"/>
    <hyperlink ref="B2681" r:id="rId2673" xr:uid="{00000000-0004-0000-0000-0000700A0000}"/>
    <hyperlink ref="B2682" r:id="rId2674" xr:uid="{00000000-0004-0000-0000-0000710A0000}"/>
    <hyperlink ref="B2683" r:id="rId2675" xr:uid="{00000000-0004-0000-0000-0000720A0000}"/>
    <hyperlink ref="B2684" r:id="rId2676" xr:uid="{00000000-0004-0000-0000-0000730A0000}"/>
    <hyperlink ref="B2685" r:id="rId2677" xr:uid="{00000000-0004-0000-0000-0000740A0000}"/>
    <hyperlink ref="B2686" r:id="rId2678" xr:uid="{00000000-0004-0000-0000-0000750A0000}"/>
    <hyperlink ref="B2687" r:id="rId2679" xr:uid="{00000000-0004-0000-0000-0000760A0000}"/>
    <hyperlink ref="B2688" r:id="rId2680" location="/directory/person/crshah" xr:uid="{00000000-0004-0000-0000-0000770A0000}"/>
    <hyperlink ref="B2689" r:id="rId2681" xr:uid="{00000000-0004-0000-0000-0000780A0000}"/>
    <hyperlink ref="B2690" r:id="rId2682" xr:uid="{00000000-0004-0000-0000-0000790A0000}"/>
    <hyperlink ref="B2691" r:id="rId2683" xr:uid="{00000000-0004-0000-0000-00007A0A0000}"/>
    <hyperlink ref="B2692" r:id="rId2684" xr:uid="{00000000-0004-0000-0000-00007B0A0000}"/>
    <hyperlink ref="B2693" r:id="rId2685" xr:uid="{00000000-0004-0000-0000-00007C0A0000}"/>
    <hyperlink ref="B2694" r:id="rId2686" xr:uid="{00000000-0004-0000-0000-00007D0A0000}"/>
    <hyperlink ref="B2695" r:id="rId2687" xr:uid="{00000000-0004-0000-0000-00007E0A0000}"/>
    <hyperlink ref="B2696" r:id="rId2688" xr:uid="{00000000-0004-0000-0000-00007F0A0000}"/>
    <hyperlink ref="B2697" r:id="rId2689" xr:uid="{00000000-0004-0000-0000-0000800A0000}"/>
    <hyperlink ref="B2698" r:id="rId2690" xr:uid="{00000000-0004-0000-0000-0000810A0000}"/>
    <hyperlink ref="B2699" r:id="rId2691" xr:uid="{00000000-0004-0000-0000-0000820A0000}"/>
    <hyperlink ref="B2700" r:id="rId2692" xr:uid="{00000000-0004-0000-0000-0000830A0000}"/>
    <hyperlink ref="B2701" r:id="rId2693" xr:uid="{00000000-0004-0000-0000-0000840A0000}"/>
    <hyperlink ref="B2702" r:id="rId2694" xr:uid="{00000000-0004-0000-0000-0000850A0000}"/>
    <hyperlink ref="B2703" r:id="rId2695" xr:uid="{00000000-0004-0000-0000-0000860A0000}"/>
    <hyperlink ref="B2704" r:id="rId2696" xr:uid="{00000000-0004-0000-0000-0000870A0000}"/>
    <hyperlink ref="B2706" r:id="rId2697" xr:uid="{00000000-0004-0000-0000-0000880A0000}"/>
    <hyperlink ref="A2707" r:id="rId2698" xr:uid="{00000000-0004-0000-0000-0000890A0000}"/>
    <hyperlink ref="B2707" r:id="rId2699" xr:uid="{00000000-0004-0000-0000-00008A0A0000}"/>
    <hyperlink ref="B2708" r:id="rId2700" xr:uid="{00000000-0004-0000-0000-00008B0A0000}"/>
    <hyperlink ref="B2709" r:id="rId2701" xr:uid="{00000000-0004-0000-0000-00008C0A0000}"/>
    <hyperlink ref="B2710" r:id="rId2702" xr:uid="{00000000-0004-0000-0000-00008D0A0000}"/>
    <hyperlink ref="B2711" r:id="rId2703" xr:uid="{00000000-0004-0000-0000-00008E0A0000}"/>
    <hyperlink ref="B2712" r:id="rId2704" xr:uid="{00000000-0004-0000-0000-00008F0A0000}"/>
    <hyperlink ref="B2713" r:id="rId2705" xr:uid="{00000000-0004-0000-0000-0000900A0000}"/>
    <hyperlink ref="B2714" r:id="rId2706" xr:uid="{00000000-0004-0000-0000-0000910A0000}"/>
    <hyperlink ref="B2715" r:id="rId2707" xr:uid="{00000000-0004-0000-0000-0000920A0000}"/>
    <hyperlink ref="B2716" r:id="rId2708" xr:uid="{00000000-0004-0000-0000-0000930A0000}"/>
    <hyperlink ref="B2717" r:id="rId2709" xr:uid="{00000000-0004-0000-0000-0000940A0000}"/>
    <hyperlink ref="B2718" r:id="rId2710" xr:uid="{00000000-0004-0000-0000-0000950A0000}"/>
    <hyperlink ref="B2719" r:id="rId2711" xr:uid="{00000000-0004-0000-0000-0000960A0000}"/>
    <hyperlink ref="B2720" r:id="rId2712" xr:uid="{00000000-0004-0000-0000-0000970A0000}"/>
    <hyperlink ref="B2721" r:id="rId2713" xr:uid="{00000000-0004-0000-0000-0000980A0000}"/>
    <hyperlink ref="B2722" r:id="rId2714" xr:uid="{00000000-0004-0000-0000-0000990A0000}"/>
    <hyperlink ref="B2723" r:id="rId2715" xr:uid="{00000000-0004-0000-0000-00009A0A0000}"/>
    <hyperlink ref="B2724" r:id="rId2716" xr:uid="{00000000-0004-0000-0000-00009B0A0000}"/>
    <hyperlink ref="B2725" r:id="rId2717" xr:uid="{00000000-0004-0000-0000-00009C0A0000}"/>
    <hyperlink ref="B2726" r:id="rId2718" xr:uid="{00000000-0004-0000-0000-00009D0A0000}"/>
    <hyperlink ref="B2727" r:id="rId2719" xr:uid="{00000000-0004-0000-0000-00009E0A0000}"/>
    <hyperlink ref="B2728" r:id="rId2720" xr:uid="{00000000-0004-0000-0000-00009F0A0000}"/>
    <hyperlink ref="B2729" r:id="rId2721" xr:uid="{00000000-0004-0000-0000-0000A00A0000}"/>
    <hyperlink ref="B2730" r:id="rId2722" xr:uid="{00000000-0004-0000-0000-0000A10A0000}"/>
    <hyperlink ref="B2731" r:id="rId2723" xr:uid="{00000000-0004-0000-0000-0000A20A0000}"/>
    <hyperlink ref="B2732" r:id="rId2724" xr:uid="{00000000-0004-0000-0000-0000A30A0000}"/>
    <hyperlink ref="B2733" r:id="rId2725" xr:uid="{00000000-0004-0000-0000-0000A40A0000}"/>
    <hyperlink ref="B2734" r:id="rId2726" xr:uid="{00000000-0004-0000-0000-0000A50A0000}"/>
    <hyperlink ref="B2735" r:id="rId2727" xr:uid="{00000000-0004-0000-0000-0000A60A0000}"/>
    <hyperlink ref="B2736" r:id="rId2728" xr:uid="{00000000-0004-0000-0000-0000A70A0000}"/>
    <hyperlink ref="B2737" r:id="rId2729" xr:uid="{00000000-0004-0000-0000-0000A80A0000}"/>
    <hyperlink ref="B2738" r:id="rId2730" xr:uid="{00000000-0004-0000-0000-0000A90A0000}"/>
    <hyperlink ref="B2740" r:id="rId2731" xr:uid="{00000000-0004-0000-0000-0000AA0A0000}"/>
    <hyperlink ref="A2741" r:id="rId2732" xr:uid="{00000000-0004-0000-0000-0000AB0A0000}"/>
    <hyperlink ref="B2741" r:id="rId2733" xr:uid="{00000000-0004-0000-0000-0000AC0A0000}"/>
    <hyperlink ref="B2742" r:id="rId2734" xr:uid="{00000000-0004-0000-0000-0000AD0A0000}"/>
    <hyperlink ref="B2743" r:id="rId2735" xr:uid="{00000000-0004-0000-0000-0000AE0A0000}"/>
    <hyperlink ref="B2744" r:id="rId2736" xr:uid="{00000000-0004-0000-0000-0000AF0A0000}"/>
    <hyperlink ref="B2745" r:id="rId2737" xr:uid="{00000000-0004-0000-0000-0000B00A0000}"/>
    <hyperlink ref="B2746" r:id="rId2738" xr:uid="{00000000-0004-0000-0000-0000B10A0000}"/>
    <hyperlink ref="B2747" r:id="rId2739" xr:uid="{00000000-0004-0000-0000-0000B20A0000}"/>
    <hyperlink ref="B2748" r:id="rId2740" xr:uid="{00000000-0004-0000-0000-0000B30A0000}"/>
    <hyperlink ref="B2749" r:id="rId2741" xr:uid="{00000000-0004-0000-0000-0000B40A0000}"/>
    <hyperlink ref="B2750" r:id="rId2742" xr:uid="{00000000-0004-0000-0000-0000B50A0000}"/>
    <hyperlink ref="B2751" r:id="rId2743" xr:uid="{00000000-0004-0000-0000-0000B60A0000}"/>
    <hyperlink ref="B2752" r:id="rId2744" xr:uid="{00000000-0004-0000-0000-0000B70A0000}"/>
    <hyperlink ref="B2753" r:id="rId2745" xr:uid="{00000000-0004-0000-0000-0000B80A0000}"/>
    <hyperlink ref="B2754" r:id="rId2746" xr:uid="{00000000-0004-0000-0000-0000B90A0000}"/>
    <hyperlink ref="B2755" r:id="rId2747" xr:uid="{00000000-0004-0000-0000-0000BA0A0000}"/>
    <hyperlink ref="B2756" r:id="rId2748" xr:uid="{00000000-0004-0000-0000-0000BB0A0000}"/>
    <hyperlink ref="B2757" r:id="rId2749" xr:uid="{00000000-0004-0000-0000-0000BC0A0000}"/>
    <hyperlink ref="B2758" r:id="rId2750" xr:uid="{00000000-0004-0000-0000-0000BD0A0000}"/>
    <hyperlink ref="B2759" r:id="rId2751" xr:uid="{00000000-0004-0000-0000-0000BE0A0000}"/>
    <hyperlink ref="B2760" r:id="rId2752" xr:uid="{00000000-0004-0000-0000-0000BF0A0000}"/>
    <hyperlink ref="B2761" r:id="rId2753" xr:uid="{00000000-0004-0000-0000-0000C00A0000}"/>
    <hyperlink ref="B2763" r:id="rId2754" xr:uid="{00000000-0004-0000-0000-0000C10A0000}"/>
    <hyperlink ref="A2764" r:id="rId2755" xr:uid="{00000000-0004-0000-0000-0000C20A0000}"/>
    <hyperlink ref="B2764" r:id="rId2756" xr:uid="{00000000-0004-0000-0000-0000C30A0000}"/>
    <hyperlink ref="B2765" r:id="rId2757" xr:uid="{00000000-0004-0000-0000-0000C40A0000}"/>
    <hyperlink ref="B2766" r:id="rId2758" xr:uid="{00000000-0004-0000-0000-0000C50A0000}"/>
    <hyperlink ref="B2767" r:id="rId2759" xr:uid="{00000000-0004-0000-0000-0000C60A0000}"/>
    <hyperlink ref="B2768" r:id="rId2760" xr:uid="{00000000-0004-0000-0000-0000C70A0000}"/>
    <hyperlink ref="B2769" r:id="rId2761" xr:uid="{00000000-0004-0000-0000-0000C80A0000}"/>
    <hyperlink ref="B2770" r:id="rId2762" xr:uid="{00000000-0004-0000-0000-0000C90A0000}"/>
    <hyperlink ref="B2771" r:id="rId2763" xr:uid="{00000000-0004-0000-0000-0000CA0A0000}"/>
    <hyperlink ref="B2772" r:id="rId2764" xr:uid="{00000000-0004-0000-0000-0000CB0A0000}"/>
    <hyperlink ref="B2773" r:id="rId2765" xr:uid="{00000000-0004-0000-0000-0000CC0A0000}"/>
    <hyperlink ref="B2774" r:id="rId2766" xr:uid="{00000000-0004-0000-0000-0000CD0A0000}"/>
    <hyperlink ref="B2775" r:id="rId2767" xr:uid="{00000000-0004-0000-0000-0000CE0A0000}"/>
    <hyperlink ref="B2776" r:id="rId2768" xr:uid="{00000000-0004-0000-0000-0000CF0A0000}"/>
    <hyperlink ref="B2777" r:id="rId2769" xr:uid="{00000000-0004-0000-0000-0000D00A0000}"/>
    <hyperlink ref="B2778" r:id="rId2770" xr:uid="{00000000-0004-0000-0000-0000D10A0000}"/>
    <hyperlink ref="B2779" r:id="rId2771" xr:uid="{00000000-0004-0000-0000-0000D20A0000}"/>
    <hyperlink ref="B2780" r:id="rId2772" xr:uid="{00000000-0004-0000-0000-0000D30A0000}"/>
    <hyperlink ref="B2781" r:id="rId2773" xr:uid="{00000000-0004-0000-0000-0000D40A0000}"/>
    <hyperlink ref="B2782" r:id="rId2774" xr:uid="{00000000-0004-0000-0000-0000D50A0000}"/>
    <hyperlink ref="B2783" r:id="rId2775" xr:uid="{00000000-0004-0000-0000-0000D60A0000}"/>
    <hyperlink ref="B2784" r:id="rId2776" xr:uid="{00000000-0004-0000-0000-0000D70A0000}"/>
    <hyperlink ref="B2785" r:id="rId2777" xr:uid="{00000000-0004-0000-0000-0000D80A0000}"/>
    <hyperlink ref="B2786" r:id="rId2778" xr:uid="{00000000-0004-0000-0000-0000D90A0000}"/>
    <hyperlink ref="B2787" r:id="rId2779" xr:uid="{00000000-0004-0000-0000-0000DA0A0000}"/>
    <hyperlink ref="B2788" r:id="rId2780" xr:uid="{00000000-0004-0000-0000-0000DB0A0000}"/>
    <hyperlink ref="B2789" r:id="rId2781" xr:uid="{00000000-0004-0000-0000-0000DC0A0000}"/>
    <hyperlink ref="B2790" r:id="rId2782" xr:uid="{00000000-0004-0000-0000-0000DD0A0000}"/>
    <hyperlink ref="B2791" r:id="rId2783" xr:uid="{00000000-0004-0000-0000-0000DE0A0000}"/>
    <hyperlink ref="B2792" r:id="rId2784" xr:uid="{00000000-0004-0000-0000-0000DF0A0000}"/>
    <hyperlink ref="B2793" r:id="rId2785" xr:uid="{00000000-0004-0000-0000-0000E00A0000}"/>
    <hyperlink ref="B2794" r:id="rId2786" xr:uid="{00000000-0004-0000-0000-0000E10A0000}"/>
    <hyperlink ref="B2795" r:id="rId2787" xr:uid="{00000000-0004-0000-0000-0000E20A0000}"/>
    <hyperlink ref="B2796" r:id="rId2788" xr:uid="{00000000-0004-0000-0000-0000E30A0000}"/>
    <hyperlink ref="B2797" r:id="rId2789" xr:uid="{00000000-0004-0000-0000-0000E40A0000}"/>
    <hyperlink ref="B2798" r:id="rId2790" xr:uid="{00000000-0004-0000-0000-0000E50A0000}"/>
    <hyperlink ref="B2799" r:id="rId2791" xr:uid="{00000000-0004-0000-0000-0000E60A0000}"/>
    <hyperlink ref="B2800" r:id="rId2792" xr:uid="{00000000-0004-0000-0000-0000E70A0000}"/>
    <hyperlink ref="B2801" r:id="rId2793" xr:uid="{00000000-0004-0000-0000-0000E80A0000}"/>
    <hyperlink ref="B2802" r:id="rId2794" xr:uid="{00000000-0004-0000-0000-0000E90A0000}"/>
    <hyperlink ref="B2803" r:id="rId2795" xr:uid="{00000000-0004-0000-0000-0000EA0A0000}"/>
    <hyperlink ref="B2804" r:id="rId2796" xr:uid="{00000000-0004-0000-0000-0000EB0A0000}"/>
    <hyperlink ref="B2806" r:id="rId2797" xr:uid="{00000000-0004-0000-0000-0000EC0A0000}"/>
    <hyperlink ref="A2807" r:id="rId2798" xr:uid="{00000000-0004-0000-0000-0000ED0A0000}"/>
    <hyperlink ref="B2807" r:id="rId2799" xr:uid="{00000000-0004-0000-0000-0000EE0A0000}"/>
    <hyperlink ref="B2808" r:id="rId2800" xr:uid="{00000000-0004-0000-0000-0000EF0A0000}"/>
    <hyperlink ref="B2809" r:id="rId2801" xr:uid="{00000000-0004-0000-0000-0000F00A0000}"/>
    <hyperlink ref="B2810" r:id="rId2802" xr:uid="{00000000-0004-0000-0000-0000F10A0000}"/>
    <hyperlink ref="B2811" r:id="rId2803" xr:uid="{00000000-0004-0000-0000-0000F20A0000}"/>
    <hyperlink ref="B2812" r:id="rId2804" xr:uid="{00000000-0004-0000-0000-0000F30A0000}"/>
    <hyperlink ref="B2813" r:id="rId2805" xr:uid="{00000000-0004-0000-0000-0000F40A0000}"/>
    <hyperlink ref="B2814" r:id="rId2806" xr:uid="{00000000-0004-0000-0000-0000F50A0000}"/>
    <hyperlink ref="B2815" r:id="rId2807" xr:uid="{00000000-0004-0000-0000-0000F60A0000}"/>
    <hyperlink ref="B2816" r:id="rId2808" xr:uid="{00000000-0004-0000-0000-0000F70A0000}"/>
    <hyperlink ref="B2817" r:id="rId2809" xr:uid="{00000000-0004-0000-0000-0000F80A0000}"/>
    <hyperlink ref="B2818" r:id="rId2810" xr:uid="{00000000-0004-0000-0000-0000F90A0000}"/>
    <hyperlink ref="B2819" r:id="rId2811" xr:uid="{00000000-0004-0000-0000-0000FA0A0000}"/>
    <hyperlink ref="B2820" r:id="rId2812" xr:uid="{00000000-0004-0000-0000-0000FB0A0000}"/>
    <hyperlink ref="B2821" r:id="rId2813" xr:uid="{00000000-0004-0000-0000-0000FC0A0000}"/>
    <hyperlink ref="B2822" r:id="rId2814" xr:uid="{00000000-0004-0000-0000-0000FD0A0000}"/>
    <hyperlink ref="B2823" r:id="rId2815" xr:uid="{00000000-0004-0000-0000-0000FE0A0000}"/>
    <hyperlink ref="B2824" r:id="rId2816" xr:uid="{00000000-0004-0000-0000-0000FF0A0000}"/>
    <hyperlink ref="B2825" r:id="rId2817" xr:uid="{00000000-0004-0000-0000-0000000B0000}"/>
    <hyperlink ref="B2826" r:id="rId2818" xr:uid="{00000000-0004-0000-0000-0000010B0000}"/>
    <hyperlink ref="B2827" r:id="rId2819" xr:uid="{00000000-0004-0000-0000-0000020B0000}"/>
    <hyperlink ref="B2828" r:id="rId2820" xr:uid="{00000000-0004-0000-0000-0000030B0000}"/>
    <hyperlink ref="B2829" r:id="rId2821" xr:uid="{00000000-0004-0000-0000-0000040B0000}"/>
    <hyperlink ref="B2830" r:id="rId2822" xr:uid="{00000000-0004-0000-0000-0000050B0000}"/>
    <hyperlink ref="B2831" r:id="rId2823" xr:uid="{00000000-0004-0000-0000-0000060B0000}"/>
    <hyperlink ref="B2832" r:id="rId2824" xr:uid="{00000000-0004-0000-0000-0000070B0000}"/>
    <hyperlink ref="B2833" r:id="rId2825" xr:uid="{00000000-0004-0000-0000-0000080B0000}"/>
    <hyperlink ref="B2834" r:id="rId2826" xr:uid="{00000000-0004-0000-0000-0000090B0000}"/>
    <hyperlink ref="B2836" r:id="rId2827" xr:uid="{00000000-0004-0000-0000-00000A0B0000}"/>
    <hyperlink ref="A2837" r:id="rId2828" xr:uid="{00000000-0004-0000-0000-00000B0B0000}"/>
    <hyperlink ref="B2837" r:id="rId2829" xr:uid="{00000000-0004-0000-0000-00000C0B0000}"/>
    <hyperlink ref="B2838" r:id="rId2830" xr:uid="{00000000-0004-0000-0000-00000D0B0000}"/>
    <hyperlink ref="B2839" r:id="rId2831" xr:uid="{00000000-0004-0000-0000-00000E0B0000}"/>
    <hyperlink ref="B2840" r:id="rId2832" xr:uid="{00000000-0004-0000-0000-00000F0B0000}"/>
    <hyperlink ref="B2841" r:id="rId2833" xr:uid="{00000000-0004-0000-0000-0000100B0000}"/>
    <hyperlink ref="B2842" r:id="rId2834" xr:uid="{00000000-0004-0000-0000-0000110B0000}"/>
    <hyperlink ref="B2843" r:id="rId2835" xr:uid="{00000000-0004-0000-0000-0000120B0000}"/>
    <hyperlink ref="B2844" r:id="rId2836" xr:uid="{00000000-0004-0000-0000-0000130B0000}"/>
    <hyperlink ref="B2845" r:id="rId2837" xr:uid="{00000000-0004-0000-0000-0000140B0000}"/>
    <hyperlink ref="B2846" r:id="rId2838" xr:uid="{00000000-0004-0000-0000-0000150B0000}"/>
    <hyperlink ref="B2847" r:id="rId2839" xr:uid="{00000000-0004-0000-0000-0000160B0000}"/>
    <hyperlink ref="B2848" r:id="rId2840" xr:uid="{00000000-0004-0000-0000-0000170B0000}"/>
    <hyperlink ref="B2849" r:id="rId2841" xr:uid="{00000000-0004-0000-0000-0000180B0000}"/>
    <hyperlink ref="B2850" r:id="rId2842" xr:uid="{00000000-0004-0000-0000-0000190B0000}"/>
    <hyperlink ref="B2851" r:id="rId2843" xr:uid="{00000000-0004-0000-0000-00001A0B0000}"/>
    <hyperlink ref="B2852" r:id="rId2844" xr:uid="{00000000-0004-0000-0000-00001B0B0000}"/>
    <hyperlink ref="B2853" r:id="rId2845" xr:uid="{00000000-0004-0000-0000-00001C0B0000}"/>
    <hyperlink ref="B2854" r:id="rId2846" xr:uid="{00000000-0004-0000-0000-00001D0B0000}"/>
    <hyperlink ref="B2855" r:id="rId2847" xr:uid="{00000000-0004-0000-0000-00001E0B0000}"/>
    <hyperlink ref="B2856" r:id="rId2848" xr:uid="{00000000-0004-0000-0000-00001F0B0000}"/>
    <hyperlink ref="B2857" r:id="rId2849" xr:uid="{00000000-0004-0000-0000-0000200B0000}"/>
    <hyperlink ref="B2858" r:id="rId2850" xr:uid="{00000000-0004-0000-0000-0000210B0000}"/>
    <hyperlink ref="B2859" r:id="rId2851" xr:uid="{00000000-0004-0000-0000-0000220B0000}"/>
    <hyperlink ref="B2860" r:id="rId2852" xr:uid="{00000000-0004-0000-0000-0000230B0000}"/>
    <hyperlink ref="B2861" r:id="rId2853" xr:uid="{00000000-0004-0000-0000-0000240B0000}"/>
    <hyperlink ref="B2862" r:id="rId2854" xr:uid="{00000000-0004-0000-0000-0000250B0000}"/>
    <hyperlink ref="B2863" r:id="rId2855" xr:uid="{00000000-0004-0000-0000-0000260B0000}"/>
    <hyperlink ref="B2864" r:id="rId2856" xr:uid="{00000000-0004-0000-0000-0000270B0000}"/>
    <hyperlink ref="B2865" r:id="rId2857" xr:uid="{00000000-0004-0000-0000-0000280B0000}"/>
    <hyperlink ref="B2866" r:id="rId2858" xr:uid="{00000000-0004-0000-0000-0000290B0000}"/>
    <hyperlink ref="B2867" r:id="rId2859" xr:uid="{00000000-0004-0000-0000-00002A0B0000}"/>
    <hyperlink ref="B2868" r:id="rId2860" xr:uid="{00000000-0004-0000-0000-00002B0B0000}"/>
    <hyperlink ref="B2869" r:id="rId2861" xr:uid="{00000000-0004-0000-0000-00002C0B0000}"/>
    <hyperlink ref="B2870" r:id="rId2862" xr:uid="{00000000-0004-0000-0000-00002D0B0000}"/>
    <hyperlink ref="B2871" r:id="rId2863" xr:uid="{00000000-0004-0000-0000-00002E0B0000}"/>
    <hyperlink ref="B2872" r:id="rId2864" xr:uid="{00000000-0004-0000-0000-00002F0B0000}"/>
    <hyperlink ref="B2873" r:id="rId2865" xr:uid="{00000000-0004-0000-0000-0000300B0000}"/>
    <hyperlink ref="B2874" r:id="rId2866" xr:uid="{00000000-0004-0000-0000-0000310B0000}"/>
    <hyperlink ref="B2876" r:id="rId2867" xr:uid="{00000000-0004-0000-0000-0000320B0000}"/>
    <hyperlink ref="A2877" r:id="rId2868" xr:uid="{00000000-0004-0000-0000-0000330B0000}"/>
    <hyperlink ref="B2877" r:id="rId2869" xr:uid="{00000000-0004-0000-0000-0000340B0000}"/>
    <hyperlink ref="B2878" r:id="rId2870" xr:uid="{00000000-0004-0000-0000-0000350B0000}"/>
    <hyperlink ref="B2879" r:id="rId2871" xr:uid="{00000000-0004-0000-0000-0000360B0000}"/>
    <hyperlink ref="B2880" r:id="rId2872" xr:uid="{00000000-0004-0000-0000-0000370B0000}"/>
    <hyperlink ref="B2881" r:id="rId2873" xr:uid="{00000000-0004-0000-0000-0000380B0000}"/>
    <hyperlink ref="B2882" r:id="rId2874" xr:uid="{00000000-0004-0000-0000-0000390B0000}"/>
    <hyperlink ref="B2883" r:id="rId2875" xr:uid="{00000000-0004-0000-0000-00003A0B0000}"/>
    <hyperlink ref="B2884" r:id="rId2876" xr:uid="{00000000-0004-0000-0000-00003B0B0000}"/>
    <hyperlink ref="B2885" r:id="rId2877" xr:uid="{00000000-0004-0000-0000-00003C0B0000}"/>
    <hyperlink ref="B2886" r:id="rId2878" xr:uid="{00000000-0004-0000-0000-00003D0B0000}"/>
    <hyperlink ref="B2887" r:id="rId2879" xr:uid="{00000000-0004-0000-0000-00003E0B0000}"/>
    <hyperlink ref="B2888" r:id="rId2880" xr:uid="{00000000-0004-0000-0000-00003F0B0000}"/>
    <hyperlink ref="B2889" r:id="rId2881" xr:uid="{00000000-0004-0000-0000-0000400B0000}"/>
    <hyperlink ref="B2890" r:id="rId2882" xr:uid="{00000000-0004-0000-0000-0000410B0000}"/>
    <hyperlink ref="B2891" r:id="rId2883" xr:uid="{00000000-0004-0000-0000-0000420B0000}"/>
    <hyperlink ref="B2892" r:id="rId2884" xr:uid="{00000000-0004-0000-0000-0000430B0000}"/>
    <hyperlink ref="B2893" r:id="rId2885" xr:uid="{00000000-0004-0000-0000-0000440B0000}"/>
    <hyperlink ref="B2894" r:id="rId2886" xr:uid="{00000000-0004-0000-0000-0000450B0000}"/>
    <hyperlink ref="B2895" r:id="rId2887" xr:uid="{00000000-0004-0000-0000-0000460B0000}"/>
    <hyperlink ref="B2896" r:id="rId2888" xr:uid="{00000000-0004-0000-0000-0000470B0000}"/>
    <hyperlink ref="B2897" r:id="rId2889" xr:uid="{00000000-0004-0000-0000-0000480B0000}"/>
    <hyperlink ref="B2898" r:id="rId2890" xr:uid="{00000000-0004-0000-0000-0000490B0000}"/>
    <hyperlink ref="A2900" r:id="rId2891" xr:uid="{00000000-0004-0000-0000-00004A0B0000}"/>
    <hyperlink ref="B2900" r:id="rId2892" xr:uid="{00000000-0004-0000-0000-00004B0B0000}"/>
    <hyperlink ref="A2901" r:id="rId2893" xr:uid="{00000000-0004-0000-0000-00004C0B0000}"/>
    <hyperlink ref="B2901" r:id="rId2894" xr:uid="{00000000-0004-0000-0000-00004D0B0000}"/>
    <hyperlink ref="B2902" r:id="rId2895" xr:uid="{00000000-0004-0000-0000-00004E0B0000}"/>
    <hyperlink ref="B2903" r:id="rId2896" xr:uid="{00000000-0004-0000-0000-00004F0B0000}"/>
    <hyperlink ref="B2904" r:id="rId2897" xr:uid="{00000000-0004-0000-0000-0000500B0000}"/>
    <hyperlink ref="B2905" r:id="rId2898" xr:uid="{00000000-0004-0000-0000-0000510B0000}"/>
    <hyperlink ref="B2906" r:id="rId2899" xr:uid="{00000000-0004-0000-0000-0000520B0000}"/>
    <hyperlink ref="B2907" r:id="rId2900" xr:uid="{00000000-0004-0000-0000-0000530B0000}"/>
    <hyperlink ref="B2908" r:id="rId2901" xr:uid="{00000000-0004-0000-0000-0000540B0000}"/>
    <hyperlink ref="B2909" r:id="rId2902" xr:uid="{00000000-0004-0000-0000-0000550B0000}"/>
    <hyperlink ref="B2910" r:id="rId2903" xr:uid="{00000000-0004-0000-0000-0000560B0000}"/>
    <hyperlink ref="B2911" r:id="rId2904" xr:uid="{00000000-0004-0000-0000-0000570B0000}"/>
    <hyperlink ref="B2912" r:id="rId2905" xr:uid="{00000000-0004-0000-0000-0000580B0000}"/>
    <hyperlink ref="B2913" r:id="rId2906" xr:uid="{00000000-0004-0000-0000-0000590B0000}"/>
    <hyperlink ref="B2914" r:id="rId2907" xr:uid="{00000000-0004-0000-0000-00005A0B0000}"/>
    <hyperlink ref="B2915" r:id="rId2908" xr:uid="{00000000-0004-0000-0000-00005B0B0000}"/>
    <hyperlink ref="B2916" r:id="rId2909" xr:uid="{00000000-0004-0000-0000-00005C0B0000}"/>
    <hyperlink ref="B2917" r:id="rId2910" xr:uid="{00000000-0004-0000-0000-00005D0B0000}"/>
    <hyperlink ref="B2918" r:id="rId2911" xr:uid="{00000000-0004-0000-0000-00005E0B0000}"/>
    <hyperlink ref="B2919" r:id="rId2912" xr:uid="{00000000-0004-0000-0000-00005F0B0000}"/>
    <hyperlink ref="B2920" r:id="rId2913" xr:uid="{00000000-0004-0000-0000-0000600B0000}"/>
    <hyperlink ref="B2921" r:id="rId2914" xr:uid="{00000000-0004-0000-0000-0000610B0000}"/>
    <hyperlink ref="B2922" r:id="rId2915" xr:uid="{00000000-0004-0000-0000-0000620B0000}"/>
    <hyperlink ref="B2923" r:id="rId2916" xr:uid="{00000000-0004-0000-0000-0000630B0000}"/>
    <hyperlink ref="B2924" r:id="rId2917" xr:uid="{00000000-0004-0000-0000-0000640B0000}"/>
    <hyperlink ref="B2925" r:id="rId2918" xr:uid="{00000000-0004-0000-0000-0000650B0000}"/>
    <hyperlink ref="B2926" r:id="rId2919" xr:uid="{00000000-0004-0000-0000-0000660B0000}"/>
    <hyperlink ref="B2927" r:id="rId2920" xr:uid="{00000000-0004-0000-0000-0000670B0000}"/>
    <hyperlink ref="B2928" r:id="rId2921" xr:uid="{00000000-0004-0000-0000-0000680B0000}"/>
    <hyperlink ref="B2929" r:id="rId2922" xr:uid="{00000000-0004-0000-0000-0000690B0000}"/>
    <hyperlink ref="B2930" r:id="rId2923" xr:uid="{00000000-0004-0000-0000-00006A0B0000}"/>
    <hyperlink ref="B2931" r:id="rId2924" xr:uid="{00000000-0004-0000-0000-00006B0B0000}"/>
    <hyperlink ref="B2932" r:id="rId2925" xr:uid="{00000000-0004-0000-0000-00006C0B0000}"/>
    <hyperlink ref="B2933" r:id="rId2926" xr:uid="{00000000-0004-0000-0000-00006D0B0000}"/>
    <hyperlink ref="B2934" r:id="rId2927" xr:uid="{00000000-0004-0000-0000-00006E0B0000}"/>
    <hyperlink ref="B2935" r:id="rId2928" xr:uid="{00000000-0004-0000-0000-00006F0B0000}"/>
    <hyperlink ref="B2936" r:id="rId2929" xr:uid="{00000000-0004-0000-0000-0000700B0000}"/>
    <hyperlink ref="B2937" r:id="rId2930" xr:uid="{00000000-0004-0000-0000-0000710B0000}"/>
    <hyperlink ref="B2938" r:id="rId2931" xr:uid="{00000000-0004-0000-0000-0000720B0000}"/>
    <hyperlink ref="B2939" r:id="rId2932" xr:uid="{00000000-0004-0000-0000-0000730B0000}"/>
    <hyperlink ref="B2940" r:id="rId2933" xr:uid="{00000000-0004-0000-0000-0000740B0000}"/>
    <hyperlink ref="B2941" r:id="rId2934" xr:uid="{00000000-0004-0000-0000-0000750B0000}"/>
    <hyperlink ref="B2942" r:id="rId2935" xr:uid="{00000000-0004-0000-0000-0000760B0000}"/>
    <hyperlink ref="B2943" r:id="rId2936" xr:uid="{00000000-0004-0000-0000-0000770B0000}"/>
    <hyperlink ref="B2944" r:id="rId2937" xr:uid="{00000000-0004-0000-0000-0000780B0000}"/>
    <hyperlink ref="B2945" r:id="rId2938" xr:uid="{00000000-0004-0000-0000-0000790B0000}"/>
    <hyperlink ref="B2946" r:id="rId2939" xr:uid="{00000000-0004-0000-0000-00007A0B0000}"/>
    <hyperlink ref="B2947" r:id="rId2940" xr:uid="{00000000-0004-0000-0000-00007B0B0000}"/>
    <hyperlink ref="B2948" r:id="rId2941" xr:uid="{00000000-0004-0000-0000-00007C0B0000}"/>
    <hyperlink ref="B2949" r:id="rId2942" xr:uid="{00000000-0004-0000-0000-00007D0B0000}"/>
    <hyperlink ref="B2950" r:id="rId2943" xr:uid="{00000000-0004-0000-0000-00007E0B0000}"/>
    <hyperlink ref="B2951" r:id="rId2944" xr:uid="{00000000-0004-0000-0000-00007F0B0000}"/>
    <hyperlink ref="B2952" r:id="rId2945" xr:uid="{00000000-0004-0000-0000-0000800B0000}"/>
    <hyperlink ref="B2953" r:id="rId2946" xr:uid="{00000000-0004-0000-0000-0000810B0000}"/>
    <hyperlink ref="B2954" r:id="rId2947" xr:uid="{00000000-0004-0000-0000-0000820B0000}"/>
    <hyperlink ref="B2956" r:id="rId2948" xr:uid="{00000000-0004-0000-0000-0000830B0000}"/>
    <hyperlink ref="A2957" r:id="rId2949" xr:uid="{00000000-0004-0000-0000-0000840B0000}"/>
    <hyperlink ref="B2957" r:id="rId2950" xr:uid="{00000000-0004-0000-0000-0000850B0000}"/>
    <hyperlink ref="B2958" r:id="rId2951" xr:uid="{00000000-0004-0000-0000-0000860B0000}"/>
    <hyperlink ref="B2959" r:id="rId2952" xr:uid="{00000000-0004-0000-0000-0000870B0000}"/>
    <hyperlink ref="B2960" r:id="rId2953" xr:uid="{00000000-0004-0000-0000-0000880B0000}"/>
    <hyperlink ref="B2961" r:id="rId2954" xr:uid="{00000000-0004-0000-0000-0000890B0000}"/>
    <hyperlink ref="B2962" r:id="rId2955" xr:uid="{00000000-0004-0000-0000-00008A0B0000}"/>
    <hyperlink ref="B2963" r:id="rId2956" xr:uid="{00000000-0004-0000-0000-00008B0B0000}"/>
    <hyperlink ref="B2964" r:id="rId2957" xr:uid="{00000000-0004-0000-0000-00008C0B0000}"/>
    <hyperlink ref="B2965" r:id="rId2958" xr:uid="{00000000-0004-0000-0000-00008D0B0000}"/>
    <hyperlink ref="B2966" r:id="rId2959" xr:uid="{00000000-0004-0000-0000-00008E0B0000}"/>
    <hyperlink ref="B2967" r:id="rId2960" xr:uid="{00000000-0004-0000-0000-00008F0B0000}"/>
    <hyperlink ref="B2968" r:id="rId2961" xr:uid="{00000000-0004-0000-0000-0000900B0000}"/>
    <hyperlink ref="B2969" r:id="rId2962" xr:uid="{00000000-0004-0000-0000-0000910B0000}"/>
    <hyperlink ref="B2970" r:id="rId2963" xr:uid="{00000000-0004-0000-0000-0000920B0000}"/>
    <hyperlink ref="B2971" r:id="rId2964" xr:uid="{00000000-0004-0000-0000-0000930B0000}"/>
    <hyperlink ref="B2972" r:id="rId2965" xr:uid="{00000000-0004-0000-0000-0000940B0000}"/>
    <hyperlink ref="B2973" r:id="rId2966" xr:uid="{00000000-0004-0000-0000-0000950B0000}"/>
    <hyperlink ref="B2974" r:id="rId2967" xr:uid="{00000000-0004-0000-0000-0000960B0000}"/>
    <hyperlink ref="B2975" r:id="rId2968" xr:uid="{00000000-0004-0000-0000-0000970B0000}"/>
    <hyperlink ref="B2976" r:id="rId2969" xr:uid="{00000000-0004-0000-0000-0000980B0000}"/>
    <hyperlink ref="B2977" r:id="rId2970" xr:uid="{00000000-0004-0000-0000-0000990B0000}"/>
    <hyperlink ref="B2978" r:id="rId2971" xr:uid="{00000000-0004-0000-0000-00009A0B0000}"/>
    <hyperlink ref="B2979" r:id="rId2972" xr:uid="{00000000-0004-0000-0000-00009B0B0000}"/>
    <hyperlink ref="B2980" r:id="rId2973" xr:uid="{00000000-0004-0000-0000-00009C0B0000}"/>
    <hyperlink ref="B2981" r:id="rId2974" xr:uid="{00000000-0004-0000-0000-00009D0B0000}"/>
    <hyperlink ref="B2982" r:id="rId2975" xr:uid="{00000000-0004-0000-0000-00009E0B0000}"/>
    <hyperlink ref="B2983" r:id="rId2976" xr:uid="{00000000-0004-0000-0000-00009F0B0000}"/>
    <hyperlink ref="B2984" r:id="rId2977" xr:uid="{00000000-0004-0000-0000-0000A00B0000}"/>
    <hyperlink ref="B2985" r:id="rId2978" xr:uid="{00000000-0004-0000-0000-0000A10B0000}"/>
    <hyperlink ref="B2986" r:id="rId2979" xr:uid="{00000000-0004-0000-0000-0000A20B0000}"/>
    <hyperlink ref="B2987" r:id="rId2980" xr:uid="{00000000-0004-0000-0000-0000A30B0000}"/>
    <hyperlink ref="B2988" r:id="rId2981" xr:uid="{00000000-0004-0000-0000-0000A40B0000}"/>
    <hyperlink ref="B2989" r:id="rId2982" xr:uid="{00000000-0004-0000-0000-0000A50B0000}"/>
    <hyperlink ref="B2990" r:id="rId2983" xr:uid="{00000000-0004-0000-0000-0000A60B0000}"/>
    <hyperlink ref="B2991" r:id="rId2984" xr:uid="{00000000-0004-0000-0000-0000A70B0000}"/>
    <hyperlink ref="B2992" r:id="rId2985" xr:uid="{00000000-0004-0000-0000-0000A80B0000}"/>
    <hyperlink ref="A2994" r:id="rId2986" xr:uid="{00000000-0004-0000-0000-0000A90B0000}"/>
    <hyperlink ref="A2995" r:id="rId2987" location="top" xr:uid="{00000000-0004-0000-0000-0000AA0B0000}"/>
    <hyperlink ref="A3012" r:id="rId2988" xr:uid="{00000000-0004-0000-0000-0000AB0B0000}"/>
    <hyperlink ref="B3012" r:id="rId2989" xr:uid="{00000000-0004-0000-0000-0000AC0B0000}"/>
    <hyperlink ref="A3013" r:id="rId2990" xr:uid="{00000000-0004-0000-0000-0000AD0B0000}"/>
    <hyperlink ref="B3013" r:id="rId2991" xr:uid="{00000000-0004-0000-0000-0000AE0B0000}"/>
    <hyperlink ref="B3014" r:id="rId2992" xr:uid="{00000000-0004-0000-0000-0000AF0B0000}"/>
    <hyperlink ref="B3015" r:id="rId2993" xr:uid="{00000000-0004-0000-0000-0000B00B0000}"/>
    <hyperlink ref="B3016" r:id="rId2994" xr:uid="{00000000-0004-0000-0000-0000B10B0000}"/>
    <hyperlink ref="B3017" r:id="rId2995" xr:uid="{00000000-0004-0000-0000-0000B20B0000}"/>
    <hyperlink ref="B3018" r:id="rId2996" xr:uid="{00000000-0004-0000-0000-0000B30B0000}"/>
    <hyperlink ref="B3019" r:id="rId2997" xr:uid="{00000000-0004-0000-0000-0000B40B0000}"/>
    <hyperlink ref="B3020" r:id="rId2998" xr:uid="{00000000-0004-0000-0000-0000B50B0000}"/>
    <hyperlink ref="B3021" r:id="rId2999" xr:uid="{00000000-0004-0000-0000-0000B60B0000}"/>
    <hyperlink ref="B3022" r:id="rId3000" xr:uid="{00000000-0004-0000-0000-0000B70B0000}"/>
    <hyperlink ref="B3023" r:id="rId3001" xr:uid="{00000000-0004-0000-0000-0000B80B0000}"/>
    <hyperlink ref="B3024" r:id="rId3002" xr:uid="{00000000-0004-0000-0000-0000B90B0000}"/>
    <hyperlink ref="B3025" r:id="rId3003" xr:uid="{00000000-0004-0000-0000-0000BA0B0000}"/>
    <hyperlink ref="B3026" r:id="rId3004" xr:uid="{00000000-0004-0000-0000-0000BB0B0000}"/>
    <hyperlink ref="B3027" r:id="rId3005" xr:uid="{00000000-0004-0000-0000-0000BC0B0000}"/>
    <hyperlink ref="B3028" r:id="rId3006" xr:uid="{00000000-0004-0000-0000-0000BD0B0000}"/>
    <hyperlink ref="B3029" r:id="rId3007" xr:uid="{00000000-0004-0000-0000-0000BE0B0000}"/>
    <hyperlink ref="B3030" r:id="rId3008" xr:uid="{00000000-0004-0000-0000-0000BF0B0000}"/>
    <hyperlink ref="B3031" r:id="rId3009" xr:uid="{00000000-0004-0000-0000-0000C00B0000}"/>
    <hyperlink ref="B3032" r:id="rId3010" xr:uid="{00000000-0004-0000-0000-0000C10B0000}"/>
    <hyperlink ref="B3033" r:id="rId3011" xr:uid="{00000000-0004-0000-0000-0000C20B0000}"/>
    <hyperlink ref="B3036" r:id="rId3012" xr:uid="{00000000-0004-0000-0000-0000C30B0000}"/>
    <hyperlink ref="B3037" r:id="rId3013" xr:uid="{00000000-0004-0000-0000-0000C40B0000}"/>
    <hyperlink ref="B3038" r:id="rId3014" xr:uid="{00000000-0004-0000-0000-0000C50B0000}"/>
    <hyperlink ref="A3040" r:id="rId3015" xr:uid="{00000000-0004-0000-0000-0000C60B0000}"/>
    <hyperlink ref="B3040" r:id="rId3016" xr:uid="{00000000-0004-0000-0000-0000C70B0000}"/>
    <hyperlink ref="A3041" r:id="rId3017" xr:uid="{00000000-0004-0000-0000-0000C80B0000}"/>
    <hyperlink ref="B3041" r:id="rId3018" xr:uid="{00000000-0004-0000-0000-0000C90B0000}"/>
    <hyperlink ref="B3042" r:id="rId3019" xr:uid="{00000000-0004-0000-0000-0000CA0B0000}"/>
    <hyperlink ref="B3043" r:id="rId3020" xr:uid="{00000000-0004-0000-0000-0000CB0B0000}"/>
    <hyperlink ref="B3044" r:id="rId3021" xr:uid="{00000000-0004-0000-0000-0000CC0B0000}"/>
    <hyperlink ref="B3045" r:id="rId3022" xr:uid="{00000000-0004-0000-0000-0000CD0B0000}"/>
    <hyperlink ref="B3046" r:id="rId3023" xr:uid="{00000000-0004-0000-0000-0000CE0B0000}"/>
    <hyperlink ref="B3047" r:id="rId3024" xr:uid="{00000000-0004-0000-0000-0000CF0B0000}"/>
    <hyperlink ref="B3048" r:id="rId3025" xr:uid="{00000000-0004-0000-0000-0000D00B0000}"/>
    <hyperlink ref="B3049" r:id="rId3026" xr:uid="{00000000-0004-0000-0000-0000D10B0000}"/>
    <hyperlink ref="B3050" r:id="rId3027" xr:uid="{00000000-0004-0000-0000-0000D20B0000}"/>
    <hyperlink ref="B3051" r:id="rId3028" xr:uid="{00000000-0004-0000-0000-0000D30B0000}"/>
    <hyperlink ref="B3052" r:id="rId3029" xr:uid="{00000000-0004-0000-0000-0000D40B0000}"/>
    <hyperlink ref="B3053" r:id="rId3030" xr:uid="{00000000-0004-0000-0000-0000D50B0000}"/>
    <hyperlink ref="B3054" r:id="rId3031" xr:uid="{00000000-0004-0000-0000-0000D60B0000}"/>
    <hyperlink ref="B3055" r:id="rId3032" xr:uid="{00000000-0004-0000-0000-0000D70B0000}"/>
    <hyperlink ref="B3056" r:id="rId3033" xr:uid="{00000000-0004-0000-0000-0000D80B0000}"/>
    <hyperlink ref="B3057" r:id="rId3034" xr:uid="{00000000-0004-0000-0000-0000D90B0000}"/>
    <hyperlink ref="B3058" r:id="rId3035" xr:uid="{00000000-0004-0000-0000-0000DA0B0000}"/>
    <hyperlink ref="B3059" r:id="rId3036" xr:uid="{00000000-0004-0000-0000-0000DB0B0000}"/>
    <hyperlink ref="B3060" r:id="rId3037" xr:uid="{00000000-0004-0000-0000-0000DC0B0000}"/>
    <hyperlink ref="B3061" r:id="rId3038" xr:uid="{00000000-0004-0000-0000-0000DD0B0000}"/>
    <hyperlink ref="B3062" r:id="rId3039" xr:uid="{00000000-0004-0000-0000-0000DE0B0000}"/>
    <hyperlink ref="B3063" r:id="rId3040" xr:uid="{00000000-0004-0000-0000-0000DF0B0000}"/>
    <hyperlink ref="B3064" r:id="rId3041" xr:uid="{00000000-0004-0000-0000-0000E00B0000}"/>
    <hyperlink ref="B3065" r:id="rId3042" xr:uid="{00000000-0004-0000-0000-0000E10B0000}"/>
    <hyperlink ref="B3066" r:id="rId3043" xr:uid="{00000000-0004-0000-0000-0000E20B0000}"/>
    <hyperlink ref="B3067" r:id="rId3044" xr:uid="{00000000-0004-0000-0000-0000E30B0000}"/>
    <hyperlink ref="B3068" r:id="rId3045" xr:uid="{00000000-0004-0000-0000-0000E40B0000}"/>
    <hyperlink ref="B3069" r:id="rId3046" xr:uid="{00000000-0004-0000-0000-0000E50B0000}"/>
    <hyperlink ref="A3072" r:id="rId3047" xr:uid="{00000000-0004-0000-0000-0000E60B0000}"/>
    <hyperlink ref="B3072" r:id="rId3048" xr:uid="{00000000-0004-0000-0000-0000E70B0000}"/>
    <hyperlink ref="B3073" r:id="rId3049" xr:uid="{00000000-0004-0000-0000-0000E80B0000}"/>
    <hyperlink ref="B3074" r:id="rId3050" xr:uid="{00000000-0004-0000-0000-0000E90B0000}"/>
    <hyperlink ref="B3075" r:id="rId3051" xr:uid="{00000000-0004-0000-0000-0000EA0B0000}"/>
    <hyperlink ref="B3076" r:id="rId3052" xr:uid="{00000000-0004-0000-0000-0000EB0B0000}"/>
    <hyperlink ref="B3077" r:id="rId3053" xr:uid="{00000000-0004-0000-0000-0000EC0B0000}"/>
    <hyperlink ref="B3078" r:id="rId3054" xr:uid="{00000000-0004-0000-0000-0000ED0B0000}"/>
    <hyperlink ref="B3079" r:id="rId3055" xr:uid="{00000000-0004-0000-0000-0000EE0B0000}"/>
    <hyperlink ref="B3080" r:id="rId3056" xr:uid="{00000000-0004-0000-0000-0000EF0B0000}"/>
    <hyperlink ref="B3081" r:id="rId3057" xr:uid="{00000000-0004-0000-0000-0000F00B0000}"/>
    <hyperlink ref="B3082" r:id="rId3058" xr:uid="{00000000-0004-0000-0000-0000F10B0000}"/>
    <hyperlink ref="B3083" r:id="rId3059" xr:uid="{00000000-0004-0000-0000-0000F20B0000}"/>
    <hyperlink ref="B3084" r:id="rId3060" xr:uid="{00000000-0004-0000-0000-0000F30B0000}"/>
    <hyperlink ref="B3085" r:id="rId3061" xr:uid="{00000000-0004-0000-0000-0000F40B0000}"/>
    <hyperlink ref="B3086" r:id="rId3062" xr:uid="{00000000-0004-0000-0000-0000F50B0000}"/>
    <hyperlink ref="B3087" r:id="rId3063" xr:uid="{00000000-0004-0000-0000-0000F60B0000}"/>
    <hyperlink ref="B3088" r:id="rId3064" xr:uid="{00000000-0004-0000-0000-0000F70B0000}"/>
    <hyperlink ref="B3089" r:id="rId3065" xr:uid="{00000000-0004-0000-0000-0000F80B0000}"/>
    <hyperlink ref="B3090" r:id="rId3066" xr:uid="{00000000-0004-0000-0000-0000F90B0000}"/>
    <hyperlink ref="B3091" r:id="rId3067" xr:uid="{00000000-0004-0000-0000-0000FA0B0000}"/>
    <hyperlink ref="B3092" r:id="rId3068" xr:uid="{00000000-0004-0000-0000-0000FB0B0000}"/>
    <hyperlink ref="B3093" r:id="rId3069" xr:uid="{00000000-0004-0000-0000-0000FC0B0000}"/>
    <hyperlink ref="B3094" r:id="rId3070" xr:uid="{00000000-0004-0000-0000-0000FD0B0000}"/>
    <hyperlink ref="B3095" r:id="rId3071" xr:uid="{00000000-0004-0000-0000-0000FE0B0000}"/>
    <hyperlink ref="B3096" r:id="rId3072" xr:uid="{00000000-0004-0000-0000-0000FF0B0000}"/>
    <hyperlink ref="B3097" r:id="rId3073" xr:uid="{00000000-0004-0000-0000-0000000C0000}"/>
    <hyperlink ref="B3098" r:id="rId3074" xr:uid="{00000000-0004-0000-0000-0000010C0000}"/>
    <hyperlink ref="B3099" r:id="rId3075" xr:uid="{00000000-0004-0000-0000-0000020C0000}"/>
    <hyperlink ref="B3100" r:id="rId3076" xr:uid="{00000000-0004-0000-0000-0000030C0000}"/>
    <hyperlink ref="B3101" r:id="rId3077" xr:uid="{00000000-0004-0000-0000-0000040C0000}"/>
    <hyperlink ref="B3102" r:id="rId3078" xr:uid="{00000000-0004-0000-0000-0000050C0000}"/>
    <hyperlink ref="B3103" r:id="rId3079" xr:uid="{00000000-0004-0000-0000-0000060C0000}"/>
    <hyperlink ref="B3104" r:id="rId3080" xr:uid="{00000000-0004-0000-0000-0000070C0000}"/>
    <hyperlink ref="B3105" r:id="rId3081" xr:uid="{00000000-0004-0000-0000-0000080C0000}"/>
    <hyperlink ref="B3106" r:id="rId3082" xr:uid="{00000000-0004-0000-0000-0000090C0000}"/>
    <hyperlink ref="B3108" r:id="rId3083" xr:uid="{00000000-0004-0000-0000-00000A0C0000}"/>
    <hyperlink ref="A3109" r:id="rId3084" xr:uid="{00000000-0004-0000-0000-00000B0C0000}"/>
    <hyperlink ref="B3109" r:id="rId3085" xr:uid="{00000000-0004-0000-0000-00000C0C0000}"/>
    <hyperlink ref="B3110" r:id="rId3086" xr:uid="{00000000-0004-0000-0000-00000D0C0000}"/>
    <hyperlink ref="B3111" r:id="rId3087" xr:uid="{00000000-0004-0000-0000-00000E0C0000}"/>
    <hyperlink ref="B3112" r:id="rId3088" xr:uid="{00000000-0004-0000-0000-00000F0C0000}"/>
    <hyperlink ref="B3113" r:id="rId3089" xr:uid="{00000000-0004-0000-0000-0000100C0000}"/>
    <hyperlink ref="B3114" r:id="rId3090" xr:uid="{00000000-0004-0000-0000-0000110C0000}"/>
    <hyperlink ref="B3115" r:id="rId3091" xr:uid="{00000000-0004-0000-0000-0000120C0000}"/>
    <hyperlink ref="B3116" r:id="rId3092" xr:uid="{00000000-0004-0000-0000-0000130C0000}"/>
    <hyperlink ref="B3117" r:id="rId3093" xr:uid="{00000000-0004-0000-0000-0000140C0000}"/>
    <hyperlink ref="B3118" r:id="rId3094" xr:uid="{00000000-0004-0000-0000-0000150C0000}"/>
    <hyperlink ref="B3119" r:id="rId3095" xr:uid="{00000000-0004-0000-0000-0000160C0000}"/>
    <hyperlink ref="B3120" r:id="rId3096" xr:uid="{00000000-0004-0000-0000-0000170C0000}"/>
    <hyperlink ref="B3121" r:id="rId3097" xr:uid="{00000000-0004-0000-0000-0000180C0000}"/>
    <hyperlink ref="B3122" r:id="rId3098" xr:uid="{00000000-0004-0000-0000-0000190C0000}"/>
    <hyperlink ref="B3123" r:id="rId3099" xr:uid="{00000000-0004-0000-0000-00001A0C0000}"/>
    <hyperlink ref="B3124" r:id="rId3100" xr:uid="{00000000-0004-0000-0000-00001B0C0000}"/>
    <hyperlink ref="B3125" r:id="rId3101" xr:uid="{00000000-0004-0000-0000-00001C0C0000}"/>
    <hyperlink ref="B3126" r:id="rId3102" xr:uid="{00000000-0004-0000-0000-00001D0C0000}"/>
    <hyperlink ref="B3127" r:id="rId3103" xr:uid="{00000000-0004-0000-0000-00001E0C0000}"/>
    <hyperlink ref="B3128" r:id="rId3104" xr:uid="{00000000-0004-0000-0000-00001F0C0000}"/>
    <hyperlink ref="B3129" r:id="rId3105" xr:uid="{00000000-0004-0000-0000-0000200C0000}"/>
    <hyperlink ref="B3130" r:id="rId3106" xr:uid="{00000000-0004-0000-0000-0000210C0000}"/>
    <hyperlink ref="B3131" r:id="rId3107" xr:uid="{00000000-0004-0000-0000-0000220C0000}"/>
    <hyperlink ref="B3132" r:id="rId3108" xr:uid="{00000000-0004-0000-0000-0000230C0000}"/>
    <hyperlink ref="B3133" r:id="rId3109" xr:uid="{00000000-0004-0000-0000-0000240C0000}"/>
    <hyperlink ref="B3134" r:id="rId3110" xr:uid="{00000000-0004-0000-0000-0000250C0000}"/>
    <hyperlink ref="B3136" r:id="rId3111" xr:uid="{00000000-0004-0000-0000-0000260C0000}"/>
    <hyperlink ref="A3137" r:id="rId3112" xr:uid="{00000000-0004-0000-0000-0000270C0000}"/>
    <hyperlink ref="B3137" r:id="rId3113" xr:uid="{00000000-0004-0000-0000-0000280C0000}"/>
    <hyperlink ref="B3138" r:id="rId3114" xr:uid="{00000000-0004-0000-0000-0000290C0000}"/>
    <hyperlink ref="B3139" r:id="rId3115" xr:uid="{00000000-0004-0000-0000-00002A0C0000}"/>
    <hyperlink ref="B3140" r:id="rId3116" xr:uid="{00000000-0004-0000-0000-00002B0C0000}"/>
    <hyperlink ref="B3141" r:id="rId3117" xr:uid="{00000000-0004-0000-0000-00002C0C0000}"/>
    <hyperlink ref="B3142" r:id="rId3118" xr:uid="{00000000-0004-0000-0000-00002D0C0000}"/>
    <hyperlink ref="B3143" r:id="rId3119" xr:uid="{00000000-0004-0000-0000-00002E0C0000}"/>
    <hyperlink ref="B3144" r:id="rId3120" xr:uid="{00000000-0004-0000-0000-00002F0C0000}"/>
    <hyperlink ref="B3145" r:id="rId3121" xr:uid="{00000000-0004-0000-0000-0000300C0000}"/>
    <hyperlink ref="B3146" r:id="rId3122" xr:uid="{00000000-0004-0000-0000-0000310C0000}"/>
    <hyperlink ref="B3147" r:id="rId3123" xr:uid="{00000000-0004-0000-0000-0000320C0000}"/>
    <hyperlink ref="B3148" r:id="rId3124" xr:uid="{00000000-0004-0000-0000-0000330C0000}"/>
    <hyperlink ref="B3149" r:id="rId3125" xr:uid="{00000000-0004-0000-0000-0000340C0000}"/>
    <hyperlink ref="B3150" r:id="rId3126" xr:uid="{00000000-0004-0000-0000-0000350C0000}"/>
    <hyperlink ref="B3151" r:id="rId3127" xr:uid="{00000000-0004-0000-0000-0000360C0000}"/>
    <hyperlink ref="B3152" r:id="rId3128" xr:uid="{00000000-0004-0000-0000-0000370C0000}"/>
    <hyperlink ref="B3153" r:id="rId3129" xr:uid="{00000000-0004-0000-0000-0000380C0000}"/>
    <hyperlink ref="B3154" r:id="rId3130" xr:uid="{00000000-0004-0000-0000-0000390C0000}"/>
    <hyperlink ref="B3156" r:id="rId3131" xr:uid="{00000000-0004-0000-0000-00003A0C0000}"/>
    <hyperlink ref="A3157" r:id="rId3132" xr:uid="{00000000-0004-0000-0000-00003B0C0000}"/>
    <hyperlink ref="B3157" r:id="rId3133" xr:uid="{00000000-0004-0000-0000-00003C0C0000}"/>
    <hyperlink ref="B3158" r:id="rId3134" xr:uid="{00000000-0004-0000-0000-00003D0C0000}"/>
    <hyperlink ref="B3159" r:id="rId3135" xr:uid="{00000000-0004-0000-0000-00003E0C0000}"/>
    <hyperlink ref="B3160" r:id="rId3136" xr:uid="{00000000-0004-0000-0000-00003F0C0000}"/>
    <hyperlink ref="B3161" r:id="rId3137" xr:uid="{00000000-0004-0000-0000-0000400C0000}"/>
    <hyperlink ref="B3162" r:id="rId3138" xr:uid="{00000000-0004-0000-0000-0000410C0000}"/>
    <hyperlink ref="B3163" r:id="rId3139" xr:uid="{00000000-0004-0000-0000-0000420C0000}"/>
    <hyperlink ref="B3164" r:id="rId3140" xr:uid="{00000000-0004-0000-0000-0000430C0000}"/>
    <hyperlink ref="B3165" r:id="rId3141" xr:uid="{00000000-0004-0000-0000-0000440C0000}"/>
    <hyperlink ref="B3166" r:id="rId3142" xr:uid="{00000000-0004-0000-0000-0000450C0000}"/>
    <hyperlink ref="B3167" r:id="rId3143" xr:uid="{00000000-0004-0000-0000-0000460C0000}"/>
    <hyperlink ref="B3168" r:id="rId3144" xr:uid="{00000000-0004-0000-0000-0000470C0000}"/>
    <hyperlink ref="B3169" r:id="rId3145" xr:uid="{00000000-0004-0000-0000-0000480C0000}"/>
    <hyperlink ref="B3170" r:id="rId3146" xr:uid="{00000000-0004-0000-0000-0000490C0000}"/>
    <hyperlink ref="B3171" r:id="rId3147" xr:uid="{00000000-0004-0000-0000-00004A0C0000}"/>
    <hyperlink ref="B3172" r:id="rId3148" xr:uid="{00000000-0004-0000-0000-00004B0C0000}"/>
    <hyperlink ref="B3173" r:id="rId3149" xr:uid="{00000000-0004-0000-0000-00004C0C0000}"/>
    <hyperlink ref="B3174" r:id="rId3150" xr:uid="{00000000-0004-0000-0000-00004D0C0000}"/>
    <hyperlink ref="B3175" r:id="rId3151" xr:uid="{00000000-0004-0000-0000-00004E0C0000}"/>
    <hyperlink ref="B3176" r:id="rId3152" xr:uid="{00000000-0004-0000-0000-00004F0C0000}"/>
    <hyperlink ref="B3177" r:id="rId3153" xr:uid="{00000000-0004-0000-0000-0000500C0000}"/>
    <hyperlink ref="B3178" r:id="rId3154" xr:uid="{00000000-0004-0000-0000-0000510C0000}"/>
    <hyperlink ref="B3179" r:id="rId3155" xr:uid="{00000000-0004-0000-0000-0000520C0000}"/>
    <hyperlink ref="B3180" r:id="rId3156" xr:uid="{00000000-0004-0000-0000-0000530C0000}"/>
    <hyperlink ref="B3181" r:id="rId3157" xr:uid="{00000000-0004-0000-0000-0000540C0000}"/>
    <hyperlink ref="B3182" r:id="rId3158" xr:uid="{00000000-0004-0000-0000-0000550C0000}"/>
    <hyperlink ref="A3185" r:id="rId3159" xr:uid="{00000000-0004-0000-0000-0000560C0000}"/>
    <hyperlink ref="B3202" r:id="rId3160" xr:uid="{00000000-0004-0000-0000-0000570C0000}"/>
    <hyperlink ref="A3203" r:id="rId3161" xr:uid="{00000000-0004-0000-0000-0000580C0000}"/>
    <hyperlink ref="B3203" r:id="rId3162" xr:uid="{00000000-0004-0000-0000-0000590C0000}"/>
    <hyperlink ref="B3204" r:id="rId3163" xr:uid="{00000000-0004-0000-0000-00005A0C0000}"/>
    <hyperlink ref="B3205" r:id="rId3164" xr:uid="{00000000-0004-0000-0000-00005B0C0000}"/>
    <hyperlink ref="B3206" r:id="rId3165" xr:uid="{00000000-0004-0000-0000-00005C0C0000}"/>
    <hyperlink ref="B3207" r:id="rId3166" xr:uid="{00000000-0004-0000-0000-00005D0C0000}"/>
    <hyperlink ref="B3208" r:id="rId3167" xr:uid="{00000000-0004-0000-0000-00005E0C0000}"/>
    <hyperlink ref="B3209" r:id="rId3168" xr:uid="{00000000-0004-0000-0000-00005F0C0000}"/>
    <hyperlink ref="B3210" r:id="rId3169" xr:uid="{00000000-0004-0000-0000-0000600C0000}"/>
    <hyperlink ref="B3211" r:id="rId3170" xr:uid="{00000000-0004-0000-0000-0000610C0000}"/>
    <hyperlink ref="B3212" r:id="rId3171" xr:uid="{00000000-0004-0000-0000-0000620C0000}"/>
    <hyperlink ref="B3213" r:id="rId3172" xr:uid="{00000000-0004-0000-0000-0000630C0000}"/>
    <hyperlink ref="B3214" r:id="rId3173" xr:uid="{00000000-0004-0000-0000-0000640C0000}"/>
    <hyperlink ref="B3215" r:id="rId3174" xr:uid="{00000000-0004-0000-0000-0000650C0000}"/>
    <hyperlink ref="B3216" r:id="rId3175" xr:uid="{00000000-0004-0000-0000-0000660C0000}"/>
    <hyperlink ref="B3217" r:id="rId3176" xr:uid="{00000000-0004-0000-0000-0000670C0000}"/>
    <hyperlink ref="B3218" r:id="rId3177" xr:uid="{00000000-0004-0000-0000-0000680C0000}"/>
    <hyperlink ref="B3219" r:id="rId3178" xr:uid="{00000000-0004-0000-0000-0000690C0000}"/>
    <hyperlink ref="B3220" r:id="rId3179" xr:uid="{00000000-0004-0000-0000-00006A0C0000}"/>
    <hyperlink ref="B3221" r:id="rId3180" xr:uid="{00000000-0004-0000-0000-00006B0C0000}"/>
    <hyperlink ref="B3222" r:id="rId3181" xr:uid="{00000000-0004-0000-0000-00006C0C0000}"/>
    <hyperlink ref="B3223" r:id="rId3182" xr:uid="{00000000-0004-0000-0000-00006D0C0000}"/>
    <hyperlink ref="B3224" r:id="rId3183" xr:uid="{00000000-0004-0000-0000-00006E0C0000}"/>
    <hyperlink ref="B3225" r:id="rId3184" xr:uid="{00000000-0004-0000-0000-00006F0C0000}"/>
    <hyperlink ref="B3226" r:id="rId3185" xr:uid="{00000000-0004-0000-0000-0000700C0000}"/>
    <hyperlink ref="B3227" r:id="rId3186" xr:uid="{00000000-0004-0000-0000-0000710C0000}"/>
    <hyperlink ref="B3228" r:id="rId3187" xr:uid="{00000000-0004-0000-0000-0000720C0000}"/>
    <hyperlink ref="B3229" r:id="rId3188" xr:uid="{00000000-0004-0000-0000-0000730C0000}"/>
    <hyperlink ref="B3230" r:id="rId3189" xr:uid="{00000000-0004-0000-0000-0000740C0000}"/>
    <hyperlink ref="B3231" r:id="rId3190" xr:uid="{00000000-0004-0000-0000-0000750C0000}"/>
    <hyperlink ref="B3232" r:id="rId3191" xr:uid="{00000000-0004-0000-0000-0000760C0000}"/>
    <hyperlink ref="B3233" r:id="rId3192" xr:uid="{00000000-0004-0000-0000-0000770C0000}"/>
    <hyperlink ref="B3234" r:id="rId3193" xr:uid="{00000000-0004-0000-0000-0000780C0000}"/>
    <hyperlink ref="B3235" r:id="rId3194" xr:uid="{00000000-0004-0000-0000-0000790C0000}"/>
    <hyperlink ref="B3236" r:id="rId3195" xr:uid="{00000000-0004-0000-0000-00007A0C0000}"/>
    <hyperlink ref="B3237" r:id="rId3196" xr:uid="{00000000-0004-0000-0000-00007B0C0000}"/>
    <hyperlink ref="B3238" r:id="rId3197" xr:uid="{00000000-0004-0000-0000-00007C0C0000}"/>
    <hyperlink ref="B3239" r:id="rId3198" xr:uid="{00000000-0004-0000-0000-00007D0C0000}"/>
    <hyperlink ref="B3240" r:id="rId3199" xr:uid="{00000000-0004-0000-0000-00007E0C0000}"/>
    <hyperlink ref="B3241" r:id="rId3200" xr:uid="{00000000-0004-0000-0000-00007F0C0000}"/>
    <hyperlink ref="B3242" r:id="rId3201" xr:uid="{00000000-0004-0000-0000-0000800C0000}"/>
    <hyperlink ref="B3243" r:id="rId3202" xr:uid="{00000000-0004-0000-0000-0000810C0000}"/>
    <hyperlink ref="B3244" r:id="rId3203" xr:uid="{00000000-0004-0000-0000-0000820C0000}"/>
    <hyperlink ref="B3245" r:id="rId3204" xr:uid="{00000000-0004-0000-0000-0000830C0000}"/>
    <hyperlink ref="B3246" r:id="rId3205" xr:uid="{00000000-0004-0000-0000-0000840C0000}"/>
    <hyperlink ref="B3247" r:id="rId3206" xr:uid="{00000000-0004-0000-0000-0000850C0000}"/>
    <hyperlink ref="B3248" r:id="rId3207" xr:uid="{00000000-0004-0000-0000-0000860C0000}"/>
    <hyperlink ref="B3249" r:id="rId3208" xr:uid="{00000000-0004-0000-0000-0000870C0000}"/>
    <hyperlink ref="B3250" r:id="rId3209" xr:uid="{00000000-0004-0000-0000-0000880C0000}"/>
    <hyperlink ref="B3251" r:id="rId3210" xr:uid="{00000000-0004-0000-0000-0000890C0000}"/>
    <hyperlink ref="B3252" r:id="rId3211" xr:uid="{00000000-0004-0000-0000-00008A0C0000}"/>
    <hyperlink ref="B3253" r:id="rId3212" xr:uid="{00000000-0004-0000-0000-00008B0C0000}"/>
    <hyperlink ref="B3254" r:id="rId3213" xr:uid="{00000000-0004-0000-0000-00008C0C0000}"/>
    <hyperlink ref="B3255" r:id="rId3214" xr:uid="{00000000-0004-0000-0000-00008D0C0000}"/>
    <hyperlink ref="B3256" r:id="rId3215" xr:uid="{00000000-0004-0000-0000-00008E0C0000}"/>
    <hyperlink ref="B3257" r:id="rId3216" xr:uid="{00000000-0004-0000-0000-00008F0C0000}"/>
    <hyperlink ref="B3258" r:id="rId3217" xr:uid="{00000000-0004-0000-0000-0000900C0000}"/>
    <hyperlink ref="B3259" r:id="rId3218" xr:uid="{00000000-0004-0000-0000-0000910C0000}"/>
    <hyperlink ref="B3260" r:id="rId3219" xr:uid="{00000000-0004-0000-0000-0000920C0000}"/>
    <hyperlink ref="B3261" r:id="rId3220" xr:uid="{00000000-0004-0000-0000-0000930C0000}"/>
    <hyperlink ref="B3263" r:id="rId3221" xr:uid="{00000000-0004-0000-0000-0000940C0000}"/>
    <hyperlink ref="A3264" r:id="rId3222" xr:uid="{00000000-0004-0000-0000-0000950C0000}"/>
    <hyperlink ref="B3264" r:id="rId3223" xr:uid="{00000000-0004-0000-0000-0000960C0000}"/>
    <hyperlink ref="B3265" r:id="rId3224" xr:uid="{00000000-0004-0000-0000-0000970C0000}"/>
    <hyperlink ref="B3266" r:id="rId3225" xr:uid="{00000000-0004-0000-0000-0000980C0000}"/>
    <hyperlink ref="B3267" r:id="rId3226" xr:uid="{00000000-0004-0000-0000-0000990C0000}"/>
    <hyperlink ref="B3268" r:id="rId3227" xr:uid="{00000000-0004-0000-0000-00009A0C0000}"/>
    <hyperlink ref="B3269" r:id="rId3228" xr:uid="{00000000-0004-0000-0000-00009B0C0000}"/>
    <hyperlink ref="B3270" r:id="rId3229" xr:uid="{00000000-0004-0000-0000-00009C0C0000}"/>
    <hyperlink ref="B3271" r:id="rId3230" xr:uid="{00000000-0004-0000-0000-00009D0C0000}"/>
    <hyperlink ref="B3272" r:id="rId3231" xr:uid="{00000000-0004-0000-0000-00009E0C0000}"/>
    <hyperlink ref="B3273" r:id="rId3232" xr:uid="{00000000-0004-0000-0000-00009F0C0000}"/>
    <hyperlink ref="B3274" r:id="rId3233" xr:uid="{00000000-0004-0000-0000-0000A00C0000}"/>
    <hyperlink ref="B3275" r:id="rId3234" xr:uid="{00000000-0004-0000-0000-0000A10C0000}"/>
    <hyperlink ref="B3276" r:id="rId3235" xr:uid="{00000000-0004-0000-0000-0000A20C0000}"/>
    <hyperlink ref="B3277" r:id="rId3236" xr:uid="{00000000-0004-0000-0000-0000A30C0000}"/>
    <hyperlink ref="B3278" r:id="rId3237" xr:uid="{00000000-0004-0000-0000-0000A40C0000}"/>
    <hyperlink ref="B3279" r:id="rId3238" xr:uid="{00000000-0004-0000-0000-0000A50C0000}"/>
    <hyperlink ref="B3280" r:id="rId3239" xr:uid="{00000000-0004-0000-0000-0000A60C0000}"/>
    <hyperlink ref="B3281" r:id="rId3240" xr:uid="{00000000-0004-0000-0000-0000A70C0000}"/>
    <hyperlink ref="B3282" r:id="rId3241" xr:uid="{00000000-0004-0000-0000-0000A80C0000}"/>
    <hyperlink ref="B3283" r:id="rId3242" xr:uid="{00000000-0004-0000-0000-0000A90C0000}"/>
    <hyperlink ref="B3284" r:id="rId3243" xr:uid="{00000000-0004-0000-0000-0000AA0C0000}"/>
    <hyperlink ref="B3285" r:id="rId3244" xr:uid="{00000000-0004-0000-0000-0000AB0C0000}"/>
    <hyperlink ref="B3286" r:id="rId3245" xr:uid="{00000000-0004-0000-0000-0000AC0C0000}"/>
    <hyperlink ref="B3287" r:id="rId3246" xr:uid="{00000000-0004-0000-0000-0000AD0C0000}"/>
    <hyperlink ref="B3288" r:id="rId3247" xr:uid="{00000000-0004-0000-0000-0000AE0C0000}"/>
    <hyperlink ref="B3289" r:id="rId3248" xr:uid="{00000000-0004-0000-0000-0000AF0C0000}"/>
    <hyperlink ref="B3290" r:id="rId3249" xr:uid="{00000000-0004-0000-0000-0000B00C0000}"/>
    <hyperlink ref="B3291" r:id="rId3250" xr:uid="{00000000-0004-0000-0000-0000B10C0000}"/>
    <hyperlink ref="B3293" r:id="rId3251" xr:uid="{00000000-0004-0000-0000-0000B20C0000}"/>
    <hyperlink ref="B3296" r:id="rId3252" xr:uid="{00000000-0004-0000-0000-0000B30C0000}"/>
    <hyperlink ref="B3297" r:id="rId3253" xr:uid="{00000000-0004-0000-0000-0000B40C0000}"/>
    <hyperlink ref="B3298" r:id="rId3254" xr:uid="{00000000-0004-0000-0000-0000B50C0000}"/>
    <hyperlink ref="B3299" r:id="rId3255" xr:uid="{00000000-0004-0000-0000-0000B60C0000}"/>
    <hyperlink ref="B3300" r:id="rId3256" xr:uid="{00000000-0004-0000-0000-0000B70C0000}"/>
    <hyperlink ref="B3301" r:id="rId3257" xr:uid="{00000000-0004-0000-0000-0000B80C0000}"/>
    <hyperlink ref="B3302" r:id="rId3258" xr:uid="{00000000-0004-0000-0000-0000B90C0000}"/>
    <hyperlink ref="B3303" r:id="rId3259" xr:uid="{00000000-0004-0000-0000-0000BA0C0000}"/>
    <hyperlink ref="B3304" r:id="rId3260" xr:uid="{00000000-0004-0000-0000-0000BB0C0000}"/>
    <hyperlink ref="B3305" r:id="rId3261" xr:uid="{00000000-0004-0000-0000-0000BC0C0000}"/>
    <hyperlink ref="B3306" r:id="rId3262" xr:uid="{00000000-0004-0000-0000-0000BD0C0000}"/>
    <hyperlink ref="B3307" r:id="rId3263" xr:uid="{00000000-0004-0000-0000-0000BE0C0000}"/>
    <hyperlink ref="B3309" r:id="rId3264" xr:uid="{00000000-0004-0000-0000-0000BF0C0000}"/>
    <hyperlink ref="A3310" r:id="rId3265" xr:uid="{00000000-0004-0000-0000-0000C00C0000}"/>
    <hyperlink ref="B3310" r:id="rId3266" xr:uid="{00000000-0004-0000-0000-0000C10C0000}"/>
    <hyperlink ref="B3311" r:id="rId3267" xr:uid="{00000000-0004-0000-0000-0000C20C0000}"/>
    <hyperlink ref="B3312" r:id="rId3268" xr:uid="{00000000-0004-0000-0000-0000C30C0000}"/>
    <hyperlink ref="B3313" r:id="rId3269" xr:uid="{00000000-0004-0000-0000-0000C40C0000}"/>
    <hyperlink ref="B3314" r:id="rId3270" xr:uid="{00000000-0004-0000-0000-0000C50C0000}"/>
    <hyperlink ref="B3315" r:id="rId3271" xr:uid="{00000000-0004-0000-0000-0000C60C0000}"/>
    <hyperlink ref="B3316" r:id="rId3272" xr:uid="{00000000-0004-0000-0000-0000C70C0000}"/>
    <hyperlink ref="B3317" r:id="rId3273" xr:uid="{00000000-0004-0000-0000-0000C80C0000}"/>
    <hyperlink ref="B3318" r:id="rId3274" xr:uid="{00000000-0004-0000-0000-0000C90C0000}"/>
    <hyperlink ref="B3319" r:id="rId3275" xr:uid="{00000000-0004-0000-0000-0000CA0C0000}"/>
    <hyperlink ref="B3320" r:id="rId3276" xr:uid="{00000000-0004-0000-0000-0000CB0C0000}"/>
    <hyperlink ref="B3321" r:id="rId3277" xr:uid="{00000000-0004-0000-0000-0000CC0C0000}"/>
    <hyperlink ref="B3322" r:id="rId3278" xr:uid="{00000000-0004-0000-0000-0000CD0C0000}"/>
    <hyperlink ref="B3323" r:id="rId3279" xr:uid="{00000000-0004-0000-0000-0000CE0C0000}"/>
    <hyperlink ref="B3324" r:id="rId3280" xr:uid="{00000000-0004-0000-0000-0000CF0C0000}"/>
    <hyperlink ref="B3325" r:id="rId3281" xr:uid="{00000000-0004-0000-0000-0000D00C0000}"/>
    <hyperlink ref="B3326" r:id="rId3282" xr:uid="{00000000-0004-0000-0000-0000D10C0000}"/>
    <hyperlink ref="B3327" r:id="rId3283" xr:uid="{00000000-0004-0000-0000-0000D20C0000}"/>
    <hyperlink ref="B3328" r:id="rId3284" xr:uid="{00000000-0004-0000-0000-0000D30C0000}"/>
    <hyperlink ref="A3331" r:id="rId3285" xr:uid="{00000000-0004-0000-0000-0000D40C0000}"/>
    <hyperlink ref="A3349" r:id="rId3286" xr:uid="{00000000-0004-0000-0000-0000D50C0000}"/>
    <hyperlink ref="B3349" r:id="rId3287" xr:uid="{00000000-0004-0000-0000-0000D60C0000}"/>
    <hyperlink ref="B3351" r:id="rId3288" xr:uid="{00000000-0004-0000-0000-0000D70C0000}"/>
    <hyperlink ref="B3352" r:id="rId3289" xr:uid="{00000000-0004-0000-0000-0000D80C0000}"/>
    <hyperlink ref="B3354" r:id="rId3290" xr:uid="{00000000-0004-0000-0000-0000D90C0000}"/>
    <hyperlink ref="B3355" r:id="rId3291" xr:uid="{00000000-0004-0000-0000-0000DA0C0000}"/>
    <hyperlink ref="B3356" r:id="rId3292" xr:uid="{00000000-0004-0000-0000-0000DB0C0000}"/>
    <hyperlink ref="B3357" r:id="rId3293" xr:uid="{00000000-0004-0000-0000-0000DC0C0000}"/>
    <hyperlink ref="B3358" r:id="rId3294" xr:uid="{00000000-0004-0000-0000-0000DD0C0000}"/>
    <hyperlink ref="B3361" r:id="rId3295" xr:uid="{00000000-0004-0000-0000-0000DE0C0000}"/>
    <hyperlink ref="B3362" r:id="rId3296" xr:uid="{00000000-0004-0000-0000-0000DF0C0000}"/>
    <hyperlink ref="B3367" r:id="rId3297" xr:uid="{00000000-0004-0000-0000-0000E00C0000}"/>
    <hyperlink ref="A3368" r:id="rId3298" xr:uid="{00000000-0004-0000-0000-0000E10C0000}"/>
    <hyperlink ref="B3368" r:id="rId3299" xr:uid="{00000000-0004-0000-0000-0000E20C0000}"/>
    <hyperlink ref="B3369" r:id="rId3300" xr:uid="{00000000-0004-0000-0000-0000E30C0000}"/>
    <hyperlink ref="B3370" r:id="rId3301" xr:uid="{00000000-0004-0000-0000-0000E40C0000}"/>
    <hyperlink ref="B3371" r:id="rId3302" xr:uid="{00000000-0004-0000-0000-0000E50C0000}"/>
    <hyperlink ref="B3372" r:id="rId3303" xr:uid="{00000000-0004-0000-0000-0000E60C0000}"/>
    <hyperlink ref="B3373" r:id="rId3304" xr:uid="{00000000-0004-0000-0000-0000E70C0000}"/>
    <hyperlink ref="B3374" r:id="rId3305" xr:uid="{00000000-0004-0000-0000-0000E80C0000}"/>
    <hyperlink ref="B3375" r:id="rId3306" xr:uid="{00000000-0004-0000-0000-0000E90C0000}"/>
    <hyperlink ref="B3376" r:id="rId3307" xr:uid="{00000000-0004-0000-0000-0000EA0C0000}"/>
    <hyperlink ref="B3377" r:id="rId3308" xr:uid="{00000000-0004-0000-0000-0000EB0C0000}"/>
    <hyperlink ref="B3378" r:id="rId3309" xr:uid="{00000000-0004-0000-0000-0000EC0C0000}"/>
    <hyperlink ref="B3379" r:id="rId3310" xr:uid="{00000000-0004-0000-0000-0000ED0C0000}"/>
    <hyperlink ref="B3380" r:id="rId3311" xr:uid="{00000000-0004-0000-0000-0000EE0C0000}"/>
    <hyperlink ref="B3381" r:id="rId3312" xr:uid="{00000000-0004-0000-0000-0000EF0C0000}"/>
    <hyperlink ref="B3382" r:id="rId3313" xr:uid="{00000000-0004-0000-0000-0000F00C0000}"/>
    <hyperlink ref="B3383" r:id="rId3314" xr:uid="{00000000-0004-0000-0000-0000F10C0000}"/>
    <hyperlink ref="B3384" r:id="rId3315" xr:uid="{00000000-0004-0000-0000-0000F20C0000}"/>
    <hyperlink ref="B3385" r:id="rId3316" xr:uid="{00000000-0004-0000-0000-0000F30C0000}"/>
    <hyperlink ref="B3386" r:id="rId3317" xr:uid="{00000000-0004-0000-0000-0000F40C0000}"/>
    <hyperlink ref="B3387" r:id="rId3318" xr:uid="{00000000-0004-0000-0000-0000F50C0000}"/>
    <hyperlink ref="B3388" r:id="rId3319" xr:uid="{00000000-0004-0000-0000-0000F60C0000}"/>
    <hyperlink ref="B3389" r:id="rId3320" xr:uid="{00000000-0004-0000-0000-0000F70C0000}"/>
    <hyperlink ref="B3390" r:id="rId3321" xr:uid="{00000000-0004-0000-0000-0000F80C0000}"/>
    <hyperlink ref="B3391" r:id="rId3322" xr:uid="{00000000-0004-0000-0000-0000F90C0000}"/>
    <hyperlink ref="B3392" r:id="rId3323" xr:uid="{00000000-0004-0000-0000-0000FA0C0000}"/>
    <hyperlink ref="B3393" r:id="rId3324" xr:uid="{00000000-0004-0000-0000-0000FB0C0000}"/>
    <hyperlink ref="B3394" r:id="rId3325" xr:uid="{00000000-0004-0000-0000-0000FC0C0000}"/>
    <hyperlink ref="B3396" r:id="rId3326" xr:uid="{00000000-0004-0000-0000-0000FD0C0000}"/>
    <hyperlink ref="A3397" r:id="rId3327" xr:uid="{00000000-0004-0000-0000-0000FE0C0000}"/>
    <hyperlink ref="B3397" r:id="rId3328" xr:uid="{00000000-0004-0000-0000-0000FF0C0000}"/>
    <hyperlink ref="B3398" r:id="rId3329" xr:uid="{00000000-0004-0000-0000-0000000D0000}"/>
    <hyperlink ref="B3399" r:id="rId3330" xr:uid="{00000000-0004-0000-0000-0000010D0000}"/>
    <hyperlink ref="B3400" r:id="rId3331" xr:uid="{00000000-0004-0000-0000-0000020D0000}"/>
    <hyperlink ref="B3401" r:id="rId3332" xr:uid="{00000000-0004-0000-0000-0000030D0000}"/>
    <hyperlink ref="B3402" r:id="rId3333" xr:uid="{00000000-0004-0000-0000-0000040D0000}"/>
    <hyperlink ref="B3403" r:id="rId3334" xr:uid="{00000000-0004-0000-0000-0000050D0000}"/>
    <hyperlink ref="B3404" r:id="rId3335" xr:uid="{00000000-0004-0000-0000-0000060D0000}"/>
    <hyperlink ref="B3405" r:id="rId3336" xr:uid="{00000000-0004-0000-0000-0000070D0000}"/>
    <hyperlink ref="B3406" r:id="rId3337" xr:uid="{00000000-0004-0000-0000-0000080D0000}"/>
    <hyperlink ref="B3407" r:id="rId3338" xr:uid="{00000000-0004-0000-0000-0000090D0000}"/>
    <hyperlink ref="B3408" r:id="rId3339" xr:uid="{00000000-0004-0000-0000-00000A0D0000}"/>
    <hyperlink ref="B3409" r:id="rId3340" xr:uid="{00000000-0004-0000-0000-00000B0D0000}"/>
    <hyperlink ref="B3410" r:id="rId3341" xr:uid="{00000000-0004-0000-0000-00000C0D0000}"/>
    <hyperlink ref="B3411" r:id="rId3342" xr:uid="{00000000-0004-0000-0000-00000D0D0000}"/>
    <hyperlink ref="B3412" r:id="rId3343" xr:uid="{00000000-0004-0000-0000-00000E0D0000}"/>
    <hyperlink ref="B3413" r:id="rId3344" xr:uid="{00000000-0004-0000-0000-00000F0D0000}"/>
    <hyperlink ref="B3414" r:id="rId3345" xr:uid="{00000000-0004-0000-0000-0000100D0000}"/>
    <hyperlink ref="B3415" r:id="rId3346" xr:uid="{00000000-0004-0000-0000-0000110D0000}"/>
    <hyperlink ref="B3416" r:id="rId3347" xr:uid="{00000000-0004-0000-0000-0000120D0000}"/>
    <hyperlink ref="B3417" r:id="rId3348" xr:uid="{00000000-0004-0000-0000-0000130D0000}"/>
    <hyperlink ref="B3418" r:id="rId3349" xr:uid="{00000000-0004-0000-0000-0000140D0000}"/>
    <hyperlink ref="B3419" r:id="rId3350" xr:uid="{00000000-0004-0000-0000-0000150D0000}"/>
    <hyperlink ref="B3420" r:id="rId3351" xr:uid="{00000000-0004-0000-0000-0000160D0000}"/>
    <hyperlink ref="B3421" r:id="rId3352" xr:uid="{00000000-0004-0000-0000-0000170D0000}"/>
    <hyperlink ref="B3422" r:id="rId3353" xr:uid="{00000000-0004-0000-0000-0000180D0000}"/>
    <hyperlink ref="B3423" r:id="rId3354" xr:uid="{00000000-0004-0000-0000-0000190D0000}"/>
    <hyperlink ref="B3424" r:id="rId3355" xr:uid="{00000000-0004-0000-0000-00001A0D0000}"/>
    <hyperlink ref="A3427" r:id="rId3356" xr:uid="{00000000-0004-0000-0000-00001B0D0000}"/>
    <hyperlink ref="B3477" r:id="rId3357" xr:uid="{00000000-0004-0000-0000-00001C0D0000}"/>
    <hyperlink ref="A3478" r:id="rId3358" xr:uid="{00000000-0004-0000-0000-00001D0D0000}"/>
    <hyperlink ref="B3478" r:id="rId3359" xr:uid="{00000000-0004-0000-0000-00001E0D0000}"/>
    <hyperlink ref="B3479" r:id="rId3360" xr:uid="{00000000-0004-0000-0000-00001F0D0000}"/>
    <hyperlink ref="B3480" r:id="rId3361" xr:uid="{00000000-0004-0000-0000-0000200D0000}"/>
    <hyperlink ref="B3481" r:id="rId3362" xr:uid="{00000000-0004-0000-0000-0000210D0000}"/>
    <hyperlink ref="B3482" r:id="rId3363" xr:uid="{00000000-0004-0000-0000-0000220D0000}"/>
    <hyperlink ref="B3483" r:id="rId3364" xr:uid="{00000000-0004-0000-0000-0000230D0000}"/>
    <hyperlink ref="B3484" r:id="rId3365" xr:uid="{00000000-0004-0000-0000-0000240D0000}"/>
    <hyperlink ref="B3485" r:id="rId3366" xr:uid="{00000000-0004-0000-0000-0000250D0000}"/>
    <hyperlink ref="B3486" r:id="rId3367" xr:uid="{00000000-0004-0000-0000-0000260D0000}"/>
    <hyperlink ref="B3487" r:id="rId3368" xr:uid="{00000000-0004-0000-0000-0000270D0000}"/>
    <hyperlink ref="B3488" r:id="rId3369" xr:uid="{00000000-0004-0000-0000-0000280D0000}"/>
    <hyperlink ref="B3489" r:id="rId3370" xr:uid="{00000000-0004-0000-0000-0000290D0000}"/>
    <hyperlink ref="B3490" r:id="rId3371" xr:uid="{00000000-0004-0000-0000-00002A0D0000}"/>
    <hyperlink ref="B3491" r:id="rId3372" xr:uid="{00000000-0004-0000-0000-00002B0D0000}"/>
    <hyperlink ref="B3492" r:id="rId3373" xr:uid="{00000000-0004-0000-0000-00002C0D0000}"/>
    <hyperlink ref="B3493" r:id="rId3374" xr:uid="{00000000-0004-0000-0000-00002D0D0000}"/>
    <hyperlink ref="B3494" r:id="rId3375" xr:uid="{00000000-0004-0000-0000-00002E0D0000}"/>
    <hyperlink ref="B3495" r:id="rId3376" xr:uid="{00000000-0004-0000-0000-00002F0D0000}"/>
    <hyperlink ref="B3496" r:id="rId3377" xr:uid="{00000000-0004-0000-0000-0000300D0000}"/>
    <hyperlink ref="B3497" r:id="rId3378" xr:uid="{00000000-0004-0000-0000-0000310D0000}"/>
    <hyperlink ref="B3498" r:id="rId3379" xr:uid="{00000000-0004-0000-0000-0000320D0000}"/>
    <hyperlink ref="B3499" r:id="rId3380" xr:uid="{00000000-0004-0000-0000-0000330D0000}"/>
    <hyperlink ref="B3500" r:id="rId3381" xr:uid="{00000000-0004-0000-0000-0000340D0000}"/>
    <hyperlink ref="B3501" r:id="rId3382" xr:uid="{00000000-0004-0000-0000-0000350D0000}"/>
    <hyperlink ref="B3502" r:id="rId3383" xr:uid="{00000000-0004-0000-0000-0000360D0000}"/>
    <hyperlink ref="B3503" r:id="rId3384" xr:uid="{00000000-0004-0000-0000-0000370D0000}"/>
    <hyperlink ref="B3504" r:id="rId3385" xr:uid="{00000000-0004-0000-0000-0000380D0000}"/>
    <hyperlink ref="B3505" r:id="rId3386" xr:uid="{00000000-0004-0000-0000-0000390D0000}"/>
    <hyperlink ref="B3506" r:id="rId3387" xr:uid="{00000000-0004-0000-0000-00003A0D0000}"/>
    <hyperlink ref="B3507" r:id="rId3388" xr:uid="{00000000-0004-0000-0000-00003B0D0000}"/>
    <hyperlink ref="B3508" r:id="rId3389" xr:uid="{00000000-0004-0000-0000-00003C0D0000}"/>
    <hyperlink ref="B3509" r:id="rId3390" xr:uid="{00000000-0004-0000-0000-00003D0D0000}"/>
    <hyperlink ref="B3510" r:id="rId3391" xr:uid="{00000000-0004-0000-0000-00003E0D0000}"/>
    <hyperlink ref="B3511" r:id="rId3392" xr:uid="{00000000-0004-0000-0000-00003F0D0000}"/>
    <hyperlink ref="B3512" r:id="rId3393" xr:uid="{00000000-0004-0000-0000-0000400D0000}"/>
    <hyperlink ref="B3513" r:id="rId3394" xr:uid="{00000000-0004-0000-0000-0000410D0000}"/>
    <hyperlink ref="B3514" r:id="rId3395" xr:uid="{00000000-0004-0000-0000-0000420D0000}"/>
    <hyperlink ref="B3515" r:id="rId3396" xr:uid="{00000000-0004-0000-0000-0000430D0000}"/>
    <hyperlink ref="B3516" r:id="rId3397" xr:uid="{00000000-0004-0000-0000-0000440D0000}"/>
    <hyperlink ref="A3519" r:id="rId3398" xr:uid="{00000000-0004-0000-0000-0000450D0000}"/>
    <hyperlink ref="B3519" r:id="rId3399" xr:uid="{00000000-0004-0000-0000-0000460D0000}"/>
    <hyperlink ref="A3520" r:id="rId3400" xr:uid="{00000000-0004-0000-0000-0000470D0000}"/>
    <hyperlink ref="B3520" r:id="rId3401" xr:uid="{00000000-0004-0000-0000-0000480D0000}"/>
    <hyperlink ref="B3521" r:id="rId3402" xr:uid="{00000000-0004-0000-0000-0000490D0000}"/>
    <hyperlink ref="B3522" r:id="rId3403" xr:uid="{00000000-0004-0000-0000-00004A0D0000}"/>
    <hyperlink ref="B3524" r:id="rId3404" xr:uid="{00000000-0004-0000-0000-00004B0D0000}"/>
    <hyperlink ref="B3525" r:id="rId3405" xr:uid="{00000000-0004-0000-0000-00004C0D0000}"/>
    <hyperlink ref="B3526" r:id="rId3406" xr:uid="{00000000-0004-0000-0000-00004D0D0000}"/>
    <hyperlink ref="B3527" r:id="rId3407" xr:uid="{00000000-0004-0000-0000-00004E0D0000}"/>
    <hyperlink ref="B3528" r:id="rId3408" xr:uid="{00000000-0004-0000-0000-00004F0D0000}"/>
    <hyperlink ref="B3529" r:id="rId3409" xr:uid="{00000000-0004-0000-0000-0000500D0000}"/>
    <hyperlink ref="B3530" r:id="rId3410" xr:uid="{00000000-0004-0000-0000-0000510D0000}"/>
    <hyperlink ref="B3531" r:id="rId3411" xr:uid="{00000000-0004-0000-0000-0000520D0000}"/>
    <hyperlink ref="B3532" r:id="rId3412" xr:uid="{00000000-0004-0000-0000-0000530D0000}"/>
    <hyperlink ref="B3533" r:id="rId3413" xr:uid="{00000000-0004-0000-0000-0000540D0000}"/>
    <hyperlink ref="B3534" r:id="rId3414" xr:uid="{00000000-0004-0000-0000-0000550D0000}"/>
    <hyperlink ref="B3535" r:id="rId3415" xr:uid="{00000000-0004-0000-0000-0000560D0000}"/>
    <hyperlink ref="B3536" r:id="rId3416" xr:uid="{00000000-0004-0000-0000-0000570D0000}"/>
    <hyperlink ref="B3537" r:id="rId3417" xr:uid="{00000000-0004-0000-0000-0000580D0000}"/>
    <hyperlink ref="B3538" r:id="rId3418" xr:uid="{00000000-0004-0000-0000-0000590D0000}"/>
    <hyperlink ref="B3539" r:id="rId3419" xr:uid="{00000000-0004-0000-0000-00005A0D0000}"/>
    <hyperlink ref="B3540" r:id="rId3420" xr:uid="{00000000-0004-0000-0000-00005B0D0000}"/>
    <hyperlink ref="B3541" r:id="rId3421" xr:uid="{00000000-0004-0000-0000-00005C0D0000}"/>
    <hyperlink ref="B3542" r:id="rId3422" xr:uid="{00000000-0004-0000-0000-00005D0D0000}"/>
    <hyperlink ref="B3543" r:id="rId3423" xr:uid="{00000000-0004-0000-0000-00005E0D0000}"/>
    <hyperlink ref="B3544" r:id="rId3424" xr:uid="{00000000-0004-0000-0000-00005F0D0000}"/>
    <hyperlink ref="B3545" r:id="rId3425" xr:uid="{00000000-0004-0000-0000-0000600D0000}"/>
    <hyperlink ref="B3546" r:id="rId3426" xr:uid="{00000000-0004-0000-0000-0000610D0000}"/>
    <hyperlink ref="B3547" r:id="rId3427" xr:uid="{00000000-0004-0000-0000-0000620D0000}"/>
    <hyperlink ref="B3548" r:id="rId3428" xr:uid="{00000000-0004-0000-0000-0000630D0000}"/>
    <hyperlink ref="B3549" r:id="rId3429" xr:uid="{00000000-0004-0000-0000-0000640D0000}"/>
    <hyperlink ref="B3550" r:id="rId3430" xr:uid="{00000000-0004-0000-0000-0000650D0000}"/>
    <hyperlink ref="B3551" r:id="rId3431" xr:uid="{00000000-0004-0000-0000-0000660D0000}"/>
    <hyperlink ref="B3552" r:id="rId3432" xr:uid="{00000000-0004-0000-0000-0000670D0000}"/>
    <hyperlink ref="B3553" r:id="rId3433" xr:uid="{00000000-0004-0000-0000-0000680D0000}"/>
    <hyperlink ref="A3555" r:id="rId3434" xr:uid="{00000000-0004-0000-0000-0000690D0000}"/>
    <hyperlink ref="B3555" r:id="rId3435" xr:uid="{00000000-0004-0000-0000-00006A0D0000}"/>
    <hyperlink ref="A3556" r:id="rId3436" xr:uid="{00000000-0004-0000-0000-00006B0D0000}"/>
    <hyperlink ref="B3556" r:id="rId3437" xr:uid="{00000000-0004-0000-0000-00006C0D0000}"/>
    <hyperlink ref="B3557" r:id="rId3438" xr:uid="{00000000-0004-0000-0000-00006D0D0000}"/>
    <hyperlink ref="B3558" r:id="rId3439" xr:uid="{00000000-0004-0000-0000-00006E0D0000}"/>
    <hyperlink ref="B3559" r:id="rId3440" xr:uid="{00000000-0004-0000-0000-00006F0D0000}"/>
    <hyperlink ref="B3560" r:id="rId3441" xr:uid="{00000000-0004-0000-0000-0000700D0000}"/>
    <hyperlink ref="B3561" r:id="rId3442" xr:uid="{00000000-0004-0000-0000-0000710D0000}"/>
    <hyperlink ref="B3562" r:id="rId3443" xr:uid="{00000000-0004-0000-0000-0000720D0000}"/>
    <hyperlink ref="B3563" r:id="rId3444" xr:uid="{00000000-0004-0000-0000-0000730D0000}"/>
    <hyperlink ref="B3564" r:id="rId3445" xr:uid="{00000000-0004-0000-0000-0000740D0000}"/>
    <hyperlink ref="B3565" r:id="rId3446" xr:uid="{00000000-0004-0000-0000-0000750D0000}"/>
    <hyperlink ref="B3566" r:id="rId3447" xr:uid="{00000000-0004-0000-0000-0000760D0000}"/>
    <hyperlink ref="B3567" r:id="rId3448" xr:uid="{00000000-0004-0000-0000-0000770D0000}"/>
    <hyperlink ref="B3568" r:id="rId3449" xr:uid="{00000000-0004-0000-0000-0000780D0000}"/>
    <hyperlink ref="B3569" r:id="rId3450" xr:uid="{00000000-0004-0000-0000-0000790D0000}"/>
    <hyperlink ref="B3570" r:id="rId3451" xr:uid="{00000000-0004-0000-0000-00007A0D0000}"/>
    <hyperlink ref="B3571" r:id="rId3452" xr:uid="{00000000-0004-0000-0000-00007B0D0000}"/>
    <hyperlink ref="B3572" r:id="rId3453" xr:uid="{00000000-0004-0000-0000-00007C0D0000}"/>
    <hyperlink ref="B3573" r:id="rId3454" xr:uid="{00000000-0004-0000-0000-00007D0D0000}"/>
    <hyperlink ref="B3574" r:id="rId3455" xr:uid="{00000000-0004-0000-0000-00007E0D0000}"/>
    <hyperlink ref="B3575" r:id="rId3456" xr:uid="{00000000-0004-0000-0000-00007F0D0000}"/>
    <hyperlink ref="B3576" r:id="rId3457" xr:uid="{00000000-0004-0000-0000-0000800D0000}"/>
    <hyperlink ref="E3576" r:id="rId3458" xr:uid="{00000000-0004-0000-0000-0000810D0000}"/>
    <hyperlink ref="B3577" r:id="rId3459" xr:uid="{00000000-0004-0000-0000-0000820D0000}"/>
    <hyperlink ref="B3578" r:id="rId3460" xr:uid="{00000000-0004-0000-0000-0000830D0000}"/>
    <hyperlink ref="B3579" r:id="rId3461" xr:uid="{00000000-0004-0000-0000-0000840D0000}"/>
    <hyperlink ref="B3580" r:id="rId3462" xr:uid="{00000000-0004-0000-0000-0000850D0000}"/>
    <hyperlink ref="B3581" r:id="rId3463" xr:uid="{00000000-0004-0000-0000-0000860D0000}"/>
    <hyperlink ref="B3582" r:id="rId3464" xr:uid="{00000000-0004-0000-0000-0000870D0000}"/>
    <hyperlink ref="B3583" r:id="rId3465" xr:uid="{00000000-0004-0000-0000-0000880D0000}"/>
    <hyperlink ref="B3584" r:id="rId3466" xr:uid="{00000000-0004-0000-0000-0000890D0000}"/>
    <hyperlink ref="B3585" r:id="rId3467" xr:uid="{00000000-0004-0000-0000-00008A0D0000}"/>
    <hyperlink ref="B3586" r:id="rId3468" xr:uid="{00000000-0004-0000-0000-00008B0D0000}"/>
    <hyperlink ref="A3588" r:id="rId3469" xr:uid="{00000000-0004-0000-0000-00008C0D0000}"/>
    <hyperlink ref="B3588" r:id="rId3470" xr:uid="{00000000-0004-0000-0000-00008D0D0000}"/>
    <hyperlink ref="A3589" r:id="rId3471" xr:uid="{00000000-0004-0000-0000-00008E0D0000}"/>
    <hyperlink ref="B3589" r:id="rId3472" xr:uid="{00000000-0004-0000-0000-00008F0D0000}"/>
    <hyperlink ref="B3590" r:id="rId3473" xr:uid="{00000000-0004-0000-0000-0000900D0000}"/>
    <hyperlink ref="B3591" r:id="rId3474" xr:uid="{00000000-0004-0000-0000-0000910D0000}"/>
    <hyperlink ref="B3592" r:id="rId3475" xr:uid="{00000000-0004-0000-0000-0000920D0000}"/>
    <hyperlink ref="B3593" r:id="rId3476" xr:uid="{00000000-0004-0000-0000-0000930D0000}"/>
    <hyperlink ref="B3594" r:id="rId3477" xr:uid="{00000000-0004-0000-0000-0000940D0000}"/>
    <hyperlink ref="B3595" r:id="rId3478" xr:uid="{00000000-0004-0000-0000-0000950D0000}"/>
    <hyperlink ref="B3596" r:id="rId3479" xr:uid="{00000000-0004-0000-0000-0000960D0000}"/>
    <hyperlink ref="B3597" r:id="rId3480" xr:uid="{00000000-0004-0000-0000-0000970D0000}"/>
    <hyperlink ref="B3598" r:id="rId3481" xr:uid="{00000000-0004-0000-0000-0000980D0000}"/>
    <hyperlink ref="B3599" r:id="rId3482" xr:uid="{00000000-0004-0000-0000-0000990D0000}"/>
    <hyperlink ref="B3600" r:id="rId3483" xr:uid="{00000000-0004-0000-0000-00009A0D0000}"/>
    <hyperlink ref="B3601" r:id="rId3484" xr:uid="{00000000-0004-0000-0000-00009B0D0000}"/>
    <hyperlink ref="B3602" r:id="rId3485" xr:uid="{00000000-0004-0000-0000-00009C0D0000}"/>
    <hyperlink ref="B3603" r:id="rId3486" xr:uid="{00000000-0004-0000-0000-00009D0D0000}"/>
    <hyperlink ref="B3604" r:id="rId3487" xr:uid="{00000000-0004-0000-0000-00009E0D0000}"/>
    <hyperlink ref="B3605" r:id="rId3488" xr:uid="{00000000-0004-0000-0000-00009F0D0000}"/>
    <hyperlink ref="B3606" r:id="rId3489" xr:uid="{00000000-0004-0000-0000-0000A00D0000}"/>
    <hyperlink ref="B3607" r:id="rId3490" xr:uid="{00000000-0004-0000-0000-0000A10D0000}"/>
    <hyperlink ref="B3608" r:id="rId3491" xr:uid="{00000000-0004-0000-0000-0000A20D0000}"/>
    <hyperlink ref="B3609" r:id="rId3492" xr:uid="{00000000-0004-0000-0000-0000A30D0000}"/>
    <hyperlink ref="B3610" r:id="rId3493" xr:uid="{00000000-0004-0000-0000-0000A40D0000}"/>
    <hyperlink ref="B3611" r:id="rId3494" xr:uid="{00000000-0004-0000-0000-0000A50D0000}"/>
    <hyperlink ref="B3612" r:id="rId3495" xr:uid="{00000000-0004-0000-0000-0000A60D0000}"/>
    <hyperlink ref="B3613" r:id="rId3496" xr:uid="{00000000-0004-0000-0000-0000A70D0000}"/>
    <hyperlink ref="B3614" r:id="rId3497" xr:uid="{00000000-0004-0000-0000-0000A80D0000}"/>
    <hyperlink ref="B3615" r:id="rId3498" xr:uid="{00000000-0004-0000-0000-0000A90D0000}"/>
    <hyperlink ref="B3616" r:id="rId3499" xr:uid="{00000000-0004-0000-0000-0000AA0D0000}"/>
    <hyperlink ref="B3618" r:id="rId3500" xr:uid="{00000000-0004-0000-0000-0000AB0D0000}"/>
    <hyperlink ref="B3619" r:id="rId3501" xr:uid="{00000000-0004-0000-0000-0000AC0D0000}"/>
    <hyperlink ref="B3620" r:id="rId3502" xr:uid="{00000000-0004-0000-0000-0000AD0D0000}"/>
    <hyperlink ref="B3621" r:id="rId3503" xr:uid="{00000000-0004-0000-0000-0000AE0D0000}"/>
    <hyperlink ref="B3622" r:id="rId3504" xr:uid="{00000000-0004-0000-0000-0000AF0D0000}"/>
    <hyperlink ref="B3623" r:id="rId3505" xr:uid="{00000000-0004-0000-0000-0000B00D0000}"/>
    <hyperlink ref="B3624" r:id="rId3506" xr:uid="{00000000-0004-0000-0000-0000B10D0000}"/>
    <hyperlink ref="B3625" r:id="rId3507" xr:uid="{00000000-0004-0000-0000-0000B20D0000}"/>
    <hyperlink ref="B3626" r:id="rId3508" xr:uid="{00000000-0004-0000-0000-0000B30D0000}"/>
    <hyperlink ref="B3627" r:id="rId3509" xr:uid="{00000000-0004-0000-0000-0000B40D0000}"/>
    <hyperlink ref="B3628" r:id="rId3510" xr:uid="{00000000-0004-0000-0000-0000B50D0000}"/>
    <hyperlink ref="B3629" r:id="rId3511" xr:uid="{00000000-0004-0000-0000-0000B60D0000}"/>
    <hyperlink ref="B3630" r:id="rId3512" xr:uid="{00000000-0004-0000-0000-0000B70D0000}"/>
    <hyperlink ref="B3631" r:id="rId3513" xr:uid="{00000000-0004-0000-0000-0000B80D0000}"/>
    <hyperlink ref="B3632" r:id="rId3514" xr:uid="{00000000-0004-0000-0000-0000B90D0000}"/>
    <hyperlink ref="B3633" r:id="rId3515" xr:uid="{00000000-0004-0000-0000-0000BA0D0000}"/>
    <hyperlink ref="B3634" r:id="rId3516" xr:uid="{00000000-0004-0000-0000-0000BB0D0000}"/>
    <hyperlink ref="B3635" r:id="rId3517" xr:uid="{00000000-0004-0000-0000-0000BC0D0000}"/>
    <hyperlink ref="B3636" r:id="rId3518" xr:uid="{00000000-0004-0000-0000-0000BD0D0000}"/>
    <hyperlink ref="B3637" r:id="rId3519" xr:uid="{00000000-0004-0000-0000-0000BE0D0000}"/>
    <hyperlink ref="B3638" r:id="rId3520" xr:uid="{00000000-0004-0000-0000-0000BF0D0000}"/>
    <hyperlink ref="B3639" r:id="rId3521" xr:uid="{00000000-0004-0000-0000-0000C00D0000}"/>
    <hyperlink ref="B3640" r:id="rId3522" xr:uid="{00000000-0004-0000-0000-0000C10D0000}"/>
    <hyperlink ref="B3641" r:id="rId3523" xr:uid="{00000000-0004-0000-0000-0000C20D0000}"/>
    <hyperlink ref="B3642" r:id="rId3524" xr:uid="{00000000-0004-0000-0000-0000C30D0000}"/>
    <hyperlink ref="B3643" r:id="rId3525" xr:uid="{00000000-0004-0000-0000-0000C40D0000}"/>
    <hyperlink ref="B3644" r:id="rId3526" xr:uid="{00000000-0004-0000-0000-0000C50D0000}"/>
    <hyperlink ref="B3645" r:id="rId3527" xr:uid="{00000000-0004-0000-0000-0000C60D0000}"/>
    <hyperlink ref="B3646" r:id="rId3528" xr:uid="{00000000-0004-0000-0000-0000C70D0000}"/>
    <hyperlink ref="B3647" r:id="rId3529" xr:uid="{00000000-0004-0000-0000-0000C80D0000}"/>
    <hyperlink ref="B3648" r:id="rId3530" xr:uid="{00000000-0004-0000-0000-0000C90D0000}"/>
    <hyperlink ref="B3649" r:id="rId3531" xr:uid="{00000000-0004-0000-0000-0000CA0D0000}"/>
    <hyperlink ref="B3650" r:id="rId3532" xr:uid="{00000000-0004-0000-0000-0000CB0D0000}"/>
    <hyperlink ref="B3651" r:id="rId3533" xr:uid="{00000000-0004-0000-0000-0000CC0D0000}"/>
    <hyperlink ref="B3652" r:id="rId3534" xr:uid="{00000000-0004-0000-0000-0000CD0D0000}"/>
    <hyperlink ref="B3653" r:id="rId3535" xr:uid="{00000000-0004-0000-0000-0000CE0D0000}"/>
    <hyperlink ref="B3654" r:id="rId3536" xr:uid="{00000000-0004-0000-0000-0000CF0D0000}"/>
    <hyperlink ref="B3655" r:id="rId3537" xr:uid="{00000000-0004-0000-0000-0000D00D0000}"/>
    <hyperlink ref="B3656" r:id="rId3538" xr:uid="{00000000-0004-0000-0000-0000D10D0000}"/>
    <hyperlink ref="B3657" r:id="rId3539" xr:uid="{00000000-0004-0000-0000-0000D20D0000}"/>
    <hyperlink ref="B3658" r:id="rId3540" xr:uid="{00000000-0004-0000-0000-0000D30D0000}"/>
    <hyperlink ref="B3659" r:id="rId3541" xr:uid="{00000000-0004-0000-0000-0000D40D0000}"/>
    <hyperlink ref="B3661" r:id="rId3542" xr:uid="{00000000-0004-0000-0000-0000D50D0000}"/>
    <hyperlink ref="A3662" r:id="rId3543" xr:uid="{00000000-0004-0000-0000-0000D60D0000}"/>
    <hyperlink ref="B3662" r:id="rId3544" xr:uid="{00000000-0004-0000-0000-0000D70D0000}"/>
    <hyperlink ref="B3663" r:id="rId3545" xr:uid="{00000000-0004-0000-0000-0000D80D0000}"/>
    <hyperlink ref="B3664" r:id="rId3546" xr:uid="{00000000-0004-0000-0000-0000D90D0000}"/>
    <hyperlink ref="B3665" r:id="rId3547" xr:uid="{00000000-0004-0000-0000-0000DA0D0000}"/>
    <hyperlink ref="B3666" r:id="rId3548" xr:uid="{00000000-0004-0000-0000-0000DB0D0000}"/>
    <hyperlink ref="B3667" r:id="rId3549" xr:uid="{00000000-0004-0000-0000-0000DC0D0000}"/>
    <hyperlink ref="B3668" r:id="rId3550" xr:uid="{00000000-0004-0000-0000-0000DD0D0000}"/>
    <hyperlink ref="B3669" r:id="rId3551" xr:uid="{00000000-0004-0000-0000-0000DE0D0000}"/>
    <hyperlink ref="B3670" r:id="rId3552" xr:uid="{00000000-0004-0000-0000-0000DF0D0000}"/>
    <hyperlink ref="B3671" r:id="rId3553" xr:uid="{00000000-0004-0000-0000-0000E00D0000}"/>
    <hyperlink ref="B3672" r:id="rId3554" xr:uid="{00000000-0004-0000-0000-0000E10D0000}"/>
    <hyperlink ref="B3673" r:id="rId3555" xr:uid="{00000000-0004-0000-0000-0000E20D0000}"/>
    <hyperlink ref="B3674" r:id="rId3556" xr:uid="{00000000-0004-0000-0000-0000E30D0000}"/>
    <hyperlink ref="B3675" r:id="rId3557" xr:uid="{00000000-0004-0000-0000-0000E40D0000}"/>
    <hyperlink ref="B3676" r:id="rId3558" xr:uid="{00000000-0004-0000-0000-0000E50D0000}"/>
    <hyperlink ref="B3677" r:id="rId3559" xr:uid="{00000000-0004-0000-0000-0000E60D0000}"/>
    <hyperlink ref="B3678" r:id="rId3560" xr:uid="{00000000-0004-0000-0000-0000E70D0000}"/>
    <hyperlink ref="B3679" r:id="rId3561" xr:uid="{00000000-0004-0000-0000-0000E80D0000}"/>
    <hyperlink ref="B3680" r:id="rId3562" xr:uid="{00000000-0004-0000-0000-0000E90D0000}"/>
    <hyperlink ref="B3681" r:id="rId3563" xr:uid="{00000000-0004-0000-0000-0000EA0D0000}"/>
    <hyperlink ref="B3682" r:id="rId3564" xr:uid="{00000000-0004-0000-0000-0000EB0D0000}"/>
    <hyperlink ref="B3683" r:id="rId3565" xr:uid="{00000000-0004-0000-0000-0000EC0D0000}"/>
    <hyperlink ref="B3684" r:id="rId3566" xr:uid="{00000000-0004-0000-0000-0000ED0D0000}"/>
    <hyperlink ref="B3685" r:id="rId3567" xr:uid="{00000000-0004-0000-0000-0000EE0D0000}"/>
    <hyperlink ref="B3686" r:id="rId3568" xr:uid="{00000000-0004-0000-0000-0000EF0D0000}"/>
    <hyperlink ref="B3687" r:id="rId3569" xr:uid="{00000000-0004-0000-0000-0000F00D0000}"/>
    <hyperlink ref="B3688" r:id="rId3570" xr:uid="{00000000-0004-0000-0000-0000F10D0000}"/>
    <hyperlink ref="B3689" r:id="rId3571" xr:uid="{00000000-0004-0000-0000-0000F20D0000}"/>
    <hyperlink ref="B3690" r:id="rId3572" xr:uid="{00000000-0004-0000-0000-0000F30D0000}"/>
    <hyperlink ref="B3691" r:id="rId3573" xr:uid="{00000000-0004-0000-0000-0000F40D0000}"/>
    <hyperlink ref="B3693" r:id="rId3574" xr:uid="{00000000-0004-0000-0000-0000F50D0000}"/>
    <hyperlink ref="A3694" r:id="rId3575" xr:uid="{00000000-0004-0000-0000-0000F60D0000}"/>
    <hyperlink ref="B3694" r:id="rId3576" xr:uid="{00000000-0004-0000-0000-0000F70D0000}"/>
    <hyperlink ref="B3695" r:id="rId3577" xr:uid="{00000000-0004-0000-0000-0000F80D0000}"/>
    <hyperlink ref="B3696" r:id="rId3578" xr:uid="{00000000-0004-0000-0000-0000F90D0000}"/>
    <hyperlink ref="B3697" r:id="rId3579" xr:uid="{00000000-0004-0000-0000-0000FA0D0000}"/>
    <hyperlink ref="B3698" r:id="rId3580" xr:uid="{00000000-0004-0000-0000-0000FB0D0000}"/>
    <hyperlink ref="B3699" r:id="rId3581" xr:uid="{00000000-0004-0000-0000-0000FC0D0000}"/>
    <hyperlink ref="B3700" r:id="rId3582" xr:uid="{00000000-0004-0000-0000-0000FD0D0000}"/>
    <hyperlink ref="B3701" r:id="rId3583" xr:uid="{00000000-0004-0000-0000-0000FE0D0000}"/>
    <hyperlink ref="B3702" r:id="rId3584" xr:uid="{00000000-0004-0000-0000-0000FF0D0000}"/>
    <hyperlink ref="B3703" r:id="rId3585" xr:uid="{00000000-0004-0000-0000-0000000E0000}"/>
    <hyperlink ref="B3704" r:id="rId3586" xr:uid="{00000000-0004-0000-0000-0000010E0000}"/>
    <hyperlink ref="B3705" r:id="rId3587" xr:uid="{00000000-0004-0000-0000-0000020E0000}"/>
    <hyperlink ref="B3706" r:id="rId3588" xr:uid="{00000000-0004-0000-0000-0000030E0000}"/>
    <hyperlink ref="B3707" r:id="rId3589" xr:uid="{00000000-0004-0000-0000-0000040E0000}"/>
    <hyperlink ref="B3708" r:id="rId3590" xr:uid="{00000000-0004-0000-0000-0000050E0000}"/>
    <hyperlink ref="B3709" r:id="rId3591" xr:uid="{00000000-0004-0000-0000-0000060E0000}"/>
    <hyperlink ref="B3710" r:id="rId3592" xr:uid="{00000000-0004-0000-0000-0000070E0000}"/>
    <hyperlink ref="B3711" r:id="rId3593" xr:uid="{00000000-0004-0000-0000-0000080E0000}"/>
    <hyperlink ref="B3712" r:id="rId3594" xr:uid="{00000000-0004-0000-0000-0000090E0000}"/>
    <hyperlink ref="B3713" r:id="rId3595" xr:uid="{00000000-0004-0000-0000-00000A0E0000}"/>
    <hyperlink ref="B3714" r:id="rId3596" xr:uid="{00000000-0004-0000-0000-00000B0E0000}"/>
    <hyperlink ref="B3715" r:id="rId3597" xr:uid="{00000000-0004-0000-0000-00000C0E0000}"/>
    <hyperlink ref="B3716" r:id="rId3598" xr:uid="{00000000-0004-0000-0000-00000D0E0000}"/>
    <hyperlink ref="B3717" r:id="rId3599" xr:uid="{00000000-0004-0000-0000-00000E0E0000}"/>
    <hyperlink ref="B3718" r:id="rId3600" xr:uid="{00000000-0004-0000-0000-00000F0E0000}"/>
    <hyperlink ref="B3719" r:id="rId3601" xr:uid="{00000000-0004-0000-0000-0000100E0000}"/>
    <hyperlink ref="B3721" r:id="rId3602" xr:uid="{00000000-0004-0000-0000-0000110E0000}"/>
    <hyperlink ref="A3722" r:id="rId3603" xr:uid="{00000000-0004-0000-0000-0000120E0000}"/>
    <hyperlink ref="B3722" r:id="rId3604" xr:uid="{00000000-0004-0000-0000-0000130E0000}"/>
    <hyperlink ref="B3723" r:id="rId3605" xr:uid="{00000000-0004-0000-0000-0000140E0000}"/>
    <hyperlink ref="B3724" r:id="rId3606" xr:uid="{00000000-0004-0000-0000-0000150E0000}"/>
    <hyperlink ref="B3725" r:id="rId3607" xr:uid="{00000000-0004-0000-0000-0000160E0000}"/>
    <hyperlink ref="B3726" r:id="rId3608" xr:uid="{00000000-0004-0000-0000-0000170E0000}"/>
    <hyperlink ref="B3727" r:id="rId3609" xr:uid="{00000000-0004-0000-0000-0000180E0000}"/>
    <hyperlink ref="B3728" r:id="rId3610" xr:uid="{00000000-0004-0000-0000-0000190E0000}"/>
    <hyperlink ref="B3729" r:id="rId3611" xr:uid="{00000000-0004-0000-0000-00001A0E0000}"/>
    <hyperlink ref="B3730" r:id="rId3612" xr:uid="{00000000-0004-0000-0000-00001B0E0000}"/>
    <hyperlink ref="B3731" r:id="rId3613" xr:uid="{00000000-0004-0000-0000-00001C0E0000}"/>
    <hyperlink ref="B3732" r:id="rId3614" xr:uid="{00000000-0004-0000-0000-00001D0E0000}"/>
    <hyperlink ref="B3733" r:id="rId3615" xr:uid="{00000000-0004-0000-0000-00001E0E0000}"/>
    <hyperlink ref="B3734" r:id="rId3616" xr:uid="{00000000-0004-0000-0000-00001F0E0000}"/>
    <hyperlink ref="B3735" r:id="rId3617" xr:uid="{00000000-0004-0000-0000-0000200E0000}"/>
    <hyperlink ref="B3736" r:id="rId3618" xr:uid="{00000000-0004-0000-0000-0000210E0000}"/>
    <hyperlink ref="B3737" r:id="rId3619" xr:uid="{00000000-0004-0000-0000-0000220E0000}"/>
    <hyperlink ref="B3738" r:id="rId3620" xr:uid="{00000000-0004-0000-0000-0000230E0000}"/>
    <hyperlink ref="B3739" r:id="rId3621" xr:uid="{00000000-0004-0000-0000-0000240E0000}"/>
    <hyperlink ref="B3740" r:id="rId3622" xr:uid="{00000000-0004-0000-0000-0000250E0000}"/>
    <hyperlink ref="B3741" r:id="rId3623" xr:uid="{00000000-0004-0000-0000-0000260E0000}"/>
    <hyperlink ref="B3742" r:id="rId3624" xr:uid="{00000000-0004-0000-0000-0000270E0000}"/>
    <hyperlink ref="B3743" r:id="rId3625" xr:uid="{00000000-0004-0000-0000-0000280E0000}"/>
    <hyperlink ref="B3744" r:id="rId3626" xr:uid="{00000000-0004-0000-0000-0000290E0000}"/>
    <hyperlink ref="B3745" r:id="rId3627" xr:uid="{00000000-0004-0000-0000-00002A0E0000}"/>
    <hyperlink ref="B3746" r:id="rId3628" xr:uid="{00000000-0004-0000-0000-00002B0E0000}"/>
    <hyperlink ref="B3747" r:id="rId3629" xr:uid="{00000000-0004-0000-0000-00002C0E0000}"/>
    <hyperlink ref="B3748" r:id="rId3630" xr:uid="{00000000-0004-0000-0000-00002D0E0000}"/>
    <hyperlink ref="B3749" r:id="rId3631" xr:uid="{00000000-0004-0000-0000-00002E0E0000}"/>
    <hyperlink ref="B3750" r:id="rId3632" xr:uid="{00000000-0004-0000-0000-00002F0E0000}"/>
    <hyperlink ref="B3751" r:id="rId3633" xr:uid="{00000000-0004-0000-0000-0000300E0000}"/>
    <hyperlink ref="B3752" r:id="rId3634" xr:uid="{00000000-0004-0000-0000-0000310E0000}"/>
    <hyperlink ref="B3753" r:id="rId3635" xr:uid="{00000000-0004-0000-0000-0000320E0000}"/>
    <hyperlink ref="B3754" r:id="rId3636" xr:uid="{00000000-0004-0000-0000-0000330E0000}"/>
    <hyperlink ref="B3755" r:id="rId3637" xr:uid="{00000000-0004-0000-0000-0000340E0000}"/>
    <hyperlink ref="B3756" r:id="rId3638" xr:uid="{00000000-0004-0000-0000-0000350E0000}"/>
    <hyperlink ref="B3757" r:id="rId3639" xr:uid="{00000000-0004-0000-0000-0000360E0000}"/>
    <hyperlink ref="B3759" r:id="rId3640" xr:uid="{00000000-0004-0000-0000-0000370E0000}"/>
    <hyperlink ref="A3760" r:id="rId3641" xr:uid="{00000000-0004-0000-0000-0000380E0000}"/>
    <hyperlink ref="B3760" r:id="rId3642" xr:uid="{00000000-0004-0000-0000-0000390E0000}"/>
    <hyperlink ref="B3761" r:id="rId3643" xr:uid="{00000000-0004-0000-0000-00003A0E0000}"/>
    <hyperlink ref="B3762" r:id="rId3644" xr:uid="{00000000-0004-0000-0000-00003B0E0000}"/>
    <hyperlink ref="B3763" r:id="rId3645" xr:uid="{00000000-0004-0000-0000-00003C0E0000}"/>
    <hyperlink ref="B3764" r:id="rId3646" xr:uid="{00000000-0004-0000-0000-00003D0E0000}"/>
    <hyperlink ref="B3765" r:id="rId3647" xr:uid="{00000000-0004-0000-0000-00003E0E0000}"/>
    <hyperlink ref="B3766" r:id="rId3648" xr:uid="{00000000-0004-0000-0000-00003F0E0000}"/>
    <hyperlink ref="B3767" r:id="rId3649" xr:uid="{00000000-0004-0000-0000-0000400E0000}"/>
    <hyperlink ref="B3768" r:id="rId3650" xr:uid="{00000000-0004-0000-0000-0000410E0000}"/>
    <hyperlink ref="B3769" r:id="rId3651" xr:uid="{00000000-0004-0000-0000-0000420E0000}"/>
    <hyperlink ref="B3770" r:id="rId3652" xr:uid="{00000000-0004-0000-0000-0000430E0000}"/>
    <hyperlink ref="B3771" r:id="rId3653" xr:uid="{00000000-0004-0000-0000-0000440E0000}"/>
    <hyperlink ref="B3772" r:id="rId3654" xr:uid="{00000000-0004-0000-0000-0000450E0000}"/>
    <hyperlink ref="B3773" r:id="rId3655" xr:uid="{00000000-0004-0000-0000-0000460E0000}"/>
    <hyperlink ref="B3774" r:id="rId3656" xr:uid="{00000000-0004-0000-0000-0000470E0000}"/>
    <hyperlink ref="B3775" r:id="rId3657" xr:uid="{00000000-0004-0000-0000-0000480E0000}"/>
    <hyperlink ref="B3776" r:id="rId3658" xr:uid="{00000000-0004-0000-0000-0000490E0000}"/>
    <hyperlink ref="B3777" r:id="rId3659" xr:uid="{00000000-0004-0000-0000-00004A0E0000}"/>
    <hyperlink ref="B3778" r:id="rId3660" xr:uid="{00000000-0004-0000-0000-00004B0E0000}"/>
    <hyperlink ref="B3779" r:id="rId3661" xr:uid="{00000000-0004-0000-0000-00004C0E0000}"/>
    <hyperlink ref="B3780" r:id="rId3662" xr:uid="{00000000-0004-0000-0000-00004D0E0000}"/>
    <hyperlink ref="B3781" r:id="rId3663" xr:uid="{00000000-0004-0000-0000-00004E0E0000}"/>
    <hyperlink ref="B3782" r:id="rId3664" xr:uid="{00000000-0004-0000-0000-00004F0E0000}"/>
    <hyperlink ref="B3783" r:id="rId3665" xr:uid="{00000000-0004-0000-0000-0000500E0000}"/>
    <hyperlink ref="B3784" r:id="rId3666" xr:uid="{00000000-0004-0000-0000-0000510E0000}"/>
    <hyperlink ref="B3786" r:id="rId3667" xr:uid="{00000000-0004-0000-0000-0000520E0000}"/>
    <hyperlink ref="A3787" r:id="rId3668" xr:uid="{00000000-0004-0000-0000-0000530E0000}"/>
    <hyperlink ref="B3787" r:id="rId3669" xr:uid="{00000000-0004-0000-0000-0000540E0000}"/>
    <hyperlink ref="B3788" r:id="rId3670" xr:uid="{00000000-0004-0000-0000-0000550E0000}"/>
    <hyperlink ref="B3789" r:id="rId3671" xr:uid="{00000000-0004-0000-0000-0000560E0000}"/>
    <hyperlink ref="B3790" r:id="rId3672" xr:uid="{00000000-0004-0000-0000-0000570E0000}"/>
    <hyperlink ref="B3791" r:id="rId3673" xr:uid="{00000000-0004-0000-0000-0000580E0000}"/>
    <hyperlink ref="B3792" r:id="rId3674" xr:uid="{00000000-0004-0000-0000-0000590E0000}"/>
    <hyperlink ref="B3793" r:id="rId3675" xr:uid="{00000000-0004-0000-0000-00005A0E0000}"/>
    <hyperlink ref="B3794" r:id="rId3676" xr:uid="{00000000-0004-0000-0000-00005B0E0000}"/>
    <hyperlink ref="B3795" r:id="rId3677" xr:uid="{00000000-0004-0000-0000-00005C0E0000}"/>
    <hyperlink ref="B3796" r:id="rId3678" xr:uid="{00000000-0004-0000-0000-00005D0E0000}"/>
    <hyperlink ref="B3797" r:id="rId3679" xr:uid="{00000000-0004-0000-0000-00005E0E0000}"/>
    <hyperlink ref="B3798" r:id="rId3680" xr:uid="{00000000-0004-0000-0000-00005F0E0000}"/>
    <hyperlink ref="B3799" r:id="rId3681" xr:uid="{00000000-0004-0000-0000-0000600E0000}"/>
    <hyperlink ref="B3800" r:id="rId3682" xr:uid="{00000000-0004-0000-0000-0000610E0000}"/>
    <hyperlink ref="B3801" r:id="rId3683" xr:uid="{00000000-0004-0000-0000-0000620E0000}"/>
    <hyperlink ref="B3802" r:id="rId3684" xr:uid="{00000000-0004-0000-0000-0000630E0000}"/>
    <hyperlink ref="B3803" r:id="rId3685" xr:uid="{00000000-0004-0000-0000-0000640E0000}"/>
    <hyperlink ref="B3804" r:id="rId3686" xr:uid="{00000000-0004-0000-0000-0000650E0000}"/>
    <hyperlink ref="B3805" r:id="rId3687" xr:uid="{00000000-0004-0000-0000-0000660E0000}"/>
    <hyperlink ref="B3806" r:id="rId3688" xr:uid="{00000000-0004-0000-0000-0000670E0000}"/>
    <hyperlink ref="B3807" r:id="rId3689" xr:uid="{00000000-0004-0000-0000-0000680E0000}"/>
    <hyperlink ref="B3808" r:id="rId3690" xr:uid="{00000000-0004-0000-0000-0000690E0000}"/>
    <hyperlink ref="B3809" r:id="rId3691" xr:uid="{00000000-0004-0000-0000-00006A0E0000}"/>
    <hyperlink ref="B3810" r:id="rId3692" xr:uid="{00000000-0004-0000-0000-00006B0E0000}"/>
    <hyperlink ref="B3811" r:id="rId3693" xr:uid="{00000000-0004-0000-0000-00006C0E0000}"/>
    <hyperlink ref="B3812" r:id="rId3694" xr:uid="{00000000-0004-0000-0000-00006D0E0000}"/>
    <hyperlink ref="B3813" r:id="rId3695" xr:uid="{00000000-0004-0000-0000-00006E0E0000}"/>
    <hyperlink ref="B3814" r:id="rId3696" xr:uid="{00000000-0004-0000-0000-00006F0E0000}"/>
    <hyperlink ref="B3815" r:id="rId3697" xr:uid="{00000000-0004-0000-0000-0000700E0000}"/>
    <hyperlink ref="B3816" r:id="rId3698" xr:uid="{00000000-0004-0000-0000-0000710E0000}"/>
    <hyperlink ref="B3817" r:id="rId3699" xr:uid="{00000000-0004-0000-0000-0000720E0000}"/>
    <hyperlink ref="B3818" r:id="rId3700" xr:uid="{00000000-0004-0000-0000-0000730E0000}"/>
    <hyperlink ref="B3819" r:id="rId3701" xr:uid="{00000000-0004-0000-0000-0000740E0000}"/>
    <hyperlink ref="B3820" r:id="rId3702" xr:uid="{00000000-0004-0000-0000-0000750E0000}"/>
    <hyperlink ref="B3822" r:id="rId3703" xr:uid="{00000000-0004-0000-0000-0000760E0000}"/>
    <hyperlink ref="A3823" r:id="rId3704" xr:uid="{00000000-0004-0000-0000-0000770E0000}"/>
    <hyperlink ref="B3823" r:id="rId3705" xr:uid="{00000000-0004-0000-0000-0000780E0000}"/>
    <hyperlink ref="B3824" r:id="rId3706" xr:uid="{00000000-0004-0000-0000-0000790E0000}"/>
    <hyperlink ref="B3825" r:id="rId3707" xr:uid="{00000000-0004-0000-0000-00007A0E0000}"/>
    <hyperlink ref="B3826" r:id="rId3708" xr:uid="{00000000-0004-0000-0000-00007B0E0000}"/>
    <hyperlink ref="B3827" r:id="rId3709" xr:uid="{00000000-0004-0000-0000-00007C0E0000}"/>
    <hyperlink ref="B3828" r:id="rId3710" xr:uid="{00000000-0004-0000-0000-00007D0E0000}"/>
    <hyperlink ref="B3829" r:id="rId3711" xr:uid="{00000000-0004-0000-0000-00007E0E0000}"/>
    <hyperlink ref="B3830" r:id="rId3712" xr:uid="{00000000-0004-0000-0000-00007F0E0000}"/>
    <hyperlink ref="B3831" r:id="rId3713" xr:uid="{00000000-0004-0000-0000-0000800E0000}"/>
    <hyperlink ref="B3832" r:id="rId3714" xr:uid="{00000000-0004-0000-0000-0000810E0000}"/>
    <hyperlink ref="B3833" r:id="rId3715" xr:uid="{00000000-0004-0000-0000-0000820E0000}"/>
    <hyperlink ref="B3834" r:id="rId3716" xr:uid="{00000000-0004-0000-0000-0000830E0000}"/>
    <hyperlink ref="B3835" r:id="rId3717" xr:uid="{00000000-0004-0000-0000-0000840E0000}"/>
    <hyperlink ref="B3836" r:id="rId3718" xr:uid="{00000000-0004-0000-0000-0000850E0000}"/>
    <hyperlink ref="B3837" r:id="rId3719" xr:uid="{00000000-0004-0000-0000-0000860E0000}"/>
    <hyperlink ref="B3838" r:id="rId3720" xr:uid="{00000000-0004-0000-0000-0000870E0000}"/>
    <hyperlink ref="B3839" r:id="rId3721" xr:uid="{00000000-0004-0000-0000-0000880E0000}"/>
    <hyperlink ref="B3840" r:id="rId3722" xr:uid="{00000000-0004-0000-0000-0000890E0000}"/>
    <hyperlink ref="B3841" r:id="rId3723" xr:uid="{00000000-0004-0000-0000-00008A0E0000}"/>
    <hyperlink ref="B3842" r:id="rId3724" xr:uid="{00000000-0004-0000-0000-00008B0E0000}"/>
    <hyperlink ref="B3843" r:id="rId3725" xr:uid="{00000000-0004-0000-0000-00008C0E0000}"/>
    <hyperlink ref="B3844" r:id="rId3726" xr:uid="{00000000-0004-0000-0000-00008D0E0000}"/>
    <hyperlink ref="B3845" r:id="rId3727" xr:uid="{00000000-0004-0000-0000-00008E0E0000}"/>
    <hyperlink ref="B3846" r:id="rId3728" xr:uid="{00000000-0004-0000-0000-00008F0E0000}"/>
    <hyperlink ref="B3847" r:id="rId3729" xr:uid="{00000000-0004-0000-0000-0000900E0000}"/>
    <hyperlink ref="B3848" r:id="rId3730" xr:uid="{00000000-0004-0000-0000-0000910E0000}"/>
    <hyperlink ref="B3849" r:id="rId3731" xr:uid="{00000000-0004-0000-0000-0000920E0000}"/>
    <hyperlink ref="B3850" r:id="rId3732" xr:uid="{00000000-0004-0000-0000-0000930E0000}"/>
    <hyperlink ref="B3851" r:id="rId3733" xr:uid="{00000000-0004-0000-0000-0000940E0000}"/>
    <hyperlink ref="B3852" r:id="rId3734" xr:uid="{00000000-0004-0000-0000-0000950E0000}"/>
    <hyperlink ref="B3853" r:id="rId3735" xr:uid="{00000000-0004-0000-0000-0000960E0000}"/>
    <hyperlink ref="A3856" r:id="rId3736" xr:uid="{00000000-0004-0000-0000-0000970E0000}"/>
    <hyperlink ref="A3873" r:id="rId3737" xr:uid="{00000000-0004-0000-0000-0000980E0000}"/>
    <hyperlink ref="B3873" r:id="rId3738" xr:uid="{00000000-0004-0000-0000-0000990E0000}"/>
    <hyperlink ref="A3874" r:id="rId3739" xr:uid="{00000000-0004-0000-0000-00009A0E0000}"/>
    <hyperlink ref="B3874" r:id="rId3740" xr:uid="{00000000-0004-0000-0000-00009B0E0000}"/>
    <hyperlink ref="B3875" r:id="rId3741" xr:uid="{00000000-0004-0000-0000-00009C0E0000}"/>
    <hyperlink ref="B3876" r:id="rId3742" xr:uid="{00000000-0004-0000-0000-00009D0E0000}"/>
    <hyperlink ref="B3877" r:id="rId3743" xr:uid="{00000000-0004-0000-0000-00009E0E0000}"/>
    <hyperlink ref="B3878" r:id="rId3744" xr:uid="{00000000-0004-0000-0000-00009F0E0000}"/>
    <hyperlink ref="B3879" r:id="rId3745" xr:uid="{00000000-0004-0000-0000-0000A00E0000}"/>
    <hyperlink ref="B3880" r:id="rId3746" xr:uid="{00000000-0004-0000-0000-0000A10E0000}"/>
    <hyperlink ref="B3881" r:id="rId3747" xr:uid="{00000000-0004-0000-0000-0000A20E0000}"/>
    <hyperlink ref="B3882" r:id="rId3748" xr:uid="{00000000-0004-0000-0000-0000A30E0000}"/>
    <hyperlink ref="B3883" r:id="rId3749" xr:uid="{00000000-0004-0000-0000-0000A40E0000}"/>
    <hyperlink ref="B3884" r:id="rId3750" xr:uid="{00000000-0004-0000-0000-0000A50E0000}"/>
    <hyperlink ref="B3885" r:id="rId3751" xr:uid="{00000000-0004-0000-0000-0000A60E0000}"/>
    <hyperlink ref="B3886" r:id="rId3752" xr:uid="{00000000-0004-0000-0000-0000A70E0000}"/>
    <hyperlink ref="B3887" r:id="rId3753" xr:uid="{00000000-0004-0000-0000-0000A80E0000}"/>
    <hyperlink ref="B3888" r:id="rId3754" xr:uid="{00000000-0004-0000-0000-0000A90E0000}"/>
    <hyperlink ref="B3889" r:id="rId3755" xr:uid="{00000000-0004-0000-0000-0000AA0E0000}"/>
    <hyperlink ref="B3890" r:id="rId3756" xr:uid="{00000000-0004-0000-0000-0000AB0E0000}"/>
    <hyperlink ref="B3891" r:id="rId3757" xr:uid="{00000000-0004-0000-0000-0000AC0E0000}"/>
    <hyperlink ref="B3892" r:id="rId3758" xr:uid="{00000000-0004-0000-0000-0000AD0E0000}"/>
    <hyperlink ref="B3893" r:id="rId3759" xr:uid="{00000000-0004-0000-0000-0000AE0E0000}"/>
    <hyperlink ref="B3894" r:id="rId3760" xr:uid="{00000000-0004-0000-0000-0000AF0E0000}"/>
    <hyperlink ref="B3895" r:id="rId3761" xr:uid="{00000000-0004-0000-0000-0000B00E0000}"/>
    <hyperlink ref="B3896" r:id="rId3762" xr:uid="{00000000-0004-0000-0000-0000B10E0000}"/>
    <hyperlink ref="B3897" r:id="rId3763" xr:uid="{00000000-0004-0000-0000-0000B20E0000}"/>
    <hyperlink ref="B3898" r:id="rId3764" xr:uid="{00000000-0004-0000-0000-0000B30E0000}"/>
    <hyperlink ref="B3899" r:id="rId3765" xr:uid="{00000000-0004-0000-0000-0000B40E0000}"/>
    <hyperlink ref="B3900" r:id="rId3766" xr:uid="{00000000-0004-0000-0000-0000B50E0000}"/>
    <hyperlink ref="B3901" r:id="rId3767" xr:uid="{00000000-0004-0000-0000-0000B60E0000}"/>
    <hyperlink ref="B3902" r:id="rId3768" xr:uid="{00000000-0004-0000-0000-0000B70E0000}"/>
    <hyperlink ref="B3903" r:id="rId3769" xr:uid="{00000000-0004-0000-0000-0000B80E0000}"/>
    <hyperlink ref="B3904" r:id="rId3770" xr:uid="{00000000-0004-0000-0000-0000B90E0000}"/>
    <hyperlink ref="B3905" r:id="rId3771" xr:uid="{00000000-0004-0000-0000-0000BA0E0000}"/>
    <hyperlink ref="B3906" r:id="rId3772" xr:uid="{00000000-0004-0000-0000-0000BB0E0000}"/>
    <hyperlink ref="B3907" r:id="rId3773" xr:uid="{00000000-0004-0000-0000-0000BC0E0000}"/>
    <hyperlink ref="B3908" r:id="rId3774" xr:uid="{00000000-0004-0000-0000-0000BD0E0000}"/>
    <hyperlink ref="B3909" r:id="rId3775" xr:uid="{00000000-0004-0000-0000-0000BE0E0000}"/>
    <hyperlink ref="B3910" r:id="rId3776" xr:uid="{00000000-0004-0000-0000-0000BF0E0000}"/>
    <hyperlink ref="B3911" r:id="rId3777" xr:uid="{00000000-0004-0000-0000-0000C00E0000}"/>
    <hyperlink ref="B3912" r:id="rId3778" xr:uid="{00000000-0004-0000-0000-0000C10E0000}"/>
    <hyperlink ref="B3913" r:id="rId3779" xr:uid="{00000000-0004-0000-0000-0000C20E0000}"/>
    <hyperlink ref="B3914" r:id="rId3780" xr:uid="{00000000-0004-0000-0000-0000C30E0000}"/>
    <hyperlink ref="B3915" r:id="rId3781" xr:uid="{00000000-0004-0000-0000-0000C40E0000}"/>
    <hyperlink ref="B3916" r:id="rId3782" xr:uid="{00000000-0004-0000-0000-0000C50E0000}"/>
    <hyperlink ref="B3917" r:id="rId3783" xr:uid="{00000000-0004-0000-0000-0000C60E0000}"/>
    <hyperlink ref="B3918" r:id="rId3784" xr:uid="{00000000-0004-0000-0000-0000C70E0000}"/>
    <hyperlink ref="B3919" r:id="rId3785" xr:uid="{00000000-0004-0000-0000-0000C80E0000}"/>
    <hyperlink ref="B3921" r:id="rId3786" xr:uid="{00000000-0004-0000-0000-0000C90E0000}"/>
    <hyperlink ref="A3922" r:id="rId3787" xr:uid="{00000000-0004-0000-0000-0000CA0E0000}"/>
    <hyperlink ref="B3922" r:id="rId3788" xr:uid="{00000000-0004-0000-0000-0000CB0E0000}"/>
    <hyperlink ref="B3923" r:id="rId3789" xr:uid="{00000000-0004-0000-0000-0000CC0E0000}"/>
    <hyperlink ref="B3925" r:id="rId3790" xr:uid="{00000000-0004-0000-0000-0000CD0E0000}"/>
    <hyperlink ref="B3926" r:id="rId3791" xr:uid="{00000000-0004-0000-0000-0000CE0E0000}"/>
    <hyperlink ref="B3927" r:id="rId3792" xr:uid="{00000000-0004-0000-0000-0000CF0E0000}"/>
    <hyperlink ref="B3928" r:id="rId3793" xr:uid="{00000000-0004-0000-0000-0000D00E0000}"/>
    <hyperlink ref="B3929" r:id="rId3794" xr:uid="{00000000-0004-0000-0000-0000D10E0000}"/>
    <hyperlink ref="B3930" r:id="rId3795" xr:uid="{00000000-0004-0000-0000-0000D20E0000}"/>
    <hyperlink ref="B3931" r:id="rId3796" xr:uid="{00000000-0004-0000-0000-0000D30E0000}"/>
    <hyperlink ref="B3932" r:id="rId3797" xr:uid="{00000000-0004-0000-0000-0000D40E0000}"/>
    <hyperlink ref="B3933" r:id="rId3798" xr:uid="{00000000-0004-0000-0000-0000D50E0000}"/>
    <hyperlink ref="B3934" r:id="rId3799" xr:uid="{00000000-0004-0000-0000-0000D60E0000}"/>
    <hyperlink ref="B3935" r:id="rId3800" xr:uid="{00000000-0004-0000-0000-0000D70E0000}"/>
    <hyperlink ref="B3936" r:id="rId3801" xr:uid="{00000000-0004-0000-0000-0000D80E0000}"/>
    <hyperlink ref="B3937" r:id="rId3802" xr:uid="{00000000-0004-0000-0000-0000D90E0000}"/>
    <hyperlink ref="B3938" r:id="rId3803" xr:uid="{00000000-0004-0000-0000-0000DA0E0000}"/>
    <hyperlink ref="B3940" r:id="rId3804" xr:uid="{00000000-0004-0000-0000-0000DB0E0000}"/>
    <hyperlink ref="B3941" r:id="rId3805" xr:uid="{00000000-0004-0000-0000-0000DC0E0000}"/>
    <hyperlink ref="B3942" r:id="rId3806" xr:uid="{00000000-0004-0000-0000-0000DD0E0000}"/>
    <hyperlink ref="B3944" r:id="rId3807" xr:uid="{00000000-0004-0000-0000-0000DE0E0000}"/>
    <hyperlink ref="B3946" r:id="rId3808" xr:uid="{00000000-0004-0000-0000-0000DF0E0000}"/>
    <hyperlink ref="A3947" r:id="rId3809" xr:uid="{00000000-0004-0000-0000-0000E00E0000}"/>
    <hyperlink ref="B3947" r:id="rId3810" xr:uid="{00000000-0004-0000-0000-0000E10E0000}"/>
    <hyperlink ref="B3948" r:id="rId3811" xr:uid="{00000000-0004-0000-0000-0000E20E0000}"/>
    <hyperlink ref="B3949" r:id="rId3812" xr:uid="{00000000-0004-0000-0000-0000E30E0000}"/>
    <hyperlink ref="B3950" r:id="rId3813" xr:uid="{00000000-0004-0000-0000-0000E40E0000}"/>
    <hyperlink ref="B3951" r:id="rId3814" xr:uid="{00000000-0004-0000-0000-0000E50E0000}"/>
    <hyperlink ref="B3952" r:id="rId3815" xr:uid="{00000000-0004-0000-0000-0000E60E0000}"/>
    <hyperlink ref="B3953" r:id="rId3816" xr:uid="{00000000-0004-0000-0000-0000E70E0000}"/>
    <hyperlink ref="B3954" r:id="rId3817" xr:uid="{00000000-0004-0000-0000-0000E80E0000}"/>
    <hyperlink ref="B3955" r:id="rId3818" xr:uid="{00000000-0004-0000-0000-0000E90E0000}"/>
    <hyperlink ref="B3956" r:id="rId3819" xr:uid="{00000000-0004-0000-0000-0000EA0E0000}"/>
    <hyperlink ref="B3957" r:id="rId3820" xr:uid="{00000000-0004-0000-0000-0000EB0E0000}"/>
    <hyperlink ref="B3958" r:id="rId3821" xr:uid="{00000000-0004-0000-0000-0000EC0E0000}"/>
    <hyperlink ref="B3959" r:id="rId3822" xr:uid="{00000000-0004-0000-0000-0000ED0E0000}"/>
    <hyperlink ref="B3960" r:id="rId3823" xr:uid="{00000000-0004-0000-0000-0000EE0E0000}"/>
    <hyperlink ref="B3961" r:id="rId3824" xr:uid="{00000000-0004-0000-0000-0000EF0E0000}"/>
    <hyperlink ref="B3962" r:id="rId3825" xr:uid="{00000000-0004-0000-0000-0000F00E0000}"/>
    <hyperlink ref="B3963" r:id="rId3826" xr:uid="{00000000-0004-0000-0000-0000F10E0000}"/>
    <hyperlink ref="B3964" r:id="rId3827" xr:uid="{00000000-0004-0000-0000-0000F20E0000}"/>
    <hyperlink ref="B3965" r:id="rId3828" xr:uid="{00000000-0004-0000-0000-0000F30E0000}"/>
    <hyperlink ref="B3966" r:id="rId3829" xr:uid="{00000000-0004-0000-0000-0000F40E0000}"/>
    <hyperlink ref="B3967" r:id="rId3830" xr:uid="{00000000-0004-0000-0000-0000F50E0000}"/>
    <hyperlink ref="B3968" r:id="rId3831" xr:uid="{00000000-0004-0000-0000-0000F60E0000}"/>
    <hyperlink ref="B3969" r:id="rId3832" xr:uid="{00000000-0004-0000-0000-0000F70E0000}"/>
    <hyperlink ref="B3970" r:id="rId3833" xr:uid="{00000000-0004-0000-0000-0000F80E0000}"/>
    <hyperlink ref="B3971" r:id="rId3834" xr:uid="{00000000-0004-0000-0000-0000F90E0000}"/>
    <hyperlink ref="B3972" r:id="rId3835" xr:uid="{00000000-0004-0000-0000-0000FA0E0000}"/>
    <hyperlink ref="B3973" r:id="rId3836" xr:uid="{00000000-0004-0000-0000-0000FB0E0000}"/>
    <hyperlink ref="B3974" r:id="rId3837" xr:uid="{00000000-0004-0000-0000-0000FC0E0000}"/>
    <hyperlink ref="B3975" r:id="rId3838" xr:uid="{00000000-0004-0000-0000-0000FD0E0000}"/>
    <hyperlink ref="B3976" r:id="rId3839" xr:uid="{00000000-0004-0000-0000-0000FE0E0000}"/>
    <hyperlink ref="B3977" r:id="rId3840" xr:uid="{00000000-0004-0000-0000-0000FF0E0000}"/>
    <hyperlink ref="B3978" r:id="rId3841" xr:uid="{00000000-0004-0000-0000-0000000F0000}"/>
    <hyperlink ref="B3979" r:id="rId3842" xr:uid="{00000000-0004-0000-0000-0000010F0000}"/>
    <hyperlink ref="B3980" r:id="rId3843" xr:uid="{00000000-0004-0000-0000-0000020F0000}"/>
    <hyperlink ref="B3981" r:id="rId3844" xr:uid="{00000000-0004-0000-0000-0000030F0000}"/>
    <hyperlink ref="B3982" r:id="rId3845" xr:uid="{00000000-0004-0000-0000-0000040F0000}"/>
    <hyperlink ref="B3983" r:id="rId3846" xr:uid="{00000000-0004-0000-0000-0000050F0000}"/>
    <hyperlink ref="B3984" r:id="rId3847" xr:uid="{00000000-0004-0000-0000-0000060F0000}"/>
    <hyperlink ref="B3985" r:id="rId3848" xr:uid="{00000000-0004-0000-0000-0000070F0000}"/>
    <hyperlink ref="B3986" r:id="rId3849" xr:uid="{00000000-0004-0000-0000-0000080F0000}"/>
    <hyperlink ref="B3987" r:id="rId3850" xr:uid="{00000000-0004-0000-0000-0000090F0000}"/>
    <hyperlink ref="B3988" r:id="rId3851" xr:uid="{00000000-0004-0000-0000-00000A0F0000}"/>
    <hyperlink ref="B3989" r:id="rId3852" xr:uid="{00000000-0004-0000-0000-00000B0F0000}"/>
    <hyperlink ref="B3990" r:id="rId3853" xr:uid="{00000000-0004-0000-0000-00000C0F0000}"/>
    <hyperlink ref="B3992" r:id="rId3854" xr:uid="{00000000-0004-0000-0000-00000D0F0000}"/>
    <hyperlink ref="A3993" r:id="rId3855" xr:uid="{00000000-0004-0000-0000-00000E0F0000}"/>
    <hyperlink ref="B3993" r:id="rId3856" xr:uid="{00000000-0004-0000-0000-00000F0F0000}"/>
    <hyperlink ref="B3994" r:id="rId3857" xr:uid="{00000000-0004-0000-0000-0000100F0000}"/>
    <hyperlink ref="B3995" r:id="rId3858" xr:uid="{00000000-0004-0000-0000-0000110F0000}"/>
    <hyperlink ref="B3996" r:id="rId3859" xr:uid="{00000000-0004-0000-0000-0000120F0000}"/>
    <hyperlink ref="B3997" r:id="rId3860" xr:uid="{00000000-0004-0000-0000-0000130F0000}"/>
    <hyperlink ref="B3998" r:id="rId3861" xr:uid="{00000000-0004-0000-0000-0000140F0000}"/>
    <hyperlink ref="B3999" r:id="rId3862" xr:uid="{00000000-0004-0000-0000-0000150F0000}"/>
    <hyperlink ref="B4000" r:id="rId3863" xr:uid="{00000000-0004-0000-0000-0000160F0000}"/>
    <hyperlink ref="B4001" r:id="rId3864" xr:uid="{00000000-0004-0000-0000-0000170F0000}"/>
    <hyperlink ref="B4002" r:id="rId3865" xr:uid="{00000000-0004-0000-0000-0000180F0000}"/>
    <hyperlink ref="B4003" r:id="rId3866" xr:uid="{00000000-0004-0000-0000-0000190F0000}"/>
    <hyperlink ref="B4004" r:id="rId3867" xr:uid="{00000000-0004-0000-0000-00001A0F0000}"/>
    <hyperlink ref="B4005" r:id="rId3868" xr:uid="{00000000-0004-0000-0000-00001B0F0000}"/>
    <hyperlink ref="B4006" r:id="rId3869" xr:uid="{00000000-0004-0000-0000-00001C0F0000}"/>
    <hyperlink ref="B4007" r:id="rId3870" xr:uid="{00000000-0004-0000-0000-00001D0F0000}"/>
    <hyperlink ref="B4008" r:id="rId3871" xr:uid="{00000000-0004-0000-0000-00001E0F0000}"/>
    <hyperlink ref="B4009" r:id="rId3872" xr:uid="{00000000-0004-0000-0000-00001F0F0000}"/>
    <hyperlink ref="B4010" r:id="rId3873" xr:uid="{00000000-0004-0000-0000-0000200F0000}"/>
    <hyperlink ref="B4011" r:id="rId3874" xr:uid="{00000000-0004-0000-0000-0000210F0000}"/>
    <hyperlink ref="B4012" r:id="rId3875" xr:uid="{00000000-0004-0000-0000-0000220F0000}"/>
    <hyperlink ref="B4013" r:id="rId3876" xr:uid="{00000000-0004-0000-0000-0000230F0000}"/>
    <hyperlink ref="B4014" r:id="rId3877" xr:uid="{00000000-0004-0000-0000-0000240F0000}"/>
    <hyperlink ref="B4015" r:id="rId3878" xr:uid="{00000000-0004-0000-0000-0000250F0000}"/>
    <hyperlink ref="B4016" r:id="rId3879" xr:uid="{00000000-0004-0000-0000-0000260F0000}"/>
    <hyperlink ref="B4017" r:id="rId3880" xr:uid="{00000000-0004-0000-0000-0000270F0000}"/>
    <hyperlink ref="B4018" r:id="rId3881" xr:uid="{00000000-0004-0000-0000-0000280F0000}"/>
    <hyperlink ref="B4019" r:id="rId3882" xr:uid="{00000000-0004-0000-0000-0000290F0000}"/>
    <hyperlink ref="B4020" r:id="rId3883" xr:uid="{00000000-0004-0000-0000-00002A0F0000}"/>
    <hyperlink ref="B4021" r:id="rId3884" xr:uid="{00000000-0004-0000-0000-00002B0F0000}"/>
    <hyperlink ref="B4022" r:id="rId3885" xr:uid="{00000000-0004-0000-0000-00002C0F0000}"/>
    <hyperlink ref="B4023" r:id="rId3886" xr:uid="{00000000-0004-0000-0000-00002D0F0000}"/>
    <hyperlink ref="B4024" r:id="rId3887" xr:uid="{00000000-0004-0000-0000-00002E0F0000}"/>
    <hyperlink ref="B4025" r:id="rId3888" xr:uid="{00000000-0004-0000-0000-00002F0F0000}"/>
    <hyperlink ref="B4027" r:id="rId3889" xr:uid="{00000000-0004-0000-0000-0000300F0000}"/>
    <hyperlink ref="A4028" r:id="rId3890" xr:uid="{00000000-0004-0000-0000-0000310F0000}"/>
    <hyperlink ref="B4028" r:id="rId3891" xr:uid="{00000000-0004-0000-0000-0000320F0000}"/>
    <hyperlink ref="B4029" r:id="rId3892" xr:uid="{00000000-0004-0000-0000-0000330F0000}"/>
    <hyperlink ref="B4030" r:id="rId3893" xr:uid="{00000000-0004-0000-0000-0000340F0000}"/>
    <hyperlink ref="B4033" r:id="rId3894" xr:uid="{00000000-0004-0000-0000-0000350F0000}"/>
    <hyperlink ref="B4034" r:id="rId3895" xr:uid="{00000000-0004-0000-0000-0000360F0000}"/>
    <hyperlink ref="B4036" r:id="rId3896" xr:uid="{00000000-0004-0000-0000-0000370F0000}"/>
    <hyperlink ref="B4037" r:id="rId3897" xr:uid="{00000000-0004-0000-0000-0000380F0000}"/>
    <hyperlink ref="B4038" r:id="rId3898" xr:uid="{00000000-0004-0000-0000-0000390F0000}"/>
    <hyperlink ref="B4039" r:id="rId3899" xr:uid="{00000000-0004-0000-0000-00003A0F0000}"/>
    <hyperlink ref="B4040" r:id="rId3900" xr:uid="{00000000-0004-0000-0000-00003B0F0000}"/>
    <hyperlink ref="B4041" r:id="rId3901" xr:uid="{00000000-0004-0000-0000-00003C0F0000}"/>
    <hyperlink ref="B4044" r:id="rId3902" xr:uid="{00000000-0004-0000-0000-00003D0F0000}"/>
    <hyperlink ref="B4045" r:id="rId3903" xr:uid="{00000000-0004-0000-0000-00003E0F0000}"/>
    <hyperlink ref="B4046" r:id="rId3904" xr:uid="{00000000-0004-0000-0000-00003F0F0000}"/>
    <hyperlink ref="B4047" r:id="rId3905" xr:uid="{00000000-0004-0000-0000-0000400F0000}"/>
    <hyperlink ref="B4049" r:id="rId3906" xr:uid="{00000000-0004-0000-0000-0000410F0000}"/>
    <hyperlink ref="B4050" r:id="rId3907" xr:uid="{00000000-0004-0000-0000-0000420F0000}"/>
    <hyperlink ref="B4051" r:id="rId3908" xr:uid="{00000000-0004-0000-0000-0000430F0000}"/>
    <hyperlink ref="B4052" r:id="rId3909" xr:uid="{00000000-0004-0000-0000-0000440F0000}"/>
    <hyperlink ref="B4053" r:id="rId3910" xr:uid="{00000000-0004-0000-0000-0000450F0000}"/>
    <hyperlink ref="B4054" r:id="rId3911" xr:uid="{00000000-0004-0000-0000-0000460F0000}"/>
    <hyperlink ref="B4055" r:id="rId3912" xr:uid="{00000000-0004-0000-0000-0000470F0000}"/>
    <hyperlink ref="B4056" r:id="rId3913" xr:uid="{00000000-0004-0000-0000-0000480F0000}"/>
    <hyperlink ref="B4058" r:id="rId3914" xr:uid="{00000000-0004-0000-0000-0000490F0000}"/>
    <hyperlink ref="B4061" r:id="rId3915" xr:uid="{00000000-0004-0000-0000-00004A0F0000}"/>
    <hyperlink ref="B4062" r:id="rId3916" xr:uid="{00000000-0004-0000-0000-00004B0F0000}"/>
    <hyperlink ref="B4064" r:id="rId3917" xr:uid="{00000000-0004-0000-0000-00004C0F0000}"/>
    <hyperlink ref="B4065" r:id="rId3918" xr:uid="{00000000-0004-0000-0000-00004D0F0000}"/>
    <hyperlink ref="B4066" r:id="rId3919" xr:uid="{00000000-0004-0000-0000-00004E0F0000}"/>
    <hyperlink ref="B4067" r:id="rId3920" xr:uid="{00000000-0004-0000-0000-00004F0F0000}"/>
    <hyperlink ref="B4068" r:id="rId3921" xr:uid="{00000000-0004-0000-0000-0000500F0000}"/>
    <hyperlink ref="B4069" r:id="rId3922" xr:uid="{00000000-0004-0000-0000-0000510F0000}"/>
    <hyperlink ref="B4070" r:id="rId3923" xr:uid="{00000000-0004-0000-0000-0000520F0000}"/>
    <hyperlink ref="B4072" r:id="rId3924" xr:uid="{00000000-0004-0000-0000-0000530F0000}"/>
    <hyperlink ref="A4073" r:id="rId3925" xr:uid="{00000000-0004-0000-0000-0000540F0000}"/>
    <hyperlink ref="B4073" r:id="rId3926" xr:uid="{00000000-0004-0000-0000-0000550F0000}"/>
    <hyperlink ref="B4074" r:id="rId3927" xr:uid="{00000000-0004-0000-0000-0000560F0000}"/>
    <hyperlink ref="B4075" r:id="rId3928" xr:uid="{00000000-0004-0000-0000-0000570F0000}"/>
    <hyperlink ref="B4076" r:id="rId3929" xr:uid="{00000000-0004-0000-0000-0000580F0000}"/>
    <hyperlink ref="B4077" r:id="rId3930" xr:uid="{00000000-0004-0000-0000-0000590F0000}"/>
    <hyperlink ref="B4078" r:id="rId3931" xr:uid="{00000000-0004-0000-0000-00005A0F0000}"/>
    <hyperlink ref="B4079" r:id="rId3932" xr:uid="{00000000-0004-0000-0000-00005B0F0000}"/>
    <hyperlink ref="B4080" r:id="rId3933" xr:uid="{00000000-0004-0000-0000-00005C0F0000}"/>
    <hyperlink ref="B4081" r:id="rId3934" xr:uid="{00000000-0004-0000-0000-00005D0F0000}"/>
    <hyperlink ref="B4082" r:id="rId3935" xr:uid="{00000000-0004-0000-0000-00005E0F0000}"/>
    <hyperlink ref="B4083" r:id="rId3936" xr:uid="{00000000-0004-0000-0000-00005F0F0000}"/>
    <hyperlink ref="B4084" r:id="rId3937" xr:uid="{00000000-0004-0000-0000-0000600F0000}"/>
    <hyperlink ref="B4085" r:id="rId3938" xr:uid="{00000000-0004-0000-0000-0000610F0000}"/>
    <hyperlink ref="B4086" r:id="rId3939" xr:uid="{00000000-0004-0000-0000-0000620F0000}"/>
    <hyperlink ref="B4087" r:id="rId3940" xr:uid="{00000000-0004-0000-0000-0000630F0000}"/>
    <hyperlink ref="B4088" r:id="rId3941" xr:uid="{00000000-0004-0000-0000-0000640F0000}"/>
    <hyperlink ref="B4089" r:id="rId3942" xr:uid="{00000000-0004-0000-0000-0000650F0000}"/>
    <hyperlink ref="B4090" r:id="rId3943" xr:uid="{00000000-0004-0000-0000-0000660F0000}"/>
    <hyperlink ref="B4091" r:id="rId3944" xr:uid="{00000000-0004-0000-0000-0000670F0000}"/>
    <hyperlink ref="B4092" r:id="rId3945" xr:uid="{00000000-0004-0000-0000-0000680F0000}"/>
    <hyperlink ref="B4093" r:id="rId3946" xr:uid="{00000000-0004-0000-0000-0000690F0000}"/>
    <hyperlink ref="B4094" r:id="rId3947" xr:uid="{00000000-0004-0000-0000-00006A0F0000}"/>
    <hyperlink ref="B4095" r:id="rId3948" xr:uid="{00000000-0004-0000-0000-00006B0F0000}"/>
    <hyperlink ref="B4096" r:id="rId3949" xr:uid="{00000000-0004-0000-0000-00006C0F0000}"/>
    <hyperlink ref="B4097" r:id="rId3950" xr:uid="{00000000-0004-0000-0000-00006D0F0000}"/>
    <hyperlink ref="B4098" r:id="rId3951" xr:uid="{00000000-0004-0000-0000-00006E0F0000}"/>
    <hyperlink ref="B4099" r:id="rId3952" xr:uid="{00000000-0004-0000-0000-00006F0F0000}"/>
    <hyperlink ref="B4100" r:id="rId3953" xr:uid="{00000000-0004-0000-0000-0000700F0000}"/>
    <hyperlink ref="B4101" r:id="rId3954" xr:uid="{00000000-0004-0000-0000-0000710F0000}"/>
    <hyperlink ref="B4102" r:id="rId3955" xr:uid="{00000000-0004-0000-0000-0000720F0000}"/>
    <hyperlink ref="B4103" r:id="rId3956" xr:uid="{00000000-0004-0000-0000-0000730F0000}"/>
    <hyperlink ref="B4104" r:id="rId3957" xr:uid="{00000000-0004-0000-0000-0000740F0000}"/>
    <hyperlink ref="B4105" r:id="rId3958" xr:uid="{00000000-0004-0000-0000-0000750F0000}"/>
    <hyperlink ref="B4107" r:id="rId3959" xr:uid="{00000000-0004-0000-0000-0000760F0000}"/>
    <hyperlink ref="A4108" r:id="rId3960" xr:uid="{00000000-0004-0000-0000-0000770F0000}"/>
    <hyperlink ref="B4108" r:id="rId3961" xr:uid="{00000000-0004-0000-0000-0000780F0000}"/>
    <hyperlink ref="B4109" r:id="rId3962" xr:uid="{00000000-0004-0000-0000-0000790F0000}"/>
    <hyperlink ref="B4110" r:id="rId3963" xr:uid="{00000000-0004-0000-0000-00007A0F0000}"/>
    <hyperlink ref="B4111" r:id="rId3964" xr:uid="{00000000-0004-0000-0000-00007B0F0000}"/>
    <hyperlink ref="B4112" r:id="rId3965" xr:uid="{00000000-0004-0000-0000-00007C0F0000}"/>
    <hyperlink ref="B4113" r:id="rId3966" xr:uid="{00000000-0004-0000-0000-00007D0F0000}"/>
    <hyperlink ref="B4114" r:id="rId3967" xr:uid="{00000000-0004-0000-0000-00007E0F0000}"/>
    <hyperlink ref="B4115" r:id="rId3968" xr:uid="{00000000-0004-0000-0000-00007F0F0000}"/>
    <hyperlink ref="B4116" r:id="rId3969" xr:uid="{00000000-0004-0000-0000-0000800F0000}"/>
    <hyperlink ref="B4117" r:id="rId3970" xr:uid="{00000000-0004-0000-0000-0000810F0000}"/>
    <hyperlink ref="B4118" r:id="rId3971" xr:uid="{00000000-0004-0000-0000-0000820F0000}"/>
    <hyperlink ref="B4119" r:id="rId3972" xr:uid="{00000000-0004-0000-0000-0000830F0000}"/>
    <hyperlink ref="B4120" r:id="rId3973" xr:uid="{00000000-0004-0000-0000-0000840F0000}"/>
    <hyperlink ref="B4121" r:id="rId3974" xr:uid="{00000000-0004-0000-0000-0000850F0000}"/>
    <hyperlink ref="B4122" r:id="rId3975" xr:uid="{00000000-0004-0000-0000-0000860F0000}"/>
    <hyperlink ref="B4123" r:id="rId3976" xr:uid="{00000000-0004-0000-0000-0000870F0000}"/>
    <hyperlink ref="B4124" r:id="rId3977" xr:uid="{00000000-0004-0000-0000-0000880F0000}"/>
    <hyperlink ref="B4125" r:id="rId3978" xr:uid="{00000000-0004-0000-0000-0000890F0000}"/>
    <hyperlink ref="B4126" r:id="rId3979" xr:uid="{00000000-0004-0000-0000-00008A0F0000}"/>
    <hyperlink ref="B4127" r:id="rId3980" xr:uid="{00000000-0004-0000-0000-00008B0F0000}"/>
    <hyperlink ref="B4128" r:id="rId3981" xr:uid="{00000000-0004-0000-0000-00008C0F0000}"/>
    <hyperlink ref="B4129" r:id="rId3982" xr:uid="{00000000-0004-0000-0000-00008D0F0000}"/>
    <hyperlink ref="B4130" r:id="rId3983" xr:uid="{00000000-0004-0000-0000-00008E0F0000}"/>
    <hyperlink ref="B4131" r:id="rId3984" xr:uid="{00000000-0004-0000-0000-00008F0F0000}"/>
    <hyperlink ref="B4132" r:id="rId3985" xr:uid="{00000000-0004-0000-0000-0000900F0000}"/>
    <hyperlink ref="B4133" r:id="rId3986" xr:uid="{00000000-0004-0000-0000-0000910F0000}"/>
    <hyperlink ref="B4134" r:id="rId3987" xr:uid="{00000000-0004-0000-0000-0000920F0000}"/>
    <hyperlink ref="B4135" r:id="rId3988" xr:uid="{00000000-0004-0000-0000-0000930F0000}"/>
    <hyperlink ref="B4136" r:id="rId3989" xr:uid="{00000000-0004-0000-0000-0000940F0000}"/>
    <hyperlink ref="B4137" r:id="rId3990" xr:uid="{00000000-0004-0000-0000-0000950F0000}"/>
    <hyperlink ref="B4138" r:id="rId3991" xr:uid="{00000000-0004-0000-0000-0000960F0000}"/>
    <hyperlink ref="B4139" r:id="rId3992" xr:uid="{00000000-0004-0000-0000-0000970F0000}"/>
    <hyperlink ref="B4140" r:id="rId3993" xr:uid="{00000000-0004-0000-0000-0000980F0000}"/>
    <hyperlink ref="B4141" r:id="rId3994" xr:uid="{00000000-0004-0000-0000-0000990F0000}"/>
    <hyperlink ref="B4142" r:id="rId3995" xr:uid="{00000000-0004-0000-0000-00009A0F0000}"/>
    <hyperlink ref="B4143" r:id="rId3996" xr:uid="{00000000-0004-0000-0000-00009B0F0000}"/>
    <hyperlink ref="B4144" r:id="rId3997" xr:uid="{00000000-0004-0000-0000-00009C0F0000}"/>
    <hyperlink ref="B4145" r:id="rId3998" xr:uid="{00000000-0004-0000-0000-00009D0F0000}"/>
    <hyperlink ref="B4146" r:id="rId3999" xr:uid="{00000000-0004-0000-0000-00009E0F0000}"/>
    <hyperlink ref="B4147" r:id="rId4000" xr:uid="{00000000-0004-0000-0000-00009F0F0000}"/>
    <hyperlink ref="B4148" r:id="rId4001" xr:uid="{00000000-0004-0000-0000-0000A00F0000}"/>
    <hyperlink ref="B4149" r:id="rId4002" xr:uid="{00000000-0004-0000-0000-0000A10F0000}"/>
    <hyperlink ref="B4150" r:id="rId4003" xr:uid="{00000000-0004-0000-0000-0000A20F0000}"/>
    <hyperlink ref="B4151" r:id="rId4004" xr:uid="{00000000-0004-0000-0000-0000A30F0000}"/>
    <hyperlink ref="B4152" r:id="rId4005" xr:uid="{00000000-0004-0000-0000-0000A40F0000}"/>
    <hyperlink ref="B4153" r:id="rId4006" xr:uid="{00000000-0004-0000-0000-0000A50F0000}"/>
    <hyperlink ref="B4155" r:id="rId4007" xr:uid="{00000000-0004-0000-0000-0000A60F0000}"/>
    <hyperlink ref="A4156" r:id="rId4008" xr:uid="{00000000-0004-0000-0000-0000A70F0000}"/>
    <hyperlink ref="B4156" r:id="rId4009" xr:uid="{00000000-0004-0000-0000-0000A80F0000}"/>
    <hyperlink ref="B4157" r:id="rId4010" xr:uid="{00000000-0004-0000-0000-0000A90F0000}"/>
    <hyperlink ref="B4158" r:id="rId4011" xr:uid="{00000000-0004-0000-0000-0000AA0F0000}"/>
    <hyperlink ref="B4159" r:id="rId4012" xr:uid="{00000000-0004-0000-0000-0000AB0F0000}"/>
    <hyperlink ref="B4160" r:id="rId4013" xr:uid="{00000000-0004-0000-0000-0000AC0F0000}"/>
    <hyperlink ref="B4161" r:id="rId4014" xr:uid="{00000000-0004-0000-0000-0000AD0F0000}"/>
    <hyperlink ref="B4162" r:id="rId4015" xr:uid="{00000000-0004-0000-0000-0000AE0F0000}"/>
    <hyperlink ref="B4163" r:id="rId4016" xr:uid="{00000000-0004-0000-0000-0000AF0F0000}"/>
    <hyperlink ref="B4164" r:id="rId4017" xr:uid="{00000000-0004-0000-0000-0000B00F0000}"/>
    <hyperlink ref="B4165" r:id="rId4018" xr:uid="{00000000-0004-0000-0000-0000B10F0000}"/>
    <hyperlink ref="B4166" r:id="rId4019" xr:uid="{00000000-0004-0000-0000-0000B20F0000}"/>
    <hyperlink ref="B4167" r:id="rId4020" xr:uid="{00000000-0004-0000-0000-0000B30F0000}"/>
    <hyperlink ref="B4168" r:id="rId4021" xr:uid="{00000000-0004-0000-0000-0000B40F0000}"/>
    <hyperlink ref="B4169" r:id="rId4022" xr:uid="{00000000-0004-0000-0000-0000B50F0000}"/>
    <hyperlink ref="B4170" r:id="rId4023" xr:uid="{00000000-0004-0000-0000-0000B60F0000}"/>
    <hyperlink ref="B4171" r:id="rId4024" xr:uid="{00000000-0004-0000-0000-0000B70F0000}"/>
    <hyperlink ref="B4172" r:id="rId4025" xr:uid="{00000000-0004-0000-0000-0000B80F0000}"/>
    <hyperlink ref="B4173" r:id="rId4026" xr:uid="{00000000-0004-0000-0000-0000B90F0000}"/>
    <hyperlink ref="B4174" r:id="rId4027" xr:uid="{00000000-0004-0000-0000-0000BA0F0000}"/>
    <hyperlink ref="B4175" r:id="rId4028" xr:uid="{00000000-0004-0000-0000-0000BB0F0000}"/>
    <hyperlink ref="B4176" r:id="rId4029" xr:uid="{00000000-0004-0000-0000-0000BC0F0000}"/>
    <hyperlink ref="A4178" r:id="rId4030" xr:uid="{00000000-0004-0000-0000-0000BD0F0000}"/>
    <hyperlink ref="B4178" r:id="rId4031" xr:uid="{00000000-0004-0000-0000-0000BE0F0000}"/>
    <hyperlink ref="A4179" r:id="rId4032" xr:uid="{00000000-0004-0000-0000-0000BF0F0000}"/>
    <hyperlink ref="B4179" r:id="rId4033" xr:uid="{00000000-0004-0000-0000-0000C00F0000}"/>
    <hyperlink ref="B4180" r:id="rId4034" xr:uid="{00000000-0004-0000-0000-0000C10F0000}"/>
    <hyperlink ref="B4181" r:id="rId4035" xr:uid="{00000000-0004-0000-0000-0000C20F0000}"/>
    <hyperlink ref="B4182" r:id="rId4036" xr:uid="{00000000-0004-0000-0000-0000C30F0000}"/>
    <hyperlink ref="B4183" r:id="rId4037" xr:uid="{00000000-0004-0000-0000-0000C40F0000}"/>
    <hyperlink ref="B4184" r:id="rId4038" xr:uid="{00000000-0004-0000-0000-0000C50F0000}"/>
    <hyperlink ref="B4185" r:id="rId4039" xr:uid="{00000000-0004-0000-0000-0000C60F0000}"/>
    <hyperlink ref="B4186" r:id="rId4040" xr:uid="{00000000-0004-0000-0000-0000C70F0000}"/>
    <hyperlink ref="B4187" r:id="rId4041" xr:uid="{00000000-0004-0000-0000-0000C80F0000}"/>
    <hyperlink ref="B4188" r:id="rId4042" xr:uid="{00000000-0004-0000-0000-0000C90F0000}"/>
    <hyperlink ref="B4189" r:id="rId4043" xr:uid="{00000000-0004-0000-0000-0000CA0F0000}"/>
    <hyperlink ref="B4190" r:id="rId4044" xr:uid="{00000000-0004-0000-0000-0000CB0F0000}"/>
    <hyperlink ref="B4191" r:id="rId4045" xr:uid="{00000000-0004-0000-0000-0000CC0F0000}"/>
    <hyperlink ref="B4192" r:id="rId4046" xr:uid="{00000000-0004-0000-0000-0000CD0F0000}"/>
    <hyperlink ref="B4193" r:id="rId4047" xr:uid="{00000000-0004-0000-0000-0000CE0F0000}"/>
    <hyperlink ref="B4194" r:id="rId4048" xr:uid="{00000000-0004-0000-0000-0000CF0F0000}"/>
    <hyperlink ref="B4195" r:id="rId4049" xr:uid="{00000000-0004-0000-0000-0000D00F0000}"/>
    <hyperlink ref="B4196" r:id="rId4050" xr:uid="{00000000-0004-0000-0000-0000D10F0000}"/>
    <hyperlink ref="B4197" r:id="rId4051" xr:uid="{00000000-0004-0000-0000-0000D20F0000}"/>
    <hyperlink ref="B4198" r:id="rId4052" xr:uid="{00000000-0004-0000-0000-0000D30F0000}"/>
    <hyperlink ref="B4199" r:id="rId4053" xr:uid="{00000000-0004-0000-0000-0000D40F0000}"/>
    <hyperlink ref="B4200" r:id="rId4054" xr:uid="{00000000-0004-0000-0000-0000D50F0000}"/>
    <hyperlink ref="B4201" r:id="rId4055" xr:uid="{00000000-0004-0000-0000-0000D60F0000}"/>
    <hyperlink ref="B4203" r:id="rId4056" xr:uid="{00000000-0004-0000-0000-0000D70F0000}"/>
    <hyperlink ref="A4204" r:id="rId4057" xr:uid="{00000000-0004-0000-0000-0000D80F0000}"/>
    <hyperlink ref="B4204" r:id="rId4058" xr:uid="{00000000-0004-0000-0000-0000D90F0000}"/>
    <hyperlink ref="B4205" r:id="rId4059" xr:uid="{00000000-0004-0000-0000-0000DA0F0000}"/>
    <hyperlink ref="B4206" r:id="rId4060" xr:uid="{00000000-0004-0000-0000-0000DB0F0000}"/>
    <hyperlink ref="B4207" r:id="rId4061" xr:uid="{00000000-0004-0000-0000-0000DC0F0000}"/>
    <hyperlink ref="B4208" r:id="rId4062" xr:uid="{00000000-0004-0000-0000-0000DD0F0000}"/>
    <hyperlink ref="B4209" r:id="rId4063" xr:uid="{00000000-0004-0000-0000-0000DE0F0000}"/>
    <hyperlink ref="B4210" r:id="rId4064" xr:uid="{00000000-0004-0000-0000-0000DF0F0000}"/>
    <hyperlink ref="B4211" r:id="rId4065" xr:uid="{00000000-0004-0000-0000-0000E00F0000}"/>
    <hyperlink ref="B4212" r:id="rId4066" xr:uid="{00000000-0004-0000-0000-0000E10F0000}"/>
    <hyperlink ref="B4213" r:id="rId4067" xr:uid="{00000000-0004-0000-0000-0000E20F0000}"/>
    <hyperlink ref="B4214" r:id="rId4068" xr:uid="{00000000-0004-0000-0000-0000E30F0000}"/>
    <hyperlink ref="B4215" r:id="rId4069" xr:uid="{00000000-0004-0000-0000-0000E40F0000}"/>
    <hyperlink ref="B4216" r:id="rId4070" xr:uid="{00000000-0004-0000-0000-0000E50F0000}"/>
    <hyperlink ref="B4217" r:id="rId4071" xr:uid="{00000000-0004-0000-0000-0000E60F0000}"/>
    <hyperlink ref="B4218" r:id="rId4072" xr:uid="{00000000-0004-0000-0000-0000E70F0000}"/>
    <hyperlink ref="B4219" r:id="rId4073" xr:uid="{00000000-0004-0000-0000-0000E80F0000}"/>
    <hyperlink ref="B4220" r:id="rId4074" xr:uid="{00000000-0004-0000-0000-0000E90F0000}"/>
    <hyperlink ref="B4221" r:id="rId4075" xr:uid="{00000000-0004-0000-0000-0000EA0F0000}"/>
    <hyperlink ref="B4222" r:id="rId4076" xr:uid="{00000000-0004-0000-0000-0000EB0F0000}"/>
    <hyperlink ref="B4223" r:id="rId4077" xr:uid="{00000000-0004-0000-0000-0000EC0F0000}"/>
    <hyperlink ref="B4224" r:id="rId4078" xr:uid="{00000000-0004-0000-0000-0000ED0F0000}"/>
    <hyperlink ref="B4226" r:id="rId4079" xr:uid="{00000000-0004-0000-0000-0000EE0F0000}"/>
    <hyperlink ref="A4227" r:id="rId4080" xr:uid="{00000000-0004-0000-0000-0000EF0F0000}"/>
    <hyperlink ref="B4227" r:id="rId4081" xr:uid="{00000000-0004-0000-0000-0000F00F0000}"/>
    <hyperlink ref="B4228" r:id="rId4082" xr:uid="{00000000-0004-0000-0000-0000F10F0000}"/>
    <hyperlink ref="B4229" r:id="rId4083" xr:uid="{00000000-0004-0000-0000-0000F20F0000}"/>
    <hyperlink ref="B4230" r:id="rId4084" xr:uid="{00000000-0004-0000-0000-0000F30F0000}"/>
    <hyperlink ref="B4231" r:id="rId4085" xr:uid="{00000000-0004-0000-0000-0000F40F0000}"/>
    <hyperlink ref="B4232" r:id="rId4086" xr:uid="{00000000-0004-0000-0000-0000F50F0000}"/>
    <hyperlink ref="B4233" r:id="rId4087" xr:uid="{00000000-0004-0000-0000-0000F60F0000}"/>
    <hyperlink ref="B4234" r:id="rId4088" xr:uid="{00000000-0004-0000-0000-0000F70F0000}"/>
    <hyperlink ref="B4236" r:id="rId4089" xr:uid="{00000000-0004-0000-0000-0000F80F0000}"/>
    <hyperlink ref="B4237" r:id="rId4090" xr:uid="{00000000-0004-0000-0000-0000F90F0000}"/>
    <hyperlink ref="B4238" r:id="rId4091" xr:uid="{00000000-0004-0000-0000-0000FA0F0000}"/>
    <hyperlink ref="B4239" r:id="rId4092" xr:uid="{00000000-0004-0000-0000-0000FB0F0000}"/>
    <hyperlink ref="B4240" r:id="rId4093" xr:uid="{00000000-0004-0000-0000-0000FC0F0000}"/>
    <hyperlink ref="B4241" r:id="rId4094" xr:uid="{00000000-0004-0000-0000-0000FD0F0000}"/>
    <hyperlink ref="B4242" r:id="rId4095" xr:uid="{00000000-0004-0000-0000-0000FE0F0000}"/>
    <hyperlink ref="B4243" r:id="rId4096" xr:uid="{00000000-0004-0000-0000-0000FF0F0000}"/>
    <hyperlink ref="B4244" r:id="rId4097" xr:uid="{00000000-0004-0000-0000-000000100000}"/>
    <hyperlink ref="B4245" r:id="rId4098" xr:uid="{00000000-0004-0000-0000-000001100000}"/>
    <hyperlink ref="B4246" r:id="rId4099" xr:uid="{00000000-0004-0000-0000-000002100000}"/>
    <hyperlink ref="B4247" r:id="rId4100" xr:uid="{00000000-0004-0000-0000-000003100000}"/>
    <hyperlink ref="B4248" r:id="rId4101" xr:uid="{00000000-0004-0000-0000-000004100000}"/>
    <hyperlink ref="B4249" r:id="rId4102" xr:uid="{00000000-0004-0000-0000-000005100000}"/>
    <hyperlink ref="B4251" r:id="rId4103" xr:uid="{00000000-0004-0000-0000-000006100000}"/>
    <hyperlink ref="A4252" r:id="rId4104" xr:uid="{00000000-0004-0000-0000-000007100000}"/>
    <hyperlink ref="B4252" r:id="rId4105" xr:uid="{00000000-0004-0000-0000-000008100000}"/>
    <hyperlink ref="B4253" r:id="rId4106" xr:uid="{00000000-0004-0000-0000-000009100000}"/>
    <hyperlink ref="B4254" r:id="rId4107" xr:uid="{00000000-0004-0000-0000-00000A100000}"/>
    <hyperlink ref="B4255" r:id="rId4108" xr:uid="{00000000-0004-0000-0000-00000B100000}"/>
    <hyperlink ref="B4256" r:id="rId4109" xr:uid="{00000000-0004-0000-0000-00000C100000}"/>
    <hyperlink ref="B4257" r:id="rId4110" xr:uid="{00000000-0004-0000-0000-00000D100000}"/>
    <hyperlink ref="B4258" r:id="rId4111" xr:uid="{00000000-0004-0000-0000-00000E100000}"/>
    <hyperlink ref="B4259" r:id="rId4112" xr:uid="{00000000-0004-0000-0000-00000F100000}"/>
    <hyperlink ref="B4260" r:id="rId4113" xr:uid="{00000000-0004-0000-0000-000010100000}"/>
    <hyperlink ref="B4261" r:id="rId4114" xr:uid="{00000000-0004-0000-0000-000011100000}"/>
    <hyperlink ref="B4262" r:id="rId4115" xr:uid="{00000000-0004-0000-0000-000012100000}"/>
    <hyperlink ref="B4263" r:id="rId4116" xr:uid="{00000000-0004-0000-0000-000013100000}"/>
    <hyperlink ref="B4264" r:id="rId4117" xr:uid="{00000000-0004-0000-0000-000014100000}"/>
    <hyperlink ref="B4265" r:id="rId4118" xr:uid="{00000000-0004-0000-0000-000015100000}"/>
    <hyperlink ref="B4266" r:id="rId4119" xr:uid="{00000000-0004-0000-0000-000016100000}"/>
    <hyperlink ref="B4267" r:id="rId4120" xr:uid="{00000000-0004-0000-0000-000017100000}"/>
    <hyperlink ref="B4268" r:id="rId4121" xr:uid="{00000000-0004-0000-0000-000018100000}"/>
    <hyperlink ref="B4269" r:id="rId4122" xr:uid="{00000000-0004-0000-0000-000019100000}"/>
    <hyperlink ref="B4270" r:id="rId4123" xr:uid="{00000000-0004-0000-0000-00001A100000}"/>
    <hyperlink ref="B4271" r:id="rId4124" xr:uid="{00000000-0004-0000-0000-00001B100000}"/>
    <hyperlink ref="B4272" r:id="rId4125" xr:uid="{00000000-0004-0000-0000-00001C100000}"/>
    <hyperlink ref="B4273" r:id="rId4126" xr:uid="{00000000-0004-0000-0000-00001D100000}"/>
    <hyperlink ref="B4274" r:id="rId4127" xr:uid="{00000000-0004-0000-0000-00001E100000}"/>
    <hyperlink ref="B4275" r:id="rId4128" xr:uid="{00000000-0004-0000-0000-00001F100000}"/>
    <hyperlink ref="B4276" r:id="rId4129" xr:uid="{00000000-0004-0000-0000-000020100000}"/>
    <hyperlink ref="B4277" r:id="rId4130" xr:uid="{00000000-0004-0000-0000-000021100000}"/>
    <hyperlink ref="B4278" r:id="rId4131" xr:uid="{00000000-0004-0000-0000-000022100000}"/>
    <hyperlink ref="B4279" r:id="rId4132" xr:uid="{00000000-0004-0000-0000-000023100000}"/>
    <hyperlink ref="B4280" r:id="rId4133" xr:uid="{00000000-0004-0000-0000-000024100000}"/>
    <hyperlink ref="B4281" r:id="rId4134" xr:uid="{00000000-0004-0000-0000-000025100000}"/>
    <hyperlink ref="B4282" r:id="rId4135" xr:uid="{00000000-0004-0000-0000-000026100000}"/>
    <hyperlink ref="B4283" r:id="rId4136" xr:uid="{00000000-0004-0000-0000-000027100000}"/>
    <hyperlink ref="B4284" r:id="rId4137" xr:uid="{00000000-0004-0000-0000-000028100000}"/>
    <hyperlink ref="A4286" r:id="rId4138" xr:uid="{00000000-0004-0000-0000-000029100000}"/>
    <hyperlink ref="B4286" r:id="rId4139" xr:uid="{00000000-0004-0000-0000-00002A100000}"/>
    <hyperlink ref="A4287" r:id="rId4140" xr:uid="{00000000-0004-0000-0000-00002B100000}"/>
    <hyperlink ref="B4287" r:id="rId4141" xr:uid="{00000000-0004-0000-0000-00002C100000}"/>
    <hyperlink ref="B4288" r:id="rId4142" xr:uid="{00000000-0004-0000-0000-00002D100000}"/>
    <hyperlink ref="B4289" r:id="rId4143" xr:uid="{00000000-0004-0000-0000-00002E100000}"/>
    <hyperlink ref="B4290" r:id="rId4144" xr:uid="{00000000-0004-0000-0000-00002F100000}"/>
    <hyperlink ref="B4291" r:id="rId4145" xr:uid="{00000000-0004-0000-0000-000030100000}"/>
    <hyperlink ref="B4292" r:id="rId4146" xr:uid="{00000000-0004-0000-0000-000031100000}"/>
    <hyperlink ref="B4293" r:id="rId4147" xr:uid="{00000000-0004-0000-0000-000032100000}"/>
    <hyperlink ref="B4294" r:id="rId4148" xr:uid="{00000000-0004-0000-0000-000033100000}"/>
    <hyperlink ref="B4295" r:id="rId4149" xr:uid="{00000000-0004-0000-0000-000034100000}"/>
    <hyperlink ref="B4296" r:id="rId4150" xr:uid="{00000000-0004-0000-0000-000035100000}"/>
    <hyperlink ref="B4297" r:id="rId4151" xr:uid="{00000000-0004-0000-0000-000036100000}"/>
    <hyperlink ref="B4298" r:id="rId4152" xr:uid="{00000000-0004-0000-0000-000037100000}"/>
    <hyperlink ref="B4299" r:id="rId4153" xr:uid="{00000000-0004-0000-0000-000038100000}"/>
    <hyperlink ref="B4300" r:id="rId4154" xr:uid="{00000000-0004-0000-0000-000039100000}"/>
    <hyperlink ref="B4301" r:id="rId4155" xr:uid="{00000000-0004-0000-0000-00003A100000}"/>
    <hyperlink ref="B4302" r:id="rId4156" xr:uid="{00000000-0004-0000-0000-00003B100000}"/>
    <hyperlink ref="B4303" r:id="rId4157" xr:uid="{00000000-0004-0000-0000-00003C100000}"/>
    <hyperlink ref="B4304" r:id="rId4158" xr:uid="{00000000-0004-0000-0000-00003D100000}"/>
    <hyperlink ref="B4305" r:id="rId4159" xr:uid="{00000000-0004-0000-0000-00003E100000}"/>
    <hyperlink ref="B4306" r:id="rId4160" xr:uid="{00000000-0004-0000-0000-00003F100000}"/>
    <hyperlink ref="B4307" r:id="rId4161" xr:uid="{00000000-0004-0000-0000-000040100000}"/>
    <hyperlink ref="B4308" r:id="rId4162" xr:uid="{00000000-0004-0000-0000-000041100000}"/>
    <hyperlink ref="B4309" r:id="rId4163" xr:uid="{00000000-0004-0000-0000-000042100000}"/>
    <hyperlink ref="B4310" r:id="rId4164" xr:uid="{00000000-0004-0000-0000-000043100000}"/>
    <hyperlink ref="B4311" r:id="rId4165" xr:uid="{00000000-0004-0000-0000-000044100000}"/>
    <hyperlink ref="B4312" r:id="rId4166" xr:uid="{00000000-0004-0000-0000-000045100000}"/>
    <hyperlink ref="B4313" r:id="rId4167" xr:uid="{00000000-0004-0000-0000-000046100000}"/>
    <hyperlink ref="B4314" r:id="rId4168" xr:uid="{00000000-0004-0000-0000-000047100000}"/>
    <hyperlink ref="B4315" r:id="rId4169" xr:uid="{00000000-0004-0000-0000-000048100000}"/>
    <hyperlink ref="B4316" r:id="rId4170" xr:uid="{00000000-0004-0000-0000-000049100000}"/>
    <hyperlink ref="B4317" r:id="rId4171" xr:uid="{00000000-0004-0000-0000-00004A100000}"/>
    <hyperlink ref="B4318" r:id="rId4172" xr:uid="{00000000-0004-0000-0000-00004B100000}"/>
    <hyperlink ref="B4319" r:id="rId4173" xr:uid="{00000000-0004-0000-0000-00004C100000}"/>
    <hyperlink ref="B4320" r:id="rId4174" xr:uid="{00000000-0004-0000-0000-00004D100000}"/>
    <hyperlink ref="B4322" r:id="rId4175" xr:uid="{00000000-0004-0000-0000-00004E100000}"/>
    <hyperlink ref="A4323" r:id="rId4176" xr:uid="{00000000-0004-0000-0000-00004F100000}"/>
    <hyperlink ref="B4323" r:id="rId4177" xr:uid="{00000000-0004-0000-0000-000050100000}"/>
    <hyperlink ref="B4324" r:id="rId4178" xr:uid="{00000000-0004-0000-0000-000051100000}"/>
    <hyperlink ref="B4325" r:id="rId4179" xr:uid="{00000000-0004-0000-0000-000052100000}"/>
    <hyperlink ref="B4326" r:id="rId4180" xr:uid="{00000000-0004-0000-0000-000053100000}"/>
    <hyperlink ref="B4327" r:id="rId4181" xr:uid="{00000000-0004-0000-0000-000054100000}"/>
    <hyperlink ref="B4328" r:id="rId4182" xr:uid="{00000000-0004-0000-0000-000055100000}"/>
    <hyperlink ref="B4329" r:id="rId4183" xr:uid="{00000000-0004-0000-0000-000056100000}"/>
    <hyperlink ref="B4330" r:id="rId4184" xr:uid="{00000000-0004-0000-0000-000057100000}"/>
    <hyperlink ref="B4331" r:id="rId4185" xr:uid="{00000000-0004-0000-0000-000058100000}"/>
    <hyperlink ref="B4332" r:id="rId4186" xr:uid="{00000000-0004-0000-0000-000059100000}"/>
    <hyperlink ref="B4333" r:id="rId4187" xr:uid="{00000000-0004-0000-0000-00005A100000}"/>
    <hyperlink ref="B4334" r:id="rId4188" xr:uid="{00000000-0004-0000-0000-00005B100000}"/>
    <hyperlink ref="B4335" r:id="rId4189" xr:uid="{00000000-0004-0000-0000-00005C100000}"/>
    <hyperlink ref="B4336" r:id="rId4190" xr:uid="{00000000-0004-0000-0000-00005D100000}"/>
    <hyperlink ref="B4337" r:id="rId4191" xr:uid="{00000000-0004-0000-0000-00005E100000}"/>
    <hyperlink ref="B4338" r:id="rId4192" xr:uid="{00000000-0004-0000-0000-00005F100000}"/>
    <hyperlink ref="B4339" r:id="rId4193" xr:uid="{00000000-0004-0000-0000-000060100000}"/>
    <hyperlink ref="B4340" r:id="rId4194" xr:uid="{00000000-0004-0000-0000-000061100000}"/>
    <hyperlink ref="B4341" r:id="rId4195" xr:uid="{00000000-0004-0000-0000-000062100000}"/>
    <hyperlink ref="B4342" r:id="rId4196" xr:uid="{00000000-0004-0000-0000-000063100000}"/>
    <hyperlink ref="B4343" r:id="rId4197" xr:uid="{00000000-0004-0000-0000-000064100000}"/>
    <hyperlink ref="B4344" r:id="rId4198" xr:uid="{00000000-0004-0000-0000-000065100000}"/>
    <hyperlink ref="B4345" r:id="rId4199" xr:uid="{00000000-0004-0000-0000-000066100000}"/>
    <hyperlink ref="B4346" r:id="rId4200" xr:uid="{00000000-0004-0000-0000-000067100000}"/>
    <hyperlink ref="B4347" r:id="rId4201" xr:uid="{00000000-0004-0000-0000-000068100000}"/>
    <hyperlink ref="B4348" r:id="rId4202" xr:uid="{00000000-0004-0000-0000-000069100000}"/>
    <hyperlink ref="B4349" r:id="rId4203" xr:uid="{00000000-0004-0000-0000-00006A100000}"/>
    <hyperlink ref="B4350" r:id="rId4204" xr:uid="{00000000-0004-0000-0000-00006B100000}"/>
    <hyperlink ref="B4351" r:id="rId4205" xr:uid="{00000000-0004-0000-0000-00006C100000}"/>
    <hyperlink ref="B4352" r:id="rId4206" xr:uid="{00000000-0004-0000-0000-00006D100000}"/>
    <hyperlink ref="B4353" r:id="rId4207" xr:uid="{00000000-0004-0000-0000-00006E100000}"/>
    <hyperlink ref="B4354" r:id="rId4208" xr:uid="{00000000-0004-0000-0000-00006F100000}"/>
    <hyperlink ref="B4355" r:id="rId4209" xr:uid="{00000000-0004-0000-0000-000070100000}"/>
    <hyperlink ref="B4356" r:id="rId4210" xr:uid="{00000000-0004-0000-0000-000071100000}"/>
    <hyperlink ref="B4357" r:id="rId4211" xr:uid="{00000000-0004-0000-0000-000072100000}"/>
    <hyperlink ref="B4358" r:id="rId4212" xr:uid="{00000000-0004-0000-0000-000073100000}"/>
    <hyperlink ref="B4359" r:id="rId4213" xr:uid="{00000000-0004-0000-0000-000074100000}"/>
    <hyperlink ref="B4360" r:id="rId4214" xr:uid="{00000000-0004-0000-0000-000075100000}"/>
    <hyperlink ref="B4361" r:id="rId4215" xr:uid="{00000000-0004-0000-0000-000076100000}"/>
    <hyperlink ref="B4362" r:id="rId4216" xr:uid="{00000000-0004-0000-0000-000077100000}"/>
    <hyperlink ref="B4363" r:id="rId4217" xr:uid="{00000000-0004-0000-0000-000078100000}"/>
    <hyperlink ref="B4364" r:id="rId4218" xr:uid="{00000000-0004-0000-0000-000079100000}"/>
    <hyperlink ref="B4365" r:id="rId4219" xr:uid="{00000000-0004-0000-0000-00007A100000}"/>
    <hyperlink ref="B4366" r:id="rId4220" xr:uid="{00000000-0004-0000-0000-00007B100000}"/>
    <hyperlink ref="B4367" r:id="rId4221" xr:uid="{00000000-0004-0000-0000-00007C100000}"/>
    <hyperlink ref="B4368" r:id="rId4222" xr:uid="{00000000-0004-0000-0000-00007D100000}"/>
    <hyperlink ref="B4369" r:id="rId4223" xr:uid="{00000000-0004-0000-0000-00007E100000}"/>
    <hyperlink ref="B4371" r:id="rId4224" xr:uid="{00000000-0004-0000-0000-00007F100000}"/>
    <hyperlink ref="A4372" r:id="rId4225" xr:uid="{00000000-0004-0000-0000-000080100000}"/>
    <hyperlink ref="B4372" r:id="rId4226" xr:uid="{00000000-0004-0000-0000-000081100000}"/>
    <hyperlink ref="B4373" r:id="rId4227" xr:uid="{00000000-0004-0000-0000-000082100000}"/>
    <hyperlink ref="B4374" r:id="rId4228" xr:uid="{00000000-0004-0000-0000-000083100000}"/>
    <hyperlink ref="B4375" r:id="rId4229" xr:uid="{00000000-0004-0000-0000-000084100000}"/>
    <hyperlink ref="B4376" r:id="rId4230" xr:uid="{00000000-0004-0000-0000-000085100000}"/>
    <hyperlink ref="B4377" r:id="rId4231" xr:uid="{00000000-0004-0000-0000-000086100000}"/>
    <hyperlink ref="B4378" r:id="rId4232" xr:uid="{00000000-0004-0000-0000-000087100000}"/>
    <hyperlink ref="B4379" r:id="rId4233" xr:uid="{00000000-0004-0000-0000-000088100000}"/>
    <hyperlink ref="B4380" r:id="rId4234" xr:uid="{00000000-0004-0000-0000-000089100000}"/>
    <hyperlink ref="B4381" r:id="rId4235" xr:uid="{00000000-0004-0000-0000-00008A100000}"/>
    <hyperlink ref="B4382" r:id="rId4236" xr:uid="{00000000-0004-0000-0000-00008B100000}"/>
    <hyperlink ref="B4383" r:id="rId4237" xr:uid="{00000000-0004-0000-0000-00008C100000}"/>
    <hyperlink ref="B4384" r:id="rId4238" xr:uid="{00000000-0004-0000-0000-00008D100000}"/>
    <hyperlink ref="B4385" r:id="rId4239" xr:uid="{00000000-0004-0000-0000-00008E100000}"/>
    <hyperlink ref="B4386" r:id="rId4240" xr:uid="{00000000-0004-0000-0000-00008F100000}"/>
    <hyperlink ref="B4387" r:id="rId4241" xr:uid="{00000000-0004-0000-0000-000090100000}"/>
    <hyperlink ref="B4388" r:id="rId4242" xr:uid="{00000000-0004-0000-0000-000091100000}"/>
    <hyperlink ref="A4391" r:id="rId4243" xr:uid="{00000000-0004-0000-0000-000092100000}"/>
    <hyperlink ref="A4409" r:id="rId4244" xr:uid="{00000000-0004-0000-0000-000093100000}"/>
    <hyperlink ref="A4410" r:id="rId4245" xr:uid="{00000000-0004-0000-0000-000094100000}"/>
    <hyperlink ref="A4427" r:id="rId4246" xr:uid="{00000000-0004-0000-0000-000095100000}"/>
    <hyperlink ref="B4427" r:id="rId4247" xr:uid="{00000000-0004-0000-0000-000096100000}"/>
    <hyperlink ref="A4428" r:id="rId4248" xr:uid="{00000000-0004-0000-0000-000097100000}"/>
    <hyperlink ref="B4428" r:id="rId4249" xr:uid="{00000000-0004-0000-0000-000098100000}"/>
    <hyperlink ref="B4429" r:id="rId4250" xr:uid="{00000000-0004-0000-0000-000099100000}"/>
    <hyperlink ref="B4430" r:id="rId4251" xr:uid="{00000000-0004-0000-0000-00009A100000}"/>
    <hyperlink ref="B4431" r:id="rId4252" xr:uid="{00000000-0004-0000-0000-00009B100000}"/>
    <hyperlink ref="B4432" r:id="rId4253" xr:uid="{00000000-0004-0000-0000-00009C100000}"/>
    <hyperlink ref="B4433" r:id="rId4254" xr:uid="{00000000-0004-0000-0000-00009D100000}"/>
    <hyperlink ref="B4434" r:id="rId4255" xr:uid="{00000000-0004-0000-0000-00009E100000}"/>
    <hyperlink ref="B4435" r:id="rId4256" xr:uid="{00000000-0004-0000-0000-00009F100000}"/>
    <hyperlink ref="B4436" r:id="rId4257" xr:uid="{00000000-0004-0000-0000-0000A0100000}"/>
    <hyperlink ref="B4437" r:id="rId4258" xr:uid="{00000000-0004-0000-0000-0000A1100000}"/>
    <hyperlink ref="B4438" r:id="rId4259" xr:uid="{00000000-0004-0000-0000-0000A2100000}"/>
    <hyperlink ref="B4439" r:id="rId4260" xr:uid="{00000000-0004-0000-0000-0000A3100000}"/>
    <hyperlink ref="B4440" r:id="rId4261" xr:uid="{00000000-0004-0000-0000-0000A4100000}"/>
    <hyperlink ref="B4441" r:id="rId4262" xr:uid="{00000000-0004-0000-0000-0000A5100000}"/>
    <hyperlink ref="B4442" r:id="rId4263" xr:uid="{00000000-0004-0000-0000-0000A6100000}"/>
    <hyperlink ref="B4443" r:id="rId4264" xr:uid="{00000000-0004-0000-0000-0000A7100000}"/>
    <hyperlink ref="B4444" r:id="rId4265" xr:uid="{00000000-0004-0000-0000-0000A8100000}"/>
    <hyperlink ref="B4445" r:id="rId4266" xr:uid="{00000000-0004-0000-0000-0000A9100000}"/>
    <hyperlink ref="B4446" r:id="rId4267" xr:uid="{00000000-0004-0000-0000-0000AA100000}"/>
    <hyperlink ref="B4447" r:id="rId4268" xr:uid="{00000000-0004-0000-0000-0000AB100000}"/>
    <hyperlink ref="B4448" r:id="rId4269" xr:uid="{00000000-0004-0000-0000-0000AC100000}"/>
    <hyperlink ref="B4449" r:id="rId4270" xr:uid="{00000000-0004-0000-0000-0000AD100000}"/>
    <hyperlink ref="B4450" r:id="rId4271" xr:uid="{00000000-0004-0000-0000-0000AE100000}"/>
    <hyperlink ref="B4451" r:id="rId4272" xr:uid="{00000000-0004-0000-0000-0000AF100000}"/>
    <hyperlink ref="B4453" r:id="rId4273" xr:uid="{00000000-0004-0000-0000-0000B0100000}"/>
    <hyperlink ref="A4454" r:id="rId4274" xr:uid="{00000000-0004-0000-0000-0000B1100000}"/>
    <hyperlink ref="B4454" r:id="rId4275" xr:uid="{00000000-0004-0000-0000-0000B2100000}"/>
    <hyperlink ref="B4455" r:id="rId4276" xr:uid="{00000000-0004-0000-0000-0000B3100000}"/>
    <hyperlink ref="B4456" r:id="rId4277" xr:uid="{00000000-0004-0000-0000-0000B4100000}"/>
    <hyperlink ref="B4457" r:id="rId4278" xr:uid="{00000000-0004-0000-0000-0000B5100000}"/>
    <hyperlink ref="B4458" r:id="rId4279" xr:uid="{00000000-0004-0000-0000-0000B6100000}"/>
    <hyperlink ref="B4459" r:id="rId4280" xr:uid="{00000000-0004-0000-0000-0000B7100000}"/>
    <hyperlink ref="B4460" r:id="rId4281" xr:uid="{00000000-0004-0000-0000-0000B8100000}"/>
    <hyperlink ref="B4461" r:id="rId4282" xr:uid="{00000000-0004-0000-0000-0000B9100000}"/>
    <hyperlink ref="B4462" r:id="rId4283" xr:uid="{00000000-0004-0000-0000-0000BA100000}"/>
    <hyperlink ref="B4463" r:id="rId4284" xr:uid="{00000000-0004-0000-0000-0000BB100000}"/>
    <hyperlink ref="B4464" r:id="rId4285" xr:uid="{00000000-0004-0000-0000-0000BC100000}"/>
    <hyperlink ref="B4465" r:id="rId4286" xr:uid="{00000000-0004-0000-0000-0000BD100000}"/>
    <hyperlink ref="B4466" r:id="rId4287" xr:uid="{00000000-0004-0000-0000-0000BE100000}"/>
    <hyperlink ref="B4467" r:id="rId4288" xr:uid="{00000000-0004-0000-0000-0000BF100000}"/>
    <hyperlink ref="B4468" r:id="rId4289" xr:uid="{00000000-0004-0000-0000-0000C0100000}"/>
    <hyperlink ref="B4469" r:id="rId4290" xr:uid="{00000000-0004-0000-0000-0000C1100000}"/>
    <hyperlink ref="B4470" r:id="rId4291" xr:uid="{00000000-0004-0000-0000-0000C2100000}"/>
    <hyperlink ref="B4471" r:id="rId4292" xr:uid="{00000000-0004-0000-0000-0000C3100000}"/>
    <hyperlink ref="B4472" r:id="rId4293" xr:uid="{00000000-0004-0000-0000-0000C4100000}"/>
    <hyperlink ref="B4473" r:id="rId4294" xr:uid="{00000000-0004-0000-0000-0000C5100000}"/>
    <hyperlink ref="B4474" r:id="rId4295" xr:uid="{00000000-0004-0000-0000-0000C6100000}"/>
    <hyperlink ref="E4474" r:id="rId4296" xr:uid="{00000000-0004-0000-0000-0000C7100000}"/>
    <hyperlink ref="B4476" r:id="rId4297" xr:uid="{00000000-0004-0000-0000-0000C8100000}"/>
    <hyperlink ref="A4477" r:id="rId4298" xr:uid="{00000000-0004-0000-0000-0000C9100000}"/>
    <hyperlink ref="B4477" r:id="rId4299" xr:uid="{00000000-0004-0000-0000-0000CA100000}"/>
    <hyperlink ref="B4478" r:id="rId4300" xr:uid="{00000000-0004-0000-0000-0000CB100000}"/>
    <hyperlink ref="B4479" r:id="rId4301" xr:uid="{00000000-0004-0000-0000-0000CC100000}"/>
    <hyperlink ref="B4480" r:id="rId4302" xr:uid="{00000000-0004-0000-0000-0000CD100000}"/>
    <hyperlink ref="B4481" r:id="rId4303" xr:uid="{00000000-0004-0000-0000-0000CE100000}"/>
    <hyperlink ref="B4482" r:id="rId4304" xr:uid="{00000000-0004-0000-0000-0000CF100000}"/>
    <hyperlink ref="B4483" r:id="rId4305" xr:uid="{00000000-0004-0000-0000-0000D0100000}"/>
    <hyperlink ref="B4484" r:id="rId4306" xr:uid="{00000000-0004-0000-0000-0000D1100000}"/>
    <hyperlink ref="B4485" r:id="rId4307" xr:uid="{00000000-0004-0000-0000-0000D2100000}"/>
    <hyperlink ref="B4486" r:id="rId4308" xr:uid="{00000000-0004-0000-0000-0000D3100000}"/>
    <hyperlink ref="B4487" r:id="rId4309" xr:uid="{00000000-0004-0000-0000-0000D4100000}"/>
    <hyperlink ref="B4488" r:id="rId4310" xr:uid="{00000000-0004-0000-0000-0000D5100000}"/>
    <hyperlink ref="B4489" r:id="rId4311" xr:uid="{00000000-0004-0000-0000-0000D6100000}"/>
    <hyperlink ref="B4490" r:id="rId4312" xr:uid="{00000000-0004-0000-0000-0000D7100000}"/>
    <hyperlink ref="B4491" r:id="rId4313" xr:uid="{00000000-0004-0000-0000-0000D8100000}"/>
    <hyperlink ref="B4492" r:id="rId4314" xr:uid="{00000000-0004-0000-0000-0000D9100000}"/>
    <hyperlink ref="B4493" r:id="rId4315" xr:uid="{00000000-0004-0000-0000-0000DA100000}"/>
    <hyperlink ref="B4494" r:id="rId4316" xr:uid="{00000000-0004-0000-0000-0000DB100000}"/>
    <hyperlink ref="B4495" r:id="rId4317" xr:uid="{00000000-0004-0000-0000-0000DC100000}"/>
    <hyperlink ref="B4496" r:id="rId4318" xr:uid="{00000000-0004-0000-0000-0000DD100000}"/>
    <hyperlink ref="B4497" r:id="rId4319" xr:uid="{00000000-0004-0000-0000-0000DE100000}"/>
    <hyperlink ref="B4498" r:id="rId4320" xr:uid="{00000000-0004-0000-0000-0000DF100000}"/>
    <hyperlink ref="B4499" r:id="rId4321" xr:uid="{00000000-0004-0000-0000-0000E0100000}"/>
    <hyperlink ref="B4500" r:id="rId4322" xr:uid="{00000000-0004-0000-0000-0000E1100000}"/>
    <hyperlink ref="B4501" r:id="rId4323" xr:uid="{00000000-0004-0000-0000-0000E2100000}"/>
    <hyperlink ref="B4503" r:id="rId4324" xr:uid="{00000000-0004-0000-0000-0000E3100000}"/>
    <hyperlink ref="A4504" r:id="rId4325" xr:uid="{00000000-0004-0000-0000-0000E4100000}"/>
    <hyperlink ref="B4504" r:id="rId4326" xr:uid="{00000000-0004-0000-0000-0000E5100000}"/>
    <hyperlink ref="B4505" r:id="rId4327" xr:uid="{00000000-0004-0000-0000-0000E6100000}"/>
    <hyperlink ref="B4506" r:id="rId4328" xr:uid="{00000000-0004-0000-0000-0000E7100000}"/>
    <hyperlink ref="B4507" r:id="rId4329" xr:uid="{00000000-0004-0000-0000-0000E8100000}"/>
    <hyperlink ref="B4508" r:id="rId4330" xr:uid="{00000000-0004-0000-0000-0000E9100000}"/>
    <hyperlink ref="B4509" r:id="rId4331" xr:uid="{00000000-0004-0000-0000-0000EA100000}"/>
    <hyperlink ref="B4510" r:id="rId4332" xr:uid="{00000000-0004-0000-0000-0000EB100000}"/>
    <hyperlink ref="B4511" r:id="rId4333" xr:uid="{00000000-0004-0000-0000-0000EC100000}"/>
    <hyperlink ref="B4512" r:id="rId4334" xr:uid="{00000000-0004-0000-0000-0000ED100000}"/>
    <hyperlink ref="B4513" r:id="rId4335" xr:uid="{00000000-0004-0000-0000-0000EE100000}"/>
    <hyperlink ref="B4514" r:id="rId4336" xr:uid="{00000000-0004-0000-0000-0000EF100000}"/>
    <hyperlink ref="B4515" r:id="rId4337" xr:uid="{00000000-0004-0000-0000-0000F0100000}"/>
    <hyperlink ref="B4516" r:id="rId4338" xr:uid="{00000000-0004-0000-0000-0000F1100000}"/>
    <hyperlink ref="B4517" r:id="rId4339" xr:uid="{00000000-0004-0000-0000-0000F2100000}"/>
    <hyperlink ref="B4518" r:id="rId4340" xr:uid="{00000000-0004-0000-0000-0000F3100000}"/>
    <hyperlink ref="B4519" r:id="rId4341" xr:uid="{00000000-0004-0000-0000-0000F4100000}"/>
    <hyperlink ref="B4520" r:id="rId4342" xr:uid="{00000000-0004-0000-0000-0000F5100000}"/>
    <hyperlink ref="B4521" r:id="rId4343" xr:uid="{00000000-0004-0000-0000-0000F6100000}"/>
    <hyperlink ref="B4522" r:id="rId4344" xr:uid="{00000000-0004-0000-0000-0000F7100000}"/>
    <hyperlink ref="B4523" r:id="rId4345" xr:uid="{00000000-0004-0000-0000-0000F8100000}"/>
    <hyperlink ref="B4524" r:id="rId4346" xr:uid="{00000000-0004-0000-0000-0000F9100000}"/>
    <hyperlink ref="B4525" r:id="rId4347" xr:uid="{00000000-0004-0000-0000-0000FA100000}"/>
    <hyperlink ref="B4526" r:id="rId4348" xr:uid="{00000000-0004-0000-0000-0000FB100000}"/>
    <hyperlink ref="B4527" r:id="rId4349" xr:uid="{00000000-0004-0000-0000-0000FC100000}"/>
    <hyperlink ref="B4528" r:id="rId4350" xr:uid="{00000000-0004-0000-0000-0000FD100000}"/>
    <hyperlink ref="B4529" r:id="rId4351" xr:uid="{00000000-0004-0000-0000-0000FE100000}"/>
    <hyperlink ref="B4530" r:id="rId4352" xr:uid="{00000000-0004-0000-0000-0000FF100000}"/>
    <hyperlink ref="B4531" r:id="rId4353" xr:uid="{00000000-0004-0000-0000-000000110000}"/>
    <hyperlink ref="B4532" r:id="rId4354" xr:uid="{00000000-0004-0000-0000-000001110000}"/>
    <hyperlink ref="B4533" r:id="rId4355" xr:uid="{00000000-0004-0000-0000-000002110000}"/>
    <hyperlink ref="B4534" r:id="rId4356" xr:uid="{00000000-0004-0000-0000-000003110000}"/>
    <hyperlink ref="B4535" r:id="rId4357" xr:uid="{00000000-0004-0000-0000-000004110000}"/>
    <hyperlink ref="B4536" r:id="rId4358" xr:uid="{00000000-0004-0000-0000-000005110000}"/>
    <hyperlink ref="B4537" r:id="rId4359" xr:uid="{00000000-0004-0000-0000-000006110000}"/>
    <hyperlink ref="B4538" r:id="rId4360" xr:uid="{00000000-0004-0000-0000-000007110000}"/>
    <hyperlink ref="B4539" r:id="rId4361" xr:uid="{00000000-0004-0000-0000-000008110000}"/>
    <hyperlink ref="B4540" r:id="rId4362" xr:uid="{00000000-0004-0000-0000-000009110000}"/>
    <hyperlink ref="B4541" r:id="rId4363" xr:uid="{00000000-0004-0000-0000-00000A110000}"/>
    <hyperlink ref="B4542" r:id="rId4364" xr:uid="{00000000-0004-0000-0000-00000B110000}"/>
    <hyperlink ref="B4543" r:id="rId4365" xr:uid="{00000000-0004-0000-0000-00000C110000}"/>
    <hyperlink ref="B4545" r:id="rId4366" xr:uid="{00000000-0004-0000-0000-00000D110000}"/>
    <hyperlink ref="A4546" r:id="rId4367" xr:uid="{00000000-0004-0000-0000-00000E110000}"/>
    <hyperlink ref="B4546" r:id="rId4368" xr:uid="{00000000-0004-0000-0000-00000F110000}"/>
    <hyperlink ref="B4547" r:id="rId4369" xr:uid="{00000000-0004-0000-0000-000010110000}"/>
    <hyperlink ref="B4548" r:id="rId4370" xr:uid="{00000000-0004-0000-0000-000011110000}"/>
    <hyperlink ref="B4549" r:id="rId4371" xr:uid="{00000000-0004-0000-0000-000012110000}"/>
    <hyperlink ref="B4550" r:id="rId4372" xr:uid="{00000000-0004-0000-0000-000013110000}"/>
    <hyperlink ref="B4551" r:id="rId4373" xr:uid="{00000000-0004-0000-0000-000014110000}"/>
    <hyperlink ref="B4552" r:id="rId4374" xr:uid="{00000000-0004-0000-0000-000015110000}"/>
    <hyperlink ref="B4553" r:id="rId4375" xr:uid="{00000000-0004-0000-0000-000016110000}"/>
    <hyperlink ref="B4554" r:id="rId4376" xr:uid="{00000000-0004-0000-0000-000017110000}"/>
    <hyperlink ref="B4555" r:id="rId4377" xr:uid="{00000000-0004-0000-0000-000018110000}"/>
    <hyperlink ref="B4556" r:id="rId4378" xr:uid="{00000000-0004-0000-0000-000019110000}"/>
    <hyperlink ref="B4557" r:id="rId4379" xr:uid="{00000000-0004-0000-0000-00001A110000}"/>
    <hyperlink ref="B4558" r:id="rId4380" xr:uid="{00000000-0004-0000-0000-00001B110000}"/>
    <hyperlink ref="B4559" r:id="rId4381" xr:uid="{00000000-0004-0000-0000-00001C110000}"/>
    <hyperlink ref="B4560" r:id="rId4382" xr:uid="{00000000-0004-0000-0000-00001D110000}"/>
    <hyperlink ref="B4561" r:id="rId4383" xr:uid="{00000000-0004-0000-0000-00001E110000}"/>
    <hyperlink ref="B4562" r:id="rId4384" xr:uid="{00000000-0004-0000-0000-00001F110000}"/>
    <hyperlink ref="B4564" r:id="rId4385" xr:uid="{00000000-0004-0000-0000-000020110000}"/>
    <hyperlink ref="A4565" r:id="rId4386" xr:uid="{00000000-0004-0000-0000-000021110000}"/>
    <hyperlink ref="B4565" r:id="rId4387" xr:uid="{00000000-0004-0000-0000-000022110000}"/>
    <hyperlink ref="B4566" r:id="rId4388" xr:uid="{00000000-0004-0000-0000-000023110000}"/>
    <hyperlink ref="B4567" r:id="rId4389" xr:uid="{00000000-0004-0000-0000-000024110000}"/>
    <hyperlink ref="B4568" r:id="rId4390" xr:uid="{00000000-0004-0000-0000-000025110000}"/>
    <hyperlink ref="B4569" r:id="rId4391" xr:uid="{00000000-0004-0000-0000-000026110000}"/>
    <hyperlink ref="B4570" r:id="rId4392" xr:uid="{00000000-0004-0000-0000-000027110000}"/>
    <hyperlink ref="B4571" r:id="rId4393" xr:uid="{00000000-0004-0000-0000-000028110000}"/>
    <hyperlink ref="B4572" r:id="rId4394" xr:uid="{00000000-0004-0000-0000-000029110000}"/>
    <hyperlink ref="B4573" r:id="rId4395" xr:uid="{00000000-0004-0000-0000-00002A110000}"/>
    <hyperlink ref="B4574" r:id="rId4396" xr:uid="{00000000-0004-0000-0000-00002B110000}"/>
    <hyperlink ref="B4575" r:id="rId4397" xr:uid="{00000000-0004-0000-0000-00002C110000}"/>
    <hyperlink ref="B4576" r:id="rId4398" xr:uid="{00000000-0004-0000-0000-00002D110000}"/>
    <hyperlink ref="B4577" r:id="rId4399" xr:uid="{00000000-0004-0000-0000-00002E110000}"/>
    <hyperlink ref="B4578" r:id="rId4400" xr:uid="{00000000-0004-0000-0000-00002F110000}"/>
    <hyperlink ref="B4579" r:id="rId4401" xr:uid="{00000000-0004-0000-0000-000030110000}"/>
    <hyperlink ref="B4580" r:id="rId4402" xr:uid="{00000000-0004-0000-0000-000031110000}"/>
    <hyperlink ref="B4581" r:id="rId4403" xr:uid="{00000000-0004-0000-0000-000032110000}"/>
    <hyperlink ref="B4582" r:id="rId4404" xr:uid="{00000000-0004-0000-0000-000033110000}"/>
    <hyperlink ref="B4583" r:id="rId4405" xr:uid="{00000000-0004-0000-0000-000034110000}"/>
    <hyperlink ref="B4584" r:id="rId4406" xr:uid="{00000000-0004-0000-0000-000035110000}"/>
    <hyperlink ref="B4585" r:id="rId4407" xr:uid="{00000000-0004-0000-0000-000036110000}"/>
    <hyperlink ref="B4586" r:id="rId4408" xr:uid="{00000000-0004-0000-0000-000037110000}"/>
    <hyperlink ref="B4587" r:id="rId4409" xr:uid="{00000000-0004-0000-0000-000038110000}"/>
    <hyperlink ref="B4588" r:id="rId4410" xr:uid="{00000000-0004-0000-0000-000039110000}"/>
    <hyperlink ref="B4589" r:id="rId4411" xr:uid="{00000000-0004-0000-0000-00003A110000}"/>
    <hyperlink ref="B4590" r:id="rId4412" xr:uid="{00000000-0004-0000-0000-00003B110000}"/>
    <hyperlink ref="B4591" r:id="rId4413" xr:uid="{00000000-0004-0000-0000-00003C110000}"/>
    <hyperlink ref="B4592" r:id="rId4414" xr:uid="{00000000-0004-0000-0000-00003D110000}"/>
    <hyperlink ref="B4593" r:id="rId4415" xr:uid="{00000000-0004-0000-0000-00003E110000}"/>
    <hyperlink ref="B4594" r:id="rId4416" xr:uid="{00000000-0004-0000-0000-00003F110000}"/>
    <hyperlink ref="B4595" r:id="rId4417" xr:uid="{00000000-0004-0000-0000-000040110000}"/>
    <hyperlink ref="B4596" r:id="rId4418" xr:uid="{00000000-0004-0000-0000-000041110000}"/>
    <hyperlink ref="B4598" r:id="rId4419" xr:uid="{00000000-0004-0000-0000-000042110000}"/>
    <hyperlink ref="A4599" r:id="rId4420" xr:uid="{00000000-0004-0000-0000-000043110000}"/>
    <hyperlink ref="B4599" r:id="rId4421" xr:uid="{00000000-0004-0000-0000-000044110000}"/>
    <hyperlink ref="B4600" r:id="rId4422" xr:uid="{00000000-0004-0000-0000-000045110000}"/>
    <hyperlink ref="B4601" r:id="rId4423" xr:uid="{00000000-0004-0000-0000-000046110000}"/>
    <hyperlink ref="B4602" r:id="rId4424" xr:uid="{00000000-0004-0000-0000-000047110000}"/>
    <hyperlink ref="B4603" r:id="rId4425" xr:uid="{00000000-0004-0000-0000-000048110000}"/>
    <hyperlink ref="B4604" r:id="rId4426" xr:uid="{00000000-0004-0000-0000-000049110000}"/>
    <hyperlink ref="B4605" r:id="rId4427" xr:uid="{00000000-0004-0000-0000-00004A110000}"/>
    <hyperlink ref="B4606" r:id="rId4428" xr:uid="{00000000-0004-0000-0000-00004B110000}"/>
    <hyperlink ref="B4607" r:id="rId4429" xr:uid="{00000000-0004-0000-0000-00004C110000}"/>
    <hyperlink ref="B4608" r:id="rId4430" xr:uid="{00000000-0004-0000-0000-00004D110000}"/>
    <hyperlink ref="B4609" r:id="rId4431" xr:uid="{00000000-0004-0000-0000-00004E110000}"/>
    <hyperlink ref="B4610" r:id="rId4432" xr:uid="{00000000-0004-0000-0000-00004F110000}"/>
    <hyperlink ref="B4611" r:id="rId4433" xr:uid="{00000000-0004-0000-0000-000050110000}"/>
    <hyperlink ref="B4612" r:id="rId4434" xr:uid="{00000000-0004-0000-0000-000051110000}"/>
    <hyperlink ref="B4613" r:id="rId4435" xr:uid="{00000000-0004-0000-0000-000052110000}"/>
    <hyperlink ref="B4614" r:id="rId4436" xr:uid="{00000000-0004-0000-0000-000053110000}"/>
    <hyperlink ref="B4615" r:id="rId4437" xr:uid="{00000000-0004-0000-0000-000054110000}"/>
    <hyperlink ref="B4616" r:id="rId4438" xr:uid="{00000000-0004-0000-0000-000055110000}"/>
    <hyperlink ref="B4617" r:id="rId4439" xr:uid="{00000000-0004-0000-0000-000056110000}"/>
    <hyperlink ref="B4618" r:id="rId4440" xr:uid="{00000000-0004-0000-0000-000057110000}"/>
    <hyperlink ref="B4619" r:id="rId4441" xr:uid="{00000000-0004-0000-0000-000058110000}"/>
    <hyperlink ref="B4620" r:id="rId4442" xr:uid="{00000000-0004-0000-0000-000059110000}"/>
    <hyperlink ref="B4621" r:id="rId4443" xr:uid="{00000000-0004-0000-0000-00005A110000}"/>
    <hyperlink ref="B4622" r:id="rId4444" xr:uid="{00000000-0004-0000-0000-00005B110000}"/>
    <hyperlink ref="B4623" r:id="rId4445" xr:uid="{00000000-0004-0000-0000-00005C110000}"/>
    <hyperlink ref="B4624" r:id="rId4446" xr:uid="{00000000-0004-0000-0000-00005D110000}"/>
    <hyperlink ref="B4626" r:id="rId4447" xr:uid="{00000000-0004-0000-0000-00005E110000}"/>
    <hyperlink ref="A4627" r:id="rId4448" xr:uid="{00000000-0004-0000-0000-00005F110000}"/>
    <hyperlink ref="B4627" r:id="rId4449" xr:uid="{00000000-0004-0000-0000-000060110000}"/>
    <hyperlink ref="B4628" r:id="rId4450" xr:uid="{00000000-0004-0000-0000-000061110000}"/>
    <hyperlink ref="B4629" r:id="rId4451" xr:uid="{00000000-0004-0000-0000-000062110000}"/>
    <hyperlink ref="B4630" r:id="rId4452" xr:uid="{00000000-0004-0000-0000-000063110000}"/>
    <hyperlink ref="B4631" r:id="rId4453" xr:uid="{00000000-0004-0000-0000-000064110000}"/>
    <hyperlink ref="B4632" r:id="rId4454" xr:uid="{00000000-0004-0000-0000-000065110000}"/>
    <hyperlink ref="B4634" r:id="rId4455" xr:uid="{00000000-0004-0000-0000-000066110000}"/>
    <hyperlink ref="B4635" r:id="rId4456" xr:uid="{00000000-0004-0000-0000-000067110000}"/>
    <hyperlink ref="B4636" r:id="rId4457" xr:uid="{00000000-0004-0000-0000-000068110000}"/>
    <hyperlink ref="B4637" r:id="rId4458" xr:uid="{00000000-0004-0000-0000-000069110000}"/>
    <hyperlink ref="B4638" r:id="rId4459" xr:uid="{00000000-0004-0000-0000-00006A110000}"/>
    <hyperlink ref="B4639" r:id="rId4460" xr:uid="{00000000-0004-0000-0000-00006B110000}"/>
    <hyperlink ref="B4640" r:id="rId4461" xr:uid="{00000000-0004-0000-0000-00006C110000}"/>
    <hyperlink ref="B4641" r:id="rId4462" xr:uid="{00000000-0004-0000-0000-00006D110000}"/>
    <hyperlink ref="B4642" r:id="rId4463" xr:uid="{00000000-0004-0000-0000-00006E110000}"/>
    <hyperlink ref="B4643" r:id="rId4464" xr:uid="{00000000-0004-0000-0000-00006F110000}"/>
    <hyperlink ref="B4644" r:id="rId4465" xr:uid="{00000000-0004-0000-0000-000070110000}"/>
    <hyperlink ref="B4645" r:id="rId4466" xr:uid="{00000000-0004-0000-0000-000071110000}"/>
    <hyperlink ref="B4646" r:id="rId4467" xr:uid="{00000000-0004-0000-0000-000072110000}"/>
    <hyperlink ref="B4647" r:id="rId4468" xr:uid="{00000000-0004-0000-0000-000073110000}"/>
    <hyperlink ref="B4649" r:id="rId4469" xr:uid="{00000000-0004-0000-0000-000074110000}"/>
    <hyperlink ref="A4650" r:id="rId4470" xr:uid="{00000000-0004-0000-0000-000075110000}"/>
    <hyperlink ref="B4650" r:id="rId4471" xr:uid="{00000000-0004-0000-0000-000076110000}"/>
    <hyperlink ref="B4651" r:id="rId4472" xr:uid="{00000000-0004-0000-0000-000077110000}"/>
    <hyperlink ref="B4652" r:id="rId4473" xr:uid="{00000000-0004-0000-0000-000078110000}"/>
    <hyperlink ref="B4653" r:id="rId4474" xr:uid="{00000000-0004-0000-0000-000079110000}"/>
    <hyperlink ref="B4654" r:id="rId4475" xr:uid="{00000000-0004-0000-0000-00007A110000}"/>
    <hyperlink ref="B4655" r:id="rId4476" xr:uid="{00000000-0004-0000-0000-00007B110000}"/>
    <hyperlink ref="B4656" r:id="rId4477" xr:uid="{00000000-0004-0000-0000-00007C110000}"/>
    <hyperlink ref="B4657" r:id="rId4478" xr:uid="{00000000-0004-0000-0000-00007D110000}"/>
    <hyperlink ref="B4658" r:id="rId4479" xr:uid="{00000000-0004-0000-0000-00007E110000}"/>
    <hyperlink ref="B4659" r:id="rId4480" xr:uid="{00000000-0004-0000-0000-00007F110000}"/>
    <hyperlink ref="B4660" r:id="rId4481" xr:uid="{00000000-0004-0000-0000-000080110000}"/>
    <hyperlink ref="B4661" r:id="rId4482" xr:uid="{00000000-0004-0000-0000-000081110000}"/>
    <hyperlink ref="B4662" r:id="rId4483" xr:uid="{00000000-0004-0000-0000-000082110000}"/>
    <hyperlink ref="B4663" r:id="rId4484" xr:uid="{00000000-0004-0000-0000-000083110000}"/>
    <hyperlink ref="B4667" r:id="rId4485" xr:uid="{00000000-0004-0000-0000-000084110000}"/>
    <hyperlink ref="A4668" r:id="rId4486" xr:uid="{00000000-0004-0000-0000-000085110000}"/>
    <hyperlink ref="B4668" r:id="rId4487" xr:uid="{00000000-0004-0000-0000-000086110000}"/>
    <hyperlink ref="B4669" r:id="rId4488" xr:uid="{00000000-0004-0000-0000-000087110000}"/>
    <hyperlink ref="B4670" r:id="rId4489" xr:uid="{00000000-0004-0000-0000-000088110000}"/>
    <hyperlink ref="B4671" r:id="rId4490" xr:uid="{00000000-0004-0000-0000-000089110000}"/>
    <hyperlink ref="B4672" r:id="rId4491" xr:uid="{00000000-0004-0000-0000-00008A110000}"/>
    <hyperlink ref="B4673" r:id="rId4492" xr:uid="{00000000-0004-0000-0000-00008B110000}"/>
    <hyperlink ref="B4674" r:id="rId4493" xr:uid="{00000000-0004-0000-0000-00008C110000}"/>
    <hyperlink ref="B4675" r:id="rId4494" xr:uid="{00000000-0004-0000-0000-00008D110000}"/>
    <hyperlink ref="B4676" r:id="rId4495" xr:uid="{00000000-0004-0000-0000-00008E110000}"/>
    <hyperlink ref="B4677" r:id="rId4496" xr:uid="{00000000-0004-0000-0000-00008F110000}"/>
    <hyperlink ref="B4678" r:id="rId4497" xr:uid="{00000000-0004-0000-0000-000090110000}"/>
    <hyperlink ref="B4679" r:id="rId4498" xr:uid="{00000000-0004-0000-0000-000091110000}"/>
    <hyperlink ref="B4680" r:id="rId4499" xr:uid="{00000000-0004-0000-0000-000092110000}"/>
    <hyperlink ref="B4681" r:id="rId4500" xr:uid="{00000000-0004-0000-0000-000093110000}"/>
    <hyperlink ref="B4682" r:id="rId4501" xr:uid="{00000000-0004-0000-0000-000094110000}"/>
    <hyperlink ref="B4683" r:id="rId4502" xr:uid="{00000000-0004-0000-0000-000095110000}"/>
    <hyperlink ref="B4684" r:id="rId4503" xr:uid="{00000000-0004-0000-0000-000096110000}"/>
    <hyperlink ref="B4686" r:id="rId4504" xr:uid="{00000000-0004-0000-0000-000097110000}"/>
    <hyperlink ref="A4687" r:id="rId4505" xr:uid="{00000000-0004-0000-0000-000098110000}"/>
    <hyperlink ref="B4687" r:id="rId4506" xr:uid="{00000000-0004-0000-0000-000099110000}"/>
    <hyperlink ref="B4688" r:id="rId4507" xr:uid="{00000000-0004-0000-0000-00009A110000}"/>
    <hyperlink ref="B4689" r:id="rId4508" xr:uid="{00000000-0004-0000-0000-00009B110000}"/>
    <hyperlink ref="B4690" r:id="rId4509" xr:uid="{00000000-0004-0000-0000-00009C110000}"/>
    <hyperlink ref="B4691" r:id="rId4510" xr:uid="{00000000-0004-0000-0000-00009D110000}"/>
    <hyperlink ref="B4692" r:id="rId4511" xr:uid="{00000000-0004-0000-0000-00009E110000}"/>
    <hyperlink ref="B4693" r:id="rId4512" xr:uid="{00000000-0004-0000-0000-00009F110000}"/>
    <hyperlink ref="B4694" r:id="rId4513" xr:uid="{00000000-0004-0000-0000-0000A0110000}"/>
    <hyperlink ref="B4695" r:id="rId4514" xr:uid="{00000000-0004-0000-0000-0000A1110000}"/>
    <hyperlink ref="B4696" r:id="rId4515" xr:uid="{00000000-0004-0000-0000-0000A2110000}"/>
    <hyperlink ref="B4697" r:id="rId4516" xr:uid="{00000000-0004-0000-0000-0000A3110000}"/>
    <hyperlink ref="B4698" r:id="rId4517" xr:uid="{00000000-0004-0000-0000-0000A4110000}"/>
    <hyperlink ref="B4699" r:id="rId4518" xr:uid="{00000000-0004-0000-0000-0000A5110000}"/>
    <hyperlink ref="B4700" r:id="rId4519" xr:uid="{00000000-0004-0000-0000-0000A6110000}"/>
    <hyperlink ref="B4701" r:id="rId4520" xr:uid="{00000000-0004-0000-0000-0000A7110000}"/>
    <hyperlink ref="B4702" r:id="rId4521" xr:uid="{00000000-0004-0000-0000-0000A8110000}"/>
    <hyperlink ref="B4703" r:id="rId4522" xr:uid="{00000000-0004-0000-0000-0000A9110000}"/>
    <hyperlink ref="B4704" r:id="rId4523" xr:uid="{00000000-0004-0000-0000-0000AA110000}"/>
    <hyperlink ref="B4705" r:id="rId4524" xr:uid="{00000000-0004-0000-0000-0000AB110000}"/>
    <hyperlink ref="B4706" r:id="rId4525" xr:uid="{00000000-0004-0000-0000-0000AC110000}"/>
    <hyperlink ref="B4707" r:id="rId4526" xr:uid="{00000000-0004-0000-0000-0000AD110000}"/>
    <hyperlink ref="B4708" r:id="rId4527" xr:uid="{00000000-0004-0000-0000-0000AE110000}"/>
    <hyperlink ref="B4709" r:id="rId4528" xr:uid="{00000000-0004-0000-0000-0000AF110000}"/>
    <hyperlink ref="B4711" r:id="rId4529" xr:uid="{00000000-0004-0000-0000-0000B0110000}"/>
    <hyperlink ref="A4712" r:id="rId4530" xr:uid="{00000000-0004-0000-0000-0000B1110000}"/>
    <hyperlink ref="B4712" r:id="rId4531" xr:uid="{00000000-0004-0000-0000-0000B2110000}"/>
    <hyperlink ref="B4713" r:id="rId4532" xr:uid="{00000000-0004-0000-0000-0000B3110000}"/>
    <hyperlink ref="B4714" r:id="rId4533" xr:uid="{00000000-0004-0000-0000-0000B4110000}"/>
    <hyperlink ref="B4715" r:id="rId4534" xr:uid="{00000000-0004-0000-0000-0000B5110000}"/>
    <hyperlink ref="B4716" r:id="rId4535" xr:uid="{00000000-0004-0000-0000-0000B6110000}"/>
    <hyperlink ref="B4717" r:id="rId4536" xr:uid="{00000000-0004-0000-0000-0000B7110000}"/>
    <hyperlink ref="B4718" r:id="rId4537" xr:uid="{00000000-0004-0000-0000-0000B8110000}"/>
    <hyperlink ref="B4719" r:id="rId4538" xr:uid="{00000000-0004-0000-0000-0000B9110000}"/>
    <hyperlink ref="B4720" r:id="rId4539" xr:uid="{00000000-0004-0000-0000-0000BA110000}"/>
    <hyperlink ref="B4729" r:id="rId4540" xr:uid="{00000000-0004-0000-0000-0000BB110000}"/>
    <hyperlink ref="A4730" r:id="rId4541" xr:uid="{00000000-0004-0000-0000-0000BC110000}"/>
    <hyperlink ref="B4730" r:id="rId4542" xr:uid="{00000000-0004-0000-0000-0000BD110000}"/>
    <hyperlink ref="B4731" r:id="rId4543" xr:uid="{00000000-0004-0000-0000-0000BE110000}"/>
    <hyperlink ref="B4732" r:id="rId4544" xr:uid="{00000000-0004-0000-0000-0000BF110000}"/>
    <hyperlink ref="B4733" r:id="rId4545" xr:uid="{00000000-0004-0000-0000-0000C0110000}"/>
    <hyperlink ref="B4734" r:id="rId4546" xr:uid="{00000000-0004-0000-0000-0000C1110000}"/>
    <hyperlink ref="B4735" r:id="rId4547" xr:uid="{00000000-0004-0000-0000-0000C2110000}"/>
    <hyperlink ref="B4736" r:id="rId4548" xr:uid="{00000000-0004-0000-0000-0000C3110000}"/>
    <hyperlink ref="B4737" r:id="rId4549" xr:uid="{00000000-0004-0000-0000-0000C4110000}"/>
    <hyperlink ref="B4738" r:id="rId4550" xr:uid="{00000000-0004-0000-0000-0000C5110000}"/>
    <hyperlink ref="B4739" r:id="rId4551" xr:uid="{00000000-0004-0000-0000-0000C6110000}"/>
    <hyperlink ref="B4740" r:id="rId4552" xr:uid="{00000000-0004-0000-0000-0000C7110000}"/>
    <hyperlink ref="B4741" r:id="rId4553" xr:uid="{00000000-0004-0000-0000-0000C8110000}"/>
    <hyperlink ref="B4742" r:id="rId4554" xr:uid="{00000000-0004-0000-0000-0000C9110000}"/>
    <hyperlink ref="A4747" r:id="rId4555" xr:uid="{00000000-0004-0000-0000-0000CA110000}"/>
    <hyperlink ref="B4747" r:id="rId4556" xr:uid="{00000000-0004-0000-0000-0000CB110000}"/>
    <hyperlink ref="A4748" r:id="rId4557" xr:uid="{00000000-0004-0000-0000-0000CC110000}"/>
    <hyperlink ref="B4748" r:id="rId4558" xr:uid="{00000000-0004-0000-0000-0000CD110000}"/>
    <hyperlink ref="B4749" r:id="rId4559" xr:uid="{00000000-0004-0000-0000-0000CE110000}"/>
    <hyperlink ref="B4750" r:id="rId4560" xr:uid="{00000000-0004-0000-0000-0000CF110000}"/>
    <hyperlink ref="B4751" r:id="rId4561" xr:uid="{00000000-0004-0000-0000-0000D0110000}"/>
    <hyperlink ref="B4752" r:id="rId4562" xr:uid="{00000000-0004-0000-0000-0000D1110000}"/>
    <hyperlink ref="B4753" r:id="rId4563" xr:uid="{00000000-0004-0000-0000-0000D2110000}"/>
    <hyperlink ref="B4754" r:id="rId4564" xr:uid="{00000000-0004-0000-0000-0000D3110000}"/>
    <hyperlink ref="B4755" r:id="rId4565" xr:uid="{00000000-0004-0000-0000-0000D4110000}"/>
    <hyperlink ref="B4756" r:id="rId4566" xr:uid="{00000000-0004-0000-0000-0000D5110000}"/>
    <hyperlink ref="B4757" r:id="rId4567" xr:uid="{00000000-0004-0000-0000-0000D6110000}"/>
    <hyperlink ref="B4758" r:id="rId4568" xr:uid="{00000000-0004-0000-0000-0000D7110000}"/>
    <hyperlink ref="B4760" r:id="rId4569" xr:uid="{00000000-0004-0000-0000-0000D8110000}"/>
    <hyperlink ref="B4761" r:id="rId4570" xr:uid="{00000000-0004-0000-0000-0000D9110000}"/>
    <hyperlink ref="B4762" r:id="rId4571" xr:uid="{00000000-0004-0000-0000-0000DA110000}"/>
    <hyperlink ref="B4763" r:id="rId4572" xr:uid="{00000000-0004-0000-0000-0000DB110000}"/>
    <hyperlink ref="B4764" r:id="rId4573" xr:uid="{00000000-0004-0000-0000-0000DC110000}"/>
    <hyperlink ref="B4765" r:id="rId4574" xr:uid="{00000000-0004-0000-0000-0000DD110000}"/>
    <hyperlink ref="B4766" r:id="rId4575" xr:uid="{00000000-0004-0000-0000-0000DE110000}"/>
    <hyperlink ref="B4767" r:id="rId4576" xr:uid="{00000000-0004-0000-0000-0000DF110000}"/>
    <hyperlink ref="B4768" r:id="rId4577" xr:uid="{00000000-0004-0000-0000-0000E0110000}"/>
    <hyperlink ref="B4769" r:id="rId4578" xr:uid="{00000000-0004-0000-0000-0000E1110000}"/>
    <hyperlink ref="B4770" r:id="rId4579" xr:uid="{00000000-0004-0000-0000-0000E2110000}"/>
    <hyperlink ref="B4771" r:id="rId4580" xr:uid="{00000000-0004-0000-0000-0000E3110000}"/>
    <hyperlink ref="B4772" r:id="rId4581" xr:uid="{00000000-0004-0000-0000-0000E4110000}"/>
    <hyperlink ref="B4773" r:id="rId4582" xr:uid="{00000000-0004-0000-0000-0000E5110000}"/>
    <hyperlink ref="B4774" r:id="rId4583" xr:uid="{00000000-0004-0000-0000-0000E6110000}"/>
    <hyperlink ref="B4775" r:id="rId4584" xr:uid="{00000000-0004-0000-0000-0000E7110000}"/>
    <hyperlink ref="B4776" r:id="rId4585" xr:uid="{00000000-0004-0000-0000-0000E8110000}"/>
    <hyperlink ref="B4777" r:id="rId4586" xr:uid="{00000000-0004-0000-0000-0000E9110000}"/>
    <hyperlink ref="A4780" r:id="rId4587" xr:uid="{00000000-0004-0000-0000-0000EA110000}"/>
    <hyperlink ref="A4797" r:id="rId4588" xr:uid="{00000000-0004-0000-0000-0000EB110000}"/>
    <hyperlink ref="B4797" r:id="rId4589" xr:uid="{00000000-0004-0000-0000-0000EC110000}"/>
    <hyperlink ref="A4798" r:id="rId4590" xr:uid="{00000000-0004-0000-0000-0000ED110000}"/>
    <hyperlink ref="B4798" r:id="rId4591" xr:uid="{00000000-0004-0000-0000-0000EE110000}"/>
    <hyperlink ref="B4799" r:id="rId4592" xr:uid="{00000000-0004-0000-0000-0000EF110000}"/>
    <hyperlink ref="B4800" r:id="rId4593" xr:uid="{00000000-0004-0000-0000-0000F0110000}"/>
    <hyperlink ref="B4801" r:id="rId4594" xr:uid="{00000000-0004-0000-0000-0000F1110000}"/>
    <hyperlink ref="B4802" r:id="rId4595" xr:uid="{00000000-0004-0000-0000-0000F2110000}"/>
    <hyperlink ref="B4803" r:id="rId4596" xr:uid="{00000000-0004-0000-0000-0000F3110000}"/>
    <hyperlink ref="B4804" r:id="rId4597" xr:uid="{00000000-0004-0000-0000-0000F4110000}"/>
    <hyperlink ref="B4805" r:id="rId4598" xr:uid="{00000000-0004-0000-0000-0000F5110000}"/>
    <hyperlink ref="B4806" r:id="rId4599" xr:uid="{00000000-0004-0000-0000-0000F6110000}"/>
    <hyperlink ref="B4807" r:id="rId4600" xr:uid="{00000000-0004-0000-0000-0000F7110000}"/>
    <hyperlink ref="B4808" r:id="rId4601" xr:uid="{00000000-0004-0000-0000-0000F8110000}"/>
    <hyperlink ref="B4809" r:id="rId4602" xr:uid="{00000000-0004-0000-0000-0000F9110000}"/>
    <hyperlink ref="B4815" r:id="rId4603" xr:uid="{00000000-0004-0000-0000-0000FA110000}"/>
    <hyperlink ref="A4816" r:id="rId4604" xr:uid="{00000000-0004-0000-0000-0000FB110000}"/>
    <hyperlink ref="B4816" r:id="rId4605" xr:uid="{00000000-0004-0000-0000-0000FC110000}"/>
    <hyperlink ref="B4817" r:id="rId4606" xr:uid="{00000000-0004-0000-0000-0000FD110000}"/>
    <hyperlink ref="B4818" r:id="rId4607" xr:uid="{00000000-0004-0000-0000-0000FE110000}"/>
    <hyperlink ref="B4819" r:id="rId4608" xr:uid="{00000000-0004-0000-0000-0000FF110000}"/>
    <hyperlink ref="B4820" r:id="rId4609" xr:uid="{00000000-0004-0000-0000-000000120000}"/>
    <hyperlink ref="B4821" r:id="rId4610" xr:uid="{00000000-0004-0000-0000-000001120000}"/>
    <hyperlink ref="B4822" r:id="rId4611" xr:uid="{00000000-0004-0000-0000-000002120000}"/>
    <hyperlink ref="B4823" r:id="rId4612" xr:uid="{00000000-0004-0000-0000-000003120000}"/>
    <hyperlink ref="B4824" r:id="rId4613" xr:uid="{00000000-0004-0000-0000-000004120000}"/>
    <hyperlink ref="B4825" r:id="rId4614" xr:uid="{00000000-0004-0000-0000-000005120000}"/>
    <hyperlink ref="B4826" r:id="rId4615" xr:uid="{00000000-0004-0000-0000-000006120000}"/>
    <hyperlink ref="B4827" r:id="rId4616" xr:uid="{00000000-0004-0000-0000-000007120000}"/>
    <hyperlink ref="B4828" r:id="rId4617" xr:uid="{00000000-0004-0000-0000-000008120000}"/>
    <hyperlink ref="B4829" r:id="rId4618" xr:uid="{00000000-0004-0000-0000-000009120000}"/>
    <hyperlink ref="B4830" r:id="rId4619" xr:uid="{00000000-0004-0000-0000-00000A120000}"/>
    <hyperlink ref="B4831" r:id="rId4620" xr:uid="{00000000-0004-0000-0000-00000B120000}"/>
    <hyperlink ref="B4832" r:id="rId4621" xr:uid="{00000000-0004-0000-0000-00000C120000}"/>
    <hyperlink ref="B4833" r:id="rId4622" xr:uid="{00000000-0004-0000-0000-00000D120000}"/>
    <hyperlink ref="B4835" r:id="rId4623" xr:uid="{00000000-0004-0000-0000-00000E120000}"/>
    <hyperlink ref="A4836" r:id="rId4624" xr:uid="{00000000-0004-0000-0000-00000F120000}"/>
    <hyperlink ref="B4836" r:id="rId4625" xr:uid="{00000000-0004-0000-0000-000010120000}"/>
    <hyperlink ref="B4837" r:id="rId4626" xr:uid="{00000000-0004-0000-0000-000011120000}"/>
    <hyperlink ref="B4838" r:id="rId4627" xr:uid="{00000000-0004-0000-0000-000012120000}"/>
    <hyperlink ref="B4839" r:id="rId4628" xr:uid="{00000000-0004-0000-0000-000013120000}"/>
    <hyperlink ref="B4840" r:id="rId4629" xr:uid="{00000000-0004-0000-0000-000014120000}"/>
    <hyperlink ref="B4841" r:id="rId4630" xr:uid="{00000000-0004-0000-0000-000015120000}"/>
    <hyperlink ref="B4842" r:id="rId4631" xr:uid="{00000000-0004-0000-0000-000016120000}"/>
    <hyperlink ref="B4843" r:id="rId4632" xr:uid="{00000000-0004-0000-0000-000017120000}"/>
    <hyperlink ref="B4844" r:id="rId4633" xr:uid="{00000000-0004-0000-0000-000018120000}"/>
    <hyperlink ref="B4845" r:id="rId4634" xr:uid="{00000000-0004-0000-0000-000019120000}"/>
    <hyperlink ref="B4846" r:id="rId4635" xr:uid="{00000000-0004-0000-0000-00001A120000}"/>
    <hyperlink ref="B4847" r:id="rId4636" xr:uid="{00000000-0004-0000-0000-00001B120000}"/>
    <hyperlink ref="B4853" r:id="rId4637" xr:uid="{00000000-0004-0000-0000-00001C120000}"/>
    <hyperlink ref="A4854" r:id="rId4638" xr:uid="{00000000-0004-0000-0000-00001D120000}"/>
    <hyperlink ref="B4854" r:id="rId4639" xr:uid="{00000000-0004-0000-0000-00001E120000}"/>
    <hyperlink ref="B4855" r:id="rId4640" xr:uid="{00000000-0004-0000-0000-00001F120000}"/>
    <hyperlink ref="B4856" r:id="rId4641" xr:uid="{00000000-0004-0000-0000-000020120000}"/>
    <hyperlink ref="B4857" r:id="rId4642" xr:uid="{00000000-0004-0000-0000-000021120000}"/>
    <hyperlink ref="B4858" r:id="rId4643" xr:uid="{00000000-0004-0000-0000-000022120000}"/>
    <hyperlink ref="B4859" r:id="rId4644" xr:uid="{00000000-0004-0000-0000-000023120000}"/>
    <hyperlink ref="B4860" r:id="rId4645" xr:uid="{00000000-0004-0000-0000-000024120000}"/>
    <hyperlink ref="B4861" r:id="rId4646" xr:uid="{00000000-0004-0000-0000-000025120000}"/>
    <hyperlink ref="A4871" r:id="rId4647" xr:uid="{00000000-0004-0000-0000-000026120000}"/>
    <hyperlink ref="B4871" r:id="rId4648" xr:uid="{00000000-0004-0000-0000-000027120000}"/>
    <hyperlink ref="A4872" r:id="rId4649" xr:uid="{00000000-0004-0000-0000-000028120000}"/>
    <hyperlink ref="B4872" r:id="rId4650" xr:uid="{00000000-0004-0000-0000-000029120000}"/>
    <hyperlink ref="B4873" r:id="rId4651" xr:uid="{00000000-0004-0000-0000-00002A120000}"/>
    <hyperlink ref="B4874" r:id="rId4652" xr:uid="{00000000-0004-0000-0000-00002B120000}"/>
    <hyperlink ref="B4875" r:id="rId4653" xr:uid="{00000000-0004-0000-0000-00002C120000}"/>
    <hyperlink ref="B4876" r:id="rId4654" xr:uid="{00000000-0004-0000-0000-00002D120000}"/>
    <hyperlink ref="B4877" r:id="rId4655" xr:uid="{00000000-0004-0000-0000-00002E120000}"/>
    <hyperlink ref="B4878" r:id="rId4656" xr:uid="{00000000-0004-0000-0000-00002F120000}"/>
    <hyperlink ref="B4879" r:id="rId4657" xr:uid="{00000000-0004-0000-0000-000030120000}"/>
    <hyperlink ref="B4880" r:id="rId4658" xr:uid="{00000000-0004-0000-0000-000031120000}"/>
    <hyperlink ref="B4881" r:id="rId4659" xr:uid="{00000000-0004-0000-0000-000032120000}"/>
    <hyperlink ref="B4882" r:id="rId4660" xr:uid="{00000000-0004-0000-0000-000033120000}"/>
    <hyperlink ref="B4883" r:id="rId4661" xr:uid="{00000000-0004-0000-0000-000034120000}"/>
    <hyperlink ref="B4884" r:id="rId4662" xr:uid="{00000000-0004-0000-0000-000035120000}"/>
    <hyperlink ref="B4885" r:id="rId4663" xr:uid="{00000000-0004-0000-0000-000036120000}"/>
    <hyperlink ref="B4886" r:id="rId4664" xr:uid="{00000000-0004-0000-0000-000037120000}"/>
    <hyperlink ref="B4887" r:id="rId4665" xr:uid="{00000000-0004-0000-0000-000038120000}"/>
    <hyperlink ref="B4888" r:id="rId4666" xr:uid="{00000000-0004-0000-0000-000039120000}"/>
    <hyperlink ref="B4890" r:id="rId4667" xr:uid="{00000000-0004-0000-0000-00003A120000}"/>
    <hyperlink ref="A4891" r:id="rId4668" xr:uid="{00000000-0004-0000-0000-00003B120000}"/>
    <hyperlink ref="B4891" r:id="rId4669" xr:uid="{00000000-0004-0000-0000-00003C120000}"/>
    <hyperlink ref="B4892" r:id="rId4670" xr:uid="{00000000-0004-0000-0000-00003D120000}"/>
    <hyperlink ref="B4893" r:id="rId4671" xr:uid="{00000000-0004-0000-0000-00003E120000}"/>
    <hyperlink ref="B4894" r:id="rId4672" xr:uid="{00000000-0004-0000-0000-00003F120000}"/>
    <hyperlink ref="B4895" r:id="rId4673" xr:uid="{00000000-0004-0000-0000-000040120000}"/>
    <hyperlink ref="B4896" r:id="rId4674" xr:uid="{00000000-0004-0000-0000-000041120000}"/>
    <hyperlink ref="B4897" r:id="rId4675" xr:uid="{00000000-0004-0000-0000-000042120000}"/>
    <hyperlink ref="B4898" r:id="rId4676" xr:uid="{00000000-0004-0000-0000-000043120000}"/>
    <hyperlink ref="B4899" r:id="rId4677" xr:uid="{00000000-0004-0000-0000-000044120000}"/>
    <hyperlink ref="B4900" r:id="rId4678" xr:uid="{00000000-0004-0000-0000-000045120000}"/>
    <hyperlink ref="B4901" r:id="rId4679" xr:uid="{00000000-0004-0000-0000-000046120000}"/>
    <hyperlink ref="B4902" r:id="rId4680" xr:uid="{00000000-0004-0000-0000-000047120000}"/>
    <hyperlink ref="B4903" r:id="rId4681" xr:uid="{00000000-0004-0000-0000-000048120000}"/>
    <hyperlink ref="B4904" r:id="rId4682" xr:uid="{00000000-0004-0000-0000-000049120000}"/>
    <hyperlink ref="B4905" r:id="rId4683" xr:uid="{00000000-0004-0000-0000-00004A120000}"/>
    <hyperlink ref="B4906" r:id="rId4684" xr:uid="{00000000-0004-0000-0000-00004B120000}"/>
    <hyperlink ref="B4907" r:id="rId4685" xr:uid="{00000000-0004-0000-0000-00004C120000}"/>
    <hyperlink ref="A4910" r:id="rId4686" xr:uid="{00000000-0004-0000-0000-00004D120000}"/>
    <hyperlink ref="B4927" r:id="rId4687" xr:uid="{00000000-0004-0000-0000-00004E120000}"/>
    <hyperlink ref="A4928" r:id="rId4688" xr:uid="{00000000-0004-0000-0000-00004F120000}"/>
    <hyperlink ref="B4928" r:id="rId4689" xr:uid="{00000000-0004-0000-0000-000050120000}"/>
    <hyperlink ref="B4929" r:id="rId4690" xr:uid="{00000000-0004-0000-0000-000051120000}"/>
    <hyperlink ref="B4930" r:id="rId4691" xr:uid="{00000000-0004-0000-0000-000052120000}"/>
    <hyperlink ref="B4931" r:id="rId4692" xr:uid="{00000000-0004-0000-0000-000053120000}"/>
    <hyperlink ref="B4932" r:id="rId4693" xr:uid="{00000000-0004-0000-0000-000054120000}"/>
    <hyperlink ref="B4933" r:id="rId4694" xr:uid="{00000000-0004-0000-0000-000055120000}"/>
    <hyperlink ref="B4934" r:id="rId4695" xr:uid="{00000000-0004-0000-0000-000056120000}"/>
    <hyperlink ref="B4935" r:id="rId4696" xr:uid="{00000000-0004-0000-0000-000057120000}"/>
    <hyperlink ref="B4936" r:id="rId4697" xr:uid="{00000000-0004-0000-0000-000058120000}"/>
    <hyperlink ref="B4937" r:id="rId4698" xr:uid="{00000000-0004-0000-0000-000059120000}"/>
    <hyperlink ref="B4938" r:id="rId4699" xr:uid="{00000000-0004-0000-0000-00005A120000}"/>
    <hyperlink ref="B4939" r:id="rId4700" xr:uid="{00000000-0004-0000-0000-00005B120000}"/>
    <hyperlink ref="B4940" r:id="rId4701" xr:uid="{00000000-0004-0000-0000-00005C120000}"/>
    <hyperlink ref="B4941" r:id="rId4702" xr:uid="{00000000-0004-0000-0000-00005D120000}"/>
    <hyperlink ref="B4942" r:id="rId4703" xr:uid="{00000000-0004-0000-0000-00005E120000}"/>
    <hyperlink ref="B4943" r:id="rId4704" xr:uid="{00000000-0004-0000-0000-00005F120000}"/>
    <hyperlink ref="B4944" r:id="rId4705" xr:uid="{00000000-0004-0000-0000-000060120000}"/>
    <hyperlink ref="B4945" r:id="rId4706" xr:uid="{00000000-0004-0000-0000-000061120000}"/>
    <hyperlink ref="B4946" r:id="rId4707" xr:uid="{00000000-0004-0000-0000-000062120000}"/>
    <hyperlink ref="B4947" r:id="rId4708" xr:uid="{00000000-0004-0000-0000-000063120000}"/>
    <hyperlink ref="B4948" r:id="rId4709" xr:uid="{00000000-0004-0000-0000-000064120000}"/>
    <hyperlink ref="B4949" r:id="rId4710" xr:uid="{00000000-0004-0000-0000-000065120000}"/>
    <hyperlink ref="B4951" r:id="rId4711" xr:uid="{00000000-0004-0000-0000-000066120000}"/>
    <hyperlink ref="A4952" r:id="rId4712" xr:uid="{00000000-0004-0000-0000-000067120000}"/>
    <hyperlink ref="B4952" r:id="rId4713" xr:uid="{00000000-0004-0000-0000-000068120000}"/>
    <hyperlink ref="B4953" r:id="rId4714" xr:uid="{00000000-0004-0000-0000-000069120000}"/>
    <hyperlink ref="B4954" r:id="rId4715" xr:uid="{00000000-0004-0000-0000-00006A120000}"/>
    <hyperlink ref="B4955" r:id="rId4716" xr:uid="{00000000-0004-0000-0000-00006B120000}"/>
    <hyperlink ref="B4956" r:id="rId4717" xr:uid="{00000000-0004-0000-0000-00006C120000}"/>
    <hyperlink ref="B4957" r:id="rId4718" xr:uid="{00000000-0004-0000-0000-00006D120000}"/>
    <hyperlink ref="B4958" r:id="rId4719" xr:uid="{00000000-0004-0000-0000-00006E120000}"/>
    <hyperlink ref="B4959" r:id="rId4720" xr:uid="{00000000-0004-0000-0000-00006F120000}"/>
    <hyperlink ref="B4960" r:id="rId4721" xr:uid="{00000000-0004-0000-0000-000070120000}"/>
    <hyperlink ref="B4961" r:id="rId4722" xr:uid="{00000000-0004-0000-0000-000071120000}"/>
    <hyperlink ref="B4962" r:id="rId4723" xr:uid="{00000000-0004-0000-0000-000072120000}"/>
    <hyperlink ref="B4963" r:id="rId4724" xr:uid="{00000000-0004-0000-0000-000073120000}"/>
    <hyperlink ref="B4964" r:id="rId4725" xr:uid="{00000000-0004-0000-0000-000074120000}"/>
    <hyperlink ref="B4965" r:id="rId4726" xr:uid="{00000000-0004-0000-0000-000075120000}"/>
    <hyperlink ref="B4966" r:id="rId4727" xr:uid="{00000000-0004-0000-0000-000076120000}"/>
    <hyperlink ref="B4967" r:id="rId4728" xr:uid="{00000000-0004-0000-0000-000077120000}"/>
    <hyperlink ref="B4968" r:id="rId4729" xr:uid="{00000000-0004-0000-0000-000078120000}"/>
    <hyperlink ref="B4970" r:id="rId4730" xr:uid="{00000000-0004-0000-0000-000079120000}"/>
    <hyperlink ref="A4971" r:id="rId4731" xr:uid="{00000000-0004-0000-0000-00007A120000}"/>
    <hyperlink ref="B4971" r:id="rId4732" xr:uid="{00000000-0004-0000-0000-00007B120000}"/>
    <hyperlink ref="B4972" r:id="rId4733" xr:uid="{00000000-0004-0000-0000-00007C120000}"/>
    <hyperlink ref="B4973" r:id="rId4734" xr:uid="{00000000-0004-0000-0000-00007D120000}"/>
    <hyperlink ref="B4974" r:id="rId4735" xr:uid="{00000000-0004-0000-0000-00007E120000}"/>
    <hyperlink ref="B4975" r:id="rId4736" xr:uid="{00000000-0004-0000-0000-00007F120000}"/>
    <hyperlink ref="B4976" r:id="rId4737" xr:uid="{00000000-0004-0000-0000-000080120000}"/>
    <hyperlink ref="B4977" r:id="rId4738" xr:uid="{00000000-0004-0000-0000-000081120000}"/>
    <hyperlink ref="B4978" r:id="rId4739" xr:uid="{00000000-0004-0000-0000-000082120000}"/>
    <hyperlink ref="B4979" r:id="rId4740" xr:uid="{00000000-0004-0000-0000-000083120000}"/>
    <hyperlink ref="B4980" r:id="rId4741" xr:uid="{00000000-0004-0000-0000-000084120000}"/>
    <hyperlink ref="B4981" r:id="rId4742" xr:uid="{00000000-0004-0000-0000-000085120000}"/>
    <hyperlink ref="B4982" r:id="rId4743" xr:uid="{00000000-0004-0000-0000-000086120000}"/>
    <hyperlink ref="B4983" r:id="rId4744" xr:uid="{00000000-0004-0000-0000-000087120000}"/>
    <hyperlink ref="B4984" r:id="rId4745" xr:uid="{00000000-0004-0000-0000-000088120000}"/>
    <hyperlink ref="B4985" r:id="rId4746" xr:uid="{00000000-0004-0000-0000-000089120000}"/>
    <hyperlink ref="B4986" r:id="rId4747" xr:uid="{00000000-0004-0000-0000-00008A120000}"/>
    <hyperlink ref="A4988" r:id="rId4748" xr:uid="{00000000-0004-0000-0000-00008B120000}"/>
    <hyperlink ref="B4988" r:id="rId4749" xr:uid="{00000000-0004-0000-0000-00008C120000}"/>
    <hyperlink ref="A4989" r:id="rId4750" xr:uid="{00000000-0004-0000-0000-00008D120000}"/>
    <hyperlink ref="B4989" r:id="rId4751" xr:uid="{00000000-0004-0000-0000-00008E120000}"/>
    <hyperlink ref="B4990" r:id="rId4752" xr:uid="{00000000-0004-0000-0000-00008F120000}"/>
    <hyperlink ref="B4991" r:id="rId4753" xr:uid="{00000000-0004-0000-0000-000090120000}"/>
    <hyperlink ref="B4992" r:id="rId4754" xr:uid="{00000000-0004-0000-0000-000091120000}"/>
    <hyperlink ref="B4993" r:id="rId4755" xr:uid="{00000000-0004-0000-0000-000092120000}"/>
    <hyperlink ref="B4994" r:id="rId4756" xr:uid="{00000000-0004-0000-0000-000093120000}"/>
    <hyperlink ref="B4995" r:id="rId4757" xr:uid="{00000000-0004-0000-0000-000094120000}"/>
    <hyperlink ref="B4996" r:id="rId4758" xr:uid="{00000000-0004-0000-0000-000095120000}"/>
    <hyperlink ref="B4997" r:id="rId4759" xr:uid="{00000000-0004-0000-0000-000096120000}"/>
    <hyperlink ref="B4998" r:id="rId4760" xr:uid="{00000000-0004-0000-0000-000097120000}"/>
    <hyperlink ref="B4999" r:id="rId4761" xr:uid="{00000000-0004-0000-0000-000098120000}"/>
    <hyperlink ref="B5000" r:id="rId4762" xr:uid="{00000000-0004-0000-0000-000099120000}"/>
    <hyperlink ref="B5001" r:id="rId4763" xr:uid="{00000000-0004-0000-0000-00009A120000}"/>
    <hyperlink ref="B5002" r:id="rId4764" xr:uid="{00000000-0004-0000-0000-00009B120000}"/>
    <hyperlink ref="B5003" r:id="rId4765" xr:uid="{00000000-0004-0000-0000-00009C120000}"/>
    <hyperlink ref="B5004" r:id="rId4766" xr:uid="{00000000-0004-0000-0000-00009D120000}"/>
    <hyperlink ref="B5005" r:id="rId4767" xr:uid="{00000000-0004-0000-0000-00009E120000}"/>
    <hyperlink ref="B5006" r:id="rId4768" xr:uid="{00000000-0004-0000-0000-00009F120000}"/>
    <hyperlink ref="B5007" r:id="rId4769" xr:uid="{00000000-0004-0000-0000-0000A0120000}"/>
    <hyperlink ref="B5008" r:id="rId4770" xr:uid="{00000000-0004-0000-0000-0000A1120000}"/>
    <hyperlink ref="B5009" r:id="rId4771" xr:uid="{00000000-0004-0000-0000-0000A2120000}"/>
    <hyperlink ref="B5010" r:id="rId4772" xr:uid="{00000000-0004-0000-0000-0000A3120000}"/>
    <hyperlink ref="B5011" r:id="rId4773" xr:uid="{00000000-0004-0000-0000-0000A4120000}"/>
    <hyperlink ref="B5013" r:id="rId4774" xr:uid="{00000000-0004-0000-0000-0000A5120000}"/>
    <hyperlink ref="A5014" r:id="rId4775" xr:uid="{00000000-0004-0000-0000-0000A6120000}"/>
    <hyperlink ref="B5014" r:id="rId4776" xr:uid="{00000000-0004-0000-0000-0000A7120000}"/>
    <hyperlink ref="B5015" r:id="rId4777" xr:uid="{00000000-0004-0000-0000-0000A8120000}"/>
    <hyperlink ref="B5016" r:id="rId4778" xr:uid="{00000000-0004-0000-0000-0000A9120000}"/>
    <hyperlink ref="B5017" r:id="rId4779" xr:uid="{00000000-0004-0000-0000-0000AA120000}"/>
    <hyperlink ref="B5018" r:id="rId4780" xr:uid="{00000000-0004-0000-0000-0000AB120000}"/>
    <hyperlink ref="B5019" r:id="rId4781" xr:uid="{00000000-0004-0000-0000-0000AC120000}"/>
    <hyperlink ref="B5020" r:id="rId4782" xr:uid="{00000000-0004-0000-0000-0000AD120000}"/>
    <hyperlink ref="B5021" r:id="rId4783" xr:uid="{00000000-0004-0000-0000-0000AE120000}"/>
    <hyperlink ref="B5022" r:id="rId4784" xr:uid="{00000000-0004-0000-0000-0000AF120000}"/>
    <hyperlink ref="B5023" r:id="rId4785" xr:uid="{00000000-0004-0000-0000-0000B0120000}"/>
    <hyperlink ref="B5024" r:id="rId4786" xr:uid="{00000000-0004-0000-0000-0000B1120000}"/>
    <hyperlink ref="B5025" r:id="rId4787" xr:uid="{00000000-0004-0000-0000-0000B2120000}"/>
    <hyperlink ref="B5026" r:id="rId4788" xr:uid="{00000000-0004-0000-0000-0000B3120000}"/>
    <hyperlink ref="B5027" r:id="rId4789" xr:uid="{00000000-0004-0000-0000-0000B4120000}"/>
    <hyperlink ref="B5028" r:id="rId4790" xr:uid="{00000000-0004-0000-0000-0000B5120000}"/>
    <hyperlink ref="A5032" r:id="rId4791" xr:uid="{00000000-0004-0000-0000-0000B6120000}"/>
    <hyperlink ref="B5051" r:id="rId4792" xr:uid="{00000000-0004-0000-0000-0000B7120000}"/>
    <hyperlink ref="A5052" r:id="rId4793" xr:uid="{00000000-0004-0000-0000-0000B8120000}"/>
    <hyperlink ref="B5052" r:id="rId4794" xr:uid="{00000000-0004-0000-0000-0000B9120000}"/>
    <hyperlink ref="B5053" r:id="rId4795" xr:uid="{00000000-0004-0000-0000-0000BA120000}"/>
    <hyperlink ref="B5054" r:id="rId4796" xr:uid="{00000000-0004-0000-0000-0000BB120000}"/>
    <hyperlink ref="B5055" r:id="rId4797" xr:uid="{00000000-0004-0000-0000-0000BC120000}"/>
    <hyperlink ref="B5056" r:id="rId4798" xr:uid="{00000000-0004-0000-0000-0000BD120000}"/>
    <hyperlink ref="B5057" r:id="rId4799" xr:uid="{00000000-0004-0000-0000-0000BE120000}"/>
    <hyperlink ref="B5058" r:id="rId4800" xr:uid="{00000000-0004-0000-0000-0000BF120000}"/>
    <hyperlink ref="B5059" r:id="rId4801" xr:uid="{00000000-0004-0000-0000-0000C0120000}"/>
    <hyperlink ref="B5060" r:id="rId4802" xr:uid="{00000000-0004-0000-0000-0000C1120000}"/>
    <hyperlink ref="B5061" r:id="rId4803" xr:uid="{00000000-0004-0000-0000-0000C2120000}"/>
    <hyperlink ref="B5062" r:id="rId4804" xr:uid="{00000000-0004-0000-0000-0000C3120000}"/>
    <hyperlink ref="B5063" r:id="rId4805" xr:uid="{00000000-0004-0000-0000-0000C4120000}"/>
    <hyperlink ref="B5064" r:id="rId4806" xr:uid="{00000000-0004-0000-0000-0000C5120000}"/>
    <hyperlink ref="B5065" r:id="rId4807" xr:uid="{00000000-0004-0000-0000-0000C6120000}"/>
    <hyperlink ref="B5066" r:id="rId4808" xr:uid="{00000000-0004-0000-0000-0000C7120000}"/>
    <hyperlink ref="B5067" r:id="rId4809" xr:uid="{00000000-0004-0000-0000-0000C8120000}"/>
    <hyperlink ref="B5068" r:id="rId4810" xr:uid="{00000000-0004-0000-0000-0000C9120000}"/>
    <hyperlink ref="B5069" r:id="rId4811" xr:uid="{00000000-0004-0000-0000-0000CA120000}"/>
    <hyperlink ref="B5070" r:id="rId4812" xr:uid="{00000000-0004-0000-0000-0000CB120000}"/>
    <hyperlink ref="B5071" r:id="rId4813" xr:uid="{00000000-0004-0000-0000-0000CC120000}"/>
    <hyperlink ref="B5072" r:id="rId4814" xr:uid="{00000000-0004-0000-0000-0000CD120000}"/>
    <hyperlink ref="B5073" r:id="rId4815" xr:uid="{00000000-0004-0000-0000-0000CE120000}"/>
    <hyperlink ref="B5074" r:id="rId4816" xr:uid="{00000000-0004-0000-0000-0000CF120000}"/>
    <hyperlink ref="B5075" r:id="rId4817" xr:uid="{00000000-0004-0000-0000-0000D0120000}"/>
    <hyperlink ref="B5076" r:id="rId4818" xr:uid="{00000000-0004-0000-0000-0000D1120000}"/>
    <hyperlink ref="B5077" r:id="rId4819" xr:uid="{00000000-0004-0000-0000-0000D2120000}"/>
    <hyperlink ref="B5078" r:id="rId4820" xr:uid="{00000000-0004-0000-0000-0000D3120000}"/>
    <hyperlink ref="B5079" r:id="rId4821" xr:uid="{00000000-0004-0000-0000-0000D4120000}"/>
    <hyperlink ref="B5080" r:id="rId4822" xr:uid="{00000000-0004-0000-0000-0000D5120000}"/>
    <hyperlink ref="B5081" r:id="rId4823" xr:uid="{00000000-0004-0000-0000-0000D6120000}"/>
    <hyperlink ref="B5082" r:id="rId4824" xr:uid="{00000000-0004-0000-0000-0000D7120000}"/>
    <hyperlink ref="B5084" r:id="rId4825" xr:uid="{00000000-0004-0000-0000-0000D8120000}"/>
    <hyperlink ref="A5085" r:id="rId4826" xr:uid="{00000000-0004-0000-0000-0000D9120000}"/>
    <hyperlink ref="B5085" r:id="rId4827" xr:uid="{00000000-0004-0000-0000-0000DA120000}"/>
    <hyperlink ref="B5086" r:id="rId4828" xr:uid="{00000000-0004-0000-0000-0000DB120000}"/>
    <hyperlink ref="B5087" r:id="rId4829" xr:uid="{00000000-0004-0000-0000-0000DC120000}"/>
    <hyperlink ref="B5088" r:id="rId4830" xr:uid="{00000000-0004-0000-0000-0000DD120000}"/>
    <hyperlink ref="B5089" r:id="rId4831" xr:uid="{00000000-0004-0000-0000-0000DE120000}"/>
    <hyperlink ref="B5090" r:id="rId4832" xr:uid="{00000000-0004-0000-0000-0000DF120000}"/>
    <hyperlink ref="B5091" r:id="rId4833" xr:uid="{00000000-0004-0000-0000-0000E0120000}"/>
    <hyperlink ref="B5092" r:id="rId4834" xr:uid="{00000000-0004-0000-0000-0000E1120000}"/>
    <hyperlink ref="B5093" r:id="rId4835" xr:uid="{00000000-0004-0000-0000-0000E2120000}"/>
    <hyperlink ref="B5094" r:id="rId4836" xr:uid="{00000000-0004-0000-0000-0000E3120000}"/>
    <hyperlink ref="B5095" r:id="rId4837" xr:uid="{00000000-0004-0000-0000-0000E4120000}"/>
    <hyperlink ref="B5096" r:id="rId4838" xr:uid="{00000000-0004-0000-0000-0000E5120000}"/>
    <hyperlink ref="B5097" r:id="rId4839" xr:uid="{00000000-0004-0000-0000-0000E6120000}"/>
    <hyperlink ref="B5102" r:id="rId4840" xr:uid="{00000000-0004-0000-0000-0000E7120000}"/>
    <hyperlink ref="A5103" r:id="rId4841" xr:uid="{00000000-0004-0000-0000-0000E8120000}"/>
    <hyperlink ref="B5103" r:id="rId4842" xr:uid="{00000000-0004-0000-0000-0000E9120000}"/>
    <hyperlink ref="B5104" r:id="rId4843" xr:uid="{00000000-0004-0000-0000-0000EA120000}"/>
    <hyperlink ref="B5105" r:id="rId4844" xr:uid="{00000000-0004-0000-0000-0000EB120000}"/>
    <hyperlink ref="B5106" r:id="rId4845" xr:uid="{00000000-0004-0000-0000-0000EC120000}"/>
    <hyperlink ref="B5107" r:id="rId4846" xr:uid="{00000000-0004-0000-0000-0000ED120000}"/>
    <hyperlink ref="B5108" r:id="rId4847" xr:uid="{00000000-0004-0000-0000-0000EE120000}"/>
    <hyperlink ref="B5109" r:id="rId4848" xr:uid="{00000000-0004-0000-0000-0000EF120000}"/>
    <hyperlink ref="B5110" r:id="rId4849" xr:uid="{00000000-0004-0000-0000-0000F0120000}"/>
    <hyperlink ref="B5111" r:id="rId4850" xr:uid="{00000000-0004-0000-0000-0000F1120000}"/>
    <hyperlink ref="B5112" r:id="rId4851" xr:uid="{00000000-0004-0000-0000-0000F2120000}"/>
    <hyperlink ref="B5113" r:id="rId4852" xr:uid="{00000000-0004-0000-0000-0000F3120000}"/>
    <hyperlink ref="B5114" r:id="rId4853" xr:uid="{00000000-0004-0000-0000-0000F4120000}"/>
    <hyperlink ref="B5115" r:id="rId4854" xr:uid="{00000000-0004-0000-0000-0000F5120000}"/>
    <hyperlink ref="B5116" r:id="rId4855" xr:uid="{00000000-0004-0000-0000-0000F6120000}"/>
    <hyperlink ref="B5117" r:id="rId4856" xr:uid="{00000000-0004-0000-0000-0000F7120000}"/>
    <hyperlink ref="B5118" r:id="rId4857" xr:uid="{00000000-0004-0000-0000-0000F8120000}"/>
    <hyperlink ref="B5120" r:id="rId4858" xr:uid="{00000000-0004-0000-0000-0000F9120000}"/>
    <hyperlink ref="A5121" r:id="rId4859" xr:uid="{00000000-0004-0000-0000-0000FA120000}"/>
    <hyperlink ref="B5121" r:id="rId4860" xr:uid="{00000000-0004-0000-0000-0000FB120000}"/>
    <hyperlink ref="B5122" r:id="rId4861" xr:uid="{00000000-0004-0000-0000-0000FC120000}"/>
    <hyperlink ref="B5123" r:id="rId4862" xr:uid="{00000000-0004-0000-0000-0000FD120000}"/>
    <hyperlink ref="B5124" r:id="rId4863" xr:uid="{00000000-0004-0000-0000-0000FE120000}"/>
    <hyperlink ref="B5125" r:id="rId4864" xr:uid="{00000000-0004-0000-0000-0000FF120000}"/>
    <hyperlink ref="B5126" r:id="rId4865" xr:uid="{00000000-0004-0000-0000-000000130000}"/>
    <hyperlink ref="B5127" r:id="rId4866" xr:uid="{00000000-0004-0000-0000-000001130000}"/>
    <hyperlink ref="B5128" r:id="rId4867" xr:uid="{00000000-0004-0000-0000-000002130000}"/>
    <hyperlink ref="B5129" r:id="rId4868" xr:uid="{00000000-0004-0000-0000-000003130000}"/>
    <hyperlink ref="B5130" r:id="rId4869" xr:uid="{00000000-0004-0000-0000-000004130000}"/>
    <hyperlink ref="B5131" r:id="rId4870" xr:uid="{00000000-0004-0000-0000-000005130000}"/>
    <hyperlink ref="B5132" r:id="rId4871" xr:uid="{00000000-0004-0000-0000-000006130000}"/>
    <hyperlink ref="B5133" r:id="rId4872" xr:uid="{00000000-0004-0000-0000-000007130000}"/>
    <hyperlink ref="B5134" r:id="rId4873" xr:uid="{00000000-0004-0000-0000-000008130000}"/>
    <hyperlink ref="B5135" r:id="rId4874" xr:uid="{00000000-0004-0000-0000-000009130000}"/>
    <hyperlink ref="B5136" r:id="rId4875" xr:uid="{00000000-0004-0000-0000-00000A130000}"/>
    <hyperlink ref="B5137" r:id="rId4876" xr:uid="{00000000-0004-0000-0000-00000B130000}"/>
    <hyperlink ref="B5138" r:id="rId4877" xr:uid="{00000000-0004-0000-0000-00000C130000}"/>
    <hyperlink ref="B5139" r:id="rId4878" xr:uid="{00000000-0004-0000-0000-00000D130000}"/>
    <hyperlink ref="B5140" r:id="rId4879" xr:uid="{00000000-0004-0000-0000-00000E130000}"/>
    <hyperlink ref="B5141" r:id="rId4880" xr:uid="{00000000-0004-0000-0000-00000F130000}"/>
    <hyperlink ref="B5143" r:id="rId4881" xr:uid="{00000000-0004-0000-0000-000010130000}"/>
    <hyperlink ref="A5144" r:id="rId4882" xr:uid="{00000000-0004-0000-0000-000011130000}"/>
    <hyperlink ref="B5144" r:id="rId4883" xr:uid="{00000000-0004-0000-0000-000012130000}"/>
    <hyperlink ref="B5145" r:id="rId4884" xr:uid="{00000000-0004-0000-0000-000013130000}"/>
    <hyperlink ref="B5146" r:id="rId4885" xr:uid="{00000000-0004-0000-0000-000014130000}"/>
    <hyperlink ref="B5147" r:id="rId4886" xr:uid="{00000000-0004-0000-0000-000015130000}"/>
    <hyperlink ref="B5148" r:id="rId4887" xr:uid="{00000000-0004-0000-0000-000016130000}"/>
    <hyperlink ref="B5149" r:id="rId4888" xr:uid="{00000000-0004-0000-0000-000017130000}"/>
    <hyperlink ref="B5150" r:id="rId4889" xr:uid="{00000000-0004-0000-0000-000018130000}"/>
    <hyperlink ref="B5151" r:id="rId4890" xr:uid="{00000000-0004-0000-0000-000019130000}"/>
    <hyperlink ref="B5152" r:id="rId4891" xr:uid="{00000000-0004-0000-0000-00001A130000}"/>
    <hyperlink ref="B5153" r:id="rId4892" xr:uid="{00000000-0004-0000-0000-00001B130000}"/>
    <hyperlink ref="B5154" r:id="rId4893" xr:uid="{00000000-0004-0000-0000-00001C130000}"/>
    <hyperlink ref="B5155" r:id="rId4894" xr:uid="{00000000-0004-0000-0000-00001D130000}"/>
    <hyperlink ref="B5156" r:id="rId4895" xr:uid="{00000000-0004-0000-0000-00001E130000}"/>
    <hyperlink ref="B5157" r:id="rId4896" xr:uid="{00000000-0004-0000-0000-00001F130000}"/>
    <hyperlink ref="B5161" r:id="rId4897" xr:uid="{00000000-0004-0000-0000-000020130000}"/>
    <hyperlink ref="A5162" r:id="rId4898" xr:uid="{00000000-0004-0000-0000-000021130000}"/>
    <hyperlink ref="B5162" r:id="rId4899" xr:uid="{00000000-0004-0000-0000-000022130000}"/>
    <hyperlink ref="B5163" r:id="rId4900" xr:uid="{00000000-0004-0000-0000-000023130000}"/>
    <hyperlink ref="B5164" r:id="rId4901" xr:uid="{00000000-0004-0000-0000-000024130000}"/>
    <hyperlink ref="B5165" r:id="rId4902" xr:uid="{00000000-0004-0000-0000-000025130000}"/>
    <hyperlink ref="B5166" r:id="rId4903" xr:uid="{00000000-0004-0000-0000-000026130000}"/>
    <hyperlink ref="B5167" r:id="rId4904" xr:uid="{00000000-0004-0000-0000-000027130000}"/>
    <hyperlink ref="B5168" r:id="rId4905" xr:uid="{00000000-0004-0000-0000-000028130000}"/>
    <hyperlink ref="B5169" r:id="rId4906" xr:uid="{00000000-0004-0000-0000-000029130000}"/>
    <hyperlink ref="B5170" r:id="rId4907" xr:uid="{00000000-0004-0000-0000-00002A130000}"/>
    <hyperlink ref="B5171" r:id="rId4908" xr:uid="{00000000-0004-0000-0000-00002B130000}"/>
    <hyperlink ref="B5172" r:id="rId4909" xr:uid="{00000000-0004-0000-0000-00002C130000}"/>
    <hyperlink ref="B5173" r:id="rId4910" xr:uid="{00000000-0004-0000-0000-00002D130000}"/>
    <hyperlink ref="B5174" r:id="rId4911" xr:uid="{00000000-0004-0000-0000-00002E130000}"/>
    <hyperlink ref="B5175" r:id="rId4912" xr:uid="{00000000-0004-0000-0000-00002F130000}"/>
    <hyperlink ref="B5176" r:id="rId4913" xr:uid="{00000000-0004-0000-0000-000030130000}"/>
    <hyperlink ref="B5177" r:id="rId4914" xr:uid="{00000000-0004-0000-0000-000031130000}"/>
    <hyperlink ref="B5178" r:id="rId4915" xr:uid="{00000000-0004-0000-0000-000032130000}"/>
    <hyperlink ref="B5179" r:id="rId4916" xr:uid="{00000000-0004-0000-0000-000033130000}"/>
    <hyperlink ref="B5180" r:id="rId4917" xr:uid="{00000000-0004-0000-0000-000034130000}"/>
    <hyperlink ref="A5183" r:id="rId4918" xr:uid="{00000000-0004-0000-0000-000035130000}"/>
    <hyperlink ref="B5183" r:id="rId4919" xr:uid="{00000000-0004-0000-0000-000036130000}"/>
    <hyperlink ref="B5184" r:id="rId4920" xr:uid="{00000000-0004-0000-0000-000037130000}"/>
    <hyperlink ref="B5185" r:id="rId4921" xr:uid="{00000000-0004-0000-0000-000038130000}"/>
    <hyperlink ref="B5186" r:id="rId4922" xr:uid="{00000000-0004-0000-0000-000039130000}"/>
    <hyperlink ref="B5187" r:id="rId4923" xr:uid="{00000000-0004-0000-0000-00003A130000}"/>
    <hyperlink ref="B5188" r:id="rId4924" xr:uid="{00000000-0004-0000-0000-00003B130000}"/>
    <hyperlink ref="B5189" r:id="rId4925" xr:uid="{00000000-0004-0000-0000-00003C130000}"/>
    <hyperlink ref="B5190" r:id="rId4926" xr:uid="{00000000-0004-0000-0000-00003D130000}"/>
    <hyperlink ref="B5191" r:id="rId4927" xr:uid="{00000000-0004-0000-0000-00003E130000}"/>
    <hyperlink ref="B5192" r:id="rId4928" xr:uid="{00000000-0004-0000-0000-00003F130000}"/>
    <hyperlink ref="B5193" r:id="rId4929" xr:uid="{00000000-0004-0000-0000-000040130000}"/>
    <hyperlink ref="B5194" r:id="rId4930" xr:uid="{00000000-0004-0000-0000-000041130000}"/>
    <hyperlink ref="B5195" r:id="rId4931" xr:uid="{00000000-0004-0000-0000-000042130000}"/>
    <hyperlink ref="B5196" r:id="rId4932" xr:uid="{00000000-0004-0000-0000-000043130000}"/>
    <hyperlink ref="B5197" r:id="rId4933" xr:uid="{00000000-0004-0000-0000-000044130000}"/>
    <hyperlink ref="B5198" r:id="rId4934" xr:uid="{00000000-0004-0000-0000-000045130000}"/>
    <hyperlink ref="B5199" r:id="rId4935" xr:uid="{00000000-0004-0000-0000-000046130000}"/>
    <hyperlink ref="B5200" r:id="rId4936" xr:uid="{00000000-0004-0000-0000-000047130000}"/>
    <hyperlink ref="B5201" r:id="rId4937" xr:uid="{00000000-0004-0000-0000-000048130000}"/>
    <hyperlink ref="B5202" r:id="rId4938" xr:uid="{00000000-0004-0000-0000-000049130000}"/>
    <hyperlink ref="B5203" r:id="rId4939" xr:uid="{00000000-0004-0000-0000-00004A130000}"/>
    <hyperlink ref="B5204" r:id="rId4940" xr:uid="{00000000-0004-0000-0000-00004B130000}"/>
    <hyperlink ref="B5205" r:id="rId4941" xr:uid="{00000000-0004-0000-0000-00004C130000}"/>
    <hyperlink ref="B5206" r:id="rId4942" xr:uid="{00000000-0004-0000-0000-00004D130000}"/>
    <hyperlink ref="B5207" r:id="rId4943" xr:uid="{00000000-0004-0000-0000-00004E130000}"/>
    <hyperlink ref="B5208" r:id="rId4944" xr:uid="{00000000-0004-0000-0000-00004F130000}"/>
    <hyperlink ref="B5209" r:id="rId4945" xr:uid="{00000000-0004-0000-0000-000050130000}"/>
    <hyperlink ref="B5210" r:id="rId4946" xr:uid="{00000000-0004-0000-0000-000051130000}"/>
    <hyperlink ref="A5213" r:id="rId4947" xr:uid="{00000000-0004-0000-0000-000052130000}"/>
    <hyperlink ref="B5213" r:id="rId4948" xr:uid="{00000000-0004-0000-0000-000053130000}"/>
    <hyperlink ref="B5214" r:id="rId4949" xr:uid="{00000000-0004-0000-0000-000054130000}"/>
    <hyperlink ref="B5215" r:id="rId4950" xr:uid="{00000000-0004-0000-0000-000055130000}"/>
    <hyperlink ref="B5216" r:id="rId4951" xr:uid="{00000000-0004-0000-0000-000056130000}"/>
    <hyperlink ref="B5217" r:id="rId4952" xr:uid="{00000000-0004-0000-0000-000057130000}"/>
    <hyperlink ref="B5218" r:id="rId4953" xr:uid="{00000000-0004-0000-0000-000058130000}"/>
    <hyperlink ref="B5219" r:id="rId4954" xr:uid="{00000000-0004-0000-0000-000059130000}"/>
    <hyperlink ref="B5220" r:id="rId4955" xr:uid="{00000000-0004-0000-0000-00005A130000}"/>
    <hyperlink ref="B5221" r:id="rId4956" xr:uid="{00000000-0004-0000-0000-00005B130000}"/>
    <hyperlink ref="B5222" r:id="rId4957" xr:uid="{00000000-0004-0000-0000-00005C130000}"/>
    <hyperlink ref="B5223" r:id="rId4958" xr:uid="{00000000-0004-0000-0000-00005D130000}"/>
    <hyperlink ref="B5224" r:id="rId4959" xr:uid="{00000000-0004-0000-0000-00005E130000}"/>
    <hyperlink ref="B5225" r:id="rId4960" xr:uid="{00000000-0004-0000-0000-00005F130000}"/>
    <hyperlink ref="B5226" r:id="rId4961" xr:uid="{00000000-0004-0000-0000-000060130000}"/>
    <hyperlink ref="A5231" r:id="rId4962" xr:uid="{00000000-0004-0000-0000-000061130000}"/>
    <hyperlink ref="B5248" r:id="rId4963" xr:uid="{00000000-0004-0000-0000-000062130000}"/>
    <hyperlink ref="A5249" r:id="rId4964" xr:uid="{00000000-0004-0000-0000-000063130000}"/>
    <hyperlink ref="B5249" r:id="rId4965" xr:uid="{00000000-0004-0000-0000-000064130000}"/>
    <hyperlink ref="B5250" r:id="rId4966" xr:uid="{00000000-0004-0000-0000-000065130000}"/>
    <hyperlink ref="B5251" r:id="rId4967" xr:uid="{00000000-0004-0000-0000-000066130000}"/>
    <hyperlink ref="B5252" r:id="rId4968" xr:uid="{00000000-0004-0000-0000-000067130000}"/>
    <hyperlink ref="B5253" r:id="rId4969" xr:uid="{00000000-0004-0000-0000-000068130000}"/>
    <hyperlink ref="B5254" r:id="rId4970" xr:uid="{00000000-0004-0000-0000-000069130000}"/>
    <hyperlink ref="B5255" r:id="rId4971" xr:uid="{00000000-0004-0000-0000-00006A130000}"/>
    <hyperlink ref="B5256" r:id="rId4972" xr:uid="{00000000-0004-0000-0000-00006B130000}"/>
    <hyperlink ref="B5257" r:id="rId4973" xr:uid="{00000000-0004-0000-0000-00006C130000}"/>
    <hyperlink ref="B5258" r:id="rId4974" xr:uid="{00000000-0004-0000-0000-00006D130000}"/>
    <hyperlink ref="B5259" r:id="rId4975" xr:uid="{00000000-0004-0000-0000-00006E130000}"/>
    <hyperlink ref="B5260" r:id="rId4976" xr:uid="{00000000-0004-0000-0000-00006F130000}"/>
    <hyperlink ref="B5261" r:id="rId4977" xr:uid="{00000000-0004-0000-0000-000070130000}"/>
    <hyperlink ref="B5266" r:id="rId4978" xr:uid="{00000000-0004-0000-0000-000071130000}"/>
    <hyperlink ref="A5267" r:id="rId4979" xr:uid="{00000000-0004-0000-0000-000072130000}"/>
    <hyperlink ref="B5267" r:id="rId4980" xr:uid="{00000000-0004-0000-0000-000073130000}"/>
    <hyperlink ref="B5268" r:id="rId4981" xr:uid="{00000000-0004-0000-0000-000074130000}"/>
    <hyperlink ref="B5269" r:id="rId4982" xr:uid="{00000000-0004-0000-0000-000075130000}"/>
    <hyperlink ref="B5270" r:id="rId4983" xr:uid="{00000000-0004-0000-0000-000076130000}"/>
    <hyperlink ref="B5271" r:id="rId4984" xr:uid="{00000000-0004-0000-0000-000077130000}"/>
    <hyperlink ref="B5272" r:id="rId4985" xr:uid="{00000000-0004-0000-0000-000078130000}"/>
    <hyperlink ref="B5273" r:id="rId4986" xr:uid="{00000000-0004-0000-0000-000079130000}"/>
    <hyperlink ref="B5274" r:id="rId4987" xr:uid="{00000000-0004-0000-0000-00007A130000}"/>
    <hyperlink ref="B5275" r:id="rId4988" xr:uid="{00000000-0004-0000-0000-00007B130000}"/>
    <hyperlink ref="B5276" r:id="rId4989" xr:uid="{00000000-0004-0000-0000-00007C130000}"/>
    <hyperlink ref="B5277" r:id="rId4990" xr:uid="{00000000-0004-0000-0000-00007D130000}"/>
    <hyperlink ref="B5278" r:id="rId4991" xr:uid="{00000000-0004-0000-0000-00007E130000}"/>
    <hyperlink ref="B5279" r:id="rId4992" xr:uid="{00000000-0004-0000-0000-00007F130000}"/>
    <hyperlink ref="B5280" r:id="rId4993" xr:uid="{00000000-0004-0000-0000-000080130000}"/>
    <hyperlink ref="B5281" r:id="rId4994" xr:uid="{00000000-0004-0000-0000-000081130000}"/>
    <hyperlink ref="B5282" r:id="rId4995" xr:uid="{00000000-0004-0000-0000-000082130000}"/>
    <hyperlink ref="B5283" r:id="rId4996" xr:uid="{00000000-0004-0000-0000-000083130000}"/>
    <hyperlink ref="B5284" r:id="rId4997" xr:uid="{00000000-0004-0000-0000-000084130000}"/>
    <hyperlink ref="B5285" r:id="rId4998" xr:uid="{00000000-0004-0000-0000-000085130000}"/>
    <hyperlink ref="B5287" r:id="rId4999" xr:uid="{00000000-0004-0000-0000-000086130000}"/>
    <hyperlink ref="A5288" r:id="rId5000" xr:uid="{00000000-0004-0000-0000-000087130000}"/>
    <hyperlink ref="B5288" r:id="rId5001" xr:uid="{00000000-0004-0000-0000-000088130000}"/>
    <hyperlink ref="B5289" r:id="rId5002" xr:uid="{00000000-0004-0000-0000-000089130000}"/>
    <hyperlink ref="B5290" r:id="rId5003" xr:uid="{00000000-0004-0000-0000-00008A130000}"/>
    <hyperlink ref="B5291" r:id="rId5004" xr:uid="{00000000-0004-0000-0000-00008B130000}"/>
    <hyperlink ref="B5292" r:id="rId5005" xr:uid="{00000000-0004-0000-0000-00008C130000}"/>
    <hyperlink ref="B5293" r:id="rId5006" xr:uid="{00000000-0004-0000-0000-00008D130000}"/>
    <hyperlink ref="B5294" r:id="rId5007" xr:uid="{00000000-0004-0000-0000-00008E130000}"/>
    <hyperlink ref="B5295" r:id="rId5008" xr:uid="{00000000-0004-0000-0000-00008F130000}"/>
    <hyperlink ref="B5296" r:id="rId5009" xr:uid="{00000000-0004-0000-0000-000090130000}"/>
    <hyperlink ref="B5297" r:id="rId5010" xr:uid="{00000000-0004-0000-0000-000091130000}"/>
    <hyperlink ref="B5298" r:id="rId5011" xr:uid="{00000000-0004-0000-0000-000092130000}"/>
    <hyperlink ref="B5299" r:id="rId5012" xr:uid="{00000000-0004-0000-0000-000093130000}"/>
    <hyperlink ref="B5300" r:id="rId5013" xr:uid="{00000000-0004-0000-0000-000094130000}"/>
    <hyperlink ref="B5301" r:id="rId5014" xr:uid="{00000000-0004-0000-0000-000095130000}"/>
    <hyperlink ref="B5302" r:id="rId5015" xr:uid="{00000000-0004-0000-0000-000096130000}"/>
    <hyperlink ref="B5305" r:id="rId5016" xr:uid="{00000000-0004-0000-0000-000097130000}"/>
    <hyperlink ref="A5306" r:id="rId5017" xr:uid="{00000000-0004-0000-0000-000098130000}"/>
    <hyperlink ref="B5306" r:id="rId5018" xr:uid="{00000000-0004-0000-0000-000099130000}"/>
    <hyperlink ref="B5307" r:id="rId5019" xr:uid="{00000000-0004-0000-0000-00009A130000}"/>
    <hyperlink ref="B5308" r:id="rId5020" xr:uid="{00000000-0004-0000-0000-00009B130000}"/>
    <hyperlink ref="B5309" r:id="rId5021" xr:uid="{00000000-0004-0000-0000-00009C130000}"/>
    <hyperlink ref="B5310" r:id="rId5022" xr:uid="{00000000-0004-0000-0000-00009D130000}"/>
    <hyperlink ref="B5311" r:id="rId5023" xr:uid="{00000000-0004-0000-0000-00009E130000}"/>
    <hyperlink ref="B5312" r:id="rId5024" xr:uid="{00000000-0004-0000-0000-00009F130000}"/>
    <hyperlink ref="B5313" r:id="rId5025" xr:uid="{00000000-0004-0000-0000-0000A0130000}"/>
    <hyperlink ref="B5314" r:id="rId5026" xr:uid="{00000000-0004-0000-0000-0000A1130000}"/>
    <hyperlink ref="B5315" r:id="rId5027" xr:uid="{00000000-0004-0000-0000-0000A2130000}"/>
    <hyperlink ref="B5316" r:id="rId5028" xr:uid="{00000000-0004-0000-0000-0000A3130000}"/>
    <hyperlink ref="B5317" r:id="rId5029" xr:uid="{00000000-0004-0000-0000-0000A4130000}"/>
    <hyperlink ref="B5318" r:id="rId5030" xr:uid="{00000000-0004-0000-0000-0000A5130000}"/>
    <hyperlink ref="B5319" r:id="rId5031" xr:uid="{00000000-0004-0000-0000-0000A6130000}"/>
    <hyperlink ref="B5320" r:id="rId5032" xr:uid="{00000000-0004-0000-0000-0000A7130000}"/>
    <hyperlink ref="B5321" r:id="rId5033" xr:uid="{00000000-0004-0000-0000-0000A8130000}"/>
    <hyperlink ref="B5322" r:id="rId5034" xr:uid="{00000000-0004-0000-0000-0000A9130000}"/>
    <hyperlink ref="B5323" r:id="rId5035" xr:uid="{00000000-0004-0000-0000-0000AA130000}"/>
    <hyperlink ref="B5324" r:id="rId5036" xr:uid="{00000000-0004-0000-0000-0000AB130000}"/>
    <hyperlink ref="A5326" r:id="rId5037" xr:uid="{00000000-0004-0000-0000-0000AC130000}"/>
    <hyperlink ref="A5327" r:id="rId5038" xr:uid="{00000000-0004-0000-0000-0000AD130000}"/>
    <hyperlink ref="A5344" r:id="rId5039" xr:uid="{00000000-0004-0000-0000-0000AE130000}"/>
    <hyperlink ref="B5344" r:id="rId5040" xr:uid="{00000000-0004-0000-0000-0000AF130000}"/>
    <hyperlink ref="A5345" r:id="rId5041" xr:uid="{00000000-0004-0000-0000-0000B0130000}"/>
    <hyperlink ref="B5345" r:id="rId5042" xr:uid="{00000000-0004-0000-0000-0000B1130000}"/>
    <hyperlink ref="B5346" r:id="rId5043" xr:uid="{00000000-0004-0000-0000-0000B2130000}"/>
    <hyperlink ref="B5347" r:id="rId5044" xr:uid="{00000000-0004-0000-0000-0000B3130000}"/>
    <hyperlink ref="B5348" r:id="rId5045" xr:uid="{00000000-0004-0000-0000-0000B4130000}"/>
    <hyperlink ref="B5351" r:id="rId5046" xr:uid="{00000000-0004-0000-0000-0000B5130000}"/>
    <hyperlink ref="B5362" r:id="rId5047" xr:uid="{00000000-0004-0000-0000-0000B6130000}"/>
    <hyperlink ref="A5363" r:id="rId5048" xr:uid="{00000000-0004-0000-0000-0000B7130000}"/>
    <hyperlink ref="B5363" r:id="rId5049" xr:uid="{00000000-0004-0000-0000-0000B8130000}"/>
    <hyperlink ref="B5364" r:id="rId5050" xr:uid="{00000000-0004-0000-0000-0000B9130000}"/>
    <hyperlink ref="B5365" r:id="rId5051" xr:uid="{00000000-0004-0000-0000-0000BA130000}"/>
    <hyperlink ref="B5366" r:id="rId5052" xr:uid="{00000000-0004-0000-0000-0000BB130000}"/>
    <hyperlink ref="B5367" r:id="rId5053" xr:uid="{00000000-0004-0000-0000-0000BC130000}"/>
    <hyperlink ref="B5368" r:id="rId5054" xr:uid="{00000000-0004-0000-0000-0000BD130000}"/>
    <hyperlink ref="B5369" r:id="rId5055" xr:uid="{00000000-0004-0000-0000-0000BE130000}"/>
    <hyperlink ref="B5370" r:id="rId5056" xr:uid="{00000000-0004-0000-0000-0000BF130000}"/>
    <hyperlink ref="B5371" r:id="rId5057" xr:uid="{00000000-0004-0000-0000-0000C0130000}"/>
    <hyperlink ref="B5372" r:id="rId5058" xr:uid="{00000000-0004-0000-0000-0000C1130000}"/>
    <hyperlink ref="B5373" r:id="rId5059" xr:uid="{00000000-0004-0000-0000-0000C2130000}"/>
    <hyperlink ref="B5374" r:id="rId5060" xr:uid="{00000000-0004-0000-0000-0000C3130000}"/>
    <hyperlink ref="B5375" r:id="rId5061" xr:uid="{00000000-0004-0000-0000-0000C4130000}"/>
    <hyperlink ref="B5376" r:id="rId5062" xr:uid="{00000000-0004-0000-0000-0000C5130000}"/>
    <hyperlink ref="B5380" r:id="rId5063" xr:uid="{00000000-0004-0000-0000-0000C6130000}"/>
    <hyperlink ref="A5381" r:id="rId5064" xr:uid="{00000000-0004-0000-0000-0000C7130000}"/>
    <hyperlink ref="B5381" r:id="rId5065" xr:uid="{00000000-0004-0000-0000-0000C8130000}"/>
    <hyperlink ref="B5382" r:id="rId5066" xr:uid="{00000000-0004-0000-0000-0000C9130000}"/>
    <hyperlink ref="B5383" r:id="rId5067" xr:uid="{00000000-0004-0000-0000-0000CA130000}"/>
    <hyperlink ref="B5384" r:id="rId5068" xr:uid="{00000000-0004-0000-0000-0000CB130000}"/>
    <hyperlink ref="B5386" r:id="rId5069" xr:uid="{00000000-0004-0000-0000-0000CC130000}"/>
    <hyperlink ref="B5387" r:id="rId5070" xr:uid="{00000000-0004-0000-0000-0000CD130000}"/>
    <hyperlink ref="B5388" r:id="rId5071" xr:uid="{00000000-0004-0000-0000-0000CE130000}"/>
    <hyperlink ref="B5390" r:id="rId5072" xr:uid="{00000000-0004-0000-0000-0000CF130000}"/>
    <hyperlink ref="B5391" r:id="rId5073" xr:uid="{00000000-0004-0000-0000-0000D0130000}"/>
    <hyperlink ref="A5398" r:id="rId5074" xr:uid="{00000000-0004-0000-0000-0000D1130000}"/>
    <hyperlink ref="B5398" r:id="rId5075" xr:uid="{00000000-0004-0000-0000-0000D2130000}"/>
    <hyperlink ref="A5399" r:id="rId5076" xr:uid="{00000000-0004-0000-0000-0000D3130000}"/>
    <hyperlink ref="B5399" r:id="rId5077" xr:uid="{00000000-0004-0000-0000-0000D4130000}"/>
    <hyperlink ref="B5400" r:id="rId5078" xr:uid="{00000000-0004-0000-0000-0000D5130000}"/>
    <hyperlink ref="B5401" r:id="rId5079" xr:uid="{00000000-0004-0000-0000-0000D6130000}"/>
    <hyperlink ref="B5402" r:id="rId5080" xr:uid="{00000000-0004-0000-0000-0000D7130000}"/>
    <hyperlink ref="B5403" r:id="rId5081" xr:uid="{00000000-0004-0000-0000-0000D8130000}"/>
    <hyperlink ref="B5404" r:id="rId5082" xr:uid="{00000000-0004-0000-0000-0000D9130000}"/>
    <hyperlink ref="B5405" r:id="rId5083" xr:uid="{00000000-0004-0000-0000-0000DA130000}"/>
    <hyperlink ref="B5406" r:id="rId5084" xr:uid="{00000000-0004-0000-0000-0000DB130000}"/>
    <hyperlink ref="B5407" r:id="rId5085" xr:uid="{00000000-0004-0000-0000-0000DC130000}"/>
    <hyperlink ref="B5408" r:id="rId5086" xr:uid="{00000000-0004-0000-0000-0000DD130000}"/>
    <hyperlink ref="B5409" r:id="rId5087" xr:uid="{00000000-0004-0000-0000-0000DE130000}"/>
    <hyperlink ref="B5410" r:id="rId5088" xr:uid="{00000000-0004-0000-0000-0000DF130000}"/>
    <hyperlink ref="B5411" r:id="rId5089" xr:uid="{00000000-0004-0000-0000-0000E0130000}"/>
    <hyperlink ref="B5412" r:id="rId5090" xr:uid="{00000000-0004-0000-0000-0000E1130000}"/>
    <hyperlink ref="B5413" r:id="rId5091" xr:uid="{00000000-0004-0000-0000-0000E2130000}"/>
    <hyperlink ref="B5414" r:id="rId5092" xr:uid="{00000000-0004-0000-0000-0000E3130000}"/>
    <hyperlink ref="B5415" r:id="rId5093" xr:uid="{00000000-0004-0000-0000-0000E4130000}"/>
    <hyperlink ref="B5416" r:id="rId5094" xr:uid="{00000000-0004-0000-0000-0000E5130000}"/>
    <hyperlink ref="B5417" r:id="rId5095" xr:uid="{00000000-0004-0000-0000-0000E6130000}"/>
    <hyperlink ref="B5418" r:id="rId5096" xr:uid="{00000000-0004-0000-0000-0000E7130000}"/>
    <hyperlink ref="B5419" r:id="rId5097" xr:uid="{00000000-0004-0000-0000-0000E8130000}"/>
    <hyperlink ref="B5420" r:id="rId5098" xr:uid="{00000000-0004-0000-0000-0000E9130000}"/>
    <hyperlink ref="E5420" r:id="rId5099" display="mailto:sbeladi@fiu.edu" xr:uid="{00000000-0004-0000-0000-0000EA130000}"/>
    <hyperlink ref="K5420" r:id="rId5100" display="mailto:sbeladi@fiu.edu" xr:uid="{00000000-0004-0000-0000-0000EB130000}"/>
    <hyperlink ref="B5421" r:id="rId5101" xr:uid="{00000000-0004-0000-0000-0000EC130000}"/>
    <hyperlink ref="E5421" r:id="rId5102" display="mailto:kboutsen@fiu.edu" xr:uid="{00000000-0004-0000-0000-0000ED130000}"/>
    <hyperlink ref="K5421" r:id="rId5103" display="mailto:kboutsen@fiu.edu" xr:uid="{00000000-0004-0000-0000-0000EE130000}"/>
    <hyperlink ref="B5422" r:id="rId5104" xr:uid="{00000000-0004-0000-0000-0000EF130000}"/>
    <hyperlink ref="E5422" r:id="rId5105" display="mailto:mdowney@fiu.edu" xr:uid="{00000000-0004-0000-0000-0000F0130000}"/>
    <hyperlink ref="K5422" r:id="rId5106" display="mailto:mdowney@fiu.edu" xr:uid="{00000000-0004-0000-0000-0000F1130000}"/>
    <hyperlink ref="B5423" r:id="rId5107" xr:uid="{00000000-0004-0000-0000-0000F2130000}"/>
    <hyperlink ref="B5424" r:id="rId5108" xr:uid="{00000000-0004-0000-0000-0000F3130000}"/>
    <hyperlink ref="E5424" r:id="rId5109" display="mailto:cmullerk@fiu.edu" xr:uid="{00000000-0004-0000-0000-0000F4130000}"/>
    <hyperlink ref="K5424" r:id="rId5110" display="mailto:cmullerk@fiu.edu" xr:uid="{00000000-0004-0000-0000-0000F5130000}"/>
    <hyperlink ref="B5425" r:id="rId5111" xr:uid="{00000000-0004-0000-0000-0000F6130000}"/>
    <hyperlink ref="E5425" r:id="rId5112" display="mailto:sunju@fiu.edu" xr:uid="{00000000-0004-0000-0000-0000F7130000}"/>
    <hyperlink ref="K5425" r:id="rId5113" display="mailto:sunju@fiu.edu" xr:uid="{00000000-0004-0000-0000-0000F8130000}"/>
    <hyperlink ref="B5426" r:id="rId5114" xr:uid="{00000000-0004-0000-0000-0000F9130000}"/>
    <hyperlink ref="E5426" r:id="rId5115" display="mailto:tonthoma@fiu.edu" xr:uid="{00000000-0004-0000-0000-0000FA130000}"/>
    <hyperlink ref="K5426" r:id="rId5116" display="mailto:tonthoma@fiu.edu" xr:uid="{00000000-0004-0000-0000-0000FB130000}"/>
    <hyperlink ref="B5427" r:id="rId5117" xr:uid="{00000000-0004-0000-0000-0000FC130000}"/>
    <hyperlink ref="E5427" r:id="rId5118" display="mailto:tremante@fiu.edu" xr:uid="{00000000-0004-0000-0000-0000FD130000}"/>
    <hyperlink ref="K5427" r:id="rId5119" display="mailto:tremante@fiu.edu" xr:uid="{00000000-0004-0000-0000-0000FE130000}"/>
    <hyperlink ref="B5429" r:id="rId5120" xr:uid="{00000000-0004-0000-0000-0000FF130000}"/>
    <hyperlink ref="A5430" r:id="rId5121" xr:uid="{00000000-0004-0000-0000-000000140000}"/>
    <hyperlink ref="B5430" r:id="rId5122" xr:uid="{00000000-0004-0000-0000-000001140000}"/>
    <hyperlink ref="B5431" r:id="rId5123" xr:uid="{00000000-0004-0000-0000-000002140000}"/>
    <hyperlink ref="B5432" r:id="rId5124" xr:uid="{00000000-0004-0000-0000-000003140000}"/>
    <hyperlink ref="B5433" r:id="rId5125" xr:uid="{00000000-0004-0000-0000-000004140000}"/>
    <hyperlink ref="B5434" r:id="rId5126" xr:uid="{00000000-0004-0000-0000-000005140000}"/>
    <hyperlink ref="B5435" r:id="rId5127" xr:uid="{00000000-0004-0000-0000-000006140000}"/>
    <hyperlink ref="B5436" r:id="rId5128" xr:uid="{00000000-0004-0000-0000-000007140000}"/>
    <hyperlink ref="B5437" r:id="rId5129" xr:uid="{00000000-0004-0000-0000-000008140000}"/>
    <hyperlink ref="B5438" r:id="rId5130" xr:uid="{00000000-0004-0000-0000-000009140000}"/>
    <hyperlink ref="B5439" r:id="rId5131" xr:uid="{00000000-0004-0000-0000-00000A140000}"/>
    <hyperlink ref="B5440" r:id="rId5132" xr:uid="{00000000-0004-0000-0000-00000B140000}"/>
    <hyperlink ref="B5441" r:id="rId5133" xr:uid="{00000000-0004-0000-0000-00000C140000}"/>
    <hyperlink ref="B5442" r:id="rId5134" xr:uid="{00000000-0004-0000-0000-00000D140000}"/>
    <hyperlink ref="B5443" r:id="rId5135" xr:uid="{00000000-0004-0000-0000-00000E140000}"/>
    <hyperlink ref="B5444" r:id="rId5136" xr:uid="{00000000-0004-0000-0000-00000F140000}"/>
    <hyperlink ref="B5447" r:id="rId5137" xr:uid="{00000000-0004-0000-0000-000010140000}"/>
    <hyperlink ref="A5448" r:id="rId5138" xr:uid="{00000000-0004-0000-0000-000011140000}"/>
    <hyperlink ref="B5448" r:id="rId5139" xr:uid="{00000000-0004-0000-0000-000012140000}"/>
    <hyperlink ref="B5449" r:id="rId5140" xr:uid="{00000000-0004-0000-0000-000013140000}"/>
    <hyperlink ref="B5450" r:id="rId5141" xr:uid="{00000000-0004-0000-0000-000014140000}"/>
    <hyperlink ref="B5451" r:id="rId5142" xr:uid="{00000000-0004-0000-0000-000015140000}"/>
    <hyperlink ref="B5452" r:id="rId5143" xr:uid="{00000000-0004-0000-0000-000016140000}"/>
    <hyperlink ref="B5453" r:id="rId5144" xr:uid="{00000000-0004-0000-0000-000017140000}"/>
    <hyperlink ref="B5454" r:id="rId5145" xr:uid="{00000000-0004-0000-0000-000018140000}"/>
    <hyperlink ref="B5455" r:id="rId5146" xr:uid="{00000000-0004-0000-0000-000019140000}"/>
    <hyperlink ref="B5456" r:id="rId5147" xr:uid="{00000000-0004-0000-0000-00001A140000}"/>
    <hyperlink ref="B5457" r:id="rId5148" xr:uid="{00000000-0004-0000-0000-00001B140000}"/>
    <hyperlink ref="B5458" r:id="rId5149" xr:uid="{00000000-0004-0000-0000-00001C140000}"/>
    <hyperlink ref="B5459" r:id="rId5150" xr:uid="{00000000-0004-0000-0000-00001D140000}"/>
    <hyperlink ref="B5460" r:id="rId5151" xr:uid="{00000000-0004-0000-0000-00001E140000}"/>
    <hyperlink ref="B5461" r:id="rId5152" xr:uid="{00000000-0004-0000-0000-00001F140000}"/>
    <hyperlink ref="B5462" r:id="rId5153" xr:uid="{00000000-0004-0000-0000-000020140000}"/>
    <hyperlink ref="A5466" r:id="rId5154" xr:uid="{00000000-0004-0000-0000-000021140000}"/>
    <hyperlink ref="B5483" r:id="rId5155" xr:uid="{00000000-0004-0000-0000-000022140000}"/>
    <hyperlink ref="A5484" r:id="rId5156" xr:uid="{00000000-0004-0000-0000-000023140000}"/>
    <hyperlink ref="B5484" r:id="rId5157" xr:uid="{00000000-0004-0000-0000-000024140000}"/>
    <hyperlink ref="B5485" r:id="rId5158" xr:uid="{00000000-0004-0000-0000-000025140000}"/>
    <hyperlink ref="B5486" r:id="rId5159" xr:uid="{00000000-0004-0000-0000-000026140000}"/>
    <hyperlink ref="B5487" r:id="rId5160" xr:uid="{00000000-0004-0000-0000-000027140000}"/>
    <hyperlink ref="B5488" r:id="rId5161" xr:uid="{00000000-0004-0000-0000-000028140000}"/>
    <hyperlink ref="B5489" r:id="rId5162" xr:uid="{00000000-0004-0000-0000-000029140000}"/>
    <hyperlink ref="B5490" r:id="rId5163" xr:uid="{00000000-0004-0000-0000-00002A140000}"/>
    <hyperlink ref="B5491" r:id="rId5164" xr:uid="{00000000-0004-0000-0000-00002B140000}"/>
    <hyperlink ref="B5492" r:id="rId5165" xr:uid="{00000000-0004-0000-0000-00002C140000}"/>
    <hyperlink ref="B5493" r:id="rId5166" xr:uid="{00000000-0004-0000-0000-00002D140000}"/>
    <hyperlink ref="A5502" r:id="rId5167" xr:uid="{00000000-0004-0000-0000-00002E140000}"/>
    <hyperlink ref="B5502" r:id="rId5168" xr:uid="{00000000-0004-0000-0000-00002F140000}"/>
    <hyperlink ref="B5503" r:id="rId5169" xr:uid="{00000000-0004-0000-0000-000030140000}"/>
    <hyperlink ref="B5504" r:id="rId5170" xr:uid="{00000000-0004-0000-0000-000031140000}"/>
    <hyperlink ref="B5505" r:id="rId5171" xr:uid="{00000000-0004-0000-0000-000032140000}"/>
    <hyperlink ref="B5506" r:id="rId5172" xr:uid="{00000000-0004-0000-0000-000033140000}"/>
    <hyperlink ref="B5507" r:id="rId5173" xr:uid="{00000000-0004-0000-0000-000034140000}"/>
    <hyperlink ref="B5508" r:id="rId5174" xr:uid="{00000000-0004-0000-0000-000035140000}"/>
    <hyperlink ref="B5509" r:id="rId5175" xr:uid="{00000000-0004-0000-0000-000036140000}"/>
    <hyperlink ref="B5510" r:id="rId5176" xr:uid="{00000000-0004-0000-0000-000037140000}"/>
    <hyperlink ref="B5511" r:id="rId5177" xr:uid="{00000000-0004-0000-0000-000038140000}"/>
    <hyperlink ref="B5512" r:id="rId5178" xr:uid="{00000000-0004-0000-0000-000039140000}"/>
    <hyperlink ref="B5513" r:id="rId5179" xr:uid="{00000000-0004-0000-0000-00003A140000}"/>
    <hyperlink ref="B5514" r:id="rId5180" xr:uid="{00000000-0004-0000-0000-00003B140000}"/>
    <hyperlink ref="B5519" r:id="rId5181" xr:uid="{00000000-0004-0000-0000-00003C140000}"/>
    <hyperlink ref="A5520" r:id="rId5182" xr:uid="{00000000-0004-0000-0000-00003D140000}"/>
    <hyperlink ref="B5520" r:id="rId5183" xr:uid="{00000000-0004-0000-0000-00003E140000}"/>
    <hyperlink ref="B5521" r:id="rId5184" xr:uid="{00000000-0004-0000-0000-00003F140000}"/>
    <hyperlink ref="B5522" r:id="rId5185" xr:uid="{00000000-0004-0000-0000-000040140000}"/>
    <hyperlink ref="B5523" r:id="rId5186" xr:uid="{00000000-0004-0000-0000-000041140000}"/>
    <hyperlink ref="B5524" r:id="rId5187" xr:uid="{00000000-0004-0000-0000-000042140000}"/>
    <hyperlink ref="B5525" r:id="rId5188" xr:uid="{00000000-0004-0000-0000-000043140000}"/>
    <hyperlink ref="B5526" r:id="rId5189" xr:uid="{00000000-0004-0000-0000-000044140000}"/>
    <hyperlink ref="B5527" r:id="rId5190" xr:uid="{00000000-0004-0000-0000-000045140000}"/>
    <hyperlink ref="B5528" r:id="rId5191" xr:uid="{00000000-0004-0000-0000-000046140000}"/>
    <hyperlink ref="B5529" r:id="rId5192" xr:uid="{00000000-0004-0000-0000-000047140000}"/>
    <hyperlink ref="B5530" r:id="rId5193" xr:uid="{00000000-0004-0000-0000-000048140000}"/>
    <hyperlink ref="B5531" r:id="rId5194" xr:uid="{00000000-0004-0000-0000-000049140000}"/>
    <hyperlink ref="B5532" r:id="rId5195" xr:uid="{00000000-0004-0000-0000-00004A140000}"/>
    <hyperlink ref="B5537" r:id="rId5196" xr:uid="{00000000-0004-0000-0000-00004B140000}"/>
    <hyperlink ref="A5538" r:id="rId5197" xr:uid="{00000000-0004-0000-0000-00004C140000}"/>
    <hyperlink ref="B5538" r:id="rId5198" xr:uid="{00000000-0004-0000-0000-00004D140000}"/>
    <hyperlink ref="B5539" r:id="rId5199" xr:uid="{00000000-0004-0000-0000-00004E140000}"/>
    <hyperlink ref="B5540" r:id="rId5200" xr:uid="{00000000-0004-0000-0000-00004F140000}"/>
    <hyperlink ref="B5541" r:id="rId5201" xr:uid="{00000000-0004-0000-0000-000050140000}"/>
    <hyperlink ref="B5542" r:id="rId5202" xr:uid="{00000000-0004-0000-0000-000051140000}"/>
    <hyperlink ref="B5543" r:id="rId5203" xr:uid="{00000000-0004-0000-0000-000052140000}"/>
    <hyperlink ref="B5544" r:id="rId5204" xr:uid="{00000000-0004-0000-0000-000053140000}"/>
    <hyperlink ref="B5545" r:id="rId5205" xr:uid="{00000000-0004-0000-0000-000054140000}"/>
    <hyperlink ref="B5546" r:id="rId5206" xr:uid="{00000000-0004-0000-0000-000055140000}"/>
    <hyperlink ref="B5547" r:id="rId5207" xr:uid="{00000000-0004-0000-0000-000056140000}"/>
    <hyperlink ref="B5548" r:id="rId5208" xr:uid="{00000000-0004-0000-0000-000057140000}"/>
    <hyperlink ref="B5549" r:id="rId5209" xr:uid="{00000000-0004-0000-0000-000058140000}"/>
    <hyperlink ref="B5550" r:id="rId5210" xr:uid="{00000000-0004-0000-0000-000059140000}"/>
    <hyperlink ref="B5555" r:id="rId5211" xr:uid="{00000000-0004-0000-0000-00005A140000}"/>
    <hyperlink ref="A5556" r:id="rId5212" xr:uid="{00000000-0004-0000-0000-00005B140000}"/>
    <hyperlink ref="B5556" r:id="rId5213" xr:uid="{00000000-0004-0000-0000-00005C140000}"/>
    <hyperlink ref="B5557" r:id="rId5214" xr:uid="{00000000-0004-0000-0000-00005D140000}"/>
    <hyperlink ref="B5558" r:id="rId5215" xr:uid="{00000000-0004-0000-0000-00005E140000}"/>
    <hyperlink ref="B5559" r:id="rId5216" xr:uid="{00000000-0004-0000-0000-00005F140000}"/>
    <hyperlink ref="B5560" r:id="rId5217" xr:uid="{00000000-0004-0000-0000-000060140000}"/>
    <hyperlink ref="B5561" r:id="rId5218" xr:uid="{00000000-0004-0000-0000-000061140000}"/>
    <hyperlink ref="B5562" r:id="rId5219" xr:uid="{00000000-0004-0000-0000-000062140000}"/>
    <hyperlink ref="B5563" r:id="rId5220" xr:uid="{00000000-0004-0000-0000-000063140000}"/>
    <hyperlink ref="B5564" r:id="rId5221" xr:uid="{00000000-0004-0000-0000-000064140000}"/>
    <hyperlink ref="B5565" r:id="rId5222" xr:uid="{00000000-0004-0000-0000-000065140000}"/>
    <hyperlink ref="B5566" r:id="rId5223" xr:uid="{00000000-0004-0000-0000-000066140000}"/>
    <hyperlink ref="B5567" r:id="rId5224" xr:uid="{00000000-0004-0000-0000-000067140000}"/>
    <hyperlink ref="B5568" r:id="rId5225" xr:uid="{00000000-0004-0000-0000-000068140000}"/>
    <hyperlink ref="B5569" r:id="rId5226" xr:uid="{00000000-0004-0000-0000-000069140000}"/>
    <hyperlink ref="B5570" r:id="rId5227" xr:uid="{00000000-0004-0000-0000-00006A140000}"/>
    <hyperlink ref="B5571" r:id="rId5228" xr:uid="{00000000-0004-0000-0000-00006B140000}"/>
    <hyperlink ref="B5572" r:id="rId5229" xr:uid="{00000000-0004-0000-0000-00006C140000}"/>
    <hyperlink ref="B5573" r:id="rId5230" xr:uid="{00000000-0004-0000-0000-00006D140000}"/>
    <hyperlink ref="B5574" r:id="rId5231" xr:uid="{00000000-0004-0000-0000-00006E140000}"/>
    <hyperlink ref="B5575" r:id="rId5232" xr:uid="{00000000-0004-0000-0000-00006F140000}"/>
    <hyperlink ref="B5576" r:id="rId5233" xr:uid="{00000000-0004-0000-0000-000070140000}"/>
    <hyperlink ref="B5577" r:id="rId5234" xr:uid="{00000000-0004-0000-0000-000071140000}"/>
    <hyperlink ref="B5578" r:id="rId5235" xr:uid="{00000000-0004-0000-0000-000072140000}"/>
    <hyperlink ref="B5580" r:id="rId5236" xr:uid="{00000000-0004-0000-0000-000073140000}"/>
    <hyperlink ref="A5581" r:id="rId5237" xr:uid="{00000000-0004-0000-0000-000074140000}"/>
    <hyperlink ref="B5581" r:id="rId5238" xr:uid="{00000000-0004-0000-0000-000075140000}"/>
    <hyperlink ref="B5582" r:id="rId5239" xr:uid="{00000000-0004-0000-0000-000076140000}"/>
    <hyperlink ref="B5583" r:id="rId5240" xr:uid="{00000000-0004-0000-0000-000077140000}"/>
    <hyperlink ref="B5584" r:id="rId5241" xr:uid="{00000000-0004-0000-0000-000078140000}"/>
    <hyperlink ref="B5585" r:id="rId5242" xr:uid="{00000000-0004-0000-0000-000079140000}"/>
    <hyperlink ref="B5586" r:id="rId5243" xr:uid="{00000000-0004-0000-0000-00007A140000}"/>
    <hyperlink ref="B5587" r:id="rId5244" xr:uid="{00000000-0004-0000-0000-00007B140000}"/>
    <hyperlink ref="B5588" r:id="rId5245" xr:uid="{00000000-0004-0000-0000-00007C140000}"/>
    <hyperlink ref="B5589" r:id="rId5246" xr:uid="{00000000-0004-0000-0000-00007D140000}"/>
    <hyperlink ref="B5590" r:id="rId5247" xr:uid="{00000000-0004-0000-0000-00007E140000}"/>
    <hyperlink ref="B5591" r:id="rId5248" xr:uid="{00000000-0004-0000-0000-00007F140000}"/>
    <hyperlink ref="B5592" r:id="rId5249" xr:uid="{00000000-0004-0000-0000-000080140000}"/>
    <hyperlink ref="B5593" r:id="rId5250" xr:uid="{00000000-0004-0000-0000-000081140000}"/>
    <hyperlink ref="B5594" r:id="rId5251" xr:uid="{00000000-0004-0000-0000-000082140000}"/>
    <hyperlink ref="B5595" r:id="rId5252" xr:uid="{00000000-0004-0000-0000-000083140000}"/>
    <hyperlink ref="B5598" r:id="rId5253" xr:uid="{00000000-0004-0000-0000-000084140000}"/>
    <hyperlink ref="A5599" r:id="rId5254" xr:uid="{00000000-0004-0000-0000-000085140000}"/>
    <hyperlink ref="B5599" r:id="rId5255" xr:uid="{00000000-0004-0000-0000-000086140000}"/>
    <hyperlink ref="B5600" r:id="rId5256" xr:uid="{00000000-0004-0000-0000-000087140000}"/>
    <hyperlink ref="B5601" r:id="rId5257" xr:uid="{00000000-0004-0000-0000-000088140000}"/>
    <hyperlink ref="B5602" r:id="rId5258" xr:uid="{00000000-0004-0000-0000-000089140000}"/>
    <hyperlink ref="B5603" r:id="rId5259" xr:uid="{00000000-0004-0000-0000-00008A140000}"/>
    <hyperlink ref="B5604" r:id="rId5260" xr:uid="{00000000-0004-0000-0000-00008B140000}"/>
    <hyperlink ref="B5605" r:id="rId5261" xr:uid="{00000000-0004-0000-0000-00008C140000}"/>
    <hyperlink ref="B5606" r:id="rId5262" xr:uid="{00000000-0004-0000-0000-00008D140000}"/>
    <hyperlink ref="B5607" r:id="rId5263" xr:uid="{00000000-0004-0000-0000-00008E140000}"/>
    <hyperlink ref="B5616" r:id="rId5264" xr:uid="{00000000-0004-0000-0000-00008F140000}"/>
    <hyperlink ref="A5617" r:id="rId5265" xr:uid="{00000000-0004-0000-0000-000090140000}"/>
    <hyperlink ref="B5617" r:id="rId5266" xr:uid="{00000000-0004-0000-0000-000091140000}"/>
    <hyperlink ref="B5618" r:id="rId5267" xr:uid="{00000000-0004-0000-0000-000092140000}"/>
    <hyperlink ref="B5619" r:id="rId5268" xr:uid="{00000000-0004-0000-0000-000093140000}"/>
    <hyperlink ref="B5620" r:id="rId5269" xr:uid="{00000000-0004-0000-0000-000094140000}"/>
    <hyperlink ref="B5621" r:id="rId5270" xr:uid="{00000000-0004-0000-0000-000095140000}"/>
    <hyperlink ref="B5622" r:id="rId5271" xr:uid="{00000000-0004-0000-0000-000096140000}"/>
    <hyperlink ref="B5623" r:id="rId5272" xr:uid="{00000000-0004-0000-0000-000097140000}"/>
    <hyperlink ref="B5624" r:id="rId5273" xr:uid="{00000000-0004-0000-0000-000098140000}"/>
    <hyperlink ref="B5625" r:id="rId5274" xr:uid="{00000000-0004-0000-0000-000099140000}"/>
    <hyperlink ref="B5626" r:id="rId5275" xr:uid="{00000000-0004-0000-0000-00009A140000}"/>
    <hyperlink ref="B5627" r:id="rId5276" xr:uid="{00000000-0004-0000-0000-00009B140000}"/>
    <hyperlink ref="B5628" r:id="rId5277" xr:uid="{00000000-0004-0000-0000-00009C140000}"/>
    <hyperlink ref="B5629" r:id="rId5278" xr:uid="{00000000-0004-0000-0000-00009D140000}"/>
    <hyperlink ref="B5630" r:id="rId5279" xr:uid="{00000000-0004-0000-0000-00009E140000}"/>
    <hyperlink ref="B5631" r:id="rId5280" xr:uid="{00000000-0004-0000-0000-00009F140000}"/>
    <hyperlink ref="B5632" r:id="rId5281" xr:uid="{00000000-0004-0000-0000-0000A0140000}"/>
    <hyperlink ref="B5633" r:id="rId5282" xr:uid="{00000000-0004-0000-0000-0000A1140000}"/>
    <hyperlink ref="B5634" r:id="rId5283" xr:uid="{00000000-0004-0000-0000-0000A2140000}"/>
    <hyperlink ref="B5635" r:id="rId5284" xr:uid="{00000000-0004-0000-0000-0000A3140000}"/>
    <hyperlink ref="B5637" r:id="rId5285" xr:uid="{00000000-0004-0000-0000-0000A4140000}"/>
    <hyperlink ref="A5638" r:id="rId5286" xr:uid="{00000000-0004-0000-0000-0000A5140000}"/>
    <hyperlink ref="B5638" r:id="rId5287" xr:uid="{00000000-0004-0000-0000-0000A6140000}"/>
    <hyperlink ref="B5639" r:id="rId5288" xr:uid="{00000000-0004-0000-0000-0000A7140000}"/>
    <hyperlink ref="B5640" r:id="rId5289" xr:uid="{00000000-0004-0000-0000-0000A8140000}"/>
    <hyperlink ref="B5641" r:id="rId5290" xr:uid="{00000000-0004-0000-0000-0000A9140000}"/>
    <hyperlink ref="B5642" r:id="rId5291" xr:uid="{00000000-0004-0000-0000-0000AA140000}"/>
    <hyperlink ref="B5643" r:id="rId5292" xr:uid="{00000000-0004-0000-0000-0000AB140000}"/>
    <hyperlink ref="B5644" r:id="rId5293" xr:uid="{00000000-0004-0000-0000-0000AC140000}"/>
    <hyperlink ref="B5645" r:id="rId5294" xr:uid="{00000000-0004-0000-0000-0000AD140000}"/>
    <hyperlink ref="B5646" r:id="rId5295" xr:uid="{00000000-0004-0000-0000-0000AE140000}"/>
    <hyperlink ref="B5647" r:id="rId5296" xr:uid="{00000000-0004-0000-0000-0000AF140000}"/>
    <hyperlink ref="B5648" r:id="rId5297" xr:uid="{00000000-0004-0000-0000-0000B0140000}"/>
    <hyperlink ref="B5649" r:id="rId5298" xr:uid="{00000000-0004-0000-0000-0000B1140000}"/>
    <hyperlink ref="B5650" r:id="rId5299" xr:uid="{00000000-0004-0000-0000-0000B2140000}"/>
    <hyperlink ref="B5651" r:id="rId5300" xr:uid="{00000000-0004-0000-0000-0000B3140000}"/>
    <hyperlink ref="B5652" r:id="rId5301" xr:uid="{00000000-0004-0000-0000-0000B4140000}"/>
    <hyperlink ref="B5653" r:id="rId5302" xr:uid="{00000000-0004-0000-0000-0000B5140000}"/>
    <hyperlink ref="B5654" r:id="rId5303" xr:uid="{00000000-0004-0000-0000-0000B6140000}"/>
    <hyperlink ref="B5655" r:id="rId5304" xr:uid="{00000000-0004-0000-0000-0000B7140000}"/>
    <hyperlink ref="B5656" r:id="rId5305" xr:uid="{00000000-0004-0000-0000-0000B8140000}"/>
    <hyperlink ref="B5657" r:id="rId5306" xr:uid="{00000000-0004-0000-0000-0000B9140000}"/>
    <hyperlink ref="B5658" r:id="rId5307" xr:uid="{00000000-0004-0000-0000-0000BA140000}"/>
    <hyperlink ref="B5659" r:id="rId5308" xr:uid="{00000000-0004-0000-0000-0000BB140000}"/>
    <hyperlink ref="B5660" r:id="rId5309" xr:uid="{00000000-0004-0000-0000-0000BC140000}"/>
    <hyperlink ref="B5661" r:id="rId5310" xr:uid="{00000000-0004-0000-0000-0000BD140000}"/>
    <hyperlink ref="B5662" r:id="rId5311" xr:uid="{00000000-0004-0000-0000-0000BE140000}"/>
    <hyperlink ref="B5663" r:id="rId5312" xr:uid="{00000000-0004-0000-0000-0000BF140000}"/>
    <hyperlink ref="B5664" r:id="rId5313" xr:uid="{00000000-0004-0000-0000-0000C0140000}"/>
    <hyperlink ref="B5665" r:id="rId5314" xr:uid="{00000000-0004-0000-0000-0000C1140000}"/>
    <hyperlink ref="B5666" r:id="rId5315" xr:uid="{00000000-0004-0000-0000-0000C2140000}"/>
    <hyperlink ref="B5668" r:id="rId5316" xr:uid="{00000000-0004-0000-0000-0000C3140000}"/>
    <hyperlink ref="A5669" r:id="rId5317" xr:uid="{00000000-0004-0000-0000-0000C4140000}"/>
    <hyperlink ref="B5669" r:id="rId5318" xr:uid="{00000000-0004-0000-0000-0000C5140000}"/>
    <hyperlink ref="B5670" r:id="rId5319" xr:uid="{00000000-0004-0000-0000-0000C6140000}"/>
    <hyperlink ref="B5671" r:id="rId5320" xr:uid="{00000000-0004-0000-0000-0000C7140000}"/>
    <hyperlink ref="B5672" r:id="rId5321" xr:uid="{00000000-0004-0000-0000-0000C8140000}"/>
    <hyperlink ref="B5673" r:id="rId5322" xr:uid="{00000000-0004-0000-0000-0000C9140000}"/>
    <hyperlink ref="B5674" r:id="rId5323" xr:uid="{00000000-0004-0000-0000-0000CA140000}"/>
    <hyperlink ref="B5675" r:id="rId5324" xr:uid="{00000000-0004-0000-0000-0000CB140000}"/>
    <hyperlink ref="B5676" r:id="rId5325" xr:uid="{00000000-0004-0000-0000-0000CC140000}"/>
    <hyperlink ref="B5677" r:id="rId5326" xr:uid="{00000000-0004-0000-0000-0000CD140000}"/>
    <hyperlink ref="B5678" r:id="rId5327" xr:uid="{00000000-0004-0000-0000-0000CE140000}"/>
    <hyperlink ref="B5679" r:id="rId5328" xr:uid="{00000000-0004-0000-0000-0000CF140000}"/>
    <hyperlink ref="B5680" r:id="rId5329" xr:uid="{00000000-0004-0000-0000-0000D0140000}"/>
    <hyperlink ref="B5681" r:id="rId5330" xr:uid="{00000000-0004-0000-0000-0000D1140000}"/>
    <hyperlink ref="B5682" r:id="rId5331" xr:uid="{00000000-0004-0000-0000-0000D2140000}"/>
    <hyperlink ref="B5683" r:id="rId5332" xr:uid="{00000000-0004-0000-0000-0000D3140000}"/>
    <hyperlink ref="B5686" r:id="rId5333" xr:uid="{00000000-0004-0000-0000-0000D4140000}"/>
    <hyperlink ref="A5687" r:id="rId5334" xr:uid="{00000000-0004-0000-0000-0000D5140000}"/>
    <hyperlink ref="B5687" r:id="rId5335" xr:uid="{00000000-0004-0000-0000-0000D6140000}"/>
    <hyperlink ref="B5688" r:id="rId5336" xr:uid="{00000000-0004-0000-0000-0000D7140000}"/>
    <hyperlink ref="B5689" r:id="rId5337" xr:uid="{00000000-0004-0000-0000-0000D8140000}"/>
    <hyperlink ref="B5690" r:id="rId5338" xr:uid="{00000000-0004-0000-0000-0000D9140000}"/>
    <hyperlink ref="B5691" r:id="rId5339" xr:uid="{00000000-0004-0000-0000-0000DA140000}"/>
    <hyperlink ref="B5692" r:id="rId5340" xr:uid="{00000000-0004-0000-0000-0000DB140000}"/>
    <hyperlink ref="B5693" r:id="rId5341" xr:uid="{00000000-0004-0000-0000-0000DC140000}"/>
    <hyperlink ref="B5694" r:id="rId5342" xr:uid="{00000000-0004-0000-0000-0000DD140000}"/>
    <hyperlink ref="B5695" r:id="rId5343" xr:uid="{00000000-0004-0000-0000-0000DE140000}"/>
    <hyperlink ref="B5696" r:id="rId5344" xr:uid="{00000000-0004-0000-0000-0000DF140000}"/>
    <hyperlink ref="B5697" r:id="rId5345" xr:uid="{00000000-0004-0000-0000-0000E0140000}"/>
    <hyperlink ref="B5698" r:id="rId5346" xr:uid="{00000000-0004-0000-0000-0000E1140000}"/>
    <hyperlink ref="B5699" r:id="rId5347" xr:uid="{00000000-0004-0000-0000-0000E2140000}"/>
    <hyperlink ref="B5700" r:id="rId5348" xr:uid="{00000000-0004-0000-0000-0000E3140000}"/>
    <hyperlink ref="B5701" r:id="rId5349" xr:uid="{00000000-0004-0000-0000-0000E4140000}"/>
    <hyperlink ref="B5702" r:id="rId5350" xr:uid="{00000000-0004-0000-0000-0000E5140000}"/>
    <hyperlink ref="B5703" r:id="rId5351" xr:uid="{00000000-0004-0000-0000-0000E6140000}"/>
    <hyperlink ref="B5704" r:id="rId5352" xr:uid="{00000000-0004-0000-0000-0000E7140000}"/>
    <hyperlink ref="B5705" r:id="rId5353" xr:uid="{00000000-0004-0000-0000-0000E8140000}"/>
    <hyperlink ref="B5706" r:id="rId5354" xr:uid="{00000000-0004-0000-0000-0000E9140000}"/>
    <hyperlink ref="B5707" r:id="rId5355" xr:uid="{00000000-0004-0000-0000-0000EA140000}"/>
    <hyperlink ref="B5708" r:id="rId5356" xr:uid="{00000000-0004-0000-0000-0000EB140000}"/>
    <hyperlink ref="B5709" r:id="rId5357" xr:uid="{00000000-0004-0000-0000-0000EC140000}"/>
    <hyperlink ref="B5710" r:id="rId5358" xr:uid="{00000000-0004-0000-0000-0000ED140000}"/>
    <hyperlink ref="B5712" r:id="rId5359" xr:uid="{00000000-0004-0000-0000-0000EE140000}"/>
    <hyperlink ref="A5713" r:id="rId5360" xr:uid="{00000000-0004-0000-0000-0000EF140000}"/>
    <hyperlink ref="B5713" r:id="rId5361" xr:uid="{00000000-0004-0000-0000-0000F0140000}"/>
    <hyperlink ref="B5719" r:id="rId5362" xr:uid="{00000000-0004-0000-0000-0000F1140000}"/>
    <hyperlink ref="B5720" r:id="rId5363" xr:uid="{00000000-0004-0000-0000-0000F2140000}"/>
    <hyperlink ref="B5725" r:id="rId5364" xr:uid="{00000000-0004-0000-0000-0000F3140000}"/>
    <hyperlink ref="B5726" r:id="rId5365" xr:uid="{00000000-0004-0000-0000-0000F4140000}"/>
    <hyperlink ref="B5727" r:id="rId5366" xr:uid="{00000000-0004-0000-0000-0000F5140000}"/>
    <hyperlink ref="B5730" r:id="rId5367" xr:uid="{00000000-0004-0000-0000-0000F6140000}"/>
    <hyperlink ref="A5731" r:id="rId5368" xr:uid="{00000000-0004-0000-0000-0000F7140000}"/>
    <hyperlink ref="B5731" r:id="rId5369" xr:uid="{00000000-0004-0000-0000-0000F8140000}"/>
    <hyperlink ref="B5732" r:id="rId5370" xr:uid="{00000000-0004-0000-0000-0000F9140000}"/>
    <hyperlink ref="B5733" r:id="rId5371" xr:uid="{00000000-0004-0000-0000-0000FA140000}"/>
    <hyperlink ref="B5734" r:id="rId5372" xr:uid="{00000000-0004-0000-0000-0000FB140000}"/>
    <hyperlink ref="B5735" r:id="rId5373" xr:uid="{00000000-0004-0000-0000-0000FC140000}"/>
    <hyperlink ref="B5736" r:id="rId5374" xr:uid="{00000000-0004-0000-0000-0000FD140000}"/>
    <hyperlink ref="B5737" r:id="rId5375" xr:uid="{00000000-0004-0000-0000-0000FE140000}"/>
    <hyperlink ref="B5738" r:id="rId5376" xr:uid="{00000000-0004-0000-0000-0000FF140000}"/>
    <hyperlink ref="B5739" r:id="rId5377" xr:uid="{00000000-0004-0000-0000-000000150000}"/>
    <hyperlink ref="B5740" r:id="rId5378" xr:uid="{00000000-0004-0000-0000-000001150000}"/>
    <hyperlink ref="B5741" r:id="rId5379" xr:uid="{00000000-0004-0000-0000-000002150000}"/>
    <hyperlink ref="B5742" r:id="rId5380" xr:uid="{00000000-0004-0000-0000-000003150000}"/>
    <hyperlink ref="B5743" r:id="rId5381" xr:uid="{00000000-0004-0000-0000-000004150000}"/>
    <hyperlink ref="B5744" r:id="rId5382" xr:uid="{00000000-0004-0000-0000-000005150000}"/>
    <hyperlink ref="B5745" r:id="rId5383" xr:uid="{00000000-0004-0000-0000-000006150000}"/>
    <hyperlink ref="B5748" r:id="rId5384" xr:uid="{00000000-0004-0000-0000-000007150000}"/>
    <hyperlink ref="A5749" r:id="rId5385" xr:uid="{00000000-0004-0000-0000-000008150000}"/>
    <hyperlink ref="B5749" r:id="rId5386" xr:uid="{00000000-0004-0000-0000-000009150000}"/>
    <hyperlink ref="B5750" r:id="rId5387" xr:uid="{00000000-0004-0000-0000-00000A150000}"/>
    <hyperlink ref="B5751" r:id="rId5388" xr:uid="{00000000-0004-0000-0000-00000B150000}"/>
    <hyperlink ref="B5752" r:id="rId5389" xr:uid="{00000000-0004-0000-0000-00000C150000}"/>
    <hyperlink ref="B5753" r:id="rId5390" xr:uid="{00000000-0004-0000-0000-00000D150000}"/>
    <hyperlink ref="B5754" r:id="rId5391" xr:uid="{00000000-0004-0000-0000-00000E150000}"/>
    <hyperlink ref="B5755" r:id="rId5392" xr:uid="{00000000-0004-0000-0000-00000F150000}"/>
    <hyperlink ref="B5756" r:id="rId5393" xr:uid="{00000000-0004-0000-0000-000010150000}"/>
    <hyperlink ref="B5757" r:id="rId5394" xr:uid="{00000000-0004-0000-0000-000011150000}"/>
    <hyperlink ref="B5758" r:id="rId5395" xr:uid="{00000000-0004-0000-0000-000012150000}"/>
    <hyperlink ref="B5759" r:id="rId5396" xr:uid="{00000000-0004-0000-0000-000013150000}"/>
    <hyperlink ref="B5760" r:id="rId5397" xr:uid="{00000000-0004-0000-0000-000014150000}"/>
    <hyperlink ref="B5766" r:id="rId5398" xr:uid="{00000000-0004-0000-0000-000015150000}"/>
    <hyperlink ref="A5767" r:id="rId5399" xr:uid="{00000000-0004-0000-0000-000016150000}"/>
    <hyperlink ref="B5767" r:id="rId5400" xr:uid="{00000000-0004-0000-0000-000017150000}"/>
    <hyperlink ref="B5768" r:id="rId5401" xr:uid="{00000000-0004-0000-0000-000018150000}"/>
    <hyperlink ref="B5769" r:id="rId5402" xr:uid="{00000000-0004-0000-0000-000019150000}"/>
    <hyperlink ref="B5770" r:id="rId5403" xr:uid="{00000000-0004-0000-0000-00001A150000}"/>
    <hyperlink ref="B5771" r:id="rId5404" xr:uid="{00000000-0004-0000-0000-00001B150000}"/>
    <hyperlink ref="B5772" r:id="rId5405" xr:uid="{00000000-0004-0000-0000-00001C150000}"/>
    <hyperlink ref="B5773" r:id="rId5406" xr:uid="{00000000-0004-0000-0000-00001D150000}"/>
    <hyperlink ref="B5774" r:id="rId5407" xr:uid="{00000000-0004-0000-0000-00001E150000}"/>
    <hyperlink ref="B5775" r:id="rId5408" xr:uid="{00000000-0004-0000-0000-00001F150000}"/>
    <hyperlink ref="B5776" r:id="rId5409" xr:uid="{00000000-0004-0000-0000-000020150000}"/>
    <hyperlink ref="B5777" r:id="rId5410" xr:uid="{00000000-0004-0000-0000-000021150000}"/>
    <hyperlink ref="B5786" r:id="rId5411" xr:uid="{00000000-0004-0000-0000-000022150000}"/>
    <hyperlink ref="A5787" r:id="rId5412" xr:uid="{00000000-0004-0000-0000-000023150000}"/>
    <hyperlink ref="B5787" r:id="rId5413" xr:uid="{00000000-0004-0000-0000-000024150000}"/>
    <hyperlink ref="B5788" r:id="rId5414" xr:uid="{00000000-0004-0000-0000-000025150000}"/>
    <hyperlink ref="B5789" r:id="rId5415" xr:uid="{00000000-0004-0000-0000-000026150000}"/>
    <hyperlink ref="B5804" r:id="rId5416" xr:uid="{00000000-0004-0000-0000-000027150000}"/>
    <hyperlink ref="A5805" r:id="rId5417" xr:uid="{00000000-0004-0000-0000-000028150000}"/>
    <hyperlink ref="B5805" r:id="rId5418" xr:uid="{00000000-0004-0000-0000-000029150000}"/>
    <hyperlink ref="B5806" r:id="rId5419" xr:uid="{00000000-0004-0000-0000-00002A150000}"/>
    <hyperlink ref="B5807" r:id="rId5420" xr:uid="{00000000-0004-0000-0000-00002B150000}"/>
    <hyperlink ref="B5810" r:id="rId5421" xr:uid="{00000000-0004-0000-0000-00002C150000}"/>
    <hyperlink ref="B5812" r:id="rId5422" xr:uid="{00000000-0004-0000-0000-00002D150000}"/>
    <hyperlink ref="B5813" r:id="rId5423" xr:uid="{00000000-0004-0000-0000-00002E150000}"/>
    <hyperlink ref="B5822" r:id="rId5424" xr:uid="{00000000-0004-0000-0000-00002F150000}"/>
    <hyperlink ref="A5823" r:id="rId5425" xr:uid="{00000000-0004-0000-0000-000030150000}"/>
    <hyperlink ref="B5823" r:id="rId5426" xr:uid="{00000000-0004-0000-0000-000031150000}"/>
    <hyperlink ref="B5824" r:id="rId5427" xr:uid="{00000000-0004-0000-0000-000032150000}"/>
    <hyperlink ref="B5825" r:id="rId5428" xr:uid="{00000000-0004-0000-0000-000033150000}"/>
    <hyperlink ref="B5826" r:id="rId5429" xr:uid="{00000000-0004-0000-0000-000034150000}"/>
    <hyperlink ref="B5827" r:id="rId5430" xr:uid="{00000000-0004-0000-0000-000035150000}"/>
    <hyperlink ref="B5828" r:id="rId5431" xr:uid="{00000000-0004-0000-0000-000036150000}"/>
    <hyperlink ref="B5829" r:id="rId5432" xr:uid="{00000000-0004-0000-0000-000037150000}"/>
    <hyperlink ref="B5830" r:id="rId5433" xr:uid="{00000000-0004-0000-0000-000038150000}"/>
    <hyperlink ref="B5831" r:id="rId5434" xr:uid="{00000000-0004-0000-0000-000039150000}"/>
    <hyperlink ref="B5832" r:id="rId5435" xr:uid="{00000000-0004-0000-0000-00003A150000}"/>
    <hyperlink ref="A5840" r:id="rId5436" xr:uid="{00000000-0004-0000-0000-00003B150000}"/>
    <hyperlink ref="B5840" r:id="rId5437" xr:uid="{00000000-0004-0000-0000-00003C150000}"/>
    <hyperlink ref="A5841" r:id="rId5438" xr:uid="{00000000-0004-0000-0000-00003D150000}"/>
    <hyperlink ref="B5841" r:id="rId5439" xr:uid="{00000000-0004-0000-0000-00003E150000}"/>
    <hyperlink ref="B5842" r:id="rId5440" xr:uid="{00000000-0004-0000-0000-00003F150000}"/>
    <hyperlink ref="B5843" r:id="rId5441" xr:uid="{00000000-0004-0000-0000-000040150000}"/>
    <hyperlink ref="B5844" r:id="rId5442" xr:uid="{00000000-0004-0000-0000-000041150000}"/>
    <hyperlink ref="B5845" r:id="rId5443" xr:uid="{00000000-0004-0000-0000-000042150000}"/>
    <hyperlink ref="B5846" r:id="rId5444" xr:uid="{00000000-0004-0000-0000-000043150000}"/>
    <hyperlink ref="B5847" r:id="rId5445" xr:uid="{00000000-0004-0000-0000-000044150000}"/>
    <hyperlink ref="B5848" r:id="rId5446" xr:uid="{00000000-0004-0000-0000-000045150000}"/>
    <hyperlink ref="B5849" r:id="rId5447" xr:uid="{00000000-0004-0000-0000-000046150000}"/>
    <hyperlink ref="B5850" r:id="rId5448" xr:uid="{00000000-0004-0000-0000-000047150000}"/>
    <hyperlink ref="B5851" r:id="rId5449" xr:uid="{00000000-0004-0000-0000-000048150000}"/>
    <hyperlink ref="B5852" r:id="rId5450" xr:uid="{00000000-0004-0000-0000-000049150000}"/>
    <hyperlink ref="B5853" r:id="rId5451" xr:uid="{00000000-0004-0000-0000-00004A150000}"/>
    <hyperlink ref="B5854" r:id="rId5452" xr:uid="{00000000-0004-0000-0000-00004B150000}"/>
    <hyperlink ref="B5855" r:id="rId5453" xr:uid="{00000000-0004-0000-0000-00004C150000}"/>
    <hyperlink ref="B5856" r:id="rId5454" xr:uid="{00000000-0004-0000-0000-00004D150000}"/>
    <hyperlink ref="B5857" r:id="rId5455" xr:uid="{00000000-0004-0000-0000-00004E150000}"/>
    <hyperlink ref="B5858" r:id="rId5456" xr:uid="{00000000-0004-0000-0000-00004F150000}"/>
    <hyperlink ref="B5860" r:id="rId5457" xr:uid="{00000000-0004-0000-0000-000050150000}"/>
    <hyperlink ref="A5861" r:id="rId5458" xr:uid="{00000000-0004-0000-0000-000051150000}"/>
    <hyperlink ref="B5861" r:id="rId5459" xr:uid="{00000000-0004-0000-0000-000052150000}"/>
    <hyperlink ref="B5862" r:id="rId5460" xr:uid="{00000000-0004-0000-0000-000053150000}"/>
    <hyperlink ref="B5863" r:id="rId5461" xr:uid="{00000000-0004-0000-0000-000054150000}"/>
    <hyperlink ref="B5864" r:id="rId5462" xr:uid="{00000000-0004-0000-0000-000055150000}"/>
    <hyperlink ref="B5865" r:id="rId5463" xr:uid="{00000000-0004-0000-0000-000056150000}"/>
    <hyperlink ref="B5866" r:id="rId5464" xr:uid="{00000000-0004-0000-0000-000057150000}"/>
    <hyperlink ref="B5867" r:id="rId5465" xr:uid="{00000000-0004-0000-0000-000058150000}"/>
    <hyperlink ref="B5868" r:id="rId5466" xr:uid="{00000000-0004-0000-0000-000059150000}"/>
    <hyperlink ref="A5879" r:id="rId5467" xr:uid="{00000000-0004-0000-0000-00005A150000}"/>
    <hyperlink ref="B5896" r:id="rId5468" xr:uid="{00000000-0004-0000-0000-00005B150000}"/>
    <hyperlink ref="A5897" r:id="rId5469" xr:uid="{00000000-0004-0000-0000-00005C150000}"/>
    <hyperlink ref="B5897" r:id="rId5470" xr:uid="{00000000-0004-0000-0000-00005D150000}"/>
    <hyperlink ref="B5898" r:id="rId5471" xr:uid="{00000000-0004-0000-0000-00005E150000}"/>
    <hyperlink ref="B5899" r:id="rId5472" xr:uid="{00000000-0004-0000-0000-00005F150000}"/>
    <hyperlink ref="B5900" r:id="rId5473" xr:uid="{00000000-0004-0000-0000-000060150000}"/>
    <hyperlink ref="B5901" r:id="rId5474" xr:uid="{00000000-0004-0000-0000-000061150000}"/>
    <hyperlink ref="B5902" r:id="rId5475" xr:uid="{00000000-0004-0000-0000-000062150000}"/>
    <hyperlink ref="B5903" r:id="rId5476" xr:uid="{00000000-0004-0000-0000-000063150000}"/>
    <hyperlink ref="B5904" r:id="rId5477" xr:uid="{00000000-0004-0000-0000-000064150000}"/>
    <hyperlink ref="B5905" r:id="rId5478" xr:uid="{00000000-0004-0000-0000-000065150000}"/>
    <hyperlink ref="B5906" r:id="rId5479" xr:uid="{00000000-0004-0000-0000-000066150000}"/>
    <hyperlink ref="B5907" r:id="rId5480" xr:uid="{00000000-0004-0000-0000-000067150000}"/>
    <hyperlink ref="B5914" r:id="rId5481" xr:uid="{00000000-0004-0000-0000-000068150000}"/>
    <hyperlink ref="A5915" r:id="rId5482" xr:uid="{00000000-0004-0000-0000-000069150000}"/>
    <hyperlink ref="B5915" r:id="rId5483" xr:uid="{00000000-0004-0000-0000-00006A150000}"/>
    <hyperlink ref="B5917" r:id="rId5484" xr:uid="{00000000-0004-0000-0000-00006B150000}"/>
    <hyperlink ref="B5919" r:id="rId5485" xr:uid="{00000000-0004-0000-0000-00006C150000}"/>
    <hyperlink ref="B5921" r:id="rId5486" xr:uid="{00000000-0004-0000-0000-00006D150000}"/>
    <hyperlink ref="B5922" r:id="rId5487" xr:uid="{00000000-0004-0000-0000-00006E150000}"/>
    <hyperlink ref="B5923" r:id="rId5488" xr:uid="{00000000-0004-0000-0000-00006F150000}"/>
    <hyperlink ref="B5924" r:id="rId5489" xr:uid="{00000000-0004-0000-0000-000070150000}"/>
    <hyperlink ref="B5925" r:id="rId5490" xr:uid="{00000000-0004-0000-0000-000071150000}"/>
    <hyperlink ref="B5926" r:id="rId5491" xr:uid="{00000000-0004-0000-0000-000072150000}"/>
    <hyperlink ref="B5927" r:id="rId5492" xr:uid="{00000000-0004-0000-0000-000073150000}"/>
    <hyperlink ref="B5928" r:id="rId5493" xr:uid="{00000000-0004-0000-0000-000074150000}"/>
    <hyperlink ref="B5929" r:id="rId5494" xr:uid="{00000000-0004-0000-0000-000075150000}"/>
    <hyperlink ref="B5930" r:id="rId5495" xr:uid="{00000000-0004-0000-0000-000076150000}"/>
    <hyperlink ref="B5931" r:id="rId5496" xr:uid="{00000000-0004-0000-0000-000077150000}"/>
    <hyperlink ref="B5932" r:id="rId5497" xr:uid="{00000000-0004-0000-0000-000078150000}"/>
    <hyperlink ref="B5935" r:id="rId5498" xr:uid="{00000000-0004-0000-0000-000079150000}"/>
    <hyperlink ref="A5936" r:id="rId5499" xr:uid="{00000000-0004-0000-0000-00007A150000}"/>
    <hyperlink ref="B5936" r:id="rId5500" xr:uid="{00000000-0004-0000-0000-00007B150000}"/>
    <hyperlink ref="B5937" r:id="rId5501" xr:uid="{00000000-0004-0000-0000-00007C150000}"/>
    <hyperlink ref="B5938" r:id="rId5502" xr:uid="{00000000-0004-0000-0000-00007D150000}"/>
    <hyperlink ref="B5939" r:id="rId5503" xr:uid="{00000000-0004-0000-0000-00007E150000}"/>
    <hyperlink ref="B5940" r:id="rId5504" xr:uid="{00000000-0004-0000-0000-00007F150000}"/>
    <hyperlink ref="B5941" r:id="rId5505" xr:uid="{00000000-0004-0000-0000-000080150000}"/>
    <hyperlink ref="B5942" r:id="rId5506" xr:uid="{00000000-0004-0000-0000-000081150000}"/>
    <hyperlink ref="B5943" r:id="rId5507" xr:uid="{00000000-0004-0000-0000-000082150000}"/>
    <hyperlink ref="B5944" r:id="rId5508" xr:uid="{00000000-0004-0000-0000-000083150000}"/>
    <hyperlink ref="B5945" r:id="rId5509" xr:uid="{00000000-0004-0000-0000-000084150000}"/>
    <hyperlink ref="B5946" r:id="rId5510" xr:uid="{00000000-0004-0000-0000-000085150000}"/>
    <hyperlink ref="B5947" r:id="rId5511" xr:uid="{00000000-0004-0000-0000-000086150000}"/>
    <hyperlink ref="B5953" r:id="rId5512" xr:uid="{00000000-0004-0000-0000-000087150000}"/>
    <hyperlink ref="A5954" r:id="rId5513" xr:uid="{00000000-0004-0000-0000-000088150000}"/>
    <hyperlink ref="B5954" r:id="rId5514" xr:uid="{00000000-0004-0000-0000-000089150000}"/>
    <hyperlink ref="B5955" r:id="rId5515" xr:uid="{00000000-0004-0000-0000-00008A150000}"/>
    <hyperlink ref="B5956" r:id="rId5516" xr:uid="{00000000-0004-0000-0000-00008B150000}"/>
    <hyperlink ref="D5956" r:id="rId5517" xr:uid="{00000000-0004-0000-0000-00008C150000}"/>
    <hyperlink ref="B5957" r:id="rId5518" xr:uid="{00000000-0004-0000-0000-00008D150000}"/>
    <hyperlink ref="B5958" r:id="rId5519" xr:uid="{00000000-0004-0000-0000-00008E150000}"/>
    <hyperlink ref="B5959" r:id="rId5520" xr:uid="{00000000-0004-0000-0000-00008F150000}"/>
    <hyperlink ref="B5960" r:id="rId5521" xr:uid="{00000000-0004-0000-0000-000090150000}"/>
    <hyperlink ref="B5961" r:id="rId5522" xr:uid="{00000000-0004-0000-0000-000091150000}"/>
    <hyperlink ref="B5962" r:id="rId5523" xr:uid="{00000000-0004-0000-0000-000092150000}"/>
    <hyperlink ref="B5963" r:id="rId5524" xr:uid="{00000000-0004-0000-0000-000093150000}"/>
    <hyperlink ref="B5964" r:id="rId5525" xr:uid="{00000000-0004-0000-0000-000094150000}"/>
    <hyperlink ref="B5965" r:id="rId5526" xr:uid="{00000000-0004-0000-0000-000095150000}"/>
    <hyperlink ref="B5974" r:id="rId5527" xr:uid="{00000000-0004-0000-0000-000096150000}"/>
    <hyperlink ref="A5975" r:id="rId5528" xr:uid="{00000000-0004-0000-0000-000097150000}"/>
    <hyperlink ref="B5975" r:id="rId5529" xr:uid="{00000000-0004-0000-0000-000098150000}"/>
    <hyperlink ref="B5976" r:id="rId5530" xr:uid="{00000000-0004-0000-0000-000099150000}"/>
    <hyperlink ref="B5977" r:id="rId5531" xr:uid="{00000000-0004-0000-0000-00009A150000}"/>
    <hyperlink ref="B5978" r:id="rId5532" xr:uid="{00000000-0004-0000-0000-00009B150000}"/>
    <hyperlink ref="B5979" r:id="rId5533" xr:uid="{00000000-0004-0000-0000-00009C150000}"/>
    <hyperlink ref="B5980" r:id="rId5534" xr:uid="{00000000-0004-0000-0000-00009D150000}"/>
    <hyperlink ref="B5981" r:id="rId5535" xr:uid="{00000000-0004-0000-0000-00009E150000}"/>
    <hyperlink ref="B5992" r:id="rId5536" xr:uid="{00000000-0004-0000-0000-00009F150000}"/>
    <hyperlink ref="A5993" r:id="rId5537" xr:uid="{00000000-0004-0000-0000-0000A0150000}"/>
    <hyperlink ref="B5993" r:id="rId5538" xr:uid="{00000000-0004-0000-0000-0000A1150000}"/>
    <hyperlink ref="B5994" r:id="rId5539" xr:uid="{00000000-0004-0000-0000-0000A2150000}"/>
    <hyperlink ref="B5995" r:id="rId5540" xr:uid="{00000000-0004-0000-0000-0000A3150000}"/>
    <hyperlink ref="B5996" r:id="rId5541" xr:uid="{00000000-0004-0000-0000-0000A4150000}"/>
    <hyperlink ref="B5997" r:id="rId5542" xr:uid="{00000000-0004-0000-0000-0000A5150000}"/>
    <hyperlink ref="B5998" r:id="rId5543" xr:uid="{00000000-0004-0000-0000-0000A6150000}"/>
    <hyperlink ref="B6000" r:id="rId5544" xr:uid="{00000000-0004-0000-0000-0000A7150000}"/>
    <hyperlink ref="B6001" r:id="rId5545" xr:uid="{00000000-0004-0000-0000-0000A8150000}"/>
    <hyperlink ref="B6002" r:id="rId5546" xr:uid="{00000000-0004-0000-0000-0000A9150000}"/>
    <hyperlink ref="B6003" r:id="rId5547" xr:uid="{00000000-0004-0000-0000-0000AA150000}"/>
    <hyperlink ref="B6004" r:id="rId5548" xr:uid="{00000000-0004-0000-0000-0000AB150000}"/>
    <hyperlink ref="B6005" r:id="rId5549" xr:uid="{00000000-0004-0000-0000-0000AC150000}"/>
    <hyperlink ref="B6006" r:id="rId5550" xr:uid="{00000000-0004-0000-0000-0000AD150000}"/>
    <hyperlink ref="B6007" r:id="rId5551" xr:uid="{00000000-0004-0000-0000-0000AE150000}"/>
    <hyperlink ref="B6008" r:id="rId5552" xr:uid="{00000000-0004-0000-0000-0000AF150000}"/>
    <hyperlink ref="B6011" r:id="rId5553" xr:uid="{00000000-0004-0000-0000-0000B0150000}"/>
    <hyperlink ref="A6012" r:id="rId5554" location="grad" xr:uid="{00000000-0004-0000-0000-0000B1150000}"/>
    <hyperlink ref="B6012" r:id="rId5555" xr:uid="{00000000-0004-0000-0000-0000B2150000}"/>
    <hyperlink ref="B6013" r:id="rId5556" xr:uid="{00000000-0004-0000-0000-0000B3150000}"/>
    <hyperlink ref="B6014" r:id="rId5557" xr:uid="{00000000-0004-0000-0000-0000B4150000}"/>
    <hyperlink ref="B6015" r:id="rId5558" xr:uid="{00000000-0004-0000-0000-0000B5150000}"/>
    <hyperlink ref="B6016" r:id="rId5559" xr:uid="{00000000-0004-0000-0000-0000B6150000}"/>
    <hyperlink ref="B6017" r:id="rId5560" xr:uid="{00000000-0004-0000-0000-0000B7150000}"/>
    <hyperlink ref="B6018" r:id="rId5561" xr:uid="{00000000-0004-0000-0000-0000B8150000}"/>
    <hyperlink ref="B6019" r:id="rId5562" xr:uid="{00000000-0004-0000-0000-0000B9150000}"/>
  </hyperlinks>
  <pageMargins left="0.7" right="0.7" top="0.75" bottom="0.75" header="0.3" footer="0.3"/>
  <drawing r:id="rId5563"/>
  <legacyDrawing r:id="rId556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X6406"/>
  <sheetViews>
    <sheetView tabSelected="1" zoomScale="140" zoomScaleNormal="140" workbookViewId="0">
      <pane xSplit="1" ySplit="1" topLeftCell="B98" activePane="bottomRight" state="frozen"/>
      <selection pane="topRight" activeCell="B1" sqref="B1"/>
      <selection pane="bottomLeft" activeCell="A2" sqref="A2"/>
      <selection pane="bottomRight" activeCell="F116" sqref="F2:F116"/>
    </sheetView>
  </sheetViews>
  <sheetFormatPr defaultColWidth="12.5703125" defaultRowHeight="15" customHeight="1"/>
  <cols>
    <col min="1" max="1" width="26.140625" customWidth="1"/>
    <col min="2" max="2" width="42" customWidth="1"/>
    <col min="3" max="3" width="37.140625" customWidth="1"/>
    <col min="4" max="4" width="36.140625" customWidth="1"/>
    <col min="5" max="6" width="23.28515625" customWidth="1"/>
    <col min="7" max="7" width="12.5703125" customWidth="1"/>
    <col min="8" max="8" width="12.42578125" customWidth="1"/>
    <col min="9" max="9" width="16.140625" customWidth="1"/>
    <col min="10" max="10" width="12.5703125" customWidth="1"/>
    <col min="11" max="11" width="12.42578125" customWidth="1"/>
    <col min="12" max="12" width="16.140625" customWidth="1"/>
    <col min="13" max="16" width="20.7109375" customWidth="1"/>
    <col min="17" max="17" width="27.85546875" customWidth="1"/>
    <col min="18" max="18" width="24.140625" customWidth="1"/>
    <col min="19" max="29" width="27.42578125" customWidth="1"/>
    <col min="30" max="30" width="23.85546875" customWidth="1"/>
    <col min="31" max="31" width="28.28515625" customWidth="1"/>
    <col min="32" max="32" width="24.7109375" customWidth="1"/>
    <col min="33" max="33" width="23.28515625" customWidth="1"/>
    <col min="34" max="34" width="29.85546875" customWidth="1"/>
    <col min="35" max="35" width="30.7109375" customWidth="1"/>
    <col min="36" max="36" width="29.42578125" customWidth="1"/>
    <col min="37" max="37" width="41.42578125" customWidth="1"/>
    <col min="38" max="39" width="22.28515625" customWidth="1"/>
    <col min="40" max="40" width="21.42578125" customWidth="1"/>
    <col min="41" max="41" width="17.5703125" customWidth="1"/>
    <col min="42" max="42" width="23.5703125" customWidth="1"/>
    <col min="43" max="43" width="15.5703125" customWidth="1"/>
    <col min="44" max="44" width="23.5703125" customWidth="1"/>
    <col min="45" max="45" width="19.28515625" customWidth="1"/>
    <col min="46" max="47" width="21.28515625" customWidth="1"/>
    <col min="48" max="48" width="23.140625" customWidth="1"/>
    <col min="49" max="49" width="18" customWidth="1"/>
    <col min="50" max="50" width="22.85546875" customWidth="1"/>
    <col min="51" max="51" width="17.28515625" customWidth="1"/>
    <col min="52" max="52" width="23.140625" customWidth="1"/>
    <col min="53" max="53" width="24.28515625" customWidth="1"/>
    <col min="54" max="54" width="40.85546875" customWidth="1"/>
    <col min="55" max="55" width="23.42578125" customWidth="1"/>
    <col min="56" max="56" width="22.28515625" customWidth="1"/>
    <col min="57" max="57" width="22.7109375" customWidth="1"/>
    <col min="58" max="58" width="23" customWidth="1"/>
    <col min="59" max="62" width="41.42578125" customWidth="1"/>
    <col min="63" max="63" width="53.85546875" customWidth="1"/>
    <col min="64" max="64" width="24.28515625" customWidth="1"/>
    <col min="65" max="65" width="35.5703125" customWidth="1"/>
    <col min="66" max="67" width="30.85546875" customWidth="1"/>
    <col min="68" max="68" width="41.5703125" customWidth="1"/>
    <col min="69" max="69" width="10.5703125" customWidth="1"/>
    <col min="70" max="70" width="11.5703125" customWidth="1"/>
    <col min="71" max="71" width="18.7109375" customWidth="1"/>
    <col min="72" max="72" width="35" customWidth="1"/>
    <col min="73" max="73" width="4.5703125" customWidth="1"/>
    <col min="74" max="74" width="10" customWidth="1"/>
    <col min="75" max="75" width="8.5703125" customWidth="1"/>
    <col min="76" max="76" width="15.42578125" customWidth="1"/>
  </cols>
  <sheetData>
    <row r="1" spans="1:76" ht="84.75" customHeight="1">
      <c r="A1" s="7" t="s">
        <v>20411</v>
      </c>
      <c r="B1" s="7" t="s">
        <v>20412</v>
      </c>
      <c r="C1" s="392" t="s">
        <v>20413</v>
      </c>
      <c r="D1" s="400" t="s">
        <v>20414</v>
      </c>
      <c r="E1" s="392" t="s">
        <v>20415</v>
      </c>
      <c r="F1" s="401" t="s">
        <v>20416</v>
      </c>
      <c r="G1" s="395" t="s">
        <v>20417</v>
      </c>
      <c r="H1" s="394" t="s">
        <v>20418</v>
      </c>
      <c r="I1" s="394" t="s">
        <v>20419</v>
      </c>
      <c r="J1" s="396" t="s">
        <v>20420</v>
      </c>
      <c r="K1" s="393" t="s">
        <v>20421</v>
      </c>
      <c r="L1" s="393" t="s">
        <v>20422</v>
      </c>
      <c r="M1" s="390" t="s">
        <v>27</v>
      </c>
      <c r="N1" s="305" t="s">
        <v>90</v>
      </c>
      <c r="O1" s="305" t="s">
        <v>49</v>
      </c>
      <c r="P1" s="306" t="s">
        <v>28</v>
      </c>
      <c r="Q1" s="306" t="s">
        <v>91</v>
      </c>
      <c r="R1" s="306" t="s">
        <v>50</v>
      </c>
      <c r="S1" s="307" t="s">
        <v>415</v>
      </c>
      <c r="T1" s="307" t="s">
        <v>20423</v>
      </c>
      <c r="U1" s="307" t="s">
        <v>20424</v>
      </c>
      <c r="V1" s="308" t="s">
        <v>20425</v>
      </c>
      <c r="W1" s="307" t="s">
        <v>232</v>
      </c>
      <c r="X1" s="307" t="s">
        <v>1461</v>
      </c>
      <c r="Y1" s="307" t="s">
        <v>1432</v>
      </c>
      <c r="Z1" s="307" t="s">
        <v>1370</v>
      </c>
      <c r="AA1" s="307" t="s">
        <v>1490</v>
      </c>
      <c r="AB1" s="307" t="s">
        <v>1641</v>
      </c>
      <c r="AC1" s="307" t="s">
        <v>813</v>
      </c>
      <c r="AD1" s="397" t="s">
        <v>36</v>
      </c>
      <c r="AE1" s="402" t="s">
        <v>20426</v>
      </c>
      <c r="AF1" s="403" t="s">
        <v>20427</v>
      </c>
      <c r="AG1" s="403" t="s">
        <v>20428</v>
      </c>
      <c r="AH1" s="403" t="s">
        <v>20429</v>
      </c>
      <c r="AI1" s="403" t="s">
        <v>20430</v>
      </c>
      <c r="AJ1" s="403" t="s">
        <v>20431</v>
      </c>
      <c r="AK1" s="403" t="s">
        <v>20432</v>
      </c>
      <c r="AL1" s="398" t="s">
        <v>20433</v>
      </c>
      <c r="AM1" s="402" t="s">
        <v>20434</v>
      </c>
      <c r="AN1" s="403" t="s">
        <v>20435</v>
      </c>
      <c r="AO1" s="403" t="s">
        <v>20436</v>
      </c>
      <c r="AP1" s="403" t="s">
        <v>20437</v>
      </c>
      <c r="AQ1" s="403" t="s">
        <v>20438</v>
      </c>
      <c r="AR1" s="403" t="s">
        <v>20439</v>
      </c>
      <c r="AS1" s="403" t="s">
        <v>20440</v>
      </c>
      <c r="AT1" s="397" t="s">
        <v>20441</v>
      </c>
      <c r="AU1" s="403" t="s">
        <v>20442</v>
      </c>
      <c r="AV1" s="403" t="s">
        <v>20443</v>
      </c>
      <c r="AW1" s="403" t="s">
        <v>20444</v>
      </c>
      <c r="AX1" s="403" t="s">
        <v>20445</v>
      </c>
      <c r="AY1" s="403" t="s">
        <v>20446</v>
      </c>
      <c r="AZ1" s="403" t="s">
        <v>20447</v>
      </c>
      <c r="BA1" s="403" t="s">
        <v>20448</v>
      </c>
      <c r="BB1" s="397" t="s">
        <v>20449</v>
      </c>
      <c r="BC1" s="304" t="s">
        <v>20450</v>
      </c>
      <c r="BD1" s="304" t="s">
        <v>20451</v>
      </c>
      <c r="BE1" s="304" t="s">
        <v>20452</v>
      </c>
      <c r="BF1" s="304" t="s">
        <v>20453</v>
      </c>
      <c r="BG1" s="304" t="s">
        <v>20454</v>
      </c>
      <c r="BH1" s="304" t="s">
        <v>20455</v>
      </c>
      <c r="BI1" s="304" t="s">
        <v>20456</v>
      </c>
      <c r="BJ1" s="399" t="s">
        <v>20457</v>
      </c>
      <c r="BK1" s="9" t="s">
        <v>20458</v>
      </c>
      <c r="BL1" s="9" t="s">
        <v>20459</v>
      </c>
      <c r="BM1" s="9" t="s">
        <v>20460</v>
      </c>
      <c r="BN1" s="9" t="s">
        <v>20461</v>
      </c>
      <c r="BO1" s="9" t="s">
        <v>20462</v>
      </c>
      <c r="BP1" s="392" t="s">
        <v>20463</v>
      </c>
      <c r="BQ1" s="304" t="s">
        <v>20464</v>
      </c>
      <c r="BR1" s="304" t="s">
        <v>20465</v>
      </c>
      <c r="BS1" s="304" t="s">
        <v>20466</v>
      </c>
      <c r="BT1" s="391" t="s">
        <v>20467</v>
      </c>
      <c r="BU1" s="304" t="s">
        <v>20468</v>
      </c>
      <c r="BV1" s="304" t="s">
        <v>20469</v>
      </c>
      <c r="BW1" s="304" t="s">
        <v>20470</v>
      </c>
      <c r="BX1" s="309" t="s">
        <v>20471</v>
      </c>
    </row>
    <row r="2" spans="1:76" ht="15.75" customHeight="1">
      <c r="A2" s="310" t="s">
        <v>22</v>
      </c>
      <c r="B2" s="311" t="s">
        <v>32</v>
      </c>
      <c r="C2" s="155">
        <v>166</v>
      </c>
      <c r="D2" s="312">
        <v>166</v>
      </c>
      <c r="E2" s="313" t="s">
        <v>44</v>
      </c>
      <c r="F2" s="314">
        <v>1</v>
      </c>
      <c r="G2" s="315">
        <f>COUNTIF('Mechanical Engineering Faculty'!I3:I138, "TT") + COUNTIF('Mechanical Engineering Faculty'!I3:I138, "NTT")</f>
        <v>135</v>
      </c>
      <c r="H2" s="315">
        <f>COUNTIF('Mechanical Engineering Faculty'!I3:I138, "TT")</f>
        <v>101</v>
      </c>
      <c r="I2" s="315">
        <f>COUNTIF('Mechanical Engineering Faculty'!I3:I138, "NTT")</f>
        <v>34</v>
      </c>
      <c r="J2" s="316">
        <v>133</v>
      </c>
      <c r="K2" s="316">
        <v>102</v>
      </c>
      <c r="L2" s="316">
        <f>J2-K2</f>
        <v>31</v>
      </c>
      <c r="M2" s="316">
        <f>COUNTIFS( 'Mechanical Engineering Faculty'!$F$3:$F$138,"P1")</f>
        <v>75</v>
      </c>
      <c r="N2" s="316">
        <f>COUNTIFS( 'Mechanical Engineering Faculty'!$F$3:$F$138,N$1)</f>
        <v>14</v>
      </c>
      <c r="O2" s="316">
        <f>COUNTIFS( 'Mechanical Engineering Faculty'!$F$3:$F$138,O$1)</f>
        <v>12</v>
      </c>
      <c r="P2" s="316">
        <v>78</v>
      </c>
      <c r="Q2" s="316">
        <v>14</v>
      </c>
      <c r="R2" s="316">
        <v>10</v>
      </c>
      <c r="S2" s="316">
        <v>31</v>
      </c>
      <c r="T2" s="316">
        <f t="shared" ref="T2:T33" si="0">P2-M2</f>
        <v>3</v>
      </c>
      <c r="U2" s="316">
        <f t="shared" ref="U2:U33" si="1">Q2-N2</f>
        <v>0</v>
      </c>
      <c r="V2" s="316">
        <f t="shared" ref="V2:V33" si="2">R2-O2</f>
        <v>-2</v>
      </c>
      <c r="W2" s="316">
        <v>0</v>
      </c>
      <c r="X2" s="316">
        <v>0</v>
      </c>
      <c r="Y2" s="316">
        <v>0</v>
      </c>
      <c r="Z2" s="316">
        <v>0</v>
      </c>
      <c r="AA2" s="316">
        <v>0</v>
      </c>
      <c r="AB2" s="316">
        <v>0</v>
      </c>
      <c r="AC2" s="316">
        <v>0</v>
      </c>
      <c r="AD2" s="316">
        <v>24</v>
      </c>
      <c r="AE2" s="317">
        <v>30711000</v>
      </c>
      <c r="AF2" s="317">
        <v>1097000</v>
      </c>
      <c r="AG2" s="317">
        <v>0</v>
      </c>
      <c r="AH2" s="317">
        <v>20851000</v>
      </c>
      <c r="AI2" s="317">
        <v>0</v>
      </c>
      <c r="AJ2" s="317">
        <v>7178000</v>
      </c>
      <c r="AK2" s="317">
        <v>116000</v>
      </c>
      <c r="AL2" s="318">
        <f t="shared" ref="AL2:AL33" si="3">SUM(AE2:AK2)</f>
        <v>59953000</v>
      </c>
      <c r="AM2" s="318">
        <v>29268000</v>
      </c>
      <c r="AN2" s="318">
        <v>1548000</v>
      </c>
      <c r="AO2" s="318">
        <v>0</v>
      </c>
      <c r="AP2" s="318">
        <v>17031000</v>
      </c>
      <c r="AQ2" s="318">
        <v>0</v>
      </c>
      <c r="AR2" s="318">
        <v>5495000</v>
      </c>
      <c r="AS2" s="318">
        <v>16000</v>
      </c>
      <c r="AT2" s="318">
        <f t="shared" ref="AT2:AT33" si="4">SUM(AM2:AS2)</f>
        <v>53358000</v>
      </c>
      <c r="AU2" s="318">
        <v>38073000</v>
      </c>
      <c r="AV2" s="318">
        <v>1645000</v>
      </c>
      <c r="AW2" s="318">
        <v>0</v>
      </c>
      <c r="AX2" s="318">
        <v>19000000</v>
      </c>
      <c r="AY2" s="318">
        <v>0</v>
      </c>
      <c r="AZ2" s="318">
        <v>5483000</v>
      </c>
      <c r="BA2" s="318">
        <v>54000</v>
      </c>
      <c r="BB2" s="319">
        <f t="shared" ref="BB2:BB33" si="5">SUM(AU2:BA2)</f>
        <v>64255000</v>
      </c>
      <c r="BC2" s="314">
        <v>31327000</v>
      </c>
      <c r="BD2" s="314">
        <v>2069000</v>
      </c>
      <c r="BE2" s="314">
        <v>0</v>
      </c>
      <c r="BF2" s="314">
        <v>19797000</v>
      </c>
      <c r="BG2" s="314">
        <v>0</v>
      </c>
      <c r="BH2" s="314">
        <v>11091000</v>
      </c>
      <c r="BI2" s="314">
        <v>2000</v>
      </c>
      <c r="BJ2" s="314">
        <f>SUM(BC2:BI2)</f>
        <v>64286000</v>
      </c>
      <c r="BK2" s="40" t="s">
        <v>52</v>
      </c>
      <c r="BL2" s="320">
        <v>100</v>
      </c>
      <c r="BM2" s="320">
        <v>4.9000000000000004</v>
      </c>
      <c r="BN2" s="320">
        <v>4.8</v>
      </c>
      <c r="BO2" s="40" t="s">
        <v>85</v>
      </c>
      <c r="BP2" s="321">
        <v>3222</v>
      </c>
      <c r="BQ2" s="314">
        <v>6</v>
      </c>
      <c r="BR2" s="314">
        <v>1</v>
      </c>
      <c r="BS2" s="322">
        <v>59750</v>
      </c>
      <c r="BT2" s="323">
        <v>3355</v>
      </c>
      <c r="BU2" s="324">
        <v>100</v>
      </c>
      <c r="BV2" s="324">
        <v>4.9000000000000004</v>
      </c>
      <c r="BW2" s="324">
        <v>4.7</v>
      </c>
      <c r="BX2" s="325" t="s">
        <v>20472</v>
      </c>
    </row>
    <row r="3" spans="1:76" ht="15.75" customHeight="1">
      <c r="A3" s="310" t="s">
        <v>481</v>
      </c>
      <c r="B3" s="311" t="s">
        <v>489</v>
      </c>
      <c r="C3" s="155">
        <v>168</v>
      </c>
      <c r="D3" s="312">
        <v>168</v>
      </c>
      <c r="E3" s="313" t="s">
        <v>497</v>
      </c>
      <c r="F3" s="314">
        <v>1</v>
      </c>
      <c r="G3" s="315">
        <f>COUNTIF('Mechanical Engineering Faculty'!I140:I192, "TT") + COUNTIF('Mechanical Engineering Faculty'!I140:I192, "NTT")</f>
        <v>50</v>
      </c>
      <c r="H3" s="326">
        <f>COUNTIF('Mechanical Engineering Faculty'!I140:I192, "TT")</f>
        <v>37</v>
      </c>
      <c r="I3" s="315">
        <f>COUNTIF('Mechanical Engineering Faculty'!I140:I192, "NTT")</f>
        <v>13</v>
      </c>
      <c r="J3" s="316">
        <v>48</v>
      </c>
      <c r="K3" s="316">
        <v>36</v>
      </c>
      <c r="L3" s="316">
        <f>J3-K3</f>
        <v>12</v>
      </c>
      <c r="M3" s="316">
        <f>COUNTIFS( 'Mechanical Engineering Faculty'!$F$140:$F$192,M$1)</f>
        <v>26</v>
      </c>
      <c r="N3" s="316">
        <f>COUNTIFS( 'Mechanical Engineering Faculty'!$F$140:$F$192,N$1)</f>
        <v>5</v>
      </c>
      <c r="O3" s="316">
        <f>COUNTIFS( 'Mechanical Engineering Faculty'!$F$140:$F$192,O$1)</f>
        <v>6</v>
      </c>
      <c r="P3" s="316">
        <v>25</v>
      </c>
      <c r="Q3" s="316">
        <v>6</v>
      </c>
      <c r="R3" s="316">
        <v>5</v>
      </c>
      <c r="S3" s="316">
        <v>12</v>
      </c>
      <c r="T3" s="316">
        <f t="shared" si="0"/>
        <v>-1</v>
      </c>
      <c r="U3" s="316">
        <f t="shared" si="1"/>
        <v>1</v>
      </c>
      <c r="V3" s="316">
        <f t="shared" si="2"/>
        <v>-1</v>
      </c>
      <c r="W3" s="316">
        <v>0</v>
      </c>
      <c r="X3" s="316">
        <v>0</v>
      </c>
      <c r="Y3" s="316">
        <v>0</v>
      </c>
      <c r="Z3" s="316">
        <v>0</v>
      </c>
      <c r="AA3" s="316">
        <v>0</v>
      </c>
      <c r="AB3" s="316">
        <v>0</v>
      </c>
      <c r="AC3" s="316">
        <v>0</v>
      </c>
      <c r="AD3" s="316">
        <v>15</v>
      </c>
      <c r="AE3" s="317">
        <v>15659201</v>
      </c>
      <c r="AF3" s="317">
        <v>992436</v>
      </c>
      <c r="AG3" s="317">
        <v>1959679</v>
      </c>
      <c r="AH3" s="317">
        <v>13811605</v>
      </c>
      <c r="AI3" s="317">
        <v>0</v>
      </c>
      <c r="AJ3" s="317">
        <v>1771925</v>
      </c>
      <c r="AK3" s="317">
        <v>0</v>
      </c>
      <c r="AL3" s="318">
        <f t="shared" si="3"/>
        <v>34194846</v>
      </c>
      <c r="AM3" s="318">
        <v>15951916</v>
      </c>
      <c r="AN3" s="318">
        <v>930781</v>
      </c>
      <c r="AO3" s="318">
        <v>20216</v>
      </c>
      <c r="AP3" s="318">
        <v>7549332</v>
      </c>
      <c r="AQ3" s="318">
        <v>0</v>
      </c>
      <c r="AR3" s="318">
        <v>641220</v>
      </c>
      <c r="AS3" s="318">
        <v>0</v>
      </c>
      <c r="AT3" s="318">
        <f t="shared" si="4"/>
        <v>25093465</v>
      </c>
      <c r="AU3" s="318">
        <v>16768000</v>
      </c>
      <c r="AV3" s="318">
        <v>726000</v>
      </c>
      <c r="AW3" s="318">
        <v>223000</v>
      </c>
      <c r="AX3" s="318">
        <v>7150000</v>
      </c>
      <c r="AY3" s="327">
        <v>0</v>
      </c>
      <c r="AZ3" s="318">
        <v>1416000</v>
      </c>
      <c r="BA3" s="318">
        <v>55000</v>
      </c>
      <c r="BB3" s="319">
        <f t="shared" si="5"/>
        <v>26338000</v>
      </c>
      <c r="BC3" s="328">
        <v>17186759</v>
      </c>
      <c r="BD3" s="329">
        <v>531862</v>
      </c>
      <c r="BE3" s="329">
        <v>1679079</v>
      </c>
      <c r="BF3" s="329">
        <v>6112793</v>
      </c>
      <c r="BG3" s="329">
        <v>0</v>
      </c>
      <c r="BH3" s="329">
        <v>1278808</v>
      </c>
      <c r="BI3" s="329">
        <v>92574</v>
      </c>
      <c r="BJ3" s="314">
        <f>SUM(BC3:BI3)</f>
        <v>26881875</v>
      </c>
      <c r="BK3" s="40" t="s">
        <v>502</v>
      </c>
      <c r="BL3" s="320">
        <v>94</v>
      </c>
      <c r="BM3" s="320">
        <v>4.8</v>
      </c>
      <c r="BN3" s="320">
        <v>4.7</v>
      </c>
      <c r="BO3" s="40" t="s">
        <v>537</v>
      </c>
      <c r="BP3" s="321">
        <v>3469</v>
      </c>
      <c r="BQ3" s="314">
        <v>6</v>
      </c>
      <c r="BR3" s="314">
        <v>2</v>
      </c>
      <c r="BS3" s="323">
        <v>62580</v>
      </c>
      <c r="BT3" s="323">
        <v>3509</v>
      </c>
      <c r="BU3" s="324">
        <v>96</v>
      </c>
      <c r="BV3" s="324">
        <v>4.8</v>
      </c>
      <c r="BW3" s="324">
        <v>4.7</v>
      </c>
      <c r="BX3" s="325" t="s">
        <v>20473</v>
      </c>
    </row>
    <row r="4" spans="1:76" ht="15.75" customHeight="1">
      <c r="A4" s="310" t="s">
        <v>663</v>
      </c>
      <c r="B4" s="311" t="s">
        <v>668</v>
      </c>
      <c r="C4" s="155" t="s">
        <v>55</v>
      </c>
      <c r="D4" s="312" t="s">
        <v>20474</v>
      </c>
      <c r="E4" s="313" t="s">
        <v>677</v>
      </c>
      <c r="F4" s="330">
        <v>3</v>
      </c>
      <c r="G4" s="315">
        <f>COUNTIF('Mechanical Engineering Faculty'!I194:I218, "TT") + COUNTIF('Mechanical Engineering Faculty'!I194:I218, "NTT")</f>
        <v>23</v>
      </c>
      <c r="H4" s="326">
        <f>COUNTIF('Mechanical Engineering Faculty'!I194:I218, "TT")</f>
        <v>22</v>
      </c>
      <c r="I4" s="315">
        <f t="shared" ref="I4:I15" si="6">G4-H4</f>
        <v>1</v>
      </c>
      <c r="J4" s="316">
        <v>25</v>
      </c>
      <c r="K4" s="316">
        <v>22</v>
      </c>
      <c r="L4" s="316">
        <f>J4-K4</f>
        <v>3</v>
      </c>
      <c r="M4" s="316">
        <f>COUNTIFS( 'Mechanical Engineering Faculty'!$F$194:$F$218,M$1)</f>
        <v>21</v>
      </c>
      <c r="N4" s="316">
        <f>COUNTIFS( 'Mechanical Engineering Faculty'!$F$194:$F$218,N$1)</f>
        <v>0</v>
      </c>
      <c r="O4" s="316">
        <f>COUNTIFS( 'Mechanical Engineering Faculty'!$F$194:$F$218,O$1)</f>
        <v>1</v>
      </c>
      <c r="P4" s="316">
        <v>21</v>
      </c>
      <c r="Q4" s="316">
        <v>0</v>
      </c>
      <c r="R4" s="316">
        <v>1</v>
      </c>
      <c r="S4" s="316">
        <v>2</v>
      </c>
      <c r="T4" s="316">
        <f t="shared" si="0"/>
        <v>0</v>
      </c>
      <c r="U4" s="316">
        <f t="shared" si="1"/>
        <v>0</v>
      </c>
      <c r="V4" s="316">
        <f t="shared" si="2"/>
        <v>0</v>
      </c>
      <c r="W4" s="316">
        <v>1</v>
      </c>
      <c r="X4" s="316">
        <v>0</v>
      </c>
      <c r="Y4" s="316">
        <v>0</v>
      </c>
      <c r="Z4" s="316">
        <v>0</v>
      </c>
      <c r="AA4" s="316">
        <v>0</v>
      </c>
      <c r="AB4" s="316">
        <v>0</v>
      </c>
      <c r="AC4" s="316">
        <v>0</v>
      </c>
      <c r="AD4" s="316">
        <v>18</v>
      </c>
      <c r="AE4" s="317">
        <v>10322000</v>
      </c>
      <c r="AF4" s="317">
        <v>0</v>
      </c>
      <c r="AG4" s="317">
        <v>0</v>
      </c>
      <c r="AH4" s="317">
        <v>0</v>
      </c>
      <c r="AI4" s="317">
        <v>0</v>
      </c>
      <c r="AJ4" s="317">
        <v>3368000</v>
      </c>
      <c r="AK4" s="317" t="s">
        <v>55</v>
      </c>
      <c r="AL4" s="318">
        <f t="shared" si="3"/>
        <v>13690000</v>
      </c>
      <c r="AM4" s="318">
        <v>9873000</v>
      </c>
      <c r="AN4" s="318">
        <v>0</v>
      </c>
      <c r="AO4" s="318">
        <v>0</v>
      </c>
      <c r="AP4" s="318">
        <v>0</v>
      </c>
      <c r="AQ4" s="318">
        <v>0</v>
      </c>
      <c r="AR4" s="318">
        <v>2997000</v>
      </c>
      <c r="AS4" s="318">
        <v>0</v>
      </c>
      <c r="AT4" s="318">
        <f t="shared" si="4"/>
        <v>12870000</v>
      </c>
      <c r="AU4" s="331" t="s">
        <v>55</v>
      </c>
      <c r="AV4" s="331" t="s">
        <v>55</v>
      </c>
      <c r="AW4" s="331" t="s">
        <v>55</v>
      </c>
      <c r="AX4" s="331" t="s">
        <v>55</v>
      </c>
      <c r="AY4" s="331" t="s">
        <v>55</v>
      </c>
      <c r="AZ4" s="331" t="s">
        <v>55</v>
      </c>
      <c r="BA4" s="331" t="s">
        <v>55</v>
      </c>
      <c r="BB4" s="319">
        <f t="shared" si="5"/>
        <v>0</v>
      </c>
      <c r="BC4" s="332" t="s">
        <v>55</v>
      </c>
      <c r="BD4" s="332" t="s">
        <v>55</v>
      </c>
      <c r="BE4" s="332" t="s">
        <v>55</v>
      </c>
      <c r="BF4" s="332" t="s">
        <v>55</v>
      </c>
      <c r="BG4" s="332" t="s">
        <v>55</v>
      </c>
      <c r="BH4" s="332" t="s">
        <v>55</v>
      </c>
      <c r="BI4" s="332" t="s">
        <v>55</v>
      </c>
      <c r="BJ4" s="332" t="s">
        <v>55</v>
      </c>
      <c r="BK4" s="40" t="s">
        <v>681</v>
      </c>
      <c r="BL4" s="320">
        <v>86</v>
      </c>
      <c r="BM4" s="320">
        <v>4.7</v>
      </c>
      <c r="BN4" s="320">
        <v>4.5999999999999996</v>
      </c>
      <c r="BO4" s="40" t="s">
        <v>55</v>
      </c>
      <c r="BP4" s="155">
        <v>548</v>
      </c>
      <c r="BQ4" s="333"/>
      <c r="BR4" s="314">
        <v>4</v>
      </c>
      <c r="BS4" s="314" t="s">
        <v>55</v>
      </c>
      <c r="BT4" s="334">
        <v>561</v>
      </c>
      <c r="BU4" s="324">
        <v>89</v>
      </c>
      <c r="BV4" s="324">
        <v>4.7</v>
      </c>
      <c r="BW4" s="314">
        <v>4.5999999999999996</v>
      </c>
      <c r="BX4" s="325" t="s">
        <v>20475</v>
      </c>
    </row>
    <row r="5" spans="1:76" ht="15.75" customHeight="1">
      <c r="A5" s="310" t="s">
        <v>749</v>
      </c>
      <c r="B5" s="335" t="s">
        <v>754</v>
      </c>
      <c r="C5" s="155">
        <v>168</v>
      </c>
      <c r="D5" s="312">
        <v>169</v>
      </c>
      <c r="E5" s="313" t="s">
        <v>677</v>
      </c>
      <c r="F5" s="314">
        <v>3</v>
      </c>
      <c r="G5" s="315">
        <f>COUNTIF('Mechanical Engineering Faculty'!I220:I263, "TT") + COUNTIF('Mechanical Engineering Faculty'!I220:I263, "NTT")</f>
        <v>42</v>
      </c>
      <c r="H5" s="326">
        <f>COUNTIF('Mechanical Engineering Faculty'!I220:I263, "TT")</f>
        <v>37</v>
      </c>
      <c r="I5" s="315">
        <f t="shared" si="6"/>
        <v>5</v>
      </c>
      <c r="J5" s="316">
        <v>43</v>
      </c>
      <c r="K5" s="316">
        <v>39</v>
      </c>
      <c r="L5" s="316">
        <f>J5-K5</f>
        <v>4</v>
      </c>
      <c r="M5" s="316">
        <f>COUNTIFS( 'Mechanical Engineering Faculty'!$F$220:$F$263,M$1)</f>
        <v>26</v>
      </c>
      <c r="N5" s="316">
        <f>COUNTIFS( 'Mechanical Engineering Faculty'!$F$220:$F$263,N$1)</f>
        <v>4</v>
      </c>
      <c r="O5" s="316">
        <f>COUNTIFS( 'Mechanical Engineering Faculty'!$F$220:$F$263,O$1)</f>
        <v>7</v>
      </c>
      <c r="P5" s="316">
        <v>27</v>
      </c>
      <c r="Q5" s="316">
        <v>4</v>
      </c>
      <c r="R5" s="316">
        <v>8</v>
      </c>
      <c r="S5" s="316">
        <v>4</v>
      </c>
      <c r="T5" s="316">
        <f t="shared" si="0"/>
        <v>1</v>
      </c>
      <c r="U5" s="316">
        <f t="shared" si="1"/>
        <v>0</v>
      </c>
      <c r="V5" s="316">
        <f t="shared" si="2"/>
        <v>1</v>
      </c>
      <c r="W5" s="316">
        <v>0</v>
      </c>
      <c r="X5" s="316">
        <v>0</v>
      </c>
      <c r="Y5" s="316">
        <v>0</v>
      </c>
      <c r="Z5" s="316">
        <v>0</v>
      </c>
      <c r="AA5" s="316">
        <v>0</v>
      </c>
      <c r="AB5" s="316">
        <v>0</v>
      </c>
      <c r="AC5" s="316">
        <v>12</v>
      </c>
      <c r="AD5" s="316">
        <v>8</v>
      </c>
      <c r="AE5" s="317">
        <v>6417932</v>
      </c>
      <c r="AF5" s="317">
        <v>0</v>
      </c>
      <c r="AG5" s="317">
        <v>148732</v>
      </c>
      <c r="AH5" s="317">
        <v>2804248</v>
      </c>
      <c r="AI5" s="317">
        <v>116323</v>
      </c>
      <c r="AJ5" s="317">
        <v>2841198</v>
      </c>
      <c r="AK5" s="317">
        <v>0</v>
      </c>
      <c r="AL5" s="318">
        <f t="shared" si="3"/>
        <v>12328433</v>
      </c>
      <c r="AM5" s="318">
        <v>5710071</v>
      </c>
      <c r="AN5" s="318">
        <v>0</v>
      </c>
      <c r="AO5" s="318">
        <v>89085</v>
      </c>
      <c r="AP5" s="318">
        <v>2768812</v>
      </c>
      <c r="AQ5" s="318">
        <v>-1834</v>
      </c>
      <c r="AR5" s="318">
        <v>3115797</v>
      </c>
      <c r="AS5" s="318">
        <v>0</v>
      </c>
      <c r="AT5" s="318">
        <f t="shared" si="4"/>
        <v>11681931</v>
      </c>
      <c r="AU5" s="318">
        <v>8319795</v>
      </c>
      <c r="AV5" s="318">
        <v>0</v>
      </c>
      <c r="AW5" s="318">
        <v>20803</v>
      </c>
      <c r="AX5" s="318">
        <v>3450819</v>
      </c>
      <c r="AY5" s="318">
        <v>0</v>
      </c>
      <c r="AZ5" s="318">
        <v>3356369</v>
      </c>
      <c r="BA5" s="318">
        <v>1446793</v>
      </c>
      <c r="BB5" s="319">
        <f t="shared" si="5"/>
        <v>16594579</v>
      </c>
      <c r="BC5" s="328">
        <v>8788592</v>
      </c>
      <c r="BD5" s="329">
        <v>0</v>
      </c>
      <c r="BE5" s="329">
        <v>6901</v>
      </c>
      <c r="BF5" s="329">
        <v>3056278</v>
      </c>
      <c r="BG5" s="329">
        <v>0</v>
      </c>
      <c r="BH5" s="329">
        <v>3629982</v>
      </c>
      <c r="BI5" s="329">
        <v>1392629</v>
      </c>
      <c r="BJ5" s="314">
        <f>SUM(BC5:BI5)</f>
        <v>16874382</v>
      </c>
      <c r="BK5" s="40" t="s">
        <v>768</v>
      </c>
      <c r="BL5" s="320">
        <v>91</v>
      </c>
      <c r="BM5" s="320">
        <v>4.7</v>
      </c>
      <c r="BN5" s="320">
        <v>4.5</v>
      </c>
      <c r="BO5" s="40" t="s">
        <v>801</v>
      </c>
      <c r="BP5" s="321">
        <v>2673</v>
      </c>
      <c r="BQ5" s="314">
        <v>3</v>
      </c>
      <c r="BR5" s="314">
        <v>3</v>
      </c>
      <c r="BS5" s="323" t="s">
        <v>20476</v>
      </c>
      <c r="BT5" s="323">
        <v>2630</v>
      </c>
      <c r="BU5" s="324">
        <v>91</v>
      </c>
      <c r="BV5" s="324">
        <v>4.7</v>
      </c>
      <c r="BW5" s="324">
        <v>4.5</v>
      </c>
      <c r="BX5" s="325" t="s">
        <v>20477</v>
      </c>
    </row>
    <row r="6" spans="1:76" ht="15.75" customHeight="1">
      <c r="A6" s="310" t="s">
        <v>919</v>
      </c>
      <c r="B6" s="311" t="s">
        <v>927</v>
      </c>
      <c r="C6" s="155">
        <v>165</v>
      </c>
      <c r="D6" s="312">
        <v>166</v>
      </c>
      <c r="E6" s="313" t="s">
        <v>936</v>
      </c>
      <c r="F6" s="314">
        <v>5</v>
      </c>
      <c r="G6" s="315">
        <f>COUNTIF('Mechanical Engineering Faculty'!I265:I373, "TT") + COUNTIF('Mechanical Engineering Faculty'!I265:I373, "NTT")</f>
        <v>99</v>
      </c>
      <c r="H6" s="326">
        <f>COUNTIF('Mechanical Engineering Faculty'!I265:I373, "TT")</f>
        <v>95</v>
      </c>
      <c r="I6" s="315">
        <f t="shared" si="6"/>
        <v>4</v>
      </c>
      <c r="J6" s="316">
        <v>101</v>
      </c>
      <c r="K6" s="316">
        <v>97</v>
      </c>
      <c r="L6" s="316">
        <v>4</v>
      </c>
      <c r="M6" s="316">
        <f>COUNTIFS( 'Mechanical Engineering Faculty'!$F$265:$F$373,M$1)</f>
        <v>56</v>
      </c>
      <c r="N6" s="316">
        <f>COUNTIFS( 'Mechanical Engineering Faculty'!$F$265:$F$373,N$1)</f>
        <v>24</v>
      </c>
      <c r="O6" s="316">
        <f>COUNTIFS( 'Mechanical Engineering Faculty'!$F$265:$F$373,O$1)</f>
        <v>15</v>
      </c>
      <c r="P6" s="316">
        <v>59</v>
      </c>
      <c r="Q6" s="316">
        <v>24</v>
      </c>
      <c r="R6" s="316">
        <v>14</v>
      </c>
      <c r="S6" s="316">
        <v>4</v>
      </c>
      <c r="T6" s="316">
        <f t="shared" si="0"/>
        <v>3</v>
      </c>
      <c r="U6" s="316">
        <f t="shared" si="1"/>
        <v>0</v>
      </c>
      <c r="V6" s="316">
        <f t="shared" si="2"/>
        <v>-1</v>
      </c>
      <c r="W6" s="316">
        <v>0</v>
      </c>
      <c r="X6" s="316">
        <v>0</v>
      </c>
      <c r="Y6" s="316">
        <v>0</v>
      </c>
      <c r="Z6" s="316">
        <v>0</v>
      </c>
      <c r="AA6" s="316">
        <v>0</v>
      </c>
      <c r="AB6" s="316">
        <v>0</v>
      </c>
      <c r="AC6" s="316">
        <v>1</v>
      </c>
      <c r="AD6" s="316">
        <v>10</v>
      </c>
      <c r="AE6" s="317">
        <v>30621640</v>
      </c>
      <c r="AF6" s="317">
        <v>1054063</v>
      </c>
      <c r="AG6" s="317">
        <v>0</v>
      </c>
      <c r="AH6" s="317">
        <v>5984755</v>
      </c>
      <c r="AI6" s="317">
        <v>0</v>
      </c>
      <c r="AJ6" s="317">
        <v>6911768</v>
      </c>
      <c r="AK6" s="317">
        <v>205305</v>
      </c>
      <c r="AL6" s="318">
        <f t="shared" si="3"/>
        <v>44777531</v>
      </c>
      <c r="AM6" s="318">
        <v>32608338</v>
      </c>
      <c r="AN6" s="318">
        <v>1498229</v>
      </c>
      <c r="AO6" s="318">
        <v>0</v>
      </c>
      <c r="AP6" s="318">
        <v>5224777</v>
      </c>
      <c r="AQ6" s="318">
        <v>0</v>
      </c>
      <c r="AR6" s="318">
        <v>13884946</v>
      </c>
      <c r="AS6" s="318">
        <v>66072</v>
      </c>
      <c r="AT6" s="318">
        <f t="shared" si="4"/>
        <v>53282362</v>
      </c>
      <c r="AU6" s="318">
        <v>40441000</v>
      </c>
      <c r="AV6" s="318">
        <v>1441000</v>
      </c>
      <c r="AW6" s="318">
        <v>0</v>
      </c>
      <c r="AX6" s="318">
        <v>6932000</v>
      </c>
      <c r="AY6" s="318">
        <v>0</v>
      </c>
      <c r="AZ6" s="318">
        <v>14254000</v>
      </c>
      <c r="BA6" s="318">
        <v>231000</v>
      </c>
      <c r="BB6" s="319">
        <f t="shared" si="5"/>
        <v>63299000</v>
      </c>
      <c r="BC6" s="336">
        <v>39399000</v>
      </c>
      <c r="BD6" s="337">
        <v>2080000</v>
      </c>
      <c r="BE6" s="337">
        <v>0</v>
      </c>
      <c r="BF6" s="337">
        <v>12606000</v>
      </c>
      <c r="BG6" s="337">
        <v>0</v>
      </c>
      <c r="BH6" s="337">
        <v>12246000</v>
      </c>
      <c r="BI6" s="337">
        <v>23000</v>
      </c>
      <c r="BJ6" s="338">
        <f>SUM(BC6:BI6)</f>
        <v>66354000</v>
      </c>
      <c r="BK6" s="313" t="s">
        <v>941</v>
      </c>
      <c r="BL6" s="320">
        <v>88</v>
      </c>
      <c r="BM6" s="320">
        <v>4.5999999999999996</v>
      </c>
      <c r="BN6" s="320">
        <v>4.5</v>
      </c>
      <c r="BO6" s="40" t="s">
        <v>977</v>
      </c>
      <c r="BP6" s="321">
        <v>4784</v>
      </c>
      <c r="BQ6" s="314">
        <v>1</v>
      </c>
      <c r="BR6" s="314">
        <v>4</v>
      </c>
      <c r="BS6" s="323" t="s">
        <v>20478</v>
      </c>
      <c r="BT6" s="323">
        <v>5183</v>
      </c>
      <c r="BU6" s="324">
        <v>89</v>
      </c>
      <c r="BV6" s="324">
        <v>4.5999999999999996</v>
      </c>
      <c r="BW6" s="324">
        <v>4.5</v>
      </c>
      <c r="BX6" s="325" t="s">
        <v>20479</v>
      </c>
    </row>
    <row r="7" spans="1:76" ht="15.75" customHeight="1">
      <c r="A7" s="310" t="s">
        <v>1343</v>
      </c>
      <c r="B7" s="311" t="s">
        <v>1348</v>
      </c>
      <c r="C7" s="155">
        <v>166</v>
      </c>
      <c r="D7" s="312">
        <v>168</v>
      </c>
      <c r="E7" s="313" t="s">
        <v>936</v>
      </c>
      <c r="F7" s="314">
        <v>6</v>
      </c>
      <c r="G7" s="315">
        <f>COUNTIF('Mechanical Engineering Faculty'!I375:I447, "TT") + COUNTIF('Mechanical Engineering Faculty'!I375:I447, "NTT")</f>
        <v>57</v>
      </c>
      <c r="H7" s="326">
        <f>COUNTIF('Mechanical Engineering Faculty'!I375:I447, "TT")</f>
        <v>49</v>
      </c>
      <c r="I7" s="315">
        <f t="shared" si="6"/>
        <v>8</v>
      </c>
      <c r="J7" s="316">
        <v>69</v>
      </c>
      <c r="K7" s="316">
        <v>49</v>
      </c>
      <c r="L7" s="316">
        <v>18</v>
      </c>
      <c r="M7" s="316">
        <f>COUNTIFS( 'Mechanical Engineering Faculty'!$F$375:$F$447,M$1)</f>
        <v>30</v>
      </c>
      <c r="N7" s="316">
        <f>COUNTIFS( 'Mechanical Engineering Faculty'!$F$375:$F$447,N$1)</f>
        <v>9</v>
      </c>
      <c r="O7" s="316">
        <f>COUNTIFS( 'Mechanical Engineering Faculty'!$F$375:$F$447,O$1)</f>
        <v>10</v>
      </c>
      <c r="P7" s="316">
        <v>29</v>
      </c>
      <c r="Q7" s="316">
        <v>12</v>
      </c>
      <c r="R7" s="316">
        <v>8</v>
      </c>
      <c r="S7" s="316">
        <v>5</v>
      </c>
      <c r="T7" s="316">
        <f t="shared" si="0"/>
        <v>-1</v>
      </c>
      <c r="U7" s="316">
        <f t="shared" si="1"/>
        <v>3</v>
      </c>
      <c r="V7" s="316">
        <f t="shared" si="2"/>
        <v>-2</v>
      </c>
      <c r="W7" s="316">
        <v>0</v>
      </c>
      <c r="X7" s="316">
        <v>0</v>
      </c>
      <c r="Y7" s="316">
        <v>0</v>
      </c>
      <c r="Z7" s="316">
        <v>7</v>
      </c>
      <c r="AA7" s="316">
        <v>2</v>
      </c>
      <c r="AB7" s="316">
        <v>0</v>
      </c>
      <c r="AC7" s="316">
        <v>2</v>
      </c>
      <c r="AD7" s="316">
        <v>14</v>
      </c>
      <c r="AE7" s="317">
        <v>16700130</v>
      </c>
      <c r="AF7" s="317">
        <v>0</v>
      </c>
      <c r="AG7" s="317">
        <v>0</v>
      </c>
      <c r="AH7" s="317">
        <v>2685929</v>
      </c>
      <c r="AI7" s="317">
        <v>1690439</v>
      </c>
      <c r="AJ7" s="317">
        <v>0</v>
      </c>
      <c r="AK7" s="317">
        <v>0</v>
      </c>
      <c r="AL7" s="318">
        <f t="shared" si="3"/>
        <v>21076498</v>
      </c>
      <c r="AM7" s="318">
        <v>18820064</v>
      </c>
      <c r="AN7" s="318">
        <v>0</v>
      </c>
      <c r="AO7" s="318">
        <v>0</v>
      </c>
      <c r="AP7" s="318">
        <v>3821438</v>
      </c>
      <c r="AQ7" s="318">
        <v>479268</v>
      </c>
      <c r="AR7" s="318">
        <v>0</v>
      </c>
      <c r="AS7" s="318">
        <v>0</v>
      </c>
      <c r="AT7" s="318">
        <f t="shared" si="4"/>
        <v>23120770</v>
      </c>
      <c r="AU7" s="318">
        <v>17578504</v>
      </c>
      <c r="AV7" s="318">
        <v>0</v>
      </c>
      <c r="AW7" s="318">
        <v>0</v>
      </c>
      <c r="AX7" s="318">
        <v>4030040</v>
      </c>
      <c r="AY7" s="318">
        <v>704896</v>
      </c>
      <c r="AZ7" s="318">
        <v>0</v>
      </c>
      <c r="BA7" s="318">
        <v>0</v>
      </c>
      <c r="BB7" s="319">
        <f t="shared" si="5"/>
        <v>22313440</v>
      </c>
      <c r="BC7" s="328">
        <v>20320584</v>
      </c>
      <c r="BD7" s="329">
        <v>0</v>
      </c>
      <c r="BE7" s="329">
        <v>0</v>
      </c>
      <c r="BF7" s="329">
        <v>3521401</v>
      </c>
      <c r="BG7" s="329">
        <v>1298732</v>
      </c>
      <c r="BH7" s="329">
        <v>0</v>
      </c>
      <c r="BI7" s="329">
        <v>93</v>
      </c>
      <c r="BJ7" s="314">
        <f>SUM(BC7:BI7)</f>
        <v>25140810</v>
      </c>
      <c r="BK7" s="40" t="s">
        <v>1364</v>
      </c>
      <c r="BL7" s="320">
        <v>84</v>
      </c>
      <c r="BM7" s="320">
        <v>4.5</v>
      </c>
      <c r="BN7" s="320">
        <v>4.3</v>
      </c>
      <c r="BO7" s="40" t="s">
        <v>1401</v>
      </c>
      <c r="BP7" s="321">
        <v>3812</v>
      </c>
      <c r="BQ7" s="314">
        <v>15</v>
      </c>
      <c r="BR7" s="314">
        <v>9</v>
      </c>
      <c r="BS7" s="314" t="s">
        <v>20480</v>
      </c>
      <c r="BT7" s="339">
        <v>4128</v>
      </c>
      <c r="BU7" s="340">
        <v>85</v>
      </c>
      <c r="BV7" s="340">
        <v>4.5999999999999996</v>
      </c>
      <c r="BW7" s="340">
        <v>4.3</v>
      </c>
      <c r="BX7" s="325" t="s">
        <v>20481</v>
      </c>
    </row>
    <row r="8" spans="1:76" ht="15.75" customHeight="1">
      <c r="A8" s="310" t="s">
        <v>1623</v>
      </c>
      <c r="B8" s="311" t="s">
        <v>1628</v>
      </c>
      <c r="C8" s="155">
        <v>167</v>
      </c>
      <c r="D8" s="312">
        <v>166</v>
      </c>
      <c r="E8" s="341" t="s">
        <v>936</v>
      </c>
      <c r="F8" s="314">
        <v>6</v>
      </c>
      <c r="G8" s="315">
        <f>COUNTIF('Mechanical Engineering Faculty'!I449:I560, "TT") + COUNTIF('Mechanical Engineering Faculty'!I449:I560, "NTT")</f>
        <v>96</v>
      </c>
      <c r="H8" s="326">
        <f>COUNTIF('Mechanical Engineering Faculty'!I449:I560, "TT")</f>
        <v>93</v>
      </c>
      <c r="I8" s="315">
        <f t="shared" si="6"/>
        <v>3</v>
      </c>
      <c r="J8" s="316">
        <v>108</v>
      </c>
      <c r="K8" s="316">
        <v>99</v>
      </c>
      <c r="L8" s="316">
        <v>4</v>
      </c>
      <c r="M8" s="316">
        <f>COUNTIFS('Mechanical Engineering Faculty'!$F$449:$F$560,M$1)</f>
        <v>51</v>
      </c>
      <c r="N8" s="316">
        <f>COUNTIFS('Mechanical Engineering Faculty'!$F$449:$F$560,N$1)</f>
        <v>19</v>
      </c>
      <c r="O8" s="316">
        <f>COUNTIFS('Mechanical Engineering Faculty'!$F$449:$F$560,O$1)</f>
        <v>23</v>
      </c>
      <c r="P8" s="316">
        <v>54</v>
      </c>
      <c r="Q8" s="316">
        <v>21</v>
      </c>
      <c r="R8" s="316">
        <v>24</v>
      </c>
      <c r="S8" s="316">
        <v>4</v>
      </c>
      <c r="T8" s="316">
        <f t="shared" si="0"/>
        <v>3</v>
      </c>
      <c r="U8" s="316">
        <f t="shared" si="1"/>
        <v>2</v>
      </c>
      <c r="V8" s="316">
        <f t="shared" si="2"/>
        <v>1</v>
      </c>
      <c r="W8" s="316">
        <v>0</v>
      </c>
      <c r="X8" s="316">
        <v>0</v>
      </c>
      <c r="Y8" s="316">
        <v>0</v>
      </c>
      <c r="Z8" s="316">
        <v>3</v>
      </c>
      <c r="AA8" s="316">
        <v>1</v>
      </c>
      <c r="AB8" s="316">
        <v>0</v>
      </c>
      <c r="AC8" s="316">
        <v>16</v>
      </c>
      <c r="AD8" s="316">
        <v>1</v>
      </c>
      <c r="AE8" s="317">
        <v>25813610</v>
      </c>
      <c r="AF8" s="317">
        <v>102456</v>
      </c>
      <c r="AG8" s="317">
        <v>1016534</v>
      </c>
      <c r="AH8" s="317">
        <v>12877846</v>
      </c>
      <c r="AI8" s="317">
        <v>0</v>
      </c>
      <c r="AJ8" s="317">
        <v>208537</v>
      </c>
      <c r="AK8" s="317">
        <v>589813</v>
      </c>
      <c r="AL8" s="318">
        <f t="shared" si="3"/>
        <v>40608796</v>
      </c>
      <c r="AM8" s="318">
        <v>28689878</v>
      </c>
      <c r="AN8" s="318">
        <v>114100</v>
      </c>
      <c r="AO8" s="318">
        <v>999353</v>
      </c>
      <c r="AP8" s="318">
        <v>7892389</v>
      </c>
      <c r="AQ8" s="318">
        <v>0</v>
      </c>
      <c r="AR8" s="318">
        <v>288236</v>
      </c>
      <c r="AS8" s="318">
        <v>146866</v>
      </c>
      <c r="AT8" s="318">
        <f t="shared" si="4"/>
        <v>38130822</v>
      </c>
      <c r="AU8" s="318">
        <v>27848758</v>
      </c>
      <c r="AV8" s="318">
        <v>220794</v>
      </c>
      <c r="AW8" s="318">
        <v>672227</v>
      </c>
      <c r="AX8" s="318">
        <v>7441439</v>
      </c>
      <c r="AY8" s="318">
        <v>0</v>
      </c>
      <c r="AZ8" s="318">
        <v>503574</v>
      </c>
      <c r="BA8" s="318">
        <v>154402</v>
      </c>
      <c r="BB8" s="319">
        <f t="shared" si="5"/>
        <v>36841194</v>
      </c>
      <c r="BC8" s="332" t="s">
        <v>55</v>
      </c>
      <c r="BD8" s="332" t="s">
        <v>55</v>
      </c>
      <c r="BE8" s="332" t="s">
        <v>55</v>
      </c>
      <c r="BF8" s="332" t="s">
        <v>55</v>
      </c>
      <c r="BG8" s="332" t="s">
        <v>55</v>
      </c>
      <c r="BH8" s="332" t="s">
        <v>55</v>
      </c>
      <c r="BI8" s="332" t="s">
        <v>55</v>
      </c>
      <c r="BJ8" s="332" t="s">
        <v>55</v>
      </c>
      <c r="BK8" s="40" t="s">
        <v>681</v>
      </c>
      <c r="BL8" s="320">
        <v>86</v>
      </c>
      <c r="BM8" s="320">
        <v>4.5</v>
      </c>
      <c r="BN8" s="320">
        <v>4.3</v>
      </c>
      <c r="BO8" s="40" t="s">
        <v>1675</v>
      </c>
      <c r="BP8" s="321">
        <v>3800</v>
      </c>
      <c r="BQ8" s="314">
        <v>2</v>
      </c>
      <c r="BR8" s="314">
        <v>9</v>
      </c>
      <c r="BS8" s="314" t="s">
        <v>20482</v>
      </c>
      <c r="BT8" s="339">
        <v>3707</v>
      </c>
      <c r="BU8" s="340">
        <v>85</v>
      </c>
      <c r="BV8" s="340">
        <v>4.5999999999999996</v>
      </c>
      <c r="BW8" s="340">
        <v>4.3</v>
      </c>
      <c r="BX8" s="325" t="s">
        <v>20483</v>
      </c>
    </row>
    <row r="9" spans="1:76" ht="15.75" customHeight="1">
      <c r="A9" s="310" t="s">
        <v>2050</v>
      </c>
      <c r="B9" s="311" t="s">
        <v>2055</v>
      </c>
      <c r="C9" s="155">
        <v>165</v>
      </c>
      <c r="D9" s="312">
        <v>164</v>
      </c>
      <c r="E9" s="40" t="s">
        <v>2062</v>
      </c>
      <c r="F9" s="314">
        <v>8</v>
      </c>
      <c r="G9" s="315">
        <f>COUNTIF('Mechanical Engineering Faculty'!I562:I671, "TT") + COUNTIF('Mechanical Engineering Faculty'!I562:I671, "NTT")</f>
        <v>101</v>
      </c>
      <c r="H9" s="326">
        <f>COUNTIF('Mechanical Engineering Faculty'!I562:I671, "TT")</f>
        <v>92</v>
      </c>
      <c r="I9" s="315">
        <f t="shared" si="6"/>
        <v>9</v>
      </c>
      <c r="J9" s="342">
        <v>104</v>
      </c>
      <c r="K9" s="342">
        <f>COUNTIF(NamedRange1,"TT")</f>
        <v>95</v>
      </c>
      <c r="L9" s="342">
        <f>COUNTIF(NamedRange1,"NTT")</f>
        <v>9</v>
      </c>
      <c r="M9" s="316">
        <f>COUNTIFS( 'Mechanical Engineering Faculty'!$F$562:$F$671,M$1)</f>
        <v>52</v>
      </c>
      <c r="N9" s="316">
        <f>COUNTIFS( 'Mechanical Engineering Faculty'!$F$562:$F$671,N$1)</f>
        <v>25</v>
      </c>
      <c r="O9" s="316">
        <f>COUNTIFS( 'Mechanical Engineering Faculty'!$F$562:$F$671,O$1)</f>
        <v>15</v>
      </c>
      <c r="P9" s="316">
        <v>55</v>
      </c>
      <c r="Q9" s="316">
        <v>23</v>
      </c>
      <c r="R9" s="316">
        <v>17</v>
      </c>
      <c r="S9" s="316">
        <v>9</v>
      </c>
      <c r="T9" s="316">
        <f t="shared" si="0"/>
        <v>3</v>
      </c>
      <c r="U9" s="316">
        <f t="shared" si="1"/>
        <v>-2</v>
      </c>
      <c r="V9" s="316">
        <f t="shared" si="2"/>
        <v>2</v>
      </c>
      <c r="W9" s="316">
        <v>0</v>
      </c>
      <c r="X9" s="316">
        <v>0</v>
      </c>
      <c r="Y9" s="316">
        <v>0</v>
      </c>
      <c r="Z9" s="316">
        <v>0</v>
      </c>
      <c r="AA9" s="316">
        <v>0</v>
      </c>
      <c r="AB9" s="316">
        <v>0</v>
      </c>
      <c r="AC9" s="316">
        <v>5</v>
      </c>
      <c r="AD9" s="316">
        <v>17</v>
      </c>
      <c r="AE9" s="317">
        <v>26212088</v>
      </c>
      <c r="AF9" s="317">
        <v>377917</v>
      </c>
      <c r="AG9" s="317">
        <v>2134934</v>
      </c>
      <c r="AH9" s="317">
        <v>18059601</v>
      </c>
      <c r="AI9" s="317">
        <v>0</v>
      </c>
      <c r="AJ9" s="317">
        <v>0</v>
      </c>
      <c r="AK9" s="317">
        <v>2495201</v>
      </c>
      <c r="AL9" s="318">
        <f t="shared" si="3"/>
        <v>49279741</v>
      </c>
      <c r="AM9" s="318">
        <v>32770084</v>
      </c>
      <c r="AN9" s="318">
        <v>804064</v>
      </c>
      <c r="AO9" s="318">
        <v>1564639</v>
      </c>
      <c r="AP9" s="318">
        <v>16456625</v>
      </c>
      <c r="AQ9" s="318">
        <v>0</v>
      </c>
      <c r="AR9" s="318">
        <v>0</v>
      </c>
      <c r="AS9" s="318">
        <v>1499744</v>
      </c>
      <c r="AT9" s="318">
        <f t="shared" si="4"/>
        <v>53095156</v>
      </c>
      <c r="AU9" s="318">
        <v>37688866</v>
      </c>
      <c r="AV9" s="318">
        <v>1420417</v>
      </c>
      <c r="AW9" s="318">
        <v>1100860</v>
      </c>
      <c r="AX9" s="318">
        <v>16574738</v>
      </c>
      <c r="AY9" s="318">
        <v>0</v>
      </c>
      <c r="AZ9" s="318">
        <v>0</v>
      </c>
      <c r="BA9" s="318">
        <v>3939890</v>
      </c>
      <c r="BB9" s="319">
        <f t="shared" si="5"/>
        <v>60724771</v>
      </c>
      <c r="BC9" s="328">
        <v>35449488</v>
      </c>
      <c r="BD9" s="329">
        <v>387577</v>
      </c>
      <c r="BE9" s="329">
        <v>1322056</v>
      </c>
      <c r="BF9" s="329">
        <v>15163709</v>
      </c>
      <c r="BG9" s="329">
        <v>0</v>
      </c>
      <c r="BH9" s="329">
        <v>0</v>
      </c>
      <c r="BI9" s="329">
        <v>3672377</v>
      </c>
      <c r="BJ9" s="314">
        <f t="shared" ref="BJ9:BJ16" si="7">SUM(BC9:BI9)</f>
        <v>55995207</v>
      </c>
      <c r="BK9" s="40" t="s">
        <v>2070</v>
      </c>
      <c r="BL9" s="320">
        <v>89</v>
      </c>
      <c r="BM9" s="320">
        <v>4.4000000000000004</v>
      </c>
      <c r="BN9" s="320">
        <v>4.3</v>
      </c>
      <c r="BO9" s="40" t="s">
        <v>2101</v>
      </c>
      <c r="BP9" s="321">
        <v>3495</v>
      </c>
      <c r="BQ9" s="314">
        <v>6</v>
      </c>
      <c r="BR9" s="314">
        <v>6</v>
      </c>
      <c r="BS9" s="314" t="s">
        <v>20484</v>
      </c>
      <c r="BT9" s="323">
        <v>3554</v>
      </c>
      <c r="BU9" s="324">
        <v>88</v>
      </c>
      <c r="BV9" s="324">
        <v>4.4000000000000004</v>
      </c>
      <c r="BW9" s="324">
        <v>4.2</v>
      </c>
      <c r="BX9" s="325" t="s">
        <v>20485</v>
      </c>
    </row>
    <row r="10" spans="1:76" ht="15.75" customHeight="1">
      <c r="A10" s="310" t="s">
        <v>2851</v>
      </c>
      <c r="B10" s="311" t="s">
        <v>2856</v>
      </c>
      <c r="C10" s="155">
        <v>166</v>
      </c>
      <c r="D10" s="312">
        <v>165</v>
      </c>
      <c r="E10" s="40" t="s">
        <v>2723</v>
      </c>
      <c r="F10" s="314">
        <v>9</v>
      </c>
      <c r="G10" s="315">
        <f>COUNTIF('Mechanical Engineering Faculty'!I791:I860, "TT") + COUNTIF('Mechanical Engineering Faculty'!I791:I860, "NTT")</f>
        <v>63</v>
      </c>
      <c r="H10" s="326">
        <f>COUNTIF('Mechanical Engineering Faculty'!I791:I860, "TT")</f>
        <v>63</v>
      </c>
      <c r="I10" s="315">
        <f t="shared" si="6"/>
        <v>0</v>
      </c>
      <c r="J10" s="316">
        <v>63</v>
      </c>
      <c r="K10" s="316">
        <v>62</v>
      </c>
      <c r="L10" s="316">
        <v>1</v>
      </c>
      <c r="M10" s="316">
        <f>COUNTIFS('Mechanical Engineering Faculty'!$F$791:$F$860,M$1)</f>
        <v>38</v>
      </c>
      <c r="N10" s="316">
        <f>COUNTIFS('Mechanical Engineering Faculty'!$F$791:$F$860,N$1)</f>
        <v>15</v>
      </c>
      <c r="O10" s="316">
        <f>COUNTIFS('Mechanical Engineering Faculty'!$F$791:$F$860,O$1)</f>
        <v>10</v>
      </c>
      <c r="P10" s="316">
        <v>37</v>
      </c>
      <c r="Q10" s="316">
        <v>16</v>
      </c>
      <c r="R10" s="316">
        <v>9</v>
      </c>
      <c r="S10" s="316">
        <v>0</v>
      </c>
      <c r="T10" s="316">
        <f t="shared" si="0"/>
        <v>-1</v>
      </c>
      <c r="U10" s="316">
        <f t="shared" si="1"/>
        <v>1</v>
      </c>
      <c r="V10" s="316">
        <f t="shared" si="2"/>
        <v>-1</v>
      </c>
      <c r="W10" s="316">
        <v>0</v>
      </c>
      <c r="X10" s="316">
        <v>0</v>
      </c>
      <c r="Y10" s="316">
        <v>0</v>
      </c>
      <c r="Z10" s="316">
        <v>0</v>
      </c>
      <c r="AA10" s="316">
        <v>0</v>
      </c>
      <c r="AB10" s="316">
        <v>0</v>
      </c>
      <c r="AC10" s="316">
        <v>0</v>
      </c>
      <c r="AD10" s="316">
        <v>0</v>
      </c>
      <c r="AE10" s="317">
        <v>20096714</v>
      </c>
      <c r="AF10" s="317">
        <v>0</v>
      </c>
      <c r="AG10" s="317">
        <v>0</v>
      </c>
      <c r="AH10" s="317">
        <v>4413752</v>
      </c>
      <c r="AI10" s="317">
        <v>149511</v>
      </c>
      <c r="AJ10" s="317">
        <v>1181457</v>
      </c>
      <c r="AK10" s="317">
        <v>100</v>
      </c>
      <c r="AL10" s="318">
        <f t="shared" si="3"/>
        <v>25841534</v>
      </c>
      <c r="AM10" s="318">
        <v>26268346</v>
      </c>
      <c r="AN10" s="318">
        <v>1057717</v>
      </c>
      <c r="AO10" s="318">
        <v>-754</v>
      </c>
      <c r="AP10" s="318">
        <v>4676885</v>
      </c>
      <c r="AQ10" s="318">
        <v>0</v>
      </c>
      <c r="AR10" s="318">
        <v>918268</v>
      </c>
      <c r="AS10" s="318">
        <v>0</v>
      </c>
      <c r="AT10" s="318">
        <f t="shared" si="4"/>
        <v>32920462</v>
      </c>
      <c r="AU10" s="318">
        <v>28544378</v>
      </c>
      <c r="AV10" s="318">
        <v>1894539</v>
      </c>
      <c r="AW10" s="318">
        <v>0</v>
      </c>
      <c r="AX10" s="318">
        <v>5325510</v>
      </c>
      <c r="AY10" s="318">
        <v>125982</v>
      </c>
      <c r="AZ10" s="318">
        <v>1074501</v>
      </c>
      <c r="BA10" s="318">
        <v>116555</v>
      </c>
      <c r="BB10" s="319">
        <f t="shared" si="5"/>
        <v>37081465</v>
      </c>
      <c r="BC10" s="328">
        <v>27576539</v>
      </c>
      <c r="BD10" s="329">
        <v>1870913</v>
      </c>
      <c r="BE10" s="329">
        <v>0</v>
      </c>
      <c r="BF10" s="329">
        <v>8152560</v>
      </c>
      <c r="BG10" s="329">
        <v>123820</v>
      </c>
      <c r="BH10" s="329">
        <v>1075375</v>
      </c>
      <c r="BI10" s="329">
        <v>261097</v>
      </c>
      <c r="BJ10" s="314">
        <f t="shared" si="7"/>
        <v>39060304</v>
      </c>
      <c r="BK10" s="40" t="s">
        <v>681</v>
      </c>
      <c r="BL10" s="320">
        <v>86</v>
      </c>
      <c r="BM10" s="320">
        <v>4.3</v>
      </c>
      <c r="BN10" s="320">
        <v>4.0999999999999996</v>
      </c>
      <c r="BO10" s="40" t="s">
        <v>2898</v>
      </c>
      <c r="BP10" s="321">
        <v>2395</v>
      </c>
      <c r="BQ10" s="314">
        <v>17</v>
      </c>
      <c r="BR10" s="314">
        <v>8</v>
      </c>
      <c r="BS10" s="314" t="s">
        <v>20492</v>
      </c>
      <c r="BT10" s="339">
        <v>2376</v>
      </c>
      <c r="BU10" s="343">
        <v>86</v>
      </c>
      <c r="BV10" s="343">
        <v>4.3</v>
      </c>
      <c r="BW10" s="343">
        <v>4.0999999999999996</v>
      </c>
      <c r="BX10" s="325" t="s">
        <v>20493</v>
      </c>
    </row>
    <row r="11" spans="1:76" ht="15.75" customHeight="1">
      <c r="A11" s="310" t="s">
        <v>2454</v>
      </c>
      <c r="B11" s="335" t="s">
        <v>2462</v>
      </c>
      <c r="C11" s="155">
        <v>167</v>
      </c>
      <c r="D11" s="312">
        <v>167</v>
      </c>
      <c r="E11" s="313" t="s">
        <v>2474</v>
      </c>
      <c r="F11" s="314">
        <v>10</v>
      </c>
      <c r="G11" s="315">
        <f>COUNTIF('Mechanical Engineering Faculty'!I673:I716, "TT") + COUNTIF('Mechanical Engineering Faculty'!I673:I716, "NTT")</f>
        <v>39</v>
      </c>
      <c r="H11" s="326">
        <f>COUNTIF('Mechanical Engineering Faculty'!I673:I716, "TT")</f>
        <v>36</v>
      </c>
      <c r="I11" s="315">
        <f t="shared" si="6"/>
        <v>3</v>
      </c>
      <c r="J11" s="316">
        <v>41</v>
      </c>
      <c r="K11" s="316">
        <v>38</v>
      </c>
      <c r="L11" s="316">
        <v>3</v>
      </c>
      <c r="M11" s="316">
        <f>COUNTIFS( 'Mechanical Engineering Faculty'!$F$673:$F$716,M$1)</f>
        <v>18</v>
      </c>
      <c r="N11" s="316">
        <f>COUNTIFS( 'Mechanical Engineering Faculty'!$F$673:$F$716,N$1)</f>
        <v>6</v>
      </c>
      <c r="O11" s="316">
        <f>COUNTIFS( 'Mechanical Engineering Faculty'!$F$673:$F$716,O$1)</f>
        <v>12</v>
      </c>
      <c r="P11" s="316">
        <v>17</v>
      </c>
      <c r="Q11" s="316">
        <v>10</v>
      </c>
      <c r="R11" s="316">
        <v>11</v>
      </c>
      <c r="S11" s="316">
        <v>3</v>
      </c>
      <c r="T11" s="316">
        <f t="shared" si="0"/>
        <v>-1</v>
      </c>
      <c r="U11" s="316">
        <f t="shared" si="1"/>
        <v>4</v>
      </c>
      <c r="V11" s="316">
        <f t="shared" si="2"/>
        <v>-1</v>
      </c>
      <c r="W11" s="316">
        <v>0</v>
      </c>
      <c r="X11" s="316">
        <v>0</v>
      </c>
      <c r="Y11" s="316">
        <v>0</v>
      </c>
      <c r="Z11" s="316">
        <v>0</v>
      </c>
      <c r="AA11" s="316">
        <v>0</v>
      </c>
      <c r="AB11" s="316">
        <v>0</v>
      </c>
      <c r="AC11" s="316">
        <v>0</v>
      </c>
      <c r="AD11" s="316">
        <v>9</v>
      </c>
      <c r="AE11" s="317">
        <v>16720726</v>
      </c>
      <c r="AF11" s="317">
        <v>65401</v>
      </c>
      <c r="AG11" s="407">
        <v>1161095</v>
      </c>
      <c r="AH11" s="317">
        <v>1224291</v>
      </c>
      <c r="AI11" s="317">
        <v>0</v>
      </c>
      <c r="AJ11" s="317">
        <v>198005</v>
      </c>
      <c r="AK11" s="317">
        <v>186032</v>
      </c>
      <c r="AL11" s="318">
        <f t="shared" si="3"/>
        <v>19555550</v>
      </c>
      <c r="AM11" s="318">
        <v>16566163</v>
      </c>
      <c r="AN11" s="318">
        <v>34599</v>
      </c>
      <c r="AO11" s="318">
        <v>489646</v>
      </c>
      <c r="AP11" s="318">
        <v>726250</v>
      </c>
      <c r="AQ11" s="318">
        <v>0</v>
      </c>
      <c r="AR11" s="318">
        <v>220300</v>
      </c>
      <c r="AS11" s="318">
        <v>271117</v>
      </c>
      <c r="AT11" s="318">
        <f t="shared" si="4"/>
        <v>18308075</v>
      </c>
      <c r="AU11" s="318">
        <v>17099307</v>
      </c>
      <c r="AV11" s="318">
        <v>0</v>
      </c>
      <c r="AW11" s="318">
        <v>324969</v>
      </c>
      <c r="AX11" s="318">
        <v>483850</v>
      </c>
      <c r="AY11" s="405">
        <v>0</v>
      </c>
      <c r="AZ11" s="318">
        <v>368414</v>
      </c>
      <c r="BA11" s="318">
        <v>214049</v>
      </c>
      <c r="BB11" s="319">
        <f t="shared" si="5"/>
        <v>18490589</v>
      </c>
      <c r="BC11" s="328">
        <v>20179763</v>
      </c>
      <c r="BD11" s="329">
        <v>65110</v>
      </c>
      <c r="BE11" s="329">
        <v>282918</v>
      </c>
      <c r="BF11" s="329">
        <v>486249</v>
      </c>
      <c r="BG11" s="329">
        <v>0</v>
      </c>
      <c r="BH11" s="329">
        <v>668447</v>
      </c>
      <c r="BI11" s="329">
        <v>207989</v>
      </c>
      <c r="BJ11" s="314">
        <f t="shared" si="7"/>
        <v>21890476</v>
      </c>
      <c r="BK11" s="40" t="s">
        <v>2479</v>
      </c>
      <c r="BL11" s="320">
        <v>81</v>
      </c>
      <c r="BM11" s="320">
        <v>4.3</v>
      </c>
      <c r="BN11" s="320">
        <v>4.2</v>
      </c>
      <c r="BO11" s="40" t="s">
        <v>2510</v>
      </c>
      <c r="BP11" s="321">
        <v>2617</v>
      </c>
      <c r="BQ11" s="314">
        <v>10</v>
      </c>
      <c r="BR11" s="314">
        <v>12</v>
      </c>
      <c r="BS11" s="314" t="s">
        <v>20486</v>
      </c>
      <c r="BT11" s="339">
        <v>2711</v>
      </c>
      <c r="BU11" s="343">
        <v>82</v>
      </c>
      <c r="BV11" s="343">
        <v>4.3</v>
      </c>
      <c r="BW11" s="343">
        <v>4.2</v>
      </c>
      <c r="BX11" s="325" t="s">
        <v>20487</v>
      </c>
    </row>
    <row r="12" spans="1:76" ht="15.75" customHeight="1">
      <c r="A12" s="310" t="s">
        <v>2623</v>
      </c>
      <c r="B12" s="335" t="s">
        <v>2628</v>
      </c>
      <c r="C12" s="155">
        <v>168</v>
      </c>
      <c r="D12" s="312" t="s">
        <v>20474</v>
      </c>
      <c r="E12" s="40" t="s">
        <v>2474</v>
      </c>
      <c r="F12" s="314">
        <v>10</v>
      </c>
      <c r="G12" s="315">
        <f>COUNTIF('Mechanical Engineering Faculty'!I718:I746, "TT") + COUNTIF('Mechanical Engineering Faculty'!I718:I746, "NTT")</f>
        <v>28</v>
      </c>
      <c r="H12" s="326">
        <f>COUNTIF('Mechanical Engineering Faculty'!I718:I746, "TT")</f>
        <v>28</v>
      </c>
      <c r="I12" s="315">
        <f t="shared" si="6"/>
        <v>0</v>
      </c>
      <c r="J12" s="316">
        <v>28</v>
      </c>
      <c r="K12" s="316">
        <v>28</v>
      </c>
      <c r="L12" s="316">
        <v>0</v>
      </c>
      <c r="M12" s="316">
        <f>COUNTIFS('Mechanical Engineering Faculty'!$F$718:$F$746,M$1)</f>
        <v>14</v>
      </c>
      <c r="N12" s="316">
        <f>COUNTIFS('Mechanical Engineering Faculty'!$F$718:$F$746,N$1)</f>
        <v>5</v>
      </c>
      <c r="O12" s="316">
        <f>COUNTIFS('Mechanical Engineering Faculty'!$F$718:$F$746,O$1)</f>
        <v>9</v>
      </c>
      <c r="P12" s="316">
        <v>14</v>
      </c>
      <c r="Q12" s="316">
        <v>6</v>
      </c>
      <c r="R12" s="316">
        <v>8</v>
      </c>
      <c r="S12" s="316">
        <v>0</v>
      </c>
      <c r="T12" s="316">
        <f t="shared" si="0"/>
        <v>0</v>
      </c>
      <c r="U12" s="316">
        <f t="shared" si="1"/>
        <v>1</v>
      </c>
      <c r="V12" s="316">
        <f t="shared" si="2"/>
        <v>-1</v>
      </c>
      <c r="W12" s="316">
        <v>0</v>
      </c>
      <c r="X12" s="316">
        <v>0</v>
      </c>
      <c r="Y12" s="316">
        <v>0</v>
      </c>
      <c r="Z12" s="316">
        <v>0</v>
      </c>
      <c r="AA12" s="316">
        <v>0</v>
      </c>
      <c r="AB12" s="316">
        <v>0</v>
      </c>
      <c r="AC12" s="316">
        <v>0</v>
      </c>
      <c r="AD12" s="316">
        <v>8</v>
      </c>
      <c r="AE12" s="317">
        <v>8541484</v>
      </c>
      <c r="AF12" s="317">
        <v>1683</v>
      </c>
      <c r="AG12" s="356">
        <v>0</v>
      </c>
      <c r="AH12" s="317">
        <v>900020</v>
      </c>
      <c r="AI12" s="317">
        <v>0</v>
      </c>
      <c r="AJ12" s="317">
        <v>889326</v>
      </c>
      <c r="AK12" s="317">
        <v>0</v>
      </c>
      <c r="AL12" s="318">
        <f t="shared" si="3"/>
        <v>10332513</v>
      </c>
      <c r="AM12" s="318">
        <v>8469633</v>
      </c>
      <c r="AN12" s="318">
        <v>4042</v>
      </c>
      <c r="AO12" s="318">
        <v>0</v>
      </c>
      <c r="AP12" s="318">
        <v>1398756</v>
      </c>
      <c r="AQ12" s="318">
        <v>0</v>
      </c>
      <c r="AR12" s="318">
        <v>774322</v>
      </c>
      <c r="AS12" s="318">
        <v>0</v>
      </c>
      <c r="AT12" s="318">
        <f t="shared" si="4"/>
        <v>10646753</v>
      </c>
      <c r="AU12" s="318">
        <v>7207512</v>
      </c>
      <c r="AV12" s="318">
        <v>19248</v>
      </c>
      <c r="AW12" s="318">
        <v>0</v>
      </c>
      <c r="AX12" s="318">
        <v>1762363</v>
      </c>
      <c r="AY12" s="356">
        <v>0</v>
      </c>
      <c r="AZ12" s="318">
        <v>3180412</v>
      </c>
      <c r="BA12" s="318">
        <v>9339</v>
      </c>
      <c r="BB12" s="319">
        <f t="shared" si="5"/>
        <v>12178874</v>
      </c>
      <c r="BC12" s="328">
        <v>7192074</v>
      </c>
      <c r="BD12" s="329">
        <v>0</v>
      </c>
      <c r="BE12" s="329">
        <v>0</v>
      </c>
      <c r="BF12" s="329">
        <v>1430938</v>
      </c>
      <c r="BG12" s="329">
        <v>0</v>
      </c>
      <c r="BH12" s="329">
        <v>4194663</v>
      </c>
      <c r="BI12" s="329">
        <v>0</v>
      </c>
      <c r="BJ12" s="314">
        <f t="shared" si="7"/>
        <v>12817675</v>
      </c>
      <c r="BK12" s="40" t="s">
        <v>2638</v>
      </c>
      <c r="BL12" s="320">
        <v>74</v>
      </c>
      <c r="BM12" s="320">
        <v>4.0999999999999996</v>
      </c>
      <c r="BN12" s="320">
        <v>4.2</v>
      </c>
      <c r="BO12" s="40" t="s">
        <v>55</v>
      </c>
      <c r="BP12" s="155">
        <v>850</v>
      </c>
      <c r="BQ12" s="344"/>
      <c r="BR12" s="314">
        <v>21</v>
      </c>
      <c r="BS12" s="314" t="s">
        <v>20488</v>
      </c>
      <c r="BT12" s="312">
        <v>849</v>
      </c>
      <c r="BU12" s="343">
        <v>75</v>
      </c>
      <c r="BV12" s="343">
        <v>4.0999999999999996</v>
      </c>
      <c r="BW12" s="343">
        <v>4.2</v>
      </c>
      <c r="BX12" s="325" t="s">
        <v>20489</v>
      </c>
    </row>
    <row r="13" spans="1:76" ht="15.75" customHeight="1">
      <c r="A13" s="310" t="s">
        <v>2710</v>
      </c>
      <c r="B13" s="311" t="s">
        <v>2714</v>
      </c>
      <c r="C13" s="155">
        <v>167</v>
      </c>
      <c r="D13" s="312">
        <v>168</v>
      </c>
      <c r="E13" s="40" t="s">
        <v>2723</v>
      </c>
      <c r="F13" s="314">
        <v>10</v>
      </c>
      <c r="G13" s="315">
        <f>COUNTIF('Mechanical Engineering Faculty'!I748:I788, "TT") + COUNTIF('Mechanical Engineering Faculty'!I748:I788, "NTT")</f>
        <v>34</v>
      </c>
      <c r="H13" s="326">
        <f>COUNTIF('Mechanical Engineering Faculty'!I748:I788, "TT")</f>
        <v>32</v>
      </c>
      <c r="I13" s="315">
        <f t="shared" si="6"/>
        <v>2</v>
      </c>
      <c r="J13" s="316">
        <v>37</v>
      </c>
      <c r="K13" s="316">
        <v>34</v>
      </c>
      <c r="L13" s="316">
        <v>2</v>
      </c>
      <c r="M13" s="316">
        <f>COUNTIFS('Mechanical Engineering Faculty'!$F$748:$F$788,M$1)</f>
        <v>20</v>
      </c>
      <c r="N13" s="316">
        <f>COUNTIFS('Mechanical Engineering Faculty'!$F$748:$F$788,N$1)</f>
        <v>6</v>
      </c>
      <c r="O13" s="316">
        <f>COUNTIFS('Mechanical Engineering Faculty'!$F$748:$F$788,O$1)</f>
        <v>6</v>
      </c>
      <c r="P13" s="316">
        <v>20</v>
      </c>
      <c r="Q13" s="316">
        <v>7</v>
      </c>
      <c r="R13" s="316">
        <v>7</v>
      </c>
      <c r="S13" s="316">
        <v>0</v>
      </c>
      <c r="T13" s="316">
        <f t="shared" si="0"/>
        <v>0</v>
      </c>
      <c r="U13" s="316">
        <f t="shared" si="1"/>
        <v>1</v>
      </c>
      <c r="V13" s="316">
        <f t="shared" si="2"/>
        <v>1</v>
      </c>
      <c r="W13" s="316">
        <v>1</v>
      </c>
      <c r="X13" s="316">
        <v>0</v>
      </c>
      <c r="Y13" s="316">
        <v>0</v>
      </c>
      <c r="Z13" s="316">
        <v>1</v>
      </c>
      <c r="AA13" s="316">
        <v>0</v>
      </c>
      <c r="AB13" s="316">
        <v>0</v>
      </c>
      <c r="AC13" s="316">
        <v>0</v>
      </c>
      <c r="AD13" s="316">
        <v>8</v>
      </c>
      <c r="AE13" s="317">
        <v>15667144</v>
      </c>
      <c r="AF13" s="317">
        <v>0</v>
      </c>
      <c r="AG13" s="317">
        <v>89352</v>
      </c>
      <c r="AH13" s="317">
        <v>2178231</v>
      </c>
      <c r="AI13" s="317">
        <v>0</v>
      </c>
      <c r="AJ13" s="317">
        <v>2587340</v>
      </c>
      <c r="AK13" s="317">
        <v>903415</v>
      </c>
      <c r="AL13" s="318">
        <f t="shared" si="3"/>
        <v>21425482</v>
      </c>
      <c r="AM13" s="318">
        <v>19150259</v>
      </c>
      <c r="AN13" s="318">
        <v>0</v>
      </c>
      <c r="AO13" s="318">
        <v>0</v>
      </c>
      <c r="AP13" s="318">
        <v>1672384</v>
      </c>
      <c r="AQ13" s="318">
        <v>0</v>
      </c>
      <c r="AR13" s="318">
        <v>1894954</v>
      </c>
      <c r="AS13" s="318">
        <v>1021800</v>
      </c>
      <c r="AT13" s="318">
        <f t="shared" si="4"/>
        <v>23739397</v>
      </c>
      <c r="AU13" s="318">
        <v>23772809</v>
      </c>
      <c r="AV13" s="318">
        <v>0</v>
      </c>
      <c r="AW13" s="318">
        <v>0</v>
      </c>
      <c r="AX13" s="318">
        <v>2363807</v>
      </c>
      <c r="AY13" s="318">
        <v>0</v>
      </c>
      <c r="AZ13" s="318">
        <v>1571835</v>
      </c>
      <c r="BA13" s="318">
        <v>569102</v>
      </c>
      <c r="BB13" s="319">
        <f t="shared" si="5"/>
        <v>28277553</v>
      </c>
      <c r="BC13" s="328">
        <v>24950047</v>
      </c>
      <c r="BD13" s="329">
        <v>0</v>
      </c>
      <c r="BE13" s="329">
        <v>0</v>
      </c>
      <c r="BF13" s="329">
        <v>3533936</v>
      </c>
      <c r="BG13" s="329">
        <v>0</v>
      </c>
      <c r="BH13" s="329">
        <v>2446763</v>
      </c>
      <c r="BI13" s="329">
        <v>447711</v>
      </c>
      <c r="BJ13" s="314">
        <f t="shared" si="7"/>
        <v>31378457</v>
      </c>
      <c r="BK13" s="40" t="s">
        <v>941</v>
      </c>
      <c r="BL13" s="320">
        <v>88</v>
      </c>
      <c r="BM13" s="320">
        <v>4.4000000000000004</v>
      </c>
      <c r="BN13" s="320">
        <v>4.4000000000000004</v>
      </c>
      <c r="BO13" s="40" t="s">
        <v>2755</v>
      </c>
      <c r="BP13" s="321">
        <v>4843</v>
      </c>
      <c r="BQ13" s="344"/>
      <c r="BR13" s="314">
        <v>7</v>
      </c>
      <c r="BS13" s="314" t="s">
        <v>20490</v>
      </c>
      <c r="BT13" s="339">
        <v>4565</v>
      </c>
      <c r="BU13" s="343">
        <v>87</v>
      </c>
      <c r="BV13" s="343">
        <v>4.4000000000000004</v>
      </c>
      <c r="BW13" s="343">
        <v>4.5</v>
      </c>
      <c r="BX13" s="68" t="s">
        <v>20491</v>
      </c>
    </row>
    <row r="14" spans="1:76" ht="15.75" customHeight="1">
      <c r="A14" s="35" t="s">
        <v>3058</v>
      </c>
      <c r="B14" s="311" t="s">
        <v>3063</v>
      </c>
      <c r="C14" s="155">
        <v>167</v>
      </c>
      <c r="D14" s="155">
        <v>168</v>
      </c>
      <c r="E14" s="40" t="s">
        <v>3072</v>
      </c>
      <c r="F14" s="314">
        <v>13</v>
      </c>
      <c r="G14" s="315">
        <f>COUNTIF('Mechanical Engineering Faculty'!I862:I907, "TT") + COUNTIF('Mechanical Engineering Faculty'!I862:I907, "NTT")</f>
        <v>44</v>
      </c>
      <c r="H14" s="326">
        <f>COUNTIF('Mechanical Engineering Faculty'!I862:I907, "TT")</f>
        <v>42</v>
      </c>
      <c r="I14" s="315">
        <f t="shared" si="6"/>
        <v>2</v>
      </c>
      <c r="J14" s="316">
        <v>45</v>
      </c>
      <c r="K14" s="316">
        <v>43</v>
      </c>
      <c r="L14" s="316">
        <v>2</v>
      </c>
      <c r="M14" s="316">
        <f>COUNTIFS( 'Mechanical Engineering Faculty'!$F$862:$F$907,M$1)</f>
        <v>30</v>
      </c>
      <c r="N14" s="316">
        <f>COUNTIFS( 'Mechanical Engineering Faculty'!$F$862:$F$907,N$1)</f>
        <v>6</v>
      </c>
      <c r="O14" s="316">
        <f>COUNTIFS( 'Mechanical Engineering Faculty'!$F$862:$F$907,O$1)</f>
        <v>6</v>
      </c>
      <c r="P14" s="316">
        <v>30</v>
      </c>
      <c r="Q14" s="316">
        <v>8</v>
      </c>
      <c r="R14" s="316">
        <v>5</v>
      </c>
      <c r="S14" s="316">
        <v>2</v>
      </c>
      <c r="T14" s="316">
        <f t="shared" si="0"/>
        <v>0</v>
      </c>
      <c r="U14" s="316">
        <f t="shared" si="1"/>
        <v>2</v>
      </c>
      <c r="V14" s="316">
        <f t="shared" si="2"/>
        <v>-1</v>
      </c>
      <c r="W14" s="316">
        <v>0</v>
      </c>
      <c r="X14" s="316">
        <v>0</v>
      </c>
      <c r="Y14" s="316">
        <v>0</v>
      </c>
      <c r="Z14" s="316">
        <v>0</v>
      </c>
      <c r="AA14" s="316">
        <v>0</v>
      </c>
      <c r="AB14" s="316">
        <v>0</v>
      </c>
      <c r="AC14" s="316">
        <v>0</v>
      </c>
      <c r="AD14" s="316">
        <v>9</v>
      </c>
      <c r="AE14" s="317">
        <v>30711000</v>
      </c>
      <c r="AF14" s="317">
        <v>1097000</v>
      </c>
      <c r="AG14" s="317">
        <v>0</v>
      </c>
      <c r="AH14" s="317">
        <v>20851000</v>
      </c>
      <c r="AI14" s="317">
        <v>0</v>
      </c>
      <c r="AJ14" s="317">
        <v>7178000</v>
      </c>
      <c r="AK14" s="317">
        <v>116000</v>
      </c>
      <c r="AL14" s="318">
        <f t="shared" si="3"/>
        <v>59953000</v>
      </c>
      <c r="AM14" s="318">
        <v>29268000</v>
      </c>
      <c r="AN14" s="318">
        <v>1548000</v>
      </c>
      <c r="AO14" s="318">
        <v>0</v>
      </c>
      <c r="AP14" s="318">
        <v>17031000</v>
      </c>
      <c r="AQ14" s="318">
        <v>0</v>
      </c>
      <c r="AR14" s="318">
        <v>5495000</v>
      </c>
      <c r="AS14" s="318">
        <v>16000</v>
      </c>
      <c r="AT14" s="318">
        <f t="shared" si="4"/>
        <v>53358000</v>
      </c>
      <c r="AU14" s="318">
        <v>38073000</v>
      </c>
      <c r="AV14" s="318">
        <v>1645000</v>
      </c>
      <c r="AW14" s="318">
        <v>0</v>
      </c>
      <c r="AX14" s="318">
        <v>19000000</v>
      </c>
      <c r="AY14" s="318">
        <v>0</v>
      </c>
      <c r="AZ14" s="318">
        <v>5483000</v>
      </c>
      <c r="BA14" s="318">
        <v>54000</v>
      </c>
      <c r="BB14" s="319">
        <f t="shared" si="5"/>
        <v>64255000</v>
      </c>
      <c r="BC14" s="328">
        <v>10775903</v>
      </c>
      <c r="BD14" s="329">
        <v>0</v>
      </c>
      <c r="BE14" s="329">
        <v>0</v>
      </c>
      <c r="BF14" s="329">
        <v>1119530</v>
      </c>
      <c r="BG14" s="329">
        <v>0</v>
      </c>
      <c r="BH14" s="329">
        <v>96782</v>
      </c>
      <c r="BI14" s="329">
        <v>0</v>
      </c>
      <c r="BJ14" s="314">
        <f t="shared" si="7"/>
        <v>11992215</v>
      </c>
      <c r="BK14" s="40" t="s">
        <v>3076</v>
      </c>
      <c r="BL14" s="320">
        <v>77</v>
      </c>
      <c r="BM14" s="320">
        <v>4</v>
      </c>
      <c r="BN14" s="320">
        <v>4</v>
      </c>
      <c r="BO14" s="40" t="s">
        <v>3108</v>
      </c>
      <c r="BP14" s="321">
        <v>2188</v>
      </c>
      <c r="BQ14" s="314">
        <v>4</v>
      </c>
      <c r="BR14" s="314">
        <v>16</v>
      </c>
      <c r="BS14" s="314" t="s">
        <v>20494</v>
      </c>
      <c r="BT14" s="339">
        <v>2258</v>
      </c>
      <c r="BU14" s="343">
        <v>78</v>
      </c>
      <c r="BV14" s="343">
        <v>4</v>
      </c>
      <c r="BW14" s="343">
        <v>3.9</v>
      </c>
      <c r="BX14" s="325" t="s">
        <v>20495</v>
      </c>
    </row>
    <row r="15" spans="1:76" ht="15.75" customHeight="1">
      <c r="A15" s="310" t="s">
        <v>3232</v>
      </c>
      <c r="B15" s="311" t="s">
        <v>3236</v>
      </c>
      <c r="C15" s="155">
        <v>167</v>
      </c>
      <c r="D15" s="155">
        <v>167</v>
      </c>
      <c r="E15" s="40" t="s">
        <v>3244</v>
      </c>
      <c r="F15" s="314">
        <v>13</v>
      </c>
      <c r="G15" s="315">
        <f>COUNTIF('Mechanical Engineering Faculty'!I909:I940, "TT") + COUNTIF('Mechanical Engineering Faculty'!I909:I940, "NTT")</f>
        <v>29</v>
      </c>
      <c r="H15" s="326">
        <f>COUNTIF('Mechanical Engineering Faculty'!I909:I940, "TT")</f>
        <v>27</v>
      </c>
      <c r="I15" s="315">
        <f t="shared" si="6"/>
        <v>2</v>
      </c>
      <c r="J15" s="316">
        <v>28</v>
      </c>
      <c r="K15" s="316">
        <v>26</v>
      </c>
      <c r="L15" s="316">
        <v>2</v>
      </c>
      <c r="M15" s="316">
        <f>COUNTIFS('Mechanical Engineering Faculty'!$F$909:$F$940,M$1)</f>
        <v>14</v>
      </c>
      <c r="N15" s="316">
        <f>COUNTIFS('Mechanical Engineering Faculty'!$F$909:$F$940,N$1)</f>
        <v>4</v>
      </c>
      <c r="O15" s="316">
        <f>COUNTIFS('Mechanical Engineering Faculty'!$F$909:$F$940,O$1)</f>
        <v>8</v>
      </c>
      <c r="P15" s="316">
        <v>14</v>
      </c>
      <c r="Q15" s="316">
        <v>5</v>
      </c>
      <c r="R15" s="316">
        <v>7</v>
      </c>
      <c r="S15" s="316">
        <v>0</v>
      </c>
      <c r="T15" s="316">
        <f t="shared" si="0"/>
        <v>0</v>
      </c>
      <c r="U15" s="316">
        <f t="shared" si="1"/>
        <v>1</v>
      </c>
      <c r="V15" s="316">
        <f t="shared" si="2"/>
        <v>-1</v>
      </c>
      <c r="W15" s="316">
        <v>0</v>
      </c>
      <c r="X15" s="316">
        <v>0</v>
      </c>
      <c r="Y15" s="316">
        <v>0</v>
      </c>
      <c r="Z15" s="316">
        <v>0</v>
      </c>
      <c r="AA15" s="316">
        <v>0</v>
      </c>
      <c r="AB15" s="316">
        <v>0</v>
      </c>
      <c r="AC15" s="316">
        <v>3</v>
      </c>
      <c r="AD15" s="316">
        <v>8</v>
      </c>
      <c r="AE15" s="317">
        <v>16754792</v>
      </c>
      <c r="AF15" s="317">
        <v>200977</v>
      </c>
      <c r="AG15" s="317">
        <v>28823</v>
      </c>
      <c r="AH15" s="317">
        <v>970309</v>
      </c>
      <c r="AI15" s="317">
        <v>0</v>
      </c>
      <c r="AJ15" s="317">
        <v>3717775</v>
      </c>
      <c r="AK15" s="317">
        <v>0</v>
      </c>
      <c r="AL15" s="318">
        <f t="shared" si="3"/>
        <v>21672676</v>
      </c>
      <c r="AM15" s="318">
        <v>17924226</v>
      </c>
      <c r="AN15" s="318">
        <v>312185</v>
      </c>
      <c r="AO15" s="318">
        <v>25666</v>
      </c>
      <c r="AP15" s="318">
        <v>1560192</v>
      </c>
      <c r="AQ15" s="318">
        <v>0</v>
      </c>
      <c r="AR15" s="318">
        <v>3639691</v>
      </c>
      <c r="AS15" s="318">
        <v>0</v>
      </c>
      <c r="AT15" s="318">
        <f t="shared" si="4"/>
        <v>23461960</v>
      </c>
      <c r="AU15" s="318">
        <v>18706453</v>
      </c>
      <c r="AV15" s="318">
        <v>597372</v>
      </c>
      <c r="AW15" s="318">
        <v>197130</v>
      </c>
      <c r="AX15" s="318">
        <v>1421822</v>
      </c>
      <c r="AY15" s="318">
        <v>992</v>
      </c>
      <c r="AZ15" s="318">
        <v>4208889</v>
      </c>
      <c r="BA15" s="318">
        <v>0</v>
      </c>
      <c r="BB15" s="319">
        <f t="shared" si="5"/>
        <v>25132658</v>
      </c>
      <c r="BC15" s="328">
        <v>24222779</v>
      </c>
      <c r="BD15" s="329">
        <v>392007</v>
      </c>
      <c r="BE15" s="329">
        <v>691327</v>
      </c>
      <c r="BF15" s="329">
        <v>1590786</v>
      </c>
      <c r="BG15" s="329">
        <v>0</v>
      </c>
      <c r="BH15" s="329">
        <v>4035641</v>
      </c>
      <c r="BI15" s="329">
        <v>0</v>
      </c>
      <c r="BJ15" s="314">
        <f t="shared" si="7"/>
        <v>30932540</v>
      </c>
      <c r="BK15" s="40" t="s">
        <v>3248</v>
      </c>
      <c r="BL15" s="320">
        <v>80</v>
      </c>
      <c r="BM15" s="320">
        <v>4</v>
      </c>
      <c r="BN15" s="320">
        <v>4.0999999999999996</v>
      </c>
      <c r="BO15" s="40" t="s">
        <v>3278</v>
      </c>
      <c r="BP15" s="321">
        <v>2604</v>
      </c>
      <c r="BQ15" s="314">
        <v>32</v>
      </c>
      <c r="BR15" s="314">
        <v>14</v>
      </c>
      <c r="BS15" s="345" t="s">
        <v>20496</v>
      </c>
      <c r="BT15" s="339">
        <v>2594</v>
      </c>
      <c r="BU15" s="343">
        <v>80</v>
      </c>
      <c r="BV15" s="343">
        <v>4</v>
      </c>
      <c r="BW15" s="343">
        <v>4.0999999999999996</v>
      </c>
      <c r="BX15" s="325" t="s">
        <v>20497</v>
      </c>
    </row>
    <row r="16" spans="1:76" ht="15.75" customHeight="1">
      <c r="A16" s="310" t="s">
        <v>3734</v>
      </c>
      <c r="B16" s="311" t="s">
        <v>3739</v>
      </c>
      <c r="C16" s="155">
        <v>167</v>
      </c>
      <c r="D16" s="312">
        <v>165</v>
      </c>
      <c r="E16" s="40" t="s">
        <v>3244</v>
      </c>
      <c r="F16" s="347">
        <v>13</v>
      </c>
      <c r="G16" s="315">
        <f>COUNTIF('Mechanical Engineering Faculty'!I1043:I1079, "TT") + COUNTIF('Mechanical Engineering Faculty'!I1043:I1079, "NTT")</f>
        <v>36</v>
      </c>
      <c r="H16" s="315">
        <f>COUNTIF('Mechanical Engineering Faculty'!I1043:I1079, "TT")</f>
        <v>35</v>
      </c>
      <c r="I16" s="315">
        <f>COUNTIF('Mechanical Engineering Faculty'!I1043:I1079, "NTT")</f>
        <v>1</v>
      </c>
      <c r="J16" s="315">
        <f>COUNTIF('Mechanical Engineering Faculty'!J1043:J1079, "TT") + COUNTIF('Mechanical Engineering Faculty'!J1043:J1079, "NTT")</f>
        <v>35</v>
      </c>
      <c r="K16" s="315">
        <f>COUNTIF('Mechanical Engineering Faculty'!J1043:J1079, "TT")</f>
        <v>34</v>
      </c>
      <c r="L16" s="315">
        <f>COUNTIF('Mechanical Engineering Faculty'!J1043:J1079, "NTT")</f>
        <v>1</v>
      </c>
      <c r="M16" s="316">
        <f>COUNTIFS('Mechanical Engineering Faculty'!$F$1043:$F$1079,M$1)</f>
        <v>25</v>
      </c>
      <c r="N16" s="316">
        <f>COUNTIFS('Mechanical Engineering Faculty'!$F$1043:$F$1079,N$1)</f>
        <v>3</v>
      </c>
      <c r="O16" s="316">
        <f>COUNTIFS('Mechanical Engineering Faculty'!$F$1043:$F$1079,O$1)</f>
        <v>7</v>
      </c>
      <c r="P16" s="315">
        <f xml:space="preserve"> COUNTIF('Mechanical Engineering Faculty'!G1043:G1079,#REF!)</f>
        <v>0</v>
      </c>
      <c r="Q16" s="315">
        <f xml:space="preserve"> COUNTIF('Mechanical Engineering Faculty'!G1043:G1079,#REF!)</f>
        <v>0</v>
      </c>
      <c r="R16" s="315">
        <f xml:space="preserve"> COUNTIF('Mechanical Engineering Faculty'!G1043:G1079,#REF!)</f>
        <v>0</v>
      </c>
      <c r="S16" s="315">
        <f xml:space="preserve"> COUNTIF('Mechanical Engineering Faculty'!G1043:G1079,#REF!)</f>
        <v>0</v>
      </c>
      <c r="T16" s="316">
        <f t="shared" si="0"/>
        <v>-25</v>
      </c>
      <c r="U16" s="316">
        <f t="shared" si="1"/>
        <v>-3</v>
      </c>
      <c r="V16" s="316">
        <f t="shared" si="2"/>
        <v>-7</v>
      </c>
      <c r="W16" s="315">
        <v>0</v>
      </c>
      <c r="X16" s="315">
        <v>0</v>
      </c>
      <c r="Y16" s="315">
        <v>0</v>
      </c>
      <c r="Z16" s="315">
        <v>0</v>
      </c>
      <c r="AA16" s="315">
        <v>0</v>
      </c>
      <c r="AB16" s="315">
        <v>0</v>
      </c>
      <c r="AC16" s="326">
        <f>COUNTIF('Mechanical Engineering Faculty'!H1043:H1079, "E/D") + COUNTIF('Mechanical Engineering Faculty'!H1043:H1079,#REF!)</f>
        <v>0</v>
      </c>
      <c r="AD16" s="326">
        <f>COUNTIF('Mechanical Engineering Faculty'!H1043:H1079, "E/D") + COUNTIF('Mechanical Engineering Faculty'!H1043:H1079,#REF!)</f>
        <v>0</v>
      </c>
      <c r="AE16" s="317">
        <v>10121819</v>
      </c>
      <c r="AF16" s="317">
        <v>0</v>
      </c>
      <c r="AG16" s="317">
        <v>0</v>
      </c>
      <c r="AH16" s="317">
        <v>6014810</v>
      </c>
      <c r="AI16" s="317">
        <v>0</v>
      </c>
      <c r="AJ16" s="317">
        <v>0</v>
      </c>
      <c r="AK16" s="317">
        <v>124770</v>
      </c>
      <c r="AL16" s="318">
        <f t="shared" si="3"/>
        <v>16261399</v>
      </c>
      <c r="AM16" s="318">
        <v>0</v>
      </c>
      <c r="AN16" s="318">
        <v>0</v>
      </c>
      <c r="AO16" s="318">
        <v>0</v>
      </c>
      <c r="AP16" s="318">
        <v>0</v>
      </c>
      <c r="AQ16" s="318">
        <v>0</v>
      </c>
      <c r="AR16" s="318">
        <v>0</v>
      </c>
      <c r="AS16" s="318">
        <v>0</v>
      </c>
      <c r="AT16" s="318">
        <f t="shared" si="4"/>
        <v>0</v>
      </c>
      <c r="AU16" s="318">
        <v>15006759</v>
      </c>
      <c r="AV16" s="318">
        <v>0</v>
      </c>
      <c r="AW16" s="318">
        <v>0</v>
      </c>
      <c r="AX16" s="318">
        <v>4120313</v>
      </c>
      <c r="AY16" s="318">
        <v>0</v>
      </c>
      <c r="AZ16" s="318">
        <v>0</v>
      </c>
      <c r="BA16" s="318">
        <v>184040</v>
      </c>
      <c r="BB16" s="319">
        <f t="shared" si="5"/>
        <v>19311112</v>
      </c>
      <c r="BC16" s="410">
        <v>14117659</v>
      </c>
      <c r="BD16" s="412">
        <v>0</v>
      </c>
      <c r="BE16" s="412">
        <v>0</v>
      </c>
      <c r="BF16" s="410">
        <v>4537632</v>
      </c>
      <c r="BG16" s="412">
        <v>0</v>
      </c>
      <c r="BH16" s="412">
        <v>0</v>
      </c>
      <c r="BI16" s="410">
        <v>-265511</v>
      </c>
      <c r="BJ16" s="322">
        <f t="shared" si="7"/>
        <v>18389780</v>
      </c>
      <c r="BK16" s="341" t="s">
        <v>3752</v>
      </c>
      <c r="BL16" s="320">
        <v>78</v>
      </c>
      <c r="BM16" s="320">
        <v>3.9</v>
      </c>
      <c r="BN16" s="320">
        <v>3.9</v>
      </c>
      <c r="BO16" s="40" t="s">
        <v>3784</v>
      </c>
      <c r="BP16" s="321">
        <v>2535</v>
      </c>
      <c r="BQ16" s="344"/>
      <c r="BR16" s="314">
        <v>14</v>
      </c>
      <c r="BS16" s="314" t="s">
        <v>20500</v>
      </c>
      <c r="BT16" s="339">
        <v>2530</v>
      </c>
      <c r="BU16" s="343">
        <v>80</v>
      </c>
      <c r="BV16" s="343">
        <v>3.9</v>
      </c>
      <c r="BW16" s="343">
        <v>4</v>
      </c>
      <c r="BX16" s="325" t="s">
        <v>20501</v>
      </c>
    </row>
    <row r="17" spans="1:76" ht="15.75" customHeight="1">
      <c r="A17" s="310" t="s">
        <v>3348</v>
      </c>
      <c r="B17" s="311" t="s">
        <v>3353</v>
      </c>
      <c r="C17" s="155">
        <v>163</v>
      </c>
      <c r="D17" s="312">
        <v>164</v>
      </c>
      <c r="E17" s="341" t="s">
        <v>3244</v>
      </c>
      <c r="F17" s="314">
        <v>16</v>
      </c>
      <c r="G17" s="315">
        <f>COUNTIF('Mechanical Engineering Faculty'!I942:I1041, "TT") + COUNTIF('Mechanical Engineering Faculty'!I942:I1041, "NTT")</f>
        <v>89</v>
      </c>
      <c r="H17" s="326">
        <f>COUNTIF('Mechanical Engineering Faculty'!I942:I1041, "TT")</f>
        <v>75</v>
      </c>
      <c r="I17" s="315">
        <f>G17-H17</f>
        <v>14</v>
      </c>
      <c r="J17" s="316">
        <v>95</v>
      </c>
      <c r="K17" s="316">
        <v>74</v>
      </c>
      <c r="L17" s="316">
        <v>17</v>
      </c>
      <c r="M17" s="316">
        <f>COUNTIFS('Mechanical Engineering Faculty'!$F$942:$F$1041,M$1)</f>
        <v>37</v>
      </c>
      <c r="N17" s="316">
        <f>COUNTIFS('Mechanical Engineering Faculty'!$F$942:$F$1041,N$1)</f>
        <v>25</v>
      </c>
      <c r="O17" s="316">
        <f>COUNTIFS('Mechanical Engineering Faculty'!$F$942:$F$1041,O$1)</f>
        <v>13</v>
      </c>
      <c r="P17" s="316">
        <v>36</v>
      </c>
      <c r="Q17" s="316">
        <v>25</v>
      </c>
      <c r="R17" s="316">
        <v>14</v>
      </c>
      <c r="S17" s="316">
        <v>0</v>
      </c>
      <c r="T17" s="316">
        <f t="shared" si="0"/>
        <v>-1</v>
      </c>
      <c r="U17" s="316">
        <f t="shared" si="1"/>
        <v>0</v>
      </c>
      <c r="V17" s="316">
        <f t="shared" si="2"/>
        <v>1</v>
      </c>
      <c r="W17" s="316">
        <v>0</v>
      </c>
      <c r="X17" s="316">
        <v>6</v>
      </c>
      <c r="Y17" s="316">
        <v>8</v>
      </c>
      <c r="Z17" s="316">
        <v>1</v>
      </c>
      <c r="AA17" s="316">
        <v>1</v>
      </c>
      <c r="AB17" s="316">
        <v>0</v>
      </c>
      <c r="AC17" s="316">
        <v>3</v>
      </c>
      <c r="AD17" s="316">
        <v>26</v>
      </c>
      <c r="AE17" s="317">
        <v>5936000</v>
      </c>
      <c r="AF17" s="317">
        <v>603000</v>
      </c>
      <c r="AG17" s="317">
        <v>1049000</v>
      </c>
      <c r="AH17" s="317">
        <v>2065000</v>
      </c>
      <c r="AI17" s="317">
        <v>31184000</v>
      </c>
      <c r="AJ17" s="317">
        <v>2165000</v>
      </c>
      <c r="AK17" s="317">
        <v>3385000</v>
      </c>
      <c r="AL17" s="318">
        <f t="shared" si="3"/>
        <v>46387000</v>
      </c>
      <c r="AM17" s="318">
        <v>11417000</v>
      </c>
      <c r="AN17" s="318">
        <v>435000</v>
      </c>
      <c r="AO17" s="318">
        <v>1746000</v>
      </c>
      <c r="AP17" s="318">
        <v>2282000</v>
      </c>
      <c r="AQ17" s="318">
        <v>20116000</v>
      </c>
      <c r="AR17" s="318">
        <v>2360000</v>
      </c>
      <c r="AS17" s="318">
        <v>2917000</v>
      </c>
      <c r="AT17" s="318">
        <f t="shared" si="4"/>
        <v>41273000</v>
      </c>
      <c r="AU17" s="318">
        <v>12442000</v>
      </c>
      <c r="AV17" s="318">
        <v>419000</v>
      </c>
      <c r="AW17" s="318">
        <v>1316000</v>
      </c>
      <c r="AX17" s="318">
        <v>2534000</v>
      </c>
      <c r="AY17" s="318">
        <v>21968000</v>
      </c>
      <c r="AZ17" s="318">
        <v>2980000</v>
      </c>
      <c r="BA17" s="318">
        <v>3352000</v>
      </c>
      <c r="BB17" s="319">
        <f t="shared" si="5"/>
        <v>45011000</v>
      </c>
      <c r="BC17" s="411" t="s">
        <v>55</v>
      </c>
      <c r="BD17" s="413" t="s">
        <v>55</v>
      </c>
      <c r="BE17" s="413" t="s">
        <v>55</v>
      </c>
      <c r="BF17" s="413" t="s">
        <v>55</v>
      </c>
      <c r="BG17" s="413" t="s">
        <v>55</v>
      </c>
      <c r="BH17" s="413" t="s">
        <v>55</v>
      </c>
      <c r="BI17" s="413" t="s">
        <v>55</v>
      </c>
      <c r="BJ17" s="332" t="s">
        <v>55</v>
      </c>
      <c r="BK17" s="40" t="s">
        <v>3366</v>
      </c>
      <c r="BL17" s="320">
        <v>85</v>
      </c>
      <c r="BM17" s="320">
        <v>3.9</v>
      </c>
      <c r="BN17" s="320">
        <v>4</v>
      </c>
      <c r="BO17" s="40" t="s">
        <v>3397</v>
      </c>
      <c r="BP17" s="321">
        <v>3380</v>
      </c>
      <c r="BQ17" s="314">
        <v>11</v>
      </c>
      <c r="BR17" s="314">
        <v>12</v>
      </c>
      <c r="BS17" s="314" t="s">
        <v>20498</v>
      </c>
      <c r="BT17" s="346">
        <v>4089</v>
      </c>
      <c r="BU17" s="343">
        <v>82</v>
      </c>
      <c r="BV17" s="343">
        <v>3.9</v>
      </c>
      <c r="BW17" s="343">
        <v>4</v>
      </c>
      <c r="BX17" s="325" t="s">
        <v>20499</v>
      </c>
    </row>
    <row r="18" spans="1:76" ht="15.75" customHeight="1">
      <c r="A18" s="310" t="s">
        <v>3880</v>
      </c>
      <c r="B18" s="311" t="s">
        <v>3888</v>
      </c>
      <c r="C18" s="155">
        <v>164</v>
      </c>
      <c r="D18" s="312">
        <v>165</v>
      </c>
      <c r="E18" s="313" t="s">
        <v>3898</v>
      </c>
      <c r="F18" s="314">
        <v>17</v>
      </c>
      <c r="G18" s="315">
        <f>COUNTIF('Mechanical Engineering Faculty'!I1080:I1141, "TT") + COUNTIF('Mechanical Engineering Faculty'!I1080:I1141, "NTT") + COUNTIF('Mechanical Engineering Faculty'!I1080:I1141, "Other")</f>
        <v>54</v>
      </c>
      <c r="H18" s="315">
        <f>COUNTIF('Mechanical Engineering Faculty'!I1080:I1141, "TT")</f>
        <v>54</v>
      </c>
      <c r="I18" s="315">
        <f>COUNTIF('Mechanical Engineering Faculty'!I1080:I1141, "NTT")</f>
        <v>0</v>
      </c>
      <c r="J18" s="315">
        <f>COUNTIF('Mechanical Engineering Faculty'!J1080:J1141, "TT") + COUNTIF('Mechanical Engineering Faculty'!J1080:J1141, "NTT") + COUNTIF('Mechanical Engineering Faculty'!J1080:J1141, "Other")</f>
        <v>54</v>
      </c>
      <c r="K18" s="315">
        <f>COUNTIF('Mechanical Engineering Faculty'!J1080:J1141, "TT")</f>
        <v>54</v>
      </c>
      <c r="L18" s="315">
        <f>COUNTIF('Mechanical Engineering Faculty'!J1080:J1141, "NTT")</f>
        <v>0</v>
      </c>
      <c r="M18" s="316">
        <f>COUNTIFS('Mechanical Engineering Faculty'!$F$1081:$F$1141,M$1)</f>
        <v>29</v>
      </c>
      <c r="N18" s="316">
        <f>COUNTIFS('Mechanical Engineering Faculty'!$F$1081:$F$1141,N$1)</f>
        <v>10</v>
      </c>
      <c r="O18" s="316">
        <f>COUNTIFS('Mechanical Engineering Faculty'!$F$1081:$F$1141,O$1)</f>
        <v>15</v>
      </c>
      <c r="P18" s="315">
        <f>COUNTIF('Mechanical Engineering Faculty'!G1080:G1141, P1)</f>
        <v>28</v>
      </c>
      <c r="Q18" s="315">
        <f>COUNTIF('Mechanical Engineering Faculty'!G1080:G1141, Q1)</f>
        <v>10</v>
      </c>
      <c r="R18" s="315">
        <f>COUNTIF('Mechanical Engineering Faculty'!G1080:G1141, R1)</f>
        <v>16</v>
      </c>
      <c r="S18" s="315">
        <f>COUNTIF('Mechanical Engineering Faculty'!G1080:G1141, S1)</f>
        <v>0</v>
      </c>
      <c r="T18" s="316">
        <f t="shared" si="0"/>
        <v>-1</v>
      </c>
      <c r="U18" s="316">
        <f t="shared" si="1"/>
        <v>0</v>
      </c>
      <c r="V18" s="316">
        <f t="shared" si="2"/>
        <v>1</v>
      </c>
      <c r="W18" s="315">
        <v>0</v>
      </c>
      <c r="X18" s="315">
        <v>0</v>
      </c>
      <c r="Y18" s="315">
        <v>0</v>
      </c>
      <c r="Z18" s="315">
        <v>0</v>
      </c>
      <c r="AA18" s="315">
        <v>0</v>
      </c>
      <c r="AB18" s="315">
        <v>0</v>
      </c>
      <c r="AC18" s="326">
        <f>COUNTIF('Mechanical Engineering Faculty'!H1081:H1141, "E/D") + COUNTIF('Mechanical Engineering Faculty'!H1081:H1141, AC1)</f>
        <v>3</v>
      </c>
      <c r="AD18" s="326">
        <f>COUNTIF('Mechanical Engineering Faculty'!H1080:H1141, "E/D") + COUNTIF('Mechanical Engineering Faculty'!H1081:H1141, AD1)</f>
        <v>9</v>
      </c>
      <c r="AE18" s="317">
        <v>13300121</v>
      </c>
      <c r="AF18" s="317">
        <v>0</v>
      </c>
      <c r="AG18" s="317">
        <v>0</v>
      </c>
      <c r="AH18" s="317">
        <v>2531326</v>
      </c>
      <c r="AI18" s="317">
        <v>0</v>
      </c>
      <c r="AJ18" s="317">
        <v>1065184</v>
      </c>
      <c r="AK18" s="317">
        <v>1023245</v>
      </c>
      <c r="AL18" s="318">
        <f t="shared" si="3"/>
        <v>17919876</v>
      </c>
      <c r="AM18" s="318">
        <v>12572321</v>
      </c>
      <c r="AN18" s="318">
        <v>0</v>
      </c>
      <c r="AO18" s="318">
        <v>0</v>
      </c>
      <c r="AP18" s="318">
        <v>4112256</v>
      </c>
      <c r="AQ18" s="318">
        <v>0</v>
      </c>
      <c r="AR18" s="318">
        <v>1472</v>
      </c>
      <c r="AS18" s="318">
        <v>1159277</v>
      </c>
      <c r="AT18" s="318">
        <f t="shared" si="4"/>
        <v>17845326</v>
      </c>
      <c r="AU18" s="318">
        <v>13185592</v>
      </c>
      <c r="AV18" s="318">
        <v>0</v>
      </c>
      <c r="AW18" s="318">
        <v>0</v>
      </c>
      <c r="AX18" s="318">
        <v>6007455</v>
      </c>
      <c r="AY18" s="318">
        <v>0</v>
      </c>
      <c r="AZ18" s="318">
        <v>77199</v>
      </c>
      <c r="BA18" s="318">
        <v>1360034</v>
      </c>
      <c r="BB18" s="319">
        <f t="shared" si="5"/>
        <v>20630280</v>
      </c>
      <c r="BC18" s="328">
        <v>12997168</v>
      </c>
      <c r="BD18" s="329">
        <v>0</v>
      </c>
      <c r="BE18" s="329">
        <v>0</v>
      </c>
      <c r="BF18" s="329">
        <v>5822749</v>
      </c>
      <c r="BG18" s="329">
        <v>0</v>
      </c>
      <c r="BH18" s="329">
        <v>358646</v>
      </c>
      <c r="BI18" s="329">
        <v>1265512</v>
      </c>
      <c r="BJ18" s="314">
        <f>SUM(BC18:BI18)</f>
        <v>20444075</v>
      </c>
      <c r="BK18" s="40" t="s">
        <v>3902</v>
      </c>
      <c r="BL18" s="320">
        <v>69</v>
      </c>
      <c r="BM18" s="320">
        <v>3.7</v>
      </c>
      <c r="BN18" s="320">
        <v>3.9</v>
      </c>
      <c r="BO18" s="40" t="s">
        <v>3937</v>
      </c>
      <c r="BP18" s="321">
        <v>2209</v>
      </c>
      <c r="BQ18" s="314">
        <v>11</v>
      </c>
      <c r="BR18" s="314">
        <v>31</v>
      </c>
      <c r="BS18" s="314" t="s">
        <v>20502</v>
      </c>
      <c r="BT18" s="339">
        <v>2227</v>
      </c>
      <c r="BU18" s="343">
        <v>68</v>
      </c>
      <c r="BV18" s="343">
        <v>3.7</v>
      </c>
      <c r="BW18" s="343">
        <v>3.8</v>
      </c>
      <c r="BX18" s="325" t="s">
        <v>20503</v>
      </c>
    </row>
    <row r="19" spans="1:76" ht="15.75" customHeight="1">
      <c r="A19" s="310" t="s">
        <v>4065</v>
      </c>
      <c r="B19" s="311" t="s">
        <v>4070</v>
      </c>
      <c r="C19" s="155">
        <v>163</v>
      </c>
      <c r="D19" s="312">
        <v>164</v>
      </c>
      <c r="E19" s="40" t="s">
        <v>3898</v>
      </c>
      <c r="F19" s="314">
        <v>17</v>
      </c>
      <c r="G19" s="315">
        <f>COUNTIF('Mechanical Engineering Faculty'!I1143:I1197, "TT") + COUNTIF('Mechanical Engineering Faculty'!I1143:I1197, "NTT") + COUNTIF('Mechanical Engineering Faculty'!I1143:I1197, "Other")</f>
        <v>53</v>
      </c>
      <c r="H19" s="315">
        <f>COUNTIF('Mechanical Engineering Faculty'!I1143:I1197, "TT")</f>
        <v>46</v>
      </c>
      <c r="I19" s="315">
        <f>COUNTIF('Mechanical Engineering Faculty'!I1143:I1197, "NTT")</f>
        <v>7</v>
      </c>
      <c r="J19" s="315">
        <f>COUNTIF('Mechanical Engineering Faculty'!J1143:J1197, "TT") + COUNTIF('Mechanical Engineering Faculty'!J1143:J1197, "NTT") + COUNTIF('Mechanical Engineering Faculty'!J1143:J1197, "Other")</f>
        <v>53</v>
      </c>
      <c r="K19" s="315">
        <f>COUNTIF('Mechanical Engineering Faculty'!J1143:J1197, "TT")</f>
        <v>46</v>
      </c>
      <c r="L19" s="315">
        <f>COUNTIF('Mechanical Engineering Faculty'!J1143:J1197, "NTT")</f>
        <v>7</v>
      </c>
      <c r="M19" s="316">
        <f>COUNTIFS('Mechanical Engineering Faculty'!$F$1143:$F$1197,M$1)</f>
        <v>35</v>
      </c>
      <c r="N19" s="316">
        <f>COUNTIFS('Mechanical Engineering Faculty'!$F$1143:$F$1197,N$1)</f>
        <v>7</v>
      </c>
      <c r="O19" s="316">
        <f>COUNTIFS('Mechanical Engineering Faculty'!$F$1143:$F$1197,O$1)</f>
        <v>6</v>
      </c>
      <c r="P19" s="315">
        <f>COUNTIF('Mechanical Engineering Faculty'!G1143:G1197, P1)</f>
        <v>34</v>
      </c>
      <c r="Q19" s="315">
        <f>COUNTIF('Mechanical Engineering Faculty'!G1143:G1197, Q1)</f>
        <v>7</v>
      </c>
      <c r="R19" s="315">
        <f>COUNTIF('Mechanical Engineering Faculty'!G1143:G1197, R1)</f>
        <v>6</v>
      </c>
      <c r="S19" s="315">
        <f>COUNTIF('Mechanical Engineering Faculty'!G1143:G1197, S1)</f>
        <v>7</v>
      </c>
      <c r="T19" s="316">
        <f t="shared" si="0"/>
        <v>-1</v>
      </c>
      <c r="U19" s="316">
        <f t="shared" si="1"/>
        <v>0</v>
      </c>
      <c r="V19" s="316">
        <f t="shared" si="2"/>
        <v>0</v>
      </c>
      <c r="W19" s="315">
        <v>0</v>
      </c>
      <c r="X19" s="315">
        <v>0</v>
      </c>
      <c r="Y19" s="315">
        <v>0</v>
      </c>
      <c r="Z19" s="315">
        <v>0</v>
      </c>
      <c r="AA19" s="315">
        <v>0</v>
      </c>
      <c r="AB19" s="315">
        <f>COUNTIF('Mechanical Engineering Faculty'!G1144:G1198, "Assistant RP")</f>
        <v>0</v>
      </c>
      <c r="AC19" s="326">
        <f>COUNTIF('Mechanical Engineering Faculty'!H1143:H1197, "E/D") + COUNTIF('Mechanical Engineering Faculty'!H1143:H1197, AC1)</f>
        <v>5</v>
      </c>
      <c r="AD19" s="326">
        <f>COUNTIF('Mechanical Engineering Faculty'!H1143:H1197, "E/D") + COUNTIF('Mechanical Engineering Faculty'!H1143:H1197, AD1)</f>
        <v>19</v>
      </c>
      <c r="AE19" s="317">
        <v>9955600</v>
      </c>
      <c r="AF19" s="317">
        <v>2076984</v>
      </c>
      <c r="AG19" s="317">
        <v>198722</v>
      </c>
      <c r="AH19" s="317">
        <v>4438387</v>
      </c>
      <c r="AI19" s="317">
        <v>0</v>
      </c>
      <c r="AJ19" s="317">
        <v>1524027</v>
      </c>
      <c r="AK19" s="317">
        <v>2920984</v>
      </c>
      <c r="AL19" s="318">
        <f t="shared" si="3"/>
        <v>21114704</v>
      </c>
      <c r="AM19" s="318">
        <v>9937984</v>
      </c>
      <c r="AN19" s="318">
        <v>312519</v>
      </c>
      <c r="AO19" s="318">
        <v>300454</v>
      </c>
      <c r="AP19" s="318">
        <v>7894239</v>
      </c>
      <c r="AQ19" s="318">
        <v>0</v>
      </c>
      <c r="AR19" s="318">
        <v>473158</v>
      </c>
      <c r="AS19" s="318">
        <v>1931587</v>
      </c>
      <c r="AT19" s="318">
        <f t="shared" si="4"/>
        <v>20849941</v>
      </c>
      <c r="AU19" s="318">
        <v>13078536</v>
      </c>
      <c r="AV19" s="318">
        <v>872683</v>
      </c>
      <c r="AW19" s="318">
        <v>0</v>
      </c>
      <c r="AX19" s="318">
        <v>6084794</v>
      </c>
      <c r="AY19" s="318">
        <v>366588</v>
      </c>
      <c r="AZ19" s="318">
        <v>1177875</v>
      </c>
      <c r="BA19" s="318">
        <v>2362639</v>
      </c>
      <c r="BB19" s="319">
        <f t="shared" si="5"/>
        <v>23943115</v>
      </c>
      <c r="BC19" s="328">
        <v>16319074</v>
      </c>
      <c r="BD19" s="329">
        <v>1038053</v>
      </c>
      <c r="BE19" s="329">
        <v>356774</v>
      </c>
      <c r="BF19" s="329">
        <v>6142331</v>
      </c>
      <c r="BG19" s="329">
        <v>106258</v>
      </c>
      <c r="BH19" s="329">
        <v>2205427</v>
      </c>
      <c r="BI19" s="329">
        <v>3227250</v>
      </c>
      <c r="BJ19" s="314">
        <f>SUM(BC19:BI19)</f>
        <v>29395167</v>
      </c>
      <c r="BK19" s="40" t="s">
        <v>4083</v>
      </c>
      <c r="BL19" s="320">
        <v>76</v>
      </c>
      <c r="BM19" s="320">
        <v>3.7</v>
      </c>
      <c r="BN19" s="320">
        <v>3.8</v>
      </c>
      <c r="BO19" s="40" t="s">
        <v>4116</v>
      </c>
      <c r="BP19" s="321">
        <v>1852</v>
      </c>
      <c r="BQ19" s="344"/>
      <c r="BR19" s="314">
        <v>18</v>
      </c>
      <c r="BS19" s="314" t="s">
        <v>20504</v>
      </c>
      <c r="BT19" s="339">
        <v>2003</v>
      </c>
      <c r="BU19" s="343">
        <v>77</v>
      </c>
      <c r="BV19" s="343">
        <v>3.8</v>
      </c>
      <c r="BW19" s="343">
        <v>3.8</v>
      </c>
      <c r="BX19" s="325" t="s">
        <v>20505</v>
      </c>
    </row>
    <row r="20" spans="1:76" ht="15.75" customHeight="1">
      <c r="A20" s="351" t="s">
        <v>4437</v>
      </c>
      <c r="B20" s="311" t="s">
        <v>4440</v>
      </c>
      <c r="C20" s="155">
        <v>168</v>
      </c>
      <c r="D20" s="312">
        <v>169</v>
      </c>
      <c r="E20" s="40" t="s">
        <v>3898</v>
      </c>
      <c r="F20" s="314">
        <v>17</v>
      </c>
      <c r="G20" s="315">
        <f>COUNTIF('Mechanical Engineering Faculty'!I1246:I1283, "TT") + COUNTIF('Mechanical Engineering Faculty'!I1246:I1283, "NTT")</f>
        <v>37</v>
      </c>
      <c r="H20" s="315">
        <f>COUNTIF('Mechanical Engineering Faculty'!I1246:I1283, "TT")</f>
        <v>32</v>
      </c>
      <c r="I20" s="315">
        <f>COUNTIF('Mechanical Engineering Faculty'!I1246:I1283, "NTT")</f>
        <v>5</v>
      </c>
      <c r="J20" s="315">
        <f>COUNTIF('Mechanical Engineering Faculty'!J1246:J1283, "TT") + COUNTIF('Mechanical Engineering Faculty'!J1246:J1283, "NTT")</f>
        <v>35</v>
      </c>
      <c r="K20" s="315">
        <f>COUNTIF('Mechanical Engineering Faculty'!J1246:J1283, "TT")</f>
        <v>31</v>
      </c>
      <c r="L20" s="315">
        <f>COUNTIF('Mechanical Engineering Faculty'!J1246:J1283, "NTT")</f>
        <v>4</v>
      </c>
      <c r="M20" s="316">
        <f>COUNTIFS('Mechanical Engineering Faculty'!$F$1246:$F$1283,M$1)</f>
        <v>21</v>
      </c>
      <c r="N20" s="316">
        <f>COUNTIFS('Mechanical Engineering Faculty'!$F$1246:$F$1283,N$1)</f>
        <v>3</v>
      </c>
      <c r="O20" s="316">
        <f>COUNTIFS('Mechanical Engineering Faculty'!$F$1246:$F$1283,O$1)</f>
        <v>7</v>
      </c>
      <c r="P20" s="315">
        <f xml:space="preserve"> COUNTIF('Mechanical Engineering Faculty'!G1246:G1283,#REF!)</f>
        <v>0</v>
      </c>
      <c r="Q20" s="315">
        <f xml:space="preserve"> COUNTIF('Mechanical Engineering Faculty'!G1246:G1283,#REF!)</f>
        <v>0</v>
      </c>
      <c r="R20" s="315">
        <f xml:space="preserve"> COUNTIF('Mechanical Engineering Faculty'!G1246:G1283,#REF!)</f>
        <v>0</v>
      </c>
      <c r="S20" s="315">
        <f xml:space="preserve"> COUNTIF('Mechanical Engineering Faculty'!G1246:G1283,#REF!)</f>
        <v>0</v>
      </c>
      <c r="T20" s="316">
        <f t="shared" si="0"/>
        <v>-21</v>
      </c>
      <c r="U20" s="316">
        <f t="shared" si="1"/>
        <v>-3</v>
      </c>
      <c r="V20" s="316">
        <f t="shared" si="2"/>
        <v>-7</v>
      </c>
      <c r="W20" s="315">
        <v>0</v>
      </c>
      <c r="X20" s="315">
        <v>0</v>
      </c>
      <c r="Y20" s="315">
        <v>0</v>
      </c>
      <c r="Z20" s="315">
        <v>0</v>
      </c>
      <c r="AA20" s="315">
        <v>0</v>
      </c>
      <c r="AB20" s="315">
        <f>COUNTIF('Mechanical Engineering Faculty'!G1246:G1283, "Assistant RP")</f>
        <v>0</v>
      </c>
      <c r="AC20" s="326">
        <f>COUNTIF('Mechanical Engineering Faculty'!H1246:H1283, "E/D") + COUNTIF('Mechanical Engineering Faculty'!H1246:H1283,#REF!)</f>
        <v>1</v>
      </c>
      <c r="AD20" s="326">
        <f>COUNTIF('Mechanical Engineering Faculty'!H1246:H1283, "E/D") + COUNTIF('Mechanical Engineering Faculty'!H1246:H1283,#REF!)</f>
        <v>1</v>
      </c>
      <c r="AE20" s="317">
        <v>0</v>
      </c>
      <c r="AF20" s="317">
        <v>0</v>
      </c>
      <c r="AG20" s="317">
        <v>0</v>
      </c>
      <c r="AH20" s="317">
        <v>0</v>
      </c>
      <c r="AI20" s="317">
        <v>0</v>
      </c>
      <c r="AJ20" s="317">
        <v>0</v>
      </c>
      <c r="AK20" s="317">
        <v>0</v>
      </c>
      <c r="AL20" s="318">
        <f t="shared" si="3"/>
        <v>0</v>
      </c>
      <c r="AM20" s="318">
        <v>0</v>
      </c>
      <c r="AN20" s="327">
        <v>0</v>
      </c>
      <c r="AO20" s="327">
        <v>0</v>
      </c>
      <c r="AP20" s="356">
        <v>0</v>
      </c>
      <c r="AQ20" s="327">
        <v>0</v>
      </c>
      <c r="AR20" s="356">
        <v>0</v>
      </c>
      <c r="AS20" s="356">
        <v>0</v>
      </c>
      <c r="AT20" s="318">
        <f t="shared" si="4"/>
        <v>0</v>
      </c>
      <c r="AU20" s="318" t="s">
        <v>55</v>
      </c>
      <c r="AV20" s="405" t="s">
        <v>55</v>
      </c>
      <c r="AW20" s="405" t="s">
        <v>55</v>
      </c>
      <c r="AX20" s="318" t="s">
        <v>55</v>
      </c>
      <c r="AY20" s="405" t="s">
        <v>55</v>
      </c>
      <c r="AZ20" s="318" t="s">
        <v>55</v>
      </c>
      <c r="BA20" s="318" t="s">
        <v>55</v>
      </c>
      <c r="BB20" s="319">
        <f t="shared" si="5"/>
        <v>0</v>
      </c>
      <c r="BC20" s="328">
        <v>7289824</v>
      </c>
      <c r="BD20" s="329">
        <v>0</v>
      </c>
      <c r="BE20" s="329">
        <v>0</v>
      </c>
      <c r="BF20" s="329">
        <v>929658</v>
      </c>
      <c r="BG20" s="329">
        <v>0</v>
      </c>
      <c r="BH20" s="329">
        <v>1664284</v>
      </c>
      <c r="BI20" s="329">
        <v>0</v>
      </c>
      <c r="BJ20" s="314">
        <f>SUM(BC20:BI20)</f>
        <v>9883766</v>
      </c>
      <c r="BK20" s="40" t="s">
        <v>4083</v>
      </c>
      <c r="BL20" s="320">
        <v>76</v>
      </c>
      <c r="BM20" s="320">
        <v>3.7</v>
      </c>
      <c r="BN20" s="320">
        <v>4</v>
      </c>
      <c r="BO20" s="40" t="s">
        <v>4480</v>
      </c>
      <c r="BP20" s="321">
        <v>2815</v>
      </c>
      <c r="BQ20" s="344"/>
      <c r="BR20" s="314">
        <v>16</v>
      </c>
      <c r="BS20" s="314" t="s">
        <v>20508</v>
      </c>
      <c r="BT20" s="352">
        <v>2998</v>
      </c>
      <c r="BU20" s="343">
        <v>78</v>
      </c>
      <c r="BV20" s="343">
        <v>3.8</v>
      </c>
      <c r="BW20" s="343">
        <v>4</v>
      </c>
      <c r="BX20" s="325" t="s">
        <v>20509</v>
      </c>
    </row>
    <row r="21" spans="1:76" ht="15.75" customHeight="1">
      <c r="A21" s="4" t="s">
        <v>4571</v>
      </c>
      <c r="B21" s="311" t="s">
        <v>2714</v>
      </c>
      <c r="C21" s="155">
        <v>166</v>
      </c>
      <c r="D21" s="312">
        <v>166</v>
      </c>
      <c r="E21" s="40" t="s">
        <v>3898</v>
      </c>
      <c r="F21" s="314">
        <v>17</v>
      </c>
      <c r="G21" s="315">
        <f>COUNTIF('Mechanical Engineering Faculty'!I1285:I1345, "TT") + COUNTIF('Mechanical Engineering Faculty'!I1285:I1345, "NTT") + COUNTIF('Mechanical Engineering Faculty'!I1285:I1345, "Other")</f>
        <v>60</v>
      </c>
      <c r="H21" s="315">
        <f>COUNTIF('Mechanical Engineering Faculty'!I1285:I1345, "TT")</f>
        <v>53</v>
      </c>
      <c r="I21" s="315">
        <f>COUNTIF('Mechanical Engineering Faculty'!I1285:I1345, "NTT")</f>
        <v>7</v>
      </c>
      <c r="J21" s="315">
        <f>COUNTIF('Mechanical Engineering Faculty'!J1285:J1345, "TT") + COUNTIF('Mechanical Engineering Faculty'!J1285:J1345, "NTT")</f>
        <v>61</v>
      </c>
      <c r="K21" s="315">
        <f>COUNTIF('Mechanical Engineering Faculty'!J1285:J1345, "TT")</f>
        <v>54</v>
      </c>
      <c r="L21" s="315">
        <f>COUNTIF('Mechanical Engineering Faculty'!J1285:J1345, "NTT")</f>
        <v>7</v>
      </c>
      <c r="M21" s="316">
        <f>COUNTIFS('Mechanical Engineering Faculty'!$F$1285:$F$1345,M$1)</f>
        <v>18</v>
      </c>
      <c r="N21" s="316">
        <f>COUNTIFS('Mechanical Engineering Faculty'!$F$1285:$F$1345,N$1)</f>
        <v>17</v>
      </c>
      <c r="O21" s="316">
        <f>COUNTIFS('Mechanical Engineering Faculty'!$F$1285:$F$1345,O$1)</f>
        <v>20</v>
      </c>
      <c r="P21" s="315">
        <f xml:space="preserve"> COUNTIF('Mechanical Engineering Faculty'!G1285:G1345,#REF!)</f>
        <v>0</v>
      </c>
      <c r="Q21" s="315">
        <f xml:space="preserve"> COUNTIF('Mechanical Engineering Faculty'!G1285:G1345,#REF!)</f>
        <v>0</v>
      </c>
      <c r="R21" s="315">
        <f xml:space="preserve"> COUNTIF('Mechanical Engineering Faculty'!G1285:G1345,#REF!)</f>
        <v>0</v>
      </c>
      <c r="S21" s="315">
        <f xml:space="preserve"> COUNTIF('Mechanical Engineering Faculty'!G1285:G1345,#REF!)</f>
        <v>0</v>
      </c>
      <c r="T21" s="316">
        <f t="shared" si="0"/>
        <v>-18</v>
      </c>
      <c r="U21" s="316">
        <f t="shared" si="1"/>
        <v>-17</v>
      </c>
      <c r="V21" s="316">
        <f t="shared" si="2"/>
        <v>-20</v>
      </c>
      <c r="W21" s="315">
        <v>0</v>
      </c>
      <c r="X21" s="315">
        <v>0</v>
      </c>
      <c r="Y21" s="315">
        <v>0</v>
      </c>
      <c r="Z21" s="315">
        <v>0</v>
      </c>
      <c r="AA21" s="315">
        <v>0</v>
      </c>
      <c r="AB21" s="315">
        <v>0</v>
      </c>
      <c r="AC21" s="326">
        <f>COUNTIF('Mechanical Engineering Faculty'!H1285:H1346, "E/D") + COUNTIF('Mechanical Engineering Faculty'!H1285:H1346,#REF!)</f>
        <v>0</v>
      </c>
      <c r="AD21" s="326">
        <f>COUNTIF('Mechanical Engineering Faculty'!H1285:H1346, "E/D") + COUNTIF('Mechanical Engineering Faculty'!H1285:H1346,#REF!)</f>
        <v>0</v>
      </c>
      <c r="AE21" s="317">
        <v>1366281</v>
      </c>
      <c r="AF21" s="317">
        <v>0</v>
      </c>
      <c r="AG21" s="317">
        <v>0</v>
      </c>
      <c r="AH21" s="317">
        <v>16225</v>
      </c>
      <c r="AI21" s="317">
        <v>6054</v>
      </c>
      <c r="AJ21" s="317">
        <v>363314</v>
      </c>
      <c r="AK21" s="317">
        <v>0</v>
      </c>
      <c r="AL21" s="318">
        <f t="shared" si="3"/>
        <v>1751874</v>
      </c>
      <c r="AM21" s="318">
        <v>1307194</v>
      </c>
      <c r="AN21" s="405">
        <v>0</v>
      </c>
      <c r="AO21" s="405"/>
      <c r="AP21" s="405">
        <v>121882</v>
      </c>
      <c r="AQ21" s="405">
        <v>213</v>
      </c>
      <c r="AR21" s="405">
        <v>153941</v>
      </c>
      <c r="AS21" s="405">
        <v>30815</v>
      </c>
      <c r="AT21" s="318">
        <f t="shared" si="4"/>
        <v>1614045</v>
      </c>
      <c r="AU21" s="318">
        <v>1304189</v>
      </c>
      <c r="AV21" s="318">
        <v>0</v>
      </c>
      <c r="AW21" s="318">
        <v>0</v>
      </c>
      <c r="AX21" s="318">
        <v>265337</v>
      </c>
      <c r="AY21" s="318">
        <v>0</v>
      </c>
      <c r="AZ21" s="318">
        <v>2957</v>
      </c>
      <c r="BA21" s="318">
        <v>124942</v>
      </c>
      <c r="BB21" s="319">
        <f t="shared" si="5"/>
        <v>1697425</v>
      </c>
      <c r="BC21" s="328">
        <v>17819000</v>
      </c>
      <c r="BD21" s="329">
        <v>0</v>
      </c>
      <c r="BE21" s="329">
        <v>37000</v>
      </c>
      <c r="BF21" s="329">
        <v>2262000</v>
      </c>
      <c r="BG21" s="329">
        <v>0</v>
      </c>
      <c r="BH21" s="329">
        <v>2464000</v>
      </c>
      <c r="BI21" s="329">
        <v>18000</v>
      </c>
      <c r="BJ21" s="314">
        <f>SUM(BC21:BI21)</f>
        <v>22600000</v>
      </c>
      <c r="BK21" s="40" t="s">
        <v>4588</v>
      </c>
      <c r="BL21" s="320">
        <v>71</v>
      </c>
      <c r="BM21" s="320">
        <v>3.9</v>
      </c>
      <c r="BN21" s="320">
        <v>3.9</v>
      </c>
      <c r="BO21" s="40" t="s">
        <v>4621</v>
      </c>
      <c r="BP21" s="321">
        <v>1574</v>
      </c>
      <c r="BQ21" s="314">
        <v>6</v>
      </c>
      <c r="BR21" s="314">
        <v>27</v>
      </c>
      <c r="BS21" s="314" t="s">
        <v>20510</v>
      </c>
      <c r="BT21" s="339">
        <v>1702</v>
      </c>
      <c r="BU21" s="343">
        <v>71</v>
      </c>
      <c r="BV21" s="343">
        <v>4</v>
      </c>
      <c r="BW21" s="343">
        <v>3.9</v>
      </c>
      <c r="BX21" s="325" t="s">
        <v>20511</v>
      </c>
    </row>
    <row r="22" spans="1:76" ht="15.75" customHeight="1">
      <c r="A22" s="353" t="s">
        <v>4803</v>
      </c>
      <c r="B22" s="350" t="s">
        <v>2714</v>
      </c>
      <c r="C22" s="155">
        <v>163</v>
      </c>
      <c r="D22" s="312">
        <v>163</v>
      </c>
      <c r="E22" s="40" t="s">
        <v>3898</v>
      </c>
      <c r="F22" s="314">
        <v>17</v>
      </c>
      <c r="G22" s="315">
        <f>COUNTIF('Mechanical Engineering Faculty'!I1347:I1410, "TT") + COUNTIF('Mechanical Engineering Faculty'!I1347:I1410, "NTT")</f>
        <v>62</v>
      </c>
      <c r="H22" s="315">
        <f>COUNTIF('Mechanical Engineering Faculty'!I1347:I1410, "TT")</f>
        <v>60</v>
      </c>
      <c r="I22" s="315">
        <f>COUNTIF('Mechanical Engineering Faculty'!I1347:I1410, "NTT")</f>
        <v>2</v>
      </c>
      <c r="J22" s="315">
        <f>COUNTIF('Mechanical Engineering Faculty'!J1347:J1410, "TT") + COUNTIF('Mechanical Engineering Faculty'!J1347:J1410, "NTT")</f>
        <v>61</v>
      </c>
      <c r="K22" s="315">
        <f>COUNTIF('Mechanical Engineering Faculty'!J1347:J1410, "TT")</f>
        <v>58</v>
      </c>
      <c r="L22" s="315">
        <f>COUNTIF('Mechanical Engineering Faculty'!J1347:J1410, "NTT")</f>
        <v>3</v>
      </c>
      <c r="M22" s="316">
        <f>COUNTIFS('Mechanical Engineering Faculty'!$F$1347:$F$1410,M$1)</f>
        <v>23</v>
      </c>
      <c r="N22" s="316">
        <f>COUNTIFS('Mechanical Engineering Faculty'!$F$1347:$F$1410,N$1)</f>
        <v>26</v>
      </c>
      <c r="O22" s="316">
        <f>COUNTIFS('Mechanical Engineering Faculty'!$F$1347:$F$1410,O$1)</f>
        <v>11</v>
      </c>
      <c r="P22" s="315">
        <f xml:space="preserve"> COUNTIF('Mechanical Engineering Faculty'!G1347:G1410,#REF!)</f>
        <v>0</v>
      </c>
      <c r="Q22" s="315">
        <f xml:space="preserve"> COUNTIF('Mechanical Engineering Faculty'!G1347:G1410,#REF!)</f>
        <v>0</v>
      </c>
      <c r="R22" s="315">
        <f xml:space="preserve"> COUNTIF('Mechanical Engineering Faculty'!G1347:G1410,#REF!)</f>
        <v>0</v>
      </c>
      <c r="S22" s="315">
        <f xml:space="preserve"> COUNTIF('Mechanical Engineering Faculty'!G1347:G1410,#REF!)</f>
        <v>0</v>
      </c>
      <c r="T22" s="316">
        <f t="shared" si="0"/>
        <v>-23</v>
      </c>
      <c r="U22" s="316">
        <f t="shared" si="1"/>
        <v>-26</v>
      </c>
      <c r="V22" s="316">
        <f t="shared" si="2"/>
        <v>-11</v>
      </c>
      <c r="W22" s="315">
        <v>0</v>
      </c>
      <c r="X22" s="315">
        <v>0</v>
      </c>
      <c r="Y22" s="315">
        <v>0</v>
      </c>
      <c r="Z22" s="315">
        <v>0</v>
      </c>
      <c r="AA22" s="315">
        <v>0</v>
      </c>
      <c r="AB22" s="315">
        <v>0</v>
      </c>
      <c r="AC22" s="326">
        <f>COUNTIF('Mechanical Engineering Faculty'!H1347:H1410, "E/D") + COUNTIF('Mechanical Engineering Faculty'!H1347:H1410,#REF!)</f>
        <v>1</v>
      </c>
      <c r="AD22" s="326">
        <f>COUNTIF('Mechanical Engineering Faculty'!H1347:H1410, "E/D") + COUNTIF('Mechanical Engineering Faculty'!H1347:H1410,#REF!)</f>
        <v>1</v>
      </c>
      <c r="AE22" s="317">
        <v>0</v>
      </c>
      <c r="AF22" s="317">
        <v>0</v>
      </c>
      <c r="AG22" s="317">
        <v>0</v>
      </c>
      <c r="AH22" s="317">
        <v>0</v>
      </c>
      <c r="AI22" s="317">
        <v>0</v>
      </c>
      <c r="AJ22" s="317">
        <v>0</v>
      </c>
      <c r="AK22" s="317">
        <v>0</v>
      </c>
      <c r="AL22" s="318">
        <f t="shared" si="3"/>
        <v>0</v>
      </c>
      <c r="AM22" s="318" t="s">
        <v>55</v>
      </c>
      <c r="AN22" s="318" t="s">
        <v>55</v>
      </c>
      <c r="AO22" s="318" t="s">
        <v>55</v>
      </c>
      <c r="AP22" s="318" t="s">
        <v>55</v>
      </c>
      <c r="AQ22" s="318" t="s">
        <v>55</v>
      </c>
      <c r="AR22" s="318" t="s">
        <v>55</v>
      </c>
      <c r="AS22" s="318" t="s">
        <v>55</v>
      </c>
      <c r="AT22" s="318">
        <f t="shared" si="4"/>
        <v>0</v>
      </c>
      <c r="AU22" s="318" t="s">
        <v>55</v>
      </c>
      <c r="AV22" s="318" t="s">
        <v>55</v>
      </c>
      <c r="AW22" s="318" t="s">
        <v>55</v>
      </c>
      <c r="AX22" s="318" t="s">
        <v>55</v>
      </c>
      <c r="AY22" s="318" t="s">
        <v>55</v>
      </c>
      <c r="AZ22" s="318" t="s">
        <v>55</v>
      </c>
      <c r="BA22" s="318" t="s">
        <v>55</v>
      </c>
      <c r="BB22" s="319">
        <f t="shared" si="5"/>
        <v>0</v>
      </c>
      <c r="BC22" s="411" t="s">
        <v>55</v>
      </c>
      <c r="BD22" s="413" t="s">
        <v>55</v>
      </c>
      <c r="BE22" s="413" t="s">
        <v>55</v>
      </c>
      <c r="BF22" s="413" t="s">
        <v>55</v>
      </c>
      <c r="BG22" s="413" t="s">
        <v>55</v>
      </c>
      <c r="BH22" s="413" t="s">
        <v>55</v>
      </c>
      <c r="BI22" s="413" t="s">
        <v>55</v>
      </c>
      <c r="BJ22" s="332" t="s">
        <v>55</v>
      </c>
      <c r="BK22" s="40" t="s">
        <v>4820</v>
      </c>
      <c r="BL22" s="320">
        <v>70</v>
      </c>
      <c r="BM22" s="320">
        <v>3.8</v>
      </c>
      <c r="BN22" s="320">
        <v>4.0999999999999996</v>
      </c>
      <c r="BO22" s="40" t="s">
        <v>4852</v>
      </c>
      <c r="BP22" s="321">
        <v>2411</v>
      </c>
      <c r="BQ22" s="314">
        <v>5</v>
      </c>
      <c r="BR22" s="314">
        <v>31</v>
      </c>
      <c r="BS22" s="314" t="s">
        <v>20512</v>
      </c>
      <c r="BT22" s="339">
        <v>2489</v>
      </c>
      <c r="BU22" s="343">
        <v>68</v>
      </c>
      <c r="BV22" s="343">
        <v>3.8</v>
      </c>
      <c r="BW22" s="343">
        <v>4</v>
      </c>
      <c r="BX22" s="325" t="s">
        <v>20513</v>
      </c>
    </row>
    <row r="23" spans="1:76" ht="15.75" customHeight="1">
      <c r="A23" s="4" t="s">
        <v>5097</v>
      </c>
      <c r="B23" s="355" t="s">
        <v>2628</v>
      </c>
      <c r="C23" s="155">
        <v>167</v>
      </c>
      <c r="D23" s="155">
        <v>168</v>
      </c>
      <c r="E23" s="40" t="s">
        <v>5056</v>
      </c>
      <c r="F23" s="314">
        <v>17</v>
      </c>
      <c r="G23" s="315">
        <f>COUNTIF('Mechanical Engineering Faculty'!I1430:I1492, "TT") + COUNTIF('Mechanical Engineering Faculty'!I1430:I1492, "NTT") + COUNTIF('Mechanical Engineering Faculty'!I1430:I1492, "Other")</f>
        <v>61</v>
      </c>
      <c r="H23" s="315">
        <f>COUNTIF('Mechanical Engineering Faculty'!I1430:I1492, "TT")</f>
        <v>58</v>
      </c>
      <c r="I23" s="315">
        <f>COUNTIF('Mechanical Engineering Faculty'!I1430:I1492, "NTT")</f>
        <v>3</v>
      </c>
      <c r="J23" s="315">
        <f>COUNTIF('Mechanical Engineering Faculty'!J1430:J1492, "TT") + COUNTIF('Mechanical Engineering Faculty'!J1430:J1492, "NTT") + COUNTIF('Mechanical Engineering Faculty'!J1430:J1492, "Other")</f>
        <v>60</v>
      </c>
      <c r="K23" s="315">
        <f>COUNTIF('Mechanical Engineering Faculty'!J1430:J1492, "TT")</f>
        <v>57</v>
      </c>
      <c r="L23" s="315">
        <f>COUNTIF('Mechanical Engineering Faculty'!J1430:J1492, "NTT")</f>
        <v>3</v>
      </c>
      <c r="M23" s="316">
        <f>COUNTIFS('Mechanical Engineering Faculty'!$F$1430:$F$1492,M$1)</f>
        <v>34</v>
      </c>
      <c r="N23" s="316">
        <f>COUNTIFS('Mechanical Engineering Faculty'!$F$1430:$F$1492,N$1)</f>
        <v>5</v>
      </c>
      <c r="O23" s="316">
        <f>COUNTIFS('Mechanical Engineering Faculty'!$F$1430:$F$1492,O$1)</f>
        <v>19</v>
      </c>
      <c r="P23" s="315">
        <f xml:space="preserve"> COUNTIF('Mechanical Engineering Faculty'!G1430:G1492,#REF!)</f>
        <v>0</v>
      </c>
      <c r="Q23" s="315">
        <f xml:space="preserve"> COUNTIF('Mechanical Engineering Faculty'!G1430:G1492,#REF!)</f>
        <v>0</v>
      </c>
      <c r="R23" s="315">
        <f xml:space="preserve"> COUNTIF('Mechanical Engineering Faculty'!G1430:G1492,#REF!)</f>
        <v>0</v>
      </c>
      <c r="S23" s="315">
        <f xml:space="preserve"> COUNTIF('Mechanical Engineering Faculty'!G1430:G1492,#REF!)</f>
        <v>0</v>
      </c>
      <c r="T23" s="316">
        <f t="shared" si="0"/>
        <v>-34</v>
      </c>
      <c r="U23" s="316">
        <f t="shared" si="1"/>
        <v>-5</v>
      </c>
      <c r="V23" s="316">
        <f t="shared" si="2"/>
        <v>-19</v>
      </c>
      <c r="W23" s="315">
        <v>0</v>
      </c>
      <c r="X23" s="315">
        <v>0</v>
      </c>
      <c r="Y23" s="315">
        <v>0</v>
      </c>
      <c r="Z23" s="315">
        <v>0</v>
      </c>
      <c r="AA23" s="315">
        <v>0</v>
      </c>
      <c r="AB23" s="315">
        <v>0</v>
      </c>
      <c r="AC23" s="315">
        <v>5</v>
      </c>
      <c r="AD23" s="315">
        <v>6</v>
      </c>
      <c r="AE23" s="317">
        <v>23440577</v>
      </c>
      <c r="AF23" s="317">
        <v>0</v>
      </c>
      <c r="AG23" s="317">
        <v>0</v>
      </c>
      <c r="AH23" s="317">
        <v>7555089</v>
      </c>
      <c r="AI23" s="317">
        <v>0</v>
      </c>
      <c r="AJ23" s="317">
        <v>0</v>
      </c>
      <c r="AK23" s="317">
        <v>319174</v>
      </c>
      <c r="AL23" s="318">
        <f t="shared" si="3"/>
        <v>31314840</v>
      </c>
      <c r="AM23" s="318" t="s">
        <v>55</v>
      </c>
      <c r="AN23" s="318" t="s">
        <v>55</v>
      </c>
      <c r="AO23" s="318" t="s">
        <v>55</v>
      </c>
      <c r="AP23" s="318" t="s">
        <v>55</v>
      </c>
      <c r="AQ23" s="318" t="s">
        <v>55</v>
      </c>
      <c r="AR23" s="318" t="s">
        <v>55</v>
      </c>
      <c r="AS23" s="318" t="s">
        <v>55</v>
      </c>
      <c r="AT23" s="318">
        <f t="shared" si="4"/>
        <v>0</v>
      </c>
      <c r="AU23" s="356">
        <v>26730081</v>
      </c>
      <c r="AV23" s="356">
        <v>0</v>
      </c>
      <c r="AW23" s="356">
        <v>0</v>
      </c>
      <c r="AX23" s="356">
        <v>0</v>
      </c>
      <c r="AY23" s="356">
        <v>0</v>
      </c>
      <c r="AZ23" s="356">
        <v>11288214</v>
      </c>
      <c r="BA23" s="356">
        <v>845494</v>
      </c>
      <c r="BB23" s="319">
        <f t="shared" si="5"/>
        <v>38863789</v>
      </c>
      <c r="BC23" s="412">
        <v>28962265</v>
      </c>
      <c r="BD23" s="412">
        <v>0</v>
      </c>
      <c r="BE23" s="412">
        <v>0</v>
      </c>
      <c r="BF23" s="412">
        <v>0</v>
      </c>
      <c r="BG23" s="412">
        <v>0</v>
      </c>
      <c r="BH23" s="412">
        <v>11460244</v>
      </c>
      <c r="BI23" s="412">
        <v>1059046</v>
      </c>
      <c r="BJ23" s="314">
        <f>SUM(BC23:BI23)</f>
        <v>41481555</v>
      </c>
      <c r="BK23" s="40" t="s">
        <v>5113</v>
      </c>
      <c r="BL23" s="320">
        <v>83</v>
      </c>
      <c r="BM23" s="320">
        <v>3.8</v>
      </c>
      <c r="BN23" s="320">
        <v>4</v>
      </c>
      <c r="BO23" s="40" t="s">
        <v>801</v>
      </c>
      <c r="BP23" s="321">
        <v>3565</v>
      </c>
      <c r="BQ23" s="344"/>
      <c r="BR23" s="314">
        <v>11</v>
      </c>
      <c r="BS23" s="314" t="s">
        <v>20476</v>
      </c>
      <c r="BT23" s="339">
        <v>3247</v>
      </c>
      <c r="BU23" s="324">
        <v>84</v>
      </c>
      <c r="BV23" s="324">
        <v>3.8</v>
      </c>
      <c r="BW23" s="324">
        <v>4</v>
      </c>
      <c r="BX23" s="325" t="s">
        <v>20517</v>
      </c>
    </row>
    <row r="24" spans="1:76" ht="15.75" customHeight="1">
      <c r="A24" s="310" t="s">
        <v>4265</v>
      </c>
      <c r="B24" s="350" t="s">
        <v>4270</v>
      </c>
      <c r="C24" s="155">
        <v>160</v>
      </c>
      <c r="D24" s="312">
        <v>162</v>
      </c>
      <c r="E24" s="40" t="s">
        <v>3898</v>
      </c>
      <c r="F24" s="347">
        <v>23</v>
      </c>
      <c r="G24" s="315">
        <f>COUNTIF('Mechanical Engineering Faculty'!I1199:I1240, "TT") + COUNTIF('Mechanical Engineering Faculty'!I1199:I1240, "NTT")</f>
        <v>41</v>
      </c>
      <c r="H24" s="315">
        <f>COUNTIF('Mechanical Engineering Faculty'!I1199:I1240, "TT")</f>
        <v>41</v>
      </c>
      <c r="I24" s="315">
        <f>COUNTIF('Mechanical Engineering Faculty'!I1199:I1240, "NTT")</f>
        <v>0</v>
      </c>
      <c r="J24" s="315">
        <f>COUNTIF('Mechanical Engineering Faculty'!J1199:J1240, "TT") + COUNTIF('Mechanical Engineering Faculty'!J1199:J1240, "NTT")</f>
        <v>41</v>
      </c>
      <c r="K24" s="315">
        <f>COUNTIF('Mechanical Engineering Faculty'!J1199:J1240, "TT")</f>
        <v>41</v>
      </c>
      <c r="L24" s="315">
        <f>COUNTIF('Mechanical Engineering Faculty'!J1199:J1240, "NTT")</f>
        <v>0</v>
      </c>
      <c r="M24" s="316">
        <f>COUNTIFS('Mechanical Engineering Faculty'!$F$1199:$F$1240,M$1)</f>
        <v>25</v>
      </c>
      <c r="N24" s="316">
        <f>COUNTIFS('Mechanical Engineering Faculty'!$F$1199:$F$1240,N$1)</f>
        <v>7</v>
      </c>
      <c r="O24" s="316">
        <f>COUNTIFS('Mechanical Engineering Faculty'!$F$1199:$F$1240,O$1)</f>
        <v>9</v>
      </c>
      <c r="P24" s="315">
        <f>COUNTIF('Mechanical Engineering Faculty'!G1199:G1240, P5)</f>
        <v>0</v>
      </c>
      <c r="Q24" s="315">
        <f>COUNTIF('Mechanical Engineering Faculty'!G1199:G1240, Q5)</f>
        <v>0</v>
      </c>
      <c r="R24" s="315">
        <f>COUNTIF('Mechanical Engineering Faculty'!G1199:G1240, R5)</f>
        <v>0</v>
      </c>
      <c r="S24" s="315">
        <v>0</v>
      </c>
      <c r="T24" s="316">
        <f t="shared" si="0"/>
        <v>-25</v>
      </c>
      <c r="U24" s="316">
        <f t="shared" si="1"/>
        <v>-7</v>
      </c>
      <c r="V24" s="316">
        <f t="shared" si="2"/>
        <v>-9</v>
      </c>
      <c r="W24" s="315">
        <v>0</v>
      </c>
      <c r="X24" s="315">
        <v>0</v>
      </c>
      <c r="Y24" s="315">
        <v>0</v>
      </c>
      <c r="Z24" s="315">
        <v>0</v>
      </c>
      <c r="AA24" s="315">
        <f>COUNTIF('Mechanical Engineering Faculty'!G1199:G1240, "Associate RP")</f>
        <v>0</v>
      </c>
      <c r="AB24" s="315">
        <v>0</v>
      </c>
      <c r="AC24" s="326">
        <f>COUNTIF('Mechanical Engineering Faculty'!H1199:H1236, "E/D") + COUNTIF('Mechanical Engineering Faculty'!H1199:H1236, AC5)</f>
        <v>2</v>
      </c>
      <c r="AD24" s="326">
        <f>COUNTIF('Mechanical Engineering Faculty'!H1199:H1236, "E/D") + COUNTIF('Mechanical Engineering Faculty'!H1199:H1236, AD5)</f>
        <v>2</v>
      </c>
      <c r="AE24" s="317">
        <v>7831714</v>
      </c>
      <c r="AF24" s="317">
        <v>0</v>
      </c>
      <c r="AG24" s="317">
        <v>0</v>
      </c>
      <c r="AH24" s="317">
        <v>2351227</v>
      </c>
      <c r="AI24" s="317">
        <v>0</v>
      </c>
      <c r="AJ24" s="317">
        <v>1676670</v>
      </c>
      <c r="AK24" s="317">
        <v>2356439</v>
      </c>
      <c r="AL24" s="318">
        <f t="shared" si="3"/>
        <v>14216050</v>
      </c>
      <c r="AM24" s="318">
        <v>9641439</v>
      </c>
      <c r="AN24" s="356">
        <v>0</v>
      </c>
      <c r="AO24" s="356">
        <v>0</v>
      </c>
      <c r="AP24" s="318">
        <v>2140124</v>
      </c>
      <c r="AQ24" s="356">
        <v>0</v>
      </c>
      <c r="AR24" s="318">
        <v>1838370</v>
      </c>
      <c r="AS24" s="318">
        <v>2722713</v>
      </c>
      <c r="AT24" s="318">
        <f t="shared" si="4"/>
        <v>16342646</v>
      </c>
      <c r="AU24" s="318">
        <v>11038117</v>
      </c>
      <c r="AV24" s="356">
        <v>0</v>
      </c>
      <c r="AW24" s="356">
        <v>0</v>
      </c>
      <c r="AX24" s="318">
        <v>2414511</v>
      </c>
      <c r="AY24" s="327">
        <v>0</v>
      </c>
      <c r="AZ24" s="318">
        <v>1348575</v>
      </c>
      <c r="BA24" s="318">
        <v>3088318</v>
      </c>
      <c r="BB24" s="319">
        <f t="shared" si="5"/>
        <v>17889521</v>
      </c>
      <c r="BC24" s="328">
        <v>11881128</v>
      </c>
      <c r="BD24" s="329">
        <v>0</v>
      </c>
      <c r="BE24" s="329">
        <v>0</v>
      </c>
      <c r="BF24" s="329">
        <v>1913301</v>
      </c>
      <c r="BG24" s="329">
        <v>0</v>
      </c>
      <c r="BH24" s="329">
        <v>1975266</v>
      </c>
      <c r="BI24" s="329">
        <v>3016630</v>
      </c>
      <c r="BJ24" s="314">
        <f>SUM(BC24:BI24)</f>
        <v>18786325</v>
      </c>
      <c r="BK24" s="40" t="s">
        <v>4283</v>
      </c>
      <c r="BL24" s="320">
        <v>67</v>
      </c>
      <c r="BM24" s="320">
        <v>3.6</v>
      </c>
      <c r="BN24" s="320">
        <v>3.7</v>
      </c>
      <c r="BO24" s="40" t="s">
        <v>4316</v>
      </c>
      <c r="BP24" s="321">
        <v>1619</v>
      </c>
      <c r="BQ24" s="314">
        <v>29</v>
      </c>
      <c r="BR24" s="314">
        <v>36</v>
      </c>
      <c r="BS24" s="314" t="s">
        <v>20506</v>
      </c>
      <c r="BT24" s="339">
        <v>1613</v>
      </c>
      <c r="BU24" s="343">
        <v>67</v>
      </c>
      <c r="BV24" s="343">
        <v>3.7</v>
      </c>
      <c r="BW24" s="343">
        <v>3.7</v>
      </c>
      <c r="BX24" s="325" t="s">
        <v>20507</v>
      </c>
    </row>
    <row r="25" spans="1:76" ht="15.75" customHeight="1">
      <c r="A25" s="4" t="s">
        <v>5044</v>
      </c>
      <c r="B25" s="311" t="s">
        <v>5049</v>
      </c>
      <c r="C25" s="155" t="s">
        <v>55</v>
      </c>
      <c r="D25" s="312" t="s">
        <v>20474</v>
      </c>
      <c r="E25" s="40" t="s">
        <v>5056</v>
      </c>
      <c r="F25" s="314">
        <v>23</v>
      </c>
      <c r="G25" s="315">
        <f>COUNTIF('Mechanical Engineering Faculty'!I1412:I1428, "TT") + COUNTIF('Mechanical Engineering Faculty'!I1412:I1428, "NTT") + COUNTIF('Mechanical Engineering Faculty'!I1412:I1428, "Other")</f>
        <v>17</v>
      </c>
      <c r="H25" s="315">
        <f>COUNTIF('Mechanical Engineering Faculty'!I1412:I1428, "TT")</f>
        <v>17</v>
      </c>
      <c r="I25" s="315">
        <f>COUNTIF('Mechanical Engineering Faculty'!I1412:I1428, "NTT")</f>
        <v>0</v>
      </c>
      <c r="J25" s="315">
        <f>COUNTIF('Mechanical Engineering Faculty'!J1412:J1428, "TT") + COUNTIF('Mechanical Engineering Faculty'!J1412:J1428, "NTT") + COUNTIF('Mechanical Engineering Faculty'!J1412:J1428, "Other")</f>
        <v>17</v>
      </c>
      <c r="K25" s="315">
        <f>COUNTIF('Mechanical Engineering Faculty'!J1412:J1428, "TT")</f>
        <v>17</v>
      </c>
      <c r="L25" s="315">
        <f>COUNTIF('Mechanical Engineering Faculty'!J1412:J1428, "NTT")</f>
        <v>0</v>
      </c>
      <c r="M25" s="316">
        <f>COUNTIFS('Mechanical Engineering Faculty'!$F$1412:$F$1428,M$1)</f>
        <v>16</v>
      </c>
      <c r="N25" s="316">
        <f>COUNTIFS('Mechanical Engineering Faculty'!$F$1412:$F$1428,N$1)</f>
        <v>1</v>
      </c>
      <c r="O25" s="316">
        <f>COUNTIFS('Mechanical Engineering Faculty'!$F$1412:$F$1428,O$1)</f>
        <v>0</v>
      </c>
      <c r="P25" s="315">
        <f>COUNTIF('Mechanical Engineering Faculty'!G1412:G1428, P2)</f>
        <v>0</v>
      </c>
      <c r="Q25" s="315">
        <f>COUNTIF('Mechanical Engineering Faculty'!G1412:G1428, Q2)</f>
        <v>0</v>
      </c>
      <c r="R25" s="315">
        <v>0</v>
      </c>
      <c r="S25" s="315">
        <v>0</v>
      </c>
      <c r="T25" s="316">
        <f t="shared" si="0"/>
        <v>-16</v>
      </c>
      <c r="U25" s="316">
        <f t="shared" si="1"/>
        <v>-1</v>
      </c>
      <c r="V25" s="316">
        <f t="shared" si="2"/>
        <v>0</v>
      </c>
      <c r="W25" s="315">
        <v>0</v>
      </c>
      <c r="X25" s="315">
        <v>0</v>
      </c>
      <c r="Y25" s="315">
        <v>0</v>
      </c>
      <c r="Z25" s="315">
        <v>0</v>
      </c>
      <c r="AA25" s="315">
        <v>0</v>
      </c>
      <c r="AB25" s="315">
        <v>0</v>
      </c>
      <c r="AC25" s="315">
        <v>0</v>
      </c>
      <c r="AD25" s="315">
        <v>0</v>
      </c>
      <c r="AE25" s="317">
        <v>8475306</v>
      </c>
      <c r="AF25" s="317">
        <v>80273</v>
      </c>
      <c r="AG25" s="317">
        <v>853807</v>
      </c>
      <c r="AH25" s="317">
        <v>2713504</v>
      </c>
      <c r="AI25" s="317">
        <v>0</v>
      </c>
      <c r="AJ25" s="317">
        <v>390280</v>
      </c>
      <c r="AK25" s="317">
        <v>0</v>
      </c>
      <c r="AL25" s="318">
        <f t="shared" si="3"/>
        <v>12513170</v>
      </c>
      <c r="AM25" s="318" t="s">
        <v>55</v>
      </c>
      <c r="AN25" s="318" t="s">
        <v>55</v>
      </c>
      <c r="AO25" s="318" t="s">
        <v>55</v>
      </c>
      <c r="AP25" s="318" t="s">
        <v>55</v>
      </c>
      <c r="AQ25" s="318" t="s">
        <v>55</v>
      </c>
      <c r="AR25" s="318" t="s">
        <v>55</v>
      </c>
      <c r="AS25" s="318" t="s">
        <v>55</v>
      </c>
      <c r="AT25" s="318">
        <f t="shared" si="4"/>
        <v>0</v>
      </c>
      <c r="AU25" s="318">
        <v>10926537</v>
      </c>
      <c r="AV25" s="405">
        <v>287760</v>
      </c>
      <c r="AW25" s="405">
        <v>151213</v>
      </c>
      <c r="AX25" s="405">
        <v>1949743</v>
      </c>
      <c r="AY25" s="327">
        <v>0</v>
      </c>
      <c r="AZ25" s="405">
        <v>1993197</v>
      </c>
      <c r="BA25" s="405">
        <v>309147</v>
      </c>
      <c r="BB25" s="319">
        <f t="shared" si="5"/>
        <v>15617597</v>
      </c>
      <c r="BC25" s="328">
        <v>9761023</v>
      </c>
      <c r="BD25" s="329">
        <v>184362</v>
      </c>
      <c r="BE25" s="329">
        <v>149695</v>
      </c>
      <c r="BF25" s="329">
        <v>1985626</v>
      </c>
      <c r="BG25" s="329">
        <v>0</v>
      </c>
      <c r="BH25" s="329">
        <v>2426139</v>
      </c>
      <c r="BI25" s="329">
        <v>445925</v>
      </c>
      <c r="BJ25" s="314">
        <f>SUM(BC25:BI25)</f>
        <v>14952770</v>
      </c>
      <c r="BK25" s="40" t="s">
        <v>2638</v>
      </c>
      <c r="BL25" s="320">
        <v>74</v>
      </c>
      <c r="BM25" s="320">
        <v>3.6</v>
      </c>
      <c r="BN25" s="320">
        <v>4.0999999999999996</v>
      </c>
      <c r="BO25" s="40" t="s">
        <v>5083</v>
      </c>
      <c r="BP25" s="321">
        <v>782</v>
      </c>
      <c r="BQ25" s="344"/>
      <c r="BR25" s="314">
        <v>20</v>
      </c>
      <c r="BS25" s="314" t="s">
        <v>20514</v>
      </c>
      <c r="BT25" s="354" t="s">
        <v>20515</v>
      </c>
      <c r="BU25" s="324">
        <v>76</v>
      </c>
      <c r="BV25" s="304">
        <v>3.6</v>
      </c>
      <c r="BW25" s="324">
        <v>4</v>
      </c>
      <c r="BX25" s="325" t="s">
        <v>20516</v>
      </c>
    </row>
    <row r="26" spans="1:76" ht="15.75" customHeight="1">
      <c r="A26" s="357" t="s">
        <v>5329</v>
      </c>
      <c r="B26" s="355" t="s">
        <v>5334</v>
      </c>
      <c r="C26" s="155">
        <v>167</v>
      </c>
      <c r="D26" s="312">
        <v>167</v>
      </c>
      <c r="E26" s="313" t="s">
        <v>5343</v>
      </c>
      <c r="F26" s="314">
        <v>23</v>
      </c>
      <c r="G26" s="316">
        <f>COUNTA(ME_1_D)</f>
        <v>50</v>
      </c>
      <c r="H26" s="316">
        <f>COUNTIF(ME_1_G,"TT")</f>
        <v>46</v>
      </c>
      <c r="I26" s="316">
        <f t="shared" ref="I26:I57" si="8">G26-H26</f>
        <v>4</v>
      </c>
      <c r="J26" s="316">
        <f>COUNTA(ME_1_D)</f>
        <v>50</v>
      </c>
      <c r="K26" s="316">
        <f>COUNTIF(ME_1_G,"TT")</f>
        <v>46</v>
      </c>
      <c r="L26" s="316">
        <f t="shared" ref="L26:L57" si="9">J26-K26</f>
        <v>4</v>
      </c>
      <c r="M26" s="316">
        <f>COUNTIFS( 'Mechanical Engineering Faculty'!$F$1494:$F$1543,M$1)</f>
        <v>33</v>
      </c>
      <c r="N26" s="316">
        <f>COUNTIFS( 'Mechanical Engineering Faculty'!$F$1494:$F$1543,N$1)</f>
        <v>9</v>
      </c>
      <c r="O26" s="316">
        <f>COUNTIFS( 'Mechanical Engineering Faculty'!$F$1494:$F$1543,O$1)</f>
        <v>7</v>
      </c>
      <c r="P26" s="316">
        <f>COUNTIFS(ME_1_D,P$1)</f>
        <v>31</v>
      </c>
      <c r="Q26" s="316">
        <f>COUNTIFS(ME_1_G,"TT", ME_1_D,Q$1)</f>
        <v>9</v>
      </c>
      <c r="R26" s="316">
        <f>COUNTIFS(ME_1_G,"TT", ME_1_D,R$1)</f>
        <v>6</v>
      </c>
      <c r="S26" s="316">
        <f>COUNTIF( ME_1_D,S$1)</f>
        <v>0</v>
      </c>
      <c r="T26" s="316">
        <f t="shared" si="0"/>
        <v>-2</v>
      </c>
      <c r="U26" s="316">
        <f t="shared" si="1"/>
        <v>0</v>
      </c>
      <c r="V26" s="316">
        <f t="shared" si="2"/>
        <v>-1</v>
      </c>
      <c r="W26" s="316">
        <f t="shared" ref="W26:AB26" si="10">COUNTIF( ME_1_D,W$1)</f>
        <v>0</v>
      </c>
      <c r="X26" s="316">
        <f t="shared" si="10"/>
        <v>0</v>
      </c>
      <c r="Y26" s="316">
        <f t="shared" si="10"/>
        <v>0</v>
      </c>
      <c r="Z26" s="316">
        <f t="shared" si="10"/>
        <v>0</v>
      </c>
      <c r="AA26" s="316">
        <f t="shared" si="10"/>
        <v>0</v>
      </c>
      <c r="AB26" s="316">
        <f t="shared" si="10"/>
        <v>0</v>
      </c>
      <c r="AC26" s="315">
        <f>COUNTIF(ME_1_E,AC$1)+COUNTIF(ME_1_E,"E/D")</f>
        <v>16</v>
      </c>
      <c r="AD26" s="315">
        <f>COUNTIF(ME_1_E,AD$1)+COUNTIF(ME_1_E,"E/D")</f>
        <v>7</v>
      </c>
      <c r="AE26" s="358">
        <v>10937386</v>
      </c>
      <c r="AF26" s="327">
        <v>0</v>
      </c>
      <c r="AG26" s="327">
        <v>0</v>
      </c>
      <c r="AH26" s="327">
        <v>0</v>
      </c>
      <c r="AI26" s="327">
        <v>0</v>
      </c>
      <c r="AJ26" s="327">
        <v>0</v>
      </c>
      <c r="AK26" s="327">
        <v>0</v>
      </c>
      <c r="AL26" s="318">
        <f t="shared" si="3"/>
        <v>10937386</v>
      </c>
      <c r="AM26" s="356">
        <v>11142285</v>
      </c>
      <c r="AN26" s="327">
        <v>0</v>
      </c>
      <c r="AO26" s="327">
        <v>0</v>
      </c>
      <c r="AP26" s="327">
        <v>0</v>
      </c>
      <c r="AQ26" s="327">
        <v>0</v>
      </c>
      <c r="AR26" s="327">
        <v>0</v>
      </c>
      <c r="AS26" s="327">
        <v>0</v>
      </c>
      <c r="AT26" s="318">
        <f t="shared" si="4"/>
        <v>11142285</v>
      </c>
      <c r="AU26" s="356">
        <v>11188000</v>
      </c>
      <c r="AV26" s="327">
        <v>0</v>
      </c>
      <c r="AW26" s="327">
        <v>0</v>
      </c>
      <c r="AX26" s="327">
        <v>0</v>
      </c>
      <c r="AY26" s="327">
        <v>0</v>
      </c>
      <c r="AZ26" s="327">
        <v>0</v>
      </c>
      <c r="BA26" s="327">
        <v>0</v>
      </c>
      <c r="BB26" s="319">
        <f t="shared" si="5"/>
        <v>11188000</v>
      </c>
      <c r="BC26" s="328">
        <v>12747000</v>
      </c>
      <c r="BD26" s="329">
        <v>0</v>
      </c>
      <c r="BE26" s="329">
        <v>0</v>
      </c>
      <c r="BF26" s="329">
        <v>0</v>
      </c>
      <c r="BG26" s="329">
        <v>0</v>
      </c>
      <c r="BH26" s="329">
        <v>0</v>
      </c>
      <c r="BI26" s="329">
        <v>0</v>
      </c>
      <c r="BJ26" s="314">
        <f>SUM(BC26:BI26)</f>
        <v>12747000</v>
      </c>
      <c r="BK26" s="40" t="s">
        <v>5348</v>
      </c>
      <c r="BL26" s="320">
        <v>75</v>
      </c>
      <c r="BM26" s="320">
        <v>3.7</v>
      </c>
      <c r="BN26" s="320">
        <v>4</v>
      </c>
      <c r="BO26" s="40" t="s">
        <v>5377</v>
      </c>
      <c r="BP26" s="321">
        <v>2018</v>
      </c>
      <c r="BQ26" s="344"/>
      <c r="BR26" s="314">
        <v>23</v>
      </c>
      <c r="BS26" s="314" t="s">
        <v>20518</v>
      </c>
      <c r="BT26" s="339">
        <v>1937</v>
      </c>
      <c r="BU26" s="359">
        <v>74</v>
      </c>
      <c r="BV26" s="343">
        <v>3.8</v>
      </c>
      <c r="BW26" s="343">
        <v>3.9</v>
      </c>
      <c r="BX26" s="360" t="s">
        <v>20519</v>
      </c>
    </row>
    <row r="27" spans="1:76" ht="15.75" customHeight="1">
      <c r="A27" s="4" t="s">
        <v>5516</v>
      </c>
      <c r="B27" s="355" t="s">
        <v>2628</v>
      </c>
      <c r="C27" s="155">
        <v>163</v>
      </c>
      <c r="D27" s="312">
        <v>162</v>
      </c>
      <c r="E27" s="40" t="s">
        <v>5343</v>
      </c>
      <c r="F27" s="314">
        <v>23</v>
      </c>
      <c r="G27" s="316">
        <f>COUNTA(ME_2_D)</f>
        <v>67</v>
      </c>
      <c r="H27" s="316">
        <f>COUNTIF(ME_2_G,"TT")</f>
        <v>56</v>
      </c>
      <c r="I27" s="316">
        <f t="shared" si="8"/>
        <v>11</v>
      </c>
      <c r="J27" s="316">
        <f>COUNTA(ME_2_D)</f>
        <v>67</v>
      </c>
      <c r="K27" s="316">
        <f>COUNTIF(ME_2_G,"TT")</f>
        <v>56</v>
      </c>
      <c r="L27" s="316">
        <f t="shared" si="9"/>
        <v>11</v>
      </c>
      <c r="M27" s="316">
        <f>COUNTIFS( 'Mechanical Engineering Faculty'!$F$1545:$F$1611,M$1)</f>
        <v>27</v>
      </c>
      <c r="N27" s="316">
        <f>COUNTIFS( 'Mechanical Engineering Faculty'!$F$1545:$F$1611,N$1)</f>
        <v>14</v>
      </c>
      <c r="O27" s="316">
        <f>COUNTIFS( 'Mechanical Engineering Faculty'!$F$1545:$F$1611,O$1)</f>
        <v>13</v>
      </c>
      <c r="P27" s="316">
        <f>COUNTIFS( ME_2_D,P$1)</f>
        <v>31</v>
      </c>
      <c r="Q27" s="316">
        <f>COUNTIFS(ME_2_D,Q$1)</f>
        <v>14</v>
      </c>
      <c r="R27" s="316">
        <f>COUNTIFS( ME_2_D,R$1)</f>
        <v>12</v>
      </c>
      <c r="S27" s="316">
        <f>COUNTIF( ME_2_D,S$1)</f>
        <v>1</v>
      </c>
      <c r="T27" s="316">
        <f t="shared" si="0"/>
        <v>4</v>
      </c>
      <c r="U27" s="316">
        <f t="shared" si="1"/>
        <v>0</v>
      </c>
      <c r="V27" s="316">
        <f t="shared" si="2"/>
        <v>-1</v>
      </c>
      <c r="W27" s="316">
        <f t="shared" ref="W27:AB27" si="11">COUNTIF( ME_2_D,W$1)</f>
        <v>0</v>
      </c>
      <c r="X27" s="316">
        <f t="shared" si="11"/>
        <v>0</v>
      </c>
      <c r="Y27" s="316">
        <f t="shared" si="11"/>
        <v>0</v>
      </c>
      <c r="Z27" s="316">
        <f t="shared" si="11"/>
        <v>1</v>
      </c>
      <c r="AA27" s="316">
        <f t="shared" si="11"/>
        <v>1</v>
      </c>
      <c r="AB27" s="316">
        <f t="shared" si="11"/>
        <v>6</v>
      </c>
      <c r="AC27" s="315">
        <f>COUNTIF(ME_2_E,AC$1)+COUNTIF(ME_2_E,"E/D")</f>
        <v>1</v>
      </c>
      <c r="AD27" s="315">
        <f>COUNTIF(ME_2_E,AD$1)+COUNTIF(ME_2_E,"E/D")</f>
        <v>3</v>
      </c>
      <c r="AE27" s="361" t="s">
        <v>55</v>
      </c>
      <c r="AF27" s="361" t="s">
        <v>55</v>
      </c>
      <c r="AG27" s="361" t="s">
        <v>55</v>
      </c>
      <c r="AH27" s="361" t="s">
        <v>55</v>
      </c>
      <c r="AI27" s="361" t="s">
        <v>55</v>
      </c>
      <c r="AJ27" s="361" t="s">
        <v>55</v>
      </c>
      <c r="AK27" s="318" t="s">
        <v>55</v>
      </c>
      <c r="AL27" s="318">
        <f t="shared" si="3"/>
        <v>0</v>
      </c>
      <c r="AM27" s="356">
        <v>32610000</v>
      </c>
      <c r="AN27" s="327">
        <v>5000</v>
      </c>
      <c r="AO27" s="327">
        <v>0</v>
      </c>
      <c r="AP27" s="327">
        <v>25893000</v>
      </c>
      <c r="AQ27" s="327">
        <v>0</v>
      </c>
      <c r="AR27" s="327">
        <v>1392000</v>
      </c>
      <c r="AS27" s="327">
        <v>442000</v>
      </c>
      <c r="AT27" s="318">
        <f t="shared" si="4"/>
        <v>60342000</v>
      </c>
      <c r="AU27" s="356">
        <v>16858000</v>
      </c>
      <c r="AV27" s="327">
        <v>0</v>
      </c>
      <c r="AW27" s="327">
        <v>0</v>
      </c>
      <c r="AX27" s="327">
        <v>35254000</v>
      </c>
      <c r="AY27" s="327">
        <v>0</v>
      </c>
      <c r="AZ27" s="327">
        <v>602000</v>
      </c>
      <c r="BA27" s="327">
        <v>0</v>
      </c>
      <c r="BB27" s="319">
        <f t="shared" si="5"/>
        <v>52714000</v>
      </c>
      <c r="BC27" s="328">
        <v>36280202</v>
      </c>
      <c r="BD27" s="329">
        <v>0</v>
      </c>
      <c r="BE27" s="329">
        <v>250195</v>
      </c>
      <c r="BF27" s="329">
        <v>50324885</v>
      </c>
      <c r="BG27" s="329">
        <v>0</v>
      </c>
      <c r="BH27" s="329">
        <v>1894234</v>
      </c>
      <c r="BI27" s="329">
        <v>268536</v>
      </c>
      <c r="BJ27" s="314">
        <f>SUM(BC27:BI27)</f>
        <v>89018052</v>
      </c>
      <c r="BK27" s="40" t="s">
        <v>4588</v>
      </c>
      <c r="BL27" s="320">
        <v>71</v>
      </c>
      <c r="BM27" s="320">
        <v>3.7</v>
      </c>
      <c r="BN27" s="320">
        <v>3.8</v>
      </c>
      <c r="BO27" s="40" t="s">
        <v>5563</v>
      </c>
      <c r="BP27" s="321">
        <v>1473</v>
      </c>
      <c r="BQ27" s="314">
        <v>17</v>
      </c>
      <c r="BR27" s="314">
        <v>27</v>
      </c>
      <c r="BS27" s="314" t="s">
        <v>20520</v>
      </c>
      <c r="BT27" s="339">
        <v>1548</v>
      </c>
      <c r="BU27" s="343">
        <v>71</v>
      </c>
      <c r="BV27" s="343">
        <v>3.7</v>
      </c>
      <c r="BW27" s="343">
        <v>3.8</v>
      </c>
      <c r="BX27" s="325" t="s">
        <v>20521</v>
      </c>
    </row>
    <row r="28" spans="1:76" ht="15.75" customHeight="1">
      <c r="A28" s="362" t="s">
        <v>5772</v>
      </c>
      <c r="B28" s="355" t="s">
        <v>2714</v>
      </c>
      <c r="C28" s="155">
        <v>168</v>
      </c>
      <c r="D28" s="312">
        <v>166</v>
      </c>
      <c r="E28" s="40" t="s">
        <v>5343</v>
      </c>
      <c r="F28" s="314">
        <v>27</v>
      </c>
      <c r="G28" s="316">
        <f>COUNTA(ME_3_D)</f>
        <v>19</v>
      </c>
      <c r="H28" s="316">
        <f>COUNTIF(ME_3_G,"TT")</f>
        <v>15</v>
      </c>
      <c r="I28" s="316">
        <f t="shared" si="8"/>
        <v>4</v>
      </c>
      <c r="J28" s="316">
        <f>COUNTA(ME_3_D)</f>
        <v>19</v>
      </c>
      <c r="K28" s="316">
        <f>COUNTIF(ME_3_G,"TT")</f>
        <v>15</v>
      </c>
      <c r="L28" s="316">
        <f t="shared" si="9"/>
        <v>4</v>
      </c>
      <c r="M28" s="316">
        <f>COUNTIFS('Mechanical Engineering Faculty'!$F$1616:$F$1655,M$1)</f>
        <v>20</v>
      </c>
      <c r="N28" s="316">
        <f>COUNTIFS('Mechanical Engineering Faculty'!$F$1616:$F$1655,N$1)</f>
        <v>8</v>
      </c>
      <c r="O28" s="316">
        <f>COUNTIFS('Mechanical Engineering Faculty'!$F$1616:$F$1655,O$1)</f>
        <v>5</v>
      </c>
      <c r="P28" s="316">
        <f>COUNTIFS(ME_3_G,"TT", ME_3_D,P$1)</f>
        <v>9</v>
      </c>
      <c r="Q28" s="316">
        <f>COUNTIFS(ME_3_G,"TT", ME_3_D,Q$1)</f>
        <v>2</v>
      </c>
      <c r="R28" s="316">
        <f>COUNTIFS(ME_3_G,"TT", ME_3_D,R$1)</f>
        <v>4</v>
      </c>
      <c r="S28" s="316">
        <f>COUNTIF( ME_3_D,S$1)</f>
        <v>2</v>
      </c>
      <c r="T28" s="316">
        <f t="shared" si="0"/>
        <v>-11</v>
      </c>
      <c r="U28" s="316">
        <f t="shared" si="1"/>
        <v>-6</v>
      </c>
      <c r="V28" s="316">
        <f t="shared" si="2"/>
        <v>-1</v>
      </c>
      <c r="W28" s="316">
        <f t="shared" ref="W28:AB28" si="12">COUNTIF( ME_3_D,W$1)</f>
        <v>0</v>
      </c>
      <c r="X28" s="316">
        <f t="shared" si="12"/>
        <v>0</v>
      </c>
      <c r="Y28" s="316">
        <f t="shared" si="12"/>
        <v>0</v>
      </c>
      <c r="Z28" s="316">
        <f t="shared" si="12"/>
        <v>0</v>
      </c>
      <c r="AA28" s="316">
        <f t="shared" si="12"/>
        <v>0</v>
      </c>
      <c r="AB28" s="316">
        <f t="shared" si="12"/>
        <v>0</v>
      </c>
      <c r="AC28" s="315">
        <f>COUNTIF(ME_3_E,AC$1)+COUNTIF(ME_3_E,"E/D")</f>
        <v>0</v>
      </c>
      <c r="AD28" s="315">
        <f>COUNTIF(ME_3_E,AD$1)+COUNTIF(ME_3_E,"E/D")</f>
        <v>7</v>
      </c>
      <c r="AE28" s="358">
        <v>1367713</v>
      </c>
      <c r="AF28" s="363">
        <v>4854</v>
      </c>
      <c r="AG28" s="363">
        <v>0</v>
      </c>
      <c r="AH28" s="363">
        <v>139852</v>
      </c>
      <c r="AI28" s="363">
        <v>0</v>
      </c>
      <c r="AJ28" s="363">
        <v>115843</v>
      </c>
      <c r="AK28" s="327">
        <v>667966</v>
      </c>
      <c r="AL28" s="318">
        <f t="shared" si="3"/>
        <v>2296228</v>
      </c>
      <c r="AM28" s="356">
        <v>2235946</v>
      </c>
      <c r="AN28" s="327">
        <v>0</v>
      </c>
      <c r="AO28" s="327">
        <v>0</v>
      </c>
      <c r="AP28" s="327">
        <v>113243</v>
      </c>
      <c r="AQ28" s="327"/>
      <c r="AR28" s="327">
        <v>290051</v>
      </c>
      <c r="AS28" s="327">
        <v>771151</v>
      </c>
      <c r="AT28" s="318">
        <f t="shared" si="4"/>
        <v>3410391</v>
      </c>
      <c r="AU28" s="356">
        <v>2464553</v>
      </c>
      <c r="AV28" s="327">
        <v>0</v>
      </c>
      <c r="AW28" s="327">
        <v>0</v>
      </c>
      <c r="AX28" s="327">
        <v>61485</v>
      </c>
      <c r="AY28" s="327">
        <v>0</v>
      </c>
      <c r="AZ28" s="327">
        <v>414361</v>
      </c>
      <c r="BA28" s="327">
        <v>629374</v>
      </c>
      <c r="BB28" s="319">
        <f t="shared" si="5"/>
        <v>3569773</v>
      </c>
      <c r="BC28" s="332" t="s">
        <v>55</v>
      </c>
      <c r="BD28" s="332" t="s">
        <v>55</v>
      </c>
      <c r="BE28" s="332" t="s">
        <v>55</v>
      </c>
      <c r="BF28" s="332" t="s">
        <v>55</v>
      </c>
      <c r="BG28" s="332" t="s">
        <v>55</v>
      </c>
      <c r="BH28" s="332" t="s">
        <v>55</v>
      </c>
      <c r="BI28" s="332" t="s">
        <v>55</v>
      </c>
      <c r="BJ28" s="332" t="s">
        <v>55</v>
      </c>
      <c r="BK28" s="40" t="s">
        <v>4820</v>
      </c>
      <c r="BL28" s="320">
        <v>70</v>
      </c>
      <c r="BM28" s="320">
        <v>3.7</v>
      </c>
      <c r="BN28" s="320">
        <v>3.9</v>
      </c>
      <c r="BO28" s="40" t="s">
        <v>5819</v>
      </c>
      <c r="BP28" s="321">
        <v>1273</v>
      </c>
      <c r="BQ28" s="344"/>
      <c r="BR28" s="314">
        <v>26</v>
      </c>
      <c r="BS28" s="314" t="s">
        <v>20522</v>
      </c>
      <c r="BT28" s="339">
        <v>1226</v>
      </c>
      <c r="BU28" s="343">
        <v>72</v>
      </c>
      <c r="BV28" s="343">
        <v>3.7</v>
      </c>
      <c r="BW28" s="343">
        <v>3.9</v>
      </c>
      <c r="BX28" s="325" t="s">
        <v>20523</v>
      </c>
    </row>
    <row r="29" spans="1:76" ht="15.75" customHeight="1">
      <c r="A29" s="4" t="s">
        <v>6647</v>
      </c>
      <c r="B29" s="355" t="s">
        <v>2714</v>
      </c>
      <c r="C29" s="155">
        <v>167</v>
      </c>
      <c r="D29" s="312">
        <v>167</v>
      </c>
      <c r="E29" s="313" t="s">
        <v>6662</v>
      </c>
      <c r="F29" s="314">
        <v>27</v>
      </c>
      <c r="G29" s="316">
        <f>COUNTA(ME_9_D)</f>
        <v>71</v>
      </c>
      <c r="H29" s="316">
        <f>COUNTIF(ME_9_G,"TT")</f>
        <v>58</v>
      </c>
      <c r="I29" s="316">
        <f t="shared" si="8"/>
        <v>13</v>
      </c>
      <c r="J29" s="316">
        <f>COUNTA(ME_9_D)</f>
        <v>71</v>
      </c>
      <c r="K29" s="316">
        <f>COUNTIF(ME_9_G,"TT")</f>
        <v>58</v>
      </c>
      <c r="L29" s="316">
        <f t="shared" si="9"/>
        <v>13</v>
      </c>
      <c r="M29" s="316">
        <f>COUNTIFS('Mechanical Engineering Faculty'!$F$1865:$F$1935,M$1)</f>
        <v>40</v>
      </c>
      <c r="N29" s="316">
        <f>COUNTIFS('Mechanical Engineering Faculty'!$F$1865:$F$1935,N$1)</f>
        <v>13</v>
      </c>
      <c r="O29" s="316">
        <f>COUNTIFS('Mechanical Engineering Faculty'!$F$1865:$F$1935,O$1)</f>
        <v>7</v>
      </c>
      <c r="P29" s="316">
        <f>COUNTIFS(ME_9_G,"TT", ME_9_D,P$1)</f>
        <v>38</v>
      </c>
      <c r="Q29" s="316">
        <f>COUNTIFS(ME_9_G,"TT", ME_9_D,Q$1)</f>
        <v>13</v>
      </c>
      <c r="R29" s="316">
        <f>COUNTIFS(ME_9_G,"TT", ME_9_D,R$1)</f>
        <v>6</v>
      </c>
      <c r="S29" s="316">
        <f>COUNTIF(ME_9_D,S$1)</f>
        <v>5</v>
      </c>
      <c r="T29" s="316">
        <f t="shared" si="0"/>
        <v>-2</v>
      </c>
      <c r="U29" s="316">
        <f t="shared" si="1"/>
        <v>0</v>
      </c>
      <c r="V29" s="316">
        <f t="shared" si="2"/>
        <v>-1</v>
      </c>
      <c r="W29" s="316">
        <f t="shared" ref="W29:AB29" si="13">COUNTIF(ME_9_D,W$1)</f>
        <v>0</v>
      </c>
      <c r="X29" s="316">
        <f t="shared" si="13"/>
        <v>0</v>
      </c>
      <c r="Y29" s="316">
        <f t="shared" si="13"/>
        <v>0</v>
      </c>
      <c r="Z29" s="316">
        <f t="shared" si="13"/>
        <v>2</v>
      </c>
      <c r="AA29" s="316">
        <f t="shared" si="13"/>
        <v>1</v>
      </c>
      <c r="AB29" s="316">
        <f t="shared" si="13"/>
        <v>3</v>
      </c>
      <c r="AC29" s="315">
        <f>COUNTIF(ME_9_E,AC$1)+COUNTIF(ME_9_E,"E/D")</f>
        <v>0</v>
      </c>
      <c r="AD29" s="315">
        <f>COUNTIF(ME_9_E,AD$1)+COUNTIF(ME_9_E,"E/D")</f>
        <v>13</v>
      </c>
      <c r="AE29" s="358">
        <v>16450859</v>
      </c>
      <c r="AF29" s="358">
        <v>1819</v>
      </c>
      <c r="AG29" s="358">
        <v>277736</v>
      </c>
      <c r="AH29" s="358">
        <v>2204729</v>
      </c>
      <c r="AI29" s="358">
        <v>0</v>
      </c>
      <c r="AJ29" s="358">
        <v>663310</v>
      </c>
      <c r="AK29" s="408">
        <v>31831</v>
      </c>
      <c r="AL29" s="318">
        <f t="shared" si="3"/>
        <v>19630284</v>
      </c>
      <c r="AM29" s="318" t="s">
        <v>55</v>
      </c>
      <c r="AN29" s="318" t="s">
        <v>55</v>
      </c>
      <c r="AO29" s="318" t="s">
        <v>55</v>
      </c>
      <c r="AP29" s="318" t="s">
        <v>55</v>
      </c>
      <c r="AQ29" s="318" t="s">
        <v>55</v>
      </c>
      <c r="AR29" s="318" t="s">
        <v>55</v>
      </c>
      <c r="AS29" s="318" t="s">
        <v>55</v>
      </c>
      <c r="AT29" s="318">
        <f t="shared" si="4"/>
        <v>0</v>
      </c>
      <c r="AU29" s="318" t="s">
        <v>55</v>
      </c>
      <c r="AV29" s="318" t="s">
        <v>55</v>
      </c>
      <c r="AW29" s="318" t="s">
        <v>55</v>
      </c>
      <c r="AX29" s="318" t="s">
        <v>55</v>
      </c>
      <c r="AY29" s="318" t="s">
        <v>55</v>
      </c>
      <c r="AZ29" s="318" t="s">
        <v>55</v>
      </c>
      <c r="BA29" s="318" t="s">
        <v>55</v>
      </c>
      <c r="BB29" s="319">
        <f t="shared" si="5"/>
        <v>0</v>
      </c>
      <c r="BC29" s="332" t="s">
        <v>55</v>
      </c>
      <c r="BD29" s="332" t="s">
        <v>55</v>
      </c>
      <c r="BE29" s="332" t="s">
        <v>55</v>
      </c>
      <c r="BF29" s="332" t="s">
        <v>55</v>
      </c>
      <c r="BG29" s="332" t="s">
        <v>55</v>
      </c>
      <c r="BH29" s="332" t="s">
        <v>55</v>
      </c>
      <c r="BI29" s="332" t="s">
        <v>55</v>
      </c>
      <c r="BJ29" s="332" t="s">
        <v>55</v>
      </c>
      <c r="BK29" s="40" t="s">
        <v>6667</v>
      </c>
      <c r="BL29" s="320">
        <v>57</v>
      </c>
      <c r="BM29" s="320">
        <v>3.3</v>
      </c>
      <c r="BN29" s="320">
        <v>3.7</v>
      </c>
      <c r="BO29" s="40" t="s">
        <v>6700</v>
      </c>
      <c r="BP29" s="321">
        <v>636</v>
      </c>
      <c r="BQ29" s="344"/>
      <c r="BR29" s="314">
        <v>55</v>
      </c>
      <c r="BS29" s="314" t="s">
        <v>20534</v>
      </c>
      <c r="BT29" s="312">
        <v>738</v>
      </c>
      <c r="BU29" s="343">
        <v>59</v>
      </c>
      <c r="BV29" s="343">
        <v>59</v>
      </c>
      <c r="BW29" s="343">
        <v>3.7</v>
      </c>
      <c r="BX29" s="325" t="s">
        <v>20535</v>
      </c>
    </row>
    <row r="30" spans="1:76" ht="15.75" customHeight="1">
      <c r="A30" s="4" t="s">
        <v>6991</v>
      </c>
      <c r="B30" s="355" t="s">
        <v>2714</v>
      </c>
      <c r="C30" s="155" t="s">
        <v>55</v>
      </c>
      <c r="D30" s="312" t="s">
        <v>20474</v>
      </c>
      <c r="E30" s="40" t="s">
        <v>6662</v>
      </c>
      <c r="F30" s="314">
        <v>27</v>
      </c>
      <c r="G30" s="316">
        <f>COUNTA(ME_11_D)</f>
        <v>35</v>
      </c>
      <c r="H30" s="316">
        <f>COUNTIF(ME_11_G,"TT")</f>
        <v>30</v>
      </c>
      <c r="I30" s="316">
        <f t="shared" si="8"/>
        <v>5</v>
      </c>
      <c r="J30" s="316">
        <f>COUNTA(ME_11_D)</f>
        <v>35</v>
      </c>
      <c r="K30" s="316">
        <f>COUNTIF(ME_11_G,"TT")</f>
        <v>30</v>
      </c>
      <c r="L30" s="316">
        <f t="shared" si="9"/>
        <v>5</v>
      </c>
      <c r="M30" s="316">
        <f>COUNTIFS('Mechanical Engineering Faculty'!$F$1956:$F$1990,M$1)</f>
        <v>19</v>
      </c>
      <c r="N30" s="316">
        <f>COUNTIFS('Mechanical Engineering Faculty'!$F$1956:$F$1990,N$1)</f>
        <v>4</v>
      </c>
      <c r="O30" s="316">
        <f>COUNTIFS('Mechanical Engineering Faculty'!$F$1956:$F$1990,O$1)</f>
        <v>7</v>
      </c>
      <c r="P30" s="316">
        <f>COUNTIFS(ME_11_G,"TT", ME_11_D,P$1)</f>
        <v>19</v>
      </c>
      <c r="Q30" s="316">
        <f>COUNTIFS(ME_11_G,"TT", ME_11_D,Q$1)</f>
        <v>4</v>
      </c>
      <c r="R30" s="316">
        <f>COUNTIFS(ME_11_G,"TT", ME_11_D,R$1)</f>
        <v>7</v>
      </c>
      <c r="S30" s="316">
        <f>COUNTIF(ME_11_D,S$1)</f>
        <v>3</v>
      </c>
      <c r="T30" s="316">
        <f t="shared" si="0"/>
        <v>0</v>
      </c>
      <c r="U30" s="316">
        <f t="shared" si="1"/>
        <v>0</v>
      </c>
      <c r="V30" s="316">
        <f t="shared" si="2"/>
        <v>0</v>
      </c>
      <c r="W30" s="316">
        <f t="shared" ref="W30:AB30" si="14">COUNTIF(ME_11_D,W$1)</f>
        <v>0</v>
      </c>
      <c r="X30" s="316">
        <f t="shared" si="14"/>
        <v>0</v>
      </c>
      <c r="Y30" s="316">
        <f t="shared" si="14"/>
        <v>2</v>
      </c>
      <c r="Z30" s="316">
        <f t="shared" si="14"/>
        <v>0</v>
      </c>
      <c r="AA30" s="316">
        <f t="shared" si="14"/>
        <v>0</v>
      </c>
      <c r="AB30" s="316">
        <f t="shared" si="14"/>
        <v>0</v>
      </c>
      <c r="AC30" s="315">
        <f>COUNTIF(ME_11_E,AC$1)+COUNTIF(ME_11_E,"E/D")</f>
        <v>1</v>
      </c>
      <c r="AD30" s="315">
        <f>COUNTIF(ME_11_E,AD$1)+COUNTIF(ME_11_E,"E/D")</f>
        <v>0</v>
      </c>
      <c r="AE30" s="358">
        <v>0</v>
      </c>
      <c r="AF30" s="363">
        <v>0</v>
      </c>
      <c r="AG30" s="363">
        <v>11554</v>
      </c>
      <c r="AH30" s="363">
        <v>137888</v>
      </c>
      <c r="AI30" s="363">
        <v>110925</v>
      </c>
      <c r="AJ30" s="363">
        <v>1403809</v>
      </c>
      <c r="AK30" s="369">
        <v>2009274</v>
      </c>
      <c r="AL30" s="318">
        <f t="shared" si="3"/>
        <v>3673450</v>
      </c>
      <c r="AM30" s="356">
        <v>7357350</v>
      </c>
      <c r="AN30" s="327">
        <v>-25352</v>
      </c>
      <c r="AO30" s="327">
        <v>93358</v>
      </c>
      <c r="AP30" s="327">
        <v>2395833</v>
      </c>
      <c r="AQ30" s="327">
        <v>517451</v>
      </c>
      <c r="AR30" s="327">
        <v>3018331</v>
      </c>
      <c r="AS30" s="327">
        <v>1157309</v>
      </c>
      <c r="AT30" s="318">
        <f t="shared" si="4"/>
        <v>14514280</v>
      </c>
      <c r="AU30" s="356">
        <v>5502586</v>
      </c>
      <c r="AV30" s="327">
        <v>0</v>
      </c>
      <c r="AW30" s="327">
        <v>305725</v>
      </c>
      <c r="AX30" s="327">
        <v>200438</v>
      </c>
      <c r="AY30" s="327">
        <v>141554</v>
      </c>
      <c r="AZ30" s="327">
        <v>938938</v>
      </c>
      <c r="BA30" s="327">
        <v>1330316</v>
      </c>
      <c r="BB30" s="319">
        <f t="shared" si="5"/>
        <v>8419557</v>
      </c>
      <c r="BC30" s="411" t="s">
        <v>55</v>
      </c>
      <c r="BD30" s="413" t="s">
        <v>55</v>
      </c>
      <c r="BE30" s="413" t="s">
        <v>55</v>
      </c>
      <c r="BF30" s="413" t="s">
        <v>55</v>
      </c>
      <c r="BG30" s="413" t="s">
        <v>55</v>
      </c>
      <c r="BH30" s="413" t="s">
        <v>55</v>
      </c>
      <c r="BI30" s="413" t="s">
        <v>55</v>
      </c>
      <c r="BJ30" s="332" t="s">
        <v>55</v>
      </c>
      <c r="BK30" s="40" t="s">
        <v>4588</v>
      </c>
      <c r="BL30" s="320">
        <v>71</v>
      </c>
      <c r="BM30" s="320">
        <v>3.5</v>
      </c>
      <c r="BN30" s="320">
        <v>3.7</v>
      </c>
      <c r="BO30" s="40" t="s">
        <v>7033</v>
      </c>
      <c r="BP30" s="321">
        <v>789</v>
      </c>
      <c r="BQ30" s="344"/>
      <c r="BR30" s="314">
        <v>30</v>
      </c>
      <c r="BS30" s="314" t="s">
        <v>20538</v>
      </c>
      <c r="BT30" s="314">
        <v>727</v>
      </c>
      <c r="BU30" s="343">
        <v>70</v>
      </c>
      <c r="BV30" s="343">
        <v>3.5</v>
      </c>
      <c r="BW30" s="343">
        <v>3.6</v>
      </c>
      <c r="BX30" s="325" t="s">
        <v>20539</v>
      </c>
    </row>
    <row r="31" spans="1:76" ht="15.75" customHeight="1">
      <c r="A31" s="364" t="s">
        <v>5845</v>
      </c>
      <c r="B31" s="365" t="s">
        <v>2714</v>
      </c>
      <c r="C31" s="155">
        <v>168</v>
      </c>
      <c r="D31" s="312">
        <v>168</v>
      </c>
      <c r="E31" s="40" t="s">
        <v>5857</v>
      </c>
      <c r="F31" s="314">
        <v>30</v>
      </c>
      <c r="G31" s="316">
        <f>COUNTA(ME_4_D)</f>
        <v>20</v>
      </c>
      <c r="H31" s="316">
        <f>COUNTIF(ME_4_G,"TT")</f>
        <v>18</v>
      </c>
      <c r="I31" s="316">
        <f t="shared" si="8"/>
        <v>2</v>
      </c>
      <c r="J31" s="316">
        <f>COUNTA(ME_4_D)</f>
        <v>20</v>
      </c>
      <c r="K31" s="316">
        <f>COUNTIF(ME_4_G,"TT")</f>
        <v>18</v>
      </c>
      <c r="L31" s="316">
        <f t="shared" si="9"/>
        <v>2</v>
      </c>
      <c r="M31" s="316">
        <f>COUNTIFS('Mechanical Engineering Faculty'!$F$1636:$F$1655,M$1)</f>
        <v>10</v>
      </c>
      <c r="N31" s="316">
        <f>COUNTIFS('Mechanical Engineering Faculty'!$F$1636:$F$1655,N$1)</f>
        <v>6</v>
      </c>
      <c r="O31" s="316">
        <f>COUNTIFS('Mechanical Engineering Faculty'!$F$1636:$F$1655,O$1)</f>
        <v>2</v>
      </c>
      <c r="P31" s="316">
        <f>COUNTIFS(ME_4_G,"TT", ME_4_D,P$1)</f>
        <v>10</v>
      </c>
      <c r="Q31" s="316">
        <f>COUNTIFS(ME_4_G,"TT", ME_4_D,Q$1)</f>
        <v>6</v>
      </c>
      <c r="R31" s="316">
        <f>COUNTIFS(ME_4_G,"TT", ME_4_D,R$1)</f>
        <v>2</v>
      </c>
      <c r="S31" s="316">
        <f>COUNTIFS( ME_4_D,S$1)</f>
        <v>2</v>
      </c>
      <c r="T31" s="316">
        <f t="shared" si="0"/>
        <v>0</v>
      </c>
      <c r="U31" s="316">
        <f t="shared" si="1"/>
        <v>0</v>
      </c>
      <c r="V31" s="316">
        <f t="shared" si="2"/>
        <v>0</v>
      </c>
      <c r="W31" s="316">
        <f t="shared" ref="W31:AB31" si="15">COUNTIFS( ME_4_D,W$1)</f>
        <v>0</v>
      </c>
      <c r="X31" s="316">
        <f t="shared" si="15"/>
        <v>0</v>
      </c>
      <c r="Y31" s="316">
        <f t="shared" si="15"/>
        <v>0</v>
      </c>
      <c r="Z31" s="316">
        <f t="shared" si="15"/>
        <v>0</v>
      </c>
      <c r="AA31" s="316">
        <f t="shared" si="15"/>
        <v>0</v>
      </c>
      <c r="AB31" s="316">
        <f t="shared" si="15"/>
        <v>0</v>
      </c>
      <c r="AC31" s="315">
        <f>COUNTIF(ME_4_E,AC$1)+COUNTIF(ME_4_E,"E/D")</f>
        <v>0</v>
      </c>
      <c r="AD31" s="315">
        <f>COUNTIF(ME_4_E,AD$1)+COUNTIF(ME_4_E,"E/D")</f>
        <v>3</v>
      </c>
      <c r="AE31" s="361" t="s">
        <v>55</v>
      </c>
      <c r="AF31" s="404" t="s">
        <v>55</v>
      </c>
      <c r="AG31" s="404" t="s">
        <v>55</v>
      </c>
      <c r="AH31" s="404" t="s">
        <v>55</v>
      </c>
      <c r="AI31" s="404" t="s">
        <v>55</v>
      </c>
      <c r="AJ31" s="404" t="s">
        <v>55</v>
      </c>
      <c r="AK31" s="404" t="s">
        <v>55</v>
      </c>
      <c r="AL31" s="318">
        <f t="shared" si="3"/>
        <v>0</v>
      </c>
      <c r="AM31" s="318" t="s">
        <v>55</v>
      </c>
      <c r="AN31" s="405" t="s">
        <v>55</v>
      </c>
      <c r="AO31" s="405" t="s">
        <v>55</v>
      </c>
      <c r="AP31" s="405" t="s">
        <v>55</v>
      </c>
      <c r="AQ31" s="405" t="s">
        <v>55</v>
      </c>
      <c r="AR31" s="405" t="s">
        <v>55</v>
      </c>
      <c r="AS31" s="405" t="s">
        <v>55</v>
      </c>
      <c r="AT31" s="318">
        <f t="shared" si="4"/>
        <v>0</v>
      </c>
      <c r="AU31" s="318" t="s">
        <v>55</v>
      </c>
      <c r="AV31" s="405" t="s">
        <v>55</v>
      </c>
      <c r="AW31" s="405" t="s">
        <v>55</v>
      </c>
      <c r="AX31" s="405" t="s">
        <v>55</v>
      </c>
      <c r="AY31" s="405" t="s">
        <v>55</v>
      </c>
      <c r="AZ31" s="405" t="s">
        <v>55</v>
      </c>
      <c r="BA31" s="405" t="s">
        <v>55</v>
      </c>
      <c r="BB31" s="319">
        <f t="shared" si="5"/>
        <v>0</v>
      </c>
      <c r="BC31" s="411" t="s">
        <v>55</v>
      </c>
      <c r="BD31" s="413" t="s">
        <v>55</v>
      </c>
      <c r="BE31" s="413" t="s">
        <v>55</v>
      </c>
      <c r="BF31" s="413" t="s">
        <v>55</v>
      </c>
      <c r="BG31" s="413" t="s">
        <v>55</v>
      </c>
      <c r="BH31" s="413" t="s">
        <v>55</v>
      </c>
      <c r="BI31" s="413" t="s">
        <v>55</v>
      </c>
      <c r="BJ31" s="332" t="s">
        <v>55</v>
      </c>
      <c r="BK31" s="40" t="s">
        <v>3076</v>
      </c>
      <c r="BL31" s="320">
        <v>77</v>
      </c>
      <c r="BM31" s="320">
        <v>3.8</v>
      </c>
      <c r="BN31" s="320">
        <v>4</v>
      </c>
      <c r="BO31" s="40" t="s">
        <v>5891</v>
      </c>
      <c r="BP31" s="321">
        <v>2921</v>
      </c>
      <c r="BQ31" s="314">
        <v>14</v>
      </c>
      <c r="BR31" s="314">
        <v>18</v>
      </c>
      <c r="BS31" s="314" t="s">
        <v>20524</v>
      </c>
      <c r="BT31" s="366">
        <v>5011</v>
      </c>
      <c r="BU31" s="324">
        <v>77</v>
      </c>
      <c r="BV31" s="324">
        <v>3.8</v>
      </c>
      <c r="BW31" s="324">
        <v>3.9</v>
      </c>
      <c r="BX31" s="325" t="s">
        <v>20525</v>
      </c>
    </row>
    <row r="32" spans="1:76" ht="15.75" customHeight="1">
      <c r="A32" s="362" t="s">
        <v>5919</v>
      </c>
      <c r="B32" s="355" t="s">
        <v>2714</v>
      </c>
      <c r="C32" s="155">
        <v>163</v>
      </c>
      <c r="D32" s="312">
        <v>163</v>
      </c>
      <c r="E32" s="40" t="s">
        <v>5857</v>
      </c>
      <c r="F32" s="314">
        <v>30</v>
      </c>
      <c r="G32" s="316">
        <f>COUNTA(ME_5_D)</f>
        <v>62</v>
      </c>
      <c r="H32" s="316">
        <f>COUNTIF(ME_5_G,"TT")</f>
        <v>47</v>
      </c>
      <c r="I32" s="316">
        <f t="shared" si="8"/>
        <v>15</v>
      </c>
      <c r="J32" s="316">
        <f>COUNTA(ME_5_D)</f>
        <v>62</v>
      </c>
      <c r="K32" s="316">
        <f>COUNTIF(ME_5_G,"TT")</f>
        <v>47</v>
      </c>
      <c r="L32" s="316">
        <f t="shared" si="9"/>
        <v>15</v>
      </c>
      <c r="M32" s="316">
        <f>COUNTIFS('Mechanical Engineering Faculty'!$F$1658:$F$1719,M$1)</f>
        <v>19</v>
      </c>
      <c r="N32" s="316">
        <f>COUNTIFS('Mechanical Engineering Faculty'!$F$1658:$F$1719,N$1)</f>
        <v>9</v>
      </c>
      <c r="O32" s="316">
        <f>COUNTIFS('Mechanical Engineering Faculty'!$F$1658:$F$1719,O$1)</f>
        <v>12</v>
      </c>
      <c r="P32" s="316">
        <f>COUNTIFS(ME_5_G,"TT", ME_5_D,P$1)</f>
        <v>19</v>
      </c>
      <c r="Q32" s="316">
        <f>COUNTIFS(ME_5_G,"TT", ME_5_D,Q$1)</f>
        <v>9</v>
      </c>
      <c r="R32" s="316">
        <f>COUNTIFS(ME_5_G,"TT", ME_5_D,R$1)</f>
        <v>12</v>
      </c>
      <c r="S32" s="316">
        <f>COUNTIF(ME_5_D,S$1)</f>
        <v>0</v>
      </c>
      <c r="T32" s="316">
        <f t="shared" si="0"/>
        <v>0</v>
      </c>
      <c r="U32" s="316">
        <f t="shared" si="1"/>
        <v>0</v>
      </c>
      <c r="V32" s="316">
        <f t="shared" si="2"/>
        <v>0</v>
      </c>
      <c r="W32" s="316">
        <f t="shared" ref="W32:AB32" si="16">COUNTIF(ME_5_D,W$1)</f>
        <v>2</v>
      </c>
      <c r="X32" s="316">
        <f t="shared" si="16"/>
        <v>8</v>
      </c>
      <c r="Y32" s="316">
        <f t="shared" si="16"/>
        <v>4</v>
      </c>
      <c r="Z32" s="316">
        <f t="shared" si="16"/>
        <v>4</v>
      </c>
      <c r="AA32" s="316">
        <f t="shared" si="16"/>
        <v>2</v>
      </c>
      <c r="AB32" s="316">
        <f t="shared" si="16"/>
        <v>1</v>
      </c>
      <c r="AC32" s="315">
        <f>COUNTIF(ME_5_E,AC$1)+COUNTIF(ME_5_E,"E/D")</f>
        <v>0</v>
      </c>
      <c r="AD32" s="315">
        <f>COUNTIF(ME_5_E,AD$1)+COUNTIF(ME_5_E,"E/D")</f>
        <v>1</v>
      </c>
      <c r="AE32" s="358">
        <v>13841131</v>
      </c>
      <c r="AF32" s="358">
        <v>392319</v>
      </c>
      <c r="AG32" s="358">
        <v>547421</v>
      </c>
      <c r="AH32" s="358">
        <v>2636164</v>
      </c>
      <c r="AI32" s="356">
        <v>0</v>
      </c>
      <c r="AJ32" s="358">
        <v>816149</v>
      </c>
      <c r="AK32" s="356">
        <v>326757</v>
      </c>
      <c r="AL32" s="318">
        <f t="shared" si="3"/>
        <v>18559941</v>
      </c>
      <c r="AM32" s="356">
        <v>13697771</v>
      </c>
      <c r="AN32" s="356">
        <v>398648</v>
      </c>
      <c r="AO32" s="356">
        <v>392972</v>
      </c>
      <c r="AP32" s="356">
        <v>2612680</v>
      </c>
      <c r="AQ32" s="356">
        <v>0</v>
      </c>
      <c r="AR32" s="356">
        <v>766325</v>
      </c>
      <c r="AS32" s="356">
        <v>125404</v>
      </c>
      <c r="AT32" s="318">
        <f t="shared" si="4"/>
        <v>17993800</v>
      </c>
      <c r="AU32" s="356">
        <v>13841207</v>
      </c>
      <c r="AV32" s="356">
        <v>213590</v>
      </c>
      <c r="AW32" s="356">
        <v>371064</v>
      </c>
      <c r="AX32" s="356">
        <v>2317800</v>
      </c>
      <c r="AY32" s="356">
        <v>0</v>
      </c>
      <c r="AZ32" s="356">
        <v>1010928</v>
      </c>
      <c r="BA32" s="356">
        <v>293405</v>
      </c>
      <c r="BB32" s="319">
        <f t="shared" si="5"/>
        <v>18047994</v>
      </c>
      <c r="BC32" s="328">
        <v>13180485</v>
      </c>
      <c r="BD32" s="329">
        <v>31006</v>
      </c>
      <c r="BE32" s="329">
        <v>420101</v>
      </c>
      <c r="BF32" s="329">
        <v>2787330</v>
      </c>
      <c r="BG32" s="329">
        <v>3620</v>
      </c>
      <c r="BH32" s="329">
        <v>2445752</v>
      </c>
      <c r="BI32" s="329">
        <v>445683</v>
      </c>
      <c r="BJ32" s="314">
        <f>SUM(BC32:BI32)</f>
        <v>19313977</v>
      </c>
      <c r="BK32" s="40" t="s">
        <v>4083</v>
      </c>
      <c r="BL32" s="320">
        <v>76</v>
      </c>
      <c r="BM32" s="320">
        <v>3.6</v>
      </c>
      <c r="BN32" s="320">
        <v>3.7</v>
      </c>
      <c r="BO32" s="40" t="s">
        <v>5963</v>
      </c>
      <c r="BP32" s="321">
        <v>2251</v>
      </c>
      <c r="BQ32" s="344"/>
      <c r="BR32" s="314">
        <v>23</v>
      </c>
      <c r="BS32" s="314" t="s">
        <v>20526</v>
      </c>
      <c r="BT32" s="323">
        <v>2085</v>
      </c>
      <c r="BU32" s="324">
        <v>74</v>
      </c>
      <c r="BV32" s="324">
        <v>3.6</v>
      </c>
      <c r="BW32" s="324">
        <v>3.6</v>
      </c>
      <c r="BX32" s="325" t="s">
        <v>20527</v>
      </c>
    </row>
    <row r="33" spans="1:76" ht="15.75" customHeight="1">
      <c r="A33" s="368" t="s">
        <v>6365</v>
      </c>
      <c r="B33" s="355" t="s">
        <v>6369</v>
      </c>
      <c r="C33" s="155">
        <v>166</v>
      </c>
      <c r="D33" s="312">
        <v>166</v>
      </c>
      <c r="E33" s="341" t="s">
        <v>5857</v>
      </c>
      <c r="F33" s="314">
        <v>30</v>
      </c>
      <c r="G33" s="316">
        <f>COUNTA(ME_7_D)</f>
        <v>34</v>
      </c>
      <c r="H33" s="316">
        <f>COUNTIF(ME_7_G,"TT")</f>
        <v>26</v>
      </c>
      <c r="I33" s="316">
        <f t="shared" si="8"/>
        <v>8</v>
      </c>
      <c r="J33" s="316">
        <f>COUNTA(ME_7_D)</f>
        <v>34</v>
      </c>
      <c r="K33" s="316">
        <f>COUNTIF(ME_7_G,"TT")</f>
        <v>26</v>
      </c>
      <c r="L33" s="316">
        <f t="shared" si="9"/>
        <v>8</v>
      </c>
      <c r="M33" s="316">
        <f>COUNTIFS('Mechanical Engineering Faculty'!$F$1784:$F$1817,M$1)</f>
        <v>17</v>
      </c>
      <c r="N33" s="316">
        <f>COUNTIFS('Mechanical Engineering Faculty'!$F$1784:$F$1817,N$1)</f>
        <v>2</v>
      </c>
      <c r="O33" s="316">
        <f>COUNTIFS('Mechanical Engineering Faculty'!$F$1784:$F$1817,O$1)</f>
        <v>7</v>
      </c>
      <c r="P33" s="316">
        <f>COUNTIFS(ME_7_G,"TT", ME_7_D,P$1)</f>
        <v>17</v>
      </c>
      <c r="Q33" s="316">
        <f>COUNTIFS(ME_7_G,"TT", ME_7_D,Q$1)</f>
        <v>2</v>
      </c>
      <c r="R33" s="316">
        <f>COUNTIFS(ME_7_G,"TT", ME_7_D,R$1)</f>
        <v>7</v>
      </c>
      <c r="S33" s="316">
        <f>COUNTIF(ME_7_D,S$1)</f>
        <v>8</v>
      </c>
      <c r="T33" s="316">
        <f t="shared" si="0"/>
        <v>0</v>
      </c>
      <c r="U33" s="316">
        <f t="shared" si="1"/>
        <v>0</v>
      </c>
      <c r="V33" s="316">
        <f t="shared" si="2"/>
        <v>0</v>
      </c>
      <c r="W33" s="316">
        <f t="shared" ref="W33:AB33" si="17">COUNTIF(ME_7_D,W$1)</f>
        <v>0</v>
      </c>
      <c r="X33" s="316">
        <f t="shared" si="17"/>
        <v>0</v>
      </c>
      <c r="Y33" s="316">
        <f t="shared" si="17"/>
        <v>0</v>
      </c>
      <c r="Z33" s="316">
        <f t="shared" si="17"/>
        <v>0</v>
      </c>
      <c r="AA33" s="316">
        <f t="shared" si="17"/>
        <v>0</v>
      </c>
      <c r="AB33" s="316">
        <f t="shared" si="17"/>
        <v>0</v>
      </c>
      <c r="AC33" s="315">
        <f>COUNTIF(ME_7_E,AC$1)+COUNTIF(ME_7_E,"E/D")</f>
        <v>0</v>
      </c>
      <c r="AD33" s="315">
        <f>COUNTIF(ME_7_E,AD$1)+COUNTIF(ME_7_E,"E/D")</f>
        <v>7</v>
      </c>
      <c r="AE33" s="361" t="s">
        <v>55</v>
      </c>
      <c r="AF33" s="404" t="s">
        <v>55</v>
      </c>
      <c r="AG33" s="404" t="s">
        <v>55</v>
      </c>
      <c r="AH33" s="404" t="s">
        <v>55</v>
      </c>
      <c r="AI33" s="404" t="s">
        <v>55</v>
      </c>
      <c r="AJ33" s="404" t="s">
        <v>55</v>
      </c>
      <c r="AK33" s="404" t="s">
        <v>55</v>
      </c>
      <c r="AL33" s="318">
        <f t="shared" si="3"/>
        <v>0</v>
      </c>
      <c r="AM33" s="318" t="s">
        <v>55</v>
      </c>
      <c r="AN33" s="405" t="s">
        <v>55</v>
      </c>
      <c r="AO33" s="405" t="s">
        <v>55</v>
      </c>
      <c r="AP33" s="405" t="s">
        <v>55</v>
      </c>
      <c r="AQ33" s="405" t="s">
        <v>55</v>
      </c>
      <c r="AR33" s="405" t="s">
        <v>55</v>
      </c>
      <c r="AS33" s="405" t="s">
        <v>55</v>
      </c>
      <c r="AT33" s="318">
        <f t="shared" si="4"/>
        <v>0</v>
      </c>
      <c r="AU33" s="318" t="s">
        <v>55</v>
      </c>
      <c r="AV33" s="405" t="s">
        <v>55</v>
      </c>
      <c r="AW33" s="405" t="s">
        <v>55</v>
      </c>
      <c r="AX33" s="405" t="s">
        <v>55</v>
      </c>
      <c r="AY33" s="405" t="s">
        <v>55</v>
      </c>
      <c r="AZ33" s="405" t="s">
        <v>55</v>
      </c>
      <c r="BA33" s="405" t="s">
        <v>55</v>
      </c>
      <c r="BB33" s="319">
        <f t="shared" si="5"/>
        <v>0</v>
      </c>
      <c r="BC33" s="412">
        <v>0</v>
      </c>
      <c r="BD33" s="412">
        <v>0</v>
      </c>
      <c r="BE33" s="412">
        <v>0</v>
      </c>
      <c r="BF33" s="412">
        <v>9000</v>
      </c>
      <c r="BG33" s="412">
        <v>0</v>
      </c>
      <c r="BH33" s="412">
        <v>0</v>
      </c>
      <c r="BI33" s="412">
        <v>0</v>
      </c>
      <c r="BJ33" s="314">
        <f>SUM(BC33:BI33)</f>
        <v>9000</v>
      </c>
      <c r="BK33" s="40" t="s">
        <v>6381</v>
      </c>
      <c r="BL33" s="320">
        <v>79</v>
      </c>
      <c r="BM33" s="320">
        <v>3.7</v>
      </c>
      <c r="BN33" s="320">
        <v>3.7</v>
      </c>
      <c r="BO33" s="40" t="s">
        <v>6413</v>
      </c>
      <c r="BP33" s="321">
        <v>5732</v>
      </c>
      <c r="BQ33" s="314">
        <v>13</v>
      </c>
      <c r="BR33" s="314">
        <v>23</v>
      </c>
      <c r="BS33" s="314" t="s">
        <v>20530</v>
      </c>
      <c r="BT33" s="339">
        <v>5308</v>
      </c>
      <c r="BU33" s="343">
        <v>74</v>
      </c>
      <c r="BV33" s="343">
        <v>3.7</v>
      </c>
      <c r="BW33" s="343">
        <v>3.7</v>
      </c>
      <c r="BX33" s="325" t="s">
        <v>20531</v>
      </c>
    </row>
    <row r="34" spans="1:76" ht="15.75" customHeight="1">
      <c r="A34" s="362" t="s">
        <v>6489</v>
      </c>
      <c r="B34" s="355" t="s">
        <v>2714</v>
      </c>
      <c r="C34" s="155">
        <v>165</v>
      </c>
      <c r="D34" s="312">
        <v>165</v>
      </c>
      <c r="E34" s="40" t="s">
        <v>5857</v>
      </c>
      <c r="F34" s="314">
        <v>33</v>
      </c>
      <c r="G34" s="316">
        <f>COUNTA(ME_8_D)</f>
        <v>43</v>
      </c>
      <c r="H34" s="316">
        <f>COUNTIF(ME_8_G,"TT")</f>
        <v>39</v>
      </c>
      <c r="I34" s="316">
        <f t="shared" si="8"/>
        <v>4</v>
      </c>
      <c r="J34" s="316">
        <f>COUNTA(ME_8_D)</f>
        <v>43</v>
      </c>
      <c r="K34" s="316">
        <f>COUNTIF(ME_8_G,"TT")</f>
        <v>39</v>
      </c>
      <c r="L34" s="316">
        <f t="shared" si="9"/>
        <v>4</v>
      </c>
      <c r="M34" s="316">
        <f>COUNTIFS('Mechanical Engineering Faculty'!$F$1819:$F$1861,M$1)</f>
        <v>21</v>
      </c>
      <c r="N34" s="316">
        <f>COUNTIFS('Mechanical Engineering Faculty'!$F$1819:$F$1861,N$1)</f>
        <v>5</v>
      </c>
      <c r="O34" s="316">
        <f>COUNTIFS('Mechanical Engineering Faculty'!$F$1819:$F$1861,O$1)</f>
        <v>9</v>
      </c>
      <c r="P34" s="316">
        <f>COUNTIFS(ME_8_G,"TT", ME_8_D,P$1)</f>
        <v>21</v>
      </c>
      <c r="Q34" s="316">
        <f>COUNTIFS(ME_8_G,"TT", ME_8_D,Q$1)</f>
        <v>5</v>
      </c>
      <c r="R34" s="316">
        <f>COUNTIFS(ME_8_G,"TT", ME_8_D,R$1)</f>
        <v>11</v>
      </c>
      <c r="S34" s="316">
        <f>COUNTIF(ME_8_D,S$1)</f>
        <v>0</v>
      </c>
      <c r="T34" s="316">
        <f t="shared" ref="T34:T65" si="18">P34-M34</f>
        <v>0</v>
      </c>
      <c r="U34" s="316">
        <f t="shared" ref="U34:U65" si="19">Q34-N34</f>
        <v>0</v>
      </c>
      <c r="V34" s="316">
        <f t="shared" ref="V34:V65" si="20">R34-O34</f>
        <v>2</v>
      </c>
      <c r="W34" s="316">
        <f t="shared" ref="W34:AB34" si="21">COUNTIF(ME_8_D,W$1)</f>
        <v>0</v>
      </c>
      <c r="X34" s="316">
        <f t="shared" si="21"/>
        <v>1</v>
      </c>
      <c r="Y34" s="316">
        <f t="shared" si="21"/>
        <v>1</v>
      </c>
      <c r="Z34" s="316">
        <f t="shared" si="21"/>
        <v>1</v>
      </c>
      <c r="AA34" s="316">
        <f t="shared" si="21"/>
        <v>1</v>
      </c>
      <c r="AB34" s="316">
        <f t="shared" si="21"/>
        <v>0</v>
      </c>
      <c r="AC34" s="315">
        <f>COUNTIF(ME_8_E,AC$1)+COUNTIF(ME_8_E,"E/D")</f>
        <v>0</v>
      </c>
      <c r="AD34" s="315">
        <f>COUNTIF(ME_8_E,AD$1)+COUNTIF(ME_8_E,"E/D")</f>
        <v>6</v>
      </c>
      <c r="AE34" s="358">
        <v>11003900</v>
      </c>
      <c r="AF34" s="363">
        <v>0</v>
      </c>
      <c r="AG34" s="363">
        <v>1210000</v>
      </c>
      <c r="AH34" s="363">
        <v>3135600</v>
      </c>
      <c r="AI34" s="363">
        <v>0</v>
      </c>
      <c r="AJ34" s="363">
        <v>993300</v>
      </c>
      <c r="AK34" s="369">
        <v>207900</v>
      </c>
      <c r="AL34" s="318">
        <f t="shared" ref="AL34:AL65" si="22">SUM(AE34:AK34)</f>
        <v>16550700</v>
      </c>
      <c r="AM34" s="356">
        <v>12672300</v>
      </c>
      <c r="AN34" s="356">
        <v>0</v>
      </c>
      <c r="AO34" s="356">
        <v>1231600</v>
      </c>
      <c r="AP34" s="356">
        <v>1258900</v>
      </c>
      <c r="AQ34" s="356">
        <v>0</v>
      </c>
      <c r="AR34" s="356">
        <v>536900</v>
      </c>
      <c r="AS34" s="356">
        <v>756600</v>
      </c>
      <c r="AT34" s="318">
        <f t="shared" ref="AT34:AT65" si="23">SUM(AM34:AS34)</f>
        <v>16456300</v>
      </c>
      <c r="AU34" s="356">
        <v>4535334</v>
      </c>
      <c r="AV34" s="356">
        <v>93993</v>
      </c>
      <c r="AW34" s="356">
        <v>0</v>
      </c>
      <c r="AX34" s="356">
        <v>413604</v>
      </c>
      <c r="AY34" s="356">
        <v>0</v>
      </c>
      <c r="AZ34" s="356">
        <v>63064</v>
      </c>
      <c r="BA34" s="356">
        <v>0</v>
      </c>
      <c r="BB34" s="319">
        <f t="shared" ref="BB34:BB65" si="24">SUM(AU34:BA34)</f>
        <v>5105995</v>
      </c>
      <c r="BC34" s="332" t="s">
        <v>55</v>
      </c>
      <c r="BD34" s="332" t="s">
        <v>55</v>
      </c>
      <c r="BE34" s="332" t="s">
        <v>55</v>
      </c>
      <c r="BF34" s="332" t="s">
        <v>55</v>
      </c>
      <c r="BG34" s="332" t="s">
        <v>55</v>
      </c>
      <c r="BH34" s="332" t="s">
        <v>55</v>
      </c>
      <c r="BI34" s="332" t="s">
        <v>55</v>
      </c>
      <c r="BJ34" s="332" t="s">
        <v>55</v>
      </c>
      <c r="BK34" s="40" t="s">
        <v>6504</v>
      </c>
      <c r="BL34" s="320">
        <v>73</v>
      </c>
      <c r="BM34" s="320">
        <v>3.7</v>
      </c>
      <c r="BN34" s="320">
        <v>3.9</v>
      </c>
      <c r="BO34" s="40" t="s">
        <v>6537</v>
      </c>
      <c r="BP34" s="321">
        <v>1977</v>
      </c>
      <c r="BQ34" s="314">
        <v>29</v>
      </c>
      <c r="BR34" s="314">
        <v>21</v>
      </c>
      <c r="BS34" s="314" t="s">
        <v>20532</v>
      </c>
      <c r="BT34" s="323">
        <v>2024</v>
      </c>
      <c r="BU34" s="324">
        <v>75</v>
      </c>
      <c r="BV34" s="324">
        <v>3.7</v>
      </c>
      <c r="BW34" s="324">
        <v>3.9</v>
      </c>
      <c r="BX34" s="370" t="s">
        <v>20533</v>
      </c>
    </row>
    <row r="35" spans="1:76" ht="15.75" customHeight="1">
      <c r="A35" s="4" t="s">
        <v>6924</v>
      </c>
      <c r="B35" s="355" t="s">
        <v>6929</v>
      </c>
      <c r="C35" s="155">
        <v>166</v>
      </c>
      <c r="D35" s="312">
        <v>155</v>
      </c>
      <c r="E35" s="40" t="s">
        <v>6662</v>
      </c>
      <c r="F35" s="314">
        <v>33</v>
      </c>
      <c r="G35" s="316">
        <f>COUNTA(ME_10_D)</f>
        <v>18</v>
      </c>
      <c r="H35" s="316">
        <f>COUNTIF(ME_10_G,"TT")</f>
        <v>14</v>
      </c>
      <c r="I35" s="316">
        <f t="shared" si="8"/>
        <v>4</v>
      </c>
      <c r="J35" s="316">
        <f>COUNTA(ME_10_D)</f>
        <v>18</v>
      </c>
      <c r="K35" s="316">
        <f>COUNTIF(ME_10_G,"TT")</f>
        <v>14</v>
      </c>
      <c r="L35" s="316">
        <f t="shared" si="9"/>
        <v>4</v>
      </c>
      <c r="M35" s="316">
        <f>COUNTIFS('Mechanical Engineering Faculty'!$F$1937:$F$1954,M$1)</f>
        <v>10</v>
      </c>
      <c r="N35" s="316">
        <f>COUNTIFS('Mechanical Engineering Faculty'!$F$1937:$F$1954,N$1)</f>
        <v>3</v>
      </c>
      <c r="O35" s="316">
        <f>COUNTIFS('Mechanical Engineering Faculty'!$F$1937:$F$1954,O$1)</f>
        <v>1</v>
      </c>
      <c r="P35" s="316">
        <f>COUNTIFS(ME_10_G,"TT", ME_10_D,P$1)</f>
        <v>10</v>
      </c>
      <c r="Q35" s="316">
        <f>COUNTIFS(ME_10_G,"TT", ME_10_D,Q$1)</f>
        <v>3</v>
      </c>
      <c r="R35" s="316">
        <f>COUNTIFS(ME_10_G,"TT", ME_10_D,R$1)</f>
        <v>1</v>
      </c>
      <c r="S35" s="316">
        <f>COUNTIF(ME_10_D,S$1)</f>
        <v>4</v>
      </c>
      <c r="T35" s="316">
        <f t="shared" si="18"/>
        <v>0</v>
      </c>
      <c r="U35" s="316">
        <f t="shared" si="19"/>
        <v>0</v>
      </c>
      <c r="V35" s="316">
        <f t="shared" si="20"/>
        <v>0</v>
      </c>
      <c r="W35" s="316">
        <f t="shared" ref="W35:AB35" si="25">COUNTIF(ME_10_D,W$1)</f>
        <v>0</v>
      </c>
      <c r="X35" s="316">
        <f t="shared" si="25"/>
        <v>0</v>
      </c>
      <c r="Y35" s="316">
        <f t="shared" si="25"/>
        <v>0</v>
      </c>
      <c r="Z35" s="316">
        <f t="shared" si="25"/>
        <v>0</v>
      </c>
      <c r="AA35" s="316">
        <f t="shared" si="25"/>
        <v>0</v>
      </c>
      <c r="AB35" s="316">
        <f t="shared" si="25"/>
        <v>0</v>
      </c>
      <c r="AC35" s="315">
        <f>COUNTIF(ME_10_E,AC$1)+COUNTIF(ME_10_E,"E/D")</f>
        <v>0</v>
      </c>
      <c r="AD35" s="315">
        <f>COUNTIF(ME_10_E,AD$1)+COUNTIF(ME_10_E,"E/D")</f>
        <v>1</v>
      </c>
      <c r="AE35" s="358">
        <v>7267000</v>
      </c>
      <c r="AF35" s="363">
        <v>0</v>
      </c>
      <c r="AG35" s="363">
        <v>0</v>
      </c>
      <c r="AH35" s="363">
        <v>799000</v>
      </c>
      <c r="AI35" s="363">
        <v>0</v>
      </c>
      <c r="AJ35" s="363">
        <v>352000</v>
      </c>
      <c r="AK35" s="369">
        <v>0</v>
      </c>
      <c r="AL35" s="318">
        <f t="shared" si="22"/>
        <v>8418000</v>
      </c>
      <c r="AM35" s="356">
        <v>8097000</v>
      </c>
      <c r="AN35" s="327">
        <v>0</v>
      </c>
      <c r="AO35" s="327">
        <v>278000</v>
      </c>
      <c r="AP35" s="327">
        <v>1874000</v>
      </c>
      <c r="AQ35" s="327">
        <v>0</v>
      </c>
      <c r="AR35" s="327">
        <v>2000</v>
      </c>
      <c r="AS35" s="327">
        <v>0</v>
      </c>
      <c r="AT35" s="318">
        <f t="shared" si="23"/>
        <v>10251000</v>
      </c>
      <c r="AU35" s="356">
        <v>4668000</v>
      </c>
      <c r="AV35" s="327">
        <v>0</v>
      </c>
      <c r="AW35" s="327">
        <v>0</v>
      </c>
      <c r="AX35" s="327">
        <v>1300000</v>
      </c>
      <c r="AY35" s="327">
        <v>0</v>
      </c>
      <c r="AZ35" s="327">
        <v>0</v>
      </c>
      <c r="BA35" s="327">
        <v>0</v>
      </c>
      <c r="BB35" s="319">
        <f t="shared" si="24"/>
        <v>5968000</v>
      </c>
      <c r="BC35" s="328">
        <v>8795000</v>
      </c>
      <c r="BD35" s="329">
        <v>0</v>
      </c>
      <c r="BE35" s="329">
        <v>0</v>
      </c>
      <c r="BF35" s="329">
        <v>1317000</v>
      </c>
      <c r="BG35" s="329">
        <v>0</v>
      </c>
      <c r="BH35" s="329">
        <v>447000</v>
      </c>
      <c r="BI35" s="329">
        <v>0</v>
      </c>
      <c r="BJ35" s="314">
        <f>SUM(BC35:BI35)</f>
        <v>10559000</v>
      </c>
      <c r="BK35" s="40" t="s">
        <v>6940</v>
      </c>
      <c r="BL35" s="320">
        <v>62</v>
      </c>
      <c r="BM35" s="320">
        <v>3.3</v>
      </c>
      <c r="BN35" s="320">
        <v>4</v>
      </c>
      <c r="BO35" s="40" t="s">
        <v>6971</v>
      </c>
      <c r="BP35" s="321">
        <v>585</v>
      </c>
      <c r="BQ35" s="314">
        <v>29</v>
      </c>
      <c r="BR35" s="314">
        <v>48</v>
      </c>
      <c r="BS35" s="314" t="s">
        <v>20536</v>
      </c>
      <c r="BT35" s="312">
        <v>615</v>
      </c>
      <c r="BU35" s="343">
        <v>62</v>
      </c>
      <c r="BV35" s="343">
        <v>3.3</v>
      </c>
      <c r="BW35" s="343">
        <v>4</v>
      </c>
      <c r="BX35" s="325" t="s">
        <v>20537</v>
      </c>
    </row>
    <row r="36" spans="1:76" ht="15.75" customHeight="1">
      <c r="A36" s="368" t="s">
        <v>7277</v>
      </c>
      <c r="B36" s="311" t="s">
        <v>7282</v>
      </c>
      <c r="C36" s="155">
        <v>167</v>
      </c>
      <c r="D36" s="312">
        <v>168</v>
      </c>
      <c r="E36" s="40" t="s">
        <v>6662</v>
      </c>
      <c r="F36" s="314">
        <v>33</v>
      </c>
      <c r="G36" s="316">
        <f>COUNTA(ME_13_D)</f>
        <v>22</v>
      </c>
      <c r="H36" s="316">
        <f>COUNTIF(ME_13_G,"TT")</f>
        <v>20</v>
      </c>
      <c r="I36" s="316">
        <f t="shared" si="8"/>
        <v>2</v>
      </c>
      <c r="J36" s="316">
        <f>COUNTA(ME_13_D)</f>
        <v>22</v>
      </c>
      <c r="K36" s="316">
        <f>COUNTIF(ME_13_G,"TT")</f>
        <v>20</v>
      </c>
      <c r="L36" s="316">
        <f t="shared" si="9"/>
        <v>2</v>
      </c>
      <c r="M36" s="316">
        <f>COUNTIFS('Mechanical Engineering Faculty'!$F$2045:$F$2066,M$1)</f>
        <v>12</v>
      </c>
      <c r="N36" s="316">
        <f>COUNTIFS('Mechanical Engineering Faculty'!$F$2045:$F$2066,N$1)</f>
        <v>2</v>
      </c>
      <c r="O36" s="316">
        <f>COUNTIFS('Mechanical Engineering Faculty'!$F$2045:$F$2066,O$1)</f>
        <v>6</v>
      </c>
      <c r="P36" s="316">
        <f>COUNTIFS(ME_13_G,"TT", ME_13_D,P$1)</f>
        <v>12</v>
      </c>
      <c r="Q36" s="316">
        <f>COUNTIFS(ME_13_G,"TT", ME_13_D,Q$1)</f>
        <v>2</v>
      </c>
      <c r="R36" s="316">
        <f>COUNTIFS(ME_13_G,"TT", ME_13_D,R$1)</f>
        <v>6</v>
      </c>
      <c r="S36" s="316">
        <f>COUNTIF(ME_13_D,S$1)</f>
        <v>2</v>
      </c>
      <c r="T36" s="316">
        <f t="shared" si="18"/>
        <v>0</v>
      </c>
      <c r="U36" s="316">
        <f t="shared" si="19"/>
        <v>0</v>
      </c>
      <c r="V36" s="316">
        <f t="shared" si="20"/>
        <v>0</v>
      </c>
      <c r="W36" s="316">
        <f t="shared" ref="W36:AB36" si="26">COUNTIF(ME_13_D,W$1)</f>
        <v>0</v>
      </c>
      <c r="X36" s="316">
        <f t="shared" si="26"/>
        <v>0</v>
      </c>
      <c r="Y36" s="316">
        <f t="shared" si="26"/>
        <v>0</v>
      </c>
      <c r="Z36" s="316">
        <f t="shared" si="26"/>
        <v>0</v>
      </c>
      <c r="AA36" s="316">
        <f t="shared" si="26"/>
        <v>0</v>
      </c>
      <c r="AB36" s="316">
        <f t="shared" si="26"/>
        <v>0</v>
      </c>
      <c r="AC36" s="315">
        <f>COUNTIF(ME_13_E,AC$1)+COUNTIF(ME_13_E,"E/D")</f>
        <v>0</v>
      </c>
      <c r="AD36" s="315">
        <f>COUNTIF(ME_13_E,AD$1)+COUNTIF(ME_13_E,"E/D")</f>
        <v>0</v>
      </c>
      <c r="AE36" s="361" t="s">
        <v>55</v>
      </c>
      <c r="AF36" s="404" t="s">
        <v>55</v>
      </c>
      <c r="AG36" s="404" t="s">
        <v>55</v>
      </c>
      <c r="AH36" s="404" t="s">
        <v>55</v>
      </c>
      <c r="AI36" s="404" t="s">
        <v>55</v>
      </c>
      <c r="AJ36" s="404" t="s">
        <v>55</v>
      </c>
      <c r="AK36" s="404" t="s">
        <v>55</v>
      </c>
      <c r="AL36" s="318">
        <f t="shared" si="22"/>
        <v>0</v>
      </c>
      <c r="AM36" s="318" t="s">
        <v>55</v>
      </c>
      <c r="AN36" s="405" t="s">
        <v>55</v>
      </c>
      <c r="AO36" s="405" t="s">
        <v>55</v>
      </c>
      <c r="AP36" s="405" t="s">
        <v>55</v>
      </c>
      <c r="AQ36" s="405" t="s">
        <v>55</v>
      </c>
      <c r="AR36" s="405" t="s">
        <v>55</v>
      </c>
      <c r="AS36" s="405" t="s">
        <v>55</v>
      </c>
      <c r="AT36" s="318">
        <f t="shared" si="23"/>
        <v>0</v>
      </c>
      <c r="AU36" s="318" t="s">
        <v>55</v>
      </c>
      <c r="AV36" s="405" t="s">
        <v>55</v>
      </c>
      <c r="AW36" s="405" t="s">
        <v>55</v>
      </c>
      <c r="AX36" s="405" t="s">
        <v>55</v>
      </c>
      <c r="AY36" s="405" t="s">
        <v>55</v>
      </c>
      <c r="AZ36" s="405" t="s">
        <v>55</v>
      </c>
      <c r="BA36" s="405" t="s">
        <v>55</v>
      </c>
      <c r="BB36" s="319">
        <f t="shared" si="24"/>
        <v>0</v>
      </c>
      <c r="BC36" s="332" t="s">
        <v>55</v>
      </c>
      <c r="BD36" s="332" t="s">
        <v>55</v>
      </c>
      <c r="BE36" s="332" t="s">
        <v>55</v>
      </c>
      <c r="BF36" s="332" t="s">
        <v>55</v>
      </c>
      <c r="BG36" s="332" t="s">
        <v>55</v>
      </c>
      <c r="BH36" s="332" t="s">
        <v>55</v>
      </c>
      <c r="BI36" s="332" t="s">
        <v>55</v>
      </c>
      <c r="BJ36" s="332" t="s">
        <v>55</v>
      </c>
      <c r="BK36" s="40" t="s">
        <v>7295</v>
      </c>
      <c r="BL36" s="320">
        <v>65</v>
      </c>
      <c r="BM36" s="320">
        <v>3.5</v>
      </c>
      <c r="BN36" s="320">
        <v>3.8</v>
      </c>
      <c r="BO36" s="40" t="s">
        <v>7328</v>
      </c>
      <c r="BP36" s="321">
        <v>495</v>
      </c>
      <c r="BQ36" s="344"/>
      <c r="BR36" s="314">
        <v>31</v>
      </c>
      <c r="BS36" s="314" t="s">
        <v>20542</v>
      </c>
      <c r="BT36" s="312">
        <v>605</v>
      </c>
      <c r="BU36" s="343">
        <v>68</v>
      </c>
      <c r="BV36" s="343">
        <v>3.5</v>
      </c>
      <c r="BW36" s="343">
        <v>3.8</v>
      </c>
      <c r="BX36" s="325" t="s">
        <v>20543</v>
      </c>
    </row>
    <row r="37" spans="1:76" ht="15.75" customHeight="1">
      <c r="A37" s="4" t="s">
        <v>6134</v>
      </c>
      <c r="B37" s="355" t="s">
        <v>2628</v>
      </c>
      <c r="C37" s="155">
        <v>164</v>
      </c>
      <c r="D37" s="312">
        <v>164</v>
      </c>
      <c r="E37" s="40" t="s">
        <v>5857</v>
      </c>
      <c r="F37" s="314">
        <v>36</v>
      </c>
      <c r="G37" s="316">
        <f>COUNTA(ME_6_D)</f>
        <v>62</v>
      </c>
      <c r="H37" s="316">
        <f>COUNTIF(ME_6_G,"TT")</f>
        <v>52</v>
      </c>
      <c r="I37" s="316">
        <f t="shared" si="8"/>
        <v>10</v>
      </c>
      <c r="J37" s="316">
        <f>COUNTA(ME_6_D)</f>
        <v>62</v>
      </c>
      <c r="K37" s="316">
        <f>COUNTIF(ME_6_G,"TT")</f>
        <v>52</v>
      </c>
      <c r="L37" s="316">
        <f t="shared" si="9"/>
        <v>10</v>
      </c>
      <c r="M37" s="316">
        <f>COUNTIFS('Mechanical Engineering Faculty'!$F$1721:$F$1782,M$1)</f>
        <v>29</v>
      </c>
      <c r="N37" s="316">
        <f>COUNTIFS('Mechanical Engineering Faculty'!$F$1721:$F$1782,N$1)</f>
        <v>10</v>
      </c>
      <c r="O37" s="316">
        <f>COUNTIFS('Mechanical Engineering Faculty'!$F$1721:$F$1782,O$1)</f>
        <v>13</v>
      </c>
      <c r="P37" s="316">
        <f>COUNTIFS(ME_6_G,"TT", ME_6_D,P$1)</f>
        <v>30</v>
      </c>
      <c r="Q37" s="316">
        <f>COUNTIFS(ME_6_G,"TT", ME_6_D,Q$1)</f>
        <v>11</v>
      </c>
      <c r="R37" s="316">
        <f>COUNTIFS(ME_6_G,"TT", ME_6_D,R$1)</f>
        <v>11</v>
      </c>
      <c r="S37" s="316">
        <f>COUNTIF(ME_6_D,S$1)</f>
        <v>1</v>
      </c>
      <c r="T37" s="316">
        <f t="shared" si="18"/>
        <v>1</v>
      </c>
      <c r="U37" s="316">
        <f t="shared" si="19"/>
        <v>1</v>
      </c>
      <c r="V37" s="316">
        <f t="shared" si="20"/>
        <v>-2</v>
      </c>
      <c r="W37" s="316">
        <f t="shared" ref="W37:AB37" si="27">COUNTIF(ME_6_D,W$1)</f>
        <v>0</v>
      </c>
      <c r="X37" s="316">
        <f t="shared" si="27"/>
        <v>4</v>
      </c>
      <c r="Y37" s="316">
        <f t="shared" si="27"/>
        <v>5</v>
      </c>
      <c r="Z37" s="316">
        <f t="shared" si="27"/>
        <v>0</v>
      </c>
      <c r="AA37" s="316">
        <f t="shared" si="27"/>
        <v>0</v>
      </c>
      <c r="AB37" s="316">
        <f t="shared" si="27"/>
        <v>0</v>
      </c>
      <c r="AC37" s="315">
        <f>COUNTIF(ME_6_E,AC$1)+COUNTIF(ME_6_E,"E/D")</f>
        <v>1</v>
      </c>
      <c r="AD37" s="315">
        <f>COUNTIF(ME_6_E,AD$1)+COUNTIF(ME_6_E,"E/D")</f>
        <v>8</v>
      </c>
      <c r="AE37" s="358">
        <v>11051000</v>
      </c>
      <c r="AF37" s="363">
        <v>71000</v>
      </c>
      <c r="AG37" s="363">
        <v>0</v>
      </c>
      <c r="AH37" s="363">
        <v>1057000</v>
      </c>
      <c r="AI37" s="363">
        <v>0</v>
      </c>
      <c r="AJ37" s="363">
        <v>318000</v>
      </c>
      <c r="AK37" s="327">
        <v>274000</v>
      </c>
      <c r="AL37" s="318">
        <f t="shared" si="22"/>
        <v>12771000</v>
      </c>
      <c r="AM37" s="356">
        <v>13345000</v>
      </c>
      <c r="AN37" s="356">
        <v>158000</v>
      </c>
      <c r="AO37" s="356">
        <v>0</v>
      </c>
      <c r="AP37" s="356">
        <v>1572000</v>
      </c>
      <c r="AQ37" s="356">
        <v>0</v>
      </c>
      <c r="AR37" s="356">
        <v>191000</v>
      </c>
      <c r="AS37" s="356">
        <v>279000</v>
      </c>
      <c r="AT37" s="318">
        <f t="shared" si="23"/>
        <v>15545000</v>
      </c>
      <c r="AU37" s="356">
        <v>14390000</v>
      </c>
      <c r="AV37" s="356">
        <v>120000</v>
      </c>
      <c r="AW37" s="356">
        <v>0</v>
      </c>
      <c r="AX37" s="356">
        <v>1001000</v>
      </c>
      <c r="AY37" s="356">
        <v>1000</v>
      </c>
      <c r="AZ37" s="356">
        <v>128000</v>
      </c>
      <c r="BA37" s="356">
        <v>302000</v>
      </c>
      <c r="BB37" s="319">
        <f t="shared" si="24"/>
        <v>15942000</v>
      </c>
      <c r="BC37" s="412">
        <v>16235000</v>
      </c>
      <c r="BD37" s="412">
        <v>456000</v>
      </c>
      <c r="BE37" s="412">
        <v>0</v>
      </c>
      <c r="BF37" s="412">
        <v>1493000</v>
      </c>
      <c r="BG37" s="412">
        <v>2000</v>
      </c>
      <c r="BH37" s="412">
        <v>502000</v>
      </c>
      <c r="BI37" s="412">
        <v>281000</v>
      </c>
      <c r="BJ37" s="314">
        <f>SUM(BC37:BI37)</f>
        <v>18969000</v>
      </c>
      <c r="BK37" s="40" t="s">
        <v>6149</v>
      </c>
      <c r="BL37" s="320">
        <v>63</v>
      </c>
      <c r="BM37" s="320">
        <v>3.5</v>
      </c>
      <c r="BN37" s="320">
        <v>3.7</v>
      </c>
      <c r="BO37" s="40" t="s">
        <v>6181</v>
      </c>
      <c r="BP37" s="321">
        <v>2317</v>
      </c>
      <c r="BQ37" s="314">
        <v>19</v>
      </c>
      <c r="BR37" s="314">
        <v>48</v>
      </c>
      <c r="BS37" s="314" t="s">
        <v>20528</v>
      </c>
      <c r="BT37" s="339">
        <v>2248</v>
      </c>
      <c r="BU37" s="367">
        <v>2248</v>
      </c>
      <c r="BV37" s="343">
        <v>3.3</v>
      </c>
      <c r="BW37" s="343">
        <v>3.7</v>
      </c>
      <c r="BX37" s="325" t="s">
        <v>20529</v>
      </c>
    </row>
    <row r="38" spans="1:76" ht="15.75" customHeight="1">
      <c r="A38" s="4" t="s">
        <v>7097</v>
      </c>
      <c r="B38" s="355" t="s">
        <v>7101</v>
      </c>
      <c r="C38" s="155">
        <v>165</v>
      </c>
      <c r="D38" s="312">
        <v>165</v>
      </c>
      <c r="E38" s="40" t="s">
        <v>6662</v>
      </c>
      <c r="F38" s="314">
        <v>36</v>
      </c>
      <c r="G38" s="316">
        <f>COUNTA(ME_12_D)</f>
        <v>52</v>
      </c>
      <c r="H38" s="316">
        <f>COUNTIF(ME_12_G,"TT")</f>
        <v>46</v>
      </c>
      <c r="I38" s="316">
        <f t="shared" si="8"/>
        <v>6</v>
      </c>
      <c r="J38" s="316">
        <f>COUNTA(ME_12_D)</f>
        <v>52</v>
      </c>
      <c r="K38" s="316">
        <f>COUNTIF(ME_12_G,"TT")</f>
        <v>46</v>
      </c>
      <c r="L38" s="316">
        <f t="shared" si="9"/>
        <v>6</v>
      </c>
      <c r="M38" s="316">
        <f>COUNTIFS('Mechanical Engineering Faculty'!$F$1992:$F$2043,M$1)</f>
        <v>19</v>
      </c>
      <c r="N38" s="316">
        <f>COUNTIFS('Mechanical Engineering Faculty'!$F$1992:$F$2043,N$1)</f>
        <v>8</v>
      </c>
      <c r="O38" s="316">
        <f>COUNTIFS('Mechanical Engineering Faculty'!$F$1992:$F$2043,O$1)</f>
        <v>11</v>
      </c>
      <c r="P38" s="316">
        <f>COUNTIFS(ME_12_G,"TT", ME_12_D,P$1)</f>
        <v>19</v>
      </c>
      <c r="Q38" s="316">
        <f>COUNTIFS(ME_12_G,"TT", ME_12_D,Q$1)</f>
        <v>8</v>
      </c>
      <c r="R38" s="316">
        <f>COUNTIFS(ME_12_G,"TT", ME_12_D,R$1)</f>
        <v>11</v>
      </c>
      <c r="S38" s="316">
        <f>COUNTIF(ME_12_D,S$1)</f>
        <v>0</v>
      </c>
      <c r="T38" s="316">
        <f t="shared" si="18"/>
        <v>0</v>
      </c>
      <c r="U38" s="316">
        <f t="shared" si="19"/>
        <v>0</v>
      </c>
      <c r="V38" s="316">
        <f t="shared" si="20"/>
        <v>0</v>
      </c>
      <c r="W38" s="316">
        <f t="shared" ref="W38:AB38" si="28">COUNTIF(ME_12_D,W$1)</f>
        <v>1</v>
      </c>
      <c r="X38" s="316">
        <f t="shared" si="28"/>
        <v>4</v>
      </c>
      <c r="Y38" s="316">
        <f t="shared" si="28"/>
        <v>1</v>
      </c>
      <c r="Z38" s="316">
        <f t="shared" si="28"/>
        <v>2</v>
      </c>
      <c r="AA38" s="316">
        <f t="shared" si="28"/>
        <v>3</v>
      </c>
      <c r="AB38" s="316">
        <f t="shared" si="28"/>
        <v>3</v>
      </c>
      <c r="AC38" s="315">
        <f>COUNTIF(ME_12_E,AC$1)+COUNTIF(ME_12_E,"E/D")</f>
        <v>0</v>
      </c>
      <c r="AD38" s="315">
        <f>COUNTIF(ME_12_E,AD$1)+COUNTIF(ME_12_E,"E/D")</f>
        <v>5</v>
      </c>
      <c r="AE38" s="358">
        <v>9325985</v>
      </c>
      <c r="AF38" s="358">
        <v>0</v>
      </c>
      <c r="AG38" s="358">
        <v>0</v>
      </c>
      <c r="AH38" s="358">
        <v>6587492</v>
      </c>
      <c r="AI38" s="358">
        <v>0</v>
      </c>
      <c r="AJ38" s="358">
        <v>90330</v>
      </c>
      <c r="AK38" s="408">
        <v>196187</v>
      </c>
      <c r="AL38" s="318">
        <f t="shared" si="22"/>
        <v>16199994</v>
      </c>
      <c r="AM38" s="318" t="s">
        <v>55</v>
      </c>
      <c r="AN38" s="318" t="s">
        <v>55</v>
      </c>
      <c r="AO38" s="318" t="s">
        <v>55</v>
      </c>
      <c r="AP38" s="318" t="s">
        <v>55</v>
      </c>
      <c r="AQ38" s="318" t="s">
        <v>55</v>
      </c>
      <c r="AR38" s="318" t="s">
        <v>55</v>
      </c>
      <c r="AS38" s="318" t="s">
        <v>55</v>
      </c>
      <c r="AT38" s="318">
        <f t="shared" si="23"/>
        <v>0</v>
      </c>
      <c r="AU38" s="318" t="s">
        <v>55</v>
      </c>
      <c r="AV38" s="318" t="s">
        <v>55</v>
      </c>
      <c r="AW38" s="318" t="s">
        <v>55</v>
      </c>
      <c r="AX38" s="318" t="s">
        <v>55</v>
      </c>
      <c r="AY38" s="318" t="s">
        <v>55</v>
      </c>
      <c r="AZ38" s="318" t="s">
        <v>55</v>
      </c>
      <c r="BA38" s="318" t="s">
        <v>55</v>
      </c>
      <c r="BB38" s="319">
        <f t="shared" si="24"/>
        <v>0</v>
      </c>
      <c r="BC38" s="332" t="s">
        <v>55</v>
      </c>
      <c r="BD38" s="332" t="s">
        <v>55</v>
      </c>
      <c r="BE38" s="332" t="s">
        <v>55</v>
      </c>
      <c r="BF38" s="332" t="s">
        <v>55</v>
      </c>
      <c r="BG38" s="332" t="s">
        <v>55</v>
      </c>
      <c r="BH38" s="332" t="s">
        <v>55</v>
      </c>
      <c r="BI38" s="332" t="s">
        <v>55</v>
      </c>
      <c r="BJ38" s="332" t="s">
        <v>55</v>
      </c>
      <c r="BK38" s="40" t="s">
        <v>6149</v>
      </c>
      <c r="BL38" s="320">
        <v>63</v>
      </c>
      <c r="BM38" s="320">
        <v>3.3</v>
      </c>
      <c r="BN38" s="320">
        <v>3.7</v>
      </c>
      <c r="BO38" s="40" t="s">
        <v>7142</v>
      </c>
      <c r="BP38" s="321">
        <v>641</v>
      </c>
      <c r="BQ38" s="344"/>
      <c r="BR38" s="314">
        <v>45</v>
      </c>
      <c r="BS38" s="314" t="s">
        <v>20540</v>
      </c>
      <c r="BT38" s="312">
        <v>645</v>
      </c>
      <c r="BU38" s="343">
        <v>63</v>
      </c>
      <c r="BV38" s="343">
        <v>3.3</v>
      </c>
      <c r="BW38" s="343">
        <v>3.6</v>
      </c>
      <c r="BX38" s="325" t="s">
        <v>20541</v>
      </c>
    </row>
    <row r="39" spans="1:76" ht="15.75" customHeight="1">
      <c r="A39" s="4" t="s">
        <v>7683</v>
      </c>
      <c r="B39" s="311" t="s">
        <v>7688</v>
      </c>
      <c r="C39" s="155">
        <v>165</v>
      </c>
      <c r="D39" s="312">
        <v>165</v>
      </c>
      <c r="E39" s="40" t="s">
        <v>7381</v>
      </c>
      <c r="F39" s="314">
        <v>36</v>
      </c>
      <c r="G39" s="316">
        <f>COUNTA(ME_16_D)</f>
        <v>31</v>
      </c>
      <c r="H39" s="316">
        <f>COUNTIF(ME_16_G,"TT")</f>
        <v>26</v>
      </c>
      <c r="I39" s="316">
        <f t="shared" si="8"/>
        <v>5</v>
      </c>
      <c r="J39" s="316">
        <f>COUNTA(ME_16_D)</f>
        <v>31</v>
      </c>
      <c r="K39" s="316">
        <f>COUNTIF(ME_16_G,"TT")</f>
        <v>26</v>
      </c>
      <c r="L39" s="316">
        <f t="shared" si="9"/>
        <v>5</v>
      </c>
      <c r="M39" s="316">
        <f>COUNTIFS('Mechanical Engineering Faculty'!$F$2156:$F$2186,M$1)</f>
        <v>14</v>
      </c>
      <c r="N39" s="316">
        <f>COUNTIFS('Mechanical Engineering Faculty'!$F$2156:$F$2186,N$1)</f>
        <v>5</v>
      </c>
      <c r="O39" s="316">
        <f>COUNTIFS('Mechanical Engineering Faculty'!$F$2156:$F$2186,O$1)</f>
        <v>8</v>
      </c>
      <c r="P39" s="316">
        <f>COUNTIFS(ME_16_G,"TT", ME_16_D,P$1)</f>
        <v>13</v>
      </c>
      <c r="Q39" s="316">
        <f>COUNTIFS(ME_16_G,"TT", ME_16_D,Q$1)</f>
        <v>5</v>
      </c>
      <c r="R39" s="316">
        <f>COUNTIFS(ME_16_G,"TT", ME_16_D,R$1)</f>
        <v>8</v>
      </c>
      <c r="S39" s="316">
        <f>COUNTIF(ME_16_D,S$1)</f>
        <v>0</v>
      </c>
      <c r="T39" s="316">
        <f t="shared" si="18"/>
        <v>-1</v>
      </c>
      <c r="U39" s="316">
        <f t="shared" si="19"/>
        <v>0</v>
      </c>
      <c r="V39" s="316">
        <f t="shared" si="20"/>
        <v>0</v>
      </c>
      <c r="W39" s="316">
        <f t="shared" ref="W39:AB39" si="29">COUNTIF(ME_16_D,W$1)</f>
        <v>1</v>
      </c>
      <c r="X39" s="316">
        <f t="shared" si="29"/>
        <v>0</v>
      </c>
      <c r="Y39" s="316">
        <f t="shared" si="29"/>
        <v>2</v>
      </c>
      <c r="Z39" s="316">
        <f t="shared" si="29"/>
        <v>0</v>
      </c>
      <c r="AA39" s="316">
        <f t="shared" si="29"/>
        <v>0</v>
      </c>
      <c r="AB39" s="316">
        <f t="shared" si="29"/>
        <v>0</v>
      </c>
      <c r="AC39" s="315">
        <f>COUNTIF(ME_16_E,AC$1)+COUNTIF(ME_16_E,"E/D")</f>
        <v>3</v>
      </c>
      <c r="AD39" s="315">
        <f>COUNTIF(ME_16_E,AD$1)+COUNTIF(ME_16_E,"E/D")</f>
        <v>0</v>
      </c>
      <c r="AE39" s="358">
        <v>4658279</v>
      </c>
      <c r="AF39" s="363">
        <v>0</v>
      </c>
      <c r="AG39" s="363">
        <v>0</v>
      </c>
      <c r="AH39" s="363">
        <v>3422835</v>
      </c>
      <c r="AI39" s="363">
        <v>700550</v>
      </c>
      <c r="AJ39" s="363">
        <v>569316</v>
      </c>
      <c r="AK39" s="369">
        <v>851828</v>
      </c>
      <c r="AL39" s="318">
        <f t="shared" si="22"/>
        <v>10202808</v>
      </c>
      <c r="AM39" s="356">
        <v>592460</v>
      </c>
      <c r="AN39" s="327">
        <v>0</v>
      </c>
      <c r="AO39" s="327">
        <v>0</v>
      </c>
      <c r="AP39" s="327">
        <v>2743964</v>
      </c>
      <c r="AQ39" s="327">
        <v>117484</v>
      </c>
      <c r="AR39" s="327">
        <v>411170</v>
      </c>
      <c r="AS39" s="327">
        <v>498872</v>
      </c>
      <c r="AT39" s="318">
        <f t="shared" si="23"/>
        <v>4363950</v>
      </c>
      <c r="AU39" s="356">
        <v>7187570</v>
      </c>
      <c r="AV39" s="327">
        <v>0</v>
      </c>
      <c r="AW39" s="327">
        <v>0</v>
      </c>
      <c r="AX39" s="327">
        <v>1298434</v>
      </c>
      <c r="AY39" s="327">
        <v>0</v>
      </c>
      <c r="AZ39" s="327">
        <v>467950</v>
      </c>
      <c r="BA39" s="327">
        <v>0</v>
      </c>
      <c r="BB39" s="319">
        <f t="shared" si="24"/>
        <v>8953954</v>
      </c>
      <c r="BC39" s="328">
        <v>10370840</v>
      </c>
      <c r="BD39" s="329">
        <v>0</v>
      </c>
      <c r="BE39" s="329">
        <v>0</v>
      </c>
      <c r="BF39" s="329">
        <v>6921265</v>
      </c>
      <c r="BG39" s="329">
        <v>15000</v>
      </c>
      <c r="BH39" s="329">
        <v>1721640</v>
      </c>
      <c r="BI39" s="329">
        <v>1478221</v>
      </c>
      <c r="BJ39" s="314">
        <f t="shared" ref="BJ39:BJ48" si="30">SUM(BC39:BI39)</f>
        <v>20506966</v>
      </c>
      <c r="BK39" s="40" t="s">
        <v>7544</v>
      </c>
      <c r="BL39" s="320">
        <v>68</v>
      </c>
      <c r="BM39" s="320">
        <v>3.4</v>
      </c>
      <c r="BN39" s="320">
        <v>3.6</v>
      </c>
      <c r="BO39" s="40" t="s">
        <v>801</v>
      </c>
      <c r="BP39" s="321">
        <v>1897</v>
      </c>
      <c r="BQ39" s="314">
        <v>48</v>
      </c>
      <c r="BR39" s="314">
        <v>31</v>
      </c>
      <c r="BS39" s="314" t="s">
        <v>20476</v>
      </c>
      <c r="BT39" s="339">
        <v>1823</v>
      </c>
      <c r="BU39" s="343">
        <v>68</v>
      </c>
      <c r="BV39" s="343">
        <v>3.4</v>
      </c>
      <c r="BW39" s="343">
        <v>3.6</v>
      </c>
      <c r="BX39" s="325" t="s">
        <v>20547</v>
      </c>
    </row>
    <row r="40" spans="1:76" ht="15.75" customHeight="1">
      <c r="A40" s="4" t="s">
        <v>8024</v>
      </c>
      <c r="B40" s="311" t="s">
        <v>2628</v>
      </c>
      <c r="C40" s="155">
        <v>163</v>
      </c>
      <c r="D40" s="312">
        <v>164</v>
      </c>
      <c r="E40" s="40" t="s">
        <v>7821</v>
      </c>
      <c r="F40" s="314">
        <v>36</v>
      </c>
      <c r="G40" s="316">
        <f>COUNTA(ME_18_D)</f>
        <v>56</v>
      </c>
      <c r="H40" s="316">
        <f>COUNTIF(ME_18_G,"TT")</f>
        <v>47</v>
      </c>
      <c r="I40" s="316">
        <f t="shared" si="8"/>
        <v>9</v>
      </c>
      <c r="J40" s="316">
        <f>COUNTA(ME_18_D)</f>
        <v>56</v>
      </c>
      <c r="K40" s="316">
        <f>COUNTIF(ME_18_G,"TT")</f>
        <v>47</v>
      </c>
      <c r="L40" s="316">
        <f t="shared" si="9"/>
        <v>9</v>
      </c>
      <c r="M40" s="316">
        <f>COUNTIFS('Mechanical Engineering Faculty'!$F$2244:$F$2299,M$1)</f>
        <v>20</v>
      </c>
      <c r="N40" s="316">
        <f>COUNTIFS('Mechanical Engineering Faculty'!$F$2244:$F$2299,N$1)</f>
        <v>17</v>
      </c>
      <c r="O40" s="316">
        <f>COUNTIFS('Mechanical Engineering Faculty'!$F$2244:$F$2299,O$1)</f>
        <v>8</v>
      </c>
      <c r="P40" s="316">
        <f>COUNTIFS(ME_18_G,"TT", ME_18_D,P$1)</f>
        <v>19</v>
      </c>
      <c r="Q40" s="316">
        <f>COUNTIFS(ME_18_G,"TT", ME_18_D,Q$1)</f>
        <v>16</v>
      </c>
      <c r="R40" s="316">
        <f>COUNTIFS(ME_18_G,"TT", ME_18_D,R$1)</f>
        <v>12</v>
      </c>
      <c r="S40" s="316">
        <f>COUNTIF(ME_18_D,S$1)</f>
        <v>0</v>
      </c>
      <c r="T40" s="316">
        <f t="shared" si="18"/>
        <v>-1</v>
      </c>
      <c r="U40" s="316">
        <f t="shared" si="19"/>
        <v>-1</v>
      </c>
      <c r="V40" s="316">
        <f t="shared" si="20"/>
        <v>4</v>
      </c>
      <c r="W40" s="316">
        <f t="shared" ref="W40:AB40" si="31">COUNTIF(ME_18_D,W$1)</f>
        <v>1</v>
      </c>
      <c r="X40" s="316">
        <f t="shared" si="31"/>
        <v>3</v>
      </c>
      <c r="Y40" s="316">
        <f t="shared" si="31"/>
        <v>0</v>
      </c>
      <c r="Z40" s="316">
        <f t="shared" si="31"/>
        <v>0</v>
      </c>
      <c r="AA40" s="316">
        <f t="shared" si="31"/>
        <v>0</v>
      </c>
      <c r="AB40" s="316">
        <f t="shared" si="31"/>
        <v>1</v>
      </c>
      <c r="AC40" s="315">
        <f>COUNTIF(ME_18_E,AC$1)+COUNTIF(ME_18_E,"E/D")</f>
        <v>2</v>
      </c>
      <c r="AD40" s="315">
        <f>COUNTIF(ME_18_E,AD$1)+COUNTIF(ME_18_E,"E/D")</f>
        <v>3</v>
      </c>
      <c r="AE40" s="358">
        <v>8590000</v>
      </c>
      <c r="AF40" s="363">
        <v>0</v>
      </c>
      <c r="AG40" s="363">
        <v>0</v>
      </c>
      <c r="AH40" s="363">
        <v>1171000</v>
      </c>
      <c r="AI40" s="363">
        <v>0</v>
      </c>
      <c r="AJ40" s="363">
        <v>93000</v>
      </c>
      <c r="AK40" s="369">
        <v>2736000</v>
      </c>
      <c r="AL40" s="318">
        <f t="shared" si="22"/>
        <v>12590000</v>
      </c>
      <c r="AM40" s="356">
        <v>8555000</v>
      </c>
      <c r="AN40" s="327">
        <v>0</v>
      </c>
      <c r="AO40" s="327">
        <v>0</v>
      </c>
      <c r="AP40" s="327">
        <v>1419000</v>
      </c>
      <c r="AQ40" s="327">
        <v>0</v>
      </c>
      <c r="AR40" s="327">
        <v>103000</v>
      </c>
      <c r="AS40" s="327">
        <v>4475000</v>
      </c>
      <c r="AT40" s="318">
        <f t="shared" si="23"/>
        <v>14552000</v>
      </c>
      <c r="AU40" s="356">
        <v>10697000</v>
      </c>
      <c r="AV40" s="327">
        <v>0</v>
      </c>
      <c r="AW40" s="327">
        <v>0</v>
      </c>
      <c r="AX40" s="327">
        <v>1449000</v>
      </c>
      <c r="AY40" s="327">
        <v>0</v>
      </c>
      <c r="AZ40" s="327">
        <v>128000</v>
      </c>
      <c r="BA40" s="327">
        <v>3103000</v>
      </c>
      <c r="BB40" s="319">
        <f t="shared" si="24"/>
        <v>15377000</v>
      </c>
      <c r="BC40" s="328">
        <v>13728000</v>
      </c>
      <c r="BD40" s="329">
        <v>0</v>
      </c>
      <c r="BE40" s="329">
        <v>0</v>
      </c>
      <c r="BF40" s="329">
        <v>110000</v>
      </c>
      <c r="BG40" s="329">
        <v>0</v>
      </c>
      <c r="BH40" s="329">
        <v>179000</v>
      </c>
      <c r="BI40" s="329">
        <v>4850000</v>
      </c>
      <c r="BJ40" s="314">
        <f t="shared" si="30"/>
        <v>18867000</v>
      </c>
      <c r="BK40" s="40" t="s">
        <v>6504</v>
      </c>
      <c r="BL40" s="320">
        <v>73</v>
      </c>
      <c r="BM40" s="320">
        <v>3.6</v>
      </c>
      <c r="BN40" s="320">
        <v>3.7</v>
      </c>
      <c r="BO40" s="40" t="s">
        <v>8073</v>
      </c>
      <c r="BP40" s="321">
        <v>3281</v>
      </c>
      <c r="BQ40" s="314">
        <v>15</v>
      </c>
      <c r="BR40" s="314">
        <v>27</v>
      </c>
      <c r="BS40" s="314" t="s">
        <v>20550</v>
      </c>
      <c r="BT40" s="339">
        <v>3105</v>
      </c>
      <c r="BU40" s="343">
        <v>71</v>
      </c>
      <c r="BV40" s="343">
        <v>3.4</v>
      </c>
      <c r="BW40" s="343">
        <v>3.6</v>
      </c>
      <c r="BX40" s="325" t="s">
        <v>20551</v>
      </c>
    </row>
    <row r="41" spans="1:76" ht="15.75" customHeight="1">
      <c r="A41" s="4" t="s">
        <v>8751</v>
      </c>
      <c r="B41" s="311" t="s">
        <v>2714</v>
      </c>
      <c r="C41" s="155" t="s">
        <v>55</v>
      </c>
      <c r="D41" s="312" t="s">
        <v>20474</v>
      </c>
      <c r="E41" s="40" t="s">
        <v>8508</v>
      </c>
      <c r="F41" s="314">
        <v>36</v>
      </c>
      <c r="G41" s="316">
        <f>COUNTA(ME_23_D)</f>
        <v>18</v>
      </c>
      <c r="H41" s="316">
        <f>COUNTIF(ME_23_G,"TT")</f>
        <v>16</v>
      </c>
      <c r="I41" s="316">
        <f t="shared" si="8"/>
        <v>2</v>
      </c>
      <c r="J41" s="316">
        <f>COUNTA(ME_23_D)</f>
        <v>18</v>
      </c>
      <c r="K41" s="316">
        <f>COUNTIF(ME_23_G,"TT")</f>
        <v>16</v>
      </c>
      <c r="L41" s="316">
        <f t="shared" si="9"/>
        <v>2</v>
      </c>
      <c r="M41" s="316">
        <f>COUNTIFS('Mechanical Engineering Faculty'!$F$2464:$F$2481,M$1)</f>
        <v>10</v>
      </c>
      <c r="N41" s="316">
        <f>COUNTIFS('Mechanical Engineering Faculty'!$F$2464:$F$2481,N$1)</f>
        <v>4</v>
      </c>
      <c r="O41" s="316">
        <f>COUNTIFS('Mechanical Engineering Faculty'!$F$2464:$F$2481,O$1)</f>
        <v>2</v>
      </c>
      <c r="P41" s="316">
        <f>COUNTIFS(ME_23_G,"TT", ME_23_D,P$1)</f>
        <v>10</v>
      </c>
      <c r="Q41" s="316">
        <f>COUNTIFS(ME_23_G,"TT", ME_23_D,Q$1)</f>
        <v>4</v>
      </c>
      <c r="R41" s="316">
        <f>COUNTIFS(ME_23_G,"TT", ME_23_D,R$1)</f>
        <v>2</v>
      </c>
      <c r="S41" s="316">
        <f>COUNTIF(ME_23_D,S$1)</f>
        <v>0</v>
      </c>
      <c r="T41" s="316">
        <f t="shared" si="18"/>
        <v>0</v>
      </c>
      <c r="U41" s="316">
        <f t="shared" si="19"/>
        <v>0</v>
      </c>
      <c r="V41" s="316">
        <f t="shared" si="20"/>
        <v>0</v>
      </c>
      <c r="W41" s="316">
        <f t="shared" ref="W41:AB41" si="32">COUNTIF(ME_23_D,W$1)</f>
        <v>0</v>
      </c>
      <c r="X41" s="316">
        <f t="shared" si="32"/>
        <v>0</v>
      </c>
      <c r="Y41" s="316">
        <f t="shared" si="32"/>
        <v>0</v>
      </c>
      <c r="Z41" s="316">
        <f t="shared" si="32"/>
        <v>0</v>
      </c>
      <c r="AA41" s="316">
        <f t="shared" si="32"/>
        <v>0</v>
      </c>
      <c r="AB41" s="316">
        <f t="shared" si="32"/>
        <v>1</v>
      </c>
      <c r="AC41" s="315">
        <f>COUNTIF(ME_23_E,AC$1)+COUNTIF(ME_23_E,"E/D")</f>
        <v>0</v>
      </c>
      <c r="AD41" s="315">
        <f>COUNTIF(ME_23_E,AD$1)+COUNTIF(ME_23_E,"E/D")</f>
        <v>0</v>
      </c>
      <c r="AE41" s="358">
        <v>5980000</v>
      </c>
      <c r="AF41" s="363">
        <v>1000</v>
      </c>
      <c r="AG41" s="363">
        <v>0</v>
      </c>
      <c r="AH41" s="363">
        <v>146000</v>
      </c>
      <c r="AI41" s="363">
        <v>0</v>
      </c>
      <c r="AJ41" s="363">
        <v>585000</v>
      </c>
      <c r="AK41" s="369">
        <v>0</v>
      </c>
      <c r="AL41" s="318">
        <f t="shared" si="22"/>
        <v>6712000</v>
      </c>
      <c r="AM41" s="318" t="s">
        <v>55</v>
      </c>
      <c r="AN41" s="405" t="s">
        <v>55</v>
      </c>
      <c r="AO41" s="405" t="s">
        <v>55</v>
      </c>
      <c r="AP41" s="405" t="s">
        <v>55</v>
      </c>
      <c r="AQ41" s="405" t="s">
        <v>55</v>
      </c>
      <c r="AR41" s="405" t="s">
        <v>55</v>
      </c>
      <c r="AS41" s="405" t="s">
        <v>55</v>
      </c>
      <c r="AT41" s="318">
        <f t="shared" si="23"/>
        <v>0</v>
      </c>
      <c r="AU41" s="356">
        <v>6375000</v>
      </c>
      <c r="AV41" s="327">
        <v>12000</v>
      </c>
      <c r="AW41" s="327">
        <v>0</v>
      </c>
      <c r="AX41" s="327">
        <v>0</v>
      </c>
      <c r="AY41" s="327">
        <v>0</v>
      </c>
      <c r="AZ41" s="327">
        <v>480000</v>
      </c>
      <c r="BA41" s="327">
        <v>0</v>
      </c>
      <c r="BB41" s="319">
        <f t="shared" si="24"/>
        <v>6867000</v>
      </c>
      <c r="BC41" s="328">
        <v>6772000</v>
      </c>
      <c r="BD41" s="329">
        <v>34000</v>
      </c>
      <c r="BE41" s="329">
        <v>0</v>
      </c>
      <c r="BF41" s="329">
        <v>24000</v>
      </c>
      <c r="BG41" s="329">
        <v>0</v>
      </c>
      <c r="BH41" s="329">
        <v>585000</v>
      </c>
      <c r="BI41" s="329">
        <v>0</v>
      </c>
      <c r="BJ41" s="314">
        <f t="shared" si="30"/>
        <v>7415000</v>
      </c>
      <c r="BK41" s="40" t="s">
        <v>7295</v>
      </c>
      <c r="BL41" s="320">
        <v>65</v>
      </c>
      <c r="BM41" s="320">
        <v>3.4</v>
      </c>
      <c r="BN41" s="320">
        <v>3.6</v>
      </c>
      <c r="BO41" s="40" t="s">
        <v>8800</v>
      </c>
      <c r="BP41" s="321">
        <v>641</v>
      </c>
      <c r="BQ41" s="344"/>
      <c r="BR41" s="314">
        <v>41</v>
      </c>
      <c r="BS41" s="314" t="s">
        <v>20560</v>
      </c>
      <c r="BT41" s="312">
        <v>686</v>
      </c>
      <c r="BU41" s="343">
        <v>65</v>
      </c>
      <c r="BV41" s="343">
        <v>3.4</v>
      </c>
      <c r="BW41" s="343">
        <v>3.7</v>
      </c>
      <c r="BX41" s="325" t="s">
        <v>20561</v>
      </c>
    </row>
    <row r="42" spans="1:76" ht="15.75" customHeight="1">
      <c r="A42" s="4" t="s">
        <v>7367</v>
      </c>
      <c r="B42" s="311" t="s">
        <v>7372</v>
      </c>
      <c r="C42" s="155">
        <v>164</v>
      </c>
      <c r="D42" s="312">
        <v>163</v>
      </c>
      <c r="E42" s="40" t="s">
        <v>7381</v>
      </c>
      <c r="F42" s="314">
        <v>41</v>
      </c>
      <c r="G42" s="316">
        <f>COUNTA(ME_14_D)</f>
        <v>41</v>
      </c>
      <c r="H42" s="316">
        <f>COUNTIF(ME_14_G,"TT")</f>
        <v>38</v>
      </c>
      <c r="I42" s="316">
        <f t="shared" si="8"/>
        <v>3</v>
      </c>
      <c r="J42" s="316">
        <f>COUNTA(ME_14_D)</f>
        <v>41</v>
      </c>
      <c r="K42" s="316">
        <f>COUNTIF(ME_14_G,"TT")</f>
        <v>38</v>
      </c>
      <c r="L42" s="316">
        <f t="shared" si="9"/>
        <v>3</v>
      </c>
      <c r="M42" s="316">
        <f>COUNTIFS('Mechanical Engineering Faculty'!$F$2068:$F$2108,M$1)</f>
        <v>10</v>
      </c>
      <c r="N42" s="316">
        <f>COUNTIFS('Mechanical Engineering Faculty'!$F$2068:$F$2108,N$1)</f>
        <v>19</v>
      </c>
      <c r="O42" s="316">
        <f>COUNTIFS('Mechanical Engineering Faculty'!$F$2068:$F$2108,O$1)</f>
        <v>10</v>
      </c>
      <c r="P42" s="316">
        <f>COUNTIFS(ME_14_G,"TT", ME_14_D,P$1)</f>
        <v>10</v>
      </c>
      <c r="Q42" s="316">
        <f>COUNTIFS(ME_14_G,"TT", ME_14_D,Q$1)</f>
        <v>19</v>
      </c>
      <c r="R42" s="316">
        <f>COUNTIFS(ME_14_G,"TT", ME_14_D,R$1)</f>
        <v>9</v>
      </c>
      <c r="S42" s="316">
        <f>COUNTIF(ME_14_D,S$1)</f>
        <v>0</v>
      </c>
      <c r="T42" s="316">
        <f t="shared" si="18"/>
        <v>0</v>
      </c>
      <c r="U42" s="316">
        <f t="shared" si="19"/>
        <v>0</v>
      </c>
      <c r="V42" s="316">
        <f t="shared" si="20"/>
        <v>-1</v>
      </c>
      <c r="W42" s="316">
        <f t="shared" ref="W42:AB42" si="33">COUNTIF(ME_14_D,W$1)</f>
        <v>0</v>
      </c>
      <c r="X42" s="316">
        <f t="shared" si="33"/>
        <v>1</v>
      </c>
      <c r="Y42" s="316">
        <f t="shared" si="33"/>
        <v>0</v>
      </c>
      <c r="Z42" s="316">
        <f t="shared" si="33"/>
        <v>0</v>
      </c>
      <c r="AA42" s="316">
        <f t="shared" si="33"/>
        <v>0</v>
      </c>
      <c r="AB42" s="316">
        <f t="shared" si="33"/>
        <v>0</v>
      </c>
      <c r="AC42" s="315">
        <f>COUNTIF(ME_14_E,AC$1)+COUNTIF(ME_14_E,"E/D")</f>
        <v>0</v>
      </c>
      <c r="AD42" s="315">
        <f>COUNTIF(ME_14_E,AD$1)+COUNTIF(ME_14_E,"E/D")</f>
        <v>1</v>
      </c>
      <c r="AE42" s="358">
        <v>8313510</v>
      </c>
      <c r="AF42" s="363">
        <v>342</v>
      </c>
      <c r="AG42" s="363">
        <v>0</v>
      </c>
      <c r="AH42" s="363">
        <v>943179</v>
      </c>
      <c r="AI42" s="363">
        <v>2115</v>
      </c>
      <c r="AJ42" s="363">
        <v>224723</v>
      </c>
      <c r="AK42" s="369">
        <v>81073</v>
      </c>
      <c r="AL42" s="318">
        <f t="shared" si="22"/>
        <v>9564942</v>
      </c>
      <c r="AM42" s="356">
        <v>7779172</v>
      </c>
      <c r="AN42" s="327">
        <v>2448</v>
      </c>
      <c r="AO42" s="327">
        <v>0</v>
      </c>
      <c r="AP42" s="327">
        <v>707572</v>
      </c>
      <c r="AQ42" s="327">
        <v>19044</v>
      </c>
      <c r="AR42" s="327">
        <v>248367</v>
      </c>
      <c r="AS42" s="327">
        <v>150970</v>
      </c>
      <c r="AT42" s="318">
        <f t="shared" si="23"/>
        <v>8907573</v>
      </c>
      <c r="AU42" s="356">
        <v>6922768</v>
      </c>
      <c r="AV42" s="327">
        <v>50812</v>
      </c>
      <c r="AW42" s="327">
        <v>0</v>
      </c>
      <c r="AX42" s="327">
        <v>1040458</v>
      </c>
      <c r="AY42" s="327">
        <v>91522</v>
      </c>
      <c r="AZ42" s="327">
        <v>285782</v>
      </c>
      <c r="BA42" s="327">
        <v>7311553</v>
      </c>
      <c r="BB42" s="319">
        <f t="shared" si="24"/>
        <v>15702895</v>
      </c>
      <c r="BC42" s="328">
        <v>7204601</v>
      </c>
      <c r="BD42" s="329">
        <v>80882</v>
      </c>
      <c r="BE42" s="329">
        <v>0</v>
      </c>
      <c r="BF42" s="329">
        <v>529289</v>
      </c>
      <c r="BG42" s="329">
        <v>42053</v>
      </c>
      <c r="BH42" s="329">
        <v>163933</v>
      </c>
      <c r="BI42" s="329">
        <v>76578</v>
      </c>
      <c r="BJ42" s="314">
        <f t="shared" si="30"/>
        <v>8097336</v>
      </c>
      <c r="BK42" s="40" t="s">
        <v>7386</v>
      </c>
      <c r="BL42" s="320">
        <v>66</v>
      </c>
      <c r="BM42" s="320">
        <v>3.4</v>
      </c>
      <c r="BN42" s="320">
        <v>3.4</v>
      </c>
      <c r="BO42" s="40" t="s">
        <v>7418</v>
      </c>
      <c r="BP42" s="321">
        <v>4464</v>
      </c>
      <c r="BQ42" s="314">
        <v>19</v>
      </c>
      <c r="BR42" s="314">
        <v>45</v>
      </c>
      <c r="BS42" s="314" t="s">
        <v>20544</v>
      </c>
      <c r="BT42" s="339">
        <v>4328</v>
      </c>
      <c r="BU42" s="343">
        <v>63</v>
      </c>
      <c r="BV42" s="343">
        <v>3.4</v>
      </c>
      <c r="BW42" s="343">
        <v>3.3</v>
      </c>
      <c r="BX42" s="371" t="s">
        <v>20545</v>
      </c>
    </row>
    <row r="43" spans="1:76" ht="15.75" customHeight="1">
      <c r="A43" s="4" t="s">
        <v>7527</v>
      </c>
      <c r="B43" s="311" t="s">
        <v>7532</v>
      </c>
      <c r="C43" s="155">
        <v>163</v>
      </c>
      <c r="D43" s="312">
        <v>162</v>
      </c>
      <c r="E43" s="341" t="s">
        <v>7381</v>
      </c>
      <c r="F43" s="314">
        <v>41</v>
      </c>
      <c r="G43" s="316">
        <f>COUNTA(ME_15_D)</f>
        <v>45</v>
      </c>
      <c r="H43" s="316">
        <f>COUNTIF(ME_15_G,"TT")</f>
        <v>38</v>
      </c>
      <c r="I43" s="316">
        <f t="shared" si="8"/>
        <v>7</v>
      </c>
      <c r="J43" s="316">
        <f>COUNTA(ME_15_D)</f>
        <v>45</v>
      </c>
      <c r="K43" s="316">
        <f>COUNTIF(ME_15_G,"TT")</f>
        <v>38</v>
      </c>
      <c r="L43" s="316">
        <f t="shared" si="9"/>
        <v>7</v>
      </c>
      <c r="M43" s="316">
        <f>COUNTIFS('Mechanical Engineering Faculty'!$F$2110:$F$2154,M$1)</f>
        <v>24</v>
      </c>
      <c r="N43" s="316">
        <f>COUNTIFS('Mechanical Engineering Faculty'!$F$2110:$F$2154,N$1)</f>
        <v>6</v>
      </c>
      <c r="O43" s="316">
        <f>COUNTIFS('Mechanical Engineering Faculty'!$F$2110:$F$2154,O$1)</f>
        <v>7</v>
      </c>
      <c r="P43" s="316">
        <f>COUNTIFS(ME_15_G,"TT", ME_15_D,P$1)</f>
        <v>23</v>
      </c>
      <c r="Q43" s="316">
        <f>COUNTIFS(ME_15_G,"TT", ME_15_D,Q$1)</f>
        <v>6</v>
      </c>
      <c r="R43" s="316">
        <f>COUNTIFS(ME_15_G,"TT", ME_15_D,R$1)</f>
        <v>8</v>
      </c>
      <c r="S43" s="316">
        <f>COUNTIF(ME_15_D,S$1)</f>
        <v>6</v>
      </c>
      <c r="T43" s="316">
        <f t="shared" si="18"/>
        <v>-1</v>
      </c>
      <c r="U43" s="316">
        <f t="shared" si="19"/>
        <v>0</v>
      </c>
      <c r="V43" s="316">
        <f t="shared" si="20"/>
        <v>1</v>
      </c>
      <c r="W43" s="316">
        <f t="shared" ref="W43:AB43" si="34">COUNTIF(ME_15_D,W$1)</f>
        <v>0</v>
      </c>
      <c r="X43" s="316">
        <f t="shared" si="34"/>
        <v>0</v>
      </c>
      <c r="Y43" s="316">
        <f t="shared" si="34"/>
        <v>0</v>
      </c>
      <c r="Z43" s="316">
        <f t="shared" si="34"/>
        <v>0</v>
      </c>
      <c r="AA43" s="316">
        <f t="shared" si="34"/>
        <v>0</v>
      </c>
      <c r="AB43" s="316">
        <f t="shared" si="34"/>
        <v>0</v>
      </c>
      <c r="AC43" s="315">
        <f>COUNTIF(ME_15_E,AC$1)+COUNTIF(ME_15_E,"E/D")</f>
        <v>3</v>
      </c>
      <c r="AD43" s="315">
        <f>COUNTIF(ME_15_E,AD$1)+COUNTIF(ME_15_E,"E/D")</f>
        <v>3</v>
      </c>
      <c r="AE43" s="358">
        <v>6934035</v>
      </c>
      <c r="AF43" s="363">
        <v>0</v>
      </c>
      <c r="AG43" s="363">
        <v>0</v>
      </c>
      <c r="AH43" s="363">
        <v>0</v>
      </c>
      <c r="AI43" s="363">
        <v>0</v>
      </c>
      <c r="AJ43" s="363">
        <v>10312230</v>
      </c>
      <c r="AK43" s="369">
        <v>8748732</v>
      </c>
      <c r="AL43" s="318">
        <f t="shared" si="22"/>
        <v>25994997</v>
      </c>
      <c r="AM43" s="356">
        <v>2368060</v>
      </c>
      <c r="AN43" s="327">
        <v>0</v>
      </c>
      <c r="AO43" s="327">
        <v>0</v>
      </c>
      <c r="AP43" s="327">
        <v>0</v>
      </c>
      <c r="AQ43" s="327">
        <v>0</v>
      </c>
      <c r="AR43" s="327">
        <v>472053</v>
      </c>
      <c r="AS43" s="327">
        <v>374025</v>
      </c>
      <c r="AT43" s="318">
        <f t="shared" si="23"/>
        <v>3214138</v>
      </c>
      <c r="AU43" s="356">
        <v>6539409</v>
      </c>
      <c r="AV43" s="327">
        <v>0</v>
      </c>
      <c r="AW43" s="327">
        <v>0</v>
      </c>
      <c r="AX43" s="327">
        <v>0</v>
      </c>
      <c r="AY43" s="327">
        <v>0</v>
      </c>
      <c r="AZ43" s="327">
        <v>2528487</v>
      </c>
      <c r="BA43" s="327">
        <v>3317984</v>
      </c>
      <c r="BB43" s="319">
        <f t="shared" si="24"/>
        <v>12385880</v>
      </c>
      <c r="BC43" s="328">
        <v>5756504</v>
      </c>
      <c r="BD43" s="329">
        <v>0</v>
      </c>
      <c r="BE43" s="329">
        <v>0</v>
      </c>
      <c r="BF43" s="329">
        <v>0</v>
      </c>
      <c r="BG43" s="329">
        <v>0</v>
      </c>
      <c r="BH43" s="329">
        <v>230206</v>
      </c>
      <c r="BI43" s="329">
        <v>0</v>
      </c>
      <c r="BJ43" s="314">
        <f t="shared" si="30"/>
        <v>5986710</v>
      </c>
      <c r="BK43" s="40" t="s">
        <v>7544</v>
      </c>
      <c r="BL43" s="320">
        <v>68</v>
      </c>
      <c r="BM43" s="320">
        <v>3.6</v>
      </c>
      <c r="BN43" s="320">
        <v>3.8</v>
      </c>
      <c r="BO43" s="40" t="s">
        <v>7574</v>
      </c>
      <c r="BP43" s="321">
        <v>1266</v>
      </c>
      <c r="BQ43" s="344"/>
      <c r="BR43" s="314">
        <v>36</v>
      </c>
      <c r="BS43" s="314" t="s">
        <v>20476</v>
      </c>
      <c r="BT43" s="339">
        <v>1191</v>
      </c>
      <c r="BU43" s="343">
        <v>67</v>
      </c>
      <c r="BV43" s="343">
        <v>3.5</v>
      </c>
      <c r="BW43" s="343">
        <v>3.8</v>
      </c>
      <c r="BX43" s="325" t="s">
        <v>20546</v>
      </c>
    </row>
    <row r="44" spans="1:76" ht="15.75" customHeight="1">
      <c r="A44" s="4" t="s">
        <v>8243</v>
      </c>
      <c r="B44" s="311" t="s">
        <v>2628</v>
      </c>
      <c r="C44" s="155">
        <v>165</v>
      </c>
      <c r="D44" s="312">
        <v>165</v>
      </c>
      <c r="E44" s="40" t="s">
        <v>7821</v>
      </c>
      <c r="F44" s="314">
        <v>41</v>
      </c>
      <c r="G44" s="316">
        <f>COUNTA(ME_19_D)</f>
        <v>39</v>
      </c>
      <c r="H44" s="316">
        <f>COUNTIF(ME_19_G,"TT")</f>
        <v>35</v>
      </c>
      <c r="I44" s="316">
        <f t="shared" si="8"/>
        <v>4</v>
      </c>
      <c r="J44" s="316">
        <f>COUNTA(ME_19_D)</f>
        <v>39</v>
      </c>
      <c r="K44" s="316">
        <f>COUNTIF(ME_19_G,"TT")</f>
        <v>35</v>
      </c>
      <c r="L44" s="316">
        <f t="shared" si="9"/>
        <v>4</v>
      </c>
      <c r="M44" s="316">
        <f>COUNTIFS('Mechanical Engineering Faculty'!$F$2320:$F$2358,M$1)</f>
        <v>15</v>
      </c>
      <c r="N44" s="316">
        <f>COUNTIFS('Mechanical Engineering Faculty'!$F$2320:$F$2358,N$1)</f>
        <v>16</v>
      </c>
      <c r="O44" s="316">
        <f>COUNTIFS('Mechanical Engineering Faculty'!$F$2320:$F$2358,O$1)</f>
        <v>4</v>
      </c>
      <c r="P44" s="316">
        <f>COUNTIFS(ME_19_G,"TT", ME_19_D,P$1)</f>
        <v>15</v>
      </c>
      <c r="Q44" s="316">
        <f>COUNTIFS(ME_19_G,"TT", ME_19_D,Q$1)</f>
        <v>15</v>
      </c>
      <c r="R44" s="316">
        <f>COUNTIFS(ME_19_G,"TT", ME_19_D,R$1)</f>
        <v>5</v>
      </c>
      <c r="S44" s="316">
        <f>COUNTIF(ME_19_D,S$1)</f>
        <v>1</v>
      </c>
      <c r="T44" s="316">
        <f t="shared" si="18"/>
        <v>0</v>
      </c>
      <c r="U44" s="316">
        <f t="shared" si="19"/>
        <v>-1</v>
      </c>
      <c r="V44" s="316">
        <f t="shared" si="20"/>
        <v>1</v>
      </c>
      <c r="W44" s="316">
        <f t="shared" ref="W44:AB44" si="35">COUNTIF(ME_19_D,W$1)</f>
        <v>0</v>
      </c>
      <c r="X44" s="316">
        <f t="shared" si="35"/>
        <v>0</v>
      </c>
      <c r="Y44" s="316">
        <f t="shared" si="35"/>
        <v>0</v>
      </c>
      <c r="Z44" s="316">
        <f t="shared" si="35"/>
        <v>0</v>
      </c>
      <c r="AA44" s="316">
        <f t="shared" si="35"/>
        <v>1</v>
      </c>
      <c r="AB44" s="316">
        <f t="shared" si="35"/>
        <v>1</v>
      </c>
      <c r="AC44" s="315">
        <f>COUNTIF(ME_19_E,AC$1)+COUNTIF(ME_19_E,"E/D")</f>
        <v>1</v>
      </c>
      <c r="AD44" s="315">
        <f>COUNTIF(ME_19_E,AD$1)+COUNTIF(ME_19_E,"E/D")</f>
        <v>4</v>
      </c>
      <c r="AE44" s="358">
        <v>6430936</v>
      </c>
      <c r="AF44" s="363">
        <v>0</v>
      </c>
      <c r="AG44" s="363">
        <v>0</v>
      </c>
      <c r="AH44" s="363">
        <v>4157098</v>
      </c>
      <c r="AI44" s="363">
        <v>605860</v>
      </c>
      <c r="AJ44" s="363">
        <v>358336</v>
      </c>
      <c r="AK44" s="369">
        <v>478906</v>
      </c>
      <c r="AL44" s="318">
        <f t="shared" si="22"/>
        <v>12031136</v>
      </c>
      <c r="AM44" s="356">
        <v>6802705</v>
      </c>
      <c r="AN44" s="327">
        <v>0</v>
      </c>
      <c r="AO44" s="327">
        <v>0</v>
      </c>
      <c r="AP44" s="327">
        <v>3184751</v>
      </c>
      <c r="AQ44" s="327">
        <v>1094921</v>
      </c>
      <c r="AR44" s="327">
        <v>539970</v>
      </c>
      <c r="AS44" s="327">
        <v>203243</v>
      </c>
      <c r="AT44" s="318">
        <f t="shared" si="23"/>
        <v>11825590</v>
      </c>
      <c r="AU44" s="356">
        <v>9126439</v>
      </c>
      <c r="AV44" s="327">
        <v>0</v>
      </c>
      <c r="AW44" s="327">
        <v>0</v>
      </c>
      <c r="AX44" s="327">
        <v>3314129</v>
      </c>
      <c r="AY44" s="327">
        <v>344712</v>
      </c>
      <c r="AZ44" s="327">
        <v>275833</v>
      </c>
      <c r="BA44" s="327">
        <v>370703</v>
      </c>
      <c r="BB44" s="319">
        <f t="shared" si="24"/>
        <v>13431816</v>
      </c>
      <c r="BC44" s="328">
        <v>11372177</v>
      </c>
      <c r="BD44" s="329"/>
      <c r="BE44" s="329">
        <v>0</v>
      </c>
      <c r="BF44" s="329">
        <v>2512906</v>
      </c>
      <c r="BG44" s="329">
        <v>92081</v>
      </c>
      <c r="BH44" s="329">
        <v>395786</v>
      </c>
      <c r="BI44" s="329">
        <v>476045</v>
      </c>
      <c r="BJ44" s="314">
        <f t="shared" si="30"/>
        <v>14848995</v>
      </c>
      <c r="BK44" s="40" t="s">
        <v>4283</v>
      </c>
      <c r="BL44" s="320">
        <v>67</v>
      </c>
      <c r="BM44" s="320">
        <v>3.4</v>
      </c>
      <c r="BN44" s="320">
        <v>3.7</v>
      </c>
      <c r="BO44" s="40" t="s">
        <v>8293</v>
      </c>
      <c r="BP44" s="321">
        <v>953</v>
      </c>
      <c r="BQ44" s="314">
        <v>36</v>
      </c>
      <c r="BR44" s="314">
        <v>38</v>
      </c>
      <c r="BS44" s="314" t="s">
        <v>20552</v>
      </c>
      <c r="BT44" s="312">
        <v>955</v>
      </c>
      <c r="BU44" s="343">
        <v>66</v>
      </c>
      <c r="BV44" s="343">
        <v>3.4</v>
      </c>
      <c r="BW44" s="343">
        <v>3.6</v>
      </c>
      <c r="BX44" s="325" t="s">
        <v>20553</v>
      </c>
    </row>
    <row r="45" spans="1:76" ht="15.75" customHeight="1">
      <c r="A45" s="373" t="s">
        <v>8823</v>
      </c>
      <c r="B45" s="311" t="s">
        <v>2714</v>
      </c>
      <c r="C45" s="155">
        <v>165</v>
      </c>
      <c r="D45" s="312">
        <v>165</v>
      </c>
      <c r="E45" s="40" t="s">
        <v>8836</v>
      </c>
      <c r="F45" s="314">
        <v>41</v>
      </c>
      <c r="G45" s="316">
        <f>COUNTA(ME_24_D)</f>
        <v>52</v>
      </c>
      <c r="H45" s="316">
        <f>COUNTIF(ME_24_G,"TT")</f>
        <v>49</v>
      </c>
      <c r="I45" s="316">
        <f t="shared" si="8"/>
        <v>3</v>
      </c>
      <c r="J45" s="316">
        <f>COUNTA(ME_24_D)</f>
        <v>52</v>
      </c>
      <c r="K45" s="316">
        <f>COUNTIF(ME_24_G,"TT")</f>
        <v>49</v>
      </c>
      <c r="L45" s="316">
        <f t="shared" si="9"/>
        <v>3</v>
      </c>
      <c r="M45" s="316">
        <f>COUNTIFS('Mechanical Engineering Faculty'!$F$2483:$F$2534,M$1)</f>
        <v>19</v>
      </c>
      <c r="N45" s="316">
        <f>COUNTIFS('Mechanical Engineering Faculty'!$F$2483:$F$2534,N$1)</f>
        <v>17</v>
      </c>
      <c r="O45" s="316">
        <f>COUNTIFS('Mechanical Engineering Faculty'!$F$2483:$F$2534,O$1)</f>
        <v>12</v>
      </c>
      <c r="P45" s="316">
        <f>COUNTIFS(ME_24_G,"TT", ME_24_D,P$1)</f>
        <v>18</v>
      </c>
      <c r="Q45" s="316">
        <f>COUNTIFS(ME_24_G,"TT", ME_24_D,Q$1)</f>
        <v>17</v>
      </c>
      <c r="R45" s="316">
        <f>COUNTIFS(ME_24_G,"TT", ME_24_D,R$1)</f>
        <v>13</v>
      </c>
      <c r="S45" s="316">
        <f>COUNTIF(ME_24_D,S$1)</f>
        <v>3</v>
      </c>
      <c r="T45" s="316">
        <f t="shared" si="18"/>
        <v>-1</v>
      </c>
      <c r="U45" s="316">
        <f t="shared" si="19"/>
        <v>0</v>
      </c>
      <c r="V45" s="316">
        <f t="shared" si="20"/>
        <v>1</v>
      </c>
      <c r="W45" s="316">
        <f t="shared" ref="W45:AB45" si="36">COUNTIF(ME_24_D,W$1)</f>
        <v>0</v>
      </c>
      <c r="X45" s="316">
        <f t="shared" si="36"/>
        <v>0</v>
      </c>
      <c r="Y45" s="316">
        <f t="shared" si="36"/>
        <v>0</v>
      </c>
      <c r="Z45" s="316">
        <f t="shared" si="36"/>
        <v>0</v>
      </c>
      <c r="AA45" s="316">
        <f t="shared" si="36"/>
        <v>0</v>
      </c>
      <c r="AB45" s="316">
        <f t="shared" si="36"/>
        <v>0</v>
      </c>
      <c r="AC45" s="315">
        <f>COUNTIF(ME_24_E,AC$1)+COUNTIF(ME_24_E,"E/D")</f>
        <v>1</v>
      </c>
      <c r="AD45" s="315">
        <f>COUNTIF(ME_24_E,AD$1)+COUNTIF(ME_24_E,"E/D")</f>
        <v>1</v>
      </c>
      <c r="AE45" s="358">
        <v>6614693</v>
      </c>
      <c r="AF45" s="363">
        <v>36467</v>
      </c>
      <c r="AG45" s="363">
        <v>0</v>
      </c>
      <c r="AH45" s="363">
        <v>766115</v>
      </c>
      <c r="AI45" s="363">
        <v>0</v>
      </c>
      <c r="AJ45" s="363">
        <v>1796762</v>
      </c>
      <c r="AK45" s="369">
        <v>271075</v>
      </c>
      <c r="AL45" s="318">
        <f t="shared" si="22"/>
        <v>9485112</v>
      </c>
      <c r="AM45" s="356">
        <v>6863456</v>
      </c>
      <c r="AN45" s="327">
        <v>147806</v>
      </c>
      <c r="AO45" s="327"/>
      <c r="AP45" s="327">
        <v>492107</v>
      </c>
      <c r="AQ45" s="327">
        <v>0</v>
      </c>
      <c r="AR45" s="327">
        <v>1577785</v>
      </c>
      <c r="AS45" s="327">
        <v>0</v>
      </c>
      <c r="AT45" s="318">
        <f t="shared" si="23"/>
        <v>9081154</v>
      </c>
      <c r="AU45" s="356">
        <v>7497587</v>
      </c>
      <c r="AV45" s="327">
        <v>190457</v>
      </c>
      <c r="AW45" s="327">
        <v>0</v>
      </c>
      <c r="AX45" s="327">
        <v>847808</v>
      </c>
      <c r="AY45" s="327">
        <v>0</v>
      </c>
      <c r="AZ45" s="327">
        <v>1938473</v>
      </c>
      <c r="BA45" s="327">
        <v>0</v>
      </c>
      <c r="BB45" s="319">
        <f t="shared" si="24"/>
        <v>10474325</v>
      </c>
      <c r="BC45" s="412">
        <v>12772805</v>
      </c>
      <c r="BD45" s="412">
        <v>141958</v>
      </c>
      <c r="BE45" s="412">
        <v>0</v>
      </c>
      <c r="BF45" s="412">
        <v>755090</v>
      </c>
      <c r="BG45" s="412">
        <v>0</v>
      </c>
      <c r="BH45" s="412">
        <v>5806261</v>
      </c>
      <c r="BI45" s="412">
        <v>0</v>
      </c>
      <c r="BJ45" s="314">
        <f t="shared" si="30"/>
        <v>19476114</v>
      </c>
      <c r="BK45" s="40" t="s">
        <v>7544</v>
      </c>
      <c r="BL45" s="320">
        <v>68</v>
      </c>
      <c r="BM45" s="320">
        <v>3.2</v>
      </c>
      <c r="BN45" s="320">
        <v>3.5</v>
      </c>
      <c r="BO45" s="40" t="s">
        <v>8873</v>
      </c>
      <c r="BP45" s="321">
        <v>1230</v>
      </c>
      <c r="BQ45" s="314">
        <v>55</v>
      </c>
      <c r="BR45" s="314">
        <v>31</v>
      </c>
      <c r="BS45" s="314" t="s">
        <v>20562</v>
      </c>
      <c r="BT45" s="339">
        <v>1211</v>
      </c>
      <c r="BU45" s="343">
        <v>68</v>
      </c>
      <c r="BV45" s="343">
        <v>3.1</v>
      </c>
      <c r="BW45" s="343">
        <v>3.5</v>
      </c>
      <c r="BX45" s="325" t="s">
        <v>20551</v>
      </c>
    </row>
    <row r="46" spans="1:76" ht="15.75" customHeight="1">
      <c r="A46" s="372" t="s">
        <v>7809</v>
      </c>
      <c r="B46" s="311" t="s">
        <v>2714</v>
      </c>
      <c r="C46" s="155">
        <v>160</v>
      </c>
      <c r="D46" s="312">
        <v>162</v>
      </c>
      <c r="E46" s="313" t="s">
        <v>7821</v>
      </c>
      <c r="F46" s="314">
        <v>45</v>
      </c>
      <c r="G46" s="316">
        <f>COUNTA(ME_17_D)</f>
        <v>54</v>
      </c>
      <c r="H46" s="316">
        <f>COUNTIF(ME_17_G,"TT")</f>
        <v>43</v>
      </c>
      <c r="I46" s="316">
        <f t="shared" si="8"/>
        <v>11</v>
      </c>
      <c r="J46" s="316">
        <f>COUNTA(ME_17_D)</f>
        <v>54</v>
      </c>
      <c r="K46" s="316">
        <f>COUNTIF(ME_17_G,"TT")</f>
        <v>43</v>
      </c>
      <c r="L46" s="316">
        <f t="shared" si="9"/>
        <v>11</v>
      </c>
      <c r="M46" s="316">
        <f>COUNTIFS('Mechanical Engineering Faculty'!$F$2189:$F$2242,M$1)</f>
        <v>15</v>
      </c>
      <c r="N46" s="316">
        <f>COUNTIFS('Mechanical Engineering Faculty'!$F$2189:$F$2242,N$1)</f>
        <v>18</v>
      </c>
      <c r="O46" s="316">
        <f>COUNTIFS('Mechanical Engineering Faculty'!$F$2189:$F$2242,O$1)</f>
        <v>8</v>
      </c>
      <c r="P46" s="316">
        <f>COUNTIFS(ME_17_G,"TT", ME_17_D,P$1)</f>
        <v>15</v>
      </c>
      <c r="Q46" s="316">
        <f>COUNTIFS(ME_17_G,"TT", ME_17_D,Q$1)</f>
        <v>19</v>
      </c>
      <c r="R46" s="316">
        <f>COUNTIFS(ME_17_G,"TT", ME_17_D,R$1)</f>
        <v>9</v>
      </c>
      <c r="S46" s="316">
        <f>COUNTIF(ME_17_D,S$1)</f>
        <v>0</v>
      </c>
      <c r="T46" s="316">
        <f t="shared" si="18"/>
        <v>0</v>
      </c>
      <c r="U46" s="316">
        <f t="shared" si="19"/>
        <v>1</v>
      </c>
      <c r="V46" s="316">
        <f t="shared" si="20"/>
        <v>1</v>
      </c>
      <c r="W46" s="316">
        <f t="shared" ref="W46:AB46" si="37">COUNTIF(ME_17_D,W$1)</f>
        <v>3</v>
      </c>
      <c r="X46" s="316">
        <f t="shared" si="37"/>
        <v>7</v>
      </c>
      <c r="Y46" s="316">
        <f t="shared" si="37"/>
        <v>0</v>
      </c>
      <c r="Z46" s="316">
        <f t="shared" si="37"/>
        <v>0</v>
      </c>
      <c r="AA46" s="316">
        <f t="shared" si="37"/>
        <v>0</v>
      </c>
      <c r="AB46" s="316">
        <f t="shared" si="37"/>
        <v>0</v>
      </c>
      <c r="AC46" s="315">
        <f>COUNTIF(ME_17_E,AC$1)+COUNTIF(ME_17_E,"E/D")</f>
        <v>3</v>
      </c>
      <c r="AD46" s="315">
        <f>COUNTIF(ME_17_E,AD$1)+COUNTIF(ME_17_E,"E/D")</f>
        <v>8</v>
      </c>
      <c r="AE46" s="358">
        <v>6322847</v>
      </c>
      <c r="AF46" s="363">
        <v>33783</v>
      </c>
      <c r="AG46" s="363">
        <v>0</v>
      </c>
      <c r="AH46" s="363">
        <v>2439976</v>
      </c>
      <c r="AI46" s="363">
        <v>0</v>
      </c>
      <c r="AJ46" s="363">
        <v>2113173</v>
      </c>
      <c r="AK46" s="369">
        <v>251510</v>
      </c>
      <c r="AL46" s="318">
        <f t="shared" si="22"/>
        <v>11161289</v>
      </c>
      <c r="AM46" s="356">
        <v>9119206</v>
      </c>
      <c r="AN46" s="327">
        <v>43973</v>
      </c>
      <c r="AO46" s="327">
        <v>0</v>
      </c>
      <c r="AP46" s="327">
        <v>1347980</v>
      </c>
      <c r="AQ46" s="327">
        <v>35</v>
      </c>
      <c r="AR46" s="327">
        <v>2501146</v>
      </c>
      <c r="AS46" s="327">
        <v>389519</v>
      </c>
      <c r="AT46" s="318">
        <f t="shared" si="23"/>
        <v>13401859</v>
      </c>
      <c r="AU46" s="356">
        <v>12581113</v>
      </c>
      <c r="AV46" s="327">
        <v>119794</v>
      </c>
      <c r="AW46" s="327">
        <v>0</v>
      </c>
      <c r="AX46" s="327">
        <v>2038950</v>
      </c>
      <c r="AY46" s="327">
        <v>155</v>
      </c>
      <c r="AZ46" s="327">
        <v>2627108</v>
      </c>
      <c r="BA46" s="327">
        <v>381645</v>
      </c>
      <c r="BB46" s="319">
        <f t="shared" si="24"/>
        <v>17748765</v>
      </c>
      <c r="BC46" s="328">
        <v>16092788</v>
      </c>
      <c r="BD46" s="329">
        <v>106729</v>
      </c>
      <c r="BE46" s="329">
        <v>0</v>
      </c>
      <c r="BF46" s="329">
        <v>1158550</v>
      </c>
      <c r="BG46" s="329">
        <v>233</v>
      </c>
      <c r="BH46" s="329">
        <v>2636127</v>
      </c>
      <c r="BI46" s="329">
        <v>459885</v>
      </c>
      <c r="BJ46" s="314">
        <f t="shared" si="30"/>
        <v>20454312</v>
      </c>
      <c r="BK46" s="40" t="s">
        <v>7826</v>
      </c>
      <c r="BL46" s="320">
        <v>64</v>
      </c>
      <c r="BM46" s="320">
        <v>3.3</v>
      </c>
      <c r="BN46" s="320">
        <v>3.5</v>
      </c>
      <c r="BO46" s="40" t="s">
        <v>7857</v>
      </c>
      <c r="BP46" s="321">
        <v>1221</v>
      </c>
      <c r="BQ46" s="314">
        <v>24</v>
      </c>
      <c r="BR46" s="314">
        <v>43</v>
      </c>
      <c r="BS46" s="314" t="s">
        <v>20548</v>
      </c>
      <c r="BT46" s="339">
        <v>1434</v>
      </c>
      <c r="BU46" s="343">
        <v>64</v>
      </c>
      <c r="BV46" s="343">
        <v>3.3</v>
      </c>
      <c r="BW46" s="343">
        <v>3.6</v>
      </c>
      <c r="BX46" s="325" t="s">
        <v>20549</v>
      </c>
    </row>
    <row r="47" spans="1:76" ht="15.75" customHeight="1">
      <c r="A47" s="4" t="s">
        <v>8495</v>
      </c>
      <c r="B47" s="311" t="s">
        <v>8500</v>
      </c>
      <c r="C47" s="155">
        <v>165</v>
      </c>
      <c r="D47" s="312">
        <v>165</v>
      </c>
      <c r="E47" s="40" t="s">
        <v>8508</v>
      </c>
      <c r="F47" s="314">
        <v>45</v>
      </c>
      <c r="G47" s="316">
        <f>COUNTA(ME_21_D)</f>
        <v>24</v>
      </c>
      <c r="H47" s="316">
        <f>COUNTIF(ME_21_G,"TT")</f>
        <v>18</v>
      </c>
      <c r="I47" s="316">
        <f t="shared" si="8"/>
        <v>6</v>
      </c>
      <c r="J47" s="316">
        <f>COUNTA(ME_21_D)</f>
        <v>24</v>
      </c>
      <c r="K47" s="316">
        <f>COUNTIF(ME_21_G,"TT")</f>
        <v>18</v>
      </c>
      <c r="L47" s="316">
        <f t="shared" si="9"/>
        <v>6</v>
      </c>
      <c r="M47" s="316">
        <f>COUNTIFS('Mechanical Engineering Faculty'!$F$2387:$F$2410,M$1)</f>
        <v>9</v>
      </c>
      <c r="N47" s="316">
        <f>COUNTIFS('Mechanical Engineering Faculty'!$F$2387:$F$2410,N$1)</f>
        <v>1</v>
      </c>
      <c r="O47" s="316">
        <f>COUNTIFS('Mechanical Engineering Faculty'!$F$2387:$F$2410,O$1)</f>
        <v>8</v>
      </c>
      <c r="P47" s="316">
        <f>COUNTIFS(ME_21_G,"TT", ME_21_D,P$1)</f>
        <v>9</v>
      </c>
      <c r="Q47" s="316">
        <f>COUNTIFS(ME_21_G,"TT", ME_21_D,Q$1)</f>
        <v>1</v>
      </c>
      <c r="R47" s="316">
        <f>COUNTIFS(ME_21_G,"TT", ME_21_D,R$1)</f>
        <v>8</v>
      </c>
      <c r="S47" s="316">
        <f>COUNTIF(ME_21_D,S$1)</f>
        <v>0</v>
      </c>
      <c r="T47" s="316">
        <f t="shared" si="18"/>
        <v>0</v>
      </c>
      <c r="U47" s="316">
        <f t="shared" si="19"/>
        <v>0</v>
      </c>
      <c r="V47" s="316">
        <f t="shared" si="20"/>
        <v>0</v>
      </c>
      <c r="W47" s="316">
        <f t="shared" ref="W47:AB47" si="38">COUNTIF(ME_21_D,W$1)</f>
        <v>0</v>
      </c>
      <c r="X47" s="316">
        <f t="shared" si="38"/>
        <v>0</v>
      </c>
      <c r="Y47" s="316">
        <f t="shared" si="38"/>
        <v>0</v>
      </c>
      <c r="Z47" s="316">
        <f t="shared" si="38"/>
        <v>1</v>
      </c>
      <c r="AA47" s="316">
        <f t="shared" si="38"/>
        <v>4</v>
      </c>
      <c r="AB47" s="316">
        <f t="shared" si="38"/>
        <v>1</v>
      </c>
      <c r="AC47" s="315">
        <f>COUNTIF(ME_21_E,AC$1)+COUNTIF(ME_21_E,"E/D")</f>
        <v>0</v>
      </c>
      <c r="AD47" s="315">
        <f>COUNTIF(ME_21_E,AD$1)+COUNTIF(ME_21_E,"E/D")</f>
        <v>6</v>
      </c>
      <c r="AE47" s="358">
        <v>5859000</v>
      </c>
      <c r="AF47" s="363">
        <v>0</v>
      </c>
      <c r="AG47" s="363">
        <v>0</v>
      </c>
      <c r="AH47" s="363">
        <v>272000</v>
      </c>
      <c r="AI47" s="363">
        <v>0</v>
      </c>
      <c r="AJ47" s="363">
        <v>259000</v>
      </c>
      <c r="AK47" s="369">
        <v>5000</v>
      </c>
      <c r="AL47" s="318">
        <f t="shared" si="22"/>
        <v>6395000</v>
      </c>
      <c r="AM47" s="356">
        <v>5859000</v>
      </c>
      <c r="AN47" s="327">
        <v>0</v>
      </c>
      <c r="AO47" s="327">
        <v>0</v>
      </c>
      <c r="AP47" s="327">
        <v>272000</v>
      </c>
      <c r="AQ47" s="327">
        <v>0</v>
      </c>
      <c r="AR47" s="327">
        <v>259000</v>
      </c>
      <c r="AS47" s="327">
        <v>5000</v>
      </c>
      <c r="AT47" s="318">
        <f t="shared" si="23"/>
        <v>6395000</v>
      </c>
      <c r="AU47" s="356">
        <v>5665000</v>
      </c>
      <c r="AV47" s="327">
        <v>45000</v>
      </c>
      <c r="AW47" s="327">
        <v>0</v>
      </c>
      <c r="AX47" s="327">
        <v>259000</v>
      </c>
      <c r="AY47" s="327">
        <v>0</v>
      </c>
      <c r="AZ47" s="327">
        <v>318000</v>
      </c>
      <c r="BA47" s="327">
        <v>36000</v>
      </c>
      <c r="BB47" s="319">
        <f t="shared" si="24"/>
        <v>6323000</v>
      </c>
      <c r="BC47" s="328">
        <v>6364000</v>
      </c>
      <c r="BD47" s="329">
        <v>56000</v>
      </c>
      <c r="BE47" s="329">
        <v>0</v>
      </c>
      <c r="BF47" s="329">
        <v>381000</v>
      </c>
      <c r="BG47" s="329">
        <v>0</v>
      </c>
      <c r="BH47" s="329">
        <v>250000</v>
      </c>
      <c r="BI47" s="329">
        <v>80000</v>
      </c>
      <c r="BJ47" s="314">
        <f t="shared" si="30"/>
        <v>7131000</v>
      </c>
      <c r="BK47" s="40" t="s">
        <v>8513</v>
      </c>
      <c r="BL47" s="320">
        <v>60</v>
      </c>
      <c r="BM47" s="320">
        <v>3.3</v>
      </c>
      <c r="BN47" s="320">
        <v>3.8</v>
      </c>
      <c r="BO47" s="40" t="s">
        <v>8544</v>
      </c>
      <c r="BP47" s="321">
        <v>659</v>
      </c>
      <c r="BQ47" s="314">
        <v>44</v>
      </c>
      <c r="BR47" s="314">
        <v>51</v>
      </c>
      <c r="BS47" s="314" t="s">
        <v>20556</v>
      </c>
      <c r="BT47" s="312">
        <v>643</v>
      </c>
      <c r="BU47" s="343">
        <v>61</v>
      </c>
      <c r="BV47" s="343">
        <v>3.2</v>
      </c>
      <c r="BW47" s="343">
        <v>3.7</v>
      </c>
      <c r="BX47" s="325" t="s">
        <v>20557</v>
      </c>
    </row>
    <row r="48" spans="1:76" ht="15.75" customHeight="1">
      <c r="A48" s="373" t="s">
        <v>9027</v>
      </c>
      <c r="B48" s="311" t="s">
        <v>2714</v>
      </c>
      <c r="C48" s="155">
        <v>160</v>
      </c>
      <c r="D48" s="312">
        <v>159</v>
      </c>
      <c r="E48" s="40" t="s">
        <v>8836</v>
      </c>
      <c r="F48" s="314">
        <v>45</v>
      </c>
      <c r="G48" s="316">
        <f>COUNTA(ME_25_D)</f>
        <v>51</v>
      </c>
      <c r="H48" s="316">
        <f>COUNTIF(ME_25_G,"TT")</f>
        <v>28</v>
      </c>
      <c r="I48" s="316">
        <f t="shared" si="8"/>
        <v>23</v>
      </c>
      <c r="J48" s="316">
        <f>COUNTA(ME_25_D)</f>
        <v>51</v>
      </c>
      <c r="K48" s="316">
        <f>COUNTIF(ME_25_G,"TT")</f>
        <v>28</v>
      </c>
      <c r="L48" s="316">
        <f t="shared" si="9"/>
        <v>23</v>
      </c>
      <c r="M48" s="316">
        <f>COUNTIFS('Mechanical Engineering Faculty'!$F$2536:$F$2586,M$1)</f>
        <v>10</v>
      </c>
      <c r="N48" s="316">
        <f>COUNTIFS('Mechanical Engineering Faculty'!$F$2536:$F$2586,N$1)</f>
        <v>15</v>
      </c>
      <c r="O48" s="316">
        <f>COUNTIFS('Mechanical Engineering Faculty'!$F$2536:$F$2586,O$1)</f>
        <v>1</v>
      </c>
      <c r="P48" s="316">
        <f>COUNTIFS(ME_25_G,"TT", ME_25_D,P$1)</f>
        <v>10</v>
      </c>
      <c r="Q48" s="316">
        <f>COUNTIFS(ME_25_G,"TT", ME_25_D,Q$1)</f>
        <v>13</v>
      </c>
      <c r="R48" s="316">
        <f>COUNTIFS(ME_25_G,"TT", ME_25_D,R$1)</f>
        <v>4</v>
      </c>
      <c r="S48" s="316">
        <f>COUNTIF(ME_25_D,S$1)</f>
        <v>0</v>
      </c>
      <c r="T48" s="316">
        <f t="shared" si="18"/>
        <v>0</v>
      </c>
      <c r="U48" s="316">
        <f t="shared" si="19"/>
        <v>-2</v>
      </c>
      <c r="V48" s="316">
        <f t="shared" si="20"/>
        <v>3</v>
      </c>
      <c r="W48" s="316">
        <f t="shared" ref="W48:AB48" si="39">COUNTIF(ME_25_D,W$1)</f>
        <v>3</v>
      </c>
      <c r="X48" s="316">
        <f t="shared" si="39"/>
        <v>4</v>
      </c>
      <c r="Y48" s="316">
        <f t="shared" si="39"/>
        <v>8</v>
      </c>
      <c r="Z48" s="316">
        <f t="shared" si="39"/>
        <v>0</v>
      </c>
      <c r="AA48" s="316">
        <f t="shared" si="39"/>
        <v>2</v>
      </c>
      <c r="AB48" s="316">
        <f t="shared" si="39"/>
        <v>3</v>
      </c>
      <c r="AC48" s="315">
        <f>COUNTIF(ME_25_E,AC$1)+COUNTIF(ME_25_E,"E/D")</f>
        <v>2</v>
      </c>
      <c r="AD48" s="315">
        <f>COUNTIF(ME_25_E,AD$1)+COUNTIF(ME_25_E,"E/D")</f>
        <v>2</v>
      </c>
      <c r="AE48" s="356">
        <v>9813928</v>
      </c>
      <c r="AF48" s="327">
        <v>719723</v>
      </c>
      <c r="AG48" s="327"/>
      <c r="AH48" s="327">
        <v>191651</v>
      </c>
      <c r="AI48" s="327"/>
      <c r="AJ48" s="327">
        <v>0</v>
      </c>
      <c r="AK48" s="327">
        <v>490795</v>
      </c>
      <c r="AL48" s="318">
        <f t="shared" si="22"/>
        <v>11216097</v>
      </c>
      <c r="AM48" s="356">
        <v>6505064</v>
      </c>
      <c r="AN48" s="356">
        <v>2400</v>
      </c>
      <c r="AO48" s="356">
        <v>1598073</v>
      </c>
      <c r="AP48" s="356">
        <v>1763384</v>
      </c>
      <c r="AQ48" s="356">
        <v>0</v>
      </c>
      <c r="AR48" s="356">
        <v>673946</v>
      </c>
      <c r="AS48" s="356">
        <v>118145</v>
      </c>
      <c r="AT48" s="318">
        <f t="shared" si="23"/>
        <v>10661012</v>
      </c>
      <c r="AU48" s="318" t="s">
        <v>55</v>
      </c>
      <c r="AV48" s="405" t="s">
        <v>55</v>
      </c>
      <c r="AW48" s="405" t="s">
        <v>55</v>
      </c>
      <c r="AX48" s="405" t="s">
        <v>55</v>
      </c>
      <c r="AY48" s="405" t="s">
        <v>55</v>
      </c>
      <c r="AZ48" s="405" t="s">
        <v>55</v>
      </c>
      <c r="BA48" s="405" t="s">
        <v>55</v>
      </c>
      <c r="BB48" s="319">
        <f t="shared" si="24"/>
        <v>0</v>
      </c>
      <c r="BC48" s="328">
        <v>7302847</v>
      </c>
      <c r="BD48" s="329">
        <v>4880</v>
      </c>
      <c r="BE48" s="329">
        <v>1255373</v>
      </c>
      <c r="BF48" s="329">
        <v>2832801</v>
      </c>
      <c r="BG48" s="329">
        <v>0</v>
      </c>
      <c r="BH48" s="329">
        <v>891374</v>
      </c>
      <c r="BI48" s="329">
        <v>101944</v>
      </c>
      <c r="BJ48" s="314">
        <f t="shared" si="30"/>
        <v>12389219</v>
      </c>
      <c r="BK48" s="40" t="s">
        <v>9043</v>
      </c>
      <c r="BL48" s="320">
        <v>61</v>
      </c>
      <c r="BM48" s="320">
        <v>3.1</v>
      </c>
      <c r="BN48" s="320">
        <v>3.8</v>
      </c>
      <c r="BO48" s="40" t="s">
        <v>9076</v>
      </c>
      <c r="BP48" s="321">
        <v>1150</v>
      </c>
      <c r="BQ48" s="344"/>
      <c r="BR48" s="314">
        <v>53</v>
      </c>
      <c r="BS48" s="314" t="s">
        <v>20563</v>
      </c>
      <c r="BT48" s="339">
        <v>1202</v>
      </c>
      <c r="BU48" s="343">
        <v>60</v>
      </c>
      <c r="BV48" s="343">
        <v>3.1</v>
      </c>
      <c r="BW48" s="343">
        <v>3.8</v>
      </c>
      <c r="BX48" s="325" t="s">
        <v>20564</v>
      </c>
    </row>
    <row r="49" spans="1:76" ht="15.75" customHeight="1">
      <c r="A49" s="373" t="s">
        <v>9227</v>
      </c>
      <c r="B49" s="311" t="s">
        <v>8500</v>
      </c>
      <c r="C49" s="155">
        <v>164</v>
      </c>
      <c r="D49" s="312">
        <v>163</v>
      </c>
      <c r="E49" s="40" t="s">
        <v>8836</v>
      </c>
      <c r="F49" s="314">
        <v>45</v>
      </c>
      <c r="G49" s="316">
        <f>COUNTA(ME_26_D)</f>
        <v>38</v>
      </c>
      <c r="H49" s="316">
        <f>COUNTIF(ME_26_G,"TT")</f>
        <v>34</v>
      </c>
      <c r="I49" s="316">
        <f t="shared" si="8"/>
        <v>4</v>
      </c>
      <c r="J49" s="316">
        <f>COUNTA(ME_26_D)</f>
        <v>38</v>
      </c>
      <c r="K49" s="316">
        <f>COUNTIF(ME_26_G,"TT")</f>
        <v>34</v>
      </c>
      <c r="L49" s="316">
        <f t="shared" si="9"/>
        <v>4</v>
      </c>
      <c r="M49" s="316">
        <f>COUNTIFS('Mechanical Engineering Faculty'!$F$2588:$F$2625,M$1)</f>
        <v>23</v>
      </c>
      <c r="N49" s="316">
        <f>COUNTIFS('Mechanical Engineering Faculty'!$F$2588:$F$2625,N$1)</f>
        <v>6</v>
      </c>
      <c r="O49" s="316">
        <f>COUNTIFS('Mechanical Engineering Faculty'!$F$2588:$F$2625,O$1)</f>
        <v>3</v>
      </c>
      <c r="P49" s="316">
        <f>COUNTIFS(ME_26_G,"TT", ME_26_D,P$1)</f>
        <v>24</v>
      </c>
      <c r="Q49" s="316">
        <f>COUNTIFS(ME_26_G,"TT", ME_26_D,Q$1)</f>
        <v>5</v>
      </c>
      <c r="R49" s="316">
        <f>COUNTIFS(ME_26_G,"TT", ME_26_D,R$1)</f>
        <v>5</v>
      </c>
      <c r="S49" s="316">
        <f>COUNTIF(ME_26_D,S$1)</f>
        <v>0</v>
      </c>
      <c r="T49" s="316">
        <f t="shared" si="18"/>
        <v>1</v>
      </c>
      <c r="U49" s="316">
        <f t="shared" si="19"/>
        <v>-1</v>
      </c>
      <c r="V49" s="316">
        <f t="shared" si="20"/>
        <v>2</v>
      </c>
      <c r="W49" s="316">
        <f t="shared" ref="W49:AB49" si="40">COUNTIF(ME_26_D,W$1)</f>
        <v>0</v>
      </c>
      <c r="X49" s="316">
        <f t="shared" si="40"/>
        <v>1</v>
      </c>
      <c r="Y49" s="316">
        <f t="shared" si="40"/>
        <v>2</v>
      </c>
      <c r="Z49" s="316">
        <f t="shared" si="40"/>
        <v>0</v>
      </c>
      <c r="AA49" s="316">
        <f t="shared" si="40"/>
        <v>1</v>
      </c>
      <c r="AB49" s="316">
        <f t="shared" si="40"/>
        <v>0</v>
      </c>
      <c r="AC49" s="315">
        <f>COUNTIF(ME_26_E,AC$1)+COUNTIF(ME_26_E,"E/D")</f>
        <v>5</v>
      </c>
      <c r="AD49" s="315">
        <f>COUNTIF(ME_26_E,AD$1)+COUNTIF(ME_26_E,"E/D")</f>
        <v>1</v>
      </c>
      <c r="AE49" s="318" t="s">
        <v>55</v>
      </c>
      <c r="AF49" s="405" t="s">
        <v>55</v>
      </c>
      <c r="AG49" s="405" t="s">
        <v>55</v>
      </c>
      <c r="AH49" s="405" t="s">
        <v>55</v>
      </c>
      <c r="AI49" s="405" t="s">
        <v>55</v>
      </c>
      <c r="AJ49" s="405" t="s">
        <v>55</v>
      </c>
      <c r="AK49" s="405" t="s">
        <v>55</v>
      </c>
      <c r="AL49" s="318">
        <f t="shared" si="22"/>
        <v>0</v>
      </c>
      <c r="AM49" s="318" t="s">
        <v>55</v>
      </c>
      <c r="AN49" s="405" t="s">
        <v>55</v>
      </c>
      <c r="AO49" s="405" t="s">
        <v>55</v>
      </c>
      <c r="AP49" s="405" t="s">
        <v>55</v>
      </c>
      <c r="AQ49" s="405" t="s">
        <v>55</v>
      </c>
      <c r="AR49" s="405" t="s">
        <v>55</v>
      </c>
      <c r="AS49" s="405" t="s">
        <v>55</v>
      </c>
      <c r="AT49" s="318">
        <f t="shared" si="23"/>
        <v>0</v>
      </c>
      <c r="AU49" s="318" t="s">
        <v>55</v>
      </c>
      <c r="AV49" s="405" t="s">
        <v>55</v>
      </c>
      <c r="AW49" s="405" t="s">
        <v>55</v>
      </c>
      <c r="AX49" s="405" t="s">
        <v>55</v>
      </c>
      <c r="AY49" s="405" t="s">
        <v>55</v>
      </c>
      <c r="AZ49" s="405" t="s">
        <v>55</v>
      </c>
      <c r="BA49" s="405" t="s">
        <v>55</v>
      </c>
      <c r="BB49" s="319">
        <f t="shared" si="24"/>
        <v>0</v>
      </c>
      <c r="BC49" s="411" t="s">
        <v>55</v>
      </c>
      <c r="BD49" s="413" t="s">
        <v>55</v>
      </c>
      <c r="BE49" s="413" t="s">
        <v>55</v>
      </c>
      <c r="BF49" s="413" t="s">
        <v>55</v>
      </c>
      <c r="BG49" s="413" t="s">
        <v>55</v>
      </c>
      <c r="BH49" s="413" t="s">
        <v>55</v>
      </c>
      <c r="BI49" s="413" t="s">
        <v>55</v>
      </c>
      <c r="BJ49" s="332" t="s">
        <v>55</v>
      </c>
      <c r="BK49" s="40" t="s">
        <v>9244</v>
      </c>
      <c r="BL49" s="320">
        <v>58</v>
      </c>
      <c r="BM49" s="320">
        <v>3.1</v>
      </c>
      <c r="BN49" s="320">
        <v>3.5</v>
      </c>
      <c r="BO49" s="40" t="s">
        <v>9277</v>
      </c>
      <c r="BP49" s="321">
        <v>1098</v>
      </c>
      <c r="BQ49" s="314">
        <v>22</v>
      </c>
      <c r="BR49" s="314">
        <v>65</v>
      </c>
      <c r="BS49" s="314" t="s">
        <v>20565</v>
      </c>
      <c r="BT49" s="312">
        <v>966</v>
      </c>
      <c r="BU49" s="343">
        <v>56</v>
      </c>
      <c r="BV49" s="343">
        <v>3.1</v>
      </c>
      <c r="BW49" s="343">
        <v>3.4</v>
      </c>
      <c r="BX49" s="325" t="s">
        <v>20566</v>
      </c>
    </row>
    <row r="50" spans="1:76" ht="15.75" customHeight="1">
      <c r="A50" s="4" t="s">
        <v>8398</v>
      </c>
      <c r="B50" s="311" t="s">
        <v>5334</v>
      </c>
      <c r="C50" s="155">
        <v>167</v>
      </c>
      <c r="D50" s="312">
        <v>168</v>
      </c>
      <c r="E50" s="40" t="s">
        <v>7821</v>
      </c>
      <c r="F50" s="314">
        <v>50</v>
      </c>
      <c r="G50" s="316">
        <f>COUNTA(ME_20_D)</f>
        <v>26</v>
      </c>
      <c r="H50" s="316">
        <f>COUNTIF(ME_20_G,"TT")</f>
        <v>17</v>
      </c>
      <c r="I50" s="316">
        <f t="shared" si="8"/>
        <v>9</v>
      </c>
      <c r="J50" s="316">
        <f>COUNTA(ME_20_D)</f>
        <v>26</v>
      </c>
      <c r="K50" s="316">
        <f>COUNTIF(ME_20_G,"TT")</f>
        <v>17</v>
      </c>
      <c r="L50" s="316">
        <f t="shared" si="9"/>
        <v>9</v>
      </c>
      <c r="M50" s="316">
        <f>COUNTIFS('Mechanical Engineering Faculty'!$F$2360:$F$2385,M$1)</f>
        <v>9</v>
      </c>
      <c r="N50" s="316">
        <f>COUNTIFS('Mechanical Engineering Faculty'!$F$2360:$F$2385,N$1)</f>
        <v>5</v>
      </c>
      <c r="O50" s="316">
        <f>COUNTIFS('Mechanical Engineering Faculty'!$F$2360:$F$2385,O$1)</f>
        <v>3</v>
      </c>
      <c r="P50" s="316">
        <f>COUNTIFS(ME_20_G,"TT", ME_20_D,P$1)</f>
        <v>9</v>
      </c>
      <c r="Q50" s="316">
        <f>COUNTIFS(ME_20_G,"TT", ME_20_D,Q$1)</f>
        <v>5</v>
      </c>
      <c r="R50" s="316">
        <f>COUNTIFS(ME_20_G,"TT", ME_20_D,R$1)</f>
        <v>3</v>
      </c>
      <c r="S50" s="316">
        <f>COUNTIF(ME_20_D,S$1)</f>
        <v>6</v>
      </c>
      <c r="T50" s="316">
        <f t="shared" si="18"/>
        <v>0</v>
      </c>
      <c r="U50" s="316">
        <f t="shared" si="19"/>
        <v>0</v>
      </c>
      <c r="V50" s="316">
        <f t="shared" si="20"/>
        <v>0</v>
      </c>
      <c r="W50" s="316">
        <f t="shared" ref="W50:AB50" si="41">COUNTIF(ME_20_D,W$1)</f>
        <v>2</v>
      </c>
      <c r="X50" s="316">
        <f t="shared" si="41"/>
        <v>0</v>
      </c>
      <c r="Y50" s="316">
        <f t="shared" si="41"/>
        <v>0</v>
      </c>
      <c r="Z50" s="316">
        <f t="shared" si="41"/>
        <v>0</v>
      </c>
      <c r="AA50" s="316">
        <f t="shared" si="41"/>
        <v>0</v>
      </c>
      <c r="AB50" s="316">
        <f t="shared" si="41"/>
        <v>1</v>
      </c>
      <c r="AC50" s="315">
        <f>COUNTIF(ME_20_E,AC$1)+COUNTIF(ME_20_E,"E/D")</f>
        <v>0</v>
      </c>
      <c r="AD50" s="315">
        <f>COUNTIF(ME_20_E,AD$1)+COUNTIF(ME_20_E,"E/D")</f>
        <v>0</v>
      </c>
      <c r="AE50" s="358">
        <v>4923000</v>
      </c>
      <c r="AF50" s="363">
        <v>0</v>
      </c>
      <c r="AG50" s="363">
        <v>0</v>
      </c>
      <c r="AH50" s="363">
        <v>66000</v>
      </c>
      <c r="AI50" s="363">
        <v>0</v>
      </c>
      <c r="AJ50" s="363">
        <v>990000</v>
      </c>
      <c r="AK50" s="369">
        <v>0</v>
      </c>
      <c r="AL50" s="318">
        <f t="shared" si="22"/>
        <v>5979000</v>
      </c>
      <c r="AM50" s="356">
        <v>5283000</v>
      </c>
      <c r="AN50" s="327">
        <v>0</v>
      </c>
      <c r="AO50" s="327">
        <v>0</v>
      </c>
      <c r="AP50" s="327">
        <v>67000</v>
      </c>
      <c r="AQ50" s="327">
        <v>0</v>
      </c>
      <c r="AR50" s="327">
        <v>995000</v>
      </c>
      <c r="AS50" s="327">
        <v>16000</v>
      </c>
      <c r="AT50" s="318">
        <f t="shared" si="23"/>
        <v>6361000</v>
      </c>
      <c r="AU50" s="356">
        <v>4445000</v>
      </c>
      <c r="AV50" s="356">
        <v>0</v>
      </c>
      <c r="AW50" s="356">
        <v>0</v>
      </c>
      <c r="AX50" s="356">
        <v>181000</v>
      </c>
      <c r="AY50" s="356">
        <v>0</v>
      </c>
      <c r="AZ50" s="356">
        <v>1767000</v>
      </c>
      <c r="BA50" s="356">
        <v>0</v>
      </c>
      <c r="BB50" s="319">
        <f t="shared" si="24"/>
        <v>6393000</v>
      </c>
      <c r="BC50" s="411" t="s">
        <v>55</v>
      </c>
      <c r="BD50" s="413" t="s">
        <v>55</v>
      </c>
      <c r="BE50" s="413" t="s">
        <v>55</v>
      </c>
      <c r="BF50" s="413" t="s">
        <v>55</v>
      </c>
      <c r="BG50" s="413" t="s">
        <v>55</v>
      </c>
      <c r="BH50" s="413" t="s">
        <v>55</v>
      </c>
      <c r="BI50" s="413" t="s">
        <v>55</v>
      </c>
      <c r="BJ50" s="332" t="s">
        <v>55</v>
      </c>
      <c r="BK50" s="40" t="s">
        <v>8415</v>
      </c>
      <c r="BL50" s="320">
        <v>59</v>
      </c>
      <c r="BM50" s="320">
        <v>3.2</v>
      </c>
      <c r="BN50" s="320">
        <v>3.7</v>
      </c>
      <c r="BO50" s="40" t="s">
        <v>8444</v>
      </c>
      <c r="BP50" s="321">
        <v>1315</v>
      </c>
      <c r="BQ50" s="314">
        <v>68</v>
      </c>
      <c r="BR50" s="314">
        <v>51</v>
      </c>
      <c r="BS50" s="354" t="s">
        <v>20554</v>
      </c>
      <c r="BT50" s="339">
        <v>1209</v>
      </c>
      <c r="BU50" s="343">
        <v>61</v>
      </c>
      <c r="BV50" s="343">
        <v>3.2</v>
      </c>
      <c r="BW50" s="343">
        <v>3.7</v>
      </c>
      <c r="BX50" s="325" t="s">
        <v>20555</v>
      </c>
    </row>
    <row r="51" spans="1:76" ht="15.75" customHeight="1">
      <c r="A51" s="4" t="s">
        <v>8591</v>
      </c>
      <c r="B51" s="311" t="s">
        <v>2714</v>
      </c>
      <c r="C51" s="155">
        <v>163</v>
      </c>
      <c r="D51" s="312">
        <v>167</v>
      </c>
      <c r="E51" s="341" t="s">
        <v>8508</v>
      </c>
      <c r="F51" s="314">
        <v>50</v>
      </c>
      <c r="G51" s="316">
        <f>COUNTA(ME_22_D)</f>
        <v>51</v>
      </c>
      <c r="H51" s="316">
        <f>COUNTIF(ME_22_G,"TT")</f>
        <v>48</v>
      </c>
      <c r="I51" s="316">
        <f t="shared" si="8"/>
        <v>3</v>
      </c>
      <c r="J51" s="316">
        <f>COUNTA(ME_22_D)</f>
        <v>51</v>
      </c>
      <c r="K51" s="316">
        <f>COUNTIF(ME_22_G,"TT")</f>
        <v>48</v>
      </c>
      <c r="L51" s="316">
        <f t="shared" si="9"/>
        <v>3</v>
      </c>
      <c r="M51" s="316">
        <f>COUNTIFS('Mechanical Engineering Faculty'!$F$2412:$F$2462,M$1)</f>
        <v>23</v>
      </c>
      <c r="N51" s="316">
        <f>COUNTIFS('Mechanical Engineering Faculty'!$F$2412:$F$2462,N$1)</f>
        <v>13</v>
      </c>
      <c r="O51" s="316">
        <f>COUNTIFS('Mechanical Engineering Faculty'!$F$2412:$F$2462,O$1)</f>
        <v>15</v>
      </c>
      <c r="P51" s="316">
        <f>COUNTIFS(ME_22_G,"TT", ME_22_D,P$1)</f>
        <v>22</v>
      </c>
      <c r="Q51" s="316">
        <f>COUNTIFS(ME_22_G,"TT", ME_22_D,Q$1)</f>
        <v>11</v>
      </c>
      <c r="R51" s="316">
        <f>COUNTIFS(ME_22_G,"TT", ME_22_D,R$1)</f>
        <v>15</v>
      </c>
      <c r="S51" s="316">
        <f>COUNTIF(ME_22_D,S$1)</f>
        <v>0</v>
      </c>
      <c r="T51" s="316">
        <f t="shared" si="18"/>
        <v>-1</v>
      </c>
      <c r="U51" s="316">
        <f t="shared" si="19"/>
        <v>-2</v>
      </c>
      <c r="V51" s="316">
        <f t="shared" si="20"/>
        <v>0</v>
      </c>
      <c r="W51" s="316">
        <f t="shared" ref="W51:AB51" si="42">COUNTIF(ME_22_D,W$1)</f>
        <v>0</v>
      </c>
      <c r="X51" s="316">
        <f t="shared" si="42"/>
        <v>0</v>
      </c>
      <c r="Y51" s="316">
        <f t="shared" si="42"/>
        <v>0</v>
      </c>
      <c r="Z51" s="316">
        <f t="shared" si="42"/>
        <v>0</v>
      </c>
      <c r="AA51" s="316">
        <f t="shared" si="42"/>
        <v>0</v>
      </c>
      <c r="AB51" s="316">
        <f t="shared" si="42"/>
        <v>0</v>
      </c>
      <c r="AC51" s="315">
        <f>COUNTIF(ME_22_E,AC$1)+COUNTIF(ME_22_E,"E/D")</f>
        <v>2</v>
      </c>
      <c r="AD51" s="315">
        <f>COUNTIF(ME_22_E,AD$1)+COUNTIF(ME_22_E,"E/D")</f>
        <v>5</v>
      </c>
      <c r="AE51" s="358">
        <v>5109106</v>
      </c>
      <c r="AF51" s="358">
        <v>464630</v>
      </c>
      <c r="AG51" s="358">
        <v>0</v>
      </c>
      <c r="AH51" s="358">
        <v>1554169</v>
      </c>
      <c r="AI51" s="358">
        <v>0</v>
      </c>
      <c r="AJ51" s="358">
        <v>513251</v>
      </c>
      <c r="AK51" s="408">
        <v>60515</v>
      </c>
      <c r="AL51" s="318">
        <f t="shared" si="22"/>
        <v>7701671</v>
      </c>
      <c r="AM51" s="356">
        <v>5179698</v>
      </c>
      <c r="AN51" s="356">
        <v>420493</v>
      </c>
      <c r="AO51" s="356">
        <v>0</v>
      </c>
      <c r="AP51" s="356">
        <v>1214633</v>
      </c>
      <c r="AQ51" s="356">
        <v>0</v>
      </c>
      <c r="AR51" s="356">
        <v>53793</v>
      </c>
      <c r="AS51" s="356">
        <v>127051</v>
      </c>
      <c r="AT51" s="318">
        <f t="shared" si="23"/>
        <v>6995668</v>
      </c>
      <c r="AU51" s="356">
        <v>5211671</v>
      </c>
      <c r="AV51" s="356">
        <v>596650</v>
      </c>
      <c r="AW51" s="356">
        <v>0</v>
      </c>
      <c r="AX51" s="356">
        <v>1415055</v>
      </c>
      <c r="AY51" s="356">
        <v>0</v>
      </c>
      <c r="AZ51" s="356">
        <v>154977</v>
      </c>
      <c r="BA51" s="356">
        <v>-2434</v>
      </c>
      <c r="BB51" s="319">
        <f t="shared" si="24"/>
        <v>7375919</v>
      </c>
      <c r="BC51" s="412">
        <v>5157992</v>
      </c>
      <c r="BD51" s="412">
        <v>584583</v>
      </c>
      <c r="BE51" s="412">
        <v>0</v>
      </c>
      <c r="BF51" s="412">
        <v>1496609</v>
      </c>
      <c r="BG51" s="412">
        <v>0</v>
      </c>
      <c r="BH51" s="412">
        <v>194728</v>
      </c>
      <c r="BI51" s="412">
        <v>6554</v>
      </c>
      <c r="BJ51" s="314">
        <f>SUM(BC51:BI51)</f>
        <v>7440466</v>
      </c>
      <c r="BK51" s="40" t="s">
        <v>8606</v>
      </c>
      <c r="BL51" s="320">
        <v>56</v>
      </c>
      <c r="BM51" s="320">
        <v>3.2</v>
      </c>
      <c r="BN51" s="320">
        <v>3.5</v>
      </c>
      <c r="BO51" s="40" t="s">
        <v>8632</v>
      </c>
      <c r="BP51" s="321">
        <v>940</v>
      </c>
      <c r="BQ51" s="344"/>
      <c r="BR51" s="314"/>
      <c r="BS51" s="314" t="s">
        <v>20558</v>
      </c>
      <c r="BT51" s="312">
        <v>965</v>
      </c>
      <c r="BU51" s="343">
        <v>58</v>
      </c>
      <c r="BV51" s="343">
        <v>3.1</v>
      </c>
      <c r="BW51" s="343">
        <v>3.5</v>
      </c>
      <c r="BX51" s="325" t="s">
        <v>20559</v>
      </c>
    </row>
    <row r="52" spans="1:76" ht="15.75" customHeight="1">
      <c r="A52" s="373" t="s">
        <v>9382</v>
      </c>
      <c r="B52" s="311" t="s">
        <v>2714</v>
      </c>
      <c r="C52" s="155">
        <v>160</v>
      </c>
      <c r="D52" s="312">
        <v>161</v>
      </c>
      <c r="E52" s="40" t="s">
        <v>8836</v>
      </c>
      <c r="F52" s="314">
        <v>50</v>
      </c>
      <c r="G52" s="316">
        <f>COUNTA(ME_27_D)</f>
        <v>35</v>
      </c>
      <c r="H52" s="316">
        <f>COUNTIF(ME_27_G,"TT")</f>
        <v>31</v>
      </c>
      <c r="I52" s="316">
        <f t="shared" si="8"/>
        <v>4</v>
      </c>
      <c r="J52" s="316">
        <f>COUNTA(ME_27_D)</f>
        <v>35</v>
      </c>
      <c r="K52" s="316">
        <f>COUNTIF(ME_27_G,"TT")</f>
        <v>31</v>
      </c>
      <c r="L52" s="316">
        <f t="shared" si="9"/>
        <v>4</v>
      </c>
      <c r="M52" s="316">
        <f>COUNTIFS('Mechanical Engineering Faculty'!$F$2627:$F$2661,M$1)</f>
        <v>16</v>
      </c>
      <c r="N52" s="316">
        <f>COUNTIFS('Mechanical Engineering Faculty'!$F$2627:$F$2661,N$1)</f>
        <v>12</v>
      </c>
      <c r="O52" s="316">
        <f>COUNTIFS('Mechanical Engineering Faculty'!$F$2627:$F$2661,O$1)</f>
        <v>5</v>
      </c>
      <c r="P52" s="316">
        <f>COUNTIFS(ME_27_G,"TT", ME_27_D,P$1)</f>
        <v>14</v>
      </c>
      <c r="Q52" s="316">
        <f>COUNTIFS(ME_27_G,"TT", ME_27_D,Q$1)</f>
        <v>12</v>
      </c>
      <c r="R52" s="316">
        <f>COUNTIFS(ME_27_G,"TT", ME_27_D,R$1)</f>
        <v>5</v>
      </c>
      <c r="S52" s="316">
        <f>COUNTIF(ME_27_D,S$1)</f>
        <v>0</v>
      </c>
      <c r="T52" s="316">
        <f t="shared" si="18"/>
        <v>-2</v>
      </c>
      <c r="U52" s="316">
        <f t="shared" si="19"/>
        <v>0</v>
      </c>
      <c r="V52" s="316">
        <f t="shared" si="20"/>
        <v>0</v>
      </c>
      <c r="W52" s="316">
        <f t="shared" ref="W52:AB52" si="43">COUNTIF(ME_27_D,W$1)</f>
        <v>0</v>
      </c>
      <c r="X52" s="316">
        <f t="shared" si="43"/>
        <v>0</v>
      </c>
      <c r="Y52" s="316">
        <f t="shared" si="43"/>
        <v>0</v>
      </c>
      <c r="Z52" s="316">
        <f t="shared" si="43"/>
        <v>0</v>
      </c>
      <c r="AA52" s="316">
        <f t="shared" si="43"/>
        <v>0</v>
      </c>
      <c r="AB52" s="316">
        <f t="shared" si="43"/>
        <v>0</v>
      </c>
      <c r="AC52" s="315">
        <f>COUNTIF(ME_27_E,AC$1)+COUNTIF(ME_27_E,"E/D")</f>
        <v>0</v>
      </c>
      <c r="AD52" s="315">
        <f>COUNTIF(ME_27_E,AD$1)+COUNTIF(ME_27_E,"E/D")</f>
        <v>2</v>
      </c>
      <c r="AE52" s="356">
        <v>4530770</v>
      </c>
      <c r="AF52" s="327">
        <v>0</v>
      </c>
      <c r="AG52" s="327">
        <v>0</v>
      </c>
      <c r="AH52" s="327">
        <v>1225630</v>
      </c>
      <c r="AI52" s="327">
        <v>0</v>
      </c>
      <c r="AJ52" s="327">
        <v>188890</v>
      </c>
      <c r="AK52" s="327">
        <v>0</v>
      </c>
      <c r="AL52" s="318">
        <f t="shared" si="22"/>
        <v>5945290</v>
      </c>
      <c r="AM52" s="356">
        <v>5808202</v>
      </c>
      <c r="AN52" s="327">
        <v>0</v>
      </c>
      <c r="AO52" s="327">
        <v>0</v>
      </c>
      <c r="AP52" s="327">
        <v>1226165</v>
      </c>
      <c r="AQ52" s="327">
        <v>0</v>
      </c>
      <c r="AR52" s="327">
        <v>59745</v>
      </c>
      <c r="AS52" s="327">
        <v>249136</v>
      </c>
      <c r="AT52" s="318">
        <f t="shared" si="23"/>
        <v>7343248</v>
      </c>
      <c r="AU52" s="356">
        <v>5080000</v>
      </c>
      <c r="AV52" s="327">
        <v>0</v>
      </c>
      <c r="AW52" s="327">
        <v>0</v>
      </c>
      <c r="AX52" s="327">
        <v>1559128</v>
      </c>
      <c r="AY52" s="327">
        <v>0</v>
      </c>
      <c r="AZ52" s="327">
        <v>33271</v>
      </c>
      <c r="BA52" s="327">
        <v>179652</v>
      </c>
      <c r="BB52" s="319">
        <f t="shared" si="24"/>
        <v>6852051</v>
      </c>
      <c r="BC52" s="328">
        <v>3176567</v>
      </c>
      <c r="BD52" s="329">
        <v>0</v>
      </c>
      <c r="BE52" s="329">
        <v>0</v>
      </c>
      <c r="BF52" s="329">
        <v>1315271</v>
      </c>
      <c r="BG52" s="329">
        <v>0</v>
      </c>
      <c r="BH52" s="329">
        <v>529447</v>
      </c>
      <c r="BI52" s="329">
        <v>74144</v>
      </c>
      <c r="BJ52" s="314">
        <f>SUM(BC52:BI52)</f>
        <v>5095429</v>
      </c>
      <c r="BK52" s="40" t="s">
        <v>7295</v>
      </c>
      <c r="BL52" s="320">
        <v>65</v>
      </c>
      <c r="BM52" s="320">
        <v>3.2</v>
      </c>
      <c r="BN52" s="320">
        <v>3.3</v>
      </c>
      <c r="BO52" s="40" t="s">
        <v>9432</v>
      </c>
      <c r="BP52" s="321">
        <v>912</v>
      </c>
      <c r="BQ52" s="344"/>
      <c r="BR52" s="314">
        <v>38</v>
      </c>
      <c r="BS52" s="314" t="s">
        <v>20567</v>
      </c>
      <c r="BT52" s="312">
        <v>905</v>
      </c>
      <c r="BU52" s="343">
        <v>66</v>
      </c>
      <c r="BV52" s="343">
        <v>3.2</v>
      </c>
      <c r="BW52" s="343">
        <v>3.3</v>
      </c>
      <c r="BX52" s="325" t="s">
        <v>20568</v>
      </c>
    </row>
    <row r="53" spans="1:76" ht="15.75" customHeight="1">
      <c r="A53" s="373" t="s">
        <v>10089</v>
      </c>
      <c r="B53" s="311" t="s">
        <v>2714</v>
      </c>
      <c r="C53" s="155">
        <v>163</v>
      </c>
      <c r="D53" s="312">
        <v>160</v>
      </c>
      <c r="E53" s="40" t="s">
        <v>9511</v>
      </c>
      <c r="F53" s="314">
        <v>50</v>
      </c>
      <c r="G53" s="316">
        <f>COUNTA(ME_33_D)</f>
        <v>39</v>
      </c>
      <c r="H53" s="316">
        <f>COUNTIF(ME_33_G,"TT")</f>
        <v>38</v>
      </c>
      <c r="I53" s="316">
        <f t="shared" si="8"/>
        <v>1</v>
      </c>
      <c r="J53" s="316">
        <f>COUNTA(ME_33_D)</f>
        <v>39</v>
      </c>
      <c r="K53" s="316">
        <f>COUNTIF(ME_33_G,"TT")</f>
        <v>38</v>
      </c>
      <c r="L53" s="316">
        <f t="shared" si="9"/>
        <v>1</v>
      </c>
      <c r="M53" s="316">
        <f>COUNTIFS('Mechanical Engineering Faculty'!$F$2836:$F$2874,M$1)</f>
        <v>13</v>
      </c>
      <c r="N53" s="316">
        <f>COUNTIFS('Mechanical Engineering Faculty'!$F$2836:$F$2874,N$1)</f>
        <v>12</v>
      </c>
      <c r="O53" s="316">
        <f>COUNTIFS('Mechanical Engineering Faculty'!$F$2836:$F$2874,O$1)</f>
        <v>13</v>
      </c>
      <c r="P53" s="316">
        <f>COUNTIFS(ME_33_G,"TT", ME_33_D,P$1)</f>
        <v>13</v>
      </c>
      <c r="Q53" s="316">
        <f>COUNTIFS(ME_33_G,"TT", ME_33_D,Q$1)</f>
        <v>12</v>
      </c>
      <c r="R53" s="316">
        <f>COUNTIFS(ME_33_G,"TT", ME_33_D,R$1)</f>
        <v>13</v>
      </c>
      <c r="S53" s="316">
        <f>COUNTIF(ME_33_D,S$1)</f>
        <v>0</v>
      </c>
      <c r="T53" s="316">
        <f t="shared" si="18"/>
        <v>0</v>
      </c>
      <c r="U53" s="316">
        <f t="shared" si="19"/>
        <v>0</v>
      </c>
      <c r="V53" s="316">
        <f t="shared" si="20"/>
        <v>0</v>
      </c>
      <c r="W53" s="316">
        <f t="shared" ref="W53:AB53" si="44">COUNTIF(ME_33_D,W$1)</f>
        <v>0</v>
      </c>
      <c r="X53" s="316">
        <f t="shared" si="44"/>
        <v>0</v>
      </c>
      <c r="Y53" s="316">
        <f t="shared" si="44"/>
        <v>0</v>
      </c>
      <c r="Z53" s="316">
        <f t="shared" si="44"/>
        <v>1</v>
      </c>
      <c r="AA53" s="316">
        <f t="shared" si="44"/>
        <v>0</v>
      </c>
      <c r="AB53" s="316">
        <f t="shared" si="44"/>
        <v>0</v>
      </c>
      <c r="AC53" s="315">
        <f>COUNTIF(ME_33_E,AC$1)+COUNTIF(ME_33_E,"E/D")</f>
        <v>0</v>
      </c>
      <c r="AD53" s="315">
        <f>COUNTIF(ME_33_E,AD$1)+COUNTIF(ME_33_E,"E/D")</f>
        <v>2</v>
      </c>
      <c r="AE53" s="356">
        <v>4517000</v>
      </c>
      <c r="AF53" s="327">
        <v>145000</v>
      </c>
      <c r="AG53" s="327">
        <v>0</v>
      </c>
      <c r="AH53" s="327">
        <v>689000</v>
      </c>
      <c r="AI53" s="327">
        <v>0</v>
      </c>
      <c r="AJ53" s="327">
        <v>283000</v>
      </c>
      <c r="AK53" s="327">
        <v>1021000</v>
      </c>
      <c r="AL53" s="318">
        <f t="shared" si="22"/>
        <v>6655000</v>
      </c>
      <c r="AM53" s="356">
        <v>6453000</v>
      </c>
      <c r="AN53" s="327">
        <v>37000</v>
      </c>
      <c r="AO53" s="327">
        <v>0</v>
      </c>
      <c r="AP53" s="327">
        <v>430000</v>
      </c>
      <c r="AQ53" s="327">
        <v>0</v>
      </c>
      <c r="AR53" s="327">
        <v>408000</v>
      </c>
      <c r="AS53" s="327">
        <v>1485000</v>
      </c>
      <c r="AT53" s="318">
        <f t="shared" si="23"/>
        <v>8813000</v>
      </c>
      <c r="AU53" s="356">
        <v>6409000</v>
      </c>
      <c r="AV53" s="327">
        <v>0</v>
      </c>
      <c r="AW53" s="327">
        <v>0</v>
      </c>
      <c r="AX53" s="327">
        <v>661000</v>
      </c>
      <c r="AY53" s="327">
        <v>0</v>
      </c>
      <c r="AZ53" s="327">
        <v>280000</v>
      </c>
      <c r="BA53" s="327">
        <v>1494000</v>
      </c>
      <c r="BB53" s="319">
        <f t="shared" si="24"/>
        <v>8844000</v>
      </c>
      <c r="BC53" s="328">
        <v>7335000</v>
      </c>
      <c r="BD53" s="329">
        <v>274000</v>
      </c>
      <c r="BE53" s="329">
        <v>0</v>
      </c>
      <c r="BF53" s="329">
        <v>1008000</v>
      </c>
      <c r="BG53" s="329">
        <v>0</v>
      </c>
      <c r="BH53" s="329">
        <v>163000</v>
      </c>
      <c r="BI53" s="329">
        <v>1766000</v>
      </c>
      <c r="BJ53" s="314">
        <f>SUM(BC53:BI53)</f>
        <v>10546000</v>
      </c>
      <c r="BK53" s="40" t="s">
        <v>6667</v>
      </c>
      <c r="BL53" s="320">
        <v>57</v>
      </c>
      <c r="BM53" s="320">
        <v>2.8</v>
      </c>
      <c r="BN53" s="320">
        <v>3.4</v>
      </c>
      <c r="BO53" s="40" t="s">
        <v>10137</v>
      </c>
      <c r="BP53" s="321">
        <v>614</v>
      </c>
      <c r="BQ53" s="344"/>
      <c r="BR53" s="314">
        <v>63</v>
      </c>
      <c r="BS53" s="314" t="s">
        <v>20579</v>
      </c>
      <c r="BT53" s="312">
        <v>638</v>
      </c>
      <c r="BU53" s="343">
        <v>57</v>
      </c>
      <c r="BV53" s="343">
        <v>2.8</v>
      </c>
      <c r="BW53" s="343">
        <v>3.4</v>
      </c>
      <c r="BX53" s="325" t="s">
        <v>20580</v>
      </c>
    </row>
    <row r="54" spans="1:76" ht="15.75" customHeight="1">
      <c r="A54" s="374" t="s">
        <v>10325</v>
      </c>
      <c r="B54" s="311" t="s">
        <v>10330</v>
      </c>
      <c r="C54" s="155">
        <v>165</v>
      </c>
      <c r="D54" s="312">
        <v>165</v>
      </c>
      <c r="E54" s="40" t="s">
        <v>9511</v>
      </c>
      <c r="F54" s="314">
        <v>50</v>
      </c>
      <c r="G54" s="316">
        <f>COUNTA(ME_35_D)</f>
        <v>55</v>
      </c>
      <c r="H54" s="316">
        <f>COUNTIF(ME_35_G,"TT")</f>
        <v>50</v>
      </c>
      <c r="I54" s="316">
        <f t="shared" si="8"/>
        <v>5</v>
      </c>
      <c r="J54" s="316">
        <f>COUNTA(ME_35_D)</f>
        <v>55</v>
      </c>
      <c r="K54" s="316">
        <f>COUNTIF(ME_35_G,"TT")</f>
        <v>50</v>
      </c>
      <c r="L54" s="316">
        <f t="shared" si="9"/>
        <v>5</v>
      </c>
      <c r="M54" s="316">
        <f>COUNTIFS('Mechanical Engineering Faculty'!$F$2900:$F$2954,M$1)</f>
        <v>19</v>
      </c>
      <c r="N54" s="316">
        <f>COUNTIFS('Mechanical Engineering Faculty'!$F$2900:$F$2954,N$1)</f>
        <v>17</v>
      </c>
      <c r="O54" s="316">
        <f>COUNTIFS('Mechanical Engineering Faculty'!$F$2900:$F$2954,O$1)</f>
        <v>11</v>
      </c>
      <c r="P54" s="316">
        <f>COUNTIFS(ME_35_G,"TT", ME_35_D,P$1)</f>
        <v>19</v>
      </c>
      <c r="Q54" s="316">
        <f>COUNTIFS(ME_35_G,"TT", ME_35_D,Q$1)</f>
        <v>19</v>
      </c>
      <c r="R54" s="316">
        <f>COUNTIFS(ME_35_G,"TT", ME_35_D,R$1)</f>
        <v>12</v>
      </c>
      <c r="S54" s="316">
        <f>COUNTIF(ME_35_D,S$1)</f>
        <v>0</v>
      </c>
      <c r="T54" s="316">
        <f t="shared" si="18"/>
        <v>0</v>
      </c>
      <c r="U54" s="316">
        <f t="shared" si="19"/>
        <v>2</v>
      </c>
      <c r="V54" s="316">
        <f t="shared" si="20"/>
        <v>1</v>
      </c>
      <c r="W54" s="316">
        <f t="shared" ref="W54:AB54" si="45">COUNTIF(ME_35_D,W$1)</f>
        <v>0</v>
      </c>
      <c r="X54" s="316">
        <f t="shared" si="45"/>
        <v>0</v>
      </c>
      <c r="Y54" s="316">
        <f t="shared" si="45"/>
        <v>0</v>
      </c>
      <c r="Z54" s="316">
        <f t="shared" si="45"/>
        <v>1</v>
      </c>
      <c r="AA54" s="316">
        <f t="shared" si="45"/>
        <v>2</v>
      </c>
      <c r="AB54" s="316">
        <f t="shared" si="45"/>
        <v>2</v>
      </c>
      <c r="AC54" s="315">
        <f>COUNTIF(ME_35_E,AC$1)+COUNTIF(ME_35_E,"E/D")</f>
        <v>6</v>
      </c>
      <c r="AD54" s="315">
        <f>COUNTIF(ME_35_E,AD$1)+COUNTIF(ME_35_E,"E/D")</f>
        <v>2</v>
      </c>
      <c r="AE54" s="356">
        <v>7773751</v>
      </c>
      <c r="AF54" s="327">
        <v>0</v>
      </c>
      <c r="AG54" s="327">
        <v>0</v>
      </c>
      <c r="AH54" s="327">
        <v>168192</v>
      </c>
      <c r="AI54" s="327">
        <v>2792690</v>
      </c>
      <c r="AJ54" s="327">
        <v>112344</v>
      </c>
      <c r="AK54" s="327">
        <v>0</v>
      </c>
      <c r="AL54" s="318">
        <f t="shared" si="22"/>
        <v>10846977</v>
      </c>
      <c r="AM54" s="356">
        <v>8447125</v>
      </c>
      <c r="AN54" s="327">
        <v>0</v>
      </c>
      <c r="AO54" s="327">
        <v>0</v>
      </c>
      <c r="AP54" s="327">
        <v>309396</v>
      </c>
      <c r="AQ54" s="327">
        <v>345015</v>
      </c>
      <c r="AR54" s="327">
        <v>67851</v>
      </c>
      <c r="AS54" s="327">
        <v>0</v>
      </c>
      <c r="AT54" s="318">
        <f t="shared" si="23"/>
        <v>9169387</v>
      </c>
      <c r="AU54" s="356">
        <v>11279142</v>
      </c>
      <c r="AV54" s="327">
        <v>488260</v>
      </c>
      <c r="AW54" s="327">
        <v>0</v>
      </c>
      <c r="AX54" s="327">
        <v>575364</v>
      </c>
      <c r="AY54" s="327">
        <v>0</v>
      </c>
      <c r="AZ54" s="327">
        <v>90795</v>
      </c>
      <c r="BA54" s="327">
        <v>0</v>
      </c>
      <c r="BB54" s="319">
        <f t="shared" si="24"/>
        <v>12433561</v>
      </c>
      <c r="BC54" s="328">
        <v>15208811</v>
      </c>
      <c r="BD54" s="329">
        <v>47999</v>
      </c>
      <c r="BE54" s="329">
        <v>0</v>
      </c>
      <c r="BF54" s="329">
        <v>844159</v>
      </c>
      <c r="BG54" s="329">
        <v>0</v>
      </c>
      <c r="BH54" s="329">
        <v>132714</v>
      </c>
      <c r="BI54" s="329">
        <v>0</v>
      </c>
      <c r="BJ54" s="314">
        <f>SUM(BC54:BI54)</f>
        <v>16233683</v>
      </c>
      <c r="BK54" s="40" t="s">
        <v>6149</v>
      </c>
      <c r="BL54" s="320">
        <v>63</v>
      </c>
      <c r="BM54" s="320">
        <v>3</v>
      </c>
      <c r="BN54" s="320">
        <v>3.3</v>
      </c>
      <c r="BO54" s="40" t="s">
        <v>10369</v>
      </c>
      <c r="BP54" s="321">
        <v>775</v>
      </c>
      <c r="BQ54" s="314">
        <v>24</v>
      </c>
      <c r="BR54" s="314">
        <v>45</v>
      </c>
      <c r="BS54" s="314" t="s">
        <v>20583</v>
      </c>
      <c r="BT54" s="312">
        <v>763</v>
      </c>
      <c r="BU54" s="343">
        <v>63</v>
      </c>
      <c r="BV54" s="343">
        <v>3.1</v>
      </c>
      <c r="BW54" s="343">
        <v>3.3</v>
      </c>
      <c r="BX54" s="325" t="s">
        <v>20584</v>
      </c>
    </row>
    <row r="55" spans="1:76" ht="15.75" customHeight="1">
      <c r="A55" s="374" t="s">
        <v>10754</v>
      </c>
      <c r="B55" s="311" t="s">
        <v>9663</v>
      </c>
      <c r="C55" s="155">
        <v>163</v>
      </c>
      <c r="D55" s="312">
        <v>164</v>
      </c>
      <c r="E55" s="40" t="s">
        <v>10522</v>
      </c>
      <c r="F55" s="314">
        <v>50</v>
      </c>
      <c r="G55" s="316">
        <f>COUNTA(ME_38_D)</f>
        <v>30</v>
      </c>
      <c r="H55" s="316">
        <f>COUNTIF(ME_38_G,"TT")</f>
        <v>21</v>
      </c>
      <c r="I55" s="316">
        <f t="shared" si="8"/>
        <v>9</v>
      </c>
      <c r="J55" s="316">
        <f>COUNTA(ME_38_D)</f>
        <v>30</v>
      </c>
      <c r="K55" s="316">
        <f>COUNTIF(ME_38_G,"TT")</f>
        <v>21</v>
      </c>
      <c r="L55" s="316">
        <f t="shared" si="9"/>
        <v>9</v>
      </c>
      <c r="M55" s="316">
        <f>COUNTIFS('Mechanical Engineering Faculty'!$F$3040:$F$3069,M$1)</f>
        <v>11</v>
      </c>
      <c r="N55" s="316">
        <f>COUNTIFS('Mechanical Engineering Faculty'!$F$3040:$F$3069,N$1)</f>
        <v>7</v>
      </c>
      <c r="O55" s="316">
        <f>COUNTIFS('Mechanical Engineering Faculty'!$F$3040:$F$3069,O$1)</f>
        <v>4</v>
      </c>
      <c r="P55" s="316">
        <f>COUNTIFS(ME_38_G,"TT", ME_38_D,P$1)</f>
        <v>10</v>
      </c>
      <c r="Q55" s="316">
        <f>COUNTIFS(ME_38_G,"TT", ME_38_D,Q$1)</f>
        <v>6</v>
      </c>
      <c r="R55" s="316">
        <f>COUNTIFS(ME_38_G,"TT", ME_38_D,R$1)</f>
        <v>5</v>
      </c>
      <c r="S55" s="316">
        <f>COUNTIF(ME_38_D,S$1)</f>
        <v>0</v>
      </c>
      <c r="T55" s="316">
        <f t="shared" si="18"/>
        <v>-1</v>
      </c>
      <c r="U55" s="316">
        <f t="shared" si="19"/>
        <v>-1</v>
      </c>
      <c r="V55" s="316">
        <f t="shared" si="20"/>
        <v>1</v>
      </c>
      <c r="W55" s="316">
        <f t="shared" ref="W55:AB55" si="46">COUNTIF(ME_38_D,W$1)</f>
        <v>3</v>
      </c>
      <c r="X55" s="316">
        <f t="shared" si="46"/>
        <v>2</v>
      </c>
      <c r="Y55" s="316">
        <f t="shared" si="46"/>
        <v>0</v>
      </c>
      <c r="Z55" s="316">
        <f t="shared" si="46"/>
        <v>0</v>
      </c>
      <c r="AA55" s="316">
        <f t="shared" si="46"/>
        <v>2</v>
      </c>
      <c r="AB55" s="316">
        <f t="shared" si="46"/>
        <v>0</v>
      </c>
      <c r="AC55" s="315">
        <f>COUNTIF(ME_38_E,AC$1)+COUNTIF(ME_38_E,"E/D")</f>
        <v>0</v>
      </c>
      <c r="AD55" s="315">
        <f>COUNTIF(ME_38_E,AD$1)+COUNTIF(ME_38_E,"E/D")</f>
        <v>2</v>
      </c>
      <c r="AE55" s="356">
        <v>4006768</v>
      </c>
      <c r="AF55" s="327">
        <v>2079</v>
      </c>
      <c r="AG55" s="327">
        <v>0</v>
      </c>
      <c r="AH55" s="327">
        <v>351747</v>
      </c>
      <c r="AI55" s="327">
        <v>0</v>
      </c>
      <c r="AJ55" s="327">
        <v>1604</v>
      </c>
      <c r="AK55" s="327">
        <v>43148</v>
      </c>
      <c r="AL55" s="318">
        <f t="shared" si="22"/>
        <v>4405346</v>
      </c>
      <c r="AM55" s="356">
        <v>4379959</v>
      </c>
      <c r="AN55" s="327">
        <v>8</v>
      </c>
      <c r="AO55" s="327">
        <v>0</v>
      </c>
      <c r="AP55" s="327">
        <v>325835</v>
      </c>
      <c r="AQ55" s="327">
        <v>0</v>
      </c>
      <c r="AR55" s="327">
        <v>6758</v>
      </c>
      <c r="AS55" s="327">
        <v>77206</v>
      </c>
      <c r="AT55" s="318">
        <f t="shared" si="23"/>
        <v>4789766</v>
      </c>
      <c r="AU55" s="356">
        <v>4093887</v>
      </c>
      <c r="AV55" s="327">
        <v>0</v>
      </c>
      <c r="AW55" s="327">
        <v>6130</v>
      </c>
      <c r="AX55" s="327">
        <v>80787</v>
      </c>
      <c r="AY55" s="327">
        <v>0</v>
      </c>
      <c r="AZ55" s="327">
        <v>0</v>
      </c>
      <c r="BA55" s="327">
        <v>111020</v>
      </c>
      <c r="BB55" s="319">
        <f t="shared" si="24"/>
        <v>4291824</v>
      </c>
      <c r="BC55" s="411" t="s">
        <v>55</v>
      </c>
      <c r="BD55" s="413" t="s">
        <v>55</v>
      </c>
      <c r="BE55" s="413" t="s">
        <v>55</v>
      </c>
      <c r="BF55" s="413" t="s">
        <v>55</v>
      </c>
      <c r="BG55" s="413" t="s">
        <v>55</v>
      </c>
      <c r="BH55" s="413" t="s">
        <v>55</v>
      </c>
      <c r="BI55" s="413" t="s">
        <v>55</v>
      </c>
      <c r="BJ55" s="332" t="s">
        <v>55</v>
      </c>
      <c r="BK55" s="40" t="s">
        <v>10768</v>
      </c>
      <c r="BL55" s="320">
        <v>51</v>
      </c>
      <c r="BM55" s="320">
        <v>3</v>
      </c>
      <c r="BN55" s="320">
        <v>3.6</v>
      </c>
      <c r="BO55" s="40" t="s">
        <v>10801</v>
      </c>
      <c r="BP55" s="321">
        <v>512</v>
      </c>
      <c r="BQ55" s="314">
        <v>19</v>
      </c>
      <c r="BR55" s="314">
        <v>83</v>
      </c>
      <c r="BS55" s="314" t="s">
        <v>20589</v>
      </c>
      <c r="BT55" s="312">
        <v>512</v>
      </c>
      <c r="BU55" s="343">
        <v>51</v>
      </c>
      <c r="BV55" s="343">
        <v>2.9</v>
      </c>
      <c r="BW55" s="343">
        <v>3.5</v>
      </c>
      <c r="BX55" s="325" t="s">
        <v>20590</v>
      </c>
    </row>
    <row r="56" spans="1:76" ht="15.75" customHeight="1">
      <c r="A56" s="373" t="s">
        <v>9499</v>
      </c>
      <c r="B56" s="311" t="s">
        <v>2714</v>
      </c>
      <c r="C56" s="155">
        <v>160</v>
      </c>
      <c r="D56" s="312">
        <v>160</v>
      </c>
      <c r="E56" s="40" t="s">
        <v>9511</v>
      </c>
      <c r="F56" s="314">
        <v>56</v>
      </c>
      <c r="G56" s="316">
        <f>COUNTA(ME_28_D)</f>
        <v>42</v>
      </c>
      <c r="H56" s="316">
        <f>COUNTIF(ME_28_G,"TT")</f>
        <v>33</v>
      </c>
      <c r="I56" s="316">
        <f t="shared" si="8"/>
        <v>9</v>
      </c>
      <c r="J56" s="316">
        <f>COUNTA(ME_28_D)</f>
        <v>42</v>
      </c>
      <c r="K56" s="316">
        <f>COUNTIF(ME_28_G,"TT")</f>
        <v>33</v>
      </c>
      <c r="L56" s="316">
        <f t="shared" si="9"/>
        <v>9</v>
      </c>
      <c r="M56" s="316">
        <f>COUNTIFS('Mechanical Engineering Faculty'!$F$2663:$F$2704,M$1)</f>
        <v>11</v>
      </c>
      <c r="N56" s="316">
        <f>COUNTIFS('Mechanical Engineering Faculty'!$F$2663:$F$2704,N$1)</f>
        <v>13</v>
      </c>
      <c r="O56" s="316">
        <f>COUNTIFS('Mechanical Engineering Faculty'!$F$2663:$F$2704,O$1)</f>
        <v>4</v>
      </c>
      <c r="P56" s="316">
        <f>COUNTIFS(ME_28_G,"TT", ME_28_D,P$1)</f>
        <v>12</v>
      </c>
      <c r="Q56" s="316">
        <f>COUNTIFS(ME_28_G,"TT", ME_28_D,Q$1)</f>
        <v>14</v>
      </c>
      <c r="R56" s="316">
        <f>COUNTIFS(ME_28_G,"TT", ME_28_D,R$1)</f>
        <v>7</v>
      </c>
      <c r="S56" s="316">
        <f>COUNTIF(ME_28_D,S$1)</f>
        <v>8</v>
      </c>
      <c r="T56" s="316">
        <f t="shared" si="18"/>
        <v>1</v>
      </c>
      <c r="U56" s="316">
        <f t="shared" si="19"/>
        <v>1</v>
      </c>
      <c r="V56" s="316">
        <f t="shared" si="20"/>
        <v>3</v>
      </c>
      <c r="W56" s="316">
        <f t="shared" ref="W56:AB56" si="47">COUNTIF(ME_28_D,W$1)</f>
        <v>0</v>
      </c>
      <c r="X56" s="316">
        <f t="shared" si="47"/>
        <v>0</v>
      </c>
      <c r="Y56" s="316">
        <f t="shared" si="47"/>
        <v>1</v>
      </c>
      <c r="Z56" s="316">
        <f t="shared" si="47"/>
        <v>0</v>
      </c>
      <c r="AA56" s="316">
        <f t="shared" si="47"/>
        <v>0</v>
      </c>
      <c r="AB56" s="316">
        <f t="shared" si="47"/>
        <v>0</v>
      </c>
      <c r="AC56" s="315">
        <f>COUNTIF(ME_28_E,AC$1)+COUNTIF(ME_28_E,"E/D")</f>
        <v>0</v>
      </c>
      <c r="AD56" s="315">
        <f>COUNTIF(ME_28_E,AD$1)+COUNTIF(ME_28_E,"E/D")</f>
        <v>0</v>
      </c>
      <c r="AE56" s="356">
        <v>4088990</v>
      </c>
      <c r="AF56" s="327">
        <v>0</v>
      </c>
      <c r="AG56" s="327">
        <v>0</v>
      </c>
      <c r="AH56" s="327">
        <v>1580810</v>
      </c>
      <c r="AI56" s="327">
        <v>0</v>
      </c>
      <c r="AJ56" s="327">
        <v>305601</v>
      </c>
      <c r="AK56" s="327">
        <v>147488</v>
      </c>
      <c r="AL56" s="318">
        <f t="shared" si="22"/>
        <v>6122889</v>
      </c>
      <c r="AM56" s="356">
        <v>8843659</v>
      </c>
      <c r="AN56" s="327">
        <v>0</v>
      </c>
      <c r="AO56" s="327">
        <v>0</v>
      </c>
      <c r="AP56" s="327">
        <v>1098363</v>
      </c>
      <c r="AQ56" s="327">
        <v>2400</v>
      </c>
      <c r="AR56" s="327">
        <v>156023</v>
      </c>
      <c r="AS56" s="327">
        <v>146988</v>
      </c>
      <c r="AT56" s="318">
        <f t="shared" si="23"/>
        <v>10247433</v>
      </c>
      <c r="AU56" s="356">
        <v>4260968</v>
      </c>
      <c r="AV56" s="327">
        <v>0</v>
      </c>
      <c r="AW56" s="327">
        <v>0</v>
      </c>
      <c r="AX56" s="327">
        <v>91897</v>
      </c>
      <c r="AY56" s="327">
        <v>0</v>
      </c>
      <c r="AZ56" s="327">
        <v>50632</v>
      </c>
      <c r="BA56" s="327">
        <v>22766</v>
      </c>
      <c r="BB56" s="319">
        <f t="shared" si="24"/>
        <v>4426263</v>
      </c>
      <c r="BC56" s="328">
        <v>17586847</v>
      </c>
      <c r="BD56" s="329">
        <v>0</v>
      </c>
      <c r="BE56" s="329">
        <v>0</v>
      </c>
      <c r="BF56" s="329">
        <v>1159192</v>
      </c>
      <c r="BG56" s="329">
        <v>0</v>
      </c>
      <c r="BH56" s="329">
        <v>308643</v>
      </c>
      <c r="BI56" s="329">
        <v>281533</v>
      </c>
      <c r="BJ56" s="314">
        <f>SUM(BC56:BI56)</f>
        <v>19336215</v>
      </c>
      <c r="BK56" s="40" t="s">
        <v>9516</v>
      </c>
      <c r="BL56" s="320">
        <v>53</v>
      </c>
      <c r="BM56" s="320">
        <v>3</v>
      </c>
      <c r="BN56" s="320">
        <v>3.5</v>
      </c>
      <c r="BO56" s="40" t="s">
        <v>9544</v>
      </c>
      <c r="BP56" s="321">
        <v>1339</v>
      </c>
      <c r="BQ56" s="314">
        <v>24</v>
      </c>
      <c r="BR56" s="314">
        <v>68</v>
      </c>
      <c r="BS56" s="314" t="s">
        <v>20569</v>
      </c>
      <c r="BT56" s="339">
        <v>1322</v>
      </c>
      <c r="BU56" s="343">
        <v>55</v>
      </c>
      <c r="BV56" s="343">
        <v>3</v>
      </c>
      <c r="BW56" s="343">
        <v>3.4</v>
      </c>
      <c r="BX56" s="325" t="s">
        <v>20570</v>
      </c>
    </row>
    <row r="57" spans="1:76" ht="15.75" customHeight="1">
      <c r="A57" s="373" t="s">
        <v>9658</v>
      </c>
      <c r="B57" s="311" t="s">
        <v>9663</v>
      </c>
      <c r="C57" s="155">
        <v>158</v>
      </c>
      <c r="D57" s="312">
        <v>159</v>
      </c>
      <c r="E57" s="40" t="s">
        <v>9511</v>
      </c>
      <c r="F57" s="314">
        <v>56</v>
      </c>
      <c r="G57" s="316">
        <f>COUNTA(ME_29_D)</f>
        <v>33</v>
      </c>
      <c r="H57" s="316">
        <f>COUNTIF(ME_29_G,"TT")</f>
        <v>25</v>
      </c>
      <c r="I57" s="316">
        <f t="shared" si="8"/>
        <v>8</v>
      </c>
      <c r="J57" s="316">
        <f>COUNTA(ME_29_D)</f>
        <v>33</v>
      </c>
      <c r="K57" s="316">
        <f>COUNTIF(ME_29_G,"TT")</f>
        <v>25</v>
      </c>
      <c r="L57" s="316">
        <f t="shared" si="9"/>
        <v>8</v>
      </c>
      <c r="M57" s="316">
        <f>COUNTIFS('Mechanical Engineering Faculty'!$F$2706:$F$2738,M$1)</f>
        <v>16</v>
      </c>
      <c r="N57" s="316">
        <f>COUNTIFS('Mechanical Engineering Faculty'!$F$2706:$F$2738,N$1)</f>
        <v>5</v>
      </c>
      <c r="O57" s="316">
        <f>COUNTIFS('Mechanical Engineering Faculty'!$F$2706:$F$2738,O$1)</f>
        <v>4</v>
      </c>
      <c r="P57" s="316">
        <f>COUNTIFS(ME_29_G,"TT", ME_29_D,P$1)</f>
        <v>15</v>
      </c>
      <c r="Q57" s="316">
        <f>COUNTIFS(ME_29_G,"TT", ME_29_D,Q$1)</f>
        <v>5</v>
      </c>
      <c r="R57" s="316">
        <f>COUNTIFS(ME_29_G,"TT", ME_29_D,R$1)</f>
        <v>5</v>
      </c>
      <c r="S57" s="316">
        <f>COUNTIF(ME_29_D,S$1)</f>
        <v>0</v>
      </c>
      <c r="T57" s="316">
        <f t="shared" si="18"/>
        <v>-1</v>
      </c>
      <c r="U57" s="316">
        <f t="shared" si="19"/>
        <v>0</v>
      </c>
      <c r="V57" s="316">
        <f t="shared" si="20"/>
        <v>1</v>
      </c>
      <c r="W57" s="316">
        <f t="shared" ref="W57:AB57" si="48">COUNTIF(ME_29_D,W$1)</f>
        <v>2</v>
      </c>
      <c r="X57" s="316">
        <f t="shared" si="48"/>
        <v>0</v>
      </c>
      <c r="Y57" s="316">
        <f t="shared" si="48"/>
        <v>3</v>
      </c>
      <c r="Z57" s="316">
        <f t="shared" si="48"/>
        <v>0</v>
      </c>
      <c r="AA57" s="316">
        <f t="shared" si="48"/>
        <v>0</v>
      </c>
      <c r="AB57" s="316">
        <f t="shared" si="48"/>
        <v>0</v>
      </c>
      <c r="AC57" s="315">
        <f>COUNTIF(ME_29_E,AC$1)+COUNTIF(ME_29_E,"E/D")</f>
        <v>1</v>
      </c>
      <c r="AD57" s="315">
        <f>COUNTIF(ME_29_E,AD$1)+COUNTIF(ME_29_E,"E/D")</f>
        <v>7</v>
      </c>
      <c r="AE57" s="356">
        <v>2484991</v>
      </c>
      <c r="AF57" s="356">
        <v>31163</v>
      </c>
      <c r="AG57" s="356">
        <v>19795</v>
      </c>
      <c r="AH57" s="356">
        <v>253224</v>
      </c>
      <c r="AI57" s="356">
        <v>0</v>
      </c>
      <c r="AJ57" s="356">
        <v>601</v>
      </c>
      <c r="AK57" s="356">
        <v>96165</v>
      </c>
      <c r="AL57" s="318">
        <f t="shared" si="22"/>
        <v>2885939</v>
      </c>
      <c r="AM57" s="356">
        <v>2208798</v>
      </c>
      <c r="AN57" s="327">
        <v>21158</v>
      </c>
      <c r="AO57" s="327">
        <v>0</v>
      </c>
      <c r="AP57" s="327">
        <v>145934</v>
      </c>
      <c r="AQ57" s="327">
        <v>0</v>
      </c>
      <c r="AR57" s="327">
        <v>37595</v>
      </c>
      <c r="AS57" s="327">
        <v>118060</v>
      </c>
      <c r="AT57" s="318">
        <f t="shared" si="23"/>
        <v>2531545</v>
      </c>
      <c r="AU57" s="356">
        <v>6258278</v>
      </c>
      <c r="AV57" s="356">
        <v>0</v>
      </c>
      <c r="AW57" s="356">
        <v>0</v>
      </c>
      <c r="AX57" s="356">
        <v>33530</v>
      </c>
      <c r="AY57" s="356">
        <v>0</v>
      </c>
      <c r="AZ57" s="356">
        <v>0</v>
      </c>
      <c r="BA57" s="356">
        <v>35981</v>
      </c>
      <c r="BB57" s="319">
        <f t="shared" si="24"/>
        <v>6327789</v>
      </c>
      <c r="BC57" s="412">
        <v>6968431</v>
      </c>
      <c r="BD57" s="412">
        <v>0</v>
      </c>
      <c r="BE57" s="412">
        <v>0</v>
      </c>
      <c r="BF57" s="412">
        <v>82077</v>
      </c>
      <c r="BG57" s="412">
        <v>0</v>
      </c>
      <c r="BH57" s="412">
        <v>0</v>
      </c>
      <c r="BI57" s="412">
        <v>66954</v>
      </c>
      <c r="BJ57" s="314">
        <f>SUM(BC57:BI57)</f>
        <v>7117462</v>
      </c>
      <c r="BK57" s="40" t="s">
        <v>9672</v>
      </c>
      <c r="BL57" s="320">
        <v>48</v>
      </c>
      <c r="BM57" s="320">
        <v>2.9</v>
      </c>
      <c r="BN57" s="320">
        <v>3.4</v>
      </c>
      <c r="BO57" s="40" t="s">
        <v>9699</v>
      </c>
      <c r="BP57" s="321">
        <v>591</v>
      </c>
      <c r="BQ57" s="344"/>
      <c r="BR57" s="314">
        <v>75</v>
      </c>
      <c r="BS57" s="314" t="s">
        <v>20571</v>
      </c>
      <c r="BT57" s="312">
        <v>624</v>
      </c>
      <c r="BU57" s="343">
        <v>53</v>
      </c>
      <c r="BV57" s="343">
        <v>3</v>
      </c>
      <c r="BW57" s="343">
        <v>3.4</v>
      </c>
      <c r="BX57" s="325" t="s">
        <v>20572</v>
      </c>
    </row>
    <row r="58" spans="1:76" ht="15.75" customHeight="1">
      <c r="A58" s="373" t="s">
        <v>9841</v>
      </c>
      <c r="B58" s="311" t="s">
        <v>8241</v>
      </c>
      <c r="C58" s="155">
        <v>163</v>
      </c>
      <c r="D58" s="312">
        <v>162</v>
      </c>
      <c r="E58" s="40" t="s">
        <v>9511</v>
      </c>
      <c r="F58" s="314">
        <v>56</v>
      </c>
      <c r="G58" s="316">
        <f>COUNTA(ME_31_D)</f>
        <v>42</v>
      </c>
      <c r="H58" s="316">
        <f>COUNTIF(ME_31_G,"TT")</f>
        <v>31</v>
      </c>
      <c r="I58" s="316">
        <f t="shared" ref="I58:I89" si="49">G58-H58</f>
        <v>11</v>
      </c>
      <c r="J58" s="316">
        <f>COUNTA(ME_31_D)</f>
        <v>42</v>
      </c>
      <c r="K58" s="316">
        <f>COUNTIF(ME_31_G,"TT")</f>
        <v>31</v>
      </c>
      <c r="L58" s="316">
        <f t="shared" ref="L58:L89" si="50">J58-K58</f>
        <v>11</v>
      </c>
      <c r="M58" s="316">
        <f>COUNTIFS('Mechanical Engineering Faculty'!$F$2763:$F$2804,M$1)</f>
        <v>11</v>
      </c>
      <c r="N58" s="316">
        <f>COUNTIFS('Mechanical Engineering Faculty'!$F$2763:$F$2804,N$1)</f>
        <v>8</v>
      </c>
      <c r="O58" s="316">
        <f>COUNTIFS('Mechanical Engineering Faculty'!$F$2763:$F$2804,O$1)</f>
        <v>10</v>
      </c>
      <c r="P58" s="316">
        <f>COUNTIFS( ME_31_D,P$1)</f>
        <v>11</v>
      </c>
      <c r="Q58" s="316">
        <f>COUNTIFS( ME_31_D,Q$1)</f>
        <v>9</v>
      </c>
      <c r="R58" s="316">
        <f>COUNTIFS( ME_31_D,R$1)</f>
        <v>10</v>
      </c>
      <c r="S58" s="316">
        <f>COUNTIF(ME_31_D,S$1)</f>
        <v>0</v>
      </c>
      <c r="T58" s="316">
        <f t="shared" si="18"/>
        <v>0</v>
      </c>
      <c r="U58" s="316">
        <f t="shared" si="19"/>
        <v>1</v>
      </c>
      <c r="V58" s="316">
        <f t="shared" si="20"/>
        <v>0</v>
      </c>
      <c r="W58" s="316">
        <f t="shared" ref="W58:AB58" si="51">COUNTIF(ME_31_D,W$1)</f>
        <v>1</v>
      </c>
      <c r="X58" s="316">
        <f t="shared" si="51"/>
        <v>1</v>
      </c>
      <c r="Y58" s="316">
        <f t="shared" si="51"/>
        <v>8</v>
      </c>
      <c r="Z58" s="316">
        <f t="shared" si="51"/>
        <v>0</v>
      </c>
      <c r="AA58" s="316">
        <f t="shared" si="51"/>
        <v>0</v>
      </c>
      <c r="AB58" s="316">
        <f t="shared" si="51"/>
        <v>0</v>
      </c>
      <c r="AC58" s="315">
        <f>COUNTIF(ME_31_E,AC$1)+COUNTIF(ME_31_E,"E/D")</f>
        <v>2</v>
      </c>
      <c r="AD58" s="315">
        <f>COUNTIF(ME_31_E,AD$1)+COUNTIF(ME_31_E,"E/D")</f>
        <v>2</v>
      </c>
      <c r="AE58" s="356">
        <v>11720181</v>
      </c>
      <c r="AF58" s="327">
        <v>0</v>
      </c>
      <c r="AG58" s="327">
        <v>0</v>
      </c>
      <c r="AH58" s="327">
        <v>4305341</v>
      </c>
      <c r="AI58" s="327">
        <v>1099236</v>
      </c>
      <c r="AJ58" s="327">
        <v>2290275</v>
      </c>
      <c r="AK58" s="327">
        <v>1557251</v>
      </c>
      <c r="AL58" s="318">
        <f t="shared" si="22"/>
        <v>20972284</v>
      </c>
      <c r="AM58" s="356">
        <v>3866447</v>
      </c>
      <c r="AN58" s="327">
        <v>0</v>
      </c>
      <c r="AO58" s="327">
        <v>0</v>
      </c>
      <c r="AP58" s="327">
        <v>0</v>
      </c>
      <c r="AQ58" s="327">
        <v>0</v>
      </c>
      <c r="AR58" s="327">
        <v>0</v>
      </c>
      <c r="AS58" s="327">
        <v>214139</v>
      </c>
      <c r="AT58" s="318">
        <f t="shared" si="23"/>
        <v>4080586</v>
      </c>
      <c r="AU58" s="356">
        <v>4175209</v>
      </c>
      <c r="AV58" s="327">
        <v>0</v>
      </c>
      <c r="AW58" s="327">
        <v>0</v>
      </c>
      <c r="AX58" s="327">
        <v>0</v>
      </c>
      <c r="AY58" s="327">
        <v>0</v>
      </c>
      <c r="AZ58" s="327">
        <v>0</v>
      </c>
      <c r="BA58" s="327">
        <v>272220</v>
      </c>
      <c r="BB58" s="319">
        <f t="shared" si="24"/>
        <v>4447429</v>
      </c>
      <c r="BC58" s="328">
        <v>5503340</v>
      </c>
      <c r="BD58" s="329">
        <v>0</v>
      </c>
      <c r="BE58" s="329">
        <v>0</v>
      </c>
      <c r="BF58" s="329">
        <v>0</v>
      </c>
      <c r="BG58" s="329">
        <v>0</v>
      </c>
      <c r="BH58" s="329">
        <v>0</v>
      </c>
      <c r="BI58" s="329">
        <v>493104</v>
      </c>
      <c r="BJ58" s="314">
        <f>SUM(BC58:BI58)</f>
        <v>5996444</v>
      </c>
      <c r="BK58" s="40" t="s">
        <v>8513</v>
      </c>
      <c r="BL58" s="320">
        <v>60</v>
      </c>
      <c r="BM58" s="320">
        <v>3</v>
      </c>
      <c r="BN58" s="320">
        <v>3.2</v>
      </c>
      <c r="BO58" s="40" t="s">
        <v>9890</v>
      </c>
      <c r="BP58" s="321">
        <v>2168</v>
      </c>
      <c r="BQ58" s="314">
        <v>22</v>
      </c>
      <c r="BR58" s="314">
        <v>57</v>
      </c>
      <c r="BS58" s="314" t="s">
        <v>20575</v>
      </c>
      <c r="BT58" s="339">
        <v>2118</v>
      </c>
      <c r="BU58" s="343">
        <v>58</v>
      </c>
      <c r="BV58" s="343">
        <v>3</v>
      </c>
      <c r="BW58" s="343">
        <v>3.1</v>
      </c>
      <c r="BX58" s="325" t="s">
        <v>20576</v>
      </c>
    </row>
    <row r="59" spans="1:76" ht="15.75" customHeight="1">
      <c r="A59" s="373" t="s">
        <v>10002</v>
      </c>
      <c r="B59" s="311" t="s">
        <v>7101</v>
      </c>
      <c r="C59" s="155">
        <v>161</v>
      </c>
      <c r="D59" s="312">
        <v>160</v>
      </c>
      <c r="E59" s="40" t="s">
        <v>9511</v>
      </c>
      <c r="F59" s="314">
        <v>56</v>
      </c>
      <c r="G59" s="316">
        <f>COUNTA(ME_32_D)</f>
        <v>29</v>
      </c>
      <c r="H59" s="316">
        <f>COUNTIF(ME_32_G,"TT")</f>
        <v>29</v>
      </c>
      <c r="I59" s="316">
        <f t="shared" si="49"/>
        <v>0</v>
      </c>
      <c r="J59" s="316">
        <f>COUNTA(ME_32_D)</f>
        <v>29</v>
      </c>
      <c r="K59" s="316">
        <f>COUNTIF(ME_32_G,"TT")</f>
        <v>29</v>
      </c>
      <c r="L59" s="316">
        <f t="shared" si="50"/>
        <v>0</v>
      </c>
      <c r="M59" s="316">
        <f>COUNTIFS('Mechanical Engineering Faculty'!$F$2806:$F$2834,M$1)</f>
        <v>18</v>
      </c>
      <c r="N59" s="316">
        <f>COUNTIFS('Mechanical Engineering Faculty'!$F$2806:$F$2834,N$1)</f>
        <v>6</v>
      </c>
      <c r="O59" s="316">
        <f>COUNTIFS('Mechanical Engineering Faculty'!$F$2806:$F$2834,O$1)</f>
        <v>4</v>
      </c>
      <c r="P59" s="316">
        <f>COUNTIFS(ME_32_G,"TT", ME_32_D,P$1)</f>
        <v>18</v>
      </c>
      <c r="Q59" s="316">
        <f>COUNTIFS(ME_32_G,"TT", ME_32_D,Q$1)</f>
        <v>7</v>
      </c>
      <c r="R59" s="316">
        <f>COUNTIFS(ME_32_G,"TT", ME_32_D,R$1)</f>
        <v>4</v>
      </c>
      <c r="S59" s="316">
        <f>COUNTIF(ME_32_D,S$1)</f>
        <v>0</v>
      </c>
      <c r="T59" s="316">
        <f t="shared" si="18"/>
        <v>0</v>
      </c>
      <c r="U59" s="316">
        <f t="shared" si="19"/>
        <v>1</v>
      </c>
      <c r="V59" s="316">
        <f t="shared" si="20"/>
        <v>0</v>
      </c>
      <c r="W59" s="316">
        <f t="shared" ref="W59:AB59" si="52">COUNTIF(ME_32_D,W$1)</f>
        <v>0</v>
      </c>
      <c r="X59" s="316">
        <f t="shared" si="52"/>
        <v>0</v>
      </c>
      <c r="Y59" s="316">
        <f t="shared" si="52"/>
        <v>0</v>
      </c>
      <c r="Z59" s="316">
        <f t="shared" si="52"/>
        <v>0</v>
      </c>
      <c r="AA59" s="316">
        <f t="shared" si="52"/>
        <v>0</v>
      </c>
      <c r="AB59" s="316">
        <f t="shared" si="52"/>
        <v>0</v>
      </c>
      <c r="AC59" s="315">
        <f>COUNTIF(ME_32_E,AC$1)+COUNTIF(ME_32_E,"E/D")</f>
        <v>1</v>
      </c>
      <c r="AD59" s="315">
        <f>COUNTIF(ME_32_E,AD$1)+COUNTIF(ME_32_E,"E/D")</f>
        <v>1</v>
      </c>
      <c r="AE59" s="318" t="s">
        <v>55</v>
      </c>
      <c r="AF59" s="405" t="s">
        <v>55</v>
      </c>
      <c r="AG59" s="405" t="s">
        <v>55</v>
      </c>
      <c r="AH59" s="405" t="s">
        <v>55</v>
      </c>
      <c r="AI59" s="405" t="s">
        <v>55</v>
      </c>
      <c r="AJ59" s="405" t="s">
        <v>55</v>
      </c>
      <c r="AK59" s="405" t="s">
        <v>55</v>
      </c>
      <c r="AL59" s="318">
        <f t="shared" si="22"/>
        <v>0</v>
      </c>
      <c r="AM59" s="356">
        <v>5082139</v>
      </c>
      <c r="AN59" s="327">
        <v>2298</v>
      </c>
      <c r="AO59" s="327">
        <v>0</v>
      </c>
      <c r="AP59" s="327">
        <v>149919</v>
      </c>
      <c r="AQ59" s="327">
        <v>-38</v>
      </c>
      <c r="AR59" s="327">
        <v>60004</v>
      </c>
      <c r="AS59" s="327">
        <v>0</v>
      </c>
      <c r="AT59" s="318">
        <f t="shared" si="23"/>
        <v>5294322</v>
      </c>
      <c r="AU59" s="318" t="s">
        <v>55</v>
      </c>
      <c r="AV59" s="405" t="s">
        <v>55</v>
      </c>
      <c r="AW59" s="405" t="s">
        <v>55</v>
      </c>
      <c r="AX59" s="405" t="s">
        <v>55</v>
      </c>
      <c r="AY59" s="405" t="s">
        <v>55</v>
      </c>
      <c r="AZ59" s="405" t="s">
        <v>55</v>
      </c>
      <c r="BA59" s="405" t="s">
        <v>55</v>
      </c>
      <c r="BB59" s="319">
        <f t="shared" si="24"/>
        <v>0</v>
      </c>
      <c r="BC59" s="411" t="s">
        <v>55</v>
      </c>
      <c r="BD59" s="413" t="s">
        <v>55</v>
      </c>
      <c r="BE59" s="413" t="s">
        <v>55</v>
      </c>
      <c r="BF59" s="413" t="s">
        <v>55</v>
      </c>
      <c r="BG59" s="413" t="s">
        <v>55</v>
      </c>
      <c r="BH59" s="413" t="s">
        <v>55</v>
      </c>
      <c r="BI59" s="413" t="s">
        <v>55</v>
      </c>
      <c r="BJ59" s="332" t="s">
        <v>55</v>
      </c>
      <c r="BK59" s="40" t="s">
        <v>6667</v>
      </c>
      <c r="BL59" s="320">
        <v>57</v>
      </c>
      <c r="BM59" s="320">
        <v>3.2</v>
      </c>
      <c r="BN59" s="320">
        <v>3.4</v>
      </c>
      <c r="BO59" s="40" t="s">
        <v>10040</v>
      </c>
      <c r="BP59" s="321">
        <v>727</v>
      </c>
      <c r="BQ59" s="314">
        <v>24</v>
      </c>
      <c r="BR59" s="314">
        <v>65</v>
      </c>
      <c r="BS59" s="314" t="s">
        <v>20577</v>
      </c>
      <c r="BT59" s="312">
        <v>707</v>
      </c>
      <c r="BU59" s="343">
        <v>56</v>
      </c>
      <c r="BV59" s="343">
        <v>3.1</v>
      </c>
      <c r="BW59" s="343">
        <v>3.3</v>
      </c>
      <c r="BX59" s="325" t="s">
        <v>20578</v>
      </c>
    </row>
    <row r="60" spans="1:76" ht="15.75" customHeight="1">
      <c r="A60" s="373" t="s">
        <v>10242</v>
      </c>
      <c r="B60" s="311" t="s">
        <v>2714</v>
      </c>
      <c r="C60" s="155">
        <v>161</v>
      </c>
      <c r="D60" s="312">
        <v>161</v>
      </c>
      <c r="E60" s="40" t="s">
        <v>9511</v>
      </c>
      <c r="F60" s="314">
        <v>56</v>
      </c>
      <c r="G60" s="316">
        <f>COUNTA(ME_34_D)</f>
        <v>23</v>
      </c>
      <c r="H60" s="316">
        <f>COUNTIF(ME_34_G,"TT")</f>
        <v>19</v>
      </c>
      <c r="I60" s="316">
        <f t="shared" si="49"/>
        <v>4</v>
      </c>
      <c r="J60" s="316">
        <f>COUNTA(ME_34_D)</f>
        <v>23</v>
      </c>
      <c r="K60" s="316">
        <f>COUNTIF(ME_34_G,"TT")</f>
        <v>19</v>
      </c>
      <c r="L60" s="316">
        <f t="shared" si="50"/>
        <v>4</v>
      </c>
      <c r="M60" s="316">
        <f>COUNTIFS('Mechanical Engineering Faculty'!$F$2876:$F$2898,M$1)</f>
        <v>9</v>
      </c>
      <c r="N60" s="316">
        <f>COUNTIFS('Mechanical Engineering Faculty'!$F$2876:$F$2898,N$1)</f>
        <v>4</v>
      </c>
      <c r="O60" s="316">
        <f>COUNTIFS('Mechanical Engineering Faculty'!$F$2876:$F$2898,O$1)</f>
        <v>5</v>
      </c>
      <c r="P60" s="316">
        <f>COUNTIFS(ME_34_G,"TT", ME_34_D,P$1)</f>
        <v>9</v>
      </c>
      <c r="Q60" s="316">
        <f>COUNTIFS(ME_34_G,"TT", ME_34_D,Q$1)</f>
        <v>4</v>
      </c>
      <c r="R60" s="316">
        <f>COUNTIFS(ME_34_G,"TT", ME_34_D,R$1)</f>
        <v>6</v>
      </c>
      <c r="S60" s="316">
        <f>COUNTIF(ME_34_D,S$1)</f>
        <v>1</v>
      </c>
      <c r="T60" s="316">
        <f t="shared" si="18"/>
        <v>0</v>
      </c>
      <c r="U60" s="316">
        <f t="shared" si="19"/>
        <v>0</v>
      </c>
      <c r="V60" s="316">
        <f t="shared" si="20"/>
        <v>1</v>
      </c>
      <c r="W60" s="316">
        <f t="shared" ref="W60:AB60" si="53">COUNTIF(ME_34_D,W$1)</f>
        <v>1</v>
      </c>
      <c r="X60" s="316">
        <f t="shared" si="53"/>
        <v>2</v>
      </c>
      <c r="Y60" s="316">
        <f t="shared" si="53"/>
        <v>0</v>
      </c>
      <c r="Z60" s="316">
        <f t="shared" si="53"/>
        <v>0</v>
      </c>
      <c r="AA60" s="316">
        <f t="shared" si="53"/>
        <v>0</v>
      </c>
      <c r="AB60" s="316">
        <f t="shared" si="53"/>
        <v>0</v>
      </c>
      <c r="AC60" s="315">
        <f>COUNTIF(ME_34_E,AC$1)+COUNTIF(ME_34_E,"E/D")</f>
        <v>1</v>
      </c>
      <c r="AD60" s="315">
        <f>COUNTIF(ME_34_E,AD$1)+COUNTIF(ME_34_E,"E/D")</f>
        <v>3</v>
      </c>
      <c r="AE60" s="356">
        <v>5351000</v>
      </c>
      <c r="AF60" s="327">
        <v>0</v>
      </c>
      <c r="AG60" s="327">
        <v>2098000</v>
      </c>
      <c r="AH60" s="327">
        <v>349300</v>
      </c>
      <c r="AI60" s="327">
        <v>0</v>
      </c>
      <c r="AJ60" s="327">
        <v>276000</v>
      </c>
      <c r="AK60" s="327">
        <v>790000</v>
      </c>
      <c r="AL60" s="318">
        <f t="shared" si="22"/>
        <v>8864300</v>
      </c>
      <c r="AM60" s="356">
        <v>5056000</v>
      </c>
      <c r="AN60" s="327">
        <v>0</v>
      </c>
      <c r="AO60" s="327">
        <v>2669000</v>
      </c>
      <c r="AP60" s="327">
        <v>494300</v>
      </c>
      <c r="AQ60" s="327">
        <v>0</v>
      </c>
      <c r="AR60" s="327">
        <v>185000</v>
      </c>
      <c r="AS60" s="327">
        <v>590000</v>
      </c>
      <c r="AT60" s="318">
        <f t="shared" si="23"/>
        <v>8994300</v>
      </c>
      <c r="AU60" s="356">
        <v>5414000</v>
      </c>
      <c r="AV60" s="327">
        <v>0</v>
      </c>
      <c r="AW60" s="327">
        <v>484400</v>
      </c>
      <c r="AX60" s="327">
        <v>467000</v>
      </c>
      <c r="AY60" s="327">
        <v>0</v>
      </c>
      <c r="AZ60" s="327">
        <v>118000</v>
      </c>
      <c r="BA60" s="327">
        <v>870000</v>
      </c>
      <c r="BB60" s="319">
        <f t="shared" si="24"/>
        <v>7353400</v>
      </c>
      <c r="BC60" s="328">
        <v>5184000</v>
      </c>
      <c r="BD60" s="329">
        <v>0</v>
      </c>
      <c r="BE60" s="329">
        <v>651100</v>
      </c>
      <c r="BF60" s="329">
        <v>580500</v>
      </c>
      <c r="BG60" s="329">
        <v>0</v>
      </c>
      <c r="BH60" s="329">
        <v>241000</v>
      </c>
      <c r="BI60" s="329">
        <v>410000</v>
      </c>
      <c r="BJ60" s="314">
        <f>SUM(BC60:BI60)</f>
        <v>7066600</v>
      </c>
      <c r="BK60" s="40" t="s">
        <v>9516</v>
      </c>
      <c r="BL60" s="320">
        <v>53</v>
      </c>
      <c r="BM60" s="320">
        <v>2.8</v>
      </c>
      <c r="BN60" s="320">
        <v>3.1</v>
      </c>
      <c r="BO60" s="40" t="s">
        <v>10284</v>
      </c>
      <c r="BP60" s="321">
        <v>317</v>
      </c>
      <c r="BQ60" s="314">
        <v>36</v>
      </c>
      <c r="BR60" s="314">
        <v>75</v>
      </c>
      <c r="BS60" s="314" t="s">
        <v>20581</v>
      </c>
      <c r="BT60" s="312">
        <v>305</v>
      </c>
      <c r="BU60" s="343">
        <v>53</v>
      </c>
      <c r="BV60" s="343">
        <v>2.8</v>
      </c>
      <c r="BW60" s="343">
        <v>3.2</v>
      </c>
      <c r="BX60" s="325" t="s">
        <v>20582</v>
      </c>
    </row>
    <row r="61" spans="1:76" ht="15.75" customHeight="1">
      <c r="A61" s="373" t="s">
        <v>9760</v>
      </c>
      <c r="B61" s="311" t="s">
        <v>2714</v>
      </c>
      <c r="C61" s="155">
        <v>166</v>
      </c>
      <c r="D61" s="312">
        <v>164</v>
      </c>
      <c r="E61" s="341" t="s">
        <v>9511</v>
      </c>
      <c r="F61" s="314">
        <v>63</v>
      </c>
      <c r="G61" s="316">
        <f>COUNTA(ME_30_D)</f>
        <v>22</v>
      </c>
      <c r="H61" s="316">
        <f>COUNTIF(ME_30_G,"TT")</f>
        <v>15</v>
      </c>
      <c r="I61" s="316">
        <f t="shared" si="49"/>
        <v>7</v>
      </c>
      <c r="J61" s="316">
        <f>COUNTA(ME_30_D)</f>
        <v>22</v>
      </c>
      <c r="K61" s="316">
        <f>COUNTIF(ME_30_G,"TT")</f>
        <v>15</v>
      </c>
      <c r="L61" s="316">
        <f t="shared" si="50"/>
        <v>7</v>
      </c>
      <c r="M61" s="316">
        <f>COUNTIFS('Mechanical Engineering Faculty'!$F$2740:$F$2761,M$1)</f>
        <v>7</v>
      </c>
      <c r="N61" s="316">
        <f>COUNTIFS('Mechanical Engineering Faculty'!$F$2740:$F$2761,N$1)</f>
        <v>4</v>
      </c>
      <c r="O61" s="316">
        <f>COUNTIFS('Mechanical Engineering Faculty'!$F$2740:$F$2761,O$1)</f>
        <v>2</v>
      </c>
      <c r="P61" s="316">
        <f>COUNTIFS(ME_30_G,"TT", ME_30_D,P$1)</f>
        <v>8</v>
      </c>
      <c r="Q61" s="316">
        <f>COUNTIFS(ME_30_G,"TT", ME_30_D,Q$1)</f>
        <v>4</v>
      </c>
      <c r="R61" s="316">
        <f>COUNTIFS(ME_30_G,"TT", ME_30_D,R$1)</f>
        <v>2</v>
      </c>
      <c r="S61" s="316">
        <f>COUNTIF(ME_30_D,S$1)</f>
        <v>1</v>
      </c>
      <c r="T61" s="316">
        <f t="shared" si="18"/>
        <v>1</v>
      </c>
      <c r="U61" s="316">
        <f t="shared" si="19"/>
        <v>0</v>
      </c>
      <c r="V61" s="316">
        <f t="shared" si="20"/>
        <v>0</v>
      </c>
      <c r="W61" s="316">
        <f t="shared" ref="W61:AB61" si="54">COUNTIF(ME_30_D,W$1)</f>
        <v>0</v>
      </c>
      <c r="X61" s="316">
        <f t="shared" si="54"/>
        <v>1</v>
      </c>
      <c r="Y61" s="316">
        <f t="shared" si="54"/>
        <v>4</v>
      </c>
      <c r="Z61" s="316">
        <f t="shared" si="54"/>
        <v>0</v>
      </c>
      <c r="AA61" s="316">
        <f t="shared" si="54"/>
        <v>0</v>
      </c>
      <c r="AB61" s="316">
        <f t="shared" si="54"/>
        <v>2</v>
      </c>
      <c r="AC61" s="315">
        <f>COUNTIF(ME_30_E,AC$1)+COUNTIF(ME_30_E,"E/D")</f>
        <v>0</v>
      </c>
      <c r="AD61" s="315">
        <f>COUNTIF(ME_30_E,AD$1)+COUNTIF(ME_30_E,"E/D")</f>
        <v>1</v>
      </c>
      <c r="AE61" s="356">
        <v>2558827</v>
      </c>
      <c r="AF61" s="327">
        <v>104262</v>
      </c>
      <c r="AG61" s="327">
        <v>0</v>
      </c>
      <c r="AH61" s="327">
        <v>63379</v>
      </c>
      <c r="AI61" s="327">
        <v>0</v>
      </c>
      <c r="AJ61" s="327">
        <v>114064</v>
      </c>
      <c r="AK61" s="327">
        <v>0</v>
      </c>
      <c r="AL61" s="318">
        <f t="shared" si="22"/>
        <v>2840532</v>
      </c>
      <c r="AM61" s="356">
        <v>2129710</v>
      </c>
      <c r="AN61" s="327">
        <v>338596</v>
      </c>
      <c r="AO61" s="327">
        <v>0</v>
      </c>
      <c r="AP61" s="327">
        <v>21307</v>
      </c>
      <c r="AQ61" s="327">
        <v>0</v>
      </c>
      <c r="AR61" s="327">
        <v>5000</v>
      </c>
      <c r="AS61" s="327">
        <v>0</v>
      </c>
      <c r="AT61" s="318">
        <f t="shared" si="23"/>
        <v>2494613</v>
      </c>
      <c r="AU61" s="356">
        <v>446061</v>
      </c>
      <c r="AV61" s="327">
        <v>1649787</v>
      </c>
      <c r="AW61" s="327">
        <v>0</v>
      </c>
      <c r="AX61" s="327">
        <v>0</v>
      </c>
      <c r="AY61" s="327">
        <v>0</v>
      </c>
      <c r="AZ61" s="327">
        <v>0</v>
      </c>
      <c r="BA61" s="327">
        <v>0</v>
      </c>
      <c r="BB61" s="319">
        <f t="shared" si="24"/>
        <v>2095848</v>
      </c>
      <c r="BC61" s="328">
        <v>1888857</v>
      </c>
      <c r="BD61" s="329">
        <v>0</v>
      </c>
      <c r="BE61" s="329">
        <v>0</v>
      </c>
      <c r="BF61" s="329">
        <v>46997</v>
      </c>
      <c r="BG61" s="329">
        <v>0</v>
      </c>
      <c r="BH61" s="329">
        <v>11855</v>
      </c>
      <c r="BI61" s="329">
        <v>56723</v>
      </c>
      <c r="BJ61" s="314">
        <f>SUM(BC61:BI61)</f>
        <v>2004432</v>
      </c>
      <c r="BK61" s="40" t="s">
        <v>9775</v>
      </c>
      <c r="BL61" s="320">
        <v>55</v>
      </c>
      <c r="BM61" s="320">
        <v>2.9</v>
      </c>
      <c r="BN61" s="320">
        <v>3.6</v>
      </c>
      <c r="BO61" s="40" t="s">
        <v>9804</v>
      </c>
      <c r="BP61" s="321">
        <v>554</v>
      </c>
      <c r="BQ61" s="344"/>
      <c r="BR61" s="314">
        <v>68</v>
      </c>
      <c r="BS61" s="314" t="s">
        <v>20573</v>
      </c>
      <c r="BT61" s="312">
        <v>562</v>
      </c>
      <c r="BU61" s="343">
        <v>55</v>
      </c>
      <c r="BV61" s="343">
        <v>2.9</v>
      </c>
      <c r="BW61" s="343">
        <v>3.6</v>
      </c>
      <c r="BX61" s="325" t="s">
        <v>20574</v>
      </c>
    </row>
    <row r="62" spans="1:76" ht="15.75" customHeight="1">
      <c r="A62" s="373" t="s">
        <v>10870</v>
      </c>
      <c r="B62" s="311" t="s">
        <v>2628</v>
      </c>
      <c r="C62" s="155">
        <v>157</v>
      </c>
      <c r="D62" s="312">
        <v>153</v>
      </c>
      <c r="E62" s="40" t="s">
        <v>10522</v>
      </c>
      <c r="F62" s="314">
        <v>63</v>
      </c>
      <c r="G62" s="316">
        <f>COUNTA(ME_39_D)</f>
        <v>36</v>
      </c>
      <c r="H62" s="316">
        <f>COUNTIF(ME_39_G,"TT")</f>
        <v>24</v>
      </c>
      <c r="I62" s="316">
        <f t="shared" si="49"/>
        <v>12</v>
      </c>
      <c r="J62" s="316">
        <f>COUNTA(ME_39_D)</f>
        <v>36</v>
      </c>
      <c r="K62" s="316">
        <f>COUNTIF(ME_39_G,"TT")</f>
        <v>24</v>
      </c>
      <c r="L62" s="316">
        <f t="shared" si="50"/>
        <v>12</v>
      </c>
      <c r="M62" s="316">
        <f>COUNTIFS('Mechanical Engineering Faculty'!$F$3071:$F$3106,M$1)</f>
        <v>12</v>
      </c>
      <c r="N62" s="316">
        <f>COUNTIFS('Mechanical Engineering Faculty'!$F$3071:$F$3106,N$1)</f>
        <v>6</v>
      </c>
      <c r="O62" s="316">
        <f>COUNTIFS('Mechanical Engineering Faculty'!$F$3071:$F$3106,O$1)</f>
        <v>8</v>
      </c>
      <c r="P62" s="316">
        <f>COUNTIFS(ME_39_G,"TT", ME_39_D,P$1)</f>
        <v>12</v>
      </c>
      <c r="Q62" s="316">
        <f>COUNTIFS(ME_39_G,"TT", ME_39_D,Q$1)</f>
        <v>6</v>
      </c>
      <c r="R62" s="316">
        <f>COUNTIFS(ME_39_G,"TT", ME_39_D,R$1)</f>
        <v>6</v>
      </c>
      <c r="S62" s="316">
        <f>COUNTIF(ME_39_D,S$1)</f>
        <v>0</v>
      </c>
      <c r="T62" s="316">
        <f t="shared" si="18"/>
        <v>0</v>
      </c>
      <c r="U62" s="316">
        <f t="shared" si="19"/>
        <v>0</v>
      </c>
      <c r="V62" s="316">
        <f t="shared" si="20"/>
        <v>-2</v>
      </c>
      <c r="W62" s="316">
        <f t="shared" ref="W62:AB62" si="55">COUNTIF(ME_39_D,W$1)</f>
        <v>4</v>
      </c>
      <c r="X62" s="316">
        <f t="shared" si="55"/>
        <v>2</v>
      </c>
      <c r="Y62" s="316">
        <f t="shared" si="55"/>
        <v>2</v>
      </c>
      <c r="Z62" s="316">
        <f t="shared" si="55"/>
        <v>0</v>
      </c>
      <c r="AA62" s="316">
        <f t="shared" si="55"/>
        <v>0</v>
      </c>
      <c r="AB62" s="316">
        <f t="shared" si="55"/>
        <v>1</v>
      </c>
      <c r="AC62" s="315">
        <f>COUNTIF(ME_39_E,AC$1)+COUNTIF(ME_39_E,"E/D")</f>
        <v>6</v>
      </c>
      <c r="AD62" s="315">
        <f>COUNTIF(ME_39_E,AD$1)+COUNTIF(ME_39_E,"E/D")</f>
        <v>7</v>
      </c>
      <c r="AE62" s="356">
        <v>3931078</v>
      </c>
      <c r="AF62" s="327">
        <v>75531</v>
      </c>
      <c r="AG62" s="327">
        <v>2500</v>
      </c>
      <c r="AH62" s="327">
        <v>1618658</v>
      </c>
      <c r="AI62" s="327">
        <v>-515</v>
      </c>
      <c r="AJ62" s="327">
        <v>62665</v>
      </c>
      <c r="AK62" s="327">
        <v>102308</v>
      </c>
      <c r="AL62" s="318">
        <f t="shared" si="22"/>
        <v>5792225</v>
      </c>
      <c r="AM62" s="356">
        <v>4504823</v>
      </c>
      <c r="AN62" s="327">
        <v>21171</v>
      </c>
      <c r="AO62" s="327">
        <v>10500</v>
      </c>
      <c r="AP62" s="327">
        <v>1063845</v>
      </c>
      <c r="AQ62" s="327">
        <v>0</v>
      </c>
      <c r="AR62" s="327">
        <v>65541</v>
      </c>
      <c r="AS62" s="327">
        <v>0</v>
      </c>
      <c r="AT62" s="318">
        <f t="shared" si="23"/>
        <v>5665880</v>
      </c>
      <c r="AU62" s="356">
        <v>4090995</v>
      </c>
      <c r="AV62" s="327">
        <v>0</v>
      </c>
      <c r="AW62" s="327">
        <v>0</v>
      </c>
      <c r="AX62" s="327">
        <v>1851194</v>
      </c>
      <c r="AY62" s="327">
        <v>0</v>
      </c>
      <c r="AZ62" s="327">
        <v>269739</v>
      </c>
      <c r="BA62" s="327">
        <v>1274</v>
      </c>
      <c r="BB62" s="319">
        <f t="shared" si="24"/>
        <v>6213202</v>
      </c>
      <c r="BC62" s="328">
        <v>4780404</v>
      </c>
      <c r="BD62" s="329">
        <v>0</v>
      </c>
      <c r="BE62" s="329">
        <v>2600</v>
      </c>
      <c r="BF62" s="329">
        <v>1507187</v>
      </c>
      <c r="BG62" s="329">
        <v>0</v>
      </c>
      <c r="BH62" s="329">
        <v>820949</v>
      </c>
      <c r="BI62" s="329">
        <v>128660</v>
      </c>
      <c r="BJ62" s="314">
        <f>SUM(BC62:BI62)</f>
        <v>7239800</v>
      </c>
      <c r="BK62" s="40" t="s">
        <v>10882</v>
      </c>
      <c r="BL62" s="320">
        <v>52</v>
      </c>
      <c r="BM62" s="320">
        <v>2.8</v>
      </c>
      <c r="BN62" s="320">
        <v>3.4</v>
      </c>
      <c r="BO62" s="40" t="s">
        <v>10911</v>
      </c>
      <c r="BP62" s="321">
        <v>800</v>
      </c>
      <c r="BQ62" s="314">
        <v>62</v>
      </c>
      <c r="BR62" s="314">
        <v>83</v>
      </c>
      <c r="BS62" s="314" t="s">
        <v>20591</v>
      </c>
      <c r="BT62" s="312">
        <v>799</v>
      </c>
      <c r="BU62" s="343">
        <v>51</v>
      </c>
      <c r="BV62" s="343">
        <v>2.8</v>
      </c>
      <c r="BW62" s="343">
        <v>3.3</v>
      </c>
      <c r="BX62" s="325" t="s">
        <v>20592</v>
      </c>
    </row>
    <row r="63" spans="1:76" ht="15.75" customHeight="1">
      <c r="A63" s="373" t="s">
        <v>11108</v>
      </c>
      <c r="B63" s="375" t="s">
        <v>2714</v>
      </c>
      <c r="C63" s="155">
        <v>166</v>
      </c>
      <c r="D63" s="312">
        <v>167</v>
      </c>
      <c r="E63" s="40" t="s">
        <v>10522</v>
      </c>
      <c r="F63" s="314">
        <v>63</v>
      </c>
      <c r="G63" s="316">
        <f>COUNTA(ME_41_D)</f>
        <v>19</v>
      </c>
      <c r="H63" s="316">
        <f>COUNTIF(ME_41_G,"TT")</f>
        <v>19</v>
      </c>
      <c r="I63" s="316">
        <f t="shared" si="49"/>
        <v>0</v>
      </c>
      <c r="J63" s="316">
        <f>COUNTA(ME_41_D)</f>
        <v>19</v>
      </c>
      <c r="K63" s="316">
        <f>COUNTIF(ME_41_G,"TT")</f>
        <v>19</v>
      </c>
      <c r="L63" s="316">
        <f t="shared" si="50"/>
        <v>0</v>
      </c>
      <c r="M63" s="316">
        <f>COUNTIFS('Mechanical Engineering Faculty'!$F$3136:$F$3154,M$1)</f>
        <v>5</v>
      </c>
      <c r="N63" s="316">
        <f>COUNTIFS('Mechanical Engineering Faculty'!$F$3136:$F$3154,N$1)</f>
        <v>8</v>
      </c>
      <c r="O63" s="316">
        <f>COUNTIFS('Mechanical Engineering Faculty'!$F$3136:$F$3154,O$1)</f>
        <v>6</v>
      </c>
      <c r="P63" s="316">
        <f>COUNTIFS(ME_41_G,"TT", ME_41_D,P$1)</f>
        <v>5</v>
      </c>
      <c r="Q63" s="316">
        <f>COUNTIFS(ME_41_G,"TT", ME_41_D,Q$1)</f>
        <v>8</v>
      </c>
      <c r="R63" s="316">
        <f>COUNTIFS(ME_41_G,"TT", ME_41_D,R$1)</f>
        <v>6</v>
      </c>
      <c r="S63" s="316">
        <f>COUNTIF(ME_41_D,S$1)</f>
        <v>0</v>
      </c>
      <c r="T63" s="316">
        <f t="shared" si="18"/>
        <v>0</v>
      </c>
      <c r="U63" s="316">
        <f t="shared" si="19"/>
        <v>0</v>
      </c>
      <c r="V63" s="316">
        <f t="shared" si="20"/>
        <v>0</v>
      </c>
      <c r="W63" s="316">
        <f t="shared" ref="W63:AB63" si="56">COUNTIF(ME_41_D,W$1)</f>
        <v>0</v>
      </c>
      <c r="X63" s="316">
        <f t="shared" si="56"/>
        <v>0</v>
      </c>
      <c r="Y63" s="316">
        <f t="shared" si="56"/>
        <v>0</v>
      </c>
      <c r="Z63" s="316">
        <f t="shared" si="56"/>
        <v>0</v>
      </c>
      <c r="AA63" s="316">
        <f t="shared" si="56"/>
        <v>0</v>
      </c>
      <c r="AB63" s="316">
        <f t="shared" si="56"/>
        <v>0</v>
      </c>
      <c r="AC63" s="315">
        <f>COUNTIF(ME_41_E,AC$1)+COUNTIF(ME_41_E,"E/D")</f>
        <v>1</v>
      </c>
      <c r="AD63" s="315">
        <f>COUNTIF(ME_41_E,AD$1)+COUNTIF(ME_41_E,"E/D")</f>
        <v>0</v>
      </c>
      <c r="AE63" s="356">
        <v>2282437</v>
      </c>
      <c r="AF63" s="327">
        <v>218244</v>
      </c>
      <c r="AG63" s="327">
        <v>0</v>
      </c>
      <c r="AH63" s="327">
        <v>63051</v>
      </c>
      <c r="AI63" s="327">
        <v>0</v>
      </c>
      <c r="AJ63" s="327">
        <v>1144</v>
      </c>
      <c r="AK63" s="327">
        <v>43792</v>
      </c>
      <c r="AL63" s="318">
        <f t="shared" si="22"/>
        <v>2608668</v>
      </c>
      <c r="AM63" s="356">
        <v>1522241</v>
      </c>
      <c r="AN63" s="327">
        <v>182762</v>
      </c>
      <c r="AO63" s="327">
        <v>0</v>
      </c>
      <c r="AP63" s="327">
        <v>133167</v>
      </c>
      <c r="AQ63" s="327">
        <v>0</v>
      </c>
      <c r="AR63" s="327">
        <v>70660</v>
      </c>
      <c r="AS63" s="327">
        <v>477796</v>
      </c>
      <c r="AT63" s="318">
        <f t="shared" si="23"/>
        <v>2386626</v>
      </c>
      <c r="AU63" s="356">
        <v>1402940</v>
      </c>
      <c r="AV63" s="327">
        <v>97846</v>
      </c>
      <c r="AW63" s="327">
        <v>0</v>
      </c>
      <c r="AX63" s="327">
        <v>608937</v>
      </c>
      <c r="AY63" s="327">
        <v>0</v>
      </c>
      <c r="AZ63" s="327">
        <v>97002</v>
      </c>
      <c r="BA63" s="327">
        <v>5616101</v>
      </c>
      <c r="BB63" s="319">
        <f t="shared" si="24"/>
        <v>7822826</v>
      </c>
      <c r="BC63" s="412">
        <v>1478933</v>
      </c>
      <c r="BD63" s="412">
        <v>48182</v>
      </c>
      <c r="BE63" s="412">
        <v>0</v>
      </c>
      <c r="BF63" s="412">
        <v>112918</v>
      </c>
      <c r="BG63" s="412">
        <v>0</v>
      </c>
      <c r="BH63" s="412">
        <v>0</v>
      </c>
      <c r="BI63" s="412">
        <v>528911</v>
      </c>
      <c r="BJ63" s="314">
        <f>SUM(BC63:BI63)</f>
        <v>2168944</v>
      </c>
      <c r="BK63" s="40" t="s">
        <v>6667</v>
      </c>
      <c r="BL63" s="320">
        <v>57</v>
      </c>
      <c r="BM63" s="320">
        <v>2.9</v>
      </c>
      <c r="BN63" s="320">
        <v>3.2</v>
      </c>
      <c r="BO63" s="40" t="s">
        <v>11154</v>
      </c>
      <c r="BP63" s="321">
        <v>1285</v>
      </c>
      <c r="BQ63" s="344"/>
      <c r="BR63" s="314">
        <v>63</v>
      </c>
      <c r="BS63" s="314" t="s">
        <v>20594</v>
      </c>
      <c r="BT63" s="339">
        <v>1425</v>
      </c>
      <c r="BU63" s="343">
        <v>57</v>
      </c>
      <c r="BV63" s="343">
        <v>2.9</v>
      </c>
      <c r="BW63" s="343">
        <v>3.2</v>
      </c>
      <c r="BX63" s="325" t="s">
        <v>20595</v>
      </c>
    </row>
    <row r="64" spans="1:76" ht="15.75" customHeight="1">
      <c r="A64" s="373" t="s">
        <v>11183</v>
      </c>
      <c r="B64" s="311" t="s">
        <v>8241</v>
      </c>
      <c r="C64" s="155">
        <v>165</v>
      </c>
      <c r="D64" s="312">
        <v>164</v>
      </c>
      <c r="E64" s="40" t="s">
        <v>10522</v>
      </c>
      <c r="F64" s="314">
        <v>63</v>
      </c>
      <c r="G64" s="316">
        <f>COUNTA(ME_42_D)</f>
        <v>27</v>
      </c>
      <c r="H64" s="316">
        <f>COUNTIF(ME_42_G,"TT")</f>
        <v>24</v>
      </c>
      <c r="I64" s="316">
        <f t="shared" si="49"/>
        <v>3</v>
      </c>
      <c r="J64" s="316">
        <f>COUNTA(ME_42_D)</f>
        <v>27</v>
      </c>
      <c r="K64" s="316">
        <f>COUNTIF(ME_42_G,"TT")</f>
        <v>24</v>
      </c>
      <c r="L64" s="316">
        <f t="shared" si="50"/>
        <v>3</v>
      </c>
      <c r="M64" s="316">
        <f>COUNTIFS('Mechanical Engineering Faculty'!$F$3156:$F$3182,M$1)</f>
        <v>7</v>
      </c>
      <c r="N64" s="316">
        <f>COUNTIFS('Mechanical Engineering Faculty'!$F$3156:$F$3182,N$1)</f>
        <v>11</v>
      </c>
      <c r="O64" s="316">
        <f>COUNTIFS('Mechanical Engineering Faculty'!$F$3156:$F$3182,O$1)</f>
        <v>5</v>
      </c>
      <c r="P64" s="316">
        <f>COUNTIFS(ME_42_G,"TT", ME_42_D,P$1)</f>
        <v>7</v>
      </c>
      <c r="Q64" s="316">
        <f>COUNTIFS(ME_42_G,"TT", ME_42_D,Q$1)</f>
        <v>11</v>
      </c>
      <c r="R64" s="316">
        <f>COUNTIFS(ME_42_G,"TT", ME_42_D,R$1)</f>
        <v>5</v>
      </c>
      <c r="S64" s="316">
        <f>COUNTIF(ME_42_D,S$1)</f>
        <v>1</v>
      </c>
      <c r="T64" s="316">
        <f t="shared" si="18"/>
        <v>0</v>
      </c>
      <c r="U64" s="316">
        <f t="shared" si="19"/>
        <v>0</v>
      </c>
      <c r="V64" s="316">
        <f t="shared" si="20"/>
        <v>0</v>
      </c>
      <c r="W64" s="316">
        <f t="shared" ref="W64:AB64" si="57">COUNTIF(ME_42_D,W$1)</f>
        <v>0</v>
      </c>
      <c r="X64" s="316">
        <f t="shared" si="57"/>
        <v>1</v>
      </c>
      <c r="Y64" s="316">
        <f t="shared" si="57"/>
        <v>2</v>
      </c>
      <c r="Z64" s="316">
        <f t="shared" si="57"/>
        <v>0</v>
      </c>
      <c r="AA64" s="316">
        <f t="shared" si="57"/>
        <v>0</v>
      </c>
      <c r="AB64" s="316">
        <f t="shared" si="57"/>
        <v>0</v>
      </c>
      <c r="AC64" s="315">
        <f>COUNTIF(ME_42_E,AC$1)+COUNTIF(ME_42_E,"E/D")</f>
        <v>3</v>
      </c>
      <c r="AD64" s="315">
        <f>COUNTIF(ME_42_E,AD$1)+COUNTIF(ME_42_E,"E/D")</f>
        <v>1</v>
      </c>
      <c r="AE64" s="356">
        <v>14001936</v>
      </c>
      <c r="AF64" s="327">
        <v>0</v>
      </c>
      <c r="AG64" s="327">
        <v>0</v>
      </c>
      <c r="AH64" s="327">
        <v>0</v>
      </c>
      <c r="AI64" s="327">
        <v>0</v>
      </c>
      <c r="AJ64" s="327">
        <v>0</v>
      </c>
      <c r="AK64" s="327">
        <v>0</v>
      </c>
      <c r="AL64" s="318">
        <f t="shared" si="22"/>
        <v>14001936</v>
      </c>
      <c r="AM64" s="376">
        <v>14854679</v>
      </c>
      <c r="AN64" s="327">
        <v>0</v>
      </c>
      <c r="AO64" s="327">
        <v>0</v>
      </c>
      <c r="AP64" s="327">
        <v>0</v>
      </c>
      <c r="AQ64" s="327">
        <v>0</v>
      </c>
      <c r="AR64" s="327">
        <v>0</v>
      </c>
      <c r="AS64" s="327">
        <v>0</v>
      </c>
      <c r="AT64" s="318">
        <f t="shared" si="23"/>
        <v>14854679</v>
      </c>
      <c r="AU64" s="376">
        <v>8155430</v>
      </c>
      <c r="AV64" s="327">
        <v>0</v>
      </c>
      <c r="AW64" s="327">
        <v>0</v>
      </c>
      <c r="AX64" s="327">
        <v>0</v>
      </c>
      <c r="AY64" s="327">
        <v>0</v>
      </c>
      <c r="AZ64" s="327">
        <v>0</v>
      </c>
      <c r="BA64" s="327">
        <v>0</v>
      </c>
      <c r="BB64" s="319">
        <f t="shared" si="24"/>
        <v>8155430</v>
      </c>
      <c r="BC64" s="411" t="s">
        <v>55</v>
      </c>
      <c r="BD64" s="413" t="s">
        <v>55</v>
      </c>
      <c r="BE64" s="413" t="s">
        <v>55</v>
      </c>
      <c r="BF64" s="413" t="s">
        <v>55</v>
      </c>
      <c r="BG64" s="413" t="s">
        <v>55</v>
      </c>
      <c r="BH64" s="413" t="s">
        <v>55</v>
      </c>
      <c r="BI64" s="413" t="s">
        <v>55</v>
      </c>
      <c r="BJ64" s="332" t="s">
        <v>55</v>
      </c>
      <c r="BK64" s="40" t="s">
        <v>11200</v>
      </c>
      <c r="BL64" s="320">
        <v>54</v>
      </c>
      <c r="BM64" s="320">
        <v>2.7</v>
      </c>
      <c r="BN64" s="320">
        <v>3.1</v>
      </c>
      <c r="BO64" s="40" t="s">
        <v>11233</v>
      </c>
      <c r="BP64" s="321">
        <v>969</v>
      </c>
      <c r="BQ64" s="314">
        <v>55</v>
      </c>
      <c r="BR64" s="314">
        <v>65</v>
      </c>
      <c r="BS64" s="314" t="s">
        <v>20596</v>
      </c>
      <c r="BT64" s="312">
        <v>987</v>
      </c>
      <c r="BU64" s="343">
        <v>56</v>
      </c>
      <c r="BV64" s="343">
        <v>2.8</v>
      </c>
      <c r="BW64" s="343">
        <v>3.2</v>
      </c>
      <c r="BX64" s="325" t="s">
        <v>20597</v>
      </c>
    </row>
    <row r="65" spans="1:76" ht="15.75" customHeight="1">
      <c r="A65" s="373" t="s">
        <v>11296</v>
      </c>
      <c r="B65" s="311" t="s">
        <v>11301</v>
      </c>
      <c r="C65" s="155">
        <v>161</v>
      </c>
      <c r="D65" s="312">
        <v>161</v>
      </c>
      <c r="E65" s="40" t="s">
        <v>10522</v>
      </c>
      <c r="F65" s="314">
        <v>63</v>
      </c>
      <c r="G65" s="316">
        <f>COUNTA(ME_43_D)</f>
        <v>60</v>
      </c>
      <c r="H65" s="316">
        <f>COUNTIF(ME_43_G,"TT")</f>
        <v>45</v>
      </c>
      <c r="I65" s="316">
        <f t="shared" si="49"/>
        <v>15</v>
      </c>
      <c r="J65" s="316">
        <f>COUNTA(ME_43_D)</f>
        <v>60</v>
      </c>
      <c r="K65" s="316">
        <f>COUNTIF(ME_43_G,"TT")</f>
        <v>45</v>
      </c>
      <c r="L65" s="316">
        <f t="shared" si="50"/>
        <v>15</v>
      </c>
      <c r="M65" s="316">
        <f>COUNTIFS('Mechanical Engineering Faculty'!$F$3202:$F$3261,M$1)</f>
        <v>18</v>
      </c>
      <c r="N65" s="316">
        <f>COUNTIFS('Mechanical Engineering Faculty'!$F$3202:$F$3261,N$1)</f>
        <v>12</v>
      </c>
      <c r="O65" s="316">
        <f>COUNTIFS('Mechanical Engineering Faculty'!$F$3202:$F$3261,O$1)</f>
        <v>13</v>
      </c>
      <c r="P65" s="316">
        <f>COUNTIFS(ME_43_G,"TT", ME_43_D,P$1)</f>
        <v>18</v>
      </c>
      <c r="Q65" s="316">
        <f>COUNTIFS(ME_43_G,"TT", ME_43_D,Q$1)</f>
        <v>13</v>
      </c>
      <c r="R65" s="316">
        <f>COUNTIFS(ME_43_G,"TT", ME_43_D,R$1)</f>
        <v>14</v>
      </c>
      <c r="S65" s="316">
        <f>COUNTIF(ME_43_D,S$1)</f>
        <v>5</v>
      </c>
      <c r="T65" s="316">
        <f t="shared" si="18"/>
        <v>0</v>
      </c>
      <c r="U65" s="316">
        <f t="shared" si="19"/>
        <v>1</v>
      </c>
      <c r="V65" s="316">
        <f t="shared" si="20"/>
        <v>1</v>
      </c>
      <c r="W65" s="316">
        <f t="shared" ref="W65:AB65" si="58">COUNTIF(ME_43_D,W$1)</f>
        <v>0</v>
      </c>
      <c r="X65" s="316">
        <f t="shared" si="58"/>
        <v>1</v>
      </c>
      <c r="Y65" s="316">
        <f t="shared" si="58"/>
        <v>0</v>
      </c>
      <c r="Z65" s="316">
        <f t="shared" si="58"/>
        <v>2</v>
      </c>
      <c r="AA65" s="316">
        <f t="shared" si="58"/>
        <v>0</v>
      </c>
      <c r="AB65" s="316">
        <f t="shared" si="58"/>
        <v>5</v>
      </c>
      <c r="AC65" s="315">
        <f>COUNTIF(ME_43_E,AC$1)+COUNTIF(ME_43_E,"E/D")</f>
        <v>0</v>
      </c>
      <c r="AD65" s="315">
        <f>COUNTIF(ME_43_E,AD$1)+COUNTIF(ME_43_E,"E/D")</f>
        <v>5</v>
      </c>
      <c r="AE65" s="356">
        <v>3897000</v>
      </c>
      <c r="AF65" s="356">
        <v>112000</v>
      </c>
      <c r="AG65" s="356">
        <v>0</v>
      </c>
      <c r="AH65" s="356">
        <v>1498000</v>
      </c>
      <c r="AI65" s="356">
        <v>0</v>
      </c>
      <c r="AJ65" s="356">
        <v>3857000</v>
      </c>
      <c r="AK65" s="356">
        <v>579000</v>
      </c>
      <c r="AL65" s="318">
        <f t="shared" si="22"/>
        <v>9943000</v>
      </c>
      <c r="AM65" s="356">
        <v>3940000</v>
      </c>
      <c r="AN65" s="356">
        <v>49000</v>
      </c>
      <c r="AO65" s="356">
        <v>0</v>
      </c>
      <c r="AP65" s="356">
        <v>1409000</v>
      </c>
      <c r="AQ65" s="356">
        <v>0</v>
      </c>
      <c r="AR65" s="356">
        <v>3512000</v>
      </c>
      <c r="AS65" s="356">
        <v>1824000</v>
      </c>
      <c r="AT65" s="318">
        <f t="shared" si="23"/>
        <v>10734000</v>
      </c>
      <c r="AU65" s="356">
        <v>11887000</v>
      </c>
      <c r="AV65" s="356">
        <v>0</v>
      </c>
      <c r="AW65" s="356">
        <v>0</v>
      </c>
      <c r="AX65" s="356">
        <v>1498000</v>
      </c>
      <c r="AY65" s="356">
        <v>0</v>
      </c>
      <c r="AZ65" s="356">
        <v>1910000</v>
      </c>
      <c r="BA65" s="356">
        <v>843000</v>
      </c>
      <c r="BB65" s="319">
        <f t="shared" si="24"/>
        <v>16138000</v>
      </c>
      <c r="BC65" s="412">
        <v>12038000</v>
      </c>
      <c r="BD65" s="412">
        <v>48000</v>
      </c>
      <c r="BE65" s="412">
        <v>0</v>
      </c>
      <c r="BF65" s="412">
        <v>2146000</v>
      </c>
      <c r="BG65" s="412">
        <v>0</v>
      </c>
      <c r="BH65" s="412">
        <v>417000</v>
      </c>
      <c r="BI65" s="412">
        <v>183000</v>
      </c>
      <c r="BJ65" s="314">
        <f>SUM(BC65:BI65)</f>
        <v>14832000</v>
      </c>
      <c r="BK65" s="40" t="s">
        <v>8415</v>
      </c>
      <c r="BL65" s="320">
        <v>59</v>
      </c>
      <c r="BM65" s="320">
        <v>3</v>
      </c>
      <c r="BN65" s="320">
        <v>3.3</v>
      </c>
      <c r="BO65" s="40" t="s">
        <v>11346</v>
      </c>
      <c r="BP65" s="321">
        <v>889</v>
      </c>
      <c r="BQ65" s="314">
        <v>44</v>
      </c>
      <c r="BR65" s="314">
        <v>53</v>
      </c>
      <c r="BS65" s="314" t="s">
        <v>20598</v>
      </c>
      <c r="BT65" s="312">
        <v>946</v>
      </c>
      <c r="BU65" s="343">
        <v>60</v>
      </c>
      <c r="BV65" s="343">
        <v>2.9</v>
      </c>
      <c r="BW65" s="343">
        <v>3.3</v>
      </c>
      <c r="BX65" s="325" t="s">
        <v>20599</v>
      </c>
    </row>
    <row r="66" spans="1:76" ht="15.75" customHeight="1">
      <c r="A66" s="373" t="s">
        <v>12047</v>
      </c>
      <c r="B66" s="311" t="s">
        <v>2714</v>
      </c>
      <c r="C66" s="155">
        <v>160</v>
      </c>
      <c r="D66" s="312">
        <v>161</v>
      </c>
      <c r="E66" s="40" t="s">
        <v>11546</v>
      </c>
      <c r="F66" s="314">
        <v>63</v>
      </c>
      <c r="G66" s="316">
        <f>COUNTA(ME_49_D)</f>
        <v>50</v>
      </c>
      <c r="H66" s="316">
        <f>COUNTIF(ME_49_G,"TT")</f>
        <v>41</v>
      </c>
      <c r="I66" s="316">
        <f t="shared" si="49"/>
        <v>9</v>
      </c>
      <c r="J66" s="316">
        <f>COUNTA(ME_49_D)</f>
        <v>50</v>
      </c>
      <c r="K66" s="316">
        <f>COUNTIF(ME_49_G,"TT")</f>
        <v>41</v>
      </c>
      <c r="L66" s="316">
        <f t="shared" si="50"/>
        <v>9</v>
      </c>
      <c r="M66" s="316">
        <f>COUNTIFS('Mechanical Engineering Faculty'!$F$3426:$F$3475,M$1)</f>
        <v>8</v>
      </c>
      <c r="N66" s="316">
        <f>COUNTIFS('Mechanical Engineering Faculty'!$F$3426:$F$3475,N$1)</f>
        <v>18</v>
      </c>
      <c r="O66" s="316">
        <f>COUNTIFS('Mechanical Engineering Faculty'!$F$3426:$F$3475,O$1)</f>
        <v>14</v>
      </c>
      <c r="P66" s="316">
        <f>COUNTIFS(ME_49_G,"TT", ME_49_D,P$1)</f>
        <v>8</v>
      </c>
      <c r="Q66" s="316">
        <f>COUNTIFS(ME_49_G,"TT", ME_49_D,Q$1)</f>
        <v>18</v>
      </c>
      <c r="R66" s="316">
        <f>COUNTIFS(ME_49_G,"TT", ME_49_D,R$1)</f>
        <v>14</v>
      </c>
      <c r="S66" s="316">
        <f>COUNTIF(ME_49_D,S$1)</f>
        <v>6</v>
      </c>
      <c r="T66" s="316">
        <f t="shared" ref="T66:T97" si="59">P66-M66</f>
        <v>0</v>
      </c>
      <c r="U66" s="316">
        <f t="shared" ref="U66:U97" si="60">Q66-N66</f>
        <v>0</v>
      </c>
      <c r="V66" s="316">
        <f t="shared" ref="V66:V97" si="61">R66-O66</f>
        <v>0</v>
      </c>
      <c r="W66" s="316">
        <f t="shared" ref="W66:AB66" si="62">COUNTIF(ME_49_D,W$1)</f>
        <v>0</v>
      </c>
      <c r="X66" s="316">
        <f t="shared" si="62"/>
        <v>0</v>
      </c>
      <c r="Y66" s="316">
        <f t="shared" si="62"/>
        <v>0</v>
      </c>
      <c r="Z66" s="316">
        <f t="shared" si="62"/>
        <v>1</v>
      </c>
      <c r="AA66" s="316">
        <f t="shared" si="62"/>
        <v>3</v>
      </c>
      <c r="AB66" s="316">
        <f t="shared" si="62"/>
        <v>0</v>
      </c>
      <c r="AC66" s="315">
        <f>COUNTIF(ME_49_E,AC$1)+COUNTIF(ME_49_E,"E/D")</f>
        <v>0</v>
      </c>
      <c r="AD66" s="315">
        <f>COUNTIF(ME_49_E,AD$1)+COUNTIF(ME_49_E,"E/D")</f>
        <v>1</v>
      </c>
      <c r="AE66" s="378">
        <v>7528000</v>
      </c>
      <c r="AF66" s="379">
        <v>36000</v>
      </c>
      <c r="AG66" s="379"/>
      <c r="AH66" s="379">
        <v>298000</v>
      </c>
      <c r="AI66" s="379">
        <v>0</v>
      </c>
      <c r="AJ66" s="379">
        <v>32000</v>
      </c>
      <c r="AK66" s="379">
        <v>159000</v>
      </c>
      <c r="AL66" s="318">
        <f t="shared" ref="AL66:AL97" si="63">SUM(AE66:AK66)</f>
        <v>8053000</v>
      </c>
      <c r="AM66" s="378">
        <v>6021000</v>
      </c>
      <c r="AN66" s="379">
        <v>2000</v>
      </c>
      <c r="AO66" s="379"/>
      <c r="AP66" s="379">
        <v>846000</v>
      </c>
      <c r="AQ66" s="379">
        <v>0</v>
      </c>
      <c r="AR66" s="379">
        <v>319000</v>
      </c>
      <c r="AS66" s="379">
        <v>1567000</v>
      </c>
      <c r="AT66" s="318">
        <f t="shared" ref="AT66:AT97" si="64">SUM(AM66:AS66)</f>
        <v>8755000</v>
      </c>
      <c r="AU66" s="381">
        <v>6511000</v>
      </c>
      <c r="AV66" s="382">
        <v>12000</v>
      </c>
      <c r="AW66" s="382">
        <v>0</v>
      </c>
      <c r="AX66" s="382">
        <v>1027000</v>
      </c>
      <c r="AY66" s="382">
        <v>0</v>
      </c>
      <c r="AZ66" s="382">
        <v>370000</v>
      </c>
      <c r="BA66" s="382">
        <v>1265000</v>
      </c>
      <c r="BB66" s="319">
        <f t="shared" ref="BB66:BB97" si="65">SUM(AU66:BA66)</f>
        <v>9185000</v>
      </c>
      <c r="BC66" s="411" t="s">
        <v>55</v>
      </c>
      <c r="BD66" s="413" t="s">
        <v>55</v>
      </c>
      <c r="BE66" s="413" t="s">
        <v>55</v>
      </c>
      <c r="BF66" s="413" t="s">
        <v>55</v>
      </c>
      <c r="BG66" s="413" t="s">
        <v>55</v>
      </c>
      <c r="BH66" s="413" t="s">
        <v>55</v>
      </c>
      <c r="BI66" s="413" t="s">
        <v>55</v>
      </c>
      <c r="BJ66" s="332" t="s">
        <v>55</v>
      </c>
      <c r="BK66" s="40" t="s">
        <v>8415</v>
      </c>
      <c r="BL66" s="320">
        <v>59</v>
      </c>
      <c r="BM66" s="320">
        <v>2.9</v>
      </c>
      <c r="BN66" s="320">
        <v>3.1</v>
      </c>
      <c r="BO66" s="40" t="s">
        <v>12095</v>
      </c>
      <c r="BP66" s="321">
        <v>1413</v>
      </c>
      <c r="BQ66" s="344"/>
      <c r="BR66" s="314">
        <v>57</v>
      </c>
      <c r="BS66" s="314" t="s">
        <v>20611</v>
      </c>
      <c r="BT66" s="339">
        <v>1394</v>
      </c>
      <c r="BU66" s="343">
        <v>58</v>
      </c>
      <c r="BV66" s="343">
        <v>3</v>
      </c>
      <c r="BW66" s="343">
        <v>3.1</v>
      </c>
      <c r="BX66" s="325" t="s">
        <v>20612</v>
      </c>
    </row>
    <row r="67" spans="1:76" ht="15.75" customHeight="1">
      <c r="A67" s="374" t="s">
        <v>12408</v>
      </c>
      <c r="B67" s="311" t="s">
        <v>12252</v>
      </c>
      <c r="C67" s="155">
        <v>164</v>
      </c>
      <c r="D67" s="312">
        <v>163</v>
      </c>
      <c r="E67" s="40" t="s">
        <v>11546</v>
      </c>
      <c r="F67" s="314">
        <v>63</v>
      </c>
      <c r="G67" s="316">
        <f>COUNTA(ME_51_D)</f>
        <v>34</v>
      </c>
      <c r="H67" s="316">
        <f>COUNTIF(ME_51_G,"TT")</f>
        <v>26</v>
      </c>
      <c r="I67" s="316">
        <f t="shared" si="49"/>
        <v>8</v>
      </c>
      <c r="J67" s="316">
        <f>COUNTA(ME_51_D)</f>
        <v>34</v>
      </c>
      <c r="K67" s="316">
        <f>COUNTIF(ME_51_G,"TT")</f>
        <v>26</v>
      </c>
      <c r="L67" s="316">
        <f t="shared" si="50"/>
        <v>8</v>
      </c>
      <c r="M67" s="316">
        <f>COUNTIFS('Mechanical Engineering Faculty'!$F$3519:$F$3553,M$1)</f>
        <v>17</v>
      </c>
      <c r="N67" s="316">
        <f>COUNTIFS('Mechanical Engineering Faculty'!$F$3519:$F$3553,N$1)</f>
        <v>6</v>
      </c>
      <c r="O67" s="316">
        <f>COUNTIFS('Mechanical Engineering Faculty'!$F$3519:$F$3553,O$1)</f>
        <v>5</v>
      </c>
      <c r="P67" s="316">
        <f>COUNTIFS(ME_51_G,"TT", ME_51_D,P$1)</f>
        <v>16</v>
      </c>
      <c r="Q67" s="316">
        <f>COUNTIFS(ME_51_G,"TT", ME_51_D,Q$1)</f>
        <v>6</v>
      </c>
      <c r="R67" s="316">
        <f>COUNTIFS(ME_51_G,"TT", ME_51_D,R$1)</f>
        <v>3</v>
      </c>
      <c r="S67" s="316">
        <f>COUNTIF(ME_51_D,S$1)</f>
        <v>1</v>
      </c>
      <c r="T67" s="316">
        <f t="shared" si="59"/>
        <v>-1</v>
      </c>
      <c r="U67" s="316">
        <f t="shared" si="60"/>
        <v>0</v>
      </c>
      <c r="V67" s="316">
        <f t="shared" si="61"/>
        <v>-2</v>
      </c>
      <c r="W67" s="316">
        <f t="shared" ref="W67:AB67" si="66">COUNTIF(ME_51_D,W$1)</f>
        <v>0</v>
      </c>
      <c r="X67" s="316">
        <f t="shared" si="66"/>
        <v>4</v>
      </c>
      <c r="Y67" s="316">
        <f t="shared" si="66"/>
        <v>1</v>
      </c>
      <c r="Z67" s="316">
        <f t="shared" si="66"/>
        <v>0</v>
      </c>
      <c r="AA67" s="316">
        <f t="shared" si="66"/>
        <v>0</v>
      </c>
      <c r="AB67" s="316">
        <f t="shared" si="66"/>
        <v>0</v>
      </c>
      <c r="AC67" s="315">
        <f>COUNTIF(ME_51_E,AC$1)+COUNTIF(ME_51_E,"E/D")</f>
        <v>0</v>
      </c>
      <c r="AD67" s="315">
        <f>COUNTIF(ME_51_E,AD$1)+COUNTIF(ME_51_E,"E/D")</f>
        <v>3</v>
      </c>
      <c r="AE67" s="378">
        <v>7342737</v>
      </c>
      <c r="AF67" s="379">
        <v>0</v>
      </c>
      <c r="AG67" s="379"/>
      <c r="AH67" s="379">
        <v>321603</v>
      </c>
      <c r="AI67" s="379"/>
      <c r="AJ67" s="379">
        <v>2709614</v>
      </c>
      <c r="AK67" s="379">
        <v>132319</v>
      </c>
      <c r="AL67" s="318">
        <f t="shared" si="63"/>
        <v>10506273</v>
      </c>
      <c r="AM67" s="378">
        <v>8179788</v>
      </c>
      <c r="AN67" s="379">
        <v>0</v>
      </c>
      <c r="AO67" s="379"/>
      <c r="AP67" s="379">
        <v>285628</v>
      </c>
      <c r="AQ67" s="379"/>
      <c r="AR67" s="379">
        <v>29717</v>
      </c>
      <c r="AS67" s="379">
        <v>311750</v>
      </c>
      <c r="AT67" s="318">
        <f t="shared" si="64"/>
        <v>8806883</v>
      </c>
      <c r="AU67" s="381">
        <v>9083915</v>
      </c>
      <c r="AV67" s="382">
        <v>0</v>
      </c>
      <c r="AW67" s="382"/>
      <c r="AX67" s="382">
        <v>339226</v>
      </c>
      <c r="AY67" s="382"/>
      <c r="AZ67" s="382">
        <v>1913896</v>
      </c>
      <c r="BA67" s="382">
        <v>2398646</v>
      </c>
      <c r="BB67" s="319">
        <f t="shared" si="65"/>
        <v>13735683</v>
      </c>
      <c r="BC67" s="412">
        <v>10007347</v>
      </c>
      <c r="BD67" s="412">
        <v>5662</v>
      </c>
      <c r="BE67" s="412">
        <v>0</v>
      </c>
      <c r="BF67" s="412">
        <v>439876</v>
      </c>
      <c r="BG67" s="412"/>
      <c r="BH67" s="412">
        <v>2155181</v>
      </c>
      <c r="BI67" s="412">
        <v>561393</v>
      </c>
      <c r="BJ67" s="314">
        <f>SUM(BC67:BI67)</f>
        <v>13169459</v>
      </c>
      <c r="BK67" s="40" t="s">
        <v>10670</v>
      </c>
      <c r="BL67" s="320">
        <v>49</v>
      </c>
      <c r="BM67" s="320">
        <v>2.7</v>
      </c>
      <c r="BN67" s="320">
        <v>3.5</v>
      </c>
      <c r="BO67" s="40" t="s">
        <v>12448</v>
      </c>
      <c r="BP67" s="321">
        <v>576</v>
      </c>
      <c r="BQ67" s="314">
        <v>55</v>
      </c>
      <c r="BR67" s="314">
        <v>99</v>
      </c>
      <c r="BS67" s="314" t="s">
        <v>20615</v>
      </c>
      <c r="BT67" s="312">
        <v>541</v>
      </c>
      <c r="BU67" s="343">
        <v>48</v>
      </c>
      <c r="BV67" s="343">
        <v>2.7</v>
      </c>
      <c r="BW67" s="343">
        <v>3.6</v>
      </c>
      <c r="BX67" s="325" t="s">
        <v>20616</v>
      </c>
    </row>
    <row r="68" spans="1:76" ht="15.75" customHeight="1">
      <c r="A68" s="373" t="s">
        <v>10511</v>
      </c>
      <c r="B68" s="311" t="s">
        <v>2714</v>
      </c>
      <c r="C68" s="155">
        <v>160</v>
      </c>
      <c r="D68" s="312">
        <v>161</v>
      </c>
      <c r="E68" s="40" t="s">
        <v>10522</v>
      </c>
      <c r="F68" s="314">
        <v>70</v>
      </c>
      <c r="G68" s="316">
        <f>COUNTA(ME_36_D)</f>
        <v>37</v>
      </c>
      <c r="H68" s="316">
        <f>COUNTIF(ME_36_G,"TT")</f>
        <v>27</v>
      </c>
      <c r="I68" s="316">
        <f t="shared" si="49"/>
        <v>10</v>
      </c>
      <c r="J68" s="316">
        <f>COUNTA(ME_36_D)</f>
        <v>37</v>
      </c>
      <c r="K68" s="316">
        <f>COUNTIF(ME_36_G,"TT")</f>
        <v>27</v>
      </c>
      <c r="L68" s="316">
        <f t="shared" si="50"/>
        <v>10</v>
      </c>
      <c r="M68" s="316">
        <f>COUNTIFS('Mechanical Engineering Faculty'!$F$2956:$F$2992,M$1)</f>
        <v>16</v>
      </c>
      <c r="N68" s="316">
        <f>COUNTIFS('Mechanical Engineering Faculty'!$F$2956:$F$2992,N$1)</f>
        <v>4</v>
      </c>
      <c r="O68" s="316">
        <f>COUNTIFS('Mechanical Engineering Faculty'!$F$2956:$F$2992,O$1)</f>
        <v>7</v>
      </c>
      <c r="P68" s="316">
        <f>COUNTIFS(ME_36_G,"TT", ME_36_D,P$1)</f>
        <v>16</v>
      </c>
      <c r="Q68" s="316">
        <f>COUNTIFS(ME_36_G,"TT", ME_36_D,Q$1)</f>
        <v>4</v>
      </c>
      <c r="R68" s="316">
        <f>COUNTIFS(ME_36_G,"TT", ME_36_D,R$1)</f>
        <v>7</v>
      </c>
      <c r="S68" s="316">
        <f>COUNTIF(ME_36_D,S$1)</f>
        <v>7</v>
      </c>
      <c r="T68" s="316">
        <f t="shared" si="59"/>
        <v>0</v>
      </c>
      <c r="U68" s="316">
        <f t="shared" si="60"/>
        <v>0</v>
      </c>
      <c r="V68" s="316">
        <f t="shared" si="61"/>
        <v>0</v>
      </c>
      <c r="W68" s="316">
        <f t="shared" ref="W68:AB68" si="67">COUNTIF(ME_36_D,W$1)</f>
        <v>0</v>
      </c>
      <c r="X68" s="316">
        <f t="shared" si="67"/>
        <v>0</v>
      </c>
      <c r="Y68" s="316">
        <f t="shared" si="67"/>
        <v>0</v>
      </c>
      <c r="Z68" s="316">
        <f t="shared" si="67"/>
        <v>0</v>
      </c>
      <c r="AA68" s="316">
        <f t="shared" si="67"/>
        <v>0</v>
      </c>
      <c r="AB68" s="316">
        <f t="shared" si="67"/>
        <v>2</v>
      </c>
      <c r="AC68" s="315">
        <f>COUNTIF(ME_36_E,AC$1)+COUNTIF(ME_36_E,"E/D")</f>
        <v>4</v>
      </c>
      <c r="AD68" s="315">
        <f>COUNTIF(ME_36_E,AD$1)+COUNTIF(ME_36_E,"E/D")</f>
        <v>8</v>
      </c>
      <c r="AE68" s="356">
        <v>15696737</v>
      </c>
      <c r="AF68" s="327">
        <v>0</v>
      </c>
      <c r="AG68" s="327">
        <v>0</v>
      </c>
      <c r="AH68" s="327">
        <v>1341038</v>
      </c>
      <c r="AI68" s="327">
        <v>0</v>
      </c>
      <c r="AJ68" s="327">
        <v>180845</v>
      </c>
      <c r="AK68" s="327">
        <v>2310886</v>
      </c>
      <c r="AL68" s="318">
        <f t="shared" si="63"/>
        <v>19529506</v>
      </c>
      <c r="AM68" s="356">
        <v>23580529</v>
      </c>
      <c r="AN68" s="327">
        <v>0</v>
      </c>
      <c r="AO68" s="327">
        <v>0</v>
      </c>
      <c r="AP68" s="327">
        <v>1668494</v>
      </c>
      <c r="AQ68" s="327">
        <v>0</v>
      </c>
      <c r="AR68" s="327">
        <v>460366</v>
      </c>
      <c r="AS68" s="327">
        <v>4872913</v>
      </c>
      <c r="AT68" s="318">
        <f t="shared" si="64"/>
        <v>30582302</v>
      </c>
      <c r="AU68" s="356">
        <v>15967507</v>
      </c>
      <c r="AV68" s="327">
        <v>0</v>
      </c>
      <c r="AW68" s="327">
        <v>0</v>
      </c>
      <c r="AX68" s="327">
        <v>1360676</v>
      </c>
      <c r="AY68" s="327">
        <v>0</v>
      </c>
      <c r="AZ68" s="327">
        <v>23606</v>
      </c>
      <c r="BA68" s="327">
        <v>3506893</v>
      </c>
      <c r="BB68" s="319">
        <f t="shared" si="65"/>
        <v>20858682</v>
      </c>
      <c r="BC68" s="328">
        <v>16722345</v>
      </c>
      <c r="BD68" s="329">
        <v>0</v>
      </c>
      <c r="BE68" s="329">
        <v>0</v>
      </c>
      <c r="BF68" s="329">
        <v>1702024</v>
      </c>
      <c r="BG68" s="329">
        <v>0</v>
      </c>
      <c r="BH68" s="329">
        <v>159923</v>
      </c>
      <c r="BI68" s="329">
        <v>24228</v>
      </c>
      <c r="BJ68" s="314">
        <f>SUM(BC68:BI68)</f>
        <v>18608520</v>
      </c>
      <c r="BK68" s="40" t="s">
        <v>8415</v>
      </c>
      <c r="BL68" s="320">
        <v>59</v>
      </c>
      <c r="BM68" s="320">
        <v>3</v>
      </c>
      <c r="BN68" s="320">
        <v>3.3</v>
      </c>
      <c r="BO68" s="40" t="s">
        <v>10552</v>
      </c>
      <c r="BP68" s="321">
        <v>636</v>
      </c>
      <c r="BQ68" s="314">
        <v>32</v>
      </c>
      <c r="BR68" s="314">
        <v>57</v>
      </c>
      <c r="BS68" s="314" t="s">
        <v>20585</v>
      </c>
      <c r="BT68" s="312">
        <v>639</v>
      </c>
      <c r="BU68" s="343">
        <v>58</v>
      </c>
      <c r="BV68" s="343">
        <v>2.9</v>
      </c>
      <c r="BW68" s="343">
        <v>3.4</v>
      </c>
      <c r="BX68" s="325" t="s">
        <v>20586</v>
      </c>
    </row>
    <row r="69" spans="1:76" ht="15.75" customHeight="1">
      <c r="A69" s="373" t="s">
        <v>11005</v>
      </c>
      <c r="B69" s="311" t="s">
        <v>2628</v>
      </c>
      <c r="C69" s="155" t="s">
        <v>55</v>
      </c>
      <c r="D69" s="312" t="s">
        <v>20474</v>
      </c>
      <c r="E69" s="40" t="s">
        <v>10522</v>
      </c>
      <c r="F69" s="314">
        <v>70</v>
      </c>
      <c r="G69" s="316">
        <f>COUNTA(ME_40_D)</f>
        <v>27</v>
      </c>
      <c r="H69" s="316">
        <f>COUNTIF(ME_40_G,"TT")</f>
        <v>16</v>
      </c>
      <c r="I69" s="316">
        <f t="shared" si="49"/>
        <v>11</v>
      </c>
      <c r="J69" s="316">
        <f>COUNTA(ME_40_D)</f>
        <v>27</v>
      </c>
      <c r="K69" s="316">
        <f>COUNTIF(ME_40_G,"TT")</f>
        <v>16</v>
      </c>
      <c r="L69" s="316">
        <f t="shared" si="50"/>
        <v>11</v>
      </c>
      <c r="M69" s="316">
        <f>COUNTIFS('Mechanical Engineering Faculty'!$F$3108:$F$3134,M$1)</f>
        <v>10</v>
      </c>
      <c r="N69" s="316">
        <f>COUNTIFS('Mechanical Engineering Faculty'!$F$3108:$F$3134,N$1)</f>
        <v>5</v>
      </c>
      <c r="O69" s="316">
        <f>COUNTIFS('Mechanical Engineering Faculty'!$F$3108:$F$3134,O$1)</f>
        <v>0</v>
      </c>
      <c r="P69" s="316">
        <f>COUNTIFS(ME_40_G,"TT", ME_40_D,P$1)</f>
        <v>10</v>
      </c>
      <c r="Q69" s="316">
        <f>COUNTIFS(ME_40_G,"TT", ME_40_D,Q$1)</f>
        <v>5</v>
      </c>
      <c r="R69" s="316">
        <f>COUNTIFS(ME_40_G,"TT", ME_40_D,R$1)</f>
        <v>0</v>
      </c>
      <c r="S69" s="316">
        <f>COUNTIF(ME_40_D,S$1)</f>
        <v>2</v>
      </c>
      <c r="T69" s="316">
        <f t="shared" si="59"/>
        <v>0</v>
      </c>
      <c r="U69" s="316">
        <f t="shared" si="60"/>
        <v>0</v>
      </c>
      <c r="V69" s="316">
        <f t="shared" si="61"/>
        <v>0</v>
      </c>
      <c r="W69" s="316">
        <f t="shared" ref="W69:AB69" si="68">COUNTIF(ME_40_D,W$1)</f>
        <v>0</v>
      </c>
      <c r="X69" s="316">
        <f t="shared" si="68"/>
        <v>0</v>
      </c>
      <c r="Y69" s="316">
        <f t="shared" si="68"/>
        <v>0</v>
      </c>
      <c r="Z69" s="316">
        <f t="shared" si="68"/>
        <v>1</v>
      </c>
      <c r="AA69" s="316">
        <f t="shared" si="68"/>
        <v>6</v>
      </c>
      <c r="AB69" s="316">
        <f t="shared" si="68"/>
        <v>3</v>
      </c>
      <c r="AC69" s="315">
        <f>COUNTIF(ME_40_E,AC$1)+COUNTIF(ME_40_E,"E/D")</f>
        <v>4</v>
      </c>
      <c r="AD69" s="315">
        <f>COUNTIF(ME_40_E,AD$1)+COUNTIF(ME_40_E,"E/D")</f>
        <v>0</v>
      </c>
      <c r="AE69" s="318" t="s">
        <v>55</v>
      </c>
      <c r="AF69" s="318" t="s">
        <v>55</v>
      </c>
      <c r="AG69" s="318" t="s">
        <v>55</v>
      </c>
      <c r="AH69" s="318" t="s">
        <v>55</v>
      </c>
      <c r="AI69" s="318" t="s">
        <v>55</v>
      </c>
      <c r="AJ69" s="318" t="s">
        <v>55</v>
      </c>
      <c r="AK69" s="318" t="s">
        <v>55</v>
      </c>
      <c r="AL69" s="318">
        <f t="shared" si="63"/>
        <v>0</v>
      </c>
      <c r="AM69" s="318" t="s">
        <v>55</v>
      </c>
      <c r="AN69" s="405" t="s">
        <v>55</v>
      </c>
      <c r="AO69" s="405" t="s">
        <v>55</v>
      </c>
      <c r="AP69" s="405" t="s">
        <v>55</v>
      </c>
      <c r="AQ69" s="405" t="s">
        <v>55</v>
      </c>
      <c r="AR69" s="405" t="s">
        <v>55</v>
      </c>
      <c r="AS69" s="405" t="s">
        <v>55</v>
      </c>
      <c r="AT69" s="318">
        <f t="shared" si="64"/>
        <v>0</v>
      </c>
      <c r="AU69" s="318" t="s">
        <v>55</v>
      </c>
      <c r="AV69" s="405" t="s">
        <v>55</v>
      </c>
      <c r="AW69" s="405" t="s">
        <v>55</v>
      </c>
      <c r="AX69" s="405" t="s">
        <v>55</v>
      </c>
      <c r="AY69" s="405" t="s">
        <v>55</v>
      </c>
      <c r="AZ69" s="405" t="s">
        <v>55</v>
      </c>
      <c r="BA69" s="405" t="s">
        <v>55</v>
      </c>
      <c r="BB69" s="319">
        <f t="shared" si="65"/>
        <v>0</v>
      </c>
      <c r="BC69" s="411" t="s">
        <v>55</v>
      </c>
      <c r="BD69" s="413" t="s">
        <v>55</v>
      </c>
      <c r="BE69" s="413" t="s">
        <v>55</v>
      </c>
      <c r="BF69" s="413" t="s">
        <v>55</v>
      </c>
      <c r="BG69" s="413" t="s">
        <v>55</v>
      </c>
      <c r="BH69" s="413" t="s">
        <v>55</v>
      </c>
      <c r="BI69" s="413" t="s">
        <v>55</v>
      </c>
      <c r="BJ69" s="332" t="s">
        <v>55</v>
      </c>
      <c r="BK69" s="40" t="s">
        <v>11020</v>
      </c>
      <c r="BL69" s="320">
        <v>46</v>
      </c>
      <c r="BM69" s="320">
        <v>2.7</v>
      </c>
      <c r="BN69" s="320">
        <v>3.6</v>
      </c>
      <c r="BO69" s="40" t="s">
        <v>55</v>
      </c>
      <c r="BP69" s="321">
        <v>503</v>
      </c>
      <c r="BQ69" s="314">
        <v>36</v>
      </c>
      <c r="BR69" s="314">
        <v>111</v>
      </c>
      <c r="BS69" s="312" t="s">
        <v>20474</v>
      </c>
      <c r="BT69" s="314">
        <v>517</v>
      </c>
      <c r="BU69" s="343">
        <v>44</v>
      </c>
      <c r="BV69" s="343">
        <v>2.8</v>
      </c>
      <c r="BW69" s="343">
        <v>3.6</v>
      </c>
      <c r="BX69" s="325" t="s">
        <v>20593</v>
      </c>
    </row>
    <row r="70" spans="1:76" ht="15.75" customHeight="1">
      <c r="A70" s="373" t="s">
        <v>11705</v>
      </c>
      <c r="B70" s="311" t="s">
        <v>2628</v>
      </c>
      <c r="C70" s="155">
        <v>165</v>
      </c>
      <c r="D70" s="312">
        <v>166</v>
      </c>
      <c r="E70" s="40" t="s">
        <v>11546</v>
      </c>
      <c r="F70" s="314">
        <v>70</v>
      </c>
      <c r="G70" s="316">
        <f>COUNTA(ME_45_D)</f>
        <v>20</v>
      </c>
      <c r="H70" s="316">
        <f>COUNTIF(ME_45_G,"TT")</f>
        <v>20</v>
      </c>
      <c r="I70" s="316">
        <f t="shared" si="49"/>
        <v>0</v>
      </c>
      <c r="J70" s="316">
        <f>COUNTA(ME_45_D)</f>
        <v>20</v>
      </c>
      <c r="K70" s="316">
        <f>COUNTIF(ME_45_G,"TT")</f>
        <v>20</v>
      </c>
      <c r="L70" s="316">
        <f t="shared" si="50"/>
        <v>0</v>
      </c>
      <c r="M70" s="316">
        <f>COUNTIFS('Mechanical Engineering Faculty'!$F$3309:$F$3328,M$1)</f>
        <v>9</v>
      </c>
      <c r="N70" s="316">
        <f>COUNTIFS('Mechanical Engineering Faculty'!$F$3309:$F$3328,N$1)</f>
        <v>7</v>
      </c>
      <c r="O70" s="316">
        <f>COUNTIFS('Mechanical Engineering Faculty'!$F$3309:$F$3328,O$1)</f>
        <v>3</v>
      </c>
      <c r="P70" s="316">
        <f>COUNTIFS(ME_45_G,"TT", ME_45_D,P$1)</f>
        <v>9</v>
      </c>
      <c r="Q70" s="316">
        <f>COUNTIFS(ME_45_G,"TT", ME_45_D,Q$1)</f>
        <v>7</v>
      </c>
      <c r="R70" s="316">
        <f>COUNTIFS(ME_45_G,"TT", ME_45_D,R$1)</f>
        <v>3</v>
      </c>
      <c r="S70" s="316">
        <f>COUNTIF(ME_45_D,S$1)</f>
        <v>0</v>
      </c>
      <c r="T70" s="316">
        <f t="shared" si="59"/>
        <v>0</v>
      </c>
      <c r="U70" s="316">
        <f t="shared" si="60"/>
        <v>0</v>
      </c>
      <c r="V70" s="316">
        <f t="shared" si="61"/>
        <v>0</v>
      </c>
      <c r="W70" s="316">
        <f t="shared" ref="W70:AB70" si="69">COUNTIF(ME_45_D,W$1)</f>
        <v>0</v>
      </c>
      <c r="X70" s="316">
        <f t="shared" si="69"/>
        <v>0</v>
      </c>
      <c r="Y70" s="316">
        <f t="shared" si="69"/>
        <v>0</v>
      </c>
      <c r="Z70" s="316">
        <f t="shared" si="69"/>
        <v>0</v>
      </c>
      <c r="AA70" s="316">
        <f t="shared" si="69"/>
        <v>0</v>
      </c>
      <c r="AB70" s="316">
        <f t="shared" si="69"/>
        <v>0</v>
      </c>
      <c r="AC70" s="315">
        <f>COUNTIF(ME_45_E,AC$1)+COUNTIF(ME_45_E,"E/D")</f>
        <v>0</v>
      </c>
      <c r="AD70" s="315">
        <f>COUNTIF(ME_45_E,AD$1)+COUNTIF(ME_45_E,"E/D")</f>
        <v>0</v>
      </c>
      <c r="AE70" s="318" t="s">
        <v>55</v>
      </c>
      <c r="AF70" s="318" t="s">
        <v>55</v>
      </c>
      <c r="AG70" s="318" t="s">
        <v>55</v>
      </c>
      <c r="AH70" s="318" t="s">
        <v>55</v>
      </c>
      <c r="AI70" s="318" t="s">
        <v>55</v>
      </c>
      <c r="AJ70" s="318" t="s">
        <v>55</v>
      </c>
      <c r="AK70" s="318" t="s">
        <v>55</v>
      </c>
      <c r="AL70" s="318">
        <f t="shared" si="63"/>
        <v>0</v>
      </c>
      <c r="AM70" s="318" t="s">
        <v>55</v>
      </c>
      <c r="AN70" s="318" t="s">
        <v>55</v>
      </c>
      <c r="AO70" s="318" t="s">
        <v>55</v>
      </c>
      <c r="AP70" s="318" t="s">
        <v>55</v>
      </c>
      <c r="AQ70" s="318" t="s">
        <v>55</v>
      </c>
      <c r="AR70" s="318" t="s">
        <v>55</v>
      </c>
      <c r="AS70" s="318" t="s">
        <v>55</v>
      </c>
      <c r="AT70" s="318">
        <f t="shared" si="64"/>
        <v>0</v>
      </c>
      <c r="AU70" s="318" t="s">
        <v>55</v>
      </c>
      <c r="AV70" s="318" t="s">
        <v>55</v>
      </c>
      <c r="AW70" s="318" t="s">
        <v>55</v>
      </c>
      <c r="AX70" s="318" t="s">
        <v>55</v>
      </c>
      <c r="AY70" s="318" t="s">
        <v>55</v>
      </c>
      <c r="AZ70" s="318" t="s">
        <v>55</v>
      </c>
      <c r="BA70" s="318" t="s">
        <v>55</v>
      </c>
      <c r="BB70" s="319">
        <f t="shared" si="65"/>
        <v>0</v>
      </c>
      <c r="BC70" s="332" t="s">
        <v>55</v>
      </c>
      <c r="BD70" s="332" t="s">
        <v>55</v>
      </c>
      <c r="BE70" s="332" t="s">
        <v>55</v>
      </c>
      <c r="BF70" s="332" t="s">
        <v>55</v>
      </c>
      <c r="BG70" s="332" t="s">
        <v>55</v>
      </c>
      <c r="BH70" s="332" t="s">
        <v>55</v>
      </c>
      <c r="BI70" s="332" t="s">
        <v>55</v>
      </c>
      <c r="BJ70" s="332" t="s">
        <v>55</v>
      </c>
      <c r="BK70" s="40" t="s">
        <v>4283</v>
      </c>
      <c r="BL70" s="320">
        <v>67</v>
      </c>
      <c r="BM70" s="320">
        <v>3</v>
      </c>
      <c r="BN70" s="320">
        <v>3.3</v>
      </c>
      <c r="BO70" s="40" t="s">
        <v>11753</v>
      </c>
      <c r="BP70" s="321">
        <v>3407</v>
      </c>
      <c r="BQ70" s="314">
        <v>48</v>
      </c>
      <c r="BR70" s="314">
        <v>41</v>
      </c>
      <c r="BS70" s="314" t="s">
        <v>20602</v>
      </c>
      <c r="BT70" s="339">
        <v>3005</v>
      </c>
      <c r="BU70" s="343">
        <v>65</v>
      </c>
      <c r="BV70" s="343">
        <v>3.1</v>
      </c>
      <c r="BW70" s="343">
        <v>3.3</v>
      </c>
      <c r="BX70" s="325" t="s">
        <v>20603</v>
      </c>
    </row>
    <row r="71" spans="1:76" ht="15.75" customHeight="1">
      <c r="A71" s="373" t="s">
        <v>11785</v>
      </c>
      <c r="B71" s="311" t="s">
        <v>2628</v>
      </c>
      <c r="C71" s="155">
        <v>160</v>
      </c>
      <c r="D71" s="312">
        <v>162</v>
      </c>
      <c r="E71" s="40" t="s">
        <v>11546</v>
      </c>
      <c r="F71" s="314">
        <v>70</v>
      </c>
      <c r="G71" s="316">
        <f>COUNTA(ME_46_D)</f>
        <v>15</v>
      </c>
      <c r="H71" s="316">
        <f>COUNTIF(ME_46_G,"TT")</f>
        <v>10</v>
      </c>
      <c r="I71" s="316">
        <f t="shared" si="49"/>
        <v>5</v>
      </c>
      <c r="J71" s="316">
        <f>COUNTA(ME_46_D)</f>
        <v>15</v>
      </c>
      <c r="K71" s="316">
        <f>COUNTIF(ME_46_G,"TT")</f>
        <v>10</v>
      </c>
      <c r="L71" s="316">
        <f t="shared" si="50"/>
        <v>5</v>
      </c>
      <c r="M71" s="316">
        <f>COUNTIFS('Mechanical Engineering Faculty'!$F$3348:$F$3362,M$1)</f>
        <v>2</v>
      </c>
      <c r="N71" s="316">
        <f>COUNTIFS('Mechanical Engineering Faculty'!$F$3348:$F$3362,N$1)</f>
        <v>4</v>
      </c>
      <c r="O71" s="316">
        <f>COUNTIFS('Mechanical Engineering Faculty'!$F$3348:$F$3362,O$1)</f>
        <v>3</v>
      </c>
      <c r="P71" s="316">
        <f>COUNTIFS(ME_46_G,"TT", ME_46_D,P$1)</f>
        <v>2</v>
      </c>
      <c r="Q71" s="316">
        <f>COUNTIFS(ME_46_G,"TT", ME_46_D,Q$1)</f>
        <v>4</v>
      </c>
      <c r="R71" s="316">
        <f>COUNTIFS(ME_46_G,"TT", ME_46_D,R$1)</f>
        <v>3</v>
      </c>
      <c r="S71" s="316">
        <f>COUNTIF(ME_46_D,S$1)</f>
        <v>4</v>
      </c>
      <c r="T71" s="316">
        <f t="shared" si="59"/>
        <v>0</v>
      </c>
      <c r="U71" s="316">
        <f t="shared" si="60"/>
        <v>0</v>
      </c>
      <c r="V71" s="316">
        <f t="shared" si="61"/>
        <v>0</v>
      </c>
      <c r="W71" s="316">
        <f t="shared" ref="W71:AB71" si="70">COUNTIF(ME_46_D,W$1)</f>
        <v>1</v>
      </c>
      <c r="X71" s="316">
        <f t="shared" si="70"/>
        <v>0</v>
      </c>
      <c r="Y71" s="316">
        <f t="shared" si="70"/>
        <v>0</v>
      </c>
      <c r="Z71" s="316">
        <f t="shared" si="70"/>
        <v>0</v>
      </c>
      <c r="AA71" s="316">
        <f t="shared" si="70"/>
        <v>0</v>
      </c>
      <c r="AB71" s="316">
        <f t="shared" si="70"/>
        <v>0</v>
      </c>
      <c r="AC71" s="315">
        <f>COUNTIF(ME_46_E,AC$1)+COUNTIF(ME_46_E,"E/D")</f>
        <v>0</v>
      </c>
      <c r="AD71" s="315">
        <f>COUNTIF(ME_46_E,AD$1)+COUNTIF(ME_46_E,"E/D")</f>
        <v>0</v>
      </c>
      <c r="AE71" s="356">
        <v>4035747</v>
      </c>
      <c r="AF71" s="327">
        <v>0</v>
      </c>
      <c r="AG71" s="327">
        <v>8070</v>
      </c>
      <c r="AH71" s="327">
        <v>3270060</v>
      </c>
      <c r="AI71" s="327">
        <v>0</v>
      </c>
      <c r="AJ71" s="327">
        <v>416994</v>
      </c>
      <c r="AK71" s="327">
        <v>671496</v>
      </c>
      <c r="AL71" s="318">
        <f t="shared" si="63"/>
        <v>8402367</v>
      </c>
      <c r="AM71" s="356">
        <v>4502178</v>
      </c>
      <c r="AN71" s="327">
        <v>0</v>
      </c>
      <c r="AO71" s="327">
        <v>63665</v>
      </c>
      <c r="AP71" s="327">
        <v>3306402</v>
      </c>
      <c r="AQ71" s="327">
        <v>0</v>
      </c>
      <c r="AR71" s="327">
        <v>181413</v>
      </c>
      <c r="AS71" s="327">
        <v>261611</v>
      </c>
      <c r="AT71" s="318">
        <f t="shared" si="64"/>
        <v>8315269</v>
      </c>
      <c r="AU71" s="356">
        <v>5387471</v>
      </c>
      <c r="AV71" s="327">
        <v>0</v>
      </c>
      <c r="AW71" s="327">
        <v>26806</v>
      </c>
      <c r="AX71" s="327">
        <v>4031007</v>
      </c>
      <c r="AY71" s="327">
        <v>12022</v>
      </c>
      <c r="AZ71" s="327">
        <v>601227</v>
      </c>
      <c r="BA71" s="327">
        <v>502622</v>
      </c>
      <c r="BB71" s="319">
        <f t="shared" si="65"/>
        <v>10561155</v>
      </c>
      <c r="BC71" s="328">
        <v>7822005</v>
      </c>
      <c r="BD71" s="329">
        <v>41377</v>
      </c>
      <c r="BE71" s="329">
        <v>-593</v>
      </c>
      <c r="BF71" s="329">
        <v>2377905</v>
      </c>
      <c r="BG71" s="329">
        <v>0</v>
      </c>
      <c r="BH71" s="329">
        <v>2071688</v>
      </c>
      <c r="BI71" s="329">
        <v>11341</v>
      </c>
      <c r="BJ71" s="314">
        <f>SUM(BC71:BI71)</f>
        <v>12323723</v>
      </c>
      <c r="BK71" s="40" t="s">
        <v>11200</v>
      </c>
      <c r="BL71" s="320">
        <v>54</v>
      </c>
      <c r="BM71" s="320">
        <v>2.6</v>
      </c>
      <c r="BN71" s="320">
        <v>3.3</v>
      </c>
      <c r="BO71" s="40" t="s">
        <v>11828</v>
      </c>
      <c r="BP71" s="321">
        <v>1020</v>
      </c>
      <c r="BQ71" s="314">
        <v>43</v>
      </c>
      <c r="BR71" s="314">
        <v>73</v>
      </c>
      <c r="BS71" s="314" t="s">
        <v>20604</v>
      </c>
      <c r="BT71" s="339">
        <v>1146</v>
      </c>
      <c r="BU71" s="343">
        <v>54</v>
      </c>
      <c r="BV71" s="343">
        <v>2.7</v>
      </c>
      <c r="BW71" s="343">
        <v>3.3</v>
      </c>
      <c r="BX71" s="325" t="s">
        <v>20605</v>
      </c>
    </row>
    <row r="72" spans="1:76" ht="15.75" customHeight="1">
      <c r="A72" s="373" t="s">
        <v>11933</v>
      </c>
      <c r="B72" s="311" t="s">
        <v>2714</v>
      </c>
      <c r="C72" s="155" t="s">
        <v>55</v>
      </c>
      <c r="D72" s="312">
        <v>162</v>
      </c>
      <c r="E72" s="40" t="s">
        <v>11546</v>
      </c>
      <c r="F72" s="314">
        <v>70</v>
      </c>
      <c r="G72" s="316">
        <f>COUNTA(ME_48_D)</f>
        <v>29</v>
      </c>
      <c r="H72" s="316">
        <f>COUNTIF(ME_48_G,"TT")</f>
        <v>25</v>
      </c>
      <c r="I72" s="316">
        <f t="shared" si="49"/>
        <v>4</v>
      </c>
      <c r="J72" s="316">
        <f>COUNTA(ME_48_D)</f>
        <v>29</v>
      </c>
      <c r="K72" s="316">
        <f>COUNTIF(ME_48_G,"TT")</f>
        <v>25</v>
      </c>
      <c r="L72" s="316">
        <f t="shared" si="50"/>
        <v>4</v>
      </c>
      <c r="M72" s="316">
        <f>COUNTIFS('Mechanical Engineering Faculty'!$F$3396:$F$3424,M$1)</f>
        <v>13</v>
      </c>
      <c r="N72" s="316">
        <f>COUNTIFS('Mechanical Engineering Faculty'!$F$3396:$F$3424,N$1)</f>
        <v>7</v>
      </c>
      <c r="O72" s="316">
        <f>COUNTIFS('Mechanical Engineering Faculty'!$F$3396:$F$3424,O$1)</f>
        <v>5</v>
      </c>
      <c r="P72" s="316">
        <f>COUNTIFS(ME_48_G,"TT", ME_48_D,P$1)</f>
        <v>13</v>
      </c>
      <c r="Q72" s="316">
        <f>COUNTIFS(ME_48_G,"TT", ME_48_D,Q$1)</f>
        <v>7</v>
      </c>
      <c r="R72" s="316">
        <f>COUNTIFS(ME_48_G,"TT", ME_48_D,R$1)</f>
        <v>5</v>
      </c>
      <c r="S72" s="316">
        <f>COUNTIF(ME_48_D,S$1)</f>
        <v>0</v>
      </c>
      <c r="T72" s="316">
        <f t="shared" si="59"/>
        <v>0</v>
      </c>
      <c r="U72" s="316">
        <f t="shared" si="60"/>
        <v>0</v>
      </c>
      <c r="V72" s="316">
        <f t="shared" si="61"/>
        <v>0</v>
      </c>
      <c r="W72" s="316">
        <f t="shared" ref="W72:AB72" si="71">COUNTIF(ME_48_D,W$1)</f>
        <v>0</v>
      </c>
      <c r="X72" s="316">
        <f t="shared" si="71"/>
        <v>3</v>
      </c>
      <c r="Y72" s="316">
        <f t="shared" si="71"/>
        <v>1</v>
      </c>
      <c r="Z72" s="316">
        <f t="shared" si="71"/>
        <v>0</v>
      </c>
      <c r="AA72" s="316">
        <f t="shared" si="71"/>
        <v>0</v>
      </c>
      <c r="AB72" s="316">
        <f t="shared" si="71"/>
        <v>0</v>
      </c>
      <c r="AC72" s="315">
        <f>COUNTIF(ME_48_E,AC$1)+COUNTIF(ME_48_E,"E/D")</f>
        <v>2</v>
      </c>
      <c r="AD72" s="315">
        <f>COUNTIF(ME_48_E,AD$1)+COUNTIF(ME_48_E,"E/D")</f>
        <v>13</v>
      </c>
      <c r="AE72" s="378">
        <v>2509556</v>
      </c>
      <c r="AF72" s="378"/>
      <c r="AG72" s="378"/>
      <c r="AH72" s="378">
        <v>944592</v>
      </c>
      <c r="AI72" s="378">
        <v>0</v>
      </c>
      <c r="AJ72" s="378">
        <v>133000</v>
      </c>
      <c r="AK72" s="378">
        <v>1551880</v>
      </c>
      <c r="AL72" s="318">
        <f t="shared" si="63"/>
        <v>5139028</v>
      </c>
      <c r="AM72" s="378">
        <v>3528326</v>
      </c>
      <c r="AN72" s="379"/>
      <c r="AO72" s="379"/>
      <c r="AP72" s="379">
        <v>581323</v>
      </c>
      <c r="AQ72" s="379">
        <v>308562</v>
      </c>
      <c r="AR72" s="379">
        <v>91525</v>
      </c>
      <c r="AS72" s="379">
        <v>1798971</v>
      </c>
      <c r="AT72" s="318">
        <f t="shared" si="64"/>
        <v>6308707</v>
      </c>
      <c r="AU72" s="381">
        <v>2953035</v>
      </c>
      <c r="AV72" s="381"/>
      <c r="AW72" s="381"/>
      <c r="AX72" s="381">
        <v>1484409</v>
      </c>
      <c r="AY72" s="381">
        <v>83601</v>
      </c>
      <c r="AZ72" s="381">
        <v>44542</v>
      </c>
      <c r="BA72" s="381">
        <v>405166</v>
      </c>
      <c r="BB72" s="319">
        <f t="shared" si="65"/>
        <v>4970753</v>
      </c>
      <c r="BC72" s="332" t="s">
        <v>55</v>
      </c>
      <c r="BD72" s="332" t="s">
        <v>55</v>
      </c>
      <c r="BE72" s="332" t="s">
        <v>55</v>
      </c>
      <c r="BF72" s="332" t="s">
        <v>55</v>
      </c>
      <c r="BG72" s="332" t="s">
        <v>55</v>
      </c>
      <c r="BH72" s="332" t="s">
        <v>55</v>
      </c>
      <c r="BI72" s="332" t="s">
        <v>55</v>
      </c>
      <c r="BJ72" s="332" t="s">
        <v>55</v>
      </c>
      <c r="BK72" s="40" t="s">
        <v>9775</v>
      </c>
      <c r="BL72" s="320">
        <v>55</v>
      </c>
      <c r="BM72" s="320">
        <v>2.7</v>
      </c>
      <c r="BN72" s="320">
        <v>3.3</v>
      </c>
      <c r="BO72" s="40" t="s">
        <v>11978</v>
      </c>
      <c r="BP72" s="321">
        <v>1463</v>
      </c>
      <c r="BQ72" s="314">
        <v>44</v>
      </c>
      <c r="BR72" s="314">
        <v>68</v>
      </c>
      <c r="BS72" s="314" t="s">
        <v>20609</v>
      </c>
      <c r="BT72" s="339">
        <v>1353</v>
      </c>
      <c r="BU72" s="343">
        <v>55</v>
      </c>
      <c r="BV72" s="343">
        <v>2.7</v>
      </c>
      <c r="BW72" s="343">
        <v>3.1</v>
      </c>
      <c r="BX72" s="325" t="s">
        <v>20610</v>
      </c>
    </row>
    <row r="73" spans="1:76" ht="15.75" customHeight="1">
      <c r="A73" s="373" t="s">
        <v>12779</v>
      </c>
      <c r="B73" s="375" t="s">
        <v>12784</v>
      </c>
      <c r="C73" s="155">
        <v>158</v>
      </c>
      <c r="D73" s="312">
        <v>160</v>
      </c>
      <c r="E73" s="40" t="s">
        <v>12553</v>
      </c>
      <c r="F73" s="314">
        <v>70</v>
      </c>
      <c r="G73" s="316">
        <f>COUNTA(ME_54_D)</f>
        <v>42</v>
      </c>
      <c r="H73" s="316">
        <f>COUNTIF(ME_54_G,"TT")</f>
        <v>33</v>
      </c>
      <c r="I73" s="316">
        <f t="shared" si="49"/>
        <v>9</v>
      </c>
      <c r="J73" s="316">
        <f>COUNTA(ME_54_D)</f>
        <v>42</v>
      </c>
      <c r="K73" s="316">
        <f>COUNTIF(ME_54_G,"TT")</f>
        <v>33</v>
      </c>
      <c r="L73" s="316">
        <f t="shared" si="50"/>
        <v>9</v>
      </c>
      <c r="M73" s="316">
        <f>COUNTIFS('Mechanical Engineering Faculty'!$F$3618:$F$3659,M$1)</f>
        <v>13</v>
      </c>
      <c r="N73" s="316">
        <f>COUNTIFS('Mechanical Engineering Faculty'!$F$3618:$F$3659,N$1)</f>
        <v>8</v>
      </c>
      <c r="O73" s="316">
        <f>COUNTIFS('Mechanical Engineering Faculty'!$F$3618:$F$3659,O$1)</f>
        <v>12</v>
      </c>
      <c r="P73" s="316">
        <f>COUNTIFS(ME_54_G,"TT", ME_54_D,P$1)</f>
        <v>13</v>
      </c>
      <c r="Q73" s="316">
        <f>COUNTIFS(ME_54_G,"TT", ME_54_D,Q$1)</f>
        <v>8</v>
      </c>
      <c r="R73" s="316">
        <f>COUNTIFS(ME_54_G,"TT", ME_54_D,R$1)</f>
        <v>12</v>
      </c>
      <c r="S73" s="316">
        <f>COUNTIF(ME_54_D,S$1)</f>
        <v>0</v>
      </c>
      <c r="T73" s="316">
        <f t="shared" si="59"/>
        <v>0</v>
      </c>
      <c r="U73" s="316">
        <f t="shared" si="60"/>
        <v>0</v>
      </c>
      <c r="V73" s="316">
        <f t="shared" si="61"/>
        <v>0</v>
      </c>
      <c r="W73" s="316">
        <f t="shared" ref="W73:AB73" si="72">COUNTIF(ME_54_D,W$1)</f>
        <v>0</v>
      </c>
      <c r="X73" s="316">
        <f t="shared" si="72"/>
        <v>4</v>
      </c>
      <c r="Y73" s="316">
        <f t="shared" si="72"/>
        <v>4</v>
      </c>
      <c r="Z73" s="316">
        <f t="shared" si="72"/>
        <v>0</v>
      </c>
      <c r="AA73" s="316">
        <f t="shared" si="72"/>
        <v>0</v>
      </c>
      <c r="AB73" s="316">
        <f t="shared" si="72"/>
        <v>0</v>
      </c>
      <c r="AC73" s="315">
        <f>COUNTIF(ME_54_E,AC$1)+COUNTIF(ME_54_E,"E/D")</f>
        <v>1</v>
      </c>
      <c r="AD73" s="315">
        <f>COUNTIF(ME_54_E,AD$1)+COUNTIF(ME_54_E,"E/D")</f>
        <v>6</v>
      </c>
      <c r="AE73" s="378">
        <v>6920037</v>
      </c>
      <c r="AF73" s="379">
        <v>85088</v>
      </c>
      <c r="AG73" s="379"/>
      <c r="AH73" s="379">
        <v>1651619</v>
      </c>
      <c r="AI73" s="379"/>
      <c r="AJ73" s="379">
        <v>54225</v>
      </c>
      <c r="AK73" s="379">
        <v>0</v>
      </c>
      <c r="AL73" s="318">
        <f t="shared" si="63"/>
        <v>8710969</v>
      </c>
      <c r="AM73" s="378" t="s">
        <v>55</v>
      </c>
      <c r="AN73" s="379">
        <v>85088</v>
      </c>
      <c r="AO73" s="379"/>
      <c r="AP73" s="379">
        <v>1651619</v>
      </c>
      <c r="AQ73" s="379"/>
      <c r="AR73" s="379">
        <v>54225</v>
      </c>
      <c r="AS73" s="379">
        <v>0</v>
      </c>
      <c r="AT73" s="318">
        <f t="shared" si="64"/>
        <v>1790932</v>
      </c>
      <c r="AU73" s="377" t="s">
        <v>55</v>
      </c>
      <c r="AV73" s="406" t="s">
        <v>55</v>
      </c>
      <c r="AW73" s="406" t="s">
        <v>55</v>
      </c>
      <c r="AX73" s="406" t="s">
        <v>55</v>
      </c>
      <c r="AY73" s="406" t="s">
        <v>55</v>
      </c>
      <c r="AZ73" s="406" t="s">
        <v>55</v>
      </c>
      <c r="BA73" s="409" t="s">
        <v>55</v>
      </c>
      <c r="BB73" s="319">
        <f t="shared" si="65"/>
        <v>0</v>
      </c>
      <c r="BC73" s="332" t="s">
        <v>55</v>
      </c>
      <c r="BD73" s="332" t="s">
        <v>55</v>
      </c>
      <c r="BE73" s="332" t="s">
        <v>55</v>
      </c>
      <c r="BF73" s="332" t="s">
        <v>55</v>
      </c>
      <c r="BG73" s="332" t="s">
        <v>55</v>
      </c>
      <c r="BH73" s="332" t="s">
        <v>55</v>
      </c>
      <c r="BI73" s="332" t="s">
        <v>55</v>
      </c>
      <c r="BJ73" s="332" t="s">
        <v>55</v>
      </c>
      <c r="BK73" s="40" t="s">
        <v>10882</v>
      </c>
      <c r="BL73" s="320">
        <v>52</v>
      </c>
      <c r="BM73" s="320">
        <v>2.7</v>
      </c>
      <c r="BN73" s="320">
        <v>3.4</v>
      </c>
      <c r="BO73" s="40" t="s">
        <v>12829</v>
      </c>
      <c r="BP73" s="321">
        <v>641</v>
      </c>
      <c r="BQ73" s="344"/>
      <c r="BR73" s="314">
        <v>80</v>
      </c>
      <c r="BS73" s="314" t="s">
        <v>20621</v>
      </c>
      <c r="BT73" s="312">
        <v>655</v>
      </c>
      <c r="BU73" s="343">
        <v>52</v>
      </c>
      <c r="BV73" s="343">
        <v>2.6</v>
      </c>
      <c r="BW73" s="343">
        <v>3.4</v>
      </c>
      <c r="BX73" s="325" t="s">
        <v>20622</v>
      </c>
    </row>
    <row r="74" spans="1:76" ht="15.75" customHeight="1">
      <c r="A74" s="374" t="s">
        <v>10653</v>
      </c>
      <c r="B74" s="311" t="s">
        <v>2628</v>
      </c>
      <c r="C74" s="155">
        <v>163</v>
      </c>
      <c r="D74" s="312">
        <v>161</v>
      </c>
      <c r="E74" s="341" t="s">
        <v>10522</v>
      </c>
      <c r="F74" s="314">
        <v>77</v>
      </c>
      <c r="G74" s="316">
        <f>COUNTA(ME_37_D)</f>
        <v>27</v>
      </c>
      <c r="H74" s="316">
        <f>COUNTIF(ME_37_G,"TT")</f>
        <v>23</v>
      </c>
      <c r="I74" s="316">
        <f t="shared" si="49"/>
        <v>4</v>
      </c>
      <c r="J74" s="316">
        <f>COUNTA(ME_37_D)</f>
        <v>27</v>
      </c>
      <c r="K74" s="316">
        <f>COUNTIF(ME_37_G,"TT")</f>
        <v>23</v>
      </c>
      <c r="L74" s="316">
        <f t="shared" si="50"/>
        <v>4</v>
      </c>
      <c r="M74" s="316">
        <f>COUNTIFS('Mechanical Engineering Faculty'!$F$3012:$F$3038,M$1)</f>
        <v>19</v>
      </c>
      <c r="N74" s="316">
        <f>COUNTIFS('Mechanical Engineering Faculty'!$F$3012:$F$3038,N$1)</f>
        <v>3</v>
      </c>
      <c r="O74" s="316">
        <f>COUNTIFS('Mechanical Engineering Faculty'!$F$3012:$F$3038,O$1)</f>
        <v>1</v>
      </c>
      <c r="P74" s="316">
        <f>COUNTIFS(ME_37_G,"TT", ME_37_D,P$1)</f>
        <v>19</v>
      </c>
      <c r="Q74" s="316">
        <f>COUNTIFS(ME_37_G,"TT", ME_37_D,Q$1)</f>
        <v>3</v>
      </c>
      <c r="R74" s="316">
        <f>COUNTIFS(ME_37_G,"TT", ME_37_D,R$1)</f>
        <v>1</v>
      </c>
      <c r="S74" s="316">
        <f>COUNTIF(ME_37_D,S$1)</f>
        <v>0</v>
      </c>
      <c r="T74" s="316">
        <f t="shared" si="59"/>
        <v>0</v>
      </c>
      <c r="U74" s="316">
        <f t="shared" si="60"/>
        <v>0</v>
      </c>
      <c r="V74" s="316">
        <f t="shared" si="61"/>
        <v>0</v>
      </c>
      <c r="W74" s="316">
        <f t="shared" ref="W74:AB74" si="73">COUNTIF(ME_37_D,W$1)</f>
        <v>0</v>
      </c>
      <c r="X74" s="316">
        <f t="shared" si="73"/>
        <v>0</v>
      </c>
      <c r="Y74" s="316">
        <f t="shared" si="73"/>
        <v>0</v>
      </c>
      <c r="Z74" s="316">
        <f t="shared" si="73"/>
        <v>3</v>
      </c>
      <c r="AA74" s="316">
        <f t="shared" si="73"/>
        <v>1</v>
      </c>
      <c r="AB74" s="316">
        <f t="shared" si="73"/>
        <v>0</v>
      </c>
      <c r="AC74" s="315">
        <f>COUNTIF(ME_37_E,AC$1)+COUNTIF(ME_37_E,"E/D")</f>
        <v>0</v>
      </c>
      <c r="AD74" s="315">
        <f>COUNTIF(ME_37_E,AD$1)+COUNTIF(ME_37_E,"E/D")</f>
        <v>1</v>
      </c>
      <c r="AE74" s="356">
        <v>3808510</v>
      </c>
      <c r="AF74" s="327">
        <v>0</v>
      </c>
      <c r="AG74" s="327">
        <v>0</v>
      </c>
      <c r="AH74" s="327">
        <v>140157</v>
      </c>
      <c r="AI74" s="327">
        <v>0</v>
      </c>
      <c r="AJ74" s="327">
        <v>13361</v>
      </c>
      <c r="AK74" s="327">
        <v>0</v>
      </c>
      <c r="AL74" s="318">
        <f t="shared" si="63"/>
        <v>3962028</v>
      </c>
      <c r="AM74" s="356">
        <v>4527171</v>
      </c>
      <c r="AN74" s="327">
        <v>29133</v>
      </c>
      <c r="AO74" s="327">
        <v>0</v>
      </c>
      <c r="AP74" s="327">
        <v>50325</v>
      </c>
      <c r="AQ74" s="327">
        <v>0</v>
      </c>
      <c r="AR74" s="327">
        <v>131776</v>
      </c>
      <c r="AS74" s="327">
        <v>0</v>
      </c>
      <c r="AT74" s="318">
        <f t="shared" si="64"/>
        <v>4738405</v>
      </c>
      <c r="AU74" s="356">
        <v>4535334</v>
      </c>
      <c r="AV74" s="327">
        <v>93993</v>
      </c>
      <c r="AW74" s="327">
        <v>0</v>
      </c>
      <c r="AX74" s="327">
        <v>413604</v>
      </c>
      <c r="AY74" s="327">
        <v>0</v>
      </c>
      <c r="AZ74" s="327">
        <v>63064</v>
      </c>
      <c r="BA74" s="327">
        <v>0</v>
      </c>
      <c r="BB74" s="319">
        <f t="shared" si="65"/>
        <v>5105995</v>
      </c>
      <c r="BC74" s="412">
        <v>4966014</v>
      </c>
      <c r="BD74" s="412">
        <v>190349</v>
      </c>
      <c r="BE74" s="412">
        <v>146771</v>
      </c>
      <c r="BF74" s="412">
        <v>42499</v>
      </c>
      <c r="BG74" s="412">
        <v>0</v>
      </c>
      <c r="BH74" s="412">
        <v>98085</v>
      </c>
      <c r="BI74" s="412">
        <v>0</v>
      </c>
      <c r="BJ74" s="314">
        <f>SUM(BC74:BI74)</f>
        <v>5443718</v>
      </c>
      <c r="BK74" s="40" t="s">
        <v>10670</v>
      </c>
      <c r="BL74" s="320">
        <v>49</v>
      </c>
      <c r="BM74" s="320">
        <v>2.7</v>
      </c>
      <c r="BN74" s="320">
        <v>3.3</v>
      </c>
      <c r="BO74" s="40" t="s">
        <v>10703</v>
      </c>
      <c r="BP74" s="321">
        <v>1057</v>
      </c>
      <c r="BQ74" s="314">
        <v>36</v>
      </c>
      <c r="BR74" s="314">
        <v>88</v>
      </c>
      <c r="BS74" s="314" t="s">
        <v>20587</v>
      </c>
      <c r="BT74" s="339">
        <v>1185</v>
      </c>
      <c r="BU74" s="343">
        <v>50</v>
      </c>
      <c r="BV74" s="343">
        <v>2.7</v>
      </c>
      <c r="BW74" s="343">
        <v>3.3</v>
      </c>
      <c r="BX74" s="325" t="s">
        <v>20588</v>
      </c>
    </row>
    <row r="75" spans="1:76" ht="15.75" customHeight="1">
      <c r="A75" s="373" t="s">
        <v>12247</v>
      </c>
      <c r="B75" s="311" t="s">
        <v>12252</v>
      </c>
      <c r="C75" s="155">
        <v>159</v>
      </c>
      <c r="D75" s="312">
        <v>160</v>
      </c>
      <c r="E75" s="40" t="s">
        <v>11546</v>
      </c>
      <c r="F75" s="314">
        <v>77</v>
      </c>
      <c r="G75" s="316">
        <f>COUNTA(ME_50_D)</f>
        <v>41</v>
      </c>
      <c r="H75" s="316">
        <f>COUNTIF(ME_50_G,"TT")</f>
        <v>38</v>
      </c>
      <c r="I75" s="316">
        <f t="shared" si="49"/>
        <v>3</v>
      </c>
      <c r="J75" s="316">
        <f>COUNTA(ME_50_D)</f>
        <v>41</v>
      </c>
      <c r="K75" s="316">
        <f>COUNTIF(ME_50_G,"TT")</f>
        <v>38</v>
      </c>
      <c r="L75" s="316">
        <f t="shared" si="50"/>
        <v>3</v>
      </c>
      <c r="M75" s="316">
        <f>COUNTIFS('Mechanical Engineering Faculty'!$F$3477:$F$3517,M$1)</f>
        <v>16</v>
      </c>
      <c r="N75" s="316">
        <f>COUNTIFS('Mechanical Engineering Faculty'!$F$3477:$F$3517,N$1)</f>
        <v>15</v>
      </c>
      <c r="O75" s="316">
        <f>COUNTIFS('Mechanical Engineering Faculty'!$F$3477:$F$3517,O$1)</f>
        <v>7</v>
      </c>
      <c r="P75" s="316">
        <f>COUNTIFS(ME_50_G,"TT", ME_50_D,P$1)</f>
        <v>16</v>
      </c>
      <c r="Q75" s="316">
        <f>COUNTIFS(ME_50_G,"TT", ME_50_D,Q$1)</f>
        <v>15</v>
      </c>
      <c r="R75" s="316">
        <f>COUNTIFS(ME_50_G,"TT", ME_50_D,R$1)</f>
        <v>7</v>
      </c>
      <c r="S75" s="316">
        <f>COUNTIF(ME_50_D,S$1)</f>
        <v>2</v>
      </c>
      <c r="T75" s="316">
        <f t="shared" si="59"/>
        <v>0</v>
      </c>
      <c r="U75" s="316">
        <f t="shared" si="60"/>
        <v>0</v>
      </c>
      <c r="V75" s="316">
        <f t="shared" si="61"/>
        <v>0</v>
      </c>
      <c r="W75" s="316">
        <f t="shared" ref="W75:AB75" si="74">COUNTIF(ME_50_D,W$1)</f>
        <v>0</v>
      </c>
      <c r="X75" s="316">
        <f t="shared" si="74"/>
        <v>0</v>
      </c>
      <c r="Y75" s="316">
        <f t="shared" si="74"/>
        <v>0</v>
      </c>
      <c r="Z75" s="316">
        <f t="shared" si="74"/>
        <v>1</v>
      </c>
      <c r="AA75" s="316">
        <f t="shared" si="74"/>
        <v>0</v>
      </c>
      <c r="AB75" s="316">
        <f t="shared" si="74"/>
        <v>0</v>
      </c>
      <c r="AC75" s="315">
        <f>COUNTIF(ME_50_E,AC$1)+COUNTIF(ME_50_E,"E/D")</f>
        <v>0</v>
      </c>
      <c r="AD75" s="315">
        <f>COUNTIF(ME_50_E,AD$1)+COUNTIF(ME_50_E,"E/D")</f>
        <v>6</v>
      </c>
      <c r="AE75" s="378">
        <v>6110980</v>
      </c>
      <c r="AF75" s="379">
        <v>139188</v>
      </c>
      <c r="AG75" s="379">
        <v>26307</v>
      </c>
      <c r="AH75" s="379">
        <v>2280768</v>
      </c>
      <c r="AI75" s="379">
        <v>13397</v>
      </c>
      <c r="AJ75" s="379">
        <v>27666</v>
      </c>
      <c r="AK75" s="379">
        <v>211251</v>
      </c>
      <c r="AL75" s="318">
        <f t="shared" si="63"/>
        <v>8809557</v>
      </c>
      <c r="AM75" s="378">
        <v>6110980</v>
      </c>
      <c r="AN75" s="379">
        <v>139188</v>
      </c>
      <c r="AO75" s="379">
        <v>26307</v>
      </c>
      <c r="AP75" s="379">
        <v>2280768</v>
      </c>
      <c r="AQ75" s="379">
        <v>13397</v>
      </c>
      <c r="AR75" s="379">
        <v>27666</v>
      </c>
      <c r="AS75" s="379">
        <v>211251</v>
      </c>
      <c r="AT75" s="318">
        <f t="shared" si="64"/>
        <v>8809557</v>
      </c>
      <c r="AU75" s="381">
        <v>5448411</v>
      </c>
      <c r="AV75" s="382">
        <v>102980</v>
      </c>
      <c r="AW75" s="382">
        <v>0</v>
      </c>
      <c r="AX75" s="382">
        <v>1020093</v>
      </c>
      <c r="AY75" s="382">
        <v>3298</v>
      </c>
      <c r="AZ75" s="382">
        <v>126417</v>
      </c>
      <c r="BA75" s="382">
        <v>425819</v>
      </c>
      <c r="BB75" s="319">
        <f t="shared" si="65"/>
        <v>7127018</v>
      </c>
      <c r="BC75" s="328">
        <v>5648164</v>
      </c>
      <c r="BD75" s="329">
        <v>98026</v>
      </c>
      <c r="BE75" s="329">
        <v>0</v>
      </c>
      <c r="BF75" s="329">
        <v>1200784</v>
      </c>
      <c r="BG75" s="329">
        <v>46035</v>
      </c>
      <c r="BH75" s="329">
        <v>144957</v>
      </c>
      <c r="BI75" s="329">
        <v>342416</v>
      </c>
      <c r="BJ75" s="314">
        <f>SUM(BC75:BI75)</f>
        <v>7480382</v>
      </c>
      <c r="BK75" s="40" t="s">
        <v>10768</v>
      </c>
      <c r="BL75" s="320">
        <v>51</v>
      </c>
      <c r="BM75" s="320">
        <v>2.7</v>
      </c>
      <c r="BN75" s="320">
        <v>3.1</v>
      </c>
      <c r="BO75" s="40" t="s">
        <v>12295</v>
      </c>
      <c r="BP75" s="321">
        <v>419</v>
      </c>
      <c r="BQ75" s="344"/>
      <c r="BR75" s="314">
        <v>83</v>
      </c>
      <c r="BS75" s="314" t="s">
        <v>20613</v>
      </c>
      <c r="BT75" s="312">
        <v>388</v>
      </c>
      <c r="BU75" s="343">
        <v>51</v>
      </c>
      <c r="BV75" s="343">
        <v>2.7</v>
      </c>
      <c r="BW75" s="343">
        <v>2.9</v>
      </c>
      <c r="BX75" s="325" t="s">
        <v>20614</v>
      </c>
    </row>
    <row r="76" spans="1:76" ht="15.75" customHeight="1">
      <c r="A76" s="374" t="s">
        <v>12540</v>
      </c>
      <c r="B76" s="311" t="s">
        <v>2714</v>
      </c>
      <c r="C76" s="155">
        <v>158</v>
      </c>
      <c r="D76" s="312">
        <v>159</v>
      </c>
      <c r="E76" s="40" t="s">
        <v>12553</v>
      </c>
      <c r="F76" s="314">
        <v>77</v>
      </c>
      <c r="G76" s="316">
        <f>COUNTA(ME_52_D)</f>
        <v>32</v>
      </c>
      <c r="H76" s="316">
        <f>COUNTIF(ME_52_G,"TT")</f>
        <v>30</v>
      </c>
      <c r="I76" s="316">
        <f t="shared" si="49"/>
        <v>2</v>
      </c>
      <c r="J76" s="316">
        <f>COUNTA(ME_52_D)</f>
        <v>32</v>
      </c>
      <c r="K76" s="316">
        <f>COUNTIF(ME_52_G,"TT")</f>
        <v>30</v>
      </c>
      <c r="L76" s="316">
        <f t="shared" si="50"/>
        <v>2</v>
      </c>
      <c r="M76" s="316">
        <f>COUNTIFS('Mechanical Engineering Faculty'!$F$3555:$F$3586,M$1)</f>
        <v>16</v>
      </c>
      <c r="N76" s="316">
        <f>COUNTIFS('Mechanical Engineering Faculty'!$F$3555:$F$3586,N$1)</f>
        <v>11</v>
      </c>
      <c r="O76" s="316">
        <f>COUNTIFS('Mechanical Engineering Faculty'!$F$3555:$F$3586,O$1)</f>
        <v>2</v>
      </c>
      <c r="P76" s="316">
        <f>COUNTIFS(ME_52_G,"TT", ME_52_D,P$1)</f>
        <v>16</v>
      </c>
      <c r="Q76" s="316">
        <f>COUNTIFS(ME_52_G,"TT", ME_52_D,Q$1)</f>
        <v>11</v>
      </c>
      <c r="R76" s="316">
        <f>COUNTIFS(ME_52_G,"TT", ME_52_D,R$1)</f>
        <v>2</v>
      </c>
      <c r="S76" s="316">
        <f>COUNTIF(ME_52_D,S$1)</f>
        <v>0</v>
      </c>
      <c r="T76" s="316">
        <f t="shared" si="59"/>
        <v>0</v>
      </c>
      <c r="U76" s="316">
        <f t="shared" si="60"/>
        <v>0</v>
      </c>
      <c r="V76" s="316">
        <f t="shared" si="61"/>
        <v>0</v>
      </c>
      <c r="W76" s="316">
        <f t="shared" ref="W76:AB76" si="75">COUNTIF(ME_52_D,W$1)</f>
        <v>1</v>
      </c>
      <c r="X76" s="316">
        <f t="shared" si="75"/>
        <v>1</v>
      </c>
      <c r="Y76" s="316">
        <f t="shared" si="75"/>
        <v>0</v>
      </c>
      <c r="Z76" s="316">
        <f t="shared" si="75"/>
        <v>0</v>
      </c>
      <c r="AA76" s="316">
        <f t="shared" si="75"/>
        <v>0</v>
      </c>
      <c r="AB76" s="316">
        <f t="shared" si="75"/>
        <v>0</v>
      </c>
      <c r="AC76" s="315">
        <f>COUNTIF(ME_52_E,AC$1)+COUNTIF(ME_52_E,"E/D")</f>
        <v>0</v>
      </c>
      <c r="AD76" s="315">
        <f>COUNTIF(ME_52_E,AD$1)+COUNTIF(ME_52_E,"E/D")</f>
        <v>0</v>
      </c>
      <c r="AE76" s="378">
        <v>3774944</v>
      </c>
      <c r="AF76" s="379">
        <v>118837</v>
      </c>
      <c r="AG76" s="379"/>
      <c r="AH76" s="379">
        <v>1473476</v>
      </c>
      <c r="AI76" s="379"/>
      <c r="AJ76" s="379">
        <v>0</v>
      </c>
      <c r="AK76" s="379">
        <v>3385</v>
      </c>
      <c r="AL76" s="318">
        <f t="shared" si="63"/>
        <v>5370642</v>
      </c>
      <c r="AM76" s="378">
        <v>4400634</v>
      </c>
      <c r="AN76" s="379">
        <v>33936</v>
      </c>
      <c r="AO76" s="379"/>
      <c r="AP76" s="379">
        <v>1468474</v>
      </c>
      <c r="AQ76" s="379">
        <v>0</v>
      </c>
      <c r="AR76" s="379">
        <v>45</v>
      </c>
      <c r="AS76" s="379">
        <v>0</v>
      </c>
      <c r="AT76" s="318">
        <f t="shared" si="64"/>
        <v>5903089</v>
      </c>
      <c r="AU76" s="381">
        <v>447236</v>
      </c>
      <c r="AV76" s="382">
        <v>0</v>
      </c>
      <c r="AW76" s="382"/>
      <c r="AX76" s="382">
        <v>169859</v>
      </c>
      <c r="AY76" s="382">
        <v>0</v>
      </c>
      <c r="AZ76" s="382">
        <v>0</v>
      </c>
      <c r="BA76" s="382">
        <v>0</v>
      </c>
      <c r="BB76" s="319">
        <f t="shared" si="65"/>
        <v>617095</v>
      </c>
      <c r="BC76" s="328">
        <v>5294593</v>
      </c>
      <c r="BD76" s="329">
        <v>0</v>
      </c>
      <c r="BE76" s="329">
        <v>0</v>
      </c>
      <c r="BF76" s="329">
        <v>343370</v>
      </c>
      <c r="BG76" s="329">
        <v>26063</v>
      </c>
      <c r="BH76" s="329">
        <v>11113</v>
      </c>
      <c r="BI76" s="329">
        <v>26249</v>
      </c>
      <c r="BJ76" s="314">
        <f>SUM(BC76:BI76)</f>
        <v>5701388</v>
      </c>
      <c r="BK76" s="40" t="s">
        <v>12558</v>
      </c>
      <c r="BL76" s="320">
        <v>41</v>
      </c>
      <c r="BM76" s="320">
        <v>2.5</v>
      </c>
      <c r="BN76" s="320">
        <v>3.1</v>
      </c>
      <c r="BO76" s="40" t="s">
        <v>12589</v>
      </c>
      <c r="BP76" s="321">
        <v>424</v>
      </c>
      <c r="BQ76" s="344"/>
      <c r="BR76" s="314">
        <v>130</v>
      </c>
      <c r="BS76" s="314" t="s">
        <v>20617</v>
      </c>
      <c r="BT76" s="312">
        <v>447</v>
      </c>
      <c r="BU76" s="343">
        <v>40</v>
      </c>
      <c r="BV76" s="343">
        <v>2.5</v>
      </c>
      <c r="BW76" s="343">
        <v>2.9</v>
      </c>
      <c r="BX76" s="325" t="s">
        <v>20618</v>
      </c>
    </row>
    <row r="77" spans="1:76" ht="15.75" customHeight="1">
      <c r="A77" s="374" t="s">
        <v>12662</v>
      </c>
      <c r="B77" s="311" t="s">
        <v>12667</v>
      </c>
      <c r="C77" s="155">
        <v>159</v>
      </c>
      <c r="D77" s="312">
        <v>159</v>
      </c>
      <c r="E77" s="40" t="s">
        <v>12553</v>
      </c>
      <c r="F77" s="314">
        <v>77</v>
      </c>
      <c r="G77" s="316">
        <f>COUNTA(ME_53_D)</f>
        <v>29</v>
      </c>
      <c r="H77" s="316">
        <f>COUNTIF(ME_53_G,"TT")</f>
        <v>26</v>
      </c>
      <c r="I77" s="316">
        <f t="shared" si="49"/>
        <v>3</v>
      </c>
      <c r="J77" s="316">
        <f>COUNTA(ME_53_D)</f>
        <v>29</v>
      </c>
      <c r="K77" s="316">
        <f>COUNTIF(ME_53_G,"TT")</f>
        <v>26</v>
      </c>
      <c r="L77" s="316">
        <f t="shared" si="50"/>
        <v>3</v>
      </c>
      <c r="M77" s="316">
        <f>COUNTIFS('Mechanical Engineering Faculty'!$F$3588:$F$3616,M$1)</f>
        <v>14</v>
      </c>
      <c r="N77" s="316">
        <f>COUNTIFS('Mechanical Engineering Faculty'!$F$3588:$F$3616,N$1)</f>
        <v>6</v>
      </c>
      <c r="O77" s="316">
        <f>COUNTIFS('Mechanical Engineering Faculty'!$F$3588:$F$3616,O$1)</f>
        <v>6</v>
      </c>
      <c r="P77" s="316">
        <f>COUNTIFS(ME_53_G,"TT", ME_53_D,P$1)</f>
        <v>14</v>
      </c>
      <c r="Q77" s="316">
        <f>COUNTIFS(ME_53_G,"TT", ME_53_D,Q$1)</f>
        <v>6</v>
      </c>
      <c r="R77" s="316">
        <f>COUNTIFS(ME_53_G,"TT", ME_53_D,R$1)</f>
        <v>6</v>
      </c>
      <c r="S77" s="316">
        <f>COUNTIF(ME_53_D,S$1)</f>
        <v>3</v>
      </c>
      <c r="T77" s="316">
        <f t="shared" si="59"/>
        <v>0</v>
      </c>
      <c r="U77" s="316">
        <f t="shared" si="60"/>
        <v>0</v>
      </c>
      <c r="V77" s="316">
        <f t="shared" si="61"/>
        <v>0</v>
      </c>
      <c r="W77" s="316">
        <f t="shared" ref="W77:AB77" si="76">COUNTIF(ME_53_D,W$1)</f>
        <v>0</v>
      </c>
      <c r="X77" s="316">
        <f t="shared" si="76"/>
        <v>0</v>
      </c>
      <c r="Y77" s="316">
        <f t="shared" si="76"/>
        <v>0</v>
      </c>
      <c r="Z77" s="316">
        <f t="shared" si="76"/>
        <v>0</v>
      </c>
      <c r="AA77" s="316">
        <f t="shared" si="76"/>
        <v>0</v>
      </c>
      <c r="AB77" s="316">
        <f t="shared" si="76"/>
        <v>0</v>
      </c>
      <c r="AC77" s="315">
        <f>COUNTIF(ME_53_E,AC$1)+COUNTIF(ME_53_E,"E/D")</f>
        <v>0</v>
      </c>
      <c r="AD77" s="315">
        <f>COUNTIF(ME_53_E,AD$1)+COUNTIF(ME_53_E,"E/D")</f>
        <v>1</v>
      </c>
      <c r="AE77" s="378">
        <v>3056752</v>
      </c>
      <c r="AF77" s="379">
        <v>0</v>
      </c>
      <c r="AG77" s="379"/>
      <c r="AH77" s="379">
        <v>300515</v>
      </c>
      <c r="AI77" s="379"/>
      <c r="AJ77" s="379">
        <v>8448</v>
      </c>
      <c r="AK77" s="379">
        <v>0</v>
      </c>
      <c r="AL77" s="318">
        <f t="shared" si="63"/>
        <v>3365715</v>
      </c>
      <c r="AM77" s="378" t="s">
        <v>55</v>
      </c>
      <c r="AN77" s="379">
        <v>0</v>
      </c>
      <c r="AO77" s="379"/>
      <c r="AP77" s="379">
        <v>300515</v>
      </c>
      <c r="AQ77" s="379"/>
      <c r="AR77" s="379">
        <v>8448</v>
      </c>
      <c r="AS77" s="379">
        <v>0</v>
      </c>
      <c r="AT77" s="318">
        <f t="shared" si="64"/>
        <v>308963</v>
      </c>
      <c r="AU77" s="377" t="s">
        <v>55</v>
      </c>
      <c r="AV77" s="406" t="s">
        <v>55</v>
      </c>
      <c r="AW77" s="406" t="s">
        <v>55</v>
      </c>
      <c r="AX77" s="406" t="s">
        <v>55</v>
      </c>
      <c r="AY77" s="406" t="s">
        <v>55</v>
      </c>
      <c r="AZ77" s="406" t="s">
        <v>55</v>
      </c>
      <c r="BA77" s="409" t="s">
        <v>55</v>
      </c>
      <c r="BB77" s="319">
        <f t="shared" si="65"/>
        <v>0</v>
      </c>
      <c r="BC77" s="411" t="s">
        <v>55</v>
      </c>
      <c r="BD77" s="413" t="s">
        <v>55</v>
      </c>
      <c r="BE77" s="413" t="s">
        <v>55</v>
      </c>
      <c r="BF77" s="413" t="s">
        <v>55</v>
      </c>
      <c r="BG77" s="413" t="s">
        <v>55</v>
      </c>
      <c r="BH77" s="413" t="s">
        <v>55</v>
      </c>
      <c r="BI77" s="413" t="s">
        <v>55</v>
      </c>
      <c r="BJ77" s="332" t="s">
        <v>55</v>
      </c>
      <c r="BK77" s="40" t="s">
        <v>12680</v>
      </c>
      <c r="BL77" s="320">
        <v>42</v>
      </c>
      <c r="BM77" s="320">
        <v>2.6</v>
      </c>
      <c r="BN77" s="320">
        <v>3.2</v>
      </c>
      <c r="BO77" s="40" t="s">
        <v>12713</v>
      </c>
      <c r="BP77" s="321">
        <v>1096</v>
      </c>
      <c r="BQ77" s="344"/>
      <c r="BR77" s="314">
        <v>120</v>
      </c>
      <c r="BS77" s="314" t="s">
        <v>20619</v>
      </c>
      <c r="BT77" s="339">
        <v>1850</v>
      </c>
      <c r="BU77" s="343">
        <v>43</v>
      </c>
      <c r="BV77" s="343">
        <v>2.5</v>
      </c>
      <c r="BW77" s="343">
        <v>3.2</v>
      </c>
      <c r="BX77" s="325" t="s">
        <v>20620</v>
      </c>
    </row>
    <row r="78" spans="1:76" ht="15.75" customHeight="1">
      <c r="A78" s="373" t="s">
        <v>12949</v>
      </c>
      <c r="B78" s="311" t="s">
        <v>12954</v>
      </c>
      <c r="C78" s="155">
        <v>161</v>
      </c>
      <c r="D78" s="312" t="s">
        <v>20474</v>
      </c>
      <c r="E78" s="40" t="s">
        <v>12553</v>
      </c>
      <c r="F78" s="314">
        <v>77</v>
      </c>
      <c r="G78" s="316">
        <f>COUNTA(ME_55_D)</f>
        <v>31</v>
      </c>
      <c r="H78" s="316">
        <f>COUNTIF(ME_55_G,"TT")</f>
        <v>21</v>
      </c>
      <c r="I78" s="316">
        <f t="shared" si="49"/>
        <v>10</v>
      </c>
      <c r="J78" s="316">
        <f>COUNTA(ME_55_D)</f>
        <v>31</v>
      </c>
      <c r="K78" s="316">
        <f>COUNTIF(ME_55_G,"TT")</f>
        <v>21</v>
      </c>
      <c r="L78" s="316">
        <f t="shared" si="50"/>
        <v>10</v>
      </c>
      <c r="M78" s="316">
        <f>COUNTIFS('Mechanical Engineering Faculty'!$F$3661:$F$3691,M$1)</f>
        <v>7</v>
      </c>
      <c r="N78" s="316">
        <f>COUNTIFS('Mechanical Engineering Faculty'!$F$3661:$F$3691,N$1)</f>
        <v>6</v>
      </c>
      <c r="O78" s="316">
        <f>COUNTIFS('Mechanical Engineering Faculty'!$F$3661:$F$3691,O$1)</f>
        <v>8</v>
      </c>
      <c r="P78" s="316">
        <f>COUNTIFS(ME_55_G,"TT", ME_55_D,P$1)</f>
        <v>7</v>
      </c>
      <c r="Q78" s="316">
        <f>COUNTIFS(ME_55_G,"TT", ME_55_D,Q$1)</f>
        <v>6</v>
      </c>
      <c r="R78" s="316">
        <f>COUNTIFS(ME_55_G,"TT", ME_55_D,R$1)</f>
        <v>8</v>
      </c>
      <c r="S78" s="316">
        <f>COUNTIF(ME_55_D,S$1)</f>
        <v>3</v>
      </c>
      <c r="T78" s="316">
        <f t="shared" si="59"/>
        <v>0</v>
      </c>
      <c r="U78" s="316">
        <f t="shared" si="60"/>
        <v>0</v>
      </c>
      <c r="V78" s="316">
        <f t="shared" si="61"/>
        <v>0</v>
      </c>
      <c r="W78" s="316">
        <f t="shared" ref="W78:AB78" si="77">COUNTIF(ME_55_D,W$1)</f>
        <v>1</v>
      </c>
      <c r="X78" s="316">
        <f t="shared" si="77"/>
        <v>5</v>
      </c>
      <c r="Y78" s="316">
        <f t="shared" si="77"/>
        <v>1</v>
      </c>
      <c r="Z78" s="316">
        <f t="shared" si="77"/>
        <v>0</v>
      </c>
      <c r="AA78" s="316">
        <f t="shared" si="77"/>
        <v>0</v>
      </c>
      <c r="AB78" s="316">
        <f t="shared" si="77"/>
        <v>0</v>
      </c>
      <c r="AC78" s="315">
        <f>COUNTIF(ME_55_E,AC$1)+COUNTIF(ME_55_E,"E/D")</f>
        <v>0</v>
      </c>
      <c r="AD78" s="315">
        <f>COUNTIF(ME_55_E,AD$1)+COUNTIF(ME_55_E,"E/D")</f>
        <v>0</v>
      </c>
      <c r="AE78" s="378">
        <v>1354865</v>
      </c>
      <c r="AF78" s="379">
        <v>0</v>
      </c>
      <c r="AG78" s="379">
        <v>0</v>
      </c>
      <c r="AH78" s="379">
        <v>386169</v>
      </c>
      <c r="AI78" s="379">
        <v>0</v>
      </c>
      <c r="AJ78" s="379">
        <v>42264</v>
      </c>
      <c r="AK78" s="379">
        <v>0</v>
      </c>
      <c r="AL78" s="318">
        <f t="shared" si="63"/>
        <v>1783298</v>
      </c>
      <c r="AM78" s="378">
        <v>2195098</v>
      </c>
      <c r="AN78" s="379">
        <v>123340</v>
      </c>
      <c r="AO78" s="379">
        <v>0</v>
      </c>
      <c r="AP78" s="379">
        <v>383561</v>
      </c>
      <c r="AQ78" s="379">
        <v>0</v>
      </c>
      <c r="AR78" s="379">
        <v>33216</v>
      </c>
      <c r="AS78" s="379">
        <v>0</v>
      </c>
      <c r="AT78" s="318">
        <f t="shared" si="64"/>
        <v>2735215</v>
      </c>
      <c r="AU78" s="381">
        <v>1915291</v>
      </c>
      <c r="AV78" s="381">
        <v>148278</v>
      </c>
      <c r="AW78" s="381">
        <v>0</v>
      </c>
      <c r="AX78" s="381">
        <v>491962</v>
      </c>
      <c r="AY78" s="381"/>
      <c r="AZ78" s="381">
        <v>315970</v>
      </c>
      <c r="BA78" s="381">
        <v>23257</v>
      </c>
      <c r="BB78" s="319">
        <f t="shared" si="65"/>
        <v>2894758</v>
      </c>
      <c r="BC78" s="412">
        <v>2154575</v>
      </c>
      <c r="BD78" s="412">
        <v>242267</v>
      </c>
      <c r="BE78" s="412">
        <v>0</v>
      </c>
      <c r="BF78" s="412">
        <v>458775</v>
      </c>
      <c r="BG78" s="412">
        <v>0</v>
      </c>
      <c r="BH78" s="412">
        <v>14133</v>
      </c>
      <c r="BI78" s="412">
        <v>3488</v>
      </c>
      <c r="BJ78" s="314">
        <f>SUM(BC78:BI78)</f>
        <v>2873238</v>
      </c>
      <c r="BK78" s="40" t="s">
        <v>10768</v>
      </c>
      <c r="BL78" s="320">
        <v>51</v>
      </c>
      <c r="BM78" s="320">
        <v>2.6</v>
      </c>
      <c r="BN78" s="320">
        <v>3.4</v>
      </c>
      <c r="BO78" s="40" t="s">
        <v>12999</v>
      </c>
      <c r="BP78" s="321">
        <v>2370</v>
      </c>
      <c r="BQ78" s="314">
        <v>44</v>
      </c>
      <c r="BR78" s="314">
        <v>83</v>
      </c>
      <c r="BS78" s="314" t="s">
        <v>20623</v>
      </c>
      <c r="BT78" s="339">
        <v>2073</v>
      </c>
      <c r="BU78" s="343">
        <v>51</v>
      </c>
      <c r="BV78" s="343">
        <v>2.6</v>
      </c>
      <c r="BW78" s="343">
        <v>3.4</v>
      </c>
      <c r="BX78" s="325" t="s">
        <v>20624</v>
      </c>
    </row>
    <row r="79" spans="1:76" ht="15.75" customHeight="1">
      <c r="A79" s="373" t="s">
        <v>13063</v>
      </c>
      <c r="B79" s="311" t="s">
        <v>2628</v>
      </c>
      <c r="C79" s="155">
        <v>161</v>
      </c>
      <c r="D79" s="312">
        <v>159</v>
      </c>
      <c r="E79" s="40" t="s">
        <v>12553</v>
      </c>
      <c r="F79" s="314">
        <v>77</v>
      </c>
      <c r="G79" s="316">
        <f>COUNTA(ME_56_D)</f>
        <v>27</v>
      </c>
      <c r="H79" s="316">
        <f>COUNTIF(ME_56_G,"TT")</f>
        <v>22</v>
      </c>
      <c r="I79" s="316">
        <f t="shared" si="49"/>
        <v>5</v>
      </c>
      <c r="J79" s="316">
        <f>COUNTA(ME_56_D)</f>
        <v>27</v>
      </c>
      <c r="K79" s="316">
        <f>COUNTIF(ME_56_G,"TT")</f>
        <v>22</v>
      </c>
      <c r="L79" s="316">
        <f t="shared" si="50"/>
        <v>5</v>
      </c>
      <c r="M79" s="316">
        <f>COUNTIFS('Mechanical Engineering Faculty'!$F$3693:$F$3719,M$1)</f>
        <v>7</v>
      </c>
      <c r="N79" s="316">
        <f>COUNTIFS('Mechanical Engineering Faculty'!$F$3693:$F$3719,N$1)</f>
        <v>6</v>
      </c>
      <c r="O79" s="316">
        <f>COUNTIFS('Mechanical Engineering Faculty'!$F$3693:$F$3719,O$1)</f>
        <v>9</v>
      </c>
      <c r="P79" s="316">
        <f>COUNTIFS(ME_56_G,"TT", ME_56_D,P$1)</f>
        <v>7</v>
      </c>
      <c r="Q79" s="316">
        <f>COUNTIFS(ME_56_G,"TT", ME_56_D,Q$1)</f>
        <v>6</v>
      </c>
      <c r="R79" s="316">
        <f>COUNTIFS(ME_56_G,"TT", ME_56_D,R$1)</f>
        <v>9</v>
      </c>
      <c r="S79" s="316">
        <f>COUNTIF(ME_56_D,S$1)</f>
        <v>0</v>
      </c>
      <c r="T79" s="316">
        <f t="shared" si="59"/>
        <v>0</v>
      </c>
      <c r="U79" s="316">
        <f t="shared" si="60"/>
        <v>0</v>
      </c>
      <c r="V79" s="316">
        <f t="shared" si="61"/>
        <v>0</v>
      </c>
      <c r="W79" s="316">
        <f t="shared" ref="W79:AB79" si="78">COUNTIF(ME_56_D,W$1)</f>
        <v>0</v>
      </c>
      <c r="X79" s="316">
        <f t="shared" si="78"/>
        <v>4</v>
      </c>
      <c r="Y79" s="316">
        <f t="shared" si="78"/>
        <v>1</v>
      </c>
      <c r="Z79" s="316">
        <f t="shared" si="78"/>
        <v>0</v>
      </c>
      <c r="AA79" s="316">
        <f t="shared" si="78"/>
        <v>0</v>
      </c>
      <c r="AB79" s="316">
        <f t="shared" si="78"/>
        <v>0</v>
      </c>
      <c r="AC79" s="315">
        <f>COUNTIF(ME_56_E,AC$1)+COUNTIF(ME_56_E,"E/D")</f>
        <v>1</v>
      </c>
      <c r="AD79" s="315">
        <f>COUNTIF(ME_56_E,AD$1)+COUNTIF(ME_56_E,"E/D")</f>
        <v>1</v>
      </c>
      <c r="AE79" s="378">
        <v>1477113</v>
      </c>
      <c r="AF79" s="379"/>
      <c r="AG79" s="379">
        <v>79245</v>
      </c>
      <c r="AH79" s="379">
        <v>5410</v>
      </c>
      <c r="AI79" s="379"/>
      <c r="AJ79" s="379">
        <v>176860</v>
      </c>
      <c r="AK79" s="379">
        <v>13356</v>
      </c>
      <c r="AL79" s="318">
        <f t="shared" si="63"/>
        <v>1751984</v>
      </c>
      <c r="AM79" s="378">
        <v>1319399</v>
      </c>
      <c r="AN79" s="379"/>
      <c r="AO79" s="379">
        <v>44872</v>
      </c>
      <c r="AP79" s="379">
        <v>66026</v>
      </c>
      <c r="AQ79" s="379"/>
      <c r="AR79" s="379">
        <v>127652</v>
      </c>
      <c r="AS79" s="379">
        <v>83414</v>
      </c>
      <c r="AT79" s="318">
        <f t="shared" si="64"/>
        <v>1641363</v>
      </c>
      <c r="AU79" s="381">
        <v>2105642</v>
      </c>
      <c r="AV79" s="381"/>
      <c r="AW79" s="381">
        <v>42919</v>
      </c>
      <c r="AX79" s="381">
        <v>473913</v>
      </c>
      <c r="AY79" s="381"/>
      <c r="AZ79" s="381">
        <v>28715</v>
      </c>
      <c r="BA79" s="381">
        <v>173246</v>
      </c>
      <c r="BB79" s="319">
        <f t="shared" si="65"/>
        <v>2824435</v>
      </c>
      <c r="BC79" s="412">
        <v>2005842</v>
      </c>
      <c r="BD79" s="412">
        <v>0</v>
      </c>
      <c r="BE79" s="412">
        <v>137683</v>
      </c>
      <c r="BF79" s="412">
        <v>547297</v>
      </c>
      <c r="BG79" s="412">
        <v>0</v>
      </c>
      <c r="BH79" s="412">
        <v>8506</v>
      </c>
      <c r="BI79" s="412">
        <v>153145</v>
      </c>
      <c r="BJ79" s="314">
        <f>SUM(BC79:BI79)</f>
        <v>2852473</v>
      </c>
      <c r="BK79" s="40" t="s">
        <v>13076</v>
      </c>
      <c r="BL79" s="320">
        <v>43</v>
      </c>
      <c r="BM79" s="320">
        <v>2.7</v>
      </c>
      <c r="BN79" s="320">
        <v>3.4</v>
      </c>
      <c r="BO79" s="40" t="s">
        <v>13106</v>
      </c>
      <c r="BP79" s="321">
        <v>952</v>
      </c>
      <c r="BQ79" s="344"/>
      <c r="BR79" s="314">
        <v>111</v>
      </c>
      <c r="BS79" s="314" t="s">
        <v>20625</v>
      </c>
      <c r="BT79" s="312">
        <v>926</v>
      </c>
      <c r="BU79" s="343">
        <v>44</v>
      </c>
      <c r="BV79" s="343">
        <v>2.7</v>
      </c>
      <c r="BW79" s="343">
        <v>3.3</v>
      </c>
      <c r="BX79" s="325" t="s">
        <v>20626</v>
      </c>
    </row>
    <row r="80" spans="1:76" ht="15.75" customHeight="1">
      <c r="A80" s="373" t="s">
        <v>13162</v>
      </c>
      <c r="B80" s="311" t="s">
        <v>3888</v>
      </c>
      <c r="C80" s="155">
        <v>163</v>
      </c>
      <c r="D80" s="312">
        <v>163</v>
      </c>
      <c r="E80" s="40" t="s">
        <v>12553</v>
      </c>
      <c r="F80" s="314">
        <v>77</v>
      </c>
      <c r="G80" s="316">
        <f>COUNTA(ME_57_D)</f>
        <v>37</v>
      </c>
      <c r="H80" s="316">
        <f>COUNTIF(ME_57_G,"TT")</f>
        <v>34</v>
      </c>
      <c r="I80" s="316">
        <f t="shared" si="49"/>
        <v>3</v>
      </c>
      <c r="J80" s="316">
        <f>COUNTA(ME_57_D)</f>
        <v>37</v>
      </c>
      <c r="K80" s="316">
        <f>COUNTIF(ME_57_G,"TT")</f>
        <v>34</v>
      </c>
      <c r="L80" s="316">
        <f t="shared" si="50"/>
        <v>3</v>
      </c>
      <c r="M80" s="316">
        <f>COUNTIFS('Mechanical Engineering Faculty'!$F$3721:$F$3757,M$1)</f>
        <v>11</v>
      </c>
      <c r="N80" s="316">
        <f>COUNTIFS('Mechanical Engineering Faculty'!$F$3721:$F$3757,N$1)</f>
        <v>11</v>
      </c>
      <c r="O80" s="316">
        <f>COUNTIFS('Mechanical Engineering Faculty'!$F$3721:$F$3757,O$1)</f>
        <v>12</v>
      </c>
      <c r="P80" s="316">
        <f>COUNTIFS(ME_57_G,"TT", ME_57_D,P$1)</f>
        <v>11</v>
      </c>
      <c r="Q80" s="316">
        <f>COUNTIFS(ME_57_G,"TT", ME_57_D,Q$1)</f>
        <v>11</v>
      </c>
      <c r="R80" s="316">
        <f>COUNTIFS(ME_57_G,"TT", ME_57_D,R$1)</f>
        <v>12</v>
      </c>
      <c r="S80" s="316">
        <f>COUNTIF(ME_57_D,S$1)</f>
        <v>0</v>
      </c>
      <c r="T80" s="316">
        <f t="shared" si="59"/>
        <v>0</v>
      </c>
      <c r="U80" s="316">
        <f t="shared" si="60"/>
        <v>0</v>
      </c>
      <c r="V80" s="316">
        <f t="shared" si="61"/>
        <v>0</v>
      </c>
      <c r="W80" s="316">
        <f t="shared" ref="W80:AB80" si="79">COUNTIF(ME_57_D,W$1)</f>
        <v>0</v>
      </c>
      <c r="X80" s="316">
        <f t="shared" si="79"/>
        <v>3</v>
      </c>
      <c r="Y80" s="316">
        <f t="shared" si="79"/>
        <v>0</v>
      </c>
      <c r="Z80" s="316">
        <f t="shared" si="79"/>
        <v>0</v>
      </c>
      <c r="AA80" s="316">
        <f t="shared" si="79"/>
        <v>0</v>
      </c>
      <c r="AB80" s="316">
        <f t="shared" si="79"/>
        <v>0</v>
      </c>
      <c r="AC80" s="315">
        <f>COUNTIF(ME_57_E,AC$1)+COUNTIF(ME_57_E,"E/D")</f>
        <v>0</v>
      </c>
      <c r="AD80" s="315">
        <f>COUNTIF(ME_57_E,AD$1)+COUNTIF(ME_57_E,"E/D")</f>
        <v>0</v>
      </c>
      <c r="AE80" s="378">
        <v>4700873</v>
      </c>
      <c r="AF80" s="379">
        <v>447518</v>
      </c>
      <c r="AG80" s="379"/>
      <c r="AH80" s="379">
        <v>450381</v>
      </c>
      <c r="AI80" s="379"/>
      <c r="AJ80" s="379">
        <v>213106</v>
      </c>
      <c r="AK80" s="379">
        <v>1554423</v>
      </c>
      <c r="AL80" s="318">
        <f t="shared" si="63"/>
        <v>7366301</v>
      </c>
      <c r="AM80" s="378">
        <v>5348794</v>
      </c>
      <c r="AN80" s="379">
        <v>83088</v>
      </c>
      <c r="AO80" s="379"/>
      <c r="AP80" s="379">
        <v>489025</v>
      </c>
      <c r="AQ80" s="379"/>
      <c r="AR80" s="379">
        <v>262191</v>
      </c>
      <c r="AS80" s="379">
        <v>1560376</v>
      </c>
      <c r="AT80" s="318">
        <f t="shared" si="64"/>
        <v>7743474</v>
      </c>
      <c r="AU80" s="381">
        <v>5742692</v>
      </c>
      <c r="AV80" s="382">
        <v>50056</v>
      </c>
      <c r="AW80" s="382">
        <v>0</v>
      </c>
      <c r="AX80" s="382">
        <v>638530</v>
      </c>
      <c r="AY80" s="382">
        <v>570549</v>
      </c>
      <c r="AZ80" s="382">
        <v>168213</v>
      </c>
      <c r="BA80" s="382">
        <v>1753453</v>
      </c>
      <c r="BB80" s="319">
        <f t="shared" si="65"/>
        <v>8923493</v>
      </c>
      <c r="BC80" s="328">
        <v>6680141</v>
      </c>
      <c r="BD80" s="329">
        <v>114892</v>
      </c>
      <c r="BE80" s="329">
        <v>0</v>
      </c>
      <c r="BF80" s="329">
        <v>426465</v>
      </c>
      <c r="BG80" s="329">
        <v>2624465</v>
      </c>
      <c r="BH80" s="329">
        <v>511700</v>
      </c>
      <c r="BI80" s="329">
        <v>244622</v>
      </c>
      <c r="BJ80" s="314">
        <f>SUM(BC80:BI80)</f>
        <v>10602285</v>
      </c>
      <c r="BK80" s="40" t="s">
        <v>11200</v>
      </c>
      <c r="BL80" s="320">
        <v>54</v>
      </c>
      <c r="BM80" s="320">
        <v>2.6</v>
      </c>
      <c r="BN80" s="320">
        <v>3.1</v>
      </c>
      <c r="BO80" s="40" t="s">
        <v>13206</v>
      </c>
      <c r="BP80" s="321">
        <v>1877</v>
      </c>
      <c r="BQ80" s="344"/>
      <c r="BR80" s="314">
        <v>75</v>
      </c>
      <c r="BS80" s="314" t="s">
        <v>20627</v>
      </c>
      <c r="BT80" s="339">
        <v>1524</v>
      </c>
      <c r="BU80" s="343">
        <v>53</v>
      </c>
      <c r="BV80" s="343">
        <v>2.6</v>
      </c>
      <c r="BW80" s="343">
        <v>3.1</v>
      </c>
      <c r="BX80" s="325" t="s">
        <v>20628</v>
      </c>
    </row>
    <row r="81" spans="1:76" ht="15.75" customHeight="1">
      <c r="A81" s="373" t="s">
        <v>13394</v>
      </c>
      <c r="B81" s="311" t="s">
        <v>13399</v>
      </c>
      <c r="C81" s="155">
        <v>161</v>
      </c>
      <c r="D81" s="312">
        <v>161</v>
      </c>
      <c r="E81" s="341" t="s">
        <v>13408</v>
      </c>
      <c r="F81" s="314">
        <v>77</v>
      </c>
      <c r="G81" s="316">
        <f>COUNTA(ME_59_D)</f>
        <v>35</v>
      </c>
      <c r="H81" s="316">
        <f>COUNTIF(ME_59_G,"TT")</f>
        <v>33</v>
      </c>
      <c r="I81" s="316">
        <f t="shared" si="49"/>
        <v>2</v>
      </c>
      <c r="J81" s="316">
        <f>COUNTA(ME_59_D)</f>
        <v>35</v>
      </c>
      <c r="K81" s="316">
        <f>COUNTIF(ME_59_G,"TT")</f>
        <v>33</v>
      </c>
      <c r="L81" s="316">
        <f t="shared" si="50"/>
        <v>2</v>
      </c>
      <c r="M81" s="316">
        <f>COUNTIFS('Mechanical Engineering Faculty'!$F$3786:$F$3820,M$1)</f>
        <v>7</v>
      </c>
      <c r="N81" s="316">
        <f>COUNTIFS('Mechanical Engineering Faculty'!$F$3786:$F$3820,N$1)</f>
        <v>13</v>
      </c>
      <c r="O81" s="316">
        <f>COUNTIFS('Mechanical Engineering Faculty'!$F$3786:$F$3820,O$1)</f>
        <v>13</v>
      </c>
      <c r="P81" s="316">
        <f>COUNTIFS(ME_59_G,"TT", ME_59_D,P$1)</f>
        <v>7</v>
      </c>
      <c r="Q81" s="316">
        <f>COUNTIFS(ME_59_G,"TT", ME_59_D,Q$1)</f>
        <v>13</v>
      </c>
      <c r="R81" s="316">
        <f>COUNTIFS(ME_59_G,"TT", ME_59_D,R$1)</f>
        <v>13</v>
      </c>
      <c r="S81" s="316">
        <f>COUNTIF(ME_59_D,S$1)</f>
        <v>0</v>
      </c>
      <c r="T81" s="316">
        <f t="shared" si="59"/>
        <v>0</v>
      </c>
      <c r="U81" s="316">
        <f t="shared" si="60"/>
        <v>0</v>
      </c>
      <c r="V81" s="316">
        <f t="shared" si="61"/>
        <v>0</v>
      </c>
      <c r="W81" s="316">
        <f t="shared" ref="W81:AB81" si="80">COUNTIF(ME_59_D,W$1)</f>
        <v>0</v>
      </c>
      <c r="X81" s="316">
        <f t="shared" si="80"/>
        <v>1</v>
      </c>
      <c r="Y81" s="316">
        <f t="shared" si="80"/>
        <v>0</v>
      </c>
      <c r="Z81" s="316">
        <f t="shared" si="80"/>
        <v>0</v>
      </c>
      <c r="AA81" s="316">
        <f t="shared" si="80"/>
        <v>0</v>
      </c>
      <c r="AB81" s="316">
        <f t="shared" si="80"/>
        <v>1</v>
      </c>
      <c r="AC81" s="315">
        <f>COUNTIF(ME_59_E,AC$1)+COUNTIF(ME_59_E,"E/D")</f>
        <v>0</v>
      </c>
      <c r="AD81" s="315">
        <f>COUNTIF(ME_59_E,AD$1)+COUNTIF(ME_59_E,"E/D")</f>
        <v>1</v>
      </c>
      <c r="AE81" s="378">
        <v>5114235</v>
      </c>
      <c r="AF81" s="379"/>
      <c r="AG81" s="379"/>
      <c r="AH81" s="379"/>
      <c r="AI81" s="379"/>
      <c r="AJ81" s="379">
        <v>1049232</v>
      </c>
      <c r="AK81" s="379">
        <v>1015659</v>
      </c>
      <c r="AL81" s="318">
        <f t="shared" si="63"/>
        <v>7179126</v>
      </c>
      <c r="AM81" s="378">
        <v>6291620</v>
      </c>
      <c r="AN81" s="379">
        <v>0</v>
      </c>
      <c r="AO81" s="379">
        <v>0</v>
      </c>
      <c r="AP81" s="379">
        <v>531166</v>
      </c>
      <c r="AQ81" s="379">
        <v>0</v>
      </c>
      <c r="AR81" s="379">
        <v>7643</v>
      </c>
      <c r="AS81" s="379">
        <v>1032941</v>
      </c>
      <c r="AT81" s="318">
        <f t="shared" si="64"/>
        <v>7863370</v>
      </c>
      <c r="AU81" s="381">
        <v>7497944</v>
      </c>
      <c r="AV81" s="382">
        <v>0</v>
      </c>
      <c r="AW81" s="382">
        <v>0</v>
      </c>
      <c r="AX81" s="382">
        <v>1312658</v>
      </c>
      <c r="AY81" s="382">
        <v>0</v>
      </c>
      <c r="AZ81" s="382">
        <v>97325</v>
      </c>
      <c r="BA81" s="382">
        <v>972981</v>
      </c>
      <c r="BB81" s="319">
        <f t="shared" si="65"/>
        <v>9880908</v>
      </c>
      <c r="BC81" s="328">
        <v>8552794</v>
      </c>
      <c r="BD81" s="329">
        <v>1341515</v>
      </c>
      <c r="BE81" s="329">
        <v>0</v>
      </c>
      <c r="BF81" s="329">
        <v>0</v>
      </c>
      <c r="BG81" s="329">
        <v>0</v>
      </c>
      <c r="BH81" s="329">
        <v>0</v>
      </c>
      <c r="BI81" s="329">
        <v>544500</v>
      </c>
      <c r="BJ81" s="314">
        <f>SUM(BC81:BI81)</f>
        <v>10438809</v>
      </c>
      <c r="BK81" s="40" t="s">
        <v>13413</v>
      </c>
      <c r="BL81" s="320">
        <v>44</v>
      </c>
      <c r="BM81" s="320">
        <v>2.5</v>
      </c>
      <c r="BN81" s="320">
        <v>3.1</v>
      </c>
      <c r="BO81" s="40" t="s">
        <v>13444</v>
      </c>
      <c r="BP81" s="321">
        <v>369</v>
      </c>
      <c r="BQ81" s="314">
        <v>36</v>
      </c>
      <c r="BR81" s="314">
        <v>111</v>
      </c>
      <c r="BS81" s="314" t="s">
        <v>20631</v>
      </c>
      <c r="BT81" s="312">
        <v>458</v>
      </c>
      <c r="BU81" s="343">
        <v>44</v>
      </c>
      <c r="BV81" s="343">
        <v>2.4</v>
      </c>
      <c r="BW81" s="343">
        <v>3</v>
      </c>
      <c r="BX81" s="325" t="s">
        <v>20632</v>
      </c>
    </row>
    <row r="82" spans="1:76" ht="15.75" customHeight="1">
      <c r="A82" s="373" t="s">
        <v>11533</v>
      </c>
      <c r="B82" s="311" t="s">
        <v>2714</v>
      </c>
      <c r="C82" s="155" t="s">
        <v>55</v>
      </c>
      <c r="D82" s="312" t="s">
        <v>20474</v>
      </c>
      <c r="E82" s="341" t="s">
        <v>11546</v>
      </c>
      <c r="F82" s="314">
        <v>86</v>
      </c>
      <c r="G82" s="316">
        <f>COUNTA(ME_44_D)</f>
        <v>45</v>
      </c>
      <c r="H82" s="316">
        <f>COUNTIF(ME_44_G,"TT")</f>
        <v>33</v>
      </c>
      <c r="I82" s="316">
        <f t="shared" si="49"/>
        <v>12</v>
      </c>
      <c r="J82" s="316">
        <f>COUNTA(ME_44_D)</f>
        <v>45</v>
      </c>
      <c r="K82" s="316">
        <f>COUNTIF(ME_44_G,"TT")</f>
        <v>33</v>
      </c>
      <c r="L82" s="316">
        <f t="shared" si="50"/>
        <v>12</v>
      </c>
      <c r="M82" s="316">
        <f>COUNTIFS('Mechanical Engineering Faculty'!$F$3263:$F$3307,M$1)</f>
        <v>14</v>
      </c>
      <c r="N82" s="316">
        <f>COUNTIFS('Mechanical Engineering Faculty'!$F$3263:$F$3307,N$1)</f>
        <v>9</v>
      </c>
      <c r="O82" s="316">
        <f>COUNTIFS('Mechanical Engineering Faculty'!$F$3263:$F$3307,O$1)</f>
        <v>9</v>
      </c>
      <c r="P82" s="316">
        <f>COUNTIFS(ME_44_G,"TT", ME_44_D,P$1)</f>
        <v>14</v>
      </c>
      <c r="Q82" s="316">
        <f>COUNTIFS(ME_44_G,"TT", ME_44_D,Q$1)</f>
        <v>9</v>
      </c>
      <c r="R82" s="316">
        <f>COUNTIFS(ME_44_G,"TT", ME_44_D,R$1)</f>
        <v>10</v>
      </c>
      <c r="S82" s="316">
        <f>COUNTIF(ME_44_D,S$1)</f>
        <v>1</v>
      </c>
      <c r="T82" s="316">
        <f t="shared" si="59"/>
        <v>0</v>
      </c>
      <c r="U82" s="316">
        <f t="shared" si="60"/>
        <v>0</v>
      </c>
      <c r="V82" s="316">
        <f t="shared" si="61"/>
        <v>1</v>
      </c>
      <c r="W82" s="316">
        <f t="shared" ref="W82:AB82" si="81">COUNTIF(ME_44_D,W$1)</f>
        <v>0</v>
      </c>
      <c r="X82" s="316">
        <f t="shared" si="81"/>
        <v>4</v>
      </c>
      <c r="Y82" s="316">
        <f t="shared" si="81"/>
        <v>2</v>
      </c>
      <c r="Z82" s="316">
        <f t="shared" si="81"/>
        <v>0</v>
      </c>
      <c r="AA82" s="316">
        <f t="shared" si="81"/>
        <v>2</v>
      </c>
      <c r="AB82" s="316">
        <f t="shared" si="81"/>
        <v>3</v>
      </c>
      <c r="AC82" s="315">
        <f>COUNTIF(ME_44_E,AC$1)+COUNTIF(ME_44_E,"E/D")</f>
        <v>0</v>
      </c>
      <c r="AD82" s="315">
        <f>COUNTIF(ME_44_E,AD$1)+COUNTIF(ME_44_E,"E/D")</f>
        <v>0</v>
      </c>
      <c r="AE82" s="318" t="s">
        <v>55</v>
      </c>
      <c r="AF82" s="405" t="s">
        <v>55</v>
      </c>
      <c r="AG82" s="405" t="s">
        <v>55</v>
      </c>
      <c r="AH82" s="405" t="s">
        <v>55</v>
      </c>
      <c r="AI82" s="405" t="s">
        <v>55</v>
      </c>
      <c r="AJ82" s="405" t="s">
        <v>55</v>
      </c>
      <c r="AK82" s="405" t="s">
        <v>55</v>
      </c>
      <c r="AL82" s="318">
        <f t="shared" si="63"/>
        <v>0</v>
      </c>
      <c r="AM82" s="356">
        <v>9116156</v>
      </c>
      <c r="AN82" s="327">
        <v>30003</v>
      </c>
      <c r="AO82" s="327">
        <v>0</v>
      </c>
      <c r="AP82" s="327">
        <v>1926222</v>
      </c>
      <c r="AQ82" s="327">
        <v>0</v>
      </c>
      <c r="AR82" s="327">
        <v>541709</v>
      </c>
      <c r="AS82" s="327">
        <v>663751</v>
      </c>
      <c r="AT82" s="318">
        <f t="shared" si="64"/>
        <v>12277841</v>
      </c>
      <c r="AU82" s="356">
        <v>11024120</v>
      </c>
      <c r="AV82" s="327">
        <v>12880</v>
      </c>
      <c r="AW82" s="327">
        <v>0</v>
      </c>
      <c r="AX82" s="327">
        <v>1993496</v>
      </c>
      <c r="AY82" s="327">
        <v>0</v>
      </c>
      <c r="AZ82" s="327">
        <v>341941</v>
      </c>
      <c r="BA82" s="327">
        <v>946811</v>
      </c>
      <c r="BB82" s="319">
        <f t="shared" si="65"/>
        <v>14319248</v>
      </c>
      <c r="BC82" s="328">
        <v>11976339</v>
      </c>
      <c r="BD82" s="329">
        <v>14754</v>
      </c>
      <c r="BE82" s="329">
        <v>0</v>
      </c>
      <c r="BF82" s="329">
        <v>2728716</v>
      </c>
      <c r="BG82" s="329">
        <v>17579</v>
      </c>
      <c r="BH82" s="329">
        <v>288137</v>
      </c>
      <c r="BI82" s="329">
        <v>653865</v>
      </c>
      <c r="BJ82" s="314">
        <f>SUM(BC82:BI82)</f>
        <v>15679390</v>
      </c>
      <c r="BK82" s="40" t="s">
        <v>8415</v>
      </c>
      <c r="BL82" s="320">
        <v>59</v>
      </c>
      <c r="BM82" s="320">
        <v>2.6</v>
      </c>
      <c r="BN82" s="320">
        <v>3.1</v>
      </c>
      <c r="BO82" s="40" t="s">
        <v>11583</v>
      </c>
      <c r="BP82" s="321">
        <v>715</v>
      </c>
      <c r="BQ82" s="314">
        <v>68</v>
      </c>
      <c r="BR82" s="314">
        <v>57</v>
      </c>
      <c r="BS82" s="314" t="s">
        <v>20600</v>
      </c>
      <c r="BT82" s="312">
        <v>739</v>
      </c>
      <c r="BU82" s="343">
        <v>58</v>
      </c>
      <c r="BV82" s="343">
        <v>2.7</v>
      </c>
      <c r="BW82" s="343">
        <v>3.2</v>
      </c>
      <c r="BX82" s="325" t="s">
        <v>20601</v>
      </c>
    </row>
    <row r="83" spans="1:76" ht="15.75" customHeight="1">
      <c r="A83" s="373" t="s">
        <v>20606</v>
      </c>
      <c r="B83" s="311" t="s">
        <v>11844</v>
      </c>
      <c r="C83" s="155">
        <v>164</v>
      </c>
      <c r="D83" s="312">
        <v>164</v>
      </c>
      <c r="E83" s="40" t="s">
        <v>11546</v>
      </c>
      <c r="F83" s="314">
        <v>86</v>
      </c>
      <c r="G83" s="316">
        <f>COUNTA(ME_47_D)</f>
        <v>28</v>
      </c>
      <c r="H83" s="316">
        <f>COUNTIF(ME_47_G,"TT")</f>
        <v>24</v>
      </c>
      <c r="I83" s="316">
        <f t="shared" si="49"/>
        <v>4</v>
      </c>
      <c r="J83" s="316">
        <f>COUNTA(ME_47_D)</f>
        <v>28</v>
      </c>
      <c r="K83" s="316">
        <f>COUNTIF(ME_47_G,"TT")</f>
        <v>24</v>
      </c>
      <c r="L83" s="316">
        <f t="shared" si="50"/>
        <v>4</v>
      </c>
      <c r="M83" s="316">
        <f>COUNTIFS('Mechanical Engineering Faculty'!$F$3367:$F$3394,M$1)</f>
        <v>13</v>
      </c>
      <c r="N83" s="316">
        <f>COUNTIFS('Mechanical Engineering Faculty'!$F$3367:$F$3394,N$1)</f>
        <v>4</v>
      </c>
      <c r="O83" s="316">
        <f>COUNTIFS('Mechanical Engineering Faculty'!$F$3367:$F$3394,O$1)</f>
        <v>7</v>
      </c>
      <c r="P83" s="316">
        <f>COUNTIFS(ME_47_G,"TT", ME_47_D,P$1)</f>
        <v>13</v>
      </c>
      <c r="Q83" s="316">
        <f>COUNTIFS(ME_47_G,"TT", ME_47_D,Q$1)</f>
        <v>6</v>
      </c>
      <c r="R83" s="316">
        <f>COUNTIFS(ME_47_G,"TT", ME_47_D,R$1)</f>
        <v>5</v>
      </c>
      <c r="S83" s="316">
        <f>COUNTIF(ME_47_D,S$1)</f>
        <v>0</v>
      </c>
      <c r="T83" s="316">
        <f t="shared" si="59"/>
        <v>0</v>
      </c>
      <c r="U83" s="316">
        <f t="shared" si="60"/>
        <v>2</v>
      </c>
      <c r="V83" s="316">
        <f t="shared" si="61"/>
        <v>-2</v>
      </c>
      <c r="W83" s="316">
        <f t="shared" ref="W83:AB83" si="82">COUNTIF(ME_47_D,W$1)</f>
        <v>2</v>
      </c>
      <c r="X83" s="316">
        <f t="shared" si="82"/>
        <v>2</v>
      </c>
      <c r="Y83" s="316">
        <f t="shared" si="82"/>
        <v>0</v>
      </c>
      <c r="Z83" s="316">
        <f t="shared" si="82"/>
        <v>0</v>
      </c>
      <c r="AA83" s="316">
        <f t="shared" si="82"/>
        <v>0</v>
      </c>
      <c r="AB83" s="316">
        <f t="shared" si="82"/>
        <v>0</v>
      </c>
      <c r="AC83" s="315">
        <f>COUNTIF(ME_47_E,AC$1)+COUNTIF(ME_47_E,"E/D")</f>
        <v>0</v>
      </c>
      <c r="AD83" s="315">
        <f>COUNTIF(ME_47_E,AD$1)+COUNTIF(ME_47_E,"E/D")</f>
        <v>1</v>
      </c>
      <c r="AE83" s="377" t="s">
        <v>55</v>
      </c>
      <c r="AF83" s="406" t="s">
        <v>55</v>
      </c>
      <c r="AG83" s="406" t="s">
        <v>55</v>
      </c>
      <c r="AH83" s="406" t="s">
        <v>55</v>
      </c>
      <c r="AI83" s="406" t="s">
        <v>55</v>
      </c>
      <c r="AJ83" s="406" t="s">
        <v>55</v>
      </c>
      <c r="AK83" s="406" t="s">
        <v>55</v>
      </c>
      <c r="AL83" s="318">
        <f t="shared" si="63"/>
        <v>0</v>
      </c>
      <c r="AM83" s="378" t="s">
        <v>55</v>
      </c>
      <c r="AN83" s="379">
        <v>65606</v>
      </c>
      <c r="AO83" s="379">
        <v>0</v>
      </c>
      <c r="AP83" s="379">
        <v>2938479</v>
      </c>
      <c r="AQ83" s="379">
        <v>0</v>
      </c>
      <c r="AR83" s="379">
        <v>261074</v>
      </c>
      <c r="AS83" s="379">
        <v>143861</v>
      </c>
      <c r="AT83" s="318">
        <f t="shared" si="64"/>
        <v>3409020</v>
      </c>
      <c r="AU83" s="377" t="s">
        <v>55</v>
      </c>
      <c r="AV83" s="406" t="s">
        <v>55</v>
      </c>
      <c r="AW83" s="406" t="s">
        <v>55</v>
      </c>
      <c r="AX83" s="406" t="s">
        <v>55</v>
      </c>
      <c r="AY83" s="406" t="s">
        <v>55</v>
      </c>
      <c r="AZ83" s="406" t="s">
        <v>55</v>
      </c>
      <c r="BA83" s="409" t="s">
        <v>55</v>
      </c>
      <c r="BB83" s="319">
        <f t="shared" si="65"/>
        <v>0</v>
      </c>
      <c r="BC83" s="411" t="s">
        <v>55</v>
      </c>
      <c r="BD83" s="413" t="s">
        <v>55</v>
      </c>
      <c r="BE83" s="413" t="s">
        <v>55</v>
      </c>
      <c r="BF83" s="413" t="s">
        <v>55</v>
      </c>
      <c r="BG83" s="413" t="s">
        <v>55</v>
      </c>
      <c r="BH83" s="413" t="s">
        <v>55</v>
      </c>
      <c r="BI83" s="413" t="s">
        <v>55</v>
      </c>
      <c r="BJ83" s="332" t="s">
        <v>55</v>
      </c>
      <c r="BK83" s="40" t="s">
        <v>11857</v>
      </c>
      <c r="BL83" s="320">
        <v>45</v>
      </c>
      <c r="BM83" s="320">
        <v>2.6</v>
      </c>
      <c r="BN83" s="320">
        <v>3.3</v>
      </c>
      <c r="BO83" s="40" t="s">
        <v>11884</v>
      </c>
      <c r="BP83" s="321">
        <v>1288</v>
      </c>
      <c r="BQ83" s="344"/>
      <c r="BR83" s="314">
        <v>102</v>
      </c>
      <c r="BS83" s="314" t="s">
        <v>20607</v>
      </c>
      <c r="BT83" s="339">
        <v>1286</v>
      </c>
      <c r="BU83" s="343">
        <v>47</v>
      </c>
      <c r="BV83" s="343">
        <v>2.5</v>
      </c>
      <c r="BW83" s="343">
        <v>3.3</v>
      </c>
      <c r="BX83" s="325" t="s">
        <v>20608</v>
      </c>
    </row>
    <row r="84" spans="1:76" ht="15.75" customHeight="1">
      <c r="A84" s="373" t="s">
        <v>13296</v>
      </c>
      <c r="B84" s="311" t="s">
        <v>3888</v>
      </c>
      <c r="C84" s="155">
        <v>163</v>
      </c>
      <c r="D84" s="312">
        <v>163</v>
      </c>
      <c r="E84" s="40" t="s">
        <v>12553</v>
      </c>
      <c r="F84" s="314">
        <v>86</v>
      </c>
      <c r="G84" s="316">
        <f>COUNTA(ME_58_D)</f>
        <v>26</v>
      </c>
      <c r="H84" s="316">
        <f>COUNTIF(ME_58_G,"TT")</f>
        <v>24</v>
      </c>
      <c r="I84" s="316">
        <f t="shared" si="49"/>
        <v>2</v>
      </c>
      <c r="J84" s="316">
        <f>COUNTA(ME_58_D)</f>
        <v>26</v>
      </c>
      <c r="K84" s="316">
        <f>COUNTIF(ME_58_G,"TT")</f>
        <v>24</v>
      </c>
      <c r="L84" s="316">
        <f t="shared" si="50"/>
        <v>2</v>
      </c>
      <c r="M84" s="316">
        <f>COUNTIFS('Mechanical Engineering Faculty'!$F$3759:$F$3784,M$1)</f>
        <v>11</v>
      </c>
      <c r="N84" s="316">
        <f>COUNTIFS('Mechanical Engineering Faculty'!$F$3759:$F$3784,N$1)</f>
        <v>6</v>
      </c>
      <c r="O84" s="316">
        <f>COUNTIFS('Mechanical Engineering Faculty'!$F$3759:$F$3784,O$1)</f>
        <v>7</v>
      </c>
      <c r="P84" s="316">
        <f>COUNTIFS(ME_58_G,"TT", ME_58_D,P$1)</f>
        <v>11</v>
      </c>
      <c r="Q84" s="316">
        <f>COUNTIFS(ME_58_G,"TT", ME_58_D,Q$1)</f>
        <v>6</v>
      </c>
      <c r="R84" s="316">
        <f>COUNTIFS(ME_58_G,"TT", ME_58_D,R$1)</f>
        <v>7</v>
      </c>
      <c r="S84" s="316">
        <f>COUNTIF(ME_58_D,S$1)</f>
        <v>0</v>
      </c>
      <c r="T84" s="316">
        <f t="shared" si="59"/>
        <v>0</v>
      </c>
      <c r="U84" s="316">
        <f t="shared" si="60"/>
        <v>0</v>
      </c>
      <c r="V84" s="316">
        <f t="shared" si="61"/>
        <v>0</v>
      </c>
      <c r="W84" s="316">
        <f t="shared" ref="W84:AB84" si="83">COUNTIF(ME_58_D,W$1)</f>
        <v>0</v>
      </c>
      <c r="X84" s="316">
        <f t="shared" si="83"/>
        <v>1</v>
      </c>
      <c r="Y84" s="316">
        <f t="shared" si="83"/>
        <v>1</v>
      </c>
      <c r="Z84" s="316">
        <f t="shared" si="83"/>
        <v>0</v>
      </c>
      <c r="AA84" s="316">
        <f t="shared" si="83"/>
        <v>0</v>
      </c>
      <c r="AB84" s="316">
        <f t="shared" si="83"/>
        <v>0</v>
      </c>
      <c r="AC84" s="315">
        <f>COUNTIF(ME_58_E,AC$1)+COUNTIF(ME_58_E,"E/D")</f>
        <v>2</v>
      </c>
      <c r="AD84" s="315">
        <f>COUNTIF(ME_58_E,AD$1)+COUNTIF(ME_58_E,"E/D")</f>
        <v>1</v>
      </c>
      <c r="AE84" s="378">
        <v>2259801</v>
      </c>
      <c r="AF84" s="379">
        <v>10659</v>
      </c>
      <c r="AG84" s="379">
        <v>3735</v>
      </c>
      <c r="AH84" s="379">
        <v>336254</v>
      </c>
      <c r="AI84" s="379">
        <v>0</v>
      </c>
      <c r="AJ84" s="379">
        <v>335768</v>
      </c>
      <c r="AK84" s="379">
        <v>154514</v>
      </c>
      <c r="AL84" s="318">
        <f t="shared" si="63"/>
        <v>3100731</v>
      </c>
      <c r="AM84" s="378">
        <v>2603445</v>
      </c>
      <c r="AN84" s="379">
        <v>0</v>
      </c>
      <c r="AO84" s="379">
        <v>0</v>
      </c>
      <c r="AP84" s="379">
        <v>898800</v>
      </c>
      <c r="AQ84" s="379">
        <v>0</v>
      </c>
      <c r="AR84" s="379">
        <v>130091</v>
      </c>
      <c r="AS84" s="379">
        <v>201877</v>
      </c>
      <c r="AT84" s="318">
        <f t="shared" si="64"/>
        <v>3834213</v>
      </c>
      <c r="AU84" s="381">
        <v>8319795</v>
      </c>
      <c r="AV84" s="382"/>
      <c r="AW84" s="382">
        <v>20803</v>
      </c>
      <c r="AX84" s="382">
        <v>3450819</v>
      </c>
      <c r="AY84" s="382">
        <v>0</v>
      </c>
      <c r="AZ84" s="382">
        <v>3356369</v>
      </c>
      <c r="BA84" s="382">
        <v>1446793</v>
      </c>
      <c r="BB84" s="319">
        <f t="shared" si="65"/>
        <v>16594579</v>
      </c>
      <c r="BC84" s="328">
        <v>2279577</v>
      </c>
      <c r="BD84" s="329">
        <v>0</v>
      </c>
      <c r="BE84" s="329">
        <v>0</v>
      </c>
      <c r="BF84" s="329">
        <v>1411749</v>
      </c>
      <c r="BG84" s="329">
        <v>0</v>
      </c>
      <c r="BH84" s="329">
        <v>30080</v>
      </c>
      <c r="BI84" s="329">
        <v>315032</v>
      </c>
      <c r="BJ84" s="314">
        <f>SUM(BC84:BI84)</f>
        <v>4036438</v>
      </c>
      <c r="BK84" s="40" t="s">
        <v>13312</v>
      </c>
      <c r="BL84" s="320">
        <v>50</v>
      </c>
      <c r="BM84" s="320">
        <v>2.6</v>
      </c>
      <c r="BN84" s="320">
        <v>2.8</v>
      </c>
      <c r="BO84" s="40" t="s">
        <v>13344</v>
      </c>
      <c r="BP84" s="321">
        <v>973</v>
      </c>
      <c r="BQ84" s="344"/>
      <c r="BR84" s="314">
        <v>83</v>
      </c>
      <c r="BS84" s="314" t="s">
        <v>20629</v>
      </c>
      <c r="BT84" s="312">
        <v>946</v>
      </c>
      <c r="BU84" s="343">
        <v>51</v>
      </c>
      <c r="BV84" s="343">
        <v>2.6</v>
      </c>
      <c r="BW84" s="343">
        <v>2.8</v>
      </c>
      <c r="BX84" s="325" t="s">
        <v>20630</v>
      </c>
    </row>
    <row r="85" spans="1:76" ht="15.75" customHeight="1">
      <c r="A85" s="372" t="s">
        <v>13639</v>
      </c>
      <c r="B85" s="311" t="s">
        <v>13644</v>
      </c>
      <c r="C85" s="155">
        <v>161</v>
      </c>
      <c r="D85" s="312">
        <v>161</v>
      </c>
      <c r="E85" s="40" t="s">
        <v>13637</v>
      </c>
      <c r="F85" s="314">
        <v>86</v>
      </c>
      <c r="G85" s="316">
        <f>COUNTA(ME_61_D)</f>
        <v>47</v>
      </c>
      <c r="H85" s="316">
        <f>COUNTIF(ME_61_G,"TT")</f>
        <v>38</v>
      </c>
      <c r="I85" s="316">
        <f t="shared" si="49"/>
        <v>9</v>
      </c>
      <c r="J85" s="316">
        <f>COUNTA(ME_61_D)</f>
        <v>47</v>
      </c>
      <c r="K85" s="316">
        <f>COUNTIF(ME_61_G,"TT")</f>
        <v>38</v>
      </c>
      <c r="L85" s="316">
        <f t="shared" si="50"/>
        <v>9</v>
      </c>
      <c r="M85" s="316">
        <f>COUNTIFS('Mechanical Engineering Faculty'!$F$3873:$F$3919,M$1)</f>
        <v>21</v>
      </c>
      <c r="N85" s="316">
        <f>COUNTIFS('Mechanical Engineering Faculty'!$F$3873:$F$3919,N$1)</f>
        <v>9</v>
      </c>
      <c r="O85" s="316">
        <f>COUNTIFS('Mechanical Engineering Faculty'!$F$3873:$F$3919,O$1)</f>
        <v>8</v>
      </c>
      <c r="P85" s="316">
        <f>COUNTIFS(ME_61_G,"TT", ME_61_D,P$1)</f>
        <v>21</v>
      </c>
      <c r="Q85" s="316">
        <f>COUNTIFS(ME_61_G,"TT", ME_61_D,Q$1)</f>
        <v>9</v>
      </c>
      <c r="R85" s="316">
        <f>COUNTIFS(ME_61_G,"TT", ME_61_D,R$1)</f>
        <v>8</v>
      </c>
      <c r="S85" s="316">
        <f>COUNTIF(ME_61_D,S$1)</f>
        <v>4</v>
      </c>
      <c r="T85" s="316">
        <f t="shared" si="59"/>
        <v>0</v>
      </c>
      <c r="U85" s="316">
        <f t="shared" si="60"/>
        <v>0</v>
      </c>
      <c r="V85" s="316">
        <f t="shared" si="61"/>
        <v>0</v>
      </c>
      <c r="W85" s="316">
        <f t="shared" ref="W85:AB85" si="84">COUNTIF(ME_61_D,W$1)</f>
        <v>4</v>
      </c>
      <c r="X85" s="316">
        <f t="shared" si="84"/>
        <v>0</v>
      </c>
      <c r="Y85" s="316">
        <f t="shared" si="84"/>
        <v>0</v>
      </c>
      <c r="Z85" s="316">
        <f t="shared" si="84"/>
        <v>0</v>
      </c>
      <c r="AA85" s="316">
        <f t="shared" si="84"/>
        <v>0</v>
      </c>
      <c r="AB85" s="316">
        <f t="shared" si="84"/>
        <v>1</v>
      </c>
      <c r="AC85" s="315">
        <f>COUNTIF(ME_61_E,AC$1)+COUNTIF(ME_61_E,"E/D")</f>
        <v>0</v>
      </c>
      <c r="AD85" s="315">
        <f>COUNTIF(ME_61_E,AD$1)+COUNTIF(ME_61_E,"E/D")</f>
        <v>0</v>
      </c>
      <c r="AE85" s="378">
        <v>3075391</v>
      </c>
      <c r="AF85" s="379">
        <v>0</v>
      </c>
      <c r="AG85" s="379">
        <v>0</v>
      </c>
      <c r="AH85" s="379">
        <v>0</v>
      </c>
      <c r="AI85" s="379">
        <v>0</v>
      </c>
      <c r="AJ85" s="379">
        <v>621466</v>
      </c>
      <c r="AK85" s="379">
        <v>3336608</v>
      </c>
      <c r="AL85" s="318">
        <f t="shared" si="63"/>
        <v>7033465</v>
      </c>
      <c r="AM85" s="378">
        <v>2977690</v>
      </c>
      <c r="AN85" s="379">
        <v>0</v>
      </c>
      <c r="AO85" s="379">
        <v>107626</v>
      </c>
      <c r="AP85" s="379">
        <v>0</v>
      </c>
      <c r="AQ85" s="379">
        <v>1525964</v>
      </c>
      <c r="AR85" s="379">
        <v>1000605</v>
      </c>
      <c r="AS85" s="379">
        <v>1955415</v>
      </c>
      <c r="AT85" s="318">
        <f t="shared" si="64"/>
        <v>7567300</v>
      </c>
      <c r="AU85" s="377" t="s">
        <v>55</v>
      </c>
      <c r="AV85" s="406" t="s">
        <v>55</v>
      </c>
      <c r="AW85" s="406" t="s">
        <v>55</v>
      </c>
      <c r="AX85" s="406" t="s">
        <v>55</v>
      </c>
      <c r="AY85" s="406" t="s">
        <v>55</v>
      </c>
      <c r="AZ85" s="406" t="s">
        <v>55</v>
      </c>
      <c r="BA85" s="409" t="s">
        <v>55</v>
      </c>
      <c r="BB85" s="319">
        <f t="shared" si="65"/>
        <v>0</v>
      </c>
      <c r="BC85" s="411" t="s">
        <v>55</v>
      </c>
      <c r="BD85" s="413" t="s">
        <v>55</v>
      </c>
      <c r="BE85" s="413" t="s">
        <v>55</v>
      </c>
      <c r="BF85" s="413" t="s">
        <v>55</v>
      </c>
      <c r="BG85" s="413" t="s">
        <v>55</v>
      </c>
      <c r="BH85" s="413" t="s">
        <v>55</v>
      </c>
      <c r="BI85" s="413" t="s">
        <v>55</v>
      </c>
      <c r="BJ85" s="332" t="s">
        <v>55</v>
      </c>
      <c r="BK85" s="40" t="s">
        <v>9775</v>
      </c>
      <c r="BL85" s="320">
        <v>55</v>
      </c>
      <c r="BM85" s="320">
        <v>2.5</v>
      </c>
      <c r="BN85" s="320">
        <v>3.2</v>
      </c>
      <c r="BO85" s="40" t="s">
        <v>13689</v>
      </c>
      <c r="BP85" s="321">
        <v>3211</v>
      </c>
      <c r="BQ85" s="314">
        <v>62</v>
      </c>
      <c r="BR85" s="314">
        <v>88</v>
      </c>
      <c r="BS85" s="314" t="s">
        <v>20635</v>
      </c>
      <c r="BT85" s="339">
        <v>2980</v>
      </c>
      <c r="BU85" s="343">
        <v>50</v>
      </c>
      <c r="BV85" s="343">
        <v>2.4</v>
      </c>
      <c r="BW85" s="343">
        <v>3.2</v>
      </c>
      <c r="BX85" s="325" t="s">
        <v>20636</v>
      </c>
    </row>
    <row r="86" spans="1:76" ht="15.75" customHeight="1">
      <c r="A86" s="4" t="s">
        <v>13915</v>
      </c>
      <c r="B86" s="311" t="s">
        <v>13920</v>
      </c>
      <c r="C86" s="155">
        <v>161</v>
      </c>
      <c r="D86" s="312">
        <v>159</v>
      </c>
      <c r="E86" s="40" t="s">
        <v>13637</v>
      </c>
      <c r="F86" s="314">
        <v>86</v>
      </c>
      <c r="G86" s="316">
        <f>COUNTA(ME_63_D)</f>
        <v>45</v>
      </c>
      <c r="H86" s="316">
        <f>COUNTIF(ME_63_G,"TT")</f>
        <v>32</v>
      </c>
      <c r="I86" s="316">
        <f t="shared" si="49"/>
        <v>13</v>
      </c>
      <c r="J86" s="316">
        <f>COUNTA(ME_63_D)</f>
        <v>45</v>
      </c>
      <c r="K86" s="316">
        <f>COUNTIF(ME_63_G,"TT")</f>
        <v>32</v>
      </c>
      <c r="L86" s="316">
        <f t="shared" si="50"/>
        <v>13</v>
      </c>
      <c r="M86" s="316">
        <f>COUNTIFS('Mechanical Engineering Faculty'!$F$3946:$F$3990,M$1)</f>
        <v>14</v>
      </c>
      <c r="N86" s="316">
        <f>COUNTIFS('Mechanical Engineering Faculty'!$F$3946:$F$3990,N$1)</f>
        <v>13</v>
      </c>
      <c r="O86" s="316">
        <f>COUNTIFS('Mechanical Engineering Faculty'!$F$3946:$F$3990,O$1)</f>
        <v>11</v>
      </c>
      <c r="P86" s="316">
        <f>COUNTIFS(ME_63_G,"TT", ME_63_D,P$1)</f>
        <v>11</v>
      </c>
      <c r="Q86" s="316">
        <f>COUNTIFS(ME_63_G,"TT", ME_63_D,Q$1)</f>
        <v>10</v>
      </c>
      <c r="R86" s="316">
        <f>COUNTIFS(ME_63_G,"TT", ME_63_D,R$1)</f>
        <v>10</v>
      </c>
      <c r="S86" s="316">
        <f>COUNTIF(ME_63_D,S$1)</f>
        <v>6</v>
      </c>
      <c r="T86" s="316">
        <f t="shared" si="59"/>
        <v>-3</v>
      </c>
      <c r="U86" s="316">
        <f t="shared" si="60"/>
        <v>-3</v>
      </c>
      <c r="V86" s="316">
        <f t="shared" si="61"/>
        <v>-1</v>
      </c>
      <c r="W86" s="316">
        <f t="shared" ref="W86:AB86" si="85">COUNTIF(ME_63_D,W$1)</f>
        <v>0</v>
      </c>
      <c r="X86" s="316">
        <f t="shared" si="85"/>
        <v>0</v>
      </c>
      <c r="Y86" s="316">
        <f t="shared" si="85"/>
        <v>0</v>
      </c>
      <c r="Z86" s="316">
        <f t="shared" si="85"/>
        <v>0</v>
      </c>
      <c r="AA86" s="316">
        <f t="shared" si="85"/>
        <v>0</v>
      </c>
      <c r="AB86" s="316">
        <f t="shared" si="85"/>
        <v>1</v>
      </c>
      <c r="AC86" s="315">
        <f>COUNTIF(ME_63_E,AC$1)+COUNTIF(ME_63_E,"E/D")</f>
        <v>0</v>
      </c>
      <c r="AD86" s="315">
        <f>COUNTIF(ME_63_E,AD$1)+COUNTIF(ME_63_E,"E/D")</f>
        <v>4</v>
      </c>
      <c r="AE86" s="378">
        <v>0</v>
      </c>
      <c r="AF86" s="379">
        <v>0</v>
      </c>
      <c r="AG86" s="379">
        <v>0</v>
      </c>
      <c r="AH86" s="379">
        <v>5217</v>
      </c>
      <c r="AI86" s="379">
        <v>0</v>
      </c>
      <c r="AJ86" s="379">
        <v>0</v>
      </c>
      <c r="AK86" s="379">
        <v>0</v>
      </c>
      <c r="AL86" s="318">
        <f t="shared" si="63"/>
        <v>5217</v>
      </c>
      <c r="AM86" s="378">
        <v>3297014</v>
      </c>
      <c r="AN86" s="379">
        <v>0</v>
      </c>
      <c r="AO86" s="379">
        <v>0</v>
      </c>
      <c r="AP86" s="379">
        <v>435215</v>
      </c>
      <c r="AQ86" s="379">
        <v>0</v>
      </c>
      <c r="AR86" s="379">
        <v>345251</v>
      </c>
      <c r="AS86" s="379">
        <v>262507</v>
      </c>
      <c r="AT86" s="318">
        <f t="shared" si="64"/>
        <v>4339987</v>
      </c>
      <c r="AU86" s="381">
        <v>5878117</v>
      </c>
      <c r="AV86" s="381">
        <v>0</v>
      </c>
      <c r="AW86" s="381">
        <v>0</v>
      </c>
      <c r="AX86" s="381">
        <v>243919</v>
      </c>
      <c r="AY86" s="381">
        <v>0</v>
      </c>
      <c r="AZ86" s="381">
        <v>0</v>
      </c>
      <c r="BA86" s="381">
        <v>290061</v>
      </c>
      <c r="BB86" s="319">
        <f t="shared" si="65"/>
        <v>6412097</v>
      </c>
      <c r="BC86" s="412">
        <v>6225790</v>
      </c>
      <c r="BD86" s="412">
        <v>0</v>
      </c>
      <c r="BE86" s="412">
        <v>0</v>
      </c>
      <c r="BF86" s="412">
        <v>285226</v>
      </c>
      <c r="BG86" s="412">
        <v>0</v>
      </c>
      <c r="BH86" s="412">
        <v>0</v>
      </c>
      <c r="BI86" s="412">
        <v>425256</v>
      </c>
      <c r="BJ86" s="314">
        <f t="shared" ref="BJ86:BJ93" si="86">SUM(BC86:BI86)</f>
        <v>6936272</v>
      </c>
      <c r="BK86" s="40" t="s">
        <v>10670</v>
      </c>
      <c r="BL86" s="320">
        <v>49</v>
      </c>
      <c r="BM86" s="320">
        <v>2.5</v>
      </c>
      <c r="BN86" s="320">
        <v>3</v>
      </c>
      <c r="BO86" s="341" t="s">
        <v>13958</v>
      </c>
      <c r="BP86" s="155">
        <v>375</v>
      </c>
      <c r="BQ86" s="344"/>
      <c r="BR86" s="314">
        <v>93</v>
      </c>
      <c r="BS86" s="314" t="s">
        <v>20639</v>
      </c>
      <c r="BT86" s="312">
        <v>387</v>
      </c>
      <c r="BU86" s="343">
        <v>49</v>
      </c>
      <c r="BV86" s="343">
        <v>2.5</v>
      </c>
      <c r="BW86" s="343">
        <v>2.9</v>
      </c>
      <c r="BX86" s="325" t="s">
        <v>20640</v>
      </c>
    </row>
    <row r="87" spans="1:76" ht="15.75" customHeight="1">
      <c r="A87" s="4" t="s">
        <v>14215</v>
      </c>
      <c r="B87" s="311" t="s">
        <v>14218</v>
      </c>
      <c r="C87" s="155">
        <v>162</v>
      </c>
      <c r="D87" s="312">
        <v>163</v>
      </c>
      <c r="E87" s="40" t="s">
        <v>13637</v>
      </c>
      <c r="F87" s="314">
        <v>86</v>
      </c>
      <c r="G87" s="316">
        <f>COUNTA(ME_65_D)</f>
        <v>44</v>
      </c>
      <c r="H87" s="316">
        <f>COUNTIF(ME_65_G,"TT")</f>
        <v>30</v>
      </c>
      <c r="I87" s="316">
        <f t="shared" si="49"/>
        <v>14</v>
      </c>
      <c r="J87" s="316">
        <f>COUNTA(ME_65_D)</f>
        <v>44</v>
      </c>
      <c r="K87" s="316">
        <f>COUNTIF(ME_65_G,"TT")</f>
        <v>30</v>
      </c>
      <c r="L87" s="316">
        <f t="shared" si="50"/>
        <v>14</v>
      </c>
      <c r="M87" s="316">
        <f>COUNTIFS('Mechanical Engineering Faculty'!$F$4027:$F$4070,M$1)</f>
        <v>18</v>
      </c>
      <c r="N87" s="316">
        <f>COUNTIFS('Mechanical Engineering Faculty'!$F$4027:$F$4070,N$1)</f>
        <v>4</v>
      </c>
      <c r="O87" s="316">
        <f>COUNTIFS('Mechanical Engineering Faculty'!$F$4027:$F$4070,O$1)</f>
        <v>8</v>
      </c>
      <c r="P87" s="316">
        <f>COUNTIFS(ME_65_G,"TT", ME_65_D,P$1)</f>
        <v>18</v>
      </c>
      <c r="Q87" s="316">
        <f>COUNTIFS(ME_65_G,"TT", ME_65_D,Q$1)</f>
        <v>4</v>
      </c>
      <c r="R87" s="316">
        <f>COUNTIFS(ME_65_G,"TT", ME_65_D,R$1)</f>
        <v>8</v>
      </c>
      <c r="S87" s="316">
        <f>COUNTIF(ME_65_D,S$1)</f>
        <v>1</v>
      </c>
      <c r="T87" s="316">
        <f t="shared" si="59"/>
        <v>0</v>
      </c>
      <c r="U87" s="316">
        <f t="shared" si="60"/>
        <v>0</v>
      </c>
      <c r="V87" s="316">
        <f t="shared" si="61"/>
        <v>0</v>
      </c>
      <c r="W87" s="316">
        <f t="shared" ref="W87:AB87" si="87">COUNTIF(ME_65_D,W$1)</f>
        <v>1</v>
      </c>
      <c r="X87" s="316">
        <f t="shared" si="87"/>
        <v>5</v>
      </c>
      <c r="Y87" s="316">
        <f t="shared" si="87"/>
        <v>7</v>
      </c>
      <c r="Z87" s="316">
        <f t="shared" si="87"/>
        <v>0</v>
      </c>
      <c r="AA87" s="316">
        <f t="shared" si="87"/>
        <v>0</v>
      </c>
      <c r="AB87" s="316">
        <f t="shared" si="87"/>
        <v>0</v>
      </c>
      <c r="AC87" s="315">
        <f>COUNTIF(ME_65_E,AC$1)+COUNTIF(ME_65_E,"E/D")</f>
        <v>2</v>
      </c>
      <c r="AD87" s="315">
        <f>COUNTIF(ME_65_E,AD$1)+COUNTIF(ME_65_E,"E/D")</f>
        <v>2</v>
      </c>
      <c r="AE87" s="378">
        <v>5241000</v>
      </c>
      <c r="AF87" s="379">
        <v>311000</v>
      </c>
      <c r="AG87" s="379"/>
      <c r="AH87" s="379">
        <v>1339000</v>
      </c>
      <c r="AI87" s="379">
        <v>0</v>
      </c>
      <c r="AJ87" s="379">
        <v>266000</v>
      </c>
      <c r="AK87" s="379">
        <v>308000</v>
      </c>
      <c r="AL87" s="318">
        <f t="shared" si="63"/>
        <v>7465000</v>
      </c>
      <c r="AM87" s="378" t="s">
        <v>55</v>
      </c>
      <c r="AN87" s="379">
        <v>0</v>
      </c>
      <c r="AO87" s="379">
        <v>0</v>
      </c>
      <c r="AP87" s="379">
        <v>888000</v>
      </c>
      <c r="AQ87" s="379">
        <v>0</v>
      </c>
      <c r="AR87" s="379">
        <v>0</v>
      </c>
      <c r="AS87" s="379">
        <v>86000</v>
      </c>
      <c r="AT87" s="318">
        <f t="shared" si="64"/>
        <v>974000</v>
      </c>
      <c r="AU87" s="381">
        <v>1803623</v>
      </c>
      <c r="AV87" s="382"/>
      <c r="AW87" s="382"/>
      <c r="AX87" s="382">
        <v>520633</v>
      </c>
      <c r="AY87" s="382">
        <v>0</v>
      </c>
      <c r="AZ87" s="382"/>
      <c r="BA87" s="382">
        <v>398513</v>
      </c>
      <c r="BB87" s="319">
        <f t="shared" si="65"/>
        <v>2722769</v>
      </c>
      <c r="BC87" s="328">
        <v>1952044</v>
      </c>
      <c r="BD87" s="329">
        <v>0</v>
      </c>
      <c r="BE87" s="329">
        <v>0</v>
      </c>
      <c r="BF87" s="329">
        <v>112420</v>
      </c>
      <c r="BG87" s="329">
        <v>15062</v>
      </c>
      <c r="BH87" s="329">
        <v>0</v>
      </c>
      <c r="BI87" s="329">
        <v>903848</v>
      </c>
      <c r="BJ87" s="314">
        <f t="shared" si="86"/>
        <v>2983374</v>
      </c>
      <c r="BK87" s="40" t="s">
        <v>14231</v>
      </c>
      <c r="BL87" s="320">
        <v>38</v>
      </c>
      <c r="BM87" s="320">
        <v>2.1</v>
      </c>
      <c r="BN87" s="320">
        <v>2.7</v>
      </c>
      <c r="BO87" s="341" t="s">
        <v>14252</v>
      </c>
      <c r="BP87" s="155">
        <v>821</v>
      </c>
      <c r="BQ87" s="344"/>
      <c r="BR87" s="314">
        <v>141</v>
      </c>
      <c r="BS87" s="314" t="s">
        <v>20643</v>
      </c>
      <c r="BT87" s="312">
        <v>868</v>
      </c>
      <c r="BU87" s="343">
        <v>38</v>
      </c>
      <c r="BV87" s="343">
        <v>2.2000000000000002</v>
      </c>
      <c r="BW87" s="343">
        <v>2.6</v>
      </c>
      <c r="BX87" s="325" t="s">
        <v>20644</v>
      </c>
    </row>
    <row r="88" spans="1:76" ht="15.75" customHeight="1">
      <c r="A88" s="4" t="s">
        <v>14496</v>
      </c>
      <c r="B88" s="311" t="s">
        <v>2714</v>
      </c>
      <c r="C88" s="155">
        <v>156</v>
      </c>
      <c r="D88" s="312">
        <v>158</v>
      </c>
      <c r="E88" s="40" t="s">
        <v>13637</v>
      </c>
      <c r="F88" s="314">
        <v>86</v>
      </c>
      <c r="G88" s="316">
        <f>COUNTA(ME_67_D)</f>
        <v>47</v>
      </c>
      <c r="H88" s="316">
        <f>COUNTIF(ME_67_G,"TT")</f>
        <v>39</v>
      </c>
      <c r="I88" s="316">
        <f t="shared" si="49"/>
        <v>8</v>
      </c>
      <c r="J88" s="316">
        <f>COUNTA(ME_67_D)</f>
        <v>47</v>
      </c>
      <c r="K88" s="316">
        <f>COUNTIF(ME_67_G,"TT")</f>
        <v>39</v>
      </c>
      <c r="L88" s="316">
        <f t="shared" si="50"/>
        <v>8</v>
      </c>
      <c r="M88" s="316">
        <f>COUNTIFS( 'Mechanical Engineering Faculty'!$F$4107:$F$4153,M$1)</f>
        <v>21</v>
      </c>
      <c r="N88" s="316">
        <f>COUNTIFS( 'Mechanical Engineering Faculty'!$F$4107:$F$4153,N$1)</f>
        <v>9</v>
      </c>
      <c r="O88" s="316">
        <f>COUNTIFS( 'Mechanical Engineering Faculty'!$F$4107:$F$4153,O$1)</f>
        <v>8</v>
      </c>
      <c r="P88" s="316">
        <f>COUNTIFS(ME_67_G,"TT", ME_67_D,P$1)</f>
        <v>21</v>
      </c>
      <c r="Q88" s="316">
        <f>COUNTIFS(ME_67_G,"TT", ME_67_D,Q$1)</f>
        <v>9</v>
      </c>
      <c r="R88" s="316">
        <f>COUNTIFS(ME_67_G,"TT", ME_67_D,R$1)</f>
        <v>8</v>
      </c>
      <c r="S88" s="316">
        <f>COUNTIF(ME_67_D,S$1)</f>
        <v>7</v>
      </c>
      <c r="T88" s="316">
        <f t="shared" si="59"/>
        <v>0</v>
      </c>
      <c r="U88" s="316">
        <f t="shared" si="60"/>
        <v>0</v>
      </c>
      <c r="V88" s="316">
        <f t="shared" si="61"/>
        <v>0</v>
      </c>
      <c r="W88" s="316">
        <f t="shared" ref="W88:AB88" si="88">COUNTIF(ME_67_D,W$1)</f>
        <v>0</v>
      </c>
      <c r="X88" s="316">
        <f t="shared" si="88"/>
        <v>0</v>
      </c>
      <c r="Y88" s="316">
        <f t="shared" si="88"/>
        <v>0</v>
      </c>
      <c r="Z88" s="316">
        <f t="shared" si="88"/>
        <v>0</v>
      </c>
      <c r="AA88" s="316">
        <f t="shared" si="88"/>
        <v>1</v>
      </c>
      <c r="AB88" s="316">
        <f t="shared" si="88"/>
        <v>1</v>
      </c>
      <c r="AC88" s="315">
        <f>COUNTIF(ME_67_E,AC$1)+COUNTIF(ME_67_E,"E/D")</f>
        <v>2</v>
      </c>
      <c r="AD88" s="315">
        <f>COUNTIF(ME_67_E,AD$1)+COUNTIF(ME_67_E,"E/D")</f>
        <v>0</v>
      </c>
      <c r="AE88" s="378">
        <v>5892000</v>
      </c>
      <c r="AF88" s="379">
        <v>0</v>
      </c>
      <c r="AG88" s="379">
        <v>0</v>
      </c>
      <c r="AH88" s="379">
        <v>146000</v>
      </c>
      <c r="AI88" s="379">
        <v>0</v>
      </c>
      <c r="AJ88" s="379">
        <v>901000</v>
      </c>
      <c r="AK88" s="379">
        <v>309000</v>
      </c>
      <c r="AL88" s="318">
        <f t="shared" si="63"/>
        <v>7248000</v>
      </c>
      <c r="AM88" s="378">
        <v>7411000</v>
      </c>
      <c r="AN88" s="379">
        <v>0</v>
      </c>
      <c r="AO88" s="379">
        <v>0</v>
      </c>
      <c r="AP88" s="379">
        <v>993000</v>
      </c>
      <c r="AQ88" s="379">
        <v>0</v>
      </c>
      <c r="AR88" s="379">
        <v>580000</v>
      </c>
      <c r="AS88" s="379">
        <v>344000</v>
      </c>
      <c r="AT88" s="318">
        <f t="shared" si="64"/>
        <v>9328000</v>
      </c>
      <c r="AU88" s="381">
        <v>8962000</v>
      </c>
      <c r="AV88" s="382"/>
      <c r="AW88" s="382"/>
      <c r="AX88" s="382">
        <v>641000</v>
      </c>
      <c r="AY88" s="382"/>
      <c r="AZ88" s="382">
        <v>666000</v>
      </c>
      <c r="BA88" s="382">
        <v>410000</v>
      </c>
      <c r="BB88" s="319">
        <f t="shared" si="65"/>
        <v>10679000</v>
      </c>
      <c r="BC88" s="328">
        <v>11603000</v>
      </c>
      <c r="BD88" s="329">
        <v>0</v>
      </c>
      <c r="BE88" s="329">
        <v>0</v>
      </c>
      <c r="BF88" s="329">
        <v>361000</v>
      </c>
      <c r="BG88" s="329">
        <v>0</v>
      </c>
      <c r="BH88" s="329">
        <v>1380000</v>
      </c>
      <c r="BI88" s="329">
        <v>106000</v>
      </c>
      <c r="BJ88" s="314">
        <f t="shared" si="86"/>
        <v>13450000</v>
      </c>
      <c r="BK88" s="40" t="s">
        <v>11020</v>
      </c>
      <c r="BL88" s="320">
        <v>46</v>
      </c>
      <c r="BM88" s="320">
        <v>2.5</v>
      </c>
      <c r="BN88" s="320">
        <v>3</v>
      </c>
      <c r="BO88" s="341" t="s">
        <v>14545</v>
      </c>
      <c r="BP88" s="155">
        <v>492</v>
      </c>
      <c r="BQ88" s="344"/>
      <c r="BR88" s="314">
        <v>93</v>
      </c>
      <c r="BS88" s="314" t="s">
        <v>20647</v>
      </c>
      <c r="BT88" s="312">
        <v>577</v>
      </c>
      <c r="BU88" s="343">
        <v>49</v>
      </c>
      <c r="BV88" s="343">
        <v>2.5</v>
      </c>
      <c r="BW88" s="343">
        <v>2.9</v>
      </c>
      <c r="BX88" s="325" t="s">
        <v>20648</v>
      </c>
    </row>
    <row r="89" spans="1:76" ht="15.75" customHeight="1">
      <c r="A89" s="4" t="s">
        <v>14683</v>
      </c>
      <c r="B89" s="311" t="s">
        <v>6929</v>
      </c>
      <c r="C89" s="155">
        <v>163</v>
      </c>
      <c r="D89" s="312">
        <v>162</v>
      </c>
      <c r="E89" s="40" t="s">
        <v>14696</v>
      </c>
      <c r="F89" s="314">
        <v>86</v>
      </c>
      <c r="G89" s="316">
        <f>COUNTA(ME_68_D)</f>
        <v>22</v>
      </c>
      <c r="H89" s="316">
        <f>COUNTIF(ME_68_G,"TT")</f>
        <v>18</v>
      </c>
      <c r="I89" s="316">
        <f t="shared" si="49"/>
        <v>4</v>
      </c>
      <c r="J89" s="316">
        <f>COUNTA(ME_68_D)</f>
        <v>22</v>
      </c>
      <c r="K89" s="316">
        <f>COUNTIF(ME_68_G,"TT")</f>
        <v>18</v>
      </c>
      <c r="L89" s="316">
        <f t="shared" si="50"/>
        <v>4</v>
      </c>
      <c r="M89" s="316">
        <f>COUNTIFS('Mechanical Engineering Faculty'!$F$4155:$F$4176,M$1)</f>
        <v>9</v>
      </c>
      <c r="N89" s="316">
        <f>COUNTIFS('Mechanical Engineering Faculty'!$F$4155:$F$4176,N$1)</f>
        <v>4</v>
      </c>
      <c r="O89" s="316">
        <f>COUNTIFS('Mechanical Engineering Faculty'!$F$4155:$F$4176,O$1)</f>
        <v>5</v>
      </c>
      <c r="P89" s="316">
        <f>COUNTIFS(ME_68_G,"TT", ME_68_D,P$1)</f>
        <v>9</v>
      </c>
      <c r="Q89" s="316">
        <f>COUNTIFS(ME_68_G,"TT", ME_68_D,Q$1)</f>
        <v>4</v>
      </c>
      <c r="R89" s="316">
        <f>COUNTIFS(ME_68_G,"TT", ME_68_D,R$1)</f>
        <v>5</v>
      </c>
      <c r="S89" s="316">
        <f>COUNTIF(ME_68_D,S$1)</f>
        <v>3</v>
      </c>
      <c r="T89" s="316">
        <f t="shared" si="59"/>
        <v>0</v>
      </c>
      <c r="U89" s="316">
        <f t="shared" si="60"/>
        <v>0</v>
      </c>
      <c r="V89" s="316">
        <f t="shared" si="61"/>
        <v>0</v>
      </c>
      <c r="W89" s="316">
        <f t="shared" ref="W89:AB89" si="89">COUNTIF(ME_68_D,W$1)</f>
        <v>1</v>
      </c>
      <c r="X89" s="316">
        <f t="shared" si="89"/>
        <v>0</v>
      </c>
      <c r="Y89" s="316">
        <f t="shared" si="89"/>
        <v>0</v>
      </c>
      <c r="Z89" s="316">
        <f t="shared" si="89"/>
        <v>0</v>
      </c>
      <c r="AA89" s="316">
        <f t="shared" si="89"/>
        <v>0</v>
      </c>
      <c r="AB89" s="316">
        <f t="shared" si="89"/>
        <v>0</v>
      </c>
      <c r="AC89" s="315">
        <f>COUNTIF(ME_68_E,AC$1)+COUNTIF(ME_68_E,"E/D")</f>
        <v>2</v>
      </c>
      <c r="AD89" s="315">
        <f>COUNTIF(ME_68_E,AD$1)+COUNTIF(ME_68_E,"E/D")</f>
        <v>2</v>
      </c>
      <c r="AE89" s="378">
        <v>1677921</v>
      </c>
      <c r="AF89" s="379">
        <v>29606</v>
      </c>
      <c r="AG89" s="379"/>
      <c r="AH89" s="379">
        <v>263785</v>
      </c>
      <c r="AI89" s="379"/>
      <c r="AJ89" s="379">
        <v>162351</v>
      </c>
      <c r="AK89" s="379">
        <v>11514</v>
      </c>
      <c r="AL89" s="318">
        <f t="shared" si="63"/>
        <v>2145177</v>
      </c>
      <c r="AM89" s="378">
        <v>1490945</v>
      </c>
      <c r="AN89" s="379">
        <v>53457</v>
      </c>
      <c r="AO89" s="379">
        <v>0</v>
      </c>
      <c r="AP89" s="379">
        <v>179511</v>
      </c>
      <c r="AQ89" s="379">
        <v>0</v>
      </c>
      <c r="AR89" s="379">
        <v>172102</v>
      </c>
      <c r="AS89" s="379">
        <v>43388</v>
      </c>
      <c r="AT89" s="318">
        <f t="shared" si="64"/>
        <v>1939403</v>
      </c>
      <c r="AU89" s="381">
        <v>1911737</v>
      </c>
      <c r="AV89" s="382">
        <v>120844</v>
      </c>
      <c r="AW89" s="382">
        <v>0</v>
      </c>
      <c r="AX89" s="382">
        <v>108016</v>
      </c>
      <c r="AY89" s="382">
        <v>0</v>
      </c>
      <c r="AZ89" s="382">
        <v>167307</v>
      </c>
      <c r="BA89" s="382">
        <v>169337</v>
      </c>
      <c r="BB89" s="319">
        <f t="shared" si="65"/>
        <v>2477241</v>
      </c>
      <c r="BC89" s="328">
        <v>3094192</v>
      </c>
      <c r="BD89" s="329">
        <v>91949</v>
      </c>
      <c r="BE89" s="329">
        <v>0</v>
      </c>
      <c r="BF89" s="329">
        <v>311305</v>
      </c>
      <c r="BG89" s="329">
        <v>0</v>
      </c>
      <c r="BH89" s="329">
        <v>0</v>
      </c>
      <c r="BI89" s="329">
        <v>166638</v>
      </c>
      <c r="BJ89" s="314">
        <f t="shared" si="86"/>
        <v>3664084</v>
      </c>
      <c r="BK89" s="40" t="s">
        <v>13413</v>
      </c>
      <c r="BL89" s="320">
        <v>44</v>
      </c>
      <c r="BM89" s="320">
        <v>2.4</v>
      </c>
      <c r="BN89" s="320">
        <v>3.2</v>
      </c>
      <c r="BO89" s="341" t="s">
        <v>11154</v>
      </c>
      <c r="BP89" s="155">
        <v>1095</v>
      </c>
      <c r="BQ89" s="314">
        <v>36</v>
      </c>
      <c r="BR89" s="314">
        <v>111</v>
      </c>
      <c r="BS89" s="314" t="s">
        <v>20649</v>
      </c>
      <c r="BT89" s="339">
        <v>1282</v>
      </c>
      <c r="BU89" s="343">
        <v>44</v>
      </c>
      <c r="BV89" s="343">
        <v>2.2999999999999998</v>
      </c>
      <c r="BW89" s="343">
        <v>3.2</v>
      </c>
      <c r="BX89" s="325" t="s">
        <v>20650</v>
      </c>
    </row>
    <row r="90" spans="1:76" ht="15.75" customHeight="1">
      <c r="A90" s="4" t="s">
        <v>15440</v>
      </c>
      <c r="B90" s="311" t="s">
        <v>2714</v>
      </c>
      <c r="C90" s="155">
        <v>162</v>
      </c>
      <c r="D90" s="312">
        <v>164</v>
      </c>
      <c r="E90" s="40" t="s">
        <v>14696</v>
      </c>
      <c r="F90" s="314">
        <v>86</v>
      </c>
      <c r="G90" s="316">
        <f>COUNTA(ME_75_D)</f>
        <v>18</v>
      </c>
      <c r="H90" s="316">
        <f>COUNTIF(ME_75_G,"TT")</f>
        <v>18</v>
      </c>
      <c r="I90" s="316">
        <f t="shared" ref="I90:I121" si="90">G90-H90</f>
        <v>0</v>
      </c>
      <c r="J90" s="316">
        <f>COUNTA(ME_75_D)</f>
        <v>18</v>
      </c>
      <c r="K90" s="316">
        <f>COUNTIF(ME_75_G,"TT")</f>
        <v>18</v>
      </c>
      <c r="L90" s="316">
        <f t="shared" ref="L90:L121" si="91">J90-K90</f>
        <v>0</v>
      </c>
      <c r="M90" s="316">
        <f>COUNTIFS('Mechanical Engineering Faculty'!$F$4371:$F$4388,M$1)</f>
        <v>11</v>
      </c>
      <c r="N90" s="316">
        <f>COUNTIFS('Mechanical Engineering Faculty'!$F$4371:$F$4388,N$1)</f>
        <v>6</v>
      </c>
      <c r="O90" s="316">
        <f>COUNTIFS('Mechanical Engineering Faculty'!$F$4371:$F$4388,O$1)</f>
        <v>1</v>
      </c>
      <c r="P90" s="316">
        <f>COUNTIFS(ME_75_G,"TT", ME_75_D,P$1)</f>
        <v>11</v>
      </c>
      <c r="Q90" s="316">
        <f>COUNTIFS(ME_75_G,"TT", ME_75_D,Q$1)</f>
        <v>6</v>
      </c>
      <c r="R90" s="316">
        <f>COUNTIFS(ME_75_G,"TT", ME_75_D,R$1)</f>
        <v>1</v>
      </c>
      <c r="S90" s="316">
        <f>COUNTIF(ME_75_D,S$1)</f>
        <v>0</v>
      </c>
      <c r="T90" s="316">
        <f t="shared" si="59"/>
        <v>0</v>
      </c>
      <c r="U90" s="316">
        <f t="shared" si="60"/>
        <v>0</v>
      </c>
      <c r="V90" s="316">
        <f t="shared" si="61"/>
        <v>0</v>
      </c>
      <c r="W90" s="316">
        <f t="shared" ref="W90:AB90" si="92">COUNTIF(ME_75_D,W$1)</f>
        <v>0</v>
      </c>
      <c r="X90" s="316">
        <f t="shared" si="92"/>
        <v>0</v>
      </c>
      <c r="Y90" s="316">
        <f t="shared" si="92"/>
        <v>0</v>
      </c>
      <c r="Z90" s="316">
        <f t="shared" si="92"/>
        <v>0</v>
      </c>
      <c r="AA90" s="316">
        <f t="shared" si="92"/>
        <v>0</v>
      </c>
      <c r="AB90" s="316">
        <f t="shared" si="92"/>
        <v>0</v>
      </c>
      <c r="AC90" s="315">
        <f>COUNTIF(ME_75_E,AC$1)+COUNTIF(ME_75_E,"E/D")</f>
        <v>4</v>
      </c>
      <c r="AD90" s="315">
        <f>COUNTIF(ME_75_E,AD$1)+COUNTIF(ME_75_E,"E/D")</f>
        <v>4</v>
      </c>
      <c r="AE90" s="378">
        <v>1588299</v>
      </c>
      <c r="AF90" s="379">
        <v>0</v>
      </c>
      <c r="AG90" s="379">
        <v>0</v>
      </c>
      <c r="AH90" s="379">
        <v>141291</v>
      </c>
      <c r="AI90" s="379">
        <v>66419</v>
      </c>
      <c r="AJ90" s="379">
        <v>53233</v>
      </c>
      <c r="AK90" s="379">
        <v>14039</v>
      </c>
      <c r="AL90" s="318">
        <f t="shared" si="63"/>
        <v>1863281</v>
      </c>
      <c r="AM90" s="378">
        <v>786707</v>
      </c>
      <c r="AN90" s="379"/>
      <c r="AO90" s="379"/>
      <c r="AP90" s="379">
        <v>274262</v>
      </c>
      <c r="AQ90" s="379"/>
      <c r="AR90" s="379">
        <v>2527</v>
      </c>
      <c r="AS90" s="379">
        <v>905743</v>
      </c>
      <c r="AT90" s="318">
        <f t="shared" si="64"/>
        <v>1969239</v>
      </c>
      <c r="AU90" s="381">
        <v>2108354</v>
      </c>
      <c r="AV90" s="382"/>
      <c r="AW90" s="382"/>
      <c r="AX90" s="382">
        <v>173667</v>
      </c>
      <c r="AY90" s="382"/>
      <c r="AZ90" s="382">
        <v>24690</v>
      </c>
      <c r="BA90" s="382">
        <v>44252</v>
      </c>
      <c r="BB90" s="319">
        <f t="shared" si="65"/>
        <v>2350963</v>
      </c>
      <c r="BC90" s="328">
        <v>2211000</v>
      </c>
      <c r="BD90" s="329">
        <v>0</v>
      </c>
      <c r="BE90" s="329">
        <v>0</v>
      </c>
      <c r="BF90" s="329">
        <v>289000</v>
      </c>
      <c r="BG90" s="329">
        <v>0</v>
      </c>
      <c r="BH90" s="329">
        <v>5000</v>
      </c>
      <c r="BI90" s="329">
        <v>39000</v>
      </c>
      <c r="BJ90" s="314">
        <f t="shared" si="86"/>
        <v>2544000</v>
      </c>
      <c r="BK90" s="40" t="s">
        <v>12680</v>
      </c>
      <c r="BL90" s="320">
        <v>42</v>
      </c>
      <c r="BM90" s="320">
        <v>2.5</v>
      </c>
      <c r="BN90" s="320">
        <v>3.2</v>
      </c>
      <c r="BO90" s="341" t="s">
        <v>15481</v>
      </c>
      <c r="BP90" s="155">
        <v>427</v>
      </c>
      <c r="BQ90" s="344"/>
      <c r="BR90" s="314">
        <v>124</v>
      </c>
      <c r="BS90" s="314" t="s">
        <v>20664</v>
      </c>
      <c r="BT90" s="340">
        <v>588</v>
      </c>
      <c r="BU90" s="343">
        <v>42</v>
      </c>
      <c r="BV90" s="343">
        <v>2.5</v>
      </c>
      <c r="BW90" s="343">
        <v>3.1</v>
      </c>
      <c r="BX90" s="325" t="s">
        <v>20665</v>
      </c>
    </row>
    <row r="91" spans="1:76" ht="15.75" customHeight="1">
      <c r="A91" s="373" t="s">
        <v>13534</v>
      </c>
      <c r="B91" s="311" t="s">
        <v>2714</v>
      </c>
      <c r="C91" s="155">
        <v>164</v>
      </c>
      <c r="D91" s="312">
        <v>166</v>
      </c>
      <c r="E91" s="40" t="s">
        <v>13408</v>
      </c>
      <c r="F91" s="314">
        <v>96</v>
      </c>
      <c r="G91" s="316">
        <f>COUNTA(ME_60_D)</f>
        <v>32</v>
      </c>
      <c r="H91" s="316">
        <f>COUNTIF(ME_60_G,"TT")</f>
        <v>32</v>
      </c>
      <c r="I91" s="316">
        <f t="shared" si="90"/>
        <v>0</v>
      </c>
      <c r="J91" s="316">
        <f>COUNTA(ME_60_D)</f>
        <v>32</v>
      </c>
      <c r="K91" s="316">
        <f>COUNTIF(ME_60_G,"TT")</f>
        <v>32</v>
      </c>
      <c r="L91" s="316">
        <f t="shared" si="91"/>
        <v>0</v>
      </c>
      <c r="M91" s="316">
        <f>COUNTIFS('Mechanical Engineering Faculty'!$F$3822:$F$3853,M$1)</f>
        <v>7</v>
      </c>
      <c r="N91" s="316">
        <f>COUNTIFS('Mechanical Engineering Faculty'!$F$3822:$F$3853,N$1)</f>
        <v>12</v>
      </c>
      <c r="O91" s="316">
        <f>COUNTIFS('Mechanical Engineering Faculty'!$F$3822:$F$3853,O$1)</f>
        <v>13</v>
      </c>
      <c r="P91" s="316">
        <f>COUNTIFS(ME_60_G,"TT", ME_60_D,P$1)</f>
        <v>7</v>
      </c>
      <c r="Q91" s="316">
        <f>COUNTIFS(ME_60_G,"TT", ME_60_D,Q$1)</f>
        <v>12</v>
      </c>
      <c r="R91" s="316">
        <f>COUNTIFS(ME_60_G,"TT", ME_60_D,R$1)</f>
        <v>13</v>
      </c>
      <c r="S91" s="316">
        <f>COUNTIF(ME_60_D,S$1)</f>
        <v>0</v>
      </c>
      <c r="T91" s="316">
        <f t="shared" si="59"/>
        <v>0</v>
      </c>
      <c r="U91" s="316">
        <f t="shared" si="60"/>
        <v>0</v>
      </c>
      <c r="V91" s="316">
        <f t="shared" si="61"/>
        <v>0</v>
      </c>
      <c r="W91" s="316">
        <f t="shared" ref="W91:AB91" si="93">COUNTIF(ME_60_D,W$1)</f>
        <v>0</v>
      </c>
      <c r="X91" s="316">
        <f t="shared" si="93"/>
        <v>0</v>
      </c>
      <c r="Y91" s="316">
        <f t="shared" si="93"/>
        <v>0</v>
      </c>
      <c r="Z91" s="316">
        <f t="shared" si="93"/>
        <v>0</v>
      </c>
      <c r="AA91" s="316">
        <f t="shared" si="93"/>
        <v>0</v>
      </c>
      <c r="AB91" s="316">
        <f t="shared" si="93"/>
        <v>0</v>
      </c>
      <c r="AC91" s="315">
        <f>COUNTIF(ME_60_E,AC$1)+COUNTIF(ME_60_E,"E/D")</f>
        <v>0</v>
      </c>
      <c r="AD91" s="315">
        <f>COUNTIF(ME_60_E,AD$1)+COUNTIF(ME_60_E,"E/D")</f>
        <v>0</v>
      </c>
      <c r="AE91" s="378">
        <v>3007278</v>
      </c>
      <c r="AF91" s="379"/>
      <c r="AG91" s="379"/>
      <c r="AH91" s="379"/>
      <c r="AI91" s="379">
        <v>0</v>
      </c>
      <c r="AJ91" s="379">
        <v>532979</v>
      </c>
      <c r="AK91" s="379">
        <v>0</v>
      </c>
      <c r="AL91" s="318">
        <f t="shared" si="63"/>
        <v>3540257</v>
      </c>
      <c r="AM91" s="378">
        <v>4896866</v>
      </c>
      <c r="AN91" s="379"/>
      <c r="AO91" s="379"/>
      <c r="AP91" s="379"/>
      <c r="AQ91" s="379">
        <v>0</v>
      </c>
      <c r="AR91" s="379">
        <v>179628</v>
      </c>
      <c r="AS91" s="379">
        <v>0</v>
      </c>
      <c r="AT91" s="318">
        <f t="shared" si="64"/>
        <v>5076494</v>
      </c>
      <c r="AU91" s="381">
        <v>26379769</v>
      </c>
      <c r="AV91" s="382"/>
      <c r="AW91" s="382"/>
      <c r="AX91" s="382">
        <v>277507</v>
      </c>
      <c r="AY91" s="382"/>
      <c r="AZ91" s="382">
        <v>510</v>
      </c>
      <c r="BA91" s="382">
        <v>138199</v>
      </c>
      <c r="BB91" s="319">
        <f t="shared" si="65"/>
        <v>26795985</v>
      </c>
      <c r="BC91" s="412">
        <v>24946328</v>
      </c>
      <c r="BD91" s="412">
        <v>0</v>
      </c>
      <c r="BE91" s="412">
        <v>0</v>
      </c>
      <c r="BF91" s="412">
        <v>307262</v>
      </c>
      <c r="BG91" s="412">
        <v>0</v>
      </c>
      <c r="BH91" s="412">
        <v>0</v>
      </c>
      <c r="BI91" s="412">
        <v>0</v>
      </c>
      <c r="BJ91" s="314">
        <f t="shared" si="86"/>
        <v>25253590</v>
      </c>
      <c r="BK91" s="40" t="s">
        <v>13546</v>
      </c>
      <c r="BL91" s="320">
        <v>47</v>
      </c>
      <c r="BM91" s="320">
        <v>2.5</v>
      </c>
      <c r="BN91" s="320">
        <v>2.8</v>
      </c>
      <c r="BO91" s="40" t="s">
        <v>13573</v>
      </c>
      <c r="BP91" s="321">
        <v>443</v>
      </c>
      <c r="BQ91" s="344"/>
      <c r="BR91" s="314">
        <v>93</v>
      </c>
      <c r="BS91" s="314" t="s">
        <v>20633</v>
      </c>
      <c r="BT91" s="312">
        <v>441</v>
      </c>
      <c r="BU91" s="343">
        <v>49</v>
      </c>
      <c r="BV91" s="343">
        <v>2.5</v>
      </c>
      <c r="BW91" s="343">
        <v>2.8</v>
      </c>
      <c r="BX91" s="325" t="s">
        <v>20634</v>
      </c>
    </row>
    <row r="92" spans="1:76" ht="15.75" customHeight="1">
      <c r="A92" s="4" t="s">
        <v>13829</v>
      </c>
      <c r="B92" s="311" t="s">
        <v>7532</v>
      </c>
      <c r="C92" s="155">
        <v>159</v>
      </c>
      <c r="D92" s="312">
        <v>159</v>
      </c>
      <c r="E92" s="40" t="s">
        <v>13637</v>
      </c>
      <c r="F92" s="314">
        <v>96</v>
      </c>
      <c r="G92" s="316">
        <f>COUNTA(ME_62_D)</f>
        <v>24</v>
      </c>
      <c r="H92" s="316">
        <f>COUNTIF(ME_62_G,"TT")</f>
        <v>19</v>
      </c>
      <c r="I92" s="316">
        <f t="shared" si="90"/>
        <v>5</v>
      </c>
      <c r="J92" s="316">
        <f>COUNTA(ME_62_D)</f>
        <v>24</v>
      </c>
      <c r="K92" s="316">
        <f>COUNTIF(ME_62_G,"TT")</f>
        <v>19</v>
      </c>
      <c r="L92" s="316">
        <f t="shared" si="91"/>
        <v>5</v>
      </c>
      <c r="M92" s="316">
        <f>COUNTIFS('Mechanical Engineering Faculty'!$F$3921:$F$3944,M$1)</f>
        <v>8</v>
      </c>
      <c r="N92" s="316">
        <f>COUNTIFS('Mechanical Engineering Faculty'!$F$3921:$F$3944,N$1)</f>
        <v>7</v>
      </c>
      <c r="O92" s="316">
        <f>COUNTIFS('Mechanical Engineering Faculty'!$F$3921:$F$3944,O$1)</f>
        <v>4</v>
      </c>
      <c r="P92" s="316">
        <f>COUNTIFS(ME_62_G,"TT", ME_62_D,P$1)</f>
        <v>8</v>
      </c>
      <c r="Q92" s="316">
        <f>COUNTIFS(ME_62_G,"TT", ME_62_D,Q$1)</f>
        <v>7</v>
      </c>
      <c r="R92" s="316">
        <f>COUNTIFS(ME_62_G,"TT", ME_62_D,R$1)</f>
        <v>4</v>
      </c>
      <c r="S92" s="316">
        <f>COUNTIF(ME_62_D,S$1)</f>
        <v>3</v>
      </c>
      <c r="T92" s="316">
        <f t="shared" si="59"/>
        <v>0</v>
      </c>
      <c r="U92" s="316">
        <f t="shared" si="60"/>
        <v>0</v>
      </c>
      <c r="V92" s="316">
        <f t="shared" si="61"/>
        <v>0</v>
      </c>
      <c r="W92" s="316">
        <f t="shared" ref="W92:AB92" si="94">COUNTIF(ME_62_D,W$1)</f>
        <v>0</v>
      </c>
      <c r="X92" s="316">
        <f t="shared" si="94"/>
        <v>1</v>
      </c>
      <c r="Y92" s="316">
        <f t="shared" si="94"/>
        <v>1</v>
      </c>
      <c r="Z92" s="316">
        <f t="shared" si="94"/>
        <v>0</v>
      </c>
      <c r="AA92" s="316">
        <f t="shared" si="94"/>
        <v>0</v>
      </c>
      <c r="AB92" s="316">
        <f t="shared" si="94"/>
        <v>0</v>
      </c>
      <c r="AC92" s="315">
        <f>COUNTIF(ME_62_E,AC$1)+COUNTIF(ME_62_E,"E/D")</f>
        <v>1</v>
      </c>
      <c r="AD92" s="315">
        <f>COUNTIF(ME_62_E,AD$1)+COUNTIF(ME_62_E,"E/D")</f>
        <v>0</v>
      </c>
      <c r="AE92" s="378">
        <v>1195868</v>
      </c>
      <c r="AF92" s="379"/>
      <c r="AG92" s="379"/>
      <c r="AH92" s="379"/>
      <c r="AI92" s="379">
        <v>0</v>
      </c>
      <c r="AJ92" s="379">
        <v>210874</v>
      </c>
      <c r="AK92" s="379"/>
      <c r="AL92" s="318">
        <f t="shared" si="63"/>
        <v>1406742</v>
      </c>
      <c r="AM92" s="378">
        <v>36127951</v>
      </c>
      <c r="AN92" s="379"/>
      <c r="AO92" s="379"/>
      <c r="AP92" s="379">
        <v>1195567</v>
      </c>
      <c r="AQ92" s="379"/>
      <c r="AR92" s="379">
        <v>1924</v>
      </c>
      <c r="AS92" s="379">
        <v>34881</v>
      </c>
      <c r="AT92" s="318">
        <f t="shared" si="64"/>
        <v>37360323</v>
      </c>
      <c r="AU92" s="381">
        <v>26379769</v>
      </c>
      <c r="AV92" s="382"/>
      <c r="AW92" s="382"/>
      <c r="AX92" s="382">
        <v>277507</v>
      </c>
      <c r="AY92" s="382"/>
      <c r="AZ92" s="382">
        <v>510</v>
      </c>
      <c r="BA92" s="382">
        <v>138199</v>
      </c>
      <c r="BB92" s="319">
        <f t="shared" si="65"/>
        <v>26795985</v>
      </c>
      <c r="BC92" s="328">
        <v>24946328</v>
      </c>
      <c r="BD92" s="329">
        <v>0</v>
      </c>
      <c r="BE92" s="329">
        <v>0</v>
      </c>
      <c r="BF92" s="329">
        <v>307262</v>
      </c>
      <c r="BG92" s="329">
        <v>0</v>
      </c>
      <c r="BH92" s="329">
        <v>0</v>
      </c>
      <c r="BI92" s="329">
        <v>0</v>
      </c>
      <c r="BJ92" s="314">
        <f t="shared" si="86"/>
        <v>25253590</v>
      </c>
      <c r="BK92" s="40" t="s">
        <v>11200</v>
      </c>
      <c r="BL92" s="320">
        <v>54</v>
      </c>
      <c r="BM92" s="320">
        <v>2.2999999999999998</v>
      </c>
      <c r="BN92" s="320">
        <v>2.8</v>
      </c>
      <c r="BO92" s="341" t="s">
        <v>13870</v>
      </c>
      <c r="BP92" s="155">
        <v>277</v>
      </c>
      <c r="BQ92" s="314">
        <v>68</v>
      </c>
      <c r="BR92" s="314">
        <v>88</v>
      </c>
      <c r="BS92" s="314" t="s">
        <v>20637</v>
      </c>
      <c r="BT92" s="312">
        <v>279</v>
      </c>
      <c r="BU92" s="343">
        <v>50</v>
      </c>
      <c r="BV92" s="343">
        <v>2.4</v>
      </c>
      <c r="BW92" s="343">
        <v>2.8</v>
      </c>
      <c r="BX92" s="325" t="s">
        <v>20638</v>
      </c>
    </row>
    <row r="93" spans="1:76" ht="15.75" customHeight="1">
      <c r="A93" s="4" t="s">
        <v>14083</v>
      </c>
      <c r="B93" s="311" t="s">
        <v>12252</v>
      </c>
      <c r="C93" s="155">
        <v>156</v>
      </c>
      <c r="D93" s="312">
        <v>162</v>
      </c>
      <c r="E93" s="40" t="s">
        <v>13637</v>
      </c>
      <c r="F93" s="314">
        <v>96</v>
      </c>
      <c r="G93" s="316">
        <f>COUNTA(ME_64_D)</f>
        <v>34</v>
      </c>
      <c r="H93" s="316">
        <f>COUNTIF(ME_64_G,"TT")</f>
        <v>30</v>
      </c>
      <c r="I93" s="316">
        <f t="shared" si="90"/>
        <v>4</v>
      </c>
      <c r="J93" s="316">
        <f>COUNTA(ME_64_D)</f>
        <v>34</v>
      </c>
      <c r="K93" s="316">
        <f>COUNTIF(ME_64_G,"TT")</f>
        <v>30</v>
      </c>
      <c r="L93" s="316">
        <f t="shared" si="91"/>
        <v>4</v>
      </c>
      <c r="M93" s="316">
        <f>COUNTIFS('Mechanical Engineering Faculty'!$F$3992:$F$4025,M$1)</f>
        <v>12</v>
      </c>
      <c r="N93" s="316">
        <f>COUNTIFS('Mechanical Engineering Faculty'!$F$3992:$F$4025,N$1)</f>
        <v>6</v>
      </c>
      <c r="O93" s="316">
        <f>COUNTIFS('Mechanical Engineering Faculty'!$F$3992:$F$4025,O$1)</f>
        <v>12</v>
      </c>
      <c r="P93" s="316">
        <f>COUNTIFS(ME_64_G,"TT", ME_64_D,P$1)</f>
        <v>12</v>
      </c>
      <c r="Q93" s="316">
        <f>COUNTIFS(ME_64_G,"TT", ME_64_D,Q$1)</f>
        <v>6</v>
      </c>
      <c r="R93" s="316">
        <f>COUNTIFS(ME_64_G,"TT", ME_64_D,R$1)</f>
        <v>12</v>
      </c>
      <c r="S93" s="316">
        <f>COUNTIF(ME_64_D,S$1)</f>
        <v>2</v>
      </c>
      <c r="T93" s="316">
        <f t="shared" si="59"/>
        <v>0</v>
      </c>
      <c r="U93" s="316">
        <f t="shared" si="60"/>
        <v>0</v>
      </c>
      <c r="V93" s="316">
        <f t="shared" si="61"/>
        <v>0</v>
      </c>
      <c r="W93" s="316">
        <f t="shared" ref="W93:AB93" si="95">COUNTIF(ME_64_D,W$1)</f>
        <v>0</v>
      </c>
      <c r="X93" s="316">
        <f t="shared" si="95"/>
        <v>0</v>
      </c>
      <c r="Y93" s="316">
        <f t="shared" si="95"/>
        <v>0</v>
      </c>
      <c r="Z93" s="316">
        <f t="shared" si="95"/>
        <v>0</v>
      </c>
      <c r="AA93" s="316">
        <f t="shared" si="95"/>
        <v>0</v>
      </c>
      <c r="AB93" s="316">
        <f t="shared" si="95"/>
        <v>2</v>
      </c>
      <c r="AC93" s="315">
        <f>COUNTIF(ME_64_E,AC$1)+COUNTIF(ME_64_E,"E/D")</f>
        <v>1</v>
      </c>
      <c r="AD93" s="315">
        <f>COUNTIF(ME_64_E,AD$1)+COUNTIF(ME_64_E,"E/D")</f>
        <v>7</v>
      </c>
      <c r="AE93" s="378">
        <v>3272156</v>
      </c>
      <c r="AF93" s="379">
        <v>0</v>
      </c>
      <c r="AG93" s="379">
        <v>0</v>
      </c>
      <c r="AH93" s="379">
        <v>487811</v>
      </c>
      <c r="AI93" s="379">
        <v>0</v>
      </c>
      <c r="AJ93" s="379">
        <v>2141338</v>
      </c>
      <c r="AK93" s="379">
        <v>682370</v>
      </c>
      <c r="AL93" s="318">
        <f t="shared" si="63"/>
        <v>6583675</v>
      </c>
      <c r="AM93" s="378">
        <v>2818910</v>
      </c>
      <c r="AN93" s="379"/>
      <c r="AO93" s="379"/>
      <c r="AP93" s="379">
        <v>1066774</v>
      </c>
      <c r="AQ93" s="379">
        <v>0</v>
      </c>
      <c r="AR93" s="379">
        <v>1301915</v>
      </c>
      <c r="AS93" s="379">
        <v>1112557</v>
      </c>
      <c r="AT93" s="318">
        <f t="shared" si="64"/>
        <v>6300156</v>
      </c>
      <c r="AU93" s="381">
        <v>2781587</v>
      </c>
      <c r="AV93" s="382"/>
      <c r="AW93" s="382"/>
      <c r="AX93" s="382">
        <v>940552</v>
      </c>
      <c r="AY93" s="382">
        <v>0</v>
      </c>
      <c r="AZ93" s="382">
        <v>990873</v>
      </c>
      <c r="BA93" s="382">
        <v>902171</v>
      </c>
      <c r="BB93" s="319">
        <f t="shared" si="65"/>
        <v>5615183</v>
      </c>
      <c r="BC93" s="328">
        <v>4618000</v>
      </c>
      <c r="BD93" s="329">
        <v>0</v>
      </c>
      <c r="BE93" s="329">
        <v>0</v>
      </c>
      <c r="BF93" s="329">
        <v>416000</v>
      </c>
      <c r="BG93" s="329">
        <v>0</v>
      </c>
      <c r="BH93" s="329">
        <v>830000</v>
      </c>
      <c r="BI93" s="329">
        <v>82000</v>
      </c>
      <c r="BJ93" s="314">
        <f t="shared" si="86"/>
        <v>5946000</v>
      </c>
      <c r="BK93" s="40" t="s">
        <v>9672</v>
      </c>
      <c r="BL93" s="320">
        <v>48</v>
      </c>
      <c r="BM93" s="320">
        <v>2.6</v>
      </c>
      <c r="BN93" s="320">
        <v>3</v>
      </c>
      <c r="BO93" s="341" t="s">
        <v>14132</v>
      </c>
      <c r="BP93" s="155">
        <v>497</v>
      </c>
      <c r="BQ93" s="344"/>
      <c r="BR93" s="314">
        <v>99</v>
      </c>
      <c r="BS93" s="314" t="s">
        <v>20641</v>
      </c>
      <c r="BT93" s="312">
        <v>510</v>
      </c>
      <c r="BU93" s="343">
        <v>48</v>
      </c>
      <c r="BV93" s="343">
        <v>2.7</v>
      </c>
      <c r="BW93" s="343">
        <v>2.8</v>
      </c>
      <c r="BX93" s="325" t="s">
        <v>20642</v>
      </c>
    </row>
    <row r="94" spans="1:76" ht="15.75" customHeight="1">
      <c r="A94" s="4" t="s">
        <v>14362</v>
      </c>
      <c r="B94" s="311" t="s">
        <v>2714</v>
      </c>
      <c r="C94" s="155">
        <v>166</v>
      </c>
      <c r="D94" s="312">
        <v>166</v>
      </c>
      <c r="E94" s="341" t="s">
        <v>13637</v>
      </c>
      <c r="F94" s="314">
        <v>96</v>
      </c>
      <c r="G94" s="316">
        <f>COUNTA(ME_66_D)</f>
        <v>34</v>
      </c>
      <c r="H94" s="316">
        <f>COUNTIF(ME_66_G,"TT")</f>
        <v>34</v>
      </c>
      <c r="I94" s="316">
        <f t="shared" si="90"/>
        <v>0</v>
      </c>
      <c r="J94" s="316">
        <f>COUNTA(ME_66_D)</f>
        <v>34</v>
      </c>
      <c r="K94" s="316">
        <f>COUNTIF(ME_66_G,"TT")</f>
        <v>34</v>
      </c>
      <c r="L94" s="316">
        <f t="shared" si="91"/>
        <v>0</v>
      </c>
      <c r="M94" s="316">
        <f>COUNTIFS('Mechanical Engineering Faculty'!$F$4072:$F$4105,M$1)</f>
        <v>9</v>
      </c>
      <c r="N94" s="316">
        <f>COUNTIFS('Mechanical Engineering Faculty'!$F$4072:$F$4105,N$1)</f>
        <v>8</v>
      </c>
      <c r="O94" s="316">
        <f>COUNTIFS('Mechanical Engineering Faculty'!$F$4072:$F$4105,O$1)</f>
        <v>17</v>
      </c>
      <c r="P94" s="316">
        <f>COUNTIFS(ME_66_G,"TT", ME_66_D,P$1)</f>
        <v>9</v>
      </c>
      <c r="Q94" s="316">
        <f>COUNTIFS(ME_66_G,"TT", ME_66_D,Q$1)</f>
        <v>8</v>
      </c>
      <c r="R94" s="316">
        <f>COUNTIFS(ME_66_G,"TT", ME_66_D,R$1)</f>
        <v>17</v>
      </c>
      <c r="S94" s="316">
        <f>COUNTIF(ME_66_D,S$1)</f>
        <v>0</v>
      </c>
      <c r="T94" s="316">
        <f t="shared" si="59"/>
        <v>0</v>
      </c>
      <c r="U94" s="316">
        <f t="shared" si="60"/>
        <v>0</v>
      </c>
      <c r="V94" s="316">
        <f t="shared" si="61"/>
        <v>0</v>
      </c>
      <c r="W94" s="316">
        <f t="shared" ref="W94:AB94" si="96">COUNTIF(ME_66_D,W$1)</f>
        <v>0</v>
      </c>
      <c r="X94" s="316">
        <f t="shared" si="96"/>
        <v>0</v>
      </c>
      <c r="Y94" s="316">
        <f t="shared" si="96"/>
        <v>0</v>
      </c>
      <c r="Z94" s="316">
        <f t="shared" si="96"/>
        <v>0</v>
      </c>
      <c r="AA94" s="316">
        <f t="shared" si="96"/>
        <v>0</v>
      </c>
      <c r="AB94" s="316">
        <f t="shared" si="96"/>
        <v>0</v>
      </c>
      <c r="AC94" s="315">
        <f>COUNTIF(ME_66_E,AC$1)+COUNTIF(ME_66_E,"E/D")</f>
        <v>0</v>
      </c>
      <c r="AD94" s="315">
        <f>COUNTIF(ME_66_E,AD$1)+COUNTIF(ME_66_E,"E/D")</f>
        <v>2</v>
      </c>
      <c r="AE94" s="378">
        <v>2852417</v>
      </c>
      <c r="AF94" s="379">
        <v>0</v>
      </c>
      <c r="AG94" s="379">
        <v>71452</v>
      </c>
      <c r="AH94" s="379">
        <v>96873</v>
      </c>
      <c r="AI94" s="379"/>
      <c r="AJ94" s="379">
        <v>227827</v>
      </c>
      <c r="AK94" s="379">
        <v>0</v>
      </c>
      <c r="AL94" s="318">
        <f t="shared" si="63"/>
        <v>3248569</v>
      </c>
      <c r="AM94" s="378">
        <v>4069043</v>
      </c>
      <c r="AN94" s="379">
        <v>0</v>
      </c>
      <c r="AO94" s="379">
        <v>61125</v>
      </c>
      <c r="AP94" s="379">
        <v>34729</v>
      </c>
      <c r="AQ94" s="379"/>
      <c r="AR94" s="379">
        <v>149173</v>
      </c>
      <c r="AS94" s="379">
        <v>0</v>
      </c>
      <c r="AT94" s="318">
        <f t="shared" si="64"/>
        <v>4314070</v>
      </c>
      <c r="AU94" s="381">
        <v>5701104</v>
      </c>
      <c r="AV94" s="381"/>
      <c r="AW94" s="381">
        <v>141446</v>
      </c>
      <c r="AX94" s="381">
        <v>1261455</v>
      </c>
      <c r="AY94" s="381"/>
      <c r="AZ94" s="381">
        <v>191763</v>
      </c>
      <c r="BA94" s="381">
        <v>3249</v>
      </c>
      <c r="BB94" s="319">
        <f t="shared" si="65"/>
        <v>7299017</v>
      </c>
      <c r="BC94" s="332" t="s">
        <v>55</v>
      </c>
      <c r="BD94" s="332" t="s">
        <v>55</v>
      </c>
      <c r="BE94" s="332" t="s">
        <v>55</v>
      </c>
      <c r="BF94" s="332" t="s">
        <v>55</v>
      </c>
      <c r="BG94" s="332" t="s">
        <v>55</v>
      </c>
      <c r="BH94" s="332" t="s">
        <v>55</v>
      </c>
      <c r="BI94" s="332" t="s">
        <v>55</v>
      </c>
      <c r="BJ94" s="332" t="s">
        <v>55</v>
      </c>
      <c r="BK94" s="40" t="s">
        <v>7295</v>
      </c>
      <c r="BL94" s="320">
        <v>65</v>
      </c>
      <c r="BM94" s="320">
        <v>2.6</v>
      </c>
      <c r="BN94" s="320">
        <v>3.3</v>
      </c>
      <c r="BO94" s="341" t="s">
        <v>14409</v>
      </c>
      <c r="BP94" s="155">
        <v>586</v>
      </c>
      <c r="BQ94" s="344"/>
      <c r="BR94" s="314">
        <v>43</v>
      </c>
      <c r="BS94" s="314" t="s">
        <v>20645</v>
      </c>
      <c r="BT94" s="312">
        <v>583</v>
      </c>
      <c r="BU94" s="343">
        <v>64</v>
      </c>
      <c r="BV94" s="343">
        <v>2.7</v>
      </c>
      <c r="BW94" s="343">
        <v>3.2</v>
      </c>
      <c r="BX94" s="325" t="s">
        <v>20646</v>
      </c>
    </row>
    <row r="95" spans="1:76" ht="15.75" customHeight="1">
      <c r="A95" s="4" t="s">
        <v>14916</v>
      </c>
      <c r="B95" s="311" t="s">
        <v>14921</v>
      </c>
      <c r="C95" s="155">
        <v>154</v>
      </c>
      <c r="D95" s="312">
        <v>160</v>
      </c>
      <c r="E95" s="40" t="s">
        <v>14696</v>
      </c>
      <c r="F95" s="314">
        <v>96</v>
      </c>
      <c r="G95" s="316">
        <f>COUNTA(ME_71_D)</f>
        <v>24</v>
      </c>
      <c r="H95" s="316">
        <f>COUNTIF(ME_71_G,"TT")</f>
        <v>18</v>
      </c>
      <c r="I95" s="316">
        <f t="shared" si="90"/>
        <v>6</v>
      </c>
      <c r="J95" s="316">
        <f>COUNTA(ME_71_D)</f>
        <v>24</v>
      </c>
      <c r="K95" s="316">
        <f>COUNTIF(ME_71_G,"TT")</f>
        <v>18</v>
      </c>
      <c r="L95" s="316">
        <f t="shared" si="91"/>
        <v>6</v>
      </c>
      <c r="M95" s="316">
        <f>COUNTIFS('Mechanical Engineering Faculty'!$F$4226:$F$4249,M$1)</f>
        <v>8</v>
      </c>
      <c r="N95" s="316">
        <f>COUNTIFS('Mechanical Engineering Faculty'!$F$4226:$F$4249,N$1)</f>
        <v>8</v>
      </c>
      <c r="O95" s="316">
        <f>COUNTIFS('Mechanical Engineering Faculty'!$F$4226:$F$4249,O$1)</f>
        <v>2</v>
      </c>
      <c r="P95" s="316">
        <f>COUNTIFS(ME_71_G,"TT", ME_71_D,P$1)</f>
        <v>8</v>
      </c>
      <c r="Q95" s="316">
        <f>COUNTIFS(ME_71_G,"TT", ME_71_D,Q$1)</f>
        <v>8</v>
      </c>
      <c r="R95" s="316">
        <f>COUNTIFS(ME_71_G,"TT", ME_71_D,R$1)</f>
        <v>2</v>
      </c>
      <c r="S95" s="316">
        <f>COUNTIF(ME_71_D,S$1)</f>
        <v>3</v>
      </c>
      <c r="T95" s="316">
        <f t="shared" si="59"/>
        <v>0</v>
      </c>
      <c r="U95" s="316">
        <f t="shared" si="60"/>
        <v>0</v>
      </c>
      <c r="V95" s="316">
        <f t="shared" si="61"/>
        <v>0</v>
      </c>
      <c r="W95" s="316">
        <f t="shared" ref="W95:AB95" si="97">COUNTIF(ME_71_D,W$1)</f>
        <v>0</v>
      </c>
      <c r="X95" s="316">
        <f t="shared" si="97"/>
        <v>1</v>
      </c>
      <c r="Y95" s="316">
        <f t="shared" si="97"/>
        <v>2</v>
      </c>
      <c r="Z95" s="316">
        <f t="shared" si="97"/>
        <v>0</v>
      </c>
      <c r="AA95" s="316">
        <f t="shared" si="97"/>
        <v>0</v>
      </c>
      <c r="AB95" s="316">
        <f t="shared" si="97"/>
        <v>0</v>
      </c>
      <c r="AC95" s="315">
        <f>COUNTIF(ME_71_E,AC$1)+COUNTIF(ME_71_E,"E/D")</f>
        <v>1</v>
      </c>
      <c r="AD95" s="315">
        <f>COUNTIF(ME_71_E,AD$1)+COUNTIF(ME_71_E,"E/D")</f>
        <v>4</v>
      </c>
      <c r="AE95" s="378">
        <v>5625842</v>
      </c>
      <c r="AF95" s="379">
        <v>0</v>
      </c>
      <c r="AG95" s="379">
        <v>2922</v>
      </c>
      <c r="AH95" s="379">
        <v>-477</v>
      </c>
      <c r="AI95" s="379">
        <v>3293330</v>
      </c>
      <c r="AJ95" s="379">
        <v>47838</v>
      </c>
      <c r="AK95" s="379">
        <v>0</v>
      </c>
      <c r="AL95" s="318">
        <f t="shared" si="63"/>
        <v>8969455</v>
      </c>
      <c r="AM95" s="378">
        <v>5343384</v>
      </c>
      <c r="AN95" s="379">
        <v>0</v>
      </c>
      <c r="AO95" s="379">
        <v>84079</v>
      </c>
      <c r="AP95" s="379">
        <v>2389</v>
      </c>
      <c r="AQ95" s="379">
        <v>3272557</v>
      </c>
      <c r="AR95" s="379">
        <v>26997</v>
      </c>
      <c r="AS95" s="379">
        <v>6161</v>
      </c>
      <c r="AT95" s="318">
        <f t="shared" si="64"/>
        <v>8735567</v>
      </c>
      <c r="AU95" s="381">
        <v>4673889</v>
      </c>
      <c r="AV95" s="382">
        <v>0</v>
      </c>
      <c r="AW95" s="382">
        <v>0</v>
      </c>
      <c r="AX95" s="382">
        <v>17992</v>
      </c>
      <c r="AY95" s="382">
        <v>2308937</v>
      </c>
      <c r="AZ95" s="382">
        <v>0</v>
      </c>
      <c r="BA95" s="382">
        <v>42449</v>
      </c>
      <c r="BB95" s="319">
        <f t="shared" si="65"/>
        <v>7043267</v>
      </c>
      <c r="BC95" s="328">
        <v>3638011</v>
      </c>
      <c r="BD95" s="329">
        <v>0</v>
      </c>
      <c r="BE95" s="329">
        <v>-10527</v>
      </c>
      <c r="BF95" s="329">
        <v>29619</v>
      </c>
      <c r="BG95" s="329">
        <v>2639417</v>
      </c>
      <c r="BH95" s="329">
        <v>0</v>
      </c>
      <c r="BI95" s="329">
        <v>71364</v>
      </c>
      <c r="BJ95" s="314">
        <f>SUM(BC95:BI95)</f>
        <v>6367884</v>
      </c>
      <c r="BK95" s="40" t="s">
        <v>11020</v>
      </c>
      <c r="BL95" s="320">
        <v>46</v>
      </c>
      <c r="BM95" s="320">
        <v>2.6</v>
      </c>
      <c r="BN95" s="320">
        <v>3.2</v>
      </c>
      <c r="BO95" s="341" t="s">
        <v>14964</v>
      </c>
      <c r="BP95" s="155">
        <v>220</v>
      </c>
      <c r="BQ95" s="314">
        <v>55</v>
      </c>
      <c r="BR95" s="314">
        <v>106</v>
      </c>
      <c r="BS95" s="314" t="s">
        <v>20656</v>
      </c>
      <c r="BT95" s="312">
        <v>216</v>
      </c>
      <c r="BU95" s="343">
        <v>46</v>
      </c>
      <c r="BV95" s="343">
        <v>2.6</v>
      </c>
      <c r="BW95" s="343">
        <v>3.1</v>
      </c>
      <c r="BX95" s="325" t="s">
        <v>20657</v>
      </c>
    </row>
    <row r="96" spans="1:76" ht="15.75" customHeight="1">
      <c r="A96" s="4" t="s">
        <v>15006</v>
      </c>
      <c r="B96" s="311" t="s">
        <v>2714</v>
      </c>
      <c r="C96" s="155">
        <v>159</v>
      </c>
      <c r="D96" s="312" t="s">
        <v>20474</v>
      </c>
      <c r="E96" s="40" t="s">
        <v>14696</v>
      </c>
      <c r="F96" s="314">
        <v>96</v>
      </c>
      <c r="G96" s="316">
        <f>COUNTA(ME_72_D)</f>
        <v>34</v>
      </c>
      <c r="H96" s="316">
        <f>COUNTIF(ME_72_G,"TT")</f>
        <v>21</v>
      </c>
      <c r="I96" s="316">
        <f t="shared" si="90"/>
        <v>13</v>
      </c>
      <c r="J96" s="316">
        <f>COUNTA(ME_72_D)</f>
        <v>34</v>
      </c>
      <c r="K96" s="316">
        <f>COUNTIF(ME_72_G,"TT")</f>
        <v>21</v>
      </c>
      <c r="L96" s="316">
        <f t="shared" si="91"/>
        <v>13</v>
      </c>
      <c r="M96" s="316">
        <f>COUNTIFS('Mechanical Engineering Faculty'!$F$4251:$F$4284,M$1)</f>
        <v>9</v>
      </c>
      <c r="N96" s="316">
        <f>COUNTIFS('Mechanical Engineering Faculty'!$F$4251:$F$4284,N$1)</f>
        <v>3</v>
      </c>
      <c r="O96" s="316">
        <f>COUNTIFS('Mechanical Engineering Faculty'!$F$4251:$F$4284,O$1)</f>
        <v>9</v>
      </c>
      <c r="P96" s="316">
        <f>COUNTIFS(ME_72_G,"TT", ME_72_D,P$1)</f>
        <v>9</v>
      </c>
      <c r="Q96" s="316">
        <f>COUNTIFS(ME_72_G,"TT", ME_72_D,Q$1)</f>
        <v>3</v>
      </c>
      <c r="R96" s="316">
        <f>COUNTIFS(ME_72_G,"TT", ME_72_D,R$1)</f>
        <v>9</v>
      </c>
      <c r="S96" s="316">
        <f>COUNTIF(ME_72_D,S$1)</f>
        <v>13</v>
      </c>
      <c r="T96" s="316">
        <f t="shared" si="59"/>
        <v>0</v>
      </c>
      <c r="U96" s="316">
        <f t="shared" si="60"/>
        <v>0</v>
      </c>
      <c r="V96" s="316">
        <f t="shared" si="61"/>
        <v>0</v>
      </c>
      <c r="W96" s="316">
        <f t="shared" ref="W96:AB96" si="98">COUNTIF(ME_72_D,W$1)</f>
        <v>0</v>
      </c>
      <c r="X96" s="316">
        <f t="shared" si="98"/>
        <v>0</v>
      </c>
      <c r="Y96" s="316">
        <f t="shared" si="98"/>
        <v>0</v>
      </c>
      <c r="Z96" s="316">
        <f t="shared" si="98"/>
        <v>0</v>
      </c>
      <c r="AA96" s="316">
        <f t="shared" si="98"/>
        <v>0</v>
      </c>
      <c r="AB96" s="316">
        <f t="shared" si="98"/>
        <v>0</v>
      </c>
      <c r="AC96" s="315">
        <f>COUNTIF(ME_72_E,AC$1)+COUNTIF(ME_72_E,"E/D")</f>
        <v>0</v>
      </c>
      <c r="AD96" s="315">
        <f>COUNTIF(ME_72_E,AD$1)+COUNTIF(ME_72_E,"E/D")</f>
        <v>0</v>
      </c>
      <c r="AE96" s="378">
        <v>1343279</v>
      </c>
      <c r="AF96" s="379">
        <v>0</v>
      </c>
      <c r="AG96" s="379"/>
      <c r="AH96" s="379">
        <v>69346</v>
      </c>
      <c r="AI96" s="379"/>
      <c r="AJ96" s="379">
        <v>210416</v>
      </c>
      <c r="AK96" s="379">
        <v>0</v>
      </c>
      <c r="AL96" s="318">
        <f t="shared" si="63"/>
        <v>1623041</v>
      </c>
      <c r="AM96" s="378">
        <v>1551474</v>
      </c>
      <c r="AN96" s="379">
        <v>74864</v>
      </c>
      <c r="AO96" s="379"/>
      <c r="AP96" s="379">
        <v>91667</v>
      </c>
      <c r="AQ96" s="379"/>
      <c r="AR96" s="379">
        <v>5374</v>
      </c>
      <c r="AS96" s="379">
        <v>0</v>
      </c>
      <c r="AT96" s="318">
        <f t="shared" si="64"/>
        <v>1723379</v>
      </c>
      <c r="AU96" s="377">
        <v>0</v>
      </c>
      <c r="AV96" s="406"/>
      <c r="AW96" s="406"/>
      <c r="AX96" s="406"/>
      <c r="AY96" s="406"/>
      <c r="AZ96" s="406"/>
      <c r="BA96" s="409"/>
      <c r="BB96" s="319">
        <f t="shared" si="65"/>
        <v>0</v>
      </c>
      <c r="BC96" s="411" t="s">
        <v>55</v>
      </c>
      <c r="BD96" s="413" t="s">
        <v>55</v>
      </c>
      <c r="BE96" s="413" t="s">
        <v>55</v>
      </c>
      <c r="BF96" s="413" t="s">
        <v>55</v>
      </c>
      <c r="BG96" s="413" t="s">
        <v>55</v>
      </c>
      <c r="BH96" s="413" t="s">
        <v>55</v>
      </c>
      <c r="BI96" s="413" t="s">
        <v>55</v>
      </c>
      <c r="BJ96" s="332" t="s">
        <v>55</v>
      </c>
      <c r="BK96" s="40" t="s">
        <v>15020</v>
      </c>
      <c r="BL96" s="320">
        <v>32</v>
      </c>
      <c r="BM96" s="320">
        <v>2.4</v>
      </c>
      <c r="BN96" s="320">
        <v>3.1</v>
      </c>
      <c r="BO96" s="341" t="s">
        <v>15049</v>
      </c>
      <c r="BP96" s="155">
        <v>186</v>
      </c>
      <c r="BQ96" s="344"/>
      <c r="BR96" s="314">
        <v>175</v>
      </c>
      <c r="BS96" s="314" t="s">
        <v>20658</v>
      </c>
      <c r="BT96" s="340">
        <v>296</v>
      </c>
      <c r="BU96" s="343">
        <v>29</v>
      </c>
      <c r="BV96" s="343">
        <v>2.4</v>
      </c>
      <c r="BW96" s="343">
        <v>3.1</v>
      </c>
      <c r="BX96" s="325" t="s">
        <v>20659</v>
      </c>
    </row>
    <row r="97" spans="1:76" ht="15.75" customHeight="1">
      <c r="A97" s="372" t="s">
        <v>15122</v>
      </c>
      <c r="B97" s="311" t="s">
        <v>2714</v>
      </c>
      <c r="C97" s="155">
        <v>163</v>
      </c>
      <c r="D97" s="312">
        <v>163</v>
      </c>
      <c r="E97" s="40" t="s">
        <v>14696</v>
      </c>
      <c r="F97" s="314">
        <v>96</v>
      </c>
      <c r="G97" s="316">
        <f>COUNTA(ME_73_D)</f>
        <v>35</v>
      </c>
      <c r="H97" s="316">
        <f>COUNTIF(ME_73_G,"TT")</f>
        <v>27</v>
      </c>
      <c r="I97" s="316">
        <f t="shared" si="90"/>
        <v>8</v>
      </c>
      <c r="J97" s="316">
        <f>COUNTA(ME_73_D)</f>
        <v>35</v>
      </c>
      <c r="K97" s="316">
        <f>COUNTIF(ME_73_G,"TT")</f>
        <v>27</v>
      </c>
      <c r="L97" s="316">
        <f t="shared" si="91"/>
        <v>8</v>
      </c>
      <c r="M97" s="316">
        <f>COUNTIFS('Mechanical Engineering Faculty'!$F$4286:$F$4320,M$1)</f>
        <v>13</v>
      </c>
      <c r="N97" s="316">
        <f>COUNTIFS('Mechanical Engineering Faculty'!$F$4286:$F$4320,N$1)</f>
        <v>7</v>
      </c>
      <c r="O97" s="316">
        <f>COUNTIFS('Mechanical Engineering Faculty'!$F$4286:$F$4320,O$1)</f>
        <v>7</v>
      </c>
      <c r="P97" s="316">
        <f>COUNTIFS(ME_73_G,"TT", ME_73_D,P$1)</f>
        <v>13</v>
      </c>
      <c r="Q97" s="316">
        <f>COUNTIFS(ME_73_G,"TT", ME_73_D,Q$1)</f>
        <v>7</v>
      </c>
      <c r="R97" s="316">
        <f>COUNTIFS(ME_73_G,"TT", ME_73_D,R$1)</f>
        <v>7</v>
      </c>
      <c r="S97" s="316">
        <f>COUNTIF(ME_73_D,S$1)</f>
        <v>8</v>
      </c>
      <c r="T97" s="316">
        <f t="shared" si="59"/>
        <v>0</v>
      </c>
      <c r="U97" s="316">
        <f t="shared" si="60"/>
        <v>0</v>
      </c>
      <c r="V97" s="316">
        <f t="shared" si="61"/>
        <v>0</v>
      </c>
      <c r="W97" s="316">
        <f t="shared" ref="W97:AB97" si="99">COUNTIF(ME_73_D,W$1)</f>
        <v>0</v>
      </c>
      <c r="X97" s="316">
        <f t="shared" si="99"/>
        <v>0</v>
      </c>
      <c r="Y97" s="316">
        <f t="shared" si="99"/>
        <v>0</v>
      </c>
      <c r="Z97" s="316">
        <f t="shared" si="99"/>
        <v>0</v>
      </c>
      <c r="AA97" s="316">
        <f t="shared" si="99"/>
        <v>0</v>
      </c>
      <c r="AB97" s="316">
        <f t="shared" si="99"/>
        <v>0</v>
      </c>
      <c r="AC97" s="315">
        <f>COUNTIF(ME_73_E,AC$1)+COUNTIF(ME_73_E,"E/D")</f>
        <v>0</v>
      </c>
      <c r="AD97" s="315">
        <f>COUNTIF(ME_73_E,AD$1)+COUNTIF(ME_73_E,"E/D")</f>
        <v>1</v>
      </c>
      <c r="AE97" s="378">
        <v>1195866</v>
      </c>
      <c r="AF97" s="379"/>
      <c r="AG97" s="379"/>
      <c r="AH97" s="379">
        <v>30419</v>
      </c>
      <c r="AI97" s="379">
        <v>0</v>
      </c>
      <c r="AJ97" s="379">
        <v>40012</v>
      </c>
      <c r="AK97" s="379">
        <v>45076</v>
      </c>
      <c r="AL97" s="318">
        <f t="shared" si="63"/>
        <v>1311373</v>
      </c>
      <c r="AM97" s="378">
        <v>1537220</v>
      </c>
      <c r="AN97" s="379"/>
      <c r="AO97" s="379">
        <v>0</v>
      </c>
      <c r="AP97" s="379">
        <v>93251</v>
      </c>
      <c r="AQ97" s="379">
        <v>0</v>
      </c>
      <c r="AR97" s="379">
        <v>90496</v>
      </c>
      <c r="AS97" s="379">
        <v>0</v>
      </c>
      <c r="AT97" s="318">
        <f t="shared" si="64"/>
        <v>1720967</v>
      </c>
      <c r="AU97" s="381">
        <v>2026865</v>
      </c>
      <c r="AV97" s="381"/>
      <c r="AW97" s="381"/>
      <c r="AX97" s="381">
        <v>4198</v>
      </c>
      <c r="AY97" s="381">
        <v>0</v>
      </c>
      <c r="AZ97" s="381">
        <v>225330</v>
      </c>
      <c r="BA97" s="381">
        <v>0</v>
      </c>
      <c r="BB97" s="319">
        <f t="shared" si="65"/>
        <v>2256393</v>
      </c>
      <c r="BC97" s="412">
        <v>2295375</v>
      </c>
      <c r="BD97" s="412"/>
      <c r="BE97" s="412">
        <v>0</v>
      </c>
      <c r="BF97" s="412">
        <v>1019</v>
      </c>
      <c r="BG97" s="412">
        <v>0</v>
      </c>
      <c r="BH97" s="412">
        <v>201519</v>
      </c>
      <c r="BI97" s="412">
        <v>0</v>
      </c>
      <c r="BJ97" s="314">
        <f>SUM(BC97:BI97)</f>
        <v>2497913</v>
      </c>
      <c r="BK97" s="40" t="s">
        <v>11020</v>
      </c>
      <c r="BL97" s="320">
        <v>46</v>
      </c>
      <c r="BM97" s="320">
        <v>2.4</v>
      </c>
      <c r="BN97" s="320">
        <v>3.3</v>
      </c>
      <c r="BO97" s="341" t="s">
        <v>15169</v>
      </c>
      <c r="BP97" s="155">
        <v>1158</v>
      </c>
      <c r="BQ97" s="314">
        <v>55</v>
      </c>
      <c r="BR97" s="314">
        <v>111</v>
      </c>
      <c r="BS97" s="340" t="s">
        <v>20660</v>
      </c>
      <c r="BT97" s="352">
        <v>1542</v>
      </c>
      <c r="BU97" s="343">
        <v>44</v>
      </c>
      <c r="BV97" s="343">
        <v>2.2999999999999998</v>
      </c>
      <c r="BW97" s="343">
        <v>3.1</v>
      </c>
      <c r="BX97" s="325" t="s">
        <v>20661</v>
      </c>
    </row>
    <row r="98" spans="1:76" ht="15.75" customHeight="1">
      <c r="A98" s="4" t="s">
        <v>15678</v>
      </c>
      <c r="B98" s="384" t="s">
        <v>2714</v>
      </c>
      <c r="C98" s="155">
        <v>160</v>
      </c>
      <c r="D98" s="312">
        <v>164</v>
      </c>
      <c r="E98" s="40" t="s">
        <v>14696</v>
      </c>
      <c r="F98" s="314">
        <v>96</v>
      </c>
      <c r="G98" s="316">
        <f>COUNTA(ME_78_D)</f>
        <v>22</v>
      </c>
      <c r="H98" s="316">
        <f>COUNTIF(ME_78_G,"TT")</f>
        <v>18</v>
      </c>
      <c r="I98" s="316">
        <f t="shared" si="90"/>
        <v>4</v>
      </c>
      <c r="J98" s="316">
        <f>COUNTA(ME_78_D)</f>
        <v>22</v>
      </c>
      <c r="K98" s="316">
        <f>COUNTIF(ME_78_G,"TT")</f>
        <v>18</v>
      </c>
      <c r="L98" s="316">
        <f t="shared" si="91"/>
        <v>4</v>
      </c>
      <c r="M98" s="316">
        <f>COUNTIFS('Mechanical Engineering Faculty'!$F$4453:$F$4474,M$1)</f>
        <v>8</v>
      </c>
      <c r="N98" s="316">
        <f>COUNTIFS('Mechanical Engineering Faculty'!$F$4453:$F$4474,N$1)</f>
        <v>7</v>
      </c>
      <c r="O98" s="316">
        <f>COUNTIFS('Mechanical Engineering Faculty'!$F$4453:$F$4474,O$1)</f>
        <v>3</v>
      </c>
      <c r="P98" s="316">
        <f>COUNTIFS(ME_78_G,"TT", ME_78_D,P$1)</f>
        <v>8</v>
      </c>
      <c r="Q98" s="316">
        <f>COUNTIFS(ME_78_G,"TT", ME_78_D,Q$1)</f>
        <v>7</v>
      </c>
      <c r="R98" s="316">
        <f>COUNTIFS(ME_78_G,"TT", ME_78_D,R$1)</f>
        <v>3</v>
      </c>
      <c r="S98" s="316">
        <f>COUNTIF(ME_78_D,S$1)</f>
        <v>0</v>
      </c>
      <c r="T98" s="316">
        <f t="shared" ref="T98:T129" si="100">P98-M98</f>
        <v>0</v>
      </c>
      <c r="U98" s="316">
        <f t="shared" ref="U98:U129" si="101">Q98-N98</f>
        <v>0</v>
      </c>
      <c r="V98" s="316">
        <f t="shared" ref="V98:V129" si="102">R98-O98</f>
        <v>0</v>
      </c>
      <c r="W98" s="316">
        <f t="shared" ref="W98:AB98" si="103">COUNTIF(ME_78_D,W$1)</f>
        <v>1</v>
      </c>
      <c r="X98" s="316">
        <f t="shared" si="103"/>
        <v>0</v>
      </c>
      <c r="Y98" s="316">
        <f t="shared" si="103"/>
        <v>3</v>
      </c>
      <c r="Z98" s="316">
        <f t="shared" si="103"/>
        <v>0</v>
      </c>
      <c r="AA98" s="316">
        <f t="shared" si="103"/>
        <v>0</v>
      </c>
      <c r="AB98" s="316">
        <f t="shared" si="103"/>
        <v>0</v>
      </c>
      <c r="AC98" s="315">
        <f>COUNTIF(ME_78_E,AC$1)+COUNTIF(ME_78_E,"E/D")</f>
        <v>0</v>
      </c>
      <c r="AD98" s="315">
        <f>COUNTIF(ME_78_E,AD$1)+COUNTIF(ME_78_E,"E/D")</f>
        <v>2</v>
      </c>
      <c r="AE98" s="378">
        <v>646679</v>
      </c>
      <c r="AF98" s="379"/>
      <c r="AG98" s="379"/>
      <c r="AH98" s="379">
        <v>0</v>
      </c>
      <c r="AI98" s="379">
        <v>0</v>
      </c>
      <c r="AJ98" s="379">
        <v>4779</v>
      </c>
      <c r="AK98" s="379">
        <v>26325</v>
      </c>
      <c r="AL98" s="318">
        <f t="shared" ref="AL98:AL129" si="104">SUM(AE98:AK98)</f>
        <v>677783</v>
      </c>
      <c r="AM98" s="378">
        <v>1128744</v>
      </c>
      <c r="AN98" s="379"/>
      <c r="AO98" s="379"/>
      <c r="AP98" s="379">
        <v>16162</v>
      </c>
      <c r="AQ98" s="379"/>
      <c r="AR98" s="379">
        <v>2887</v>
      </c>
      <c r="AS98" s="379">
        <v>93707</v>
      </c>
      <c r="AT98" s="318">
        <f t="shared" ref="AT98:AT129" si="105">SUM(AM98:AS98)</f>
        <v>1241500</v>
      </c>
      <c r="AU98" s="381">
        <v>498739</v>
      </c>
      <c r="AV98" s="382">
        <v>0</v>
      </c>
      <c r="AW98" s="382">
        <v>0</v>
      </c>
      <c r="AX98" s="382">
        <v>129184</v>
      </c>
      <c r="AY98" s="382">
        <v>0</v>
      </c>
      <c r="AZ98" s="382">
        <v>0</v>
      </c>
      <c r="BA98" s="382">
        <v>44469</v>
      </c>
      <c r="BB98" s="319">
        <f t="shared" ref="BB98:BB129" si="106">SUM(AU98:BA98)</f>
        <v>672392</v>
      </c>
      <c r="BC98" s="328">
        <v>1463606</v>
      </c>
      <c r="BD98" s="329">
        <v>0</v>
      </c>
      <c r="BE98" s="329">
        <v>0</v>
      </c>
      <c r="BF98" s="329">
        <v>238653</v>
      </c>
      <c r="BG98" s="329">
        <v>0</v>
      </c>
      <c r="BH98" s="329">
        <v>0</v>
      </c>
      <c r="BI98" s="329">
        <v>147980</v>
      </c>
      <c r="BJ98" s="314">
        <f>SUM(BC98:BI98)</f>
        <v>1850239</v>
      </c>
      <c r="BK98" s="40" t="s">
        <v>15695</v>
      </c>
      <c r="BL98" s="320">
        <v>29</v>
      </c>
      <c r="BM98" s="320">
        <v>2.4</v>
      </c>
      <c r="BN98" s="320">
        <v>3.1</v>
      </c>
      <c r="BO98" s="341" t="s">
        <v>15727</v>
      </c>
      <c r="BP98" s="155">
        <v>261</v>
      </c>
      <c r="BQ98" s="344"/>
      <c r="BR98" s="314">
        <v>175</v>
      </c>
      <c r="BS98" s="314"/>
      <c r="BT98" s="314"/>
      <c r="BU98" s="314"/>
      <c r="BV98" s="314"/>
      <c r="BW98" s="314"/>
      <c r="BX98" s="325" t="s">
        <v>20668</v>
      </c>
    </row>
    <row r="99" spans="1:76" ht="15.75" customHeight="1">
      <c r="A99" s="4" t="s">
        <v>16206</v>
      </c>
      <c r="B99" s="311" t="s">
        <v>16211</v>
      </c>
      <c r="C99" s="155">
        <v>159</v>
      </c>
      <c r="D99" s="312">
        <v>157</v>
      </c>
      <c r="E99" s="40" t="s">
        <v>16024</v>
      </c>
      <c r="F99" s="314">
        <v>96</v>
      </c>
      <c r="G99" s="316">
        <f>COUNTA(ME_83_D)</f>
        <v>27</v>
      </c>
      <c r="H99" s="316">
        <f>COUNTIF(ME_83_G,"TT")</f>
        <v>24</v>
      </c>
      <c r="I99" s="316">
        <f t="shared" si="90"/>
        <v>3</v>
      </c>
      <c r="J99" s="316">
        <f>COUNTA(ME_83_D)</f>
        <v>27</v>
      </c>
      <c r="K99" s="316">
        <f>COUNTIF(ME_83_G,"TT")</f>
        <v>24</v>
      </c>
      <c r="L99" s="316">
        <f t="shared" si="91"/>
        <v>3</v>
      </c>
      <c r="M99" s="316">
        <f>COUNTIFS('Mechanical Engineering Faculty'!$F$4598:$F$4624,M$1)</f>
        <v>14</v>
      </c>
      <c r="N99" s="316">
        <f>COUNTIFS('Mechanical Engineering Faculty'!$F$4598:$F$4624,N$1)</f>
        <v>4</v>
      </c>
      <c r="O99" s="316">
        <f>COUNTIFS('Mechanical Engineering Faculty'!$F$4598:$F$4624,O$1)</f>
        <v>6</v>
      </c>
      <c r="P99" s="316">
        <f>COUNTIFS(ME_83_G,"TT", ME_83_D,P$1)</f>
        <v>14</v>
      </c>
      <c r="Q99" s="316">
        <f>COUNTIFS(ME_83_G,"TT", ME_83_D,Q$1)</f>
        <v>4</v>
      </c>
      <c r="R99" s="316">
        <f>COUNTIFS(ME_83_G,"TT", ME_83_D,R$1)</f>
        <v>6</v>
      </c>
      <c r="S99" s="316">
        <f>COUNTIF(ME_83_D,S$1)</f>
        <v>2</v>
      </c>
      <c r="T99" s="316">
        <f t="shared" si="100"/>
        <v>0</v>
      </c>
      <c r="U99" s="316">
        <f t="shared" si="101"/>
        <v>0</v>
      </c>
      <c r="V99" s="316">
        <f t="shared" si="102"/>
        <v>0</v>
      </c>
      <c r="W99" s="316">
        <f t="shared" ref="W99:AB99" si="107">COUNTIF(ME_83_D,W$1)</f>
        <v>1</v>
      </c>
      <c r="X99" s="316">
        <f t="shared" si="107"/>
        <v>0</v>
      </c>
      <c r="Y99" s="316">
        <f t="shared" si="107"/>
        <v>0</v>
      </c>
      <c r="Z99" s="316">
        <f t="shared" si="107"/>
        <v>0</v>
      </c>
      <c r="AA99" s="316">
        <f t="shared" si="107"/>
        <v>0</v>
      </c>
      <c r="AB99" s="316">
        <f t="shared" si="107"/>
        <v>0</v>
      </c>
      <c r="AC99" s="315">
        <f>COUNTIF(ME_83_E,AC$1)+COUNTIF(ME_83_E,"E/D")</f>
        <v>1</v>
      </c>
      <c r="AD99" s="315">
        <f>COUNTIF(ME_83_E,AD$1)+COUNTIF(ME_83_E,"E/D")</f>
        <v>6</v>
      </c>
      <c r="AE99" s="378">
        <v>701000</v>
      </c>
      <c r="AF99" s="378">
        <v>0</v>
      </c>
      <c r="AG99" s="378">
        <v>0</v>
      </c>
      <c r="AH99" s="378">
        <v>518000</v>
      </c>
      <c r="AI99" s="378">
        <v>0</v>
      </c>
      <c r="AJ99" s="378">
        <v>866000</v>
      </c>
      <c r="AK99" s="378">
        <v>1880000</v>
      </c>
      <c r="AL99" s="318">
        <f t="shared" si="104"/>
        <v>3965000</v>
      </c>
      <c r="AM99" s="378">
        <v>655000</v>
      </c>
      <c r="AN99" s="378">
        <v>4000</v>
      </c>
      <c r="AO99" s="378"/>
      <c r="AP99" s="378">
        <v>981000</v>
      </c>
      <c r="AQ99" s="378"/>
      <c r="AR99" s="378">
        <v>362000</v>
      </c>
      <c r="AS99" s="378">
        <v>2500000</v>
      </c>
      <c r="AT99" s="318">
        <f t="shared" si="105"/>
        <v>4502000</v>
      </c>
      <c r="AU99" s="381">
        <v>1089000</v>
      </c>
      <c r="AV99" s="381">
        <v>0</v>
      </c>
      <c r="AW99" s="381"/>
      <c r="AX99" s="381">
        <v>229000</v>
      </c>
      <c r="AY99" s="381"/>
      <c r="AZ99" s="381">
        <v>315000</v>
      </c>
      <c r="BA99" s="381">
        <v>919000</v>
      </c>
      <c r="BB99" s="319">
        <f t="shared" si="106"/>
        <v>2552000</v>
      </c>
      <c r="BC99" s="412">
        <v>977000</v>
      </c>
      <c r="BD99" s="412">
        <v>0</v>
      </c>
      <c r="BE99" s="412">
        <v>0</v>
      </c>
      <c r="BF99" s="412">
        <v>895000</v>
      </c>
      <c r="BG99" s="412">
        <v>0</v>
      </c>
      <c r="BH99" s="412">
        <v>750000</v>
      </c>
      <c r="BI99" s="412">
        <v>2751000</v>
      </c>
      <c r="BJ99" s="314">
        <f>SUM(BC99:BI99)</f>
        <v>5373000</v>
      </c>
      <c r="BK99" s="40" t="s">
        <v>12680</v>
      </c>
      <c r="BL99" s="320">
        <v>42</v>
      </c>
      <c r="BM99" s="320">
        <v>2.5</v>
      </c>
      <c r="BN99" s="320">
        <v>3</v>
      </c>
      <c r="BO99" s="341" t="s">
        <v>16256</v>
      </c>
      <c r="BP99" s="155">
        <v>427</v>
      </c>
      <c r="BQ99" s="314">
        <v>77</v>
      </c>
      <c r="BR99" s="314">
        <v>124</v>
      </c>
      <c r="BS99" s="314"/>
      <c r="BT99" s="314"/>
      <c r="BU99" s="314"/>
      <c r="BV99" s="314"/>
      <c r="BW99" s="314"/>
      <c r="BX99" s="325" t="s">
        <v>20673</v>
      </c>
    </row>
    <row r="100" spans="1:76" ht="15.75" customHeight="1">
      <c r="A100" s="372" t="s">
        <v>16844</v>
      </c>
      <c r="B100" s="311" t="s">
        <v>3888</v>
      </c>
      <c r="C100" s="155">
        <v>161</v>
      </c>
      <c r="D100" s="312">
        <v>159</v>
      </c>
      <c r="E100" s="40" t="s">
        <v>16024</v>
      </c>
      <c r="F100" s="314">
        <v>96</v>
      </c>
      <c r="G100" s="316">
        <f>COUNTA(ME_91_D)</f>
        <v>13</v>
      </c>
      <c r="H100" s="316">
        <f>COUNTIF(ME_91_G,"TT")</f>
        <v>9</v>
      </c>
      <c r="I100" s="316">
        <f t="shared" si="90"/>
        <v>4</v>
      </c>
      <c r="J100" s="316">
        <f>COUNTA(ME_91_D)</f>
        <v>13</v>
      </c>
      <c r="K100" s="316">
        <f>COUNTIF(ME_91_G,"TT")</f>
        <v>9</v>
      </c>
      <c r="L100" s="316">
        <f t="shared" si="91"/>
        <v>4</v>
      </c>
      <c r="M100" s="316">
        <f>COUNTIFS( 'Mechanical Engineering Faculty'!$F$4797:$F$4809,M$1)</f>
        <v>5</v>
      </c>
      <c r="N100" s="316">
        <f>COUNTIFS( 'Mechanical Engineering Faculty'!$F$4797:$F$4809,N$1)</f>
        <v>2</v>
      </c>
      <c r="O100" s="316">
        <f>COUNTIFS( 'Mechanical Engineering Faculty'!$F$4797:$F$4809,O$1)</f>
        <v>2</v>
      </c>
      <c r="P100" s="316">
        <f>COUNTIFS(ME_91_G,"TT", ME_91_D,P$1)</f>
        <v>5</v>
      </c>
      <c r="Q100" s="316">
        <f>COUNTIFS(ME_91_G,"TT", ME_91_D,Q$1)</f>
        <v>2</v>
      </c>
      <c r="R100" s="316">
        <f>COUNTIFS(ME_91_G,"TT", ME_91_D,R$1)</f>
        <v>2</v>
      </c>
      <c r="S100" s="316">
        <f>COUNTIF(ME_91_D,S$1)</f>
        <v>3</v>
      </c>
      <c r="T100" s="316">
        <f t="shared" si="100"/>
        <v>0</v>
      </c>
      <c r="U100" s="316">
        <f t="shared" si="101"/>
        <v>0</v>
      </c>
      <c r="V100" s="316">
        <f t="shared" si="102"/>
        <v>0</v>
      </c>
      <c r="W100" s="316">
        <f t="shared" ref="W100:AB100" si="108">COUNTIF(ME_91_D,W$1)</f>
        <v>0</v>
      </c>
      <c r="X100" s="316">
        <f t="shared" si="108"/>
        <v>0</v>
      </c>
      <c r="Y100" s="316">
        <f t="shared" si="108"/>
        <v>0</v>
      </c>
      <c r="Z100" s="316">
        <f t="shared" si="108"/>
        <v>0</v>
      </c>
      <c r="AA100" s="316">
        <f t="shared" si="108"/>
        <v>0</v>
      </c>
      <c r="AB100" s="316">
        <f t="shared" si="108"/>
        <v>1</v>
      </c>
      <c r="AC100" s="315">
        <f>COUNTIF(ME_91_E,AC$1)+COUNTIF(ME_91_E,"E/D")</f>
        <v>0</v>
      </c>
      <c r="AD100" s="315">
        <f>COUNTIF(ME_91_E,AD$1)+COUNTIF(ME_91_E,"E/D")</f>
        <v>0</v>
      </c>
      <c r="AE100" s="378">
        <v>1993180</v>
      </c>
      <c r="AF100" s="379"/>
      <c r="AG100" s="379"/>
      <c r="AH100" s="379">
        <v>215204</v>
      </c>
      <c r="AI100" s="379"/>
      <c r="AJ100" s="379">
        <v>0</v>
      </c>
      <c r="AK100" s="379">
        <v>137449</v>
      </c>
      <c r="AL100" s="318">
        <f t="shared" si="104"/>
        <v>2345833</v>
      </c>
      <c r="AM100" s="378">
        <v>1693443</v>
      </c>
      <c r="AN100" s="379">
        <v>18981</v>
      </c>
      <c r="AO100" s="379"/>
      <c r="AP100" s="379">
        <v>213419</v>
      </c>
      <c r="AQ100" s="379"/>
      <c r="AR100" s="379">
        <v>8317</v>
      </c>
      <c r="AS100" s="379">
        <v>28992</v>
      </c>
      <c r="AT100" s="318">
        <f t="shared" si="105"/>
        <v>1963152</v>
      </c>
      <c r="AU100" s="381">
        <v>3238270</v>
      </c>
      <c r="AV100" s="382">
        <v>0</v>
      </c>
      <c r="AW100" s="382">
        <v>0</v>
      </c>
      <c r="AX100" s="382">
        <v>324918</v>
      </c>
      <c r="AY100" s="382"/>
      <c r="AZ100" s="382">
        <v>0</v>
      </c>
      <c r="BA100" s="382">
        <v>0</v>
      </c>
      <c r="BB100" s="319">
        <f t="shared" si="106"/>
        <v>3563188</v>
      </c>
      <c r="BC100" s="411" t="s">
        <v>55</v>
      </c>
      <c r="BD100" s="413" t="s">
        <v>55</v>
      </c>
      <c r="BE100" s="413" t="s">
        <v>55</v>
      </c>
      <c r="BF100" s="413" t="s">
        <v>55</v>
      </c>
      <c r="BG100" s="413" t="s">
        <v>55</v>
      </c>
      <c r="BH100" s="413" t="s">
        <v>55</v>
      </c>
      <c r="BI100" s="413" t="s">
        <v>55</v>
      </c>
      <c r="BJ100" s="332" t="s">
        <v>55</v>
      </c>
      <c r="BK100" s="40" t="s">
        <v>16860</v>
      </c>
      <c r="BL100" s="320">
        <v>40</v>
      </c>
      <c r="BM100" s="320">
        <v>2.2999999999999998</v>
      </c>
      <c r="BN100" s="320">
        <v>2.6</v>
      </c>
      <c r="BO100" s="341" t="s">
        <v>16889</v>
      </c>
      <c r="BP100" s="155">
        <v>169</v>
      </c>
      <c r="BQ100" s="344"/>
      <c r="BR100" s="314">
        <v>130</v>
      </c>
      <c r="BS100" s="314"/>
      <c r="BT100" s="314"/>
      <c r="BU100" s="314"/>
      <c r="BV100" s="314"/>
      <c r="BW100" s="314"/>
      <c r="BX100" s="325" t="s">
        <v>20681</v>
      </c>
    </row>
    <row r="101" spans="1:76" ht="15.75" customHeight="1">
      <c r="A101" s="372" t="s">
        <v>14772</v>
      </c>
      <c r="B101" s="375" t="s">
        <v>2628</v>
      </c>
      <c r="C101" s="155" t="s">
        <v>55</v>
      </c>
      <c r="D101" s="8"/>
      <c r="E101" s="40" t="s">
        <v>14696</v>
      </c>
      <c r="F101" s="314">
        <v>106</v>
      </c>
      <c r="G101" s="316">
        <f>COUNTA(ME_69_D)</f>
        <v>24</v>
      </c>
      <c r="H101" s="316">
        <f>COUNTIF(ME_69_G,"TT")</f>
        <v>23</v>
      </c>
      <c r="I101" s="316">
        <f t="shared" si="90"/>
        <v>1</v>
      </c>
      <c r="J101" s="316">
        <f>COUNTA(ME_69_D)</f>
        <v>24</v>
      </c>
      <c r="K101" s="316">
        <f>COUNTIF(ME_69_G,"TT")</f>
        <v>23</v>
      </c>
      <c r="L101" s="316">
        <f t="shared" si="91"/>
        <v>1</v>
      </c>
      <c r="M101" s="316">
        <f>COUNTIFS('Mechanical Engineering Faculty'!$F$4178:$F$4201,M$1)</f>
        <v>11</v>
      </c>
      <c r="N101" s="316">
        <f>COUNTIFS('Mechanical Engineering Faculty'!$F$4178:$F$4201,N$1)</f>
        <v>11</v>
      </c>
      <c r="O101" s="316">
        <f>COUNTIFS('Mechanical Engineering Faculty'!$F$4178:$F$4201,O$1)</f>
        <v>1</v>
      </c>
      <c r="P101" s="316">
        <f>COUNTIFS(ME_69_G,"TT", ME_69_D,P$1)</f>
        <v>11</v>
      </c>
      <c r="Q101" s="316">
        <f>COUNTIFS(ME_69_G,"TT", ME_69_D,Q$1)</f>
        <v>11</v>
      </c>
      <c r="R101" s="316">
        <f>COUNTIFS(ME_69_G,"TT", ME_69_D,R$1)</f>
        <v>1</v>
      </c>
      <c r="S101" s="316">
        <f>COUNTIF(ME_69_D,S$1)</f>
        <v>0</v>
      </c>
      <c r="T101" s="316">
        <f t="shared" si="100"/>
        <v>0</v>
      </c>
      <c r="U101" s="316">
        <f t="shared" si="101"/>
        <v>0</v>
      </c>
      <c r="V101" s="316">
        <f t="shared" si="102"/>
        <v>0</v>
      </c>
      <c r="W101" s="316">
        <f t="shared" ref="W101:AB101" si="109">COUNTIF(ME_69_D,W$1)</f>
        <v>0</v>
      </c>
      <c r="X101" s="316">
        <f t="shared" si="109"/>
        <v>0</v>
      </c>
      <c r="Y101" s="316">
        <f t="shared" si="109"/>
        <v>0</v>
      </c>
      <c r="Z101" s="316">
        <f t="shared" si="109"/>
        <v>1</v>
      </c>
      <c r="AA101" s="316">
        <f t="shared" si="109"/>
        <v>0</v>
      </c>
      <c r="AB101" s="316">
        <f t="shared" si="109"/>
        <v>0</v>
      </c>
      <c r="AC101" s="315">
        <f>COUNTIF(ME_69_E,AC$1)+COUNTIF(ME_69_E,"E/D")</f>
        <v>1</v>
      </c>
      <c r="AD101" s="315">
        <f>COUNTIF(ME_69_E,AD$1)+COUNTIF(ME_69_E,"E/D")</f>
        <v>0</v>
      </c>
      <c r="AE101" s="378">
        <v>1212436</v>
      </c>
      <c r="AF101" s="379">
        <v>49314</v>
      </c>
      <c r="AG101" s="379"/>
      <c r="AH101" s="379">
        <v>318998</v>
      </c>
      <c r="AI101" s="379"/>
      <c r="AJ101" s="379"/>
      <c r="AK101" s="379">
        <v>242420</v>
      </c>
      <c r="AL101" s="318">
        <f t="shared" si="104"/>
        <v>1823168</v>
      </c>
      <c r="AM101" s="378">
        <v>1067568</v>
      </c>
      <c r="AN101" s="379">
        <v>56056</v>
      </c>
      <c r="AO101" s="379"/>
      <c r="AP101" s="379">
        <v>301888</v>
      </c>
      <c r="AQ101" s="379"/>
      <c r="AR101" s="379"/>
      <c r="AS101" s="379">
        <v>278650</v>
      </c>
      <c r="AT101" s="318">
        <f t="shared" si="105"/>
        <v>1704162</v>
      </c>
      <c r="AU101" s="377" t="s">
        <v>55</v>
      </c>
      <c r="AV101" s="406" t="s">
        <v>55</v>
      </c>
      <c r="AW101" s="406" t="s">
        <v>55</v>
      </c>
      <c r="AX101" s="406" t="s">
        <v>55</v>
      </c>
      <c r="AY101" s="406" t="s">
        <v>55</v>
      </c>
      <c r="AZ101" s="406" t="s">
        <v>55</v>
      </c>
      <c r="BA101" s="409" t="s">
        <v>55</v>
      </c>
      <c r="BB101" s="319">
        <f t="shared" si="106"/>
        <v>0</v>
      </c>
      <c r="BC101" s="411" t="s">
        <v>55</v>
      </c>
      <c r="BD101" s="413" t="s">
        <v>55</v>
      </c>
      <c r="BE101" s="413" t="s">
        <v>55</v>
      </c>
      <c r="BF101" s="413" t="s">
        <v>55</v>
      </c>
      <c r="BG101" s="413" t="s">
        <v>55</v>
      </c>
      <c r="BH101" s="413" t="s">
        <v>55</v>
      </c>
      <c r="BI101" s="413" t="s">
        <v>55</v>
      </c>
      <c r="BJ101" s="332" t="s">
        <v>55</v>
      </c>
      <c r="BK101" s="40" t="s">
        <v>14789</v>
      </c>
      <c r="BL101" s="320">
        <v>31</v>
      </c>
      <c r="BM101" s="320">
        <v>2.2000000000000002</v>
      </c>
      <c r="BN101" s="320">
        <v>3.3</v>
      </c>
      <c r="BO101" s="341" t="s">
        <v>55</v>
      </c>
      <c r="BP101" s="155">
        <v>198</v>
      </c>
      <c r="BQ101" s="344"/>
      <c r="BR101" s="314" t="s">
        <v>20651</v>
      </c>
      <c r="BS101" s="340" t="s">
        <v>20652</v>
      </c>
      <c r="BT101" s="340">
        <v>338</v>
      </c>
      <c r="BU101" s="383" t="s">
        <v>18655</v>
      </c>
      <c r="BV101" s="343">
        <v>2.2000000000000002</v>
      </c>
      <c r="BW101" s="343">
        <v>3.2</v>
      </c>
      <c r="BX101" s="68" t="s">
        <v>20653</v>
      </c>
    </row>
    <row r="102" spans="1:76" ht="15.75" customHeight="1">
      <c r="A102" s="4" t="s">
        <v>14869</v>
      </c>
      <c r="B102" s="311" t="s">
        <v>6929</v>
      </c>
      <c r="C102" s="155">
        <v>160</v>
      </c>
      <c r="D102" s="312">
        <v>159</v>
      </c>
      <c r="E102" s="40" t="s">
        <v>14696</v>
      </c>
      <c r="F102" s="314">
        <v>106</v>
      </c>
      <c r="G102" s="316">
        <f>COUNTA(ME_70_D)</f>
        <v>22</v>
      </c>
      <c r="H102" s="316">
        <f>COUNTIF(ME_70_G,"TT")</f>
        <v>22</v>
      </c>
      <c r="I102" s="316">
        <f t="shared" si="90"/>
        <v>0</v>
      </c>
      <c r="J102" s="316">
        <f>COUNTA(ME_70_D)</f>
        <v>22</v>
      </c>
      <c r="K102" s="316">
        <f>COUNTIF(ME_70_G,"TT")</f>
        <v>22</v>
      </c>
      <c r="L102" s="316">
        <f t="shared" si="91"/>
        <v>0</v>
      </c>
      <c r="M102" s="316">
        <f>COUNTIFS('Mechanical Engineering Faculty'!$F$4203:$F$4224,M$1)</f>
        <v>9</v>
      </c>
      <c r="N102" s="316">
        <f>COUNTIFS('Mechanical Engineering Faculty'!$F$4203:$F$4224,N$1)</f>
        <v>5</v>
      </c>
      <c r="O102" s="316">
        <f>COUNTIFS('Mechanical Engineering Faculty'!$F$4203:$F$4224,O$1)</f>
        <v>8</v>
      </c>
      <c r="P102" s="316">
        <f>COUNTIFS(ME_70_G,"TT", ME_70_D,P$1)</f>
        <v>9</v>
      </c>
      <c r="Q102" s="316">
        <f>COUNTIFS(ME_70_G,"TT", ME_70_D,Q$1)</f>
        <v>5</v>
      </c>
      <c r="R102" s="316">
        <f>COUNTIFS(ME_70_G,"TT", ME_70_D,R$1)</f>
        <v>8</v>
      </c>
      <c r="S102" s="316">
        <f>COUNTIF(ME_70_D,S$1)</f>
        <v>0</v>
      </c>
      <c r="T102" s="316">
        <f t="shared" si="100"/>
        <v>0</v>
      </c>
      <c r="U102" s="316">
        <f t="shared" si="101"/>
        <v>0</v>
      </c>
      <c r="V102" s="316">
        <f t="shared" si="102"/>
        <v>0</v>
      </c>
      <c r="W102" s="316">
        <f t="shared" ref="W102:AB102" si="110">COUNTIF(ME_70_D,W$1)</f>
        <v>0</v>
      </c>
      <c r="X102" s="316">
        <f t="shared" si="110"/>
        <v>0</v>
      </c>
      <c r="Y102" s="316">
        <f t="shared" si="110"/>
        <v>0</v>
      </c>
      <c r="Z102" s="316">
        <f t="shared" si="110"/>
        <v>0</v>
      </c>
      <c r="AA102" s="316">
        <f t="shared" si="110"/>
        <v>0</v>
      </c>
      <c r="AB102" s="316">
        <f t="shared" si="110"/>
        <v>0</v>
      </c>
      <c r="AC102" s="315">
        <f>COUNTIF(ME_70_E,AC$1)+COUNTIF(ME_70_E,"E/D")</f>
        <v>0</v>
      </c>
      <c r="AD102" s="315">
        <f>COUNTIF(ME_70_E,AD$1)+COUNTIF(ME_70_E,"E/D")</f>
        <v>0</v>
      </c>
      <c r="AE102" s="378">
        <v>498086</v>
      </c>
      <c r="AF102" s="379"/>
      <c r="AG102" s="379"/>
      <c r="AH102" s="379">
        <v>188874</v>
      </c>
      <c r="AI102" s="379"/>
      <c r="AJ102" s="379">
        <v>4404</v>
      </c>
      <c r="AK102" s="379">
        <v>3969</v>
      </c>
      <c r="AL102" s="318">
        <f t="shared" si="104"/>
        <v>695333</v>
      </c>
      <c r="AM102" s="378" t="s">
        <v>55</v>
      </c>
      <c r="AN102" s="379"/>
      <c r="AO102" s="379"/>
      <c r="AP102" s="379">
        <v>188874</v>
      </c>
      <c r="AQ102" s="379"/>
      <c r="AR102" s="379">
        <v>4404</v>
      </c>
      <c r="AS102" s="379">
        <v>3969</v>
      </c>
      <c r="AT102" s="318">
        <f t="shared" si="105"/>
        <v>197247</v>
      </c>
      <c r="AU102" s="381">
        <v>364312</v>
      </c>
      <c r="AV102" s="382">
        <v>0</v>
      </c>
      <c r="AW102" s="382">
        <v>0</v>
      </c>
      <c r="AX102" s="382">
        <v>45991</v>
      </c>
      <c r="AY102" s="382">
        <v>0</v>
      </c>
      <c r="AZ102" s="382">
        <v>60783</v>
      </c>
      <c r="BA102" s="382">
        <v>57636</v>
      </c>
      <c r="BB102" s="319">
        <f t="shared" si="106"/>
        <v>528722</v>
      </c>
      <c r="BC102" s="328">
        <v>290568</v>
      </c>
      <c r="BD102" s="329">
        <v>0</v>
      </c>
      <c r="BE102" s="329">
        <v>0</v>
      </c>
      <c r="BF102" s="329">
        <v>55056</v>
      </c>
      <c r="BG102" s="329">
        <v>0</v>
      </c>
      <c r="BH102" s="329">
        <v>21740</v>
      </c>
      <c r="BI102" s="329">
        <v>32880</v>
      </c>
      <c r="BJ102" s="314">
        <f>SUM(BC102:BI102)</f>
        <v>400244</v>
      </c>
      <c r="BK102" s="40" t="s">
        <v>13546</v>
      </c>
      <c r="BL102" s="320">
        <v>47</v>
      </c>
      <c r="BM102" s="320">
        <v>2.5</v>
      </c>
      <c r="BN102" s="320">
        <v>3.6</v>
      </c>
      <c r="BO102" s="341" t="s">
        <v>14897</v>
      </c>
      <c r="BP102" s="155">
        <v>311</v>
      </c>
      <c r="BQ102" s="344"/>
      <c r="BR102" s="314">
        <v>111</v>
      </c>
      <c r="BS102" s="314" t="s">
        <v>20654</v>
      </c>
      <c r="BT102" s="312">
        <v>346</v>
      </c>
      <c r="BU102" s="343">
        <v>44</v>
      </c>
      <c r="BV102" s="343">
        <v>2.4</v>
      </c>
      <c r="BW102" s="343">
        <v>3.5</v>
      </c>
      <c r="BX102" s="325" t="s">
        <v>20655</v>
      </c>
    </row>
    <row r="103" spans="1:76" ht="15.75" customHeight="1">
      <c r="A103" s="4" t="s">
        <v>15258</v>
      </c>
      <c r="B103" s="311" t="s">
        <v>15263</v>
      </c>
      <c r="C103" s="155">
        <v>161</v>
      </c>
      <c r="D103" s="312">
        <v>162</v>
      </c>
      <c r="E103" s="341" t="s">
        <v>14696</v>
      </c>
      <c r="F103" s="314">
        <v>106</v>
      </c>
      <c r="G103" s="316">
        <f>COUNTA(ME_74_D)</f>
        <v>48</v>
      </c>
      <c r="H103" s="316">
        <f>COUNTIF(ME_74_G,"TT")</f>
        <v>34</v>
      </c>
      <c r="I103" s="316">
        <f t="shared" si="90"/>
        <v>14</v>
      </c>
      <c r="J103" s="316">
        <f>COUNTA(ME_74_D)</f>
        <v>48</v>
      </c>
      <c r="K103" s="316">
        <f>COUNTIF(ME_74_G,"TT")</f>
        <v>34</v>
      </c>
      <c r="L103" s="316">
        <f t="shared" si="91"/>
        <v>14</v>
      </c>
      <c r="M103" s="316">
        <f>COUNTIFS('Mechanical Engineering Faculty'!$F$4322:$F$4369,M$1)</f>
        <v>14</v>
      </c>
      <c r="N103" s="316">
        <f>COUNTIFS('Mechanical Engineering Faculty'!$F$4322:$F$4369,N$1)</f>
        <v>15</v>
      </c>
      <c r="O103" s="316">
        <f>COUNTIFS('Mechanical Engineering Faculty'!$F$4322:$F$4369,O$1)</f>
        <v>5</v>
      </c>
      <c r="P103" s="316">
        <f>COUNTIFS(ME_74_G,"TT", ME_74_D,P$1)</f>
        <v>14</v>
      </c>
      <c r="Q103" s="316">
        <f>COUNTIFS(ME_74_G,"TT", ME_74_D,Q$1)</f>
        <v>15</v>
      </c>
      <c r="R103" s="316">
        <f>COUNTIFS(ME_74_G,"TT", ME_74_D,R$1)</f>
        <v>5</v>
      </c>
      <c r="S103" s="316">
        <f>COUNTIF(ME_74_D,S$1)</f>
        <v>12</v>
      </c>
      <c r="T103" s="316">
        <f t="shared" si="100"/>
        <v>0</v>
      </c>
      <c r="U103" s="316">
        <f t="shared" si="101"/>
        <v>0</v>
      </c>
      <c r="V103" s="316">
        <f t="shared" si="102"/>
        <v>0</v>
      </c>
      <c r="W103" s="316">
        <f t="shared" ref="W103:AB103" si="111">COUNTIF(ME_74_D,W$1)</f>
        <v>2</v>
      </c>
      <c r="X103" s="316">
        <f t="shared" si="111"/>
        <v>0</v>
      </c>
      <c r="Y103" s="316">
        <f t="shared" si="111"/>
        <v>0</v>
      </c>
      <c r="Z103" s="316">
        <f t="shared" si="111"/>
        <v>0</v>
      </c>
      <c r="AA103" s="316">
        <f t="shared" si="111"/>
        <v>0</v>
      </c>
      <c r="AB103" s="316">
        <f t="shared" si="111"/>
        <v>0</v>
      </c>
      <c r="AC103" s="315">
        <f>COUNTIF(ME_74_E,AC$1)+COUNTIF(ME_74_E,"E/D")</f>
        <v>4</v>
      </c>
      <c r="AD103" s="315">
        <f>COUNTIF(ME_74_E,AD$1)+COUNTIF(ME_74_E,"E/D")</f>
        <v>1</v>
      </c>
      <c r="AE103" s="377" t="s">
        <v>55</v>
      </c>
      <c r="AF103" s="406" t="s">
        <v>55</v>
      </c>
      <c r="AG103" s="406" t="s">
        <v>55</v>
      </c>
      <c r="AH103" s="406" t="s">
        <v>55</v>
      </c>
      <c r="AI103" s="406" t="s">
        <v>55</v>
      </c>
      <c r="AJ103" s="406" t="s">
        <v>55</v>
      </c>
      <c r="AK103" s="406" t="s">
        <v>55</v>
      </c>
      <c r="AL103" s="318">
        <f t="shared" si="104"/>
        <v>0</v>
      </c>
      <c r="AM103" s="377" t="s">
        <v>55</v>
      </c>
      <c r="AN103" s="406" t="s">
        <v>55</v>
      </c>
      <c r="AO103" s="406" t="s">
        <v>55</v>
      </c>
      <c r="AP103" s="406" t="s">
        <v>55</v>
      </c>
      <c r="AQ103" s="406" t="s">
        <v>55</v>
      </c>
      <c r="AR103" s="406" t="s">
        <v>55</v>
      </c>
      <c r="AS103" s="406" t="s">
        <v>55</v>
      </c>
      <c r="AT103" s="318">
        <f t="shared" si="105"/>
        <v>0</v>
      </c>
      <c r="AU103" s="377" t="s">
        <v>55</v>
      </c>
      <c r="AV103" s="406" t="s">
        <v>55</v>
      </c>
      <c r="AW103" s="406" t="s">
        <v>55</v>
      </c>
      <c r="AX103" s="406" t="s">
        <v>55</v>
      </c>
      <c r="AY103" s="406" t="s">
        <v>55</v>
      </c>
      <c r="AZ103" s="406" t="s">
        <v>55</v>
      </c>
      <c r="BA103" s="409" t="s">
        <v>55</v>
      </c>
      <c r="BB103" s="319">
        <f t="shared" si="106"/>
        <v>0</v>
      </c>
      <c r="BC103" s="411" t="s">
        <v>55</v>
      </c>
      <c r="BD103" s="413" t="s">
        <v>55</v>
      </c>
      <c r="BE103" s="413" t="s">
        <v>55</v>
      </c>
      <c r="BF103" s="413" t="s">
        <v>55</v>
      </c>
      <c r="BG103" s="413" t="s">
        <v>55</v>
      </c>
      <c r="BH103" s="413" t="s">
        <v>55</v>
      </c>
      <c r="BI103" s="413" t="s">
        <v>55</v>
      </c>
      <c r="BJ103" s="332" t="s">
        <v>55</v>
      </c>
      <c r="BK103" s="40" t="s">
        <v>13413</v>
      </c>
      <c r="BL103" s="320">
        <v>44</v>
      </c>
      <c r="BM103" s="320">
        <v>2.5</v>
      </c>
      <c r="BN103" s="320">
        <v>2.9</v>
      </c>
      <c r="BO103" s="341" t="s">
        <v>15304</v>
      </c>
      <c r="BP103" s="155">
        <v>427</v>
      </c>
      <c r="BQ103" s="344"/>
      <c r="BR103" s="314">
        <v>102</v>
      </c>
      <c r="BS103" s="314" t="s">
        <v>20662</v>
      </c>
      <c r="BT103" s="340">
        <v>544</v>
      </c>
      <c r="BU103" s="343">
        <v>47</v>
      </c>
      <c r="BV103" s="343">
        <v>2.6</v>
      </c>
      <c r="BW103" s="343">
        <v>2.9</v>
      </c>
      <c r="BX103" s="325" t="s">
        <v>20663</v>
      </c>
    </row>
    <row r="104" spans="1:76" ht="15.75" customHeight="1">
      <c r="A104" s="4" t="s">
        <v>15501</v>
      </c>
      <c r="B104" s="311" t="s">
        <v>2714</v>
      </c>
      <c r="C104" s="155" t="s">
        <v>55</v>
      </c>
      <c r="D104" s="312" t="s">
        <v>20474</v>
      </c>
      <c r="E104" s="40" t="s">
        <v>14696</v>
      </c>
      <c r="F104" s="314">
        <v>106</v>
      </c>
      <c r="G104" s="316">
        <f>COUNTA(ME_76_D)</f>
        <v>18</v>
      </c>
      <c r="H104" s="316">
        <f>COUNTIF(ME_76_G,"TT")</f>
        <v>15</v>
      </c>
      <c r="I104" s="316">
        <f t="shared" si="90"/>
        <v>3</v>
      </c>
      <c r="J104" s="316">
        <f>COUNTA(ME_76_D)</f>
        <v>18</v>
      </c>
      <c r="K104" s="316">
        <f>COUNTIF(ME_76_G,"TT")</f>
        <v>15</v>
      </c>
      <c r="L104" s="316">
        <f t="shared" si="91"/>
        <v>3</v>
      </c>
      <c r="M104" s="316">
        <f>COUNTIFS('Mechanical Engineering Faculty'!$F$4390:$F$4407,M$1)</f>
        <v>9</v>
      </c>
      <c r="N104" s="316">
        <f>COUNTIFS('Mechanical Engineering Faculty'!$F$4390:$F$4407,N$1)</f>
        <v>4</v>
      </c>
      <c r="O104" s="316">
        <f>COUNTIFS('Mechanical Engineering Faculty'!$F$4390:$F$4407,O$1)</f>
        <v>2</v>
      </c>
      <c r="P104" s="316">
        <f>COUNTIFS(ME_76_G,"TT", ME_76_D,P$1)</f>
        <v>9</v>
      </c>
      <c r="Q104" s="316">
        <f>COUNTIFS(ME_76_G,"TT", ME_76_D,Q$1)</f>
        <v>4</v>
      </c>
      <c r="R104" s="316">
        <f>COUNTIFS(ME_76_G,"TT", ME_76_D,R$1)</f>
        <v>2</v>
      </c>
      <c r="S104" s="316">
        <f>COUNTIF(ME_76_D,S$1)</f>
        <v>3</v>
      </c>
      <c r="T104" s="316">
        <f t="shared" si="100"/>
        <v>0</v>
      </c>
      <c r="U104" s="316">
        <f t="shared" si="101"/>
        <v>0</v>
      </c>
      <c r="V104" s="316">
        <f t="shared" si="102"/>
        <v>0</v>
      </c>
      <c r="W104" s="316">
        <f t="shared" ref="W104:AB104" si="112">COUNTIF(ME_76_D,W$1)</f>
        <v>0</v>
      </c>
      <c r="X104" s="316">
        <f t="shared" si="112"/>
        <v>0</v>
      </c>
      <c r="Y104" s="316">
        <f t="shared" si="112"/>
        <v>0</v>
      </c>
      <c r="Z104" s="316">
        <f t="shared" si="112"/>
        <v>0</v>
      </c>
      <c r="AA104" s="316">
        <f t="shared" si="112"/>
        <v>0</v>
      </c>
      <c r="AB104" s="316">
        <f t="shared" si="112"/>
        <v>0</v>
      </c>
      <c r="AC104" s="315">
        <f>COUNTIF(ME_76_E,AC$1)+COUNTIF(ME_76_E,"E/D")</f>
        <v>0</v>
      </c>
      <c r="AD104" s="315">
        <f>COUNTIF(ME_76_E,AD$1)+COUNTIF(ME_76_E,"E/D")</f>
        <v>0</v>
      </c>
      <c r="AE104" s="378">
        <v>767573</v>
      </c>
      <c r="AF104" s="378">
        <v>0</v>
      </c>
      <c r="AG104" s="378">
        <v>0</v>
      </c>
      <c r="AH104" s="378">
        <v>3244</v>
      </c>
      <c r="AI104" s="378">
        <v>0</v>
      </c>
      <c r="AJ104" s="378">
        <v>82286</v>
      </c>
      <c r="AK104" s="378">
        <v>156432</v>
      </c>
      <c r="AL104" s="318">
        <f t="shared" si="104"/>
        <v>1009535</v>
      </c>
      <c r="AM104" s="378">
        <v>1043908</v>
      </c>
      <c r="AN104" s="378"/>
      <c r="AO104" s="378"/>
      <c r="AP104" s="378">
        <v>0</v>
      </c>
      <c r="AQ104" s="378"/>
      <c r="AR104" s="378">
        <v>59235</v>
      </c>
      <c r="AS104" s="378">
        <v>130602</v>
      </c>
      <c r="AT104" s="318">
        <f t="shared" si="105"/>
        <v>1233745</v>
      </c>
      <c r="AU104" s="381">
        <v>1555963</v>
      </c>
      <c r="AV104" s="381"/>
      <c r="AW104" s="381"/>
      <c r="AX104" s="381">
        <v>50149</v>
      </c>
      <c r="AY104" s="381"/>
      <c r="AZ104" s="381">
        <v>1000</v>
      </c>
      <c r="BA104" s="381">
        <v>211128</v>
      </c>
      <c r="BB104" s="319">
        <f t="shared" si="106"/>
        <v>1818240</v>
      </c>
      <c r="BC104" s="412">
        <v>1531863</v>
      </c>
      <c r="BD104" s="412">
        <v>0</v>
      </c>
      <c r="BE104" s="412">
        <v>0</v>
      </c>
      <c r="BF104" s="412">
        <v>84051</v>
      </c>
      <c r="BG104" s="412">
        <v>0</v>
      </c>
      <c r="BH104" s="412">
        <v>110</v>
      </c>
      <c r="BI104" s="412">
        <v>422903</v>
      </c>
      <c r="BJ104" s="314">
        <f>SUM(BC104:BI104)</f>
        <v>2038927</v>
      </c>
      <c r="BK104" s="40" t="s">
        <v>11020</v>
      </c>
      <c r="BL104" s="320">
        <v>46</v>
      </c>
      <c r="BM104" s="320">
        <v>2.5</v>
      </c>
      <c r="BN104" s="320">
        <v>3</v>
      </c>
      <c r="BO104" s="341" t="s">
        <v>15548</v>
      </c>
      <c r="BP104" s="155">
        <v>1607</v>
      </c>
      <c r="BQ104" s="344"/>
      <c r="BR104" s="314">
        <v>99</v>
      </c>
      <c r="BS104" s="314"/>
      <c r="BT104" s="314"/>
      <c r="BU104" s="314"/>
      <c r="BV104" s="314"/>
      <c r="BW104" s="314"/>
      <c r="BX104" s="325" t="s">
        <v>20666</v>
      </c>
    </row>
    <row r="105" spans="1:76" ht="15.75" customHeight="1">
      <c r="A105" s="372" t="s">
        <v>15576</v>
      </c>
      <c r="B105" s="384" t="s">
        <v>2628</v>
      </c>
      <c r="C105" s="155">
        <v>162</v>
      </c>
      <c r="D105" s="312">
        <v>161</v>
      </c>
      <c r="E105" s="40" t="s">
        <v>14696</v>
      </c>
      <c r="F105" s="314">
        <v>106</v>
      </c>
      <c r="G105" s="316">
        <f>COUNTA(ME_77_D)</f>
        <v>25</v>
      </c>
      <c r="H105" s="316">
        <f>COUNTIF(ME_77_G,"TT")</f>
        <v>21</v>
      </c>
      <c r="I105" s="316">
        <f t="shared" si="90"/>
        <v>4</v>
      </c>
      <c r="J105" s="316">
        <f>COUNTA(ME_77_D)</f>
        <v>25</v>
      </c>
      <c r="K105" s="316">
        <f>COUNTIF(ME_77_G,"TT")</f>
        <v>21</v>
      </c>
      <c r="L105" s="316">
        <f t="shared" si="91"/>
        <v>4</v>
      </c>
      <c r="M105" s="316">
        <f>COUNTIFS('Mechanical Engineering Faculty'!$F$4427:$F$4451,M$1)</f>
        <v>13</v>
      </c>
      <c r="N105" s="316">
        <f>COUNTIFS('Mechanical Engineering Faculty'!$F$4427:$F$4451,N$1)</f>
        <v>4</v>
      </c>
      <c r="O105" s="316">
        <f>COUNTIFS('Mechanical Engineering Faculty'!$F$4427:$F$4451,O$1)</f>
        <v>5</v>
      </c>
      <c r="P105" s="316">
        <f>COUNTIFS(ME_77_G,"TT", ME_77_D,P$1)</f>
        <v>12</v>
      </c>
      <c r="Q105" s="316">
        <f>COUNTIFS(ME_77_G,"TT", ME_77_D,Q$1)</f>
        <v>4</v>
      </c>
      <c r="R105" s="316">
        <f>COUNTIFS(ME_77_G,"TT", ME_77_D,R$1)</f>
        <v>5</v>
      </c>
      <c r="S105" s="316">
        <f>COUNTIF(ME_77_D,S$1)</f>
        <v>0</v>
      </c>
      <c r="T105" s="316">
        <f t="shared" si="100"/>
        <v>-1</v>
      </c>
      <c r="U105" s="316">
        <f t="shared" si="101"/>
        <v>0</v>
      </c>
      <c r="V105" s="316">
        <f t="shared" si="102"/>
        <v>0</v>
      </c>
      <c r="W105" s="316">
        <f t="shared" ref="W105:AB105" si="113">COUNTIF(ME_77_D,W$1)</f>
        <v>1</v>
      </c>
      <c r="X105" s="316">
        <f t="shared" si="113"/>
        <v>0</v>
      </c>
      <c r="Y105" s="316">
        <f t="shared" si="113"/>
        <v>1</v>
      </c>
      <c r="Z105" s="316">
        <f t="shared" si="113"/>
        <v>0</v>
      </c>
      <c r="AA105" s="316">
        <f t="shared" si="113"/>
        <v>0</v>
      </c>
      <c r="AB105" s="316">
        <f t="shared" si="113"/>
        <v>1</v>
      </c>
      <c r="AC105" s="315">
        <f>COUNTIF(ME_77_E,AC$1)+COUNTIF(ME_77_E,"E/D")</f>
        <v>1</v>
      </c>
      <c r="AD105" s="315">
        <f>COUNTIF(ME_77_E,AD$1)+COUNTIF(ME_77_E,"E/D")</f>
        <v>4</v>
      </c>
      <c r="AE105" s="378">
        <v>2093228</v>
      </c>
      <c r="AF105" s="379"/>
      <c r="AG105" s="379"/>
      <c r="AH105" s="379">
        <v>174749</v>
      </c>
      <c r="AI105" s="379"/>
      <c r="AJ105" s="379">
        <v>16963</v>
      </c>
      <c r="AK105" s="379">
        <v>0</v>
      </c>
      <c r="AL105" s="318">
        <f t="shared" si="104"/>
        <v>2284940</v>
      </c>
      <c r="AM105" s="378">
        <v>2907237</v>
      </c>
      <c r="AN105" s="379"/>
      <c r="AO105" s="379"/>
      <c r="AP105" s="379">
        <v>153044</v>
      </c>
      <c r="AQ105" s="379"/>
      <c r="AR105" s="379">
        <v>83</v>
      </c>
      <c r="AS105" s="379">
        <v>3401</v>
      </c>
      <c r="AT105" s="318">
        <f t="shared" si="105"/>
        <v>3063765</v>
      </c>
      <c r="AU105" s="381">
        <v>2919316</v>
      </c>
      <c r="AV105" s="382"/>
      <c r="AW105" s="382"/>
      <c r="AX105" s="382">
        <v>7170</v>
      </c>
      <c r="AY105" s="382"/>
      <c r="AZ105" s="382">
        <v>2514</v>
      </c>
      <c r="BA105" s="382">
        <v>9075</v>
      </c>
      <c r="BB105" s="319">
        <f t="shared" si="106"/>
        <v>2938075</v>
      </c>
      <c r="BC105" s="328">
        <v>3886830</v>
      </c>
      <c r="BD105" s="329">
        <v>0</v>
      </c>
      <c r="BE105" s="329">
        <v>0</v>
      </c>
      <c r="BF105" s="329">
        <v>129816</v>
      </c>
      <c r="BG105" s="329">
        <v>0</v>
      </c>
      <c r="BH105" s="329">
        <v>51803</v>
      </c>
      <c r="BI105" s="329">
        <v>0</v>
      </c>
      <c r="BJ105" s="314">
        <f>SUM(BC105:BI105)</f>
        <v>4068449</v>
      </c>
      <c r="BK105" s="40" t="s">
        <v>13546</v>
      </c>
      <c r="BL105" s="320">
        <v>47</v>
      </c>
      <c r="BM105" s="320">
        <v>2.4</v>
      </c>
      <c r="BN105" s="320">
        <v>2.9</v>
      </c>
      <c r="BO105" s="341" t="s">
        <v>15625</v>
      </c>
      <c r="BP105" s="155">
        <v>415</v>
      </c>
      <c r="BQ105" s="314">
        <v>68</v>
      </c>
      <c r="BR105" s="314">
        <v>102</v>
      </c>
      <c r="BS105" s="314"/>
      <c r="BT105" s="314"/>
      <c r="BU105" s="314"/>
      <c r="BV105" s="314"/>
      <c r="BW105" s="314"/>
      <c r="BX105" s="325" t="s">
        <v>20667</v>
      </c>
    </row>
    <row r="106" spans="1:76" ht="15.75" customHeight="1">
      <c r="A106" s="4" t="s">
        <v>15764</v>
      </c>
      <c r="B106" s="384" t="s">
        <v>14921</v>
      </c>
      <c r="C106" s="155">
        <v>156</v>
      </c>
      <c r="D106" s="312">
        <v>158</v>
      </c>
      <c r="E106" s="40" t="s">
        <v>14696</v>
      </c>
      <c r="F106" s="314">
        <v>106</v>
      </c>
      <c r="G106" s="316">
        <f>COUNTA(ME_79_D)</f>
        <v>26</v>
      </c>
      <c r="H106" s="316">
        <f>COUNTIF(ME_79_G,"TT")</f>
        <v>26</v>
      </c>
      <c r="I106" s="316">
        <f t="shared" si="90"/>
        <v>0</v>
      </c>
      <c r="J106" s="316">
        <f>COUNTA(ME_79_D)</f>
        <v>26</v>
      </c>
      <c r="K106" s="316">
        <f>COUNTIF(ME_79_G,"TT")</f>
        <v>26</v>
      </c>
      <c r="L106" s="316">
        <f t="shared" si="91"/>
        <v>0</v>
      </c>
      <c r="M106" s="316">
        <f>COUNTIFS('Mechanical Engineering Faculty'!$F$4476:$F$4501,M$1)</f>
        <v>9</v>
      </c>
      <c r="N106" s="316">
        <f>COUNTIFS('Mechanical Engineering Faculty'!$F$4476:$F$4501,N$1)</f>
        <v>10</v>
      </c>
      <c r="O106" s="316">
        <f>COUNTIFS('Mechanical Engineering Faculty'!$F$4476:$F$4501,O$1)</f>
        <v>7</v>
      </c>
      <c r="P106" s="316">
        <f>COUNTIFS(ME_79_G,"TT", ME_79_D,P$1)</f>
        <v>9</v>
      </c>
      <c r="Q106" s="316">
        <f>COUNTIFS(ME_79_G,"TT", ME_79_D,Q$1)</f>
        <v>10</v>
      </c>
      <c r="R106" s="316">
        <f>COUNTIFS(ME_79_G,"TT", ME_79_D,R$1)</f>
        <v>7</v>
      </c>
      <c r="S106" s="316">
        <f>COUNTIF(ME_79_D,S$1)</f>
        <v>0</v>
      </c>
      <c r="T106" s="316">
        <f t="shared" si="100"/>
        <v>0</v>
      </c>
      <c r="U106" s="316">
        <f t="shared" si="101"/>
        <v>0</v>
      </c>
      <c r="V106" s="316">
        <f t="shared" si="102"/>
        <v>0</v>
      </c>
      <c r="W106" s="316">
        <f t="shared" ref="W106:AB106" si="114">COUNTIF(ME_79_D,W$1)</f>
        <v>0</v>
      </c>
      <c r="X106" s="316">
        <f t="shared" si="114"/>
        <v>0</v>
      </c>
      <c r="Y106" s="316">
        <f t="shared" si="114"/>
        <v>0</v>
      </c>
      <c r="Z106" s="316">
        <f t="shared" si="114"/>
        <v>0</v>
      </c>
      <c r="AA106" s="316">
        <f t="shared" si="114"/>
        <v>0</v>
      </c>
      <c r="AB106" s="316">
        <f t="shared" si="114"/>
        <v>0</v>
      </c>
      <c r="AC106" s="315">
        <f>COUNTIF(ME_79_E,AC$1)+COUNTIF(ME_79_E,"E/D")</f>
        <v>0</v>
      </c>
      <c r="AD106" s="315">
        <f>COUNTIF(ME_79_E,AD$1)+COUNTIF(ME_79_E,"E/D")</f>
        <v>1</v>
      </c>
      <c r="AE106" s="377" t="s">
        <v>55</v>
      </c>
      <c r="AF106" s="406" t="s">
        <v>55</v>
      </c>
      <c r="AG106" s="406" t="s">
        <v>55</v>
      </c>
      <c r="AH106" s="406" t="s">
        <v>55</v>
      </c>
      <c r="AI106" s="406" t="s">
        <v>55</v>
      </c>
      <c r="AJ106" s="406" t="s">
        <v>55</v>
      </c>
      <c r="AK106" s="406" t="s">
        <v>55</v>
      </c>
      <c r="AL106" s="318">
        <f t="shared" si="104"/>
        <v>0</v>
      </c>
      <c r="AM106" s="377" t="s">
        <v>55</v>
      </c>
      <c r="AN106" s="406" t="s">
        <v>55</v>
      </c>
      <c r="AO106" s="406" t="s">
        <v>55</v>
      </c>
      <c r="AP106" s="406" t="s">
        <v>55</v>
      </c>
      <c r="AQ106" s="406" t="s">
        <v>55</v>
      </c>
      <c r="AR106" s="406" t="s">
        <v>55</v>
      </c>
      <c r="AS106" s="406" t="s">
        <v>55</v>
      </c>
      <c r="AT106" s="318">
        <f t="shared" si="105"/>
        <v>0</v>
      </c>
      <c r="AU106" s="377" t="s">
        <v>55</v>
      </c>
      <c r="AV106" s="406" t="s">
        <v>55</v>
      </c>
      <c r="AW106" s="406" t="s">
        <v>55</v>
      </c>
      <c r="AX106" s="406" t="s">
        <v>55</v>
      </c>
      <c r="AY106" s="406" t="s">
        <v>55</v>
      </c>
      <c r="AZ106" s="406" t="s">
        <v>55</v>
      </c>
      <c r="BA106" s="409" t="s">
        <v>55</v>
      </c>
      <c r="BB106" s="319">
        <f t="shared" si="106"/>
        <v>0</v>
      </c>
      <c r="BC106" s="411" t="s">
        <v>55</v>
      </c>
      <c r="BD106" s="413" t="s">
        <v>55</v>
      </c>
      <c r="BE106" s="413" t="s">
        <v>55</v>
      </c>
      <c r="BF106" s="413" t="s">
        <v>55</v>
      </c>
      <c r="BG106" s="413" t="s">
        <v>55</v>
      </c>
      <c r="BH106" s="413" t="s">
        <v>55</v>
      </c>
      <c r="BI106" s="413" t="s">
        <v>55</v>
      </c>
      <c r="BJ106" s="332" t="s">
        <v>55</v>
      </c>
      <c r="BK106" s="40" t="s">
        <v>13413</v>
      </c>
      <c r="BL106" s="320">
        <v>44</v>
      </c>
      <c r="BM106" s="320">
        <v>2.4</v>
      </c>
      <c r="BN106" s="320">
        <v>2.7</v>
      </c>
      <c r="BO106" s="341" t="s">
        <v>15809</v>
      </c>
      <c r="BP106" s="155">
        <v>212</v>
      </c>
      <c r="BQ106" s="314"/>
      <c r="BR106" s="314">
        <v>120</v>
      </c>
      <c r="BS106" s="314"/>
      <c r="BT106" s="314"/>
      <c r="BU106" s="314"/>
      <c r="BV106" s="314"/>
      <c r="BW106" s="314"/>
      <c r="BX106" s="325" t="s">
        <v>20669</v>
      </c>
    </row>
    <row r="107" spans="1:76" ht="15.75" customHeight="1">
      <c r="A107" s="4" t="s">
        <v>15862</v>
      </c>
      <c r="B107" s="384" t="s">
        <v>2714</v>
      </c>
      <c r="C107" s="155">
        <v>161</v>
      </c>
      <c r="D107" s="312">
        <v>158</v>
      </c>
      <c r="E107" s="40" t="s">
        <v>14696</v>
      </c>
      <c r="F107" s="314">
        <v>106</v>
      </c>
      <c r="G107" s="316">
        <f>COUNTA(ME_80_D)</f>
        <v>41</v>
      </c>
      <c r="H107" s="316">
        <f>COUNTIF(ME_80_G,"TT")</f>
        <v>29</v>
      </c>
      <c r="I107" s="316">
        <f t="shared" si="90"/>
        <v>12</v>
      </c>
      <c r="J107" s="316">
        <f>COUNTA(ME_80_D)</f>
        <v>41</v>
      </c>
      <c r="K107" s="316">
        <f>COUNTIF(ME_80_G,"TT")</f>
        <v>29</v>
      </c>
      <c r="L107" s="316">
        <f t="shared" si="91"/>
        <v>12</v>
      </c>
      <c r="M107" s="316">
        <f>COUNTIFS('Mechanical Engineering Faculty'!$F$4503:$F$4543,M$1)</f>
        <v>14</v>
      </c>
      <c r="N107" s="316">
        <f>COUNTIFS('Mechanical Engineering Faculty'!$F$4503:$F$4543,N$1)</f>
        <v>12</v>
      </c>
      <c r="O107" s="316">
        <f>COUNTIFS('Mechanical Engineering Faculty'!$F$4503:$F$4543,O$1)</f>
        <v>3</v>
      </c>
      <c r="P107" s="316">
        <f>COUNTIFS(ME_80_G,"TT", ME_80_D,P$1)</f>
        <v>14</v>
      </c>
      <c r="Q107" s="316">
        <f>COUNTIFS(ME_80_G,"TT", ME_80_D,Q$1)</f>
        <v>12</v>
      </c>
      <c r="R107" s="316">
        <f>COUNTIFS(ME_80_G,"TT", ME_80_D,R$1)</f>
        <v>3</v>
      </c>
      <c r="S107" s="316">
        <f>COUNTIF(ME_80_D,S$1)</f>
        <v>0</v>
      </c>
      <c r="T107" s="316">
        <f t="shared" si="100"/>
        <v>0</v>
      </c>
      <c r="U107" s="316">
        <f t="shared" si="101"/>
        <v>0</v>
      </c>
      <c r="V107" s="316">
        <f t="shared" si="102"/>
        <v>0</v>
      </c>
      <c r="W107" s="316">
        <f t="shared" ref="W107:AB107" si="115">COUNTIF(ME_80_D,W$1)</f>
        <v>0</v>
      </c>
      <c r="X107" s="316">
        <f t="shared" si="115"/>
        <v>2</v>
      </c>
      <c r="Y107" s="316">
        <f t="shared" si="115"/>
        <v>4</v>
      </c>
      <c r="Z107" s="316">
        <f t="shared" si="115"/>
        <v>0</v>
      </c>
      <c r="AA107" s="316">
        <f t="shared" si="115"/>
        <v>2</v>
      </c>
      <c r="AB107" s="316">
        <f t="shared" si="115"/>
        <v>4</v>
      </c>
      <c r="AC107" s="315">
        <f>COUNTIF(ME_80_E,AC$1)+COUNTIF(ME_80_E,"E/D")</f>
        <v>0</v>
      </c>
      <c r="AD107" s="315">
        <f>COUNTIF(ME_80_E,AD$1)+COUNTIF(ME_80_E,"E/D")</f>
        <v>0</v>
      </c>
      <c r="AE107" s="378">
        <v>5992844</v>
      </c>
      <c r="AF107" s="378"/>
      <c r="AG107" s="378"/>
      <c r="AH107" s="378"/>
      <c r="AI107" s="378"/>
      <c r="AJ107" s="378">
        <v>2265305</v>
      </c>
      <c r="AK107" s="378">
        <v>106264</v>
      </c>
      <c r="AL107" s="318">
        <f t="shared" si="104"/>
        <v>8364413</v>
      </c>
      <c r="AM107" s="378">
        <v>6241680</v>
      </c>
      <c r="AN107" s="378"/>
      <c r="AO107" s="378"/>
      <c r="AP107" s="378"/>
      <c r="AQ107" s="378"/>
      <c r="AR107" s="378">
        <v>671467</v>
      </c>
      <c r="AS107" s="378">
        <v>97194</v>
      </c>
      <c r="AT107" s="318">
        <f t="shared" si="105"/>
        <v>7010341</v>
      </c>
      <c r="AU107" s="381">
        <v>8573980</v>
      </c>
      <c r="AV107" s="381"/>
      <c r="AW107" s="381"/>
      <c r="AX107" s="381">
        <v>0</v>
      </c>
      <c r="AY107" s="381"/>
      <c r="AZ107" s="381">
        <v>597897</v>
      </c>
      <c r="BA107" s="381">
        <v>186127</v>
      </c>
      <c r="BB107" s="319">
        <f t="shared" si="106"/>
        <v>9358004</v>
      </c>
      <c r="BC107" s="412">
        <v>9226200</v>
      </c>
      <c r="BD107" s="412">
        <v>0</v>
      </c>
      <c r="BE107" s="412">
        <v>0</v>
      </c>
      <c r="BF107" s="412">
        <v>0</v>
      </c>
      <c r="BG107" s="412">
        <v>0</v>
      </c>
      <c r="BH107" s="412">
        <v>602454</v>
      </c>
      <c r="BI107" s="412">
        <v>109558</v>
      </c>
      <c r="BJ107" s="314">
        <f>SUM(BC107:BI107)</f>
        <v>9938212</v>
      </c>
      <c r="BK107" s="40" t="s">
        <v>13076</v>
      </c>
      <c r="BL107" s="320">
        <v>43</v>
      </c>
      <c r="BM107" s="320">
        <v>2.2999999999999998</v>
      </c>
      <c r="BN107" s="320">
        <v>2.8</v>
      </c>
      <c r="BO107" s="341" t="s">
        <v>15907</v>
      </c>
      <c r="BP107" s="155">
        <v>422</v>
      </c>
      <c r="BQ107" s="314">
        <v>77</v>
      </c>
      <c r="BR107" s="314">
        <v>124</v>
      </c>
      <c r="BS107" s="314"/>
      <c r="BT107" s="314"/>
      <c r="BU107" s="314"/>
      <c r="BV107" s="314"/>
      <c r="BW107" s="314"/>
      <c r="BX107" s="325" t="s">
        <v>20670</v>
      </c>
    </row>
    <row r="108" spans="1:76" ht="15.75" customHeight="1">
      <c r="A108" s="4" t="s">
        <v>16011</v>
      </c>
      <c r="B108" s="384" t="s">
        <v>2714</v>
      </c>
      <c r="C108" s="155">
        <v>165</v>
      </c>
      <c r="D108" s="312">
        <v>159</v>
      </c>
      <c r="E108" s="341" t="s">
        <v>16024</v>
      </c>
      <c r="F108" s="314">
        <v>106</v>
      </c>
      <c r="G108" s="316">
        <f>COUNTA(ME_81_D)</f>
        <v>18</v>
      </c>
      <c r="H108" s="316">
        <f>COUNTIF(ME_81_G,"TT")</f>
        <v>15</v>
      </c>
      <c r="I108" s="316">
        <f t="shared" si="90"/>
        <v>3</v>
      </c>
      <c r="J108" s="316">
        <f>COUNTA(ME_81_D)</f>
        <v>18</v>
      </c>
      <c r="K108" s="316">
        <f>COUNTIF(ME_81_G,"TT")</f>
        <v>15</v>
      </c>
      <c r="L108" s="316">
        <f t="shared" si="91"/>
        <v>3</v>
      </c>
      <c r="M108" s="316">
        <f>COUNTIFS('Mechanical Engineering Faculty'!$F$4545:$F$4562,M$1)</f>
        <v>7</v>
      </c>
      <c r="N108" s="316">
        <f>COUNTIFS('Mechanical Engineering Faculty'!$F$4545:$F$4562,N$1)</f>
        <v>2</v>
      </c>
      <c r="O108" s="316">
        <f>COUNTIFS('Mechanical Engineering Faculty'!$F$4545:$F$4562,O$1)</f>
        <v>6</v>
      </c>
      <c r="P108" s="316">
        <f>COUNTIFS(ME_81_G,"TT", ME_81_D,P$1)</f>
        <v>7</v>
      </c>
      <c r="Q108" s="316">
        <f>COUNTIFS(ME_81_G,"TT", ME_81_D,Q$1)</f>
        <v>2</v>
      </c>
      <c r="R108" s="316">
        <f>COUNTIFS(ME_81_G,"TT", ME_81_D,R$1)</f>
        <v>6</v>
      </c>
      <c r="S108" s="316">
        <f>COUNTIF(ME_81_D,S$1)</f>
        <v>2</v>
      </c>
      <c r="T108" s="316">
        <f t="shared" si="100"/>
        <v>0</v>
      </c>
      <c r="U108" s="316">
        <f t="shared" si="101"/>
        <v>0</v>
      </c>
      <c r="V108" s="316">
        <f t="shared" si="102"/>
        <v>0</v>
      </c>
      <c r="W108" s="316">
        <f t="shared" ref="W108:AB108" si="116">COUNTIF(ME_81_D,W$1)</f>
        <v>1</v>
      </c>
      <c r="X108" s="316">
        <f t="shared" si="116"/>
        <v>0</v>
      </c>
      <c r="Y108" s="316">
        <f t="shared" si="116"/>
        <v>0</v>
      </c>
      <c r="Z108" s="316">
        <f t="shared" si="116"/>
        <v>0</v>
      </c>
      <c r="AA108" s="316">
        <f t="shared" si="116"/>
        <v>0</v>
      </c>
      <c r="AB108" s="316">
        <f t="shared" si="116"/>
        <v>0</v>
      </c>
      <c r="AC108" s="315">
        <f>COUNTIF(ME_81_E,AC$1)+COUNTIF(ME_81_E,"E/D")</f>
        <v>0</v>
      </c>
      <c r="AD108" s="315">
        <f>COUNTIF(ME_81_E,AD$1)+COUNTIF(ME_81_E,"E/D")</f>
        <v>0</v>
      </c>
      <c r="AE108" s="378">
        <v>365438</v>
      </c>
      <c r="AF108" s="379"/>
      <c r="AG108" s="379"/>
      <c r="AH108" s="379">
        <v>337296</v>
      </c>
      <c r="AI108" s="379"/>
      <c r="AJ108" s="379">
        <v>3286</v>
      </c>
      <c r="AK108" s="379"/>
      <c r="AL108" s="318">
        <f t="shared" si="104"/>
        <v>706020</v>
      </c>
      <c r="AM108" s="378">
        <v>462118</v>
      </c>
      <c r="AN108" s="379">
        <v>0</v>
      </c>
      <c r="AO108" s="379">
        <v>0</v>
      </c>
      <c r="AP108" s="379">
        <v>2049583</v>
      </c>
      <c r="AQ108" s="379">
        <v>0</v>
      </c>
      <c r="AR108" s="379">
        <v>1714</v>
      </c>
      <c r="AS108" s="379">
        <v>283757</v>
      </c>
      <c r="AT108" s="318">
        <f t="shared" si="105"/>
        <v>2797172</v>
      </c>
      <c r="AU108" s="381">
        <v>575114</v>
      </c>
      <c r="AV108" s="382">
        <v>0</v>
      </c>
      <c r="AW108" s="382">
        <v>0</v>
      </c>
      <c r="AX108" s="382">
        <v>2269809</v>
      </c>
      <c r="AY108" s="382">
        <v>0</v>
      </c>
      <c r="AZ108" s="382">
        <v>39748</v>
      </c>
      <c r="BA108" s="382">
        <v>197206</v>
      </c>
      <c r="BB108" s="319">
        <f t="shared" si="106"/>
        <v>3081877</v>
      </c>
      <c r="BC108" s="328">
        <v>1247846</v>
      </c>
      <c r="BD108" s="329">
        <v>0</v>
      </c>
      <c r="BE108" s="329">
        <v>0</v>
      </c>
      <c r="BF108" s="329">
        <v>2720015</v>
      </c>
      <c r="BG108" s="329">
        <v>0</v>
      </c>
      <c r="BH108" s="329">
        <v>93876</v>
      </c>
      <c r="BI108" s="329">
        <v>100701</v>
      </c>
      <c r="BJ108" s="314">
        <f>SUM(BC108:BI108)</f>
        <v>4162438</v>
      </c>
      <c r="BK108" s="40" t="s">
        <v>16029</v>
      </c>
      <c r="BL108" s="320">
        <v>34</v>
      </c>
      <c r="BM108" s="320">
        <v>2.4</v>
      </c>
      <c r="BN108" s="320">
        <v>3</v>
      </c>
      <c r="BO108" s="341" t="s">
        <v>16060</v>
      </c>
      <c r="BP108" s="155">
        <v>132</v>
      </c>
      <c r="BQ108" s="344"/>
      <c r="BR108" s="314">
        <v>161</v>
      </c>
      <c r="BS108" s="314"/>
      <c r="BT108" s="314"/>
      <c r="BU108" s="314"/>
      <c r="BV108" s="314"/>
      <c r="BW108" s="314"/>
      <c r="BX108" s="325" t="s">
        <v>20671</v>
      </c>
    </row>
    <row r="109" spans="1:76" ht="15.75" customHeight="1">
      <c r="A109" s="4" t="s">
        <v>16083</v>
      </c>
      <c r="B109" s="384" t="s">
        <v>2714</v>
      </c>
      <c r="C109" s="155">
        <v>161</v>
      </c>
      <c r="D109" s="312">
        <v>161</v>
      </c>
      <c r="E109" s="40" t="s">
        <v>16024</v>
      </c>
      <c r="F109" s="314">
        <v>106</v>
      </c>
      <c r="G109" s="316">
        <f>COUNTA(ME_82_D)</f>
        <v>33</v>
      </c>
      <c r="H109" s="316">
        <f>COUNTIF(ME_82_G,"TT")</f>
        <v>24</v>
      </c>
      <c r="I109" s="316">
        <f t="shared" si="90"/>
        <v>9</v>
      </c>
      <c r="J109" s="316">
        <f>COUNTA(ME_82_D)</f>
        <v>33</v>
      </c>
      <c r="K109" s="316">
        <f>COUNTIF(ME_82_G,"TT")</f>
        <v>24</v>
      </c>
      <c r="L109" s="316">
        <f t="shared" si="91"/>
        <v>9</v>
      </c>
      <c r="M109" s="316">
        <f>COUNTIFS('Mechanical Engineering Faculty'!$F$4564:$F$4596,M$1)</f>
        <v>12</v>
      </c>
      <c r="N109" s="316">
        <f>COUNTIFS('Mechanical Engineering Faculty'!$F$4564:$F$4596,N$1)</f>
        <v>7</v>
      </c>
      <c r="O109" s="316">
        <f>COUNTIFS('Mechanical Engineering Faculty'!$F$4564:$F$4596,O$1)</f>
        <v>5</v>
      </c>
      <c r="P109" s="316">
        <f>COUNTIFS(ME_82_G,"TT", ME_82_D,P$1)</f>
        <v>12</v>
      </c>
      <c r="Q109" s="316">
        <f>COUNTIFS(ME_82_G,"TT", ME_82_D,Q$1)</f>
        <v>7</v>
      </c>
      <c r="R109" s="316">
        <f>COUNTIFS(ME_82_G,"TT", ME_82_D,R$1)</f>
        <v>5</v>
      </c>
      <c r="S109" s="316">
        <f>COUNTIF(ME_82_D,S$1)</f>
        <v>1</v>
      </c>
      <c r="T109" s="316">
        <f t="shared" si="100"/>
        <v>0</v>
      </c>
      <c r="U109" s="316">
        <f t="shared" si="101"/>
        <v>0</v>
      </c>
      <c r="V109" s="316">
        <f t="shared" si="102"/>
        <v>0</v>
      </c>
      <c r="W109" s="316">
        <f t="shared" ref="W109:AB109" si="117">COUNTIF(ME_82_D,W$1)</f>
        <v>8</v>
      </c>
      <c r="X109" s="316">
        <f t="shared" si="117"/>
        <v>0</v>
      </c>
      <c r="Y109" s="316">
        <f t="shared" si="117"/>
        <v>0</v>
      </c>
      <c r="Z109" s="316">
        <f t="shared" si="117"/>
        <v>0</v>
      </c>
      <c r="AA109" s="316">
        <f t="shared" si="117"/>
        <v>0</v>
      </c>
      <c r="AB109" s="316">
        <f t="shared" si="117"/>
        <v>0</v>
      </c>
      <c r="AC109" s="315">
        <f>COUNTIF(ME_82_E,AC$1)+COUNTIF(ME_82_E,"E/D")</f>
        <v>0</v>
      </c>
      <c r="AD109" s="315">
        <f>COUNTIF(ME_82_E,AD$1)+COUNTIF(ME_82_E,"E/D")</f>
        <v>2</v>
      </c>
      <c r="AE109" s="377" t="s">
        <v>55</v>
      </c>
      <c r="AF109" s="406" t="s">
        <v>55</v>
      </c>
      <c r="AG109" s="406" t="s">
        <v>55</v>
      </c>
      <c r="AH109" s="406" t="s">
        <v>55</v>
      </c>
      <c r="AI109" s="406" t="s">
        <v>55</v>
      </c>
      <c r="AJ109" s="406" t="s">
        <v>55</v>
      </c>
      <c r="AK109" s="406" t="s">
        <v>55</v>
      </c>
      <c r="AL109" s="318">
        <f t="shared" si="104"/>
        <v>0</v>
      </c>
      <c r="AM109" s="377" t="s">
        <v>55</v>
      </c>
      <c r="AN109" s="406" t="s">
        <v>55</v>
      </c>
      <c r="AO109" s="406" t="s">
        <v>55</v>
      </c>
      <c r="AP109" s="406" t="s">
        <v>55</v>
      </c>
      <c r="AQ109" s="406" t="s">
        <v>55</v>
      </c>
      <c r="AR109" s="406" t="s">
        <v>55</v>
      </c>
      <c r="AS109" s="406" t="s">
        <v>55</v>
      </c>
      <c r="AT109" s="318">
        <f t="shared" si="105"/>
        <v>0</v>
      </c>
      <c r="AU109" s="377" t="s">
        <v>55</v>
      </c>
      <c r="AV109" s="406" t="s">
        <v>55</v>
      </c>
      <c r="AW109" s="406" t="s">
        <v>55</v>
      </c>
      <c r="AX109" s="406" t="s">
        <v>55</v>
      </c>
      <c r="AY109" s="406" t="s">
        <v>55</v>
      </c>
      <c r="AZ109" s="406" t="s">
        <v>55</v>
      </c>
      <c r="BA109" s="409" t="s">
        <v>55</v>
      </c>
      <c r="BB109" s="319">
        <f t="shared" si="106"/>
        <v>0</v>
      </c>
      <c r="BC109" s="411" t="s">
        <v>55</v>
      </c>
      <c r="BD109" s="413" t="s">
        <v>55</v>
      </c>
      <c r="BE109" s="413" t="s">
        <v>55</v>
      </c>
      <c r="BF109" s="413" t="s">
        <v>55</v>
      </c>
      <c r="BG109" s="413" t="s">
        <v>55</v>
      </c>
      <c r="BH109" s="413" t="s">
        <v>55</v>
      </c>
      <c r="BI109" s="413" t="s">
        <v>55</v>
      </c>
      <c r="BJ109" s="332" t="s">
        <v>55</v>
      </c>
      <c r="BK109" s="40" t="s">
        <v>10670</v>
      </c>
      <c r="BL109" s="320">
        <v>49</v>
      </c>
      <c r="BM109" s="320">
        <v>2.4</v>
      </c>
      <c r="BN109" s="320">
        <v>3.1</v>
      </c>
      <c r="BO109" s="341" t="s">
        <v>16130</v>
      </c>
      <c r="BP109" s="155">
        <v>499</v>
      </c>
      <c r="BQ109" s="314">
        <v>68</v>
      </c>
      <c r="BR109" s="8">
        <v>93</v>
      </c>
      <c r="BS109" s="314"/>
      <c r="BT109" s="314"/>
      <c r="BU109" s="314"/>
      <c r="BV109" s="314"/>
      <c r="BW109" s="314"/>
      <c r="BX109" s="325" t="s">
        <v>20672</v>
      </c>
    </row>
    <row r="110" spans="1:76" ht="15.75" customHeight="1">
      <c r="A110" s="4" t="s">
        <v>16454</v>
      </c>
      <c r="B110" s="311" t="s">
        <v>2714</v>
      </c>
      <c r="C110" s="155">
        <v>159</v>
      </c>
      <c r="D110" s="312">
        <v>161</v>
      </c>
      <c r="E110" s="40" t="s">
        <v>16024</v>
      </c>
      <c r="F110" s="314">
        <v>106</v>
      </c>
      <c r="G110" s="316">
        <f>COUNTA(ME_86_D)</f>
        <v>18</v>
      </c>
      <c r="H110" s="316">
        <f>COUNTIF(ME_86_G,"TT")</f>
        <v>16</v>
      </c>
      <c r="I110" s="316">
        <f t="shared" si="90"/>
        <v>2</v>
      </c>
      <c r="J110" s="316">
        <f>COUNTA(ME_86_D)</f>
        <v>18</v>
      </c>
      <c r="K110" s="316">
        <f>COUNTIF(ME_86_G,"TT")</f>
        <v>16</v>
      </c>
      <c r="L110" s="316">
        <f t="shared" si="91"/>
        <v>2</v>
      </c>
      <c r="M110" s="316">
        <f>COUNTIFS('Mechanical Engineering Faculty'!$F$4667:$F$4684,M$1)</f>
        <v>7</v>
      </c>
      <c r="N110" s="316">
        <f>COUNTIFS('Mechanical Engineering Faculty'!$F$4667:$F$4684,N$1)</f>
        <v>5</v>
      </c>
      <c r="O110" s="316">
        <f>COUNTIFS('Mechanical Engineering Faculty'!$F$4667:$F$4684,O$1)</f>
        <v>4</v>
      </c>
      <c r="P110" s="316">
        <f>COUNTIFS(ME_86_G,"TT", ME_86_D,P$1)</f>
        <v>7</v>
      </c>
      <c r="Q110" s="316">
        <f>COUNTIFS(ME_86_G,"TT", ME_86_D,Q$1)</f>
        <v>5</v>
      </c>
      <c r="R110" s="316">
        <f>COUNTIFS(ME_86_G,"TT", ME_86_D,R$1)</f>
        <v>4</v>
      </c>
      <c r="S110" s="316">
        <f>COUNTIF(ME_86_D,S$1)</f>
        <v>0</v>
      </c>
      <c r="T110" s="316">
        <f t="shared" si="100"/>
        <v>0</v>
      </c>
      <c r="U110" s="316">
        <f t="shared" si="101"/>
        <v>0</v>
      </c>
      <c r="V110" s="316">
        <f t="shared" si="102"/>
        <v>0</v>
      </c>
      <c r="W110" s="316">
        <f t="shared" ref="W110:AB110" si="118">COUNTIF(ME_86_D,W$1)</f>
        <v>0</v>
      </c>
      <c r="X110" s="316">
        <f t="shared" si="118"/>
        <v>0</v>
      </c>
      <c r="Y110" s="316">
        <f t="shared" si="118"/>
        <v>2</v>
      </c>
      <c r="Z110" s="316">
        <f t="shared" si="118"/>
        <v>0</v>
      </c>
      <c r="AA110" s="316">
        <f t="shared" si="118"/>
        <v>0</v>
      </c>
      <c r="AB110" s="316">
        <f t="shared" si="118"/>
        <v>0</v>
      </c>
      <c r="AC110" s="315">
        <f>COUNTIF(ME_86_E,AC$1)+COUNTIF(ME_86_E,"E/D")</f>
        <v>0</v>
      </c>
      <c r="AD110" s="315">
        <f>COUNTIF(ME_86_E,AD$1)+COUNTIF(ME_86_E,"E/D")</f>
        <v>0</v>
      </c>
      <c r="AE110" s="378">
        <v>1634888</v>
      </c>
      <c r="AF110" s="379"/>
      <c r="AG110" s="379"/>
      <c r="AH110" s="379">
        <v>0</v>
      </c>
      <c r="AI110" s="379">
        <v>35189</v>
      </c>
      <c r="AJ110" s="379">
        <v>837080</v>
      </c>
      <c r="AK110" s="379">
        <v>1405064</v>
      </c>
      <c r="AL110" s="318">
        <f t="shared" si="104"/>
        <v>3912221</v>
      </c>
      <c r="AM110" s="378">
        <v>1164911</v>
      </c>
      <c r="AN110" s="378"/>
      <c r="AO110" s="378"/>
      <c r="AP110" s="378"/>
      <c r="AQ110" s="378">
        <v>-22807</v>
      </c>
      <c r="AR110" s="378">
        <v>898732</v>
      </c>
      <c r="AS110" s="378">
        <v>1276176</v>
      </c>
      <c r="AT110" s="318">
        <f t="shared" si="105"/>
        <v>3317012</v>
      </c>
      <c r="AU110" s="381">
        <v>1195021</v>
      </c>
      <c r="AV110" s="381">
        <v>0</v>
      </c>
      <c r="AW110" s="381"/>
      <c r="AX110" s="381">
        <v>0</v>
      </c>
      <c r="AY110" s="381">
        <v>-11210</v>
      </c>
      <c r="AZ110" s="381">
        <v>498159</v>
      </c>
      <c r="BA110" s="381">
        <v>930453</v>
      </c>
      <c r="BB110" s="319">
        <f t="shared" si="106"/>
        <v>2612423</v>
      </c>
      <c r="BC110" s="411" t="s">
        <v>55</v>
      </c>
      <c r="BD110" s="413" t="s">
        <v>55</v>
      </c>
      <c r="BE110" s="413" t="s">
        <v>55</v>
      </c>
      <c r="BF110" s="413" t="s">
        <v>55</v>
      </c>
      <c r="BG110" s="413" t="s">
        <v>55</v>
      </c>
      <c r="BH110" s="413" t="s">
        <v>55</v>
      </c>
      <c r="BI110" s="413" t="s">
        <v>55</v>
      </c>
      <c r="BJ110" s="332" t="s">
        <v>55</v>
      </c>
      <c r="BK110" s="40" t="s">
        <v>12558</v>
      </c>
      <c r="BL110" s="320">
        <v>41</v>
      </c>
      <c r="BM110" s="320">
        <v>2.2000000000000002</v>
      </c>
      <c r="BN110" s="320">
        <v>2.6</v>
      </c>
      <c r="BO110" s="341" t="s">
        <v>16497</v>
      </c>
      <c r="BP110" s="155">
        <v>243</v>
      </c>
      <c r="BQ110" s="344"/>
      <c r="BR110" s="314">
        <v>109</v>
      </c>
      <c r="BS110" s="314"/>
      <c r="BT110" s="314"/>
      <c r="BU110" s="314"/>
      <c r="BV110" s="314"/>
      <c r="BW110" s="314"/>
      <c r="BX110" s="325" t="s">
        <v>20676</v>
      </c>
    </row>
    <row r="111" spans="1:76" ht="15.75" customHeight="1">
      <c r="A111" s="4" t="s">
        <v>16618</v>
      </c>
      <c r="B111" s="311" t="s">
        <v>7532</v>
      </c>
      <c r="C111" s="155">
        <v>159</v>
      </c>
      <c r="D111" s="312">
        <v>158</v>
      </c>
      <c r="E111" s="40" t="s">
        <v>16024</v>
      </c>
      <c r="F111" s="314">
        <v>106</v>
      </c>
      <c r="G111" s="316">
        <f>COUNTA(ME_88_D)</f>
        <v>10</v>
      </c>
      <c r="H111" s="316">
        <f>COUNTIF(ME_88_G,"TT")</f>
        <v>10</v>
      </c>
      <c r="I111" s="316">
        <f t="shared" si="90"/>
        <v>0</v>
      </c>
      <c r="J111" s="316">
        <f>COUNTA(ME_88_D)</f>
        <v>10</v>
      </c>
      <c r="K111" s="316">
        <f>COUNTIF(ME_88_G,"TT")</f>
        <v>10</v>
      </c>
      <c r="L111" s="316">
        <f t="shared" si="91"/>
        <v>0</v>
      </c>
      <c r="M111" s="316">
        <f>COUNTIFS('Mechanical Engineering Faculty'!$F$4711:$F$4720,M$1)</f>
        <v>5</v>
      </c>
      <c r="N111" s="316">
        <f>COUNTIFS('Mechanical Engineering Faculty'!$F$4711:$F$4720,N$1)</f>
        <v>3</v>
      </c>
      <c r="O111" s="316">
        <f>COUNTIFS('Mechanical Engineering Faculty'!$F$4711:$F$4720,O$1)</f>
        <v>2</v>
      </c>
      <c r="P111" s="316">
        <f>COUNTIFS(ME_88_G,"TT", ME_88_D,P$1)</f>
        <v>5</v>
      </c>
      <c r="Q111" s="316">
        <f>COUNTIFS(ME_88_G,"TT", ME_88_D,Q$1)</f>
        <v>3</v>
      </c>
      <c r="R111" s="316">
        <f>COUNTIFS(ME_88_G,"TT", ME_88_D,R$1)</f>
        <v>2</v>
      </c>
      <c r="S111" s="316">
        <f>COUNTIF(ME_88_D,S$1)</f>
        <v>0</v>
      </c>
      <c r="T111" s="316">
        <f t="shared" si="100"/>
        <v>0</v>
      </c>
      <c r="U111" s="316">
        <f t="shared" si="101"/>
        <v>0</v>
      </c>
      <c r="V111" s="316">
        <f t="shared" si="102"/>
        <v>0</v>
      </c>
      <c r="W111" s="316">
        <f t="shared" ref="W111:AB111" si="119">COUNTIF(ME_88_D,W$1)</f>
        <v>0</v>
      </c>
      <c r="X111" s="316">
        <f t="shared" si="119"/>
        <v>0</v>
      </c>
      <c r="Y111" s="316">
        <f t="shared" si="119"/>
        <v>0</v>
      </c>
      <c r="Z111" s="316">
        <f t="shared" si="119"/>
        <v>0</v>
      </c>
      <c r="AA111" s="316">
        <f t="shared" si="119"/>
        <v>0</v>
      </c>
      <c r="AB111" s="316">
        <f t="shared" si="119"/>
        <v>0</v>
      </c>
      <c r="AC111" s="315">
        <f>COUNTIF(ME_88_E,AC$1)+COUNTIF(ME_88_E,"E/D")</f>
        <v>0</v>
      </c>
      <c r="AD111" s="315">
        <f>COUNTIF(ME_88_E,AD$1)+COUNTIF(ME_88_E,"E/D")</f>
        <v>0</v>
      </c>
      <c r="AE111" s="378">
        <v>483690</v>
      </c>
      <c r="AF111" s="379"/>
      <c r="AG111" s="379"/>
      <c r="AH111" s="379">
        <v>181596</v>
      </c>
      <c r="AI111" s="379">
        <v>0</v>
      </c>
      <c r="AJ111" s="379">
        <v>307</v>
      </c>
      <c r="AK111" s="379">
        <v>0</v>
      </c>
      <c r="AL111" s="318">
        <f t="shared" si="104"/>
        <v>665593</v>
      </c>
      <c r="AM111" s="378">
        <v>7136</v>
      </c>
      <c r="AN111" s="379">
        <v>43923</v>
      </c>
      <c r="AO111" s="379"/>
      <c r="AP111" s="379">
        <v>195398</v>
      </c>
      <c r="AQ111" s="379"/>
      <c r="AR111" s="379">
        <v>44497</v>
      </c>
      <c r="AS111" s="379">
        <v>41384</v>
      </c>
      <c r="AT111" s="318">
        <f t="shared" si="105"/>
        <v>332338</v>
      </c>
      <c r="AU111" s="377" t="s">
        <v>55</v>
      </c>
      <c r="AV111" s="406" t="s">
        <v>55</v>
      </c>
      <c r="AW111" s="406" t="s">
        <v>55</v>
      </c>
      <c r="AX111" s="406" t="s">
        <v>55</v>
      </c>
      <c r="AY111" s="406" t="s">
        <v>55</v>
      </c>
      <c r="AZ111" s="406" t="s">
        <v>55</v>
      </c>
      <c r="BA111" s="409" t="s">
        <v>55</v>
      </c>
      <c r="BB111" s="319">
        <f t="shared" si="106"/>
        <v>0</v>
      </c>
      <c r="BC111" s="332" t="s">
        <v>55</v>
      </c>
      <c r="BD111" s="332" t="s">
        <v>55</v>
      </c>
      <c r="BE111" s="332" t="s">
        <v>55</v>
      </c>
      <c r="BF111" s="332" t="s">
        <v>55</v>
      </c>
      <c r="BG111" s="332" t="s">
        <v>55</v>
      </c>
      <c r="BH111" s="332" t="s">
        <v>55</v>
      </c>
      <c r="BI111" s="332" t="s">
        <v>55</v>
      </c>
      <c r="BJ111" s="332" t="s">
        <v>55</v>
      </c>
      <c r="BK111" s="40" t="s">
        <v>16635</v>
      </c>
      <c r="BL111" s="320">
        <v>39</v>
      </c>
      <c r="BM111" s="320">
        <v>2.2999999999999998</v>
      </c>
      <c r="BN111" s="320">
        <v>3.1</v>
      </c>
      <c r="BO111" s="341" t="s">
        <v>16658</v>
      </c>
      <c r="BP111" s="155">
        <v>215</v>
      </c>
      <c r="BQ111" s="314">
        <v>68</v>
      </c>
      <c r="BR111" s="314">
        <v>130</v>
      </c>
      <c r="BS111" s="314"/>
      <c r="BT111" s="314"/>
      <c r="BU111" s="314"/>
      <c r="BV111" s="314"/>
      <c r="BW111" s="314"/>
      <c r="BX111" s="325" t="s">
        <v>20678</v>
      </c>
    </row>
    <row r="112" spans="1:76" ht="15.75" customHeight="1">
      <c r="A112" s="4" t="s">
        <v>16659</v>
      </c>
      <c r="B112" s="311" t="s">
        <v>2714</v>
      </c>
      <c r="C112" s="155">
        <v>155</v>
      </c>
      <c r="D112" s="312">
        <v>152</v>
      </c>
      <c r="E112" s="341" t="s">
        <v>16024</v>
      </c>
      <c r="F112" s="314">
        <v>106</v>
      </c>
      <c r="G112" s="316">
        <f>COUNTA(ME_89_D)</f>
        <v>14</v>
      </c>
      <c r="H112" s="316">
        <f>COUNTIF(ME_89_G,"TT")</f>
        <v>13</v>
      </c>
      <c r="I112" s="316">
        <f t="shared" si="90"/>
        <v>1</v>
      </c>
      <c r="J112" s="316">
        <f>COUNTA(ME_89_D)</f>
        <v>14</v>
      </c>
      <c r="K112" s="316">
        <f>COUNTIF(ME_89_G,"TT")</f>
        <v>13</v>
      </c>
      <c r="L112" s="316">
        <f t="shared" si="91"/>
        <v>1</v>
      </c>
      <c r="M112" s="316">
        <f>COUNTIFS( 'Mechanical Engineering Faculty'!$F$4729:$F$4742,M$1)</f>
        <v>5</v>
      </c>
      <c r="N112" s="316">
        <f>COUNTIFS( 'Mechanical Engineering Faculty'!$F$4729:$F$4742,N$1)</f>
        <v>1</v>
      </c>
      <c r="O112" s="316">
        <f>COUNTIFS( 'Mechanical Engineering Faculty'!$F$4729:$F$4742,O$1)</f>
        <v>7</v>
      </c>
      <c r="P112" s="316">
        <f>COUNTIFS(ME_89_G,"TT", ME_89_D,P$1)</f>
        <v>5</v>
      </c>
      <c r="Q112" s="316">
        <f>COUNTIFS(ME_89_G,"TT", ME_89_D,Q$1)</f>
        <v>1</v>
      </c>
      <c r="R112" s="316">
        <f>COUNTIFS(ME_89_G,"TT", ME_89_D,R$1)</f>
        <v>7</v>
      </c>
      <c r="S112" s="316">
        <f>COUNTIF(ME_89_D,S$1)</f>
        <v>1</v>
      </c>
      <c r="T112" s="316">
        <f t="shared" si="100"/>
        <v>0</v>
      </c>
      <c r="U112" s="316">
        <f t="shared" si="101"/>
        <v>0</v>
      </c>
      <c r="V112" s="316">
        <f t="shared" si="102"/>
        <v>0</v>
      </c>
      <c r="W112" s="316">
        <f t="shared" ref="W112:AB112" si="120">COUNTIF(ME_89_D,W$1)</f>
        <v>0</v>
      </c>
      <c r="X112" s="316">
        <f t="shared" si="120"/>
        <v>0</v>
      </c>
      <c r="Y112" s="316">
        <f t="shared" si="120"/>
        <v>0</v>
      </c>
      <c r="Z112" s="316">
        <f t="shared" si="120"/>
        <v>0</v>
      </c>
      <c r="AA112" s="316">
        <f t="shared" si="120"/>
        <v>0</v>
      </c>
      <c r="AB112" s="316">
        <f t="shared" si="120"/>
        <v>0</v>
      </c>
      <c r="AC112" s="315">
        <f>COUNTIF(ME_89_E,AC$1)+COUNTIF(ME_89_E,"E/D")</f>
        <v>0</v>
      </c>
      <c r="AD112" s="315">
        <f>COUNTIF(ME_89_E,AD$1)+COUNTIF(ME_89_E,"E/D")</f>
        <v>0</v>
      </c>
      <c r="AE112" s="378">
        <v>1296000</v>
      </c>
      <c r="AF112" s="379">
        <v>0</v>
      </c>
      <c r="AG112" s="379"/>
      <c r="AH112" s="379">
        <v>0</v>
      </c>
      <c r="AI112" s="379">
        <v>0</v>
      </c>
      <c r="AJ112" s="379">
        <v>0</v>
      </c>
      <c r="AK112" s="379">
        <v>0</v>
      </c>
      <c r="AL112" s="318">
        <f t="shared" si="104"/>
        <v>1296000</v>
      </c>
      <c r="AM112" s="378">
        <v>1164000</v>
      </c>
      <c r="AN112" s="379">
        <v>0</v>
      </c>
      <c r="AO112" s="379">
        <v>0</v>
      </c>
      <c r="AP112" s="379">
        <v>0</v>
      </c>
      <c r="AQ112" s="379">
        <v>0</v>
      </c>
      <c r="AR112" s="379">
        <v>0</v>
      </c>
      <c r="AS112" s="379">
        <v>0</v>
      </c>
      <c r="AT112" s="318">
        <f t="shared" si="105"/>
        <v>1164000</v>
      </c>
      <c r="AU112" s="381">
        <v>507000</v>
      </c>
      <c r="AV112" s="382">
        <v>0</v>
      </c>
      <c r="AW112" s="382">
        <v>0</v>
      </c>
      <c r="AX112" s="382">
        <v>0</v>
      </c>
      <c r="AY112" s="382">
        <v>0</v>
      </c>
      <c r="AZ112" s="382">
        <v>0</v>
      </c>
      <c r="BA112" s="382">
        <v>0</v>
      </c>
      <c r="BB112" s="319">
        <f t="shared" si="106"/>
        <v>507000</v>
      </c>
      <c r="BC112" s="328">
        <v>0</v>
      </c>
      <c r="BD112" s="329">
        <v>0</v>
      </c>
      <c r="BE112" s="329">
        <v>0</v>
      </c>
      <c r="BF112" s="329">
        <v>5000</v>
      </c>
      <c r="BG112" s="329">
        <v>0</v>
      </c>
      <c r="BH112" s="329">
        <v>0</v>
      </c>
      <c r="BI112" s="329">
        <v>1152000</v>
      </c>
      <c r="BJ112" s="314">
        <f t="shared" ref="BJ112:BJ121" si="121">SUM(BC112:BI112)</f>
        <v>1157000</v>
      </c>
      <c r="BK112" s="40" t="s">
        <v>13312</v>
      </c>
      <c r="BL112" s="320">
        <v>50</v>
      </c>
      <c r="BM112" s="320">
        <v>2.5</v>
      </c>
      <c r="BN112" s="320">
        <v>2.9</v>
      </c>
      <c r="BO112" s="341" t="s">
        <v>16706</v>
      </c>
      <c r="BP112" s="155">
        <v>774</v>
      </c>
      <c r="BQ112" s="344"/>
      <c r="BR112" s="314">
        <v>88</v>
      </c>
      <c r="BS112" s="314"/>
      <c r="BT112" s="314"/>
      <c r="BU112" s="314"/>
      <c r="BV112" s="314"/>
      <c r="BW112" s="314"/>
      <c r="BX112" s="325" t="s">
        <v>20679</v>
      </c>
    </row>
    <row r="113" spans="1:76" ht="15.75" customHeight="1">
      <c r="A113" s="372" t="s">
        <v>16715</v>
      </c>
      <c r="B113" s="311" t="s">
        <v>2628</v>
      </c>
      <c r="C113" s="155">
        <v>159</v>
      </c>
      <c r="D113" s="312">
        <v>159</v>
      </c>
      <c r="E113" s="40" t="s">
        <v>16024</v>
      </c>
      <c r="F113" s="314">
        <v>106</v>
      </c>
      <c r="G113" s="316">
        <f>COUNTA(ME_90_D)</f>
        <v>31</v>
      </c>
      <c r="H113" s="316">
        <f>COUNTIF(ME_90_G,"TT")</f>
        <v>31</v>
      </c>
      <c r="I113" s="316">
        <f t="shared" si="90"/>
        <v>0</v>
      </c>
      <c r="J113" s="316">
        <f>COUNTA(ME_90_D)</f>
        <v>31</v>
      </c>
      <c r="K113" s="316">
        <f>COUNTIF(ME_90_G,"TT")</f>
        <v>31</v>
      </c>
      <c r="L113" s="316">
        <f t="shared" si="91"/>
        <v>0</v>
      </c>
      <c r="M113" s="316">
        <f>COUNTIFS('Mechanical Engineering Faculty'!$F$4747:$F$4777,M$1)</f>
        <v>9</v>
      </c>
      <c r="N113" s="316">
        <f>COUNTIFS('Mechanical Engineering Faculty'!$F$4747:$F$4777,N$1)</f>
        <v>9</v>
      </c>
      <c r="O113" s="316">
        <f>COUNTIFS('Mechanical Engineering Faculty'!$F$4747:$F$4777,O$1)</f>
        <v>12</v>
      </c>
      <c r="P113" s="316">
        <f>COUNTIFS(ME_90_G,"TT", ME_90_D,P$1)</f>
        <v>9</v>
      </c>
      <c r="Q113" s="316">
        <f>COUNTIFS(ME_90_G,"TT", ME_90_D,Q$1)</f>
        <v>9</v>
      </c>
      <c r="R113" s="316">
        <f>COUNTIFS(ME_90_G,"TT", ME_90_D,R$1)</f>
        <v>12</v>
      </c>
      <c r="S113" s="316">
        <f>COUNTIF(ME_90_D,S$1)</f>
        <v>0</v>
      </c>
      <c r="T113" s="316">
        <f t="shared" si="100"/>
        <v>0</v>
      </c>
      <c r="U113" s="316">
        <f t="shared" si="101"/>
        <v>0</v>
      </c>
      <c r="V113" s="316">
        <f t="shared" si="102"/>
        <v>0</v>
      </c>
      <c r="W113" s="316">
        <f t="shared" ref="W113:AB113" si="122">COUNTIF(ME_90_D,W$1)</f>
        <v>0</v>
      </c>
      <c r="X113" s="316">
        <f t="shared" si="122"/>
        <v>0</v>
      </c>
      <c r="Y113" s="316">
        <f t="shared" si="122"/>
        <v>0</v>
      </c>
      <c r="Z113" s="316">
        <f t="shared" si="122"/>
        <v>1</v>
      </c>
      <c r="AA113" s="316">
        <f t="shared" si="122"/>
        <v>0</v>
      </c>
      <c r="AB113" s="316">
        <f t="shared" si="122"/>
        <v>0</v>
      </c>
      <c r="AC113" s="315">
        <f>COUNTIF(ME_90_E,AC$1)+COUNTIF(ME_90_E,"E/D")</f>
        <v>0</v>
      </c>
      <c r="AD113" s="315">
        <f>COUNTIF(ME_90_E,AD$1)+COUNTIF(ME_90_E,"E/D")</f>
        <v>5</v>
      </c>
      <c r="AE113" s="377" t="s">
        <v>55</v>
      </c>
      <c r="AF113" s="406" t="s">
        <v>55</v>
      </c>
      <c r="AG113" s="406" t="s">
        <v>55</v>
      </c>
      <c r="AH113" s="406" t="s">
        <v>55</v>
      </c>
      <c r="AI113" s="406" t="s">
        <v>55</v>
      </c>
      <c r="AJ113" s="406" t="s">
        <v>55</v>
      </c>
      <c r="AK113" s="406" t="s">
        <v>55</v>
      </c>
      <c r="AL113" s="318">
        <f t="shared" si="104"/>
        <v>0</v>
      </c>
      <c r="AM113" s="378">
        <v>2142914</v>
      </c>
      <c r="AN113" s="379">
        <v>0</v>
      </c>
      <c r="AO113" s="379"/>
      <c r="AP113" s="379">
        <v>350991</v>
      </c>
      <c r="AQ113" s="379"/>
      <c r="AR113" s="379">
        <v>116755</v>
      </c>
      <c r="AS113" s="379">
        <v>81174</v>
      </c>
      <c r="AT113" s="318">
        <f t="shared" si="105"/>
        <v>2691834</v>
      </c>
      <c r="AU113" s="381">
        <v>1823512</v>
      </c>
      <c r="AV113" s="381">
        <v>0</v>
      </c>
      <c r="AW113" s="381">
        <v>0</v>
      </c>
      <c r="AX113" s="381">
        <v>520319</v>
      </c>
      <c r="AY113" s="381">
        <v>0</v>
      </c>
      <c r="AZ113" s="381">
        <v>141176</v>
      </c>
      <c r="BA113" s="381">
        <v>88714</v>
      </c>
      <c r="BB113" s="319">
        <f t="shared" si="106"/>
        <v>2573721</v>
      </c>
      <c r="BC113" s="412">
        <v>2747461</v>
      </c>
      <c r="BD113" s="412">
        <v>0</v>
      </c>
      <c r="BE113" s="412">
        <v>0</v>
      </c>
      <c r="BF113" s="412">
        <v>679994</v>
      </c>
      <c r="BG113" s="412">
        <v>0</v>
      </c>
      <c r="BH113" s="412">
        <v>32228</v>
      </c>
      <c r="BI113" s="412">
        <v>59441</v>
      </c>
      <c r="BJ113" s="314">
        <f t="shared" si="121"/>
        <v>3519124</v>
      </c>
      <c r="BK113" s="40" t="s">
        <v>11857</v>
      </c>
      <c r="BL113" s="320">
        <v>45</v>
      </c>
      <c r="BM113" s="320">
        <v>2.5</v>
      </c>
      <c r="BN113" s="320">
        <v>3.2</v>
      </c>
      <c r="BO113" s="341" t="s">
        <v>16763</v>
      </c>
      <c r="BP113" s="155">
        <v>518</v>
      </c>
      <c r="BQ113" s="314">
        <v>48</v>
      </c>
      <c r="BR113" s="8">
        <v>106</v>
      </c>
      <c r="BS113" s="314"/>
      <c r="BT113" s="314"/>
      <c r="BU113" s="314"/>
      <c r="BV113" s="314"/>
      <c r="BW113" s="314"/>
      <c r="BX113" s="325" t="s">
        <v>20680</v>
      </c>
    </row>
    <row r="114" spans="1:76" ht="15.75" customHeight="1">
      <c r="A114" s="4" t="s">
        <v>16894</v>
      </c>
      <c r="B114" s="311" t="s">
        <v>2714</v>
      </c>
      <c r="C114" s="155">
        <v>161</v>
      </c>
      <c r="D114" s="312">
        <v>159</v>
      </c>
      <c r="E114" s="40" t="s">
        <v>16024</v>
      </c>
      <c r="F114" s="314">
        <v>106</v>
      </c>
      <c r="G114" s="316">
        <f>COUNTA(ME_92_D)</f>
        <v>19</v>
      </c>
      <c r="H114" s="316">
        <f>COUNTIF(ME_92_G,"TT")</f>
        <v>17</v>
      </c>
      <c r="I114" s="316">
        <f t="shared" si="90"/>
        <v>2</v>
      </c>
      <c r="J114" s="316">
        <f>COUNTA(ME_92_D)</f>
        <v>19</v>
      </c>
      <c r="K114" s="316">
        <f>COUNTIF(ME_92_G,"TT")</f>
        <v>17</v>
      </c>
      <c r="L114" s="316">
        <f t="shared" si="91"/>
        <v>2</v>
      </c>
      <c r="M114" s="316">
        <f>COUNTIFS('Mechanical Engineering Faculty'!$F$4815:F$4833,M$1)</f>
        <v>8</v>
      </c>
      <c r="N114" s="316">
        <f>COUNTIFS('Mechanical Engineering Faculty'!$F$4815:G$4833,N$1)</f>
        <v>8</v>
      </c>
      <c r="O114" s="316">
        <f>COUNTIFS('Mechanical Engineering Faculty'!$F$4815:H$4833,O$1)</f>
        <v>1</v>
      </c>
      <c r="P114" s="316">
        <f>COUNTIFS(ME_92_G,"TT", ME_92_D,P$1)</f>
        <v>8</v>
      </c>
      <c r="Q114" s="316">
        <f>COUNTIFS(ME_92_G,"TT", ME_92_D,Q$1)</f>
        <v>8</v>
      </c>
      <c r="R114" s="316">
        <f>COUNTIFS(ME_92_G,"TT", ME_92_D,R$1)</f>
        <v>1</v>
      </c>
      <c r="S114" s="316">
        <f>COUNTIF(ME_92_D,S$1)</f>
        <v>1</v>
      </c>
      <c r="T114" s="316">
        <f t="shared" si="100"/>
        <v>0</v>
      </c>
      <c r="U114" s="316">
        <f t="shared" si="101"/>
        <v>0</v>
      </c>
      <c r="V114" s="316">
        <f t="shared" si="102"/>
        <v>0</v>
      </c>
      <c r="W114" s="316">
        <f t="shared" ref="W114:AB114" si="123">COUNTIF(ME_92_D,W$1)</f>
        <v>1</v>
      </c>
      <c r="X114" s="316">
        <f t="shared" si="123"/>
        <v>0</v>
      </c>
      <c r="Y114" s="316">
        <f t="shared" si="123"/>
        <v>0</v>
      </c>
      <c r="Z114" s="316">
        <f t="shared" si="123"/>
        <v>0</v>
      </c>
      <c r="AA114" s="316">
        <f t="shared" si="123"/>
        <v>0</v>
      </c>
      <c r="AB114" s="316">
        <f t="shared" si="123"/>
        <v>0</v>
      </c>
      <c r="AC114" s="315">
        <f>COUNTIF(ME_92_E,AC$1)+COUNTIF(ME_92_E,"E/D")</f>
        <v>2</v>
      </c>
      <c r="AD114" s="315">
        <f>COUNTIF(ME_92_E,AD$1)+COUNTIF(ME_92_E,"E/D")</f>
        <v>3</v>
      </c>
      <c r="AE114" s="378">
        <v>1366281</v>
      </c>
      <c r="AF114" s="379"/>
      <c r="AG114" s="379">
        <v>0</v>
      </c>
      <c r="AH114" s="379">
        <v>16225</v>
      </c>
      <c r="AI114" s="379">
        <v>6054</v>
      </c>
      <c r="AJ114" s="379">
        <v>363314</v>
      </c>
      <c r="AK114" s="379">
        <v>0</v>
      </c>
      <c r="AL114" s="318">
        <f t="shared" si="104"/>
        <v>1751874</v>
      </c>
      <c r="AM114" s="378">
        <v>1307194</v>
      </c>
      <c r="AN114" s="379">
        <v>0</v>
      </c>
      <c r="AO114" s="379"/>
      <c r="AP114" s="379">
        <v>121882</v>
      </c>
      <c r="AQ114" s="379">
        <v>213</v>
      </c>
      <c r="AR114" s="379">
        <v>153941</v>
      </c>
      <c r="AS114" s="379">
        <v>30815</v>
      </c>
      <c r="AT114" s="318">
        <f t="shared" si="105"/>
        <v>1614045</v>
      </c>
      <c r="AU114" s="381">
        <v>16295000</v>
      </c>
      <c r="AV114" s="382">
        <v>0</v>
      </c>
      <c r="AW114" s="382">
        <v>35000</v>
      </c>
      <c r="AX114" s="382">
        <v>2315000</v>
      </c>
      <c r="AY114" s="382">
        <v>0</v>
      </c>
      <c r="AZ114" s="382">
        <v>1572000</v>
      </c>
      <c r="BA114" s="382">
        <v>0</v>
      </c>
      <c r="BB114" s="319">
        <f t="shared" si="106"/>
        <v>20217000</v>
      </c>
      <c r="BC114" s="328">
        <v>1765277</v>
      </c>
      <c r="BD114" s="329">
        <v>0</v>
      </c>
      <c r="BE114" s="329">
        <v>0</v>
      </c>
      <c r="BF114" s="329">
        <v>317006</v>
      </c>
      <c r="BG114" s="329">
        <v>0</v>
      </c>
      <c r="BH114" s="329">
        <v>51277</v>
      </c>
      <c r="BI114" s="329">
        <v>59997</v>
      </c>
      <c r="BJ114" s="314">
        <f t="shared" si="121"/>
        <v>2193557</v>
      </c>
      <c r="BK114" s="40" t="s">
        <v>16909</v>
      </c>
      <c r="BL114" s="320">
        <v>27</v>
      </c>
      <c r="BM114" s="320">
        <v>2.2999999999999998</v>
      </c>
      <c r="BN114" s="320">
        <v>2.7</v>
      </c>
      <c r="BO114" s="341" t="s">
        <v>16942</v>
      </c>
      <c r="BP114" s="155">
        <v>375</v>
      </c>
      <c r="BQ114" s="314">
        <v>80</v>
      </c>
      <c r="BR114" s="314">
        <v>167</v>
      </c>
      <c r="BS114" s="314"/>
      <c r="BT114" s="314"/>
      <c r="BU114" s="314"/>
      <c r="BV114" s="314"/>
      <c r="BW114" s="314"/>
      <c r="BX114" s="325" t="s">
        <v>20682</v>
      </c>
    </row>
    <row r="115" spans="1:76" ht="15.75" customHeight="1">
      <c r="A115" s="4" t="s">
        <v>16969</v>
      </c>
      <c r="B115" s="311" t="s">
        <v>2714</v>
      </c>
      <c r="C115" s="155">
        <v>163</v>
      </c>
      <c r="D115" s="312">
        <v>160</v>
      </c>
      <c r="E115" s="40" t="s">
        <v>16979</v>
      </c>
      <c r="F115" s="314">
        <v>106</v>
      </c>
      <c r="G115" s="316">
        <f>COUNTA(ME_93_D)</f>
        <v>13</v>
      </c>
      <c r="H115" s="316">
        <f>COUNTIF(ME_93_G,"TT")</f>
        <v>13</v>
      </c>
      <c r="I115" s="316">
        <f t="shared" si="90"/>
        <v>0</v>
      </c>
      <c r="J115" s="316">
        <f>COUNTA(ME_93_D)</f>
        <v>13</v>
      </c>
      <c r="K115" s="316">
        <f>COUNTIF(ME_93_G,"TT")</f>
        <v>13</v>
      </c>
      <c r="L115" s="316">
        <f t="shared" si="91"/>
        <v>0</v>
      </c>
      <c r="M115" s="316">
        <f>COUNTIFS('Mechanical Engineering Faculty'!$F$4835:$F$4847,M$1)</f>
        <v>5</v>
      </c>
      <c r="N115" s="316">
        <f>COUNTIFS('Mechanical Engineering Faculty'!$F$4835:$F$4847,N$1)</f>
        <v>6</v>
      </c>
      <c r="O115" s="316">
        <f>COUNTIFS('Mechanical Engineering Faculty'!$F$4835:$F$4847,O$1)</f>
        <v>2</v>
      </c>
      <c r="P115" s="316">
        <f>COUNTIFS(ME_93_G,"TT", ME_93_D,P$1)</f>
        <v>5</v>
      </c>
      <c r="Q115" s="316">
        <f>COUNTIFS(ME_93_G,"TT", ME_93_D,Q$1)</f>
        <v>6</v>
      </c>
      <c r="R115" s="316">
        <f>COUNTIFS(ME_93_G,"TT", ME_93_D,R$1)</f>
        <v>2</v>
      </c>
      <c r="S115" s="316">
        <f>COUNTIF(ME_93_D,S$1)</f>
        <v>0</v>
      </c>
      <c r="T115" s="316">
        <f t="shared" si="100"/>
        <v>0</v>
      </c>
      <c r="U115" s="316">
        <f t="shared" si="101"/>
        <v>0</v>
      </c>
      <c r="V115" s="316">
        <f t="shared" si="102"/>
        <v>0</v>
      </c>
      <c r="W115" s="316">
        <f t="shared" ref="W115:AB115" si="124">COUNTIF(ME_93_D,W$1)</f>
        <v>0</v>
      </c>
      <c r="X115" s="316">
        <f t="shared" si="124"/>
        <v>0</v>
      </c>
      <c r="Y115" s="316">
        <f t="shared" si="124"/>
        <v>0</v>
      </c>
      <c r="Z115" s="316">
        <f t="shared" si="124"/>
        <v>0</v>
      </c>
      <c r="AA115" s="316">
        <f t="shared" si="124"/>
        <v>0</v>
      </c>
      <c r="AB115" s="316">
        <f t="shared" si="124"/>
        <v>0</v>
      </c>
      <c r="AC115" s="315">
        <f>COUNTIF(ME_93_E,AC$1)+COUNTIF(ME_93_E,"E/D")</f>
        <v>0</v>
      </c>
      <c r="AD115" s="315">
        <f>COUNTIF(ME_93_E,AD$1)+COUNTIF(ME_93_E,"E/D")</f>
        <v>1</v>
      </c>
      <c r="AE115" s="378">
        <v>3748934</v>
      </c>
      <c r="AF115" s="378">
        <v>0</v>
      </c>
      <c r="AG115" s="378">
        <v>0</v>
      </c>
      <c r="AH115" s="378">
        <v>300964</v>
      </c>
      <c r="AI115" s="378">
        <v>130622</v>
      </c>
      <c r="AJ115" s="378">
        <v>23529</v>
      </c>
      <c r="AK115" s="378">
        <v>0</v>
      </c>
      <c r="AL115" s="318">
        <f t="shared" si="104"/>
        <v>4204049</v>
      </c>
      <c r="AM115" s="378">
        <v>4545735</v>
      </c>
      <c r="AN115" s="379">
        <v>0</v>
      </c>
      <c r="AO115" s="379">
        <v>0</v>
      </c>
      <c r="AP115" s="379">
        <v>193613</v>
      </c>
      <c r="AQ115" s="379">
        <v>39708</v>
      </c>
      <c r="AR115" s="379">
        <v>2786</v>
      </c>
      <c r="AS115" s="379">
        <v>0</v>
      </c>
      <c r="AT115" s="318">
        <f t="shared" si="105"/>
        <v>4781842</v>
      </c>
      <c r="AU115" s="377" t="s">
        <v>55</v>
      </c>
      <c r="AV115" s="406" t="s">
        <v>55</v>
      </c>
      <c r="AW115" s="406" t="s">
        <v>55</v>
      </c>
      <c r="AX115" s="406" t="s">
        <v>55</v>
      </c>
      <c r="AY115" s="406" t="s">
        <v>55</v>
      </c>
      <c r="AZ115" s="406" t="s">
        <v>55</v>
      </c>
      <c r="BA115" s="409" t="s">
        <v>55</v>
      </c>
      <c r="BB115" s="319">
        <f t="shared" si="106"/>
        <v>0</v>
      </c>
      <c r="BC115" s="328">
        <v>2254000</v>
      </c>
      <c r="BD115" s="329">
        <v>0</v>
      </c>
      <c r="BE115" s="329">
        <v>0</v>
      </c>
      <c r="BF115" s="329">
        <v>40000</v>
      </c>
      <c r="BG115" s="329">
        <v>67000</v>
      </c>
      <c r="BH115" s="329">
        <v>0</v>
      </c>
      <c r="BI115" s="329">
        <v>0</v>
      </c>
      <c r="BJ115" s="314">
        <f t="shared" si="121"/>
        <v>2361000</v>
      </c>
      <c r="BK115" s="40" t="s">
        <v>13413</v>
      </c>
      <c r="BL115" s="320">
        <v>44</v>
      </c>
      <c r="BM115" s="320">
        <v>2.4</v>
      </c>
      <c r="BN115" s="341" t="s">
        <v>17008</v>
      </c>
      <c r="BO115" s="40" t="s">
        <v>55</v>
      </c>
      <c r="BP115" s="155">
        <v>243</v>
      </c>
      <c r="BQ115" s="344"/>
      <c r="BR115" s="314">
        <v>109</v>
      </c>
      <c r="BS115" s="314"/>
      <c r="BT115" s="314"/>
      <c r="BU115" s="314"/>
      <c r="BV115" s="314"/>
      <c r="BW115" s="314"/>
      <c r="BX115" s="325" t="s">
        <v>20683</v>
      </c>
    </row>
    <row r="116" spans="1:76" ht="15.75" customHeight="1">
      <c r="A116" s="4" t="s">
        <v>17558</v>
      </c>
      <c r="B116" s="311" t="s">
        <v>2714</v>
      </c>
      <c r="C116" s="155">
        <v>163</v>
      </c>
      <c r="D116" s="312">
        <v>163</v>
      </c>
      <c r="E116" s="40" t="s">
        <v>16979</v>
      </c>
      <c r="F116" s="314">
        <v>106</v>
      </c>
      <c r="G116" s="316">
        <f>COUNTA(ME_103_D)</f>
        <v>19</v>
      </c>
      <c r="H116" s="316">
        <f>COUNTIF(ME_103_G,"TT")</f>
        <v>17</v>
      </c>
      <c r="I116" s="316">
        <f t="shared" si="90"/>
        <v>2</v>
      </c>
      <c r="J116" s="316">
        <f>COUNTA(ME_103_D)</f>
        <v>19</v>
      </c>
      <c r="K116" s="316">
        <f>COUNTIF(ME_103_G,"TT")</f>
        <v>17</v>
      </c>
      <c r="L116" s="316">
        <f t="shared" si="91"/>
        <v>2</v>
      </c>
      <c r="M116" s="316">
        <f>COUNTIFS('Mechanical Engineering Faculty'!$F$5031:$F$5049,M$1)</f>
        <v>4</v>
      </c>
      <c r="N116" s="316">
        <f>COUNTIFS('Mechanical Engineering Faculty'!$F$5031:$F$5049,N$1)</f>
        <v>8</v>
      </c>
      <c r="O116" s="316">
        <f>COUNTIFS('Mechanical Engineering Faculty'!$F$5031:$F$5049,O$1)</f>
        <v>5</v>
      </c>
      <c r="P116" s="316">
        <f>COUNTIFS(ME_103_G,"TT", ME_103_D,P$1)</f>
        <v>4</v>
      </c>
      <c r="Q116" s="316">
        <f>COUNTIFS(ME_103_G,"TT", ME_103_D,Q$1)</f>
        <v>8</v>
      </c>
      <c r="R116" s="316">
        <f>COUNTIFS(ME_103_G,"TT", ME_103_D,R$1)</f>
        <v>5</v>
      </c>
      <c r="S116" s="316">
        <f>COUNTIF(ME_103_D,S$1)</f>
        <v>0</v>
      </c>
      <c r="T116" s="316">
        <f t="shared" si="100"/>
        <v>0</v>
      </c>
      <c r="U116" s="316">
        <f t="shared" si="101"/>
        <v>0</v>
      </c>
      <c r="V116" s="316">
        <f t="shared" si="102"/>
        <v>0</v>
      </c>
      <c r="W116" s="316">
        <f t="shared" ref="W116:AB116" si="125">COUNTIF(ME_103_D,W$1)</f>
        <v>0</v>
      </c>
      <c r="X116" s="316">
        <f t="shared" si="125"/>
        <v>0</v>
      </c>
      <c r="Y116" s="316">
        <f t="shared" si="125"/>
        <v>0</v>
      </c>
      <c r="Z116" s="316">
        <f t="shared" si="125"/>
        <v>1</v>
      </c>
      <c r="AA116" s="316">
        <f t="shared" si="125"/>
        <v>1</v>
      </c>
      <c r="AB116" s="316">
        <f t="shared" si="125"/>
        <v>0</v>
      </c>
      <c r="AC116" s="315">
        <f>COUNTIF(ME_103_E,AC$1)+COUNTIF(ME_103_E,"E/D")</f>
        <v>0</v>
      </c>
      <c r="AD116" s="315">
        <f>COUNTIF(ME_103_E,AD$1)+COUNTIF(ME_103_E,"E/D")</f>
        <v>0</v>
      </c>
      <c r="AE116" s="378">
        <v>668937</v>
      </c>
      <c r="AF116" s="379">
        <v>0</v>
      </c>
      <c r="AG116" s="379">
        <v>0</v>
      </c>
      <c r="AH116" s="379">
        <v>217315</v>
      </c>
      <c r="AI116" s="379">
        <v>0</v>
      </c>
      <c r="AJ116" s="379">
        <v>128559</v>
      </c>
      <c r="AK116" s="379">
        <v>1570920</v>
      </c>
      <c r="AL116" s="318">
        <f t="shared" si="104"/>
        <v>2585731</v>
      </c>
      <c r="AM116" s="378">
        <v>936944</v>
      </c>
      <c r="AN116" s="379">
        <v>0</v>
      </c>
      <c r="AO116" s="379"/>
      <c r="AP116" s="379">
        <v>210521</v>
      </c>
      <c r="AQ116" s="379">
        <v>0</v>
      </c>
      <c r="AR116" s="379">
        <v>144205</v>
      </c>
      <c r="AS116" s="379">
        <v>1642611</v>
      </c>
      <c r="AT116" s="318">
        <f t="shared" si="105"/>
        <v>2934281</v>
      </c>
      <c r="AU116" s="381">
        <v>941040</v>
      </c>
      <c r="AV116" s="382"/>
      <c r="AW116" s="382"/>
      <c r="AX116" s="382">
        <v>202873</v>
      </c>
      <c r="AY116" s="382">
        <v>0</v>
      </c>
      <c r="AZ116" s="382">
        <v>175816</v>
      </c>
      <c r="BA116" s="382">
        <v>1708390</v>
      </c>
      <c r="BB116" s="319">
        <f t="shared" si="106"/>
        <v>3028119</v>
      </c>
      <c r="BC116" s="412">
        <v>1000922</v>
      </c>
      <c r="BD116" s="412">
        <v>0</v>
      </c>
      <c r="BE116" s="412"/>
      <c r="BF116" s="412">
        <v>105429</v>
      </c>
      <c r="BG116" s="412">
        <v>0</v>
      </c>
      <c r="BH116" s="412">
        <v>166944</v>
      </c>
      <c r="BI116" s="412">
        <v>1708549</v>
      </c>
      <c r="BJ116" s="314">
        <f t="shared" si="121"/>
        <v>2981844</v>
      </c>
      <c r="BK116" s="40" t="s">
        <v>10768</v>
      </c>
      <c r="BL116" s="320">
        <v>51</v>
      </c>
      <c r="BM116" s="320">
        <v>2.5</v>
      </c>
      <c r="BN116" s="320">
        <v>2.7</v>
      </c>
      <c r="BO116" s="341" t="s">
        <v>17607</v>
      </c>
      <c r="BP116" s="155">
        <v>916</v>
      </c>
      <c r="BQ116" s="314">
        <v>48</v>
      </c>
      <c r="BR116" s="314">
        <v>93</v>
      </c>
      <c r="BS116" s="314"/>
      <c r="BT116" s="314"/>
      <c r="BU116" s="314"/>
      <c r="BV116" s="314"/>
      <c r="BW116" s="314"/>
      <c r="BX116" s="325" t="s">
        <v>20694</v>
      </c>
    </row>
    <row r="117" spans="1:76" ht="15.75" customHeight="1">
      <c r="A117" s="4" t="s">
        <v>16311</v>
      </c>
      <c r="B117" s="311" t="s">
        <v>2714</v>
      </c>
      <c r="C117" s="155">
        <v>159</v>
      </c>
      <c r="D117" s="312">
        <v>159</v>
      </c>
      <c r="E117" s="40" t="s">
        <v>16024</v>
      </c>
      <c r="F117" s="314">
        <v>124</v>
      </c>
      <c r="G117" s="316">
        <f>COUNTA(ME_84_D)</f>
        <v>22</v>
      </c>
      <c r="H117" s="316">
        <f>COUNTIF(ME_84_G,"TT")</f>
        <v>13</v>
      </c>
      <c r="I117" s="316">
        <f t="shared" si="90"/>
        <v>9</v>
      </c>
      <c r="J117" s="316">
        <f>COUNTA(ME_84_D)</f>
        <v>22</v>
      </c>
      <c r="K117" s="316">
        <f>COUNTIF(ME_84_G,"TT")</f>
        <v>13</v>
      </c>
      <c r="L117" s="316">
        <f t="shared" si="91"/>
        <v>9</v>
      </c>
      <c r="M117" s="316">
        <f>COUNTIFS('Mechanical Engineering Faculty'!$F$4626:$F$4647,M$1)</f>
        <v>2</v>
      </c>
      <c r="N117" s="316">
        <f>COUNTIFS('Mechanical Engineering Faculty'!$F$4626:$F$4647,N$1)</f>
        <v>5</v>
      </c>
      <c r="O117" s="316">
        <f>COUNTIFS('Mechanical Engineering Faculty'!$F$4626:$F$4647,O$1)</f>
        <v>6</v>
      </c>
      <c r="P117" s="316">
        <f>COUNTIFS(ME_84_G,"TT", ME_84_D,P$1)</f>
        <v>2</v>
      </c>
      <c r="Q117" s="316">
        <f>COUNTIFS(ME_84_G,"TT", ME_84_D,Q$1)</f>
        <v>5</v>
      </c>
      <c r="R117" s="316">
        <f>COUNTIFS(ME_84_G,"TT", ME_84_D,R$1)</f>
        <v>6</v>
      </c>
      <c r="S117" s="316">
        <f>COUNTIF(ME_84_D,S$1)</f>
        <v>6</v>
      </c>
      <c r="T117" s="316">
        <f t="shared" si="100"/>
        <v>0</v>
      </c>
      <c r="U117" s="316">
        <f t="shared" si="101"/>
        <v>0</v>
      </c>
      <c r="V117" s="316">
        <f t="shared" si="102"/>
        <v>0</v>
      </c>
      <c r="W117" s="316">
        <f t="shared" ref="W117:AB117" si="126">COUNTIF(ME_84_D,W$1)</f>
        <v>0</v>
      </c>
      <c r="X117" s="316">
        <f t="shared" si="126"/>
        <v>2</v>
      </c>
      <c r="Y117" s="316">
        <f t="shared" si="126"/>
        <v>1</v>
      </c>
      <c r="Z117" s="316">
        <f t="shared" si="126"/>
        <v>0</v>
      </c>
      <c r="AA117" s="316">
        <f t="shared" si="126"/>
        <v>0</v>
      </c>
      <c r="AB117" s="316">
        <f t="shared" si="126"/>
        <v>0</v>
      </c>
      <c r="AC117" s="315">
        <f>COUNTIF(ME_84_E,AC$1)+COUNTIF(ME_84_E,"E/D")</f>
        <v>0</v>
      </c>
      <c r="AD117" s="315">
        <f>COUNTIF(ME_84_E,AD$1)+COUNTIF(ME_84_E,"E/D")</f>
        <v>0</v>
      </c>
      <c r="AE117" s="378">
        <v>13835432</v>
      </c>
      <c r="AF117" s="379"/>
      <c r="AG117" s="379"/>
      <c r="AH117" s="379">
        <v>121662</v>
      </c>
      <c r="AI117" s="379"/>
      <c r="AJ117" s="379">
        <v>7656</v>
      </c>
      <c r="AK117" s="379">
        <v>36330</v>
      </c>
      <c r="AL117" s="318">
        <f t="shared" si="104"/>
        <v>14001080</v>
      </c>
      <c r="AM117" s="378">
        <v>13835432</v>
      </c>
      <c r="AN117" s="379">
        <v>0</v>
      </c>
      <c r="AO117" s="379">
        <v>0</v>
      </c>
      <c r="AP117" s="379">
        <v>121662</v>
      </c>
      <c r="AQ117" s="379">
        <v>0</v>
      </c>
      <c r="AR117" s="379">
        <v>7656</v>
      </c>
      <c r="AS117" s="379">
        <v>36330</v>
      </c>
      <c r="AT117" s="318">
        <f t="shared" si="105"/>
        <v>14001080</v>
      </c>
      <c r="AU117" s="381">
        <v>11679073</v>
      </c>
      <c r="AV117" s="382"/>
      <c r="AW117" s="382"/>
      <c r="AX117" s="382">
        <v>185431</v>
      </c>
      <c r="AY117" s="382"/>
      <c r="AZ117" s="382">
        <v>93406</v>
      </c>
      <c r="BA117" s="382">
        <v>925</v>
      </c>
      <c r="BB117" s="319">
        <f t="shared" si="106"/>
        <v>11958835</v>
      </c>
      <c r="BC117" s="328">
        <v>11679073</v>
      </c>
      <c r="BD117" s="329">
        <v>0</v>
      </c>
      <c r="BE117" s="329">
        <v>0</v>
      </c>
      <c r="BF117" s="329">
        <v>185431</v>
      </c>
      <c r="BG117" s="329">
        <v>0</v>
      </c>
      <c r="BH117" s="329">
        <v>93406</v>
      </c>
      <c r="BI117" s="329">
        <v>925</v>
      </c>
      <c r="BJ117" s="314">
        <f t="shared" si="121"/>
        <v>11958835</v>
      </c>
      <c r="BK117" s="40" t="s">
        <v>10768</v>
      </c>
      <c r="BL117" s="320">
        <v>51</v>
      </c>
      <c r="BM117" s="320">
        <v>2.2999999999999998</v>
      </c>
      <c r="BN117" s="320">
        <v>2.8</v>
      </c>
      <c r="BO117" s="341" t="s">
        <v>16355</v>
      </c>
      <c r="BP117" s="155">
        <v>334</v>
      </c>
      <c r="BQ117" s="314">
        <v>62</v>
      </c>
      <c r="BR117" s="314">
        <v>80</v>
      </c>
      <c r="BS117" s="314"/>
      <c r="BT117" s="314"/>
      <c r="BU117" s="314"/>
      <c r="BV117" s="314"/>
      <c r="BW117" s="314"/>
      <c r="BX117" s="325" t="s">
        <v>20674</v>
      </c>
    </row>
    <row r="118" spans="1:76" ht="15.75" customHeight="1">
      <c r="A118" s="4" t="s">
        <v>16396</v>
      </c>
      <c r="B118" s="311" t="s">
        <v>2714</v>
      </c>
      <c r="C118" s="155">
        <v>162</v>
      </c>
      <c r="D118" s="312">
        <v>164</v>
      </c>
      <c r="E118" s="40" t="s">
        <v>16024</v>
      </c>
      <c r="F118" s="314">
        <v>124</v>
      </c>
      <c r="G118" s="316">
        <f>COUNTA(ME_85_D)</f>
        <v>15</v>
      </c>
      <c r="H118" s="316">
        <f>COUNTIF(ME_85_G,"TT")</f>
        <v>12</v>
      </c>
      <c r="I118" s="316">
        <f t="shared" si="90"/>
        <v>3</v>
      </c>
      <c r="J118" s="316">
        <f>COUNTA(ME_85_D)</f>
        <v>15</v>
      </c>
      <c r="K118" s="316">
        <f>COUNTIF(ME_85_G,"TT")</f>
        <v>12</v>
      </c>
      <c r="L118" s="316">
        <f t="shared" si="91"/>
        <v>3</v>
      </c>
      <c r="M118" s="316">
        <f>COUNTIFS('Mechanical Engineering Faculty'!$F$4649:$F$4663,M$1)</f>
        <v>9</v>
      </c>
      <c r="N118" s="316">
        <f>COUNTIFS('Mechanical Engineering Faculty'!$F$4649:$F$4663,N$1)</f>
        <v>3</v>
      </c>
      <c r="O118" s="316">
        <f>COUNTIFS('Mechanical Engineering Faculty'!$F$4649:$F$4663,O$1)</f>
        <v>0</v>
      </c>
      <c r="P118" s="316">
        <f>COUNTIFS(ME_85_G,"TT", ME_85_D,P$1)</f>
        <v>9</v>
      </c>
      <c r="Q118" s="316">
        <f>COUNTIFS(ME_85_G,"TT", ME_85_D,Q$1)</f>
        <v>3</v>
      </c>
      <c r="R118" s="316">
        <f>COUNTIFS(ME_85_G,"TT", ME_85_D,R$1)</f>
        <v>0</v>
      </c>
      <c r="S118" s="316">
        <f>COUNTIF(ME_85_D,S$1)</f>
        <v>1</v>
      </c>
      <c r="T118" s="316">
        <f t="shared" si="100"/>
        <v>0</v>
      </c>
      <c r="U118" s="316">
        <f t="shared" si="101"/>
        <v>0</v>
      </c>
      <c r="V118" s="316">
        <f t="shared" si="102"/>
        <v>0</v>
      </c>
      <c r="W118" s="316">
        <f t="shared" ref="W118:AB118" si="127">COUNTIF(ME_85_D,W$1)</f>
        <v>1</v>
      </c>
      <c r="X118" s="316">
        <f t="shared" si="127"/>
        <v>0</v>
      </c>
      <c r="Y118" s="316">
        <f t="shared" si="127"/>
        <v>1</v>
      </c>
      <c r="Z118" s="316">
        <f t="shared" si="127"/>
        <v>0</v>
      </c>
      <c r="AA118" s="316">
        <f t="shared" si="127"/>
        <v>0</v>
      </c>
      <c r="AB118" s="316">
        <f t="shared" si="127"/>
        <v>0</v>
      </c>
      <c r="AC118" s="315">
        <f>COUNTIF(ME_85_E,AC$1)+COUNTIF(ME_85_E,"E/D")</f>
        <v>1</v>
      </c>
      <c r="AD118" s="315">
        <f>COUNTIF(ME_85_E,AD$1)+COUNTIF(ME_85_E,"E/D")</f>
        <v>0</v>
      </c>
      <c r="AE118" s="378">
        <v>817549</v>
      </c>
      <c r="AF118" s="379"/>
      <c r="AG118" s="379"/>
      <c r="AH118" s="379">
        <v>376810</v>
      </c>
      <c r="AI118" s="379"/>
      <c r="AJ118" s="379">
        <v>19128</v>
      </c>
      <c r="AK118" s="379">
        <v>0</v>
      </c>
      <c r="AL118" s="318">
        <f t="shared" si="104"/>
        <v>1213487</v>
      </c>
      <c r="AM118" s="377" t="s">
        <v>55</v>
      </c>
      <c r="AN118" s="406" t="s">
        <v>55</v>
      </c>
      <c r="AO118" s="406" t="s">
        <v>55</v>
      </c>
      <c r="AP118" s="406" t="s">
        <v>55</v>
      </c>
      <c r="AQ118" s="406" t="s">
        <v>55</v>
      </c>
      <c r="AR118" s="406" t="s">
        <v>55</v>
      </c>
      <c r="AS118" s="406" t="s">
        <v>55</v>
      </c>
      <c r="AT118" s="318">
        <f t="shared" si="105"/>
        <v>0</v>
      </c>
      <c r="AU118" s="377" t="s">
        <v>55</v>
      </c>
      <c r="AV118" s="377" t="s">
        <v>55</v>
      </c>
      <c r="AW118" s="377" t="s">
        <v>55</v>
      </c>
      <c r="AX118" s="377" t="s">
        <v>55</v>
      </c>
      <c r="AY118" s="377" t="s">
        <v>55</v>
      </c>
      <c r="AZ118" s="377" t="s">
        <v>55</v>
      </c>
      <c r="BA118" s="380" t="s">
        <v>55</v>
      </c>
      <c r="BB118" s="319">
        <f t="shared" si="106"/>
        <v>0</v>
      </c>
      <c r="BC118" s="328">
        <v>1035103</v>
      </c>
      <c r="BD118" s="329">
        <v>0</v>
      </c>
      <c r="BE118" s="329">
        <v>0</v>
      </c>
      <c r="BF118" s="329">
        <v>146650</v>
      </c>
      <c r="BG118" s="329">
        <v>0</v>
      </c>
      <c r="BH118" s="329">
        <v>0</v>
      </c>
      <c r="BI118" s="329">
        <v>0</v>
      </c>
      <c r="BJ118" s="314">
        <f t="shared" si="121"/>
        <v>1181753</v>
      </c>
      <c r="BK118" s="40" t="s">
        <v>16029</v>
      </c>
      <c r="BL118" s="320">
        <v>34</v>
      </c>
      <c r="BM118" s="320">
        <v>2.2999999999999998</v>
      </c>
      <c r="BN118" s="320">
        <v>2.9</v>
      </c>
      <c r="BO118" s="341" t="s">
        <v>16441</v>
      </c>
      <c r="BP118" s="155">
        <v>246</v>
      </c>
      <c r="BQ118" s="314">
        <v>68</v>
      </c>
      <c r="BR118" s="314">
        <v>161</v>
      </c>
      <c r="BS118" s="314"/>
      <c r="BT118" s="314"/>
      <c r="BU118" s="314"/>
      <c r="BV118" s="314"/>
      <c r="BW118" s="314"/>
      <c r="BX118" s="325" t="s">
        <v>20675</v>
      </c>
    </row>
    <row r="119" spans="1:76" ht="15.75" customHeight="1">
      <c r="A119" s="4" t="s">
        <v>16522</v>
      </c>
      <c r="B119" s="311" t="s">
        <v>2714</v>
      </c>
      <c r="C119" s="155">
        <v>162</v>
      </c>
      <c r="D119" s="312">
        <v>162</v>
      </c>
      <c r="E119" s="40" t="s">
        <v>16024</v>
      </c>
      <c r="F119" s="314">
        <v>124</v>
      </c>
      <c r="G119" s="316">
        <f>COUNTA(ME_87_D)</f>
        <v>24</v>
      </c>
      <c r="H119" s="316">
        <f>COUNTIF(ME_87_G,"TT")</f>
        <v>20</v>
      </c>
      <c r="I119" s="316">
        <f t="shared" si="90"/>
        <v>4</v>
      </c>
      <c r="J119" s="316">
        <f>COUNTA(ME_87_D)</f>
        <v>24</v>
      </c>
      <c r="K119" s="316">
        <f>COUNTIF(ME_87_G,"TT")</f>
        <v>20</v>
      </c>
      <c r="L119" s="316">
        <f t="shared" si="91"/>
        <v>4</v>
      </c>
      <c r="M119" s="316">
        <f>COUNTIFS('Mechanical Engineering Faculty'!$F$4686:$F$4709,M$1)</f>
        <v>7</v>
      </c>
      <c r="N119" s="316">
        <f>COUNTIFS('Mechanical Engineering Faculty'!$F$4686:$F$4709,N$1)</f>
        <v>4</v>
      </c>
      <c r="O119" s="316">
        <f>COUNTIFS('Mechanical Engineering Faculty'!$F$4686:$F$4709,O$1)</f>
        <v>9</v>
      </c>
      <c r="P119" s="316">
        <f>COUNTIFS(ME_87_G,"TT", ME_87_D,P$1)</f>
        <v>7</v>
      </c>
      <c r="Q119" s="316">
        <f>COUNTIFS(ME_87_G,"TT", ME_87_D,Q$1)</f>
        <v>4</v>
      </c>
      <c r="R119" s="316">
        <f>COUNTIFS(ME_87_G,"TT", ME_87_D,R$1)</f>
        <v>9</v>
      </c>
      <c r="S119" s="316">
        <f>COUNTIF(ME_87_D,S$1)</f>
        <v>4</v>
      </c>
      <c r="T119" s="316">
        <f t="shared" si="100"/>
        <v>0</v>
      </c>
      <c r="U119" s="316">
        <f t="shared" si="101"/>
        <v>0</v>
      </c>
      <c r="V119" s="316">
        <f t="shared" si="102"/>
        <v>0</v>
      </c>
      <c r="W119" s="316">
        <f t="shared" ref="W119:AB119" si="128">COUNTIF(ME_87_D,W$1)</f>
        <v>0</v>
      </c>
      <c r="X119" s="316">
        <f t="shared" si="128"/>
        <v>0</v>
      </c>
      <c r="Y119" s="316">
        <f t="shared" si="128"/>
        <v>0</v>
      </c>
      <c r="Z119" s="316">
        <f t="shared" si="128"/>
        <v>0</v>
      </c>
      <c r="AA119" s="316">
        <f t="shared" si="128"/>
        <v>0</v>
      </c>
      <c r="AB119" s="316">
        <f t="shared" si="128"/>
        <v>0</v>
      </c>
      <c r="AC119" s="315">
        <f>COUNTIF(ME_87_E,AC$1)+COUNTIF(ME_87_E,"E/D")</f>
        <v>0</v>
      </c>
      <c r="AD119" s="315">
        <f>COUNTIF(ME_87_E,AD$1)+COUNTIF(ME_87_E,"E/D")</f>
        <v>0</v>
      </c>
      <c r="AE119" s="378">
        <v>1700100</v>
      </c>
      <c r="AF119" s="378">
        <v>0</v>
      </c>
      <c r="AG119" s="378"/>
      <c r="AH119" s="378">
        <v>102394</v>
      </c>
      <c r="AI119" s="378">
        <v>0</v>
      </c>
      <c r="AJ119" s="378">
        <v>140622</v>
      </c>
      <c r="AK119" s="378">
        <v>11178</v>
      </c>
      <c r="AL119" s="318">
        <f t="shared" si="104"/>
        <v>1954294</v>
      </c>
      <c r="AM119" s="378">
        <v>3770020</v>
      </c>
      <c r="AN119" s="378">
        <v>0</v>
      </c>
      <c r="AO119" s="378"/>
      <c r="AP119" s="378">
        <v>93248</v>
      </c>
      <c r="AQ119" s="378">
        <v>0</v>
      </c>
      <c r="AR119" s="378">
        <v>97964</v>
      </c>
      <c r="AS119" s="378">
        <v>0</v>
      </c>
      <c r="AT119" s="318">
        <f t="shared" si="105"/>
        <v>3961232</v>
      </c>
      <c r="AU119" s="381">
        <v>2026530</v>
      </c>
      <c r="AV119" s="382">
        <v>0</v>
      </c>
      <c r="AW119" s="382">
        <v>0</v>
      </c>
      <c r="AX119" s="382">
        <v>57179</v>
      </c>
      <c r="AY119" s="382"/>
      <c r="AZ119" s="382">
        <v>34162</v>
      </c>
      <c r="BA119" s="382">
        <v>54185</v>
      </c>
      <c r="BB119" s="319">
        <f t="shared" si="106"/>
        <v>2172056</v>
      </c>
      <c r="BC119" s="328">
        <v>1958466</v>
      </c>
      <c r="BD119" s="329">
        <v>0</v>
      </c>
      <c r="BE119" s="329">
        <v>0</v>
      </c>
      <c r="BF119" s="329">
        <v>74367</v>
      </c>
      <c r="BG119" s="329">
        <v>0</v>
      </c>
      <c r="BH119" s="329">
        <v>3284</v>
      </c>
      <c r="BI119" s="329">
        <v>96677</v>
      </c>
      <c r="BJ119" s="314">
        <f t="shared" si="121"/>
        <v>2132794</v>
      </c>
      <c r="BK119" s="40" t="s">
        <v>4283</v>
      </c>
      <c r="BL119" s="320">
        <v>67</v>
      </c>
      <c r="BM119" s="320">
        <v>2.2999999999999998</v>
      </c>
      <c r="BN119" s="320">
        <v>3</v>
      </c>
      <c r="BO119" s="341" t="s">
        <v>16571</v>
      </c>
      <c r="BP119" s="155">
        <v>1116</v>
      </c>
      <c r="BQ119" s="344"/>
      <c r="BR119" s="314">
        <v>55</v>
      </c>
      <c r="BS119" s="314"/>
      <c r="BT119" s="314"/>
      <c r="BU119" s="314"/>
      <c r="BV119" s="314"/>
      <c r="BW119" s="314"/>
      <c r="BX119" s="325" t="s">
        <v>20677</v>
      </c>
    </row>
    <row r="120" spans="1:76" ht="15.75" customHeight="1">
      <c r="A120" s="4" t="s">
        <v>17499</v>
      </c>
      <c r="B120" s="311" t="s">
        <v>2714</v>
      </c>
      <c r="C120" s="155">
        <v>161</v>
      </c>
      <c r="D120" s="312">
        <v>157</v>
      </c>
      <c r="E120" s="40" t="s">
        <v>16979</v>
      </c>
      <c r="F120" s="314">
        <v>124</v>
      </c>
      <c r="G120" s="316">
        <f>COUNTA(ME_102_D)</f>
        <v>16</v>
      </c>
      <c r="H120" s="316">
        <f>COUNTIF(ME_102_G,"TT")</f>
        <v>14</v>
      </c>
      <c r="I120" s="316">
        <f t="shared" si="90"/>
        <v>2</v>
      </c>
      <c r="J120" s="316">
        <f>COUNTA(ME_102_D)</f>
        <v>16</v>
      </c>
      <c r="K120" s="316">
        <f>COUNTIF(ME_102_G,"TT")</f>
        <v>14</v>
      </c>
      <c r="L120" s="316">
        <f t="shared" si="91"/>
        <v>2</v>
      </c>
      <c r="M120" s="316">
        <f>COUNTIFS('Mechanical Engineering Faculty'!$F$5013:$F$5028,M$1)</f>
        <v>8</v>
      </c>
      <c r="N120" s="316">
        <f>COUNTIFS('Mechanical Engineering Faculty'!$F$5013:$F$5028,N$1)</f>
        <v>1</v>
      </c>
      <c r="O120" s="316">
        <f>COUNTIFS('Mechanical Engineering Faculty'!$F$5013:$F$5028,O$1)</f>
        <v>5</v>
      </c>
      <c r="P120" s="316">
        <f>COUNTIFS(ME_102_G,"TT", ME_102_D,P$1)</f>
        <v>8</v>
      </c>
      <c r="Q120" s="316">
        <f>COUNTIFS(ME_102_G,"TT", ME_102_D,Q$1)</f>
        <v>1</v>
      </c>
      <c r="R120" s="316">
        <f>COUNTIFS(ME_102_G,"TT", ME_102_D,R$1)</f>
        <v>5</v>
      </c>
      <c r="S120" s="316">
        <f>COUNTIF(ME_102_D,S$1)</f>
        <v>2</v>
      </c>
      <c r="T120" s="316">
        <f t="shared" si="100"/>
        <v>0</v>
      </c>
      <c r="U120" s="316">
        <f t="shared" si="101"/>
        <v>0</v>
      </c>
      <c r="V120" s="316">
        <f t="shared" si="102"/>
        <v>0</v>
      </c>
      <c r="W120" s="316">
        <f t="shared" ref="W120:AB120" si="129">COUNTIF(ME_102_D,W$1)</f>
        <v>0</v>
      </c>
      <c r="X120" s="316">
        <f t="shared" si="129"/>
        <v>0</v>
      </c>
      <c r="Y120" s="316">
        <f t="shared" si="129"/>
        <v>0</v>
      </c>
      <c r="Z120" s="316">
        <f t="shared" si="129"/>
        <v>0</v>
      </c>
      <c r="AA120" s="316">
        <f t="shared" si="129"/>
        <v>0</v>
      </c>
      <c r="AB120" s="316">
        <f t="shared" si="129"/>
        <v>0</v>
      </c>
      <c r="AC120" s="315">
        <f>COUNTIF(ME_102_E,AC$1)+COUNTIF(ME_102_E,"E/D")</f>
        <v>0</v>
      </c>
      <c r="AD120" s="315">
        <f>COUNTIF(ME_102_E,AD$1)+COUNTIF(ME_102_E,"E/D")</f>
        <v>0</v>
      </c>
      <c r="AE120" s="378">
        <v>2698000</v>
      </c>
      <c r="AF120" s="378">
        <v>0</v>
      </c>
      <c r="AG120" s="378"/>
      <c r="AH120" s="378">
        <v>319000</v>
      </c>
      <c r="AI120" s="378">
        <v>33000</v>
      </c>
      <c r="AJ120" s="378">
        <v>11000</v>
      </c>
      <c r="AK120" s="378">
        <v>8000</v>
      </c>
      <c r="AL120" s="318">
        <f t="shared" si="104"/>
        <v>3069000</v>
      </c>
      <c r="AM120" s="378">
        <v>3064000</v>
      </c>
      <c r="AN120" s="379"/>
      <c r="AO120" s="379">
        <v>0</v>
      </c>
      <c r="AP120" s="379">
        <v>37000</v>
      </c>
      <c r="AQ120" s="379"/>
      <c r="AR120" s="379">
        <v>0</v>
      </c>
      <c r="AS120" s="379">
        <v>24000</v>
      </c>
      <c r="AT120" s="318">
        <f t="shared" si="105"/>
        <v>3125000</v>
      </c>
      <c r="AU120" s="381">
        <v>1850670</v>
      </c>
      <c r="AV120" s="382">
        <v>0</v>
      </c>
      <c r="AW120" s="382"/>
      <c r="AX120" s="382">
        <v>189743</v>
      </c>
      <c r="AY120" s="382"/>
      <c r="AZ120" s="382">
        <v>332815</v>
      </c>
      <c r="BA120" s="382">
        <v>78353</v>
      </c>
      <c r="BB120" s="319">
        <f t="shared" si="106"/>
        <v>2451581</v>
      </c>
      <c r="BC120" s="328">
        <v>3627311</v>
      </c>
      <c r="BD120" s="329">
        <v>0</v>
      </c>
      <c r="BE120" s="329">
        <v>0</v>
      </c>
      <c r="BF120" s="329">
        <v>330315</v>
      </c>
      <c r="BG120" s="329">
        <v>0</v>
      </c>
      <c r="BH120" s="329">
        <v>210883</v>
      </c>
      <c r="BI120" s="329">
        <v>14255</v>
      </c>
      <c r="BJ120" s="314">
        <f t="shared" si="121"/>
        <v>4182764</v>
      </c>
      <c r="BK120" s="40" t="s">
        <v>16860</v>
      </c>
      <c r="BL120" s="320">
        <v>40</v>
      </c>
      <c r="BM120" s="320">
        <v>2.2999999999999998</v>
      </c>
      <c r="BN120" s="320">
        <v>2.9</v>
      </c>
      <c r="BO120" s="341" t="s">
        <v>17543</v>
      </c>
      <c r="BP120" s="155">
        <v>164</v>
      </c>
      <c r="BQ120" s="314">
        <v>83</v>
      </c>
      <c r="BR120" s="314">
        <v>111</v>
      </c>
      <c r="BS120" s="314"/>
      <c r="BT120" s="314"/>
      <c r="BU120" s="314"/>
      <c r="BV120" s="314"/>
      <c r="BW120" s="314"/>
      <c r="BX120" s="325" t="s">
        <v>20693</v>
      </c>
    </row>
    <row r="121" spans="1:76" ht="15.75" customHeight="1">
      <c r="A121" s="4" t="s">
        <v>17792</v>
      </c>
      <c r="B121" s="311" t="s">
        <v>2714</v>
      </c>
      <c r="C121" s="155">
        <v>156</v>
      </c>
      <c r="D121" s="312">
        <v>158</v>
      </c>
      <c r="E121" s="40" t="s">
        <v>16979</v>
      </c>
      <c r="F121" s="314">
        <v>124</v>
      </c>
      <c r="G121" s="316">
        <f>COUNTA(ME_106_D)</f>
        <v>17</v>
      </c>
      <c r="H121" s="316">
        <f>COUNTIF(ME_106_G,"TT")</f>
        <v>15</v>
      </c>
      <c r="I121" s="316">
        <f t="shared" si="90"/>
        <v>2</v>
      </c>
      <c r="J121" s="316">
        <f>COUNTA(ME_106_D)</f>
        <v>17</v>
      </c>
      <c r="K121" s="316">
        <f>COUNTIF(ME_106_G,"TT")</f>
        <v>15</v>
      </c>
      <c r="L121" s="316">
        <f t="shared" si="91"/>
        <v>2</v>
      </c>
      <c r="M121" s="316">
        <f>COUNTIFS( 'Mechanical Engineering Faculty'!$F$5102:$F$5118,M$1)</f>
        <v>6</v>
      </c>
      <c r="N121" s="316">
        <f>COUNTIFS( 'Mechanical Engineering Faculty'!$F$5102:$F$5118,N$1)</f>
        <v>3</v>
      </c>
      <c r="O121" s="316">
        <f>COUNTIFS( 'Mechanical Engineering Faculty'!$F$5102:$F$5118,O$1)</f>
        <v>6</v>
      </c>
      <c r="P121" s="316">
        <f>COUNTIFS(ME_106_G,"TT", ME_106_D,P$1)</f>
        <v>6</v>
      </c>
      <c r="Q121" s="316">
        <f>COUNTIFS(ME_106_G,"TT", ME_106_D,Q$1)</f>
        <v>3</v>
      </c>
      <c r="R121" s="316">
        <f>COUNTIFS(ME_106_G,"TT", ME_106_D,R$1)</f>
        <v>6</v>
      </c>
      <c r="S121" s="316">
        <f>COUNTIF(ME_106_D,S$1)</f>
        <v>0</v>
      </c>
      <c r="T121" s="316">
        <f t="shared" si="100"/>
        <v>0</v>
      </c>
      <c r="U121" s="316">
        <f t="shared" si="101"/>
        <v>0</v>
      </c>
      <c r="V121" s="316">
        <f t="shared" si="102"/>
        <v>0</v>
      </c>
      <c r="W121" s="316">
        <f t="shared" ref="W121:AB121" si="130">COUNTIF(ME_106_D,W$1)</f>
        <v>0</v>
      </c>
      <c r="X121" s="316">
        <f t="shared" si="130"/>
        <v>2</v>
      </c>
      <c r="Y121" s="316">
        <f t="shared" si="130"/>
        <v>0</v>
      </c>
      <c r="Z121" s="316">
        <f t="shared" si="130"/>
        <v>0</v>
      </c>
      <c r="AA121" s="316">
        <f t="shared" si="130"/>
        <v>0</v>
      </c>
      <c r="AB121" s="316">
        <f t="shared" si="130"/>
        <v>0</v>
      </c>
      <c r="AC121" s="315">
        <f>COUNTIF(ME_106_E,AC$1)+COUNTIF(ME_106_E,"E/D")</f>
        <v>1</v>
      </c>
      <c r="AD121" s="315">
        <f>COUNTIF(ME_106_E,AD$1)+COUNTIF(ME_106_E,"E/D")</f>
        <v>1</v>
      </c>
      <c r="AE121" s="377" t="s">
        <v>55</v>
      </c>
      <c r="AF121" s="377" t="s">
        <v>55</v>
      </c>
      <c r="AG121" s="377" t="s">
        <v>55</v>
      </c>
      <c r="AH121" s="377" t="s">
        <v>55</v>
      </c>
      <c r="AI121" s="377" t="s">
        <v>55</v>
      </c>
      <c r="AJ121" s="377" t="s">
        <v>55</v>
      </c>
      <c r="AK121" s="377" t="s">
        <v>55</v>
      </c>
      <c r="AL121" s="318">
        <f t="shared" si="104"/>
        <v>0</v>
      </c>
      <c r="AM121" s="377" t="s">
        <v>55</v>
      </c>
      <c r="AN121" s="377" t="s">
        <v>55</v>
      </c>
      <c r="AO121" s="377" t="s">
        <v>55</v>
      </c>
      <c r="AP121" s="377" t="s">
        <v>55</v>
      </c>
      <c r="AQ121" s="377" t="s">
        <v>55</v>
      </c>
      <c r="AR121" s="377" t="s">
        <v>55</v>
      </c>
      <c r="AS121" s="377" t="s">
        <v>55</v>
      </c>
      <c r="AT121" s="318">
        <f t="shared" si="105"/>
        <v>0</v>
      </c>
      <c r="AU121" s="381">
        <v>104523</v>
      </c>
      <c r="AV121" s="381">
        <v>0</v>
      </c>
      <c r="AW121" s="381">
        <v>88816</v>
      </c>
      <c r="AX121" s="381">
        <v>91031</v>
      </c>
      <c r="AY121" s="381">
        <v>0</v>
      </c>
      <c r="AZ121" s="381">
        <v>63763</v>
      </c>
      <c r="BA121" s="381">
        <v>0</v>
      </c>
      <c r="BB121" s="319">
        <f t="shared" si="106"/>
        <v>348133</v>
      </c>
      <c r="BC121" s="412">
        <v>150658</v>
      </c>
      <c r="BD121" s="412">
        <v>0</v>
      </c>
      <c r="BE121" s="412">
        <v>45382</v>
      </c>
      <c r="BF121" s="412">
        <v>0</v>
      </c>
      <c r="BG121" s="412">
        <v>0</v>
      </c>
      <c r="BH121" s="412">
        <v>206349</v>
      </c>
      <c r="BI121" s="412">
        <v>11204</v>
      </c>
      <c r="BJ121" s="314">
        <f t="shared" si="121"/>
        <v>413593</v>
      </c>
      <c r="BK121" s="40" t="s">
        <v>16842</v>
      </c>
      <c r="BL121" s="320">
        <v>36</v>
      </c>
      <c r="BM121" s="320">
        <v>2.2000000000000002</v>
      </c>
      <c r="BN121" s="320">
        <v>2.8</v>
      </c>
      <c r="BO121" s="341" t="s">
        <v>17839</v>
      </c>
      <c r="BP121" s="155">
        <v>403</v>
      </c>
      <c r="BQ121" s="314">
        <v>62</v>
      </c>
      <c r="BR121" s="314">
        <v>153</v>
      </c>
      <c r="BS121" s="314"/>
      <c r="BT121" s="314"/>
      <c r="BU121" s="314"/>
      <c r="BV121" s="314"/>
      <c r="BW121" s="314"/>
      <c r="BX121" s="325" t="s">
        <v>20697</v>
      </c>
    </row>
    <row r="122" spans="1:76" ht="15.75" customHeight="1">
      <c r="A122" s="4" t="s">
        <v>18076</v>
      </c>
      <c r="B122" s="311" t="s">
        <v>2714</v>
      </c>
      <c r="C122" s="155" t="s">
        <v>55</v>
      </c>
      <c r="D122" s="312" t="s">
        <v>20474</v>
      </c>
      <c r="E122" s="40" t="s">
        <v>17871</v>
      </c>
      <c r="F122" s="314">
        <v>124</v>
      </c>
      <c r="G122" s="316">
        <f>COUNTA(ME_110_D)</f>
        <v>28</v>
      </c>
      <c r="H122" s="316">
        <f>COUNTIF(ME_110_G,"TT")</f>
        <v>26</v>
      </c>
      <c r="I122" s="316">
        <f t="shared" ref="I122:I153" si="131">G122-H122</f>
        <v>2</v>
      </c>
      <c r="J122" s="316">
        <f>COUNTA(ME_110_D)</f>
        <v>28</v>
      </c>
      <c r="K122" s="316">
        <f>COUNTIF(ME_110_G,"TT")</f>
        <v>26</v>
      </c>
      <c r="L122" s="316">
        <f t="shared" ref="L122:L153" si="132">J122-K122</f>
        <v>2</v>
      </c>
      <c r="M122" s="316">
        <f>COUNTIFS('Mechanical Engineering Faculty'!$F$5183:$F$5210,M$1)</f>
        <v>13</v>
      </c>
      <c r="N122" s="316">
        <f>COUNTIFS('Mechanical Engineering Faculty'!$F$5183:$F$5210,N$1)</f>
        <v>10</v>
      </c>
      <c r="O122" s="316">
        <f>COUNTIFS('Mechanical Engineering Faculty'!$F$5183:$F$5210,O$1)</f>
        <v>3</v>
      </c>
      <c r="P122" s="316">
        <f>COUNTIFS(ME_110_G,"TT", ME_110_D,P$1)</f>
        <v>13</v>
      </c>
      <c r="Q122" s="316">
        <f>COUNTIFS(ME_110_G,"TT", ME_110_D,Q$1)</f>
        <v>10</v>
      </c>
      <c r="R122" s="316">
        <f>COUNTIFS(ME_110_G,"TT", ME_110_D,R$1)</f>
        <v>3</v>
      </c>
      <c r="S122" s="316">
        <f>COUNTIF(ME_110_D,S$1)</f>
        <v>0</v>
      </c>
      <c r="T122" s="316">
        <f t="shared" si="100"/>
        <v>0</v>
      </c>
      <c r="U122" s="316">
        <f t="shared" si="101"/>
        <v>0</v>
      </c>
      <c r="V122" s="316">
        <f t="shared" si="102"/>
        <v>0</v>
      </c>
      <c r="W122" s="316">
        <f t="shared" ref="W122:AB122" si="133">COUNTIF(ME_110_D,W$1)</f>
        <v>0</v>
      </c>
      <c r="X122" s="316">
        <f t="shared" si="133"/>
        <v>0</v>
      </c>
      <c r="Y122" s="316">
        <f t="shared" si="133"/>
        <v>1</v>
      </c>
      <c r="Z122" s="316">
        <f t="shared" si="133"/>
        <v>0</v>
      </c>
      <c r="AA122" s="316">
        <f t="shared" si="133"/>
        <v>1</v>
      </c>
      <c r="AB122" s="316">
        <f t="shared" si="133"/>
        <v>0</v>
      </c>
      <c r="AC122" s="315">
        <f>COUNTIF(ME_110_E,AC$1)+COUNTIF(ME_110_E,"E/D")</f>
        <v>0</v>
      </c>
      <c r="AD122" s="315">
        <f>COUNTIF(ME_110_E,AD$1)+COUNTIF(ME_110_E,"E/D")</f>
        <v>0</v>
      </c>
      <c r="AE122" s="377" t="s">
        <v>55</v>
      </c>
      <c r="AF122" s="406" t="s">
        <v>55</v>
      </c>
      <c r="AG122" s="406" t="s">
        <v>55</v>
      </c>
      <c r="AH122" s="406" t="s">
        <v>55</v>
      </c>
      <c r="AI122" s="406" t="s">
        <v>55</v>
      </c>
      <c r="AJ122" s="406" t="s">
        <v>55</v>
      </c>
      <c r="AK122" s="406" t="s">
        <v>55</v>
      </c>
      <c r="AL122" s="318">
        <f t="shared" si="104"/>
        <v>0</v>
      </c>
      <c r="AM122" s="377" t="s">
        <v>55</v>
      </c>
      <c r="AN122" s="406" t="s">
        <v>55</v>
      </c>
      <c r="AO122" s="406" t="s">
        <v>55</v>
      </c>
      <c r="AP122" s="406" t="s">
        <v>55</v>
      </c>
      <c r="AQ122" s="406" t="s">
        <v>55</v>
      </c>
      <c r="AR122" s="406" t="s">
        <v>55</v>
      </c>
      <c r="AS122" s="406" t="s">
        <v>55</v>
      </c>
      <c r="AT122" s="318">
        <f t="shared" si="105"/>
        <v>0</v>
      </c>
      <c r="AU122" s="377" t="s">
        <v>55</v>
      </c>
      <c r="AV122" s="406" t="s">
        <v>55</v>
      </c>
      <c r="AW122" s="406" t="s">
        <v>55</v>
      </c>
      <c r="AX122" s="406" t="s">
        <v>55</v>
      </c>
      <c r="AY122" s="406" t="s">
        <v>55</v>
      </c>
      <c r="AZ122" s="406" t="s">
        <v>55</v>
      </c>
      <c r="BA122" s="409" t="s">
        <v>55</v>
      </c>
      <c r="BB122" s="319">
        <f t="shared" si="106"/>
        <v>0</v>
      </c>
      <c r="BC122" s="411" t="s">
        <v>55</v>
      </c>
      <c r="BD122" s="413" t="s">
        <v>55</v>
      </c>
      <c r="BE122" s="413" t="s">
        <v>55</v>
      </c>
      <c r="BF122" s="413" t="s">
        <v>55</v>
      </c>
      <c r="BG122" s="413" t="s">
        <v>55</v>
      </c>
      <c r="BH122" s="413" t="s">
        <v>55</v>
      </c>
      <c r="BI122" s="413" t="s">
        <v>55</v>
      </c>
      <c r="BJ122" s="332" t="s">
        <v>55</v>
      </c>
      <c r="BK122" s="40" t="s">
        <v>17027</v>
      </c>
      <c r="BL122" s="320">
        <v>37</v>
      </c>
      <c r="BM122" s="320">
        <v>2.1</v>
      </c>
      <c r="BN122" s="320">
        <v>2.7</v>
      </c>
      <c r="BO122" s="40" t="s">
        <v>18120</v>
      </c>
      <c r="BP122" s="155">
        <v>240</v>
      </c>
      <c r="BQ122" s="344"/>
      <c r="BR122" s="314">
        <v>153</v>
      </c>
      <c r="BS122" s="314"/>
      <c r="BT122" s="314"/>
      <c r="BU122" s="314"/>
      <c r="BV122" s="314"/>
      <c r="BW122" s="314"/>
      <c r="BX122" s="325" t="s">
        <v>20701</v>
      </c>
    </row>
    <row r="123" spans="1:76" ht="15.75" customHeight="1">
      <c r="A123" s="4" t="s">
        <v>18318</v>
      </c>
      <c r="B123" s="311" t="s">
        <v>2714</v>
      </c>
      <c r="C123" s="155">
        <v>157</v>
      </c>
      <c r="D123" s="312">
        <v>159</v>
      </c>
      <c r="E123" s="40" t="s">
        <v>17871</v>
      </c>
      <c r="F123" s="314">
        <v>124</v>
      </c>
      <c r="G123" s="316">
        <f>COUNTA(ME_114_D)</f>
        <v>20</v>
      </c>
      <c r="H123" s="316">
        <f>COUNTIF(ME_114_G,"TT")</f>
        <v>18</v>
      </c>
      <c r="I123" s="316">
        <f t="shared" si="131"/>
        <v>2</v>
      </c>
      <c r="J123" s="316">
        <f>COUNTA(ME_114_D)</f>
        <v>20</v>
      </c>
      <c r="K123" s="316">
        <f>COUNTIF(ME_114_G,"TT")</f>
        <v>18</v>
      </c>
      <c r="L123" s="316">
        <f t="shared" si="132"/>
        <v>2</v>
      </c>
      <c r="M123" s="316">
        <f>COUNTIFS('Mechanical Engineering Faculty'!$F$5266:$F$5285,M$1)</f>
        <v>7</v>
      </c>
      <c r="N123" s="316">
        <f>COUNTIFS('Mechanical Engineering Faculty'!$F$5266:$F$5285,N$1)</f>
        <v>5</v>
      </c>
      <c r="O123" s="316">
        <f>COUNTIFS('Mechanical Engineering Faculty'!$F$5266:$F$5285,O$1)</f>
        <v>6</v>
      </c>
      <c r="P123" s="316">
        <f>COUNTIFS(ME_114_G,"TT", ME_114_D,P$1)</f>
        <v>7</v>
      </c>
      <c r="Q123" s="316">
        <f>COUNTIFS(ME_114_G,"TT", ME_114_D,Q$1)</f>
        <v>5</v>
      </c>
      <c r="R123" s="316">
        <f>COUNTIFS(ME_114_G,"TT", ME_114_D,R$1)</f>
        <v>6</v>
      </c>
      <c r="S123" s="316">
        <f>COUNTIF(ME_114_D,S$1)</f>
        <v>0</v>
      </c>
      <c r="T123" s="316">
        <f t="shared" si="100"/>
        <v>0</v>
      </c>
      <c r="U123" s="316">
        <f t="shared" si="101"/>
        <v>0</v>
      </c>
      <c r="V123" s="316">
        <f t="shared" si="102"/>
        <v>0</v>
      </c>
      <c r="W123" s="316">
        <f t="shared" ref="W123:AB123" si="134">COUNTIF(ME_114_D,W$1)</f>
        <v>0</v>
      </c>
      <c r="X123" s="316">
        <f t="shared" si="134"/>
        <v>0</v>
      </c>
      <c r="Y123" s="316">
        <f t="shared" si="134"/>
        <v>2</v>
      </c>
      <c r="Z123" s="316">
        <f t="shared" si="134"/>
        <v>0</v>
      </c>
      <c r="AA123" s="316">
        <f t="shared" si="134"/>
        <v>0</v>
      </c>
      <c r="AB123" s="316">
        <f t="shared" si="134"/>
        <v>0</v>
      </c>
      <c r="AC123" s="315">
        <f>COUNTIF(ME_114_E,AC$1)+COUNTIF(ME_114_E,"E/D")</f>
        <v>0</v>
      </c>
      <c r="AD123" s="315">
        <f>COUNTIF(ME_114_E,AD$1)+COUNTIF(ME_114_E,"E/D")</f>
        <v>0</v>
      </c>
      <c r="AE123" s="378">
        <v>436146</v>
      </c>
      <c r="AF123" s="379"/>
      <c r="AG123" s="379">
        <v>59</v>
      </c>
      <c r="AH123" s="379">
        <v>180523</v>
      </c>
      <c r="AI123" s="379">
        <v>0</v>
      </c>
      <c r="AJ123" s="379">
        <v>226667</v>
      </c>
      <c r="AK123" s="379">
        <v>0</v>
      </c>
      <c r="AL123" s="318">
        <f t="shared" si="104"/>
        <v>843395</v>
      </c>
      <c r="AM123" s="378">
        <v>953439</v>
      </c>
      <c r="AN123" s="378">
        <v>0</v>
      </c>
      <c r="AO123" s="378">
        <v>5758</v>
      </c>
      <c r="AP123" s="378">
        <v>62313</v>
      </c>
      <c r="AQ123" s="378">
        <v>0</v>
      </c>
      <c r="AR123" s="378">
        <v>284684</v>
      </c>
      <c r="AS123" s="378">
        <v>0</v>
      </c>
      <c r="AT123" s="318">
        <f t="shared" si="105"/>
        <v>1306194</v>
      </c>
      <c r="AU123" s="381">
        <v>1612450</v>
      </c>
      <c r="AV123" s="382"/>
      <c r="AW123" s="382">
        <v>0</v>
      </c>
      <c r="AX123" s="382">
        <v>27651</v>
      </c>
      <c r="AY123" s="382">
        <v>0</v>
      </c>
      <c r="AZ123" s="382">
        <v>221505</v>
      </c>
      <c r="BA123" s="382">
        <v>21579</v>
      </c>
      <c r="BB123" s="319">
        <f t="shared" si="106"/>
        <v>1883185</v>
      </c>
      <c r="BC123" s="328">
        <v>1834173</v>
      </c>
      <c r="BD123" s="329">
        <v>0</v>
      </c>
      <c r="BE123" s="329">
        <v>932</v>
      </c>
      <c r="BF123" s="329">
        <v>142182</v>
      </c>
      <c r="BG123" s="329">
        <v>0</v>
      </c>
      <c r="BH123" s="329">
        <v>185516</v>
      </c>
      <c r="BI123" s="329">
        <v>8348</v>
      </c>
      <c r="BJ123" s="314">
        <f t="shared" ref="BJ123:BJ129" si="135">SUM(BC123:BI123)</f>
        <v>2171151</v>
      </c>
      <c r="BK123" s="40" t="s">
        <v>14231</v>
      </c>
      <c r="BL123" s="320">
        <v>38</v>
      </c>
      <c r="BM123" s="320">
        <v>2.2000000000000002</v>
      </c>
      <c r="BN123" s="320">
        <v>2.9</v>
      </c>
      <c r="BO123" s="341" t="s">
        <v>18365</v>
      </c>
      <c r="BP123" s="155">
        <v>292</v>
      </c>
      <c r="BQ123" s="314">
        <v>55</v>
      </c>
      <c r="BR123" s="314">
        <v>149</v>
      </c>
      <c r="BS123" s="314"/>
      <c r="BT123" s="314"/>
      <c r="BU123" s="314"/>
      <c r="BV123" s="314"/>
      <c r="BW123" s="314"/>
      <c r="BX123" s="325" t="s">
        <v>20705</v>
      </c>
    </row>
    <row r="124" spans="1:76" ht="15.75" customHeight="1">
      <c r="A124" s="4" t="s">
        <v>17012</v>
      </c>
      <c r="B124" s="311" t="s">
        <v>3888</v>
      </c>
      <c r="C124" s="155" t="s">
        <v>55</v>
      </c>
      <c r="D124" s="312" t="s">
        <v>20474</v>
      </c>
      <c r="E124" s="40" t="s">
        <v>16979</v>
      </c>
      <c r="F124" s="314">
        <v>131</v>
      </c>
      <c r="G124" s="316">
        <f>COUNTA(ME_94_D)</f>
        <v>9</v>
      </c>
      <c r="H124" s="316">
        <f>COUNTIF(ME_94_G,"TT")</f>
        <v>9</v>
      </c>
      <c r="I124" s="316">
        <f t="shared" si="131"/>
        <v>0</v>
      </c>
      <c r="J124" s="316">
        <f>COUNTA(ME_94_D)</f>
        <v>9</v>
      </c>
      <c r="K124" s="316">
        <f>COUNTIF(ME_94_G,"TT")</f>
        <v>9</v>
      </c>
      <c r="L124" s="316">
        <f t="shared" si="132"/>
        <v>0</v>
      </c>
      <c r="M124" s="316">
        <f>COUNTIFS('Mechanical Engineering Faculty'!$F$4853:$F$4861,M$1)</f>
        <v>8</v>
      </c>
      <c r="N124" s="316">
        <f>COUNTIFS('Mechanical Engineering Faculty'!$F$4853:$F$4861,N$1)</f>
        <v>0</v>
      </c>
      <c r="O124" s="316">
        <f>COUNTIFS('Mechanical Engineering Faculty'!$F$4853:$F$4861,O$1)</f>
        <v>1</v>
      </c>
      <c r="P124" s="316">
        <f>COUNTIFS(ME_94_G,"TT", ME_94_D,P$1)</f>
        <v>8</v>
      </c>
      <c r="Q124" s="316">
        <f>COUNTIFS(ME_94_G,"TT", ME_94_D,Q$1)</f>
        <v>0</v>
      </c>
      <c r="R124" s="316">
        <f>COUNTIFS(ME_94_G,"TT", ME_94_D,R$1)</f>
        <v>1</v>
      </c>
      <c r="S124" s="316">
        <f>COUNTIF(ME_94_D,S$1)</f>
        <v>0</v>
      </c>
      <c r="T124" s="316">
        <f t="shared" si="100"/>
        <v>0</v>
      </c>
      <c r="U124" s="316">
        <f t="shared" si="101"/>
        <v>0</v>
      </c>
      <c r="V124" s="316">
        <f t="shared" si="102"/>
        <v>0</v>
      </c>
      <c r="W124" s="316">
        <f t="shared" ref="W124:AB124" si="136">COUNTIF(ME_94_D,W$1)</f>
        <v>0</v>
      </c>
      <c r="X124" s="316">
        <f t="shared" si="136"/>
        <v>0</v>
      </c>
      <c r="Y124" s="316">
        <f t="shared" si="136"/>
        <v>0</v>
      </c>
      <c r="Z124" s="316">
        <f t="shared" si="136"/>
        <v>0</v>
      </c>
      <c r="AA124" s="316">
        <f t="shared" si="136"/>
        <v>0</v>
      </c>
      <c r="AB124" s="316">
        <f t="shared" si="136"/>
        <v>0</v>
      </c>
      <c r="AC124" s="315">
        <f>COUNTIF(ME_94_E,AC$1)+COUNTIF(ME_94_E,"E/D")</f>
        <v>0</v>
      </c>
      <c r="AD124" s="315">
        <f>COUNTIF(ME_94_E,AD$1)+COUNTIF(ME_94_E,"E/D")</f>
        <v>0</v>
      </c>
      <c r="AE124" s="377" t="s">
        <v>55</v>
      </c>
      <c r="AF124" s="406" t="s">
        <v>55</v>
      </c>
      <c r="AG124" s="406" t="s">
        <v>55</v>
      </c>
      <c r="AH124" s="406" t="s">
        <v>55</v>
      </c>
      <c r="AI124" s="406" t="s">
        <v>55</v>
      </c>
      <c r="AJ124" s="406" t="s">
        <v>55</v>
      </c>
      <c r="AK124" s="406" t="s">
        <v>55</v>
      </c>
      <c r="AL124" s="318">
        <f t="shared" si="104"/>
        <v>0</v>
      </c>
      <c r="AM124" s="377" t="s">
        <v>55</v>
      </c>
      <c r="AN124" s="406" t="s">
        <v>55</v>
      </c>
      <c r="AO124" s="406" t="s">
        <v>55</v>
      </c>
      <c r="AP124" s="406" t="s">
        <v>55</v>
      </c>
      <c r="AQ124" s="406" t="s">
        <v>55</v>
      </c>
      <c r="AR124" s="406" t="s">
        <v>55</v>
      </c>
      <c r="AS124" s="406" t="s">
        <v>55</v>
      </c>
      <c r="AT124" s="318">
        <f t="shared" si="105"/>
        <v>0</v>
      </c>
      <c r="AU124" s="381">
        <v>509221</v>
      </c>
      <c r="AV124" s="382"/>
      <c r="AW124" s="382"/>
      <c r="AX124" s="382"/>
      <c r="AY124" s="382"/>
      <c r="AZ124" s="382">
        <v>197871</v>
      </c>
      <c r="BA124" s="382">
        <v>0</v>
      </c>
      <c r="BB124" s="319">
        <f t="shared" si="106"/>
        <v>707092</v>
      </c>
      <c r="BC124" s="412">
        <v>1058378</v>
      </c>
      <c r="BD124" s="412">
        <v>0</v>
      </c>
      <c r="BE124" s="412">
        <v>0</v>
      </c>
      <c r="BF124" s="412">
        <v>0</v>
      </c>
      <c r="BG124" s="412">
        <v>0</v>
      </c>
      <c r="BH124" s="412">
        <v>93057</v>
      </c>
      <c r="BI124" s="412">
        <v>285775</v>
      </c>
      <c r="BJ124" s="314">
        <f t="shared" si="135"/>
        <v>1437210</v>
      </c>
      <c r="BK124" s="40" t="s">
        <v>17027</v>
      </c>
      <c r="BL124" s="320">
        <v>37</v>
      </c>
      <c r="BM124" s="320">
        <v>2.4</v>
      </c>
      <c r="BN124" s="320">
        <v>3.1</v>
      </c>
      <c r="BO124" s="341" t="s">
        <v>17042</v>
      </c>
      <c r="BP124" s="155">
        <v>70</v>
      </c>
      <c r="BQ124" s="344"/>
      <c r="BR124" s="314">
        <v>141</v>
      </c>
      <c r="BS124" s="314"/>
      <c r="BT124" s="314"/>
      <c r="BU124" s="314"/>
      <c r="BV124" s="314"/>
      <c r="BW124" s="314"/>
      <c r="BX124" s="325" t="s">
        <v>20684</v>
      </c>
    </row>
    <row r="125" spans="1:76" ht="15.75" customHeight="1">
      <c r="A125" s="385" t="s">
        <v>17043</v>
      </c>
      <c r="B125" s="311" t="s">
        <v>2628</v>
      </c>
      <c r="C125" s="155">
        <v>159</v>
      </c>
      <c r="D125" s="312">
        <v>153</v>
      </c>
      <c r="E125" s="40" t="s">
        <v>16979</v>
      </c>
      <c r="F125" s="314">
        <v>131</v>
      </c>
      <c r="G125" s="316">
        <f>COUNTA(ME_95_D)</f>
        <v>18</v>
      </c>
      <c r="H125" s="316">
        <f>COUNTIF(ME_95_G,"TT")</f>
        <v>18</v>
      </c>
      <c r="I125" s="316">
        <f t="shared" si="131"/>
        <v>0</v>
      </c>
      <c r="J125" s="316">
        <f>COUNTA(ME_95_D)</f>
        <v>18</v>
      </c>
      <c r="K125" s="316">
        <f>COUNTIF(ME_95_G,"TT")</f>
        <v>18</v>
      </c>
      <c r="L125" s="316">
        <f t="shared" si="132"/>
        <v>0</v>
      </c>
      <c r="M125" s="316">
        <f>COUNTIFS('Mechanical Engineering Faculty'!$F$4871:$F$4888,M$1)</f>
        <v>4</v>
      </c>
      <c r="N125" s="316">
        <f>COUNTIFS('Mechanical Engineering Faculty'!$F$4871:$F$4888,N$1)</f>
        <v>9</v>
      </c>
      <c r="O125" s="316">
        <f>COUNTIFS('Mechanical Engineering Faculty'!$F$4871:$F$4888,O$1)</f>
        <v>5</v>
      </c>
      <c r="P125" s="316">
        <f>COUNTIFS(ME_95_G,"TT", ME_95_D,P$1)</f>
        <v>4</v>
      </c>
      <c r="Q125" s="316">
        <f>COUNTIFS(ME_95_G,"TT", ME_95_D,Q$1)</f>
        <v>9</v>
      </c>
      <c r="R125" s="316">
        <f>COUNTIFS(ME_95_G,"TT", ME_95_D,R$1)</f>
        <v>5</v>
      </c>
      <c r="S125" s="316">
        <f>COUNTIF(ME_95_D,S$1)</f>
        <v>0</v>
      </c>
      <c r="T125" s="316">
        <f t="shared" si="100"/>
        <v>0</v>
      </c>
      <c r="U125" s="316">
        <f t="shared" si="101"/>
        <v>0</v>
      </c>
      <c r="V125" s="316">
        <f t="shared" si="102"/>
        <v>0</v>
      </c>
      <c r="W125" s="316">
        <f t="shared" ref="W125:AB125" si="137">COUNTIF(ME_95_D,W$1)</f>
        <v>0</v>
      </c>
      <c r="X125" s="316">
        <f t="shared" si="137"/>
        <v>0</v>
      </c>
      <c r="Y125" s="316">
        <f t="shared" si="137"/>
        <v>0</v>
      </c>
      <c r="Z125" s="316">
        <f t="shared" si="137"/>
        <v>0</v>
      </c>
      <c r="AA125" s="316">
        <f t="shared" si="137"/>
        <v>0</v>
      </c>
      <c r="AB125" s="316">
        <f t="shared" si="137"/>
        <v>0</v>
      </c>
      <c r="AC125" s="315">
        <f>COUNTIF(ME_95_E,AC$1)+COUNTIF(ME_95_E,"E/D")</f>
        <v>0</v>
      </c>
      <c r="AD125" s="315">
        <f>COUNTIF(ME_95_E,AD$1)+COUNTIF(ME_95_E,"E/D")</f>
        <v>4</v>
      </c>
      <c r="AE125" s="377" t="s">
        <v>55</v>
      </c>
      <c r="AF125" s="406" t="s">
        <v>55</v>
      </c>
      <c r="AG125" s="406" t="s">
        <v>55</v>
      </c>
      <c r="AH125" s="406" t="s">
        <v>55</v>
      </c>
      <c r="AI125" s="406" t="s">
        <v>55</v>
      </c>
      <c r="AJ125" s="406" t="s">
        <v>55</v>
      </c>
      <c r="AK125" s="406" t="s">
        <v>55</v>
      </c>
      <c r="AL125" s="318">
        <f t="shared" si="104"/>
        <v>0</v>
      </c>
      <c r="AM125" s="378">
        <v>1721648</v>
      </c>
      <c r="AN125" s="379"/>
      <c r="AO125" s="379"/>
      <c r="AP125" s="379">
        <v>21835</v>
      </c>
      <c r="AQ125" s="379"/>
      <c r="AR125" s="379">
        <v>94735</v>
      </c>
      <c r="AS125" s="379">
        <v>0</v>
      </c>
      <c r="AT125" s="318">
        <f t="shared" si="105"/>
        <v>1838218</v>
      </c>
      <c r="AU125" s="381">
        <v>2785596</v>
      </c>
      <c r="AV125" s="382"/>
      <c r="AW125" s="382"/>
      <c r="AX125" s="382">
        <v>8398</v>
      </c>
      <c r="AY125" s="382">
        <v>0</v>
      </c>
      <c r="AZ125" s="382">
        <v>0</v>
      </c>
      <c r="BA125" s="382">
        <v>0</v>
      </c>
      <c r="BB125" s="319">
        <f t="shared" si="106"/>
        <v>2793994</v>
      </c>
      <c r="BC125" s="328">
        <v>2624734</v>
      </c>
      <c r="BD125" s="329">
        <v>0</v>
      </c>
      <c r="BE125" s="329">
        <v>0</v>
      </c>
      <c r="BF125" s="329">
        <v>74865</v>
      </c>
      <c r="BG125" s="329">
        <v>0</v>
      </c>
      <c r="BH125" s="329">
        <v>0</v>
      </c>
      <c r="BI125" s="329">
        <v>0</v>
      </c>
      <c r="BJ125" s="314">
        <f t="shared" si="135"/>
        <v>2699599</v>
      </c>
      <c r="BK125" s="40" t="s">
        <v>16860</v>
      </c>
      <c r="BL125" s="320">
        <v>40</v>
      </c>
      <c r="BM125" s="320">
        <v>2.2000000000000002</v>
      </c>
      <c r="BN125" s="320">
        <v>2.6</v>
      </c>
      <c r="BO125" s="341" t="s">
        <v>17092</v>
      </c>
      <c r="BP125" s="155">
        <v>288</v>
      </c>
      <c r="BQ125" s="314">
        <v>83</v>
      </c>
      <c r="BR125" s="314">
        <v>135</v>
      </c>
      <c r="BS125" s="314"/>
      <c r="BT125" s="314"/>
      <c r="BU125" s="314"/>
      <c r="BV125" s="314"/>
      <c r="BW125" s="314"/>
      <c r="BX125" s="325" t="s">
        <v>20685</v>
      </c>
    </row>
    <row r="126" spans="1:76" ht="15.75" customHeight="1">
      <c r="A126" s="4" t="s">
        <v>17175</v>
      </c>
      <c r="B126" s="311" t="s">
        <v>2714</v>
      </c>
      <c r="C126" s="155">
        <v>160</v>
      </c>
      <c r="D126" s="312">
        <v>161</v>
      </c>
      <c r="E126" s="40" t="s">
        <v>16979</v>
      </c>
      <c r="F126" s="314">
        <v>131</v>
      </c>
      <c r="G126" s="316">
        <f>COUNTA(ME_97_D)</f>
        <v>14</v>
      </c>
      <c r="H126" s="316">
        <f>COUNTIF(ME_97_G,"TT")</f>
        <v>14</v>
      </c>
      <c r="I126" s="316">
        <f t="shared" si="131"/>
        <v>0</v>
      </c>
      <c r="J126" s="316">
        <f>COUNTA(ME_97_D)</f>
        <v>14</v>
      </c>
      <c r="K126" s="316">
        <f>COUNTIF(ME_97_G,"TT")</f>
        <v>14</v>
      </c>
      <c r="L126" s="316">
        <f t="shared" si="132"/>
        <v>0</v>
      </c>
      <c r="M126" s="316">
        <f>COUNTIFS('Mechanical Engineering Faculty'!$F$4909:$F$4922,M$1)</f>
        <v>5</v>
      </c>
      <c r="N126" s="316">
        <f>COUNTIFS('Mechanical Engineering Faculty'!$F$4909:$F$4922,N$1)</f>
        <v>7</v>
      </c>
      <c r="O126" s="316">
        <f>COUNTIFS('Mechanical Engineering Faculty'!$F$4909:$F$4922,O$1)</f>
        <v>2</v>
      </c>
      <c r="P126" s="316">
        <f>COUNTIFS(ME_97_G,"TT", ME_97_D,P$1)</f>
        <v>5</v>
      </c>
      <c r="Q126" s="316">
        <f>COUNTIFS(ME_97_G,"TT", ME_97_D,Q$1)</f>
        <v>7</v>
      </c>
      <c r="R126" s="316">
        <f>COUNTIFS(ME_97_G,"TT", ME_97_D,R$1)</f>
        <v>2</v>
      </c>
      <c r="S126" s="316">
        <f>COUNTIF(ME_97_D,S$1)</f>
        <v>0</v>
      </c>
      <c r="T126" s="316">
        <f t="shared" si="100"/>
        <v>0</v>
      </c>
      <c r="U126" s="316">
        <f t="shared" si="101"/>
        <v>0</v>
      </c>
      <c r="V126" s="316">
        <f t="shared" si="102"/>
        <v>0</v>
      </c>
      <c r="W126" s="316">
        <f t="shared" ref="W126:AB126" si="138">COUNTIF(ME_97_D,W$1)</f>
        <v>0</v>
      </c>
      <c r="X126" s="316">
        <f t="shared" si="138"/>
        <v>0</v>
      </c>
      <c r="Y126" s="316">
        <f t="shared" si="138"/>
        <v>0</v>
      </c>
      <c r="Z126" s="316">
        <f t="shared" si="138"/>
        <v>0</v>
      </c>
      <c r="AA126" s="316">
        <f t="shared" si="138"/>
        <v>0</v>
      </c>
      <c r="AB126" s="316">
        <f t="shared" si="138"/>
        <v>0</v>
      </c>
      <c r="AC126" s="315">
        <f>COUNTIF(ME_97_E,AC$1)+COUNTIF(ME_97_E,"E/D")</f>
        <v>0</v>
      </c>
      <c r="AD126" s="315">
        <f>COUNTIF(ME_97_E,AD$1)+COUNTIF(ME_97_E,"E/D")</f>
        <v>0</v>
      </c>
      <c r="AE126" s="378">
        <v>2027259</v>
      </c>
      <c r="AF126" s="379"/>
      <c r="AG126" s="379"/>
      <c r="AH126" s="379">
        <v>0</v>
      </c>
      <c r="AI126" s="379"/>
      <c r="AJ126" s="379">
        <v>277996</v>
      </c>
      <c r="AK126" s="379">
        <v>105926</v>
      </c>
      <c r="AL126" s="318">
        <f t="shared" si="104"/>
        <v>2411181</v>
      </c>
      <c r="AM126" s="378">
        <v>1335876</v>
      </c>
      <c r="AN126" s="379"/>
      <c r="AO126" s="379"/>
      <c r="AP126" s="379">
        <v>9418</v>
      </c>
      <c r="AQ126" s="379"/>
      <c r="AR126" s="379">
        <v>28016</v>
      </c>
      <c r="AS126" s="379">
        <v>104227</v>
      </c>
      <c r="AT126" s="318">
        <f t="shared" si="105"/>
        <v>1477537</v>
      </c>
      <c r="AU126" s="381">
        <v>993332</v>
      </c>
      <c r="AV126" s="382"/>
      <c r="AW126" s="382"/>
      <c r="AX126" s="382">
        <v>127587</v>
      </c>
      <c r="AY126" s="382"/>
      <c r="AZ126" s="382">
        <v>2911</v>
      </c>
      <c r="BA126" s="382">
        <v>68973</v>
      </c>
      <c r="BB126" s="319">
        <f t="shared" si="106"/>
        <v>1192803</v>
      </c>
      <c r="BC126" s="328">
        <v>760867</v>
      </c>
      <c r="BD126" s="329">
        <v>0</v>
      </c>
      <c r="BE126" s="329">
        <v>0</v>
      </c>
      <c r="BF126" s="329">
        <v>236166</v>
      </c>
      <c r="BG126" s="329">
        <v>0</v>
      </c>
      <c r="BH126" s="329">
        <v>38669</v>
      </c>
      <c r="BI126" s="329">
        <v>125789</v>
      </c>
      <c r="BJ126" s="314">
        <f t="shared" si="135"/>
        <v>1161491</v>
      </c>
      <c r="BK126" s="40" t="s">
        <v>17192</v>
      </c>
      <c r="BL126" s="320">
        <v>35</v>
      </c>
      <c r="BM126" s="320">
        <v>2.2000000000000002</v>
      </c>
      <c r="BN126" s="320">
        <v>2.8</v>
      </c>
      <c r="BO126" s="341" t="s">
        <v>17223</v>
      </c>
      <c r="BP126" s="155">
        <v>196</v>
      </c>
      <c r="BQ126" s="344"/>
      <c r="BR126" s="314">
        <v>141</v>
      </c>
      <c r="BS126" s="314"/>
      <c r="BT126" s="314"/>
      <c r="BU126" s="314"/>
      <c r="BV126" s="314"/>
      <c r="BW126" s="314"/>
      <c r="BX126" s="325" t="s">
        <v>20687</v>
      </c>
    </row>
    <row r="127" spans="1:76" ht="15.75" customHeight="1">
      <c r="A127" s="4" t="s">
        <v>17232</v>
      </c>
      <c r="B127" s="311" t="s">
        <v>2714</v>
      </c>
      <c r="C127" s="155">
        <v>158</v>
      </c>
      <c r="D127" s="312">
        <v>159</v>
      </c>
      <c r="E127" s="40" t="s">
        <v>16979</v>
      </c>
      <c r="F127" s="314">
        <v>131</v>
      </c>
      <c r="G127" s="316">
        <f>COUNTA(ME_98_D)</f>
        <v>23</v>
      </c>
      <c r="H127" s="316">
        <f>COUNTIF(ME_98_G,"TT")</f>
        <v>18</v>
      </c>
      <c r="I127" s="316">
        <f t="shared" si="131"/>
        <v>5</v>
      </c>
      <c r="J127" s="316">
        <f>COUNTA(ME_98_D)</f>
        <v>23</v>
      </c>
      <c r="K127" s="316">
        <f>COUNTIF(ME_98_G,"TT")</f>
        <v>18</v>
      </c>
      <c r="L127" s="316">
        <f t="shared" si="132"/>
        <v>5</v>
      </c>
      <c r="M127" s="316">
        <f>COUNTIFS('Mechanical Engineering Faculty'!$F$4927:$F$4949,M$1)</f>
        <v>5</v>
      </c>
      <c r="N127" s="316">
        <f>COUNTIFS('Mechanical Engineering Faculty'!$F$4927:$F$4949,N$1)</f>
        <v>9</v>
      </c>
      <c r="O127" s="316">
        <f>COUNTIFS('Mechanical Engineering Faculty'!$F$4927:$F$4949,O$1)</f>
        <v>4</v>
      </c>
      <c r="P127" s="316">
        <f>COUNTIFS(ME_98_G,"TT", ME_98_D,P$1)</f>
        <v>5</v>
      </c>
      <c r="Q127" s="316">
        <f>COUNTIFS(ME_98_G,"TT", ME_98_D,Q$1)</f>
        <v>9</v>
      </c>
      <c r="R127" s="316">
        <f>COUNTIFS(ME_98_G,"TT", ME_98_D,R$1)</f>
        <v>4</v>
      </c>
      <c r="S127" s="316">
        <f>COUNTIF(ME_98_D,S$1)</f>
        <v>3</v>
      </c>
      <c r="T127" s="316">
        <f t="shared" si="100"/>
        <v>0</v>
      </c>
      <c r="U127" s="316">
        <f t="shared" si="101"/>
        <v>0</v>
      </c>
      <c r="V127" s="316">
        <f t="shared" si="102"/>
        <v>0</v>
      </c>
      <c r="W127" s="316">
        <f t="shared" ref="W127:AB127" si="139">COUNTIF(ME_98_D,W$1)</f>
        <v>0</v>
      </c>
      <c r="X127" s="316">
        <f t="shared" si="139"/>
        <v>0</v>
      </c>
      <c r="Y127" s="316">
        <f t="shared" si="139"/>
        <v>2</v>
      </c>
      <c r="Z127" s="316">
        <f t="shared" si="139"/>
        <v>0</v>
      </c>
      <c r="AA127" s="316">
        <f t="shared" si="139"/>
        <v>0</v>
      </c>
      <c r="AB127" s="316">
        <f t="shared" si="139"/>
        <v>0</v>
      </c>
      <c r="AC127" s="315">
        <f>COUNTIF(ME_98_E,AC$1)+COUNTIF(ME_98_E,"E/D")</f>
        <v>1</v>
      </c>
      <c r="AD127" s="315">
        <f>COUNTIF(ME_98_E,AD$1)+COUNTIF(ME_98_E,"E/D")</f>
        <v>0</v>
      </c>
      <c r="AE127" s="378">
        <v>1566260</v>
      </c>
      <c r="AF127" s="379"/>
      <c r="AG127" s="379"/>
      <c r="AH127" s="379">
        <v>104440</v>
      </c>
      <c r="AI127" s="379">
        <v>4172</v>
      </c>
      <c r="AJ127" s="379">
        <v>96539</v>
      </c>
      <c r="AK127" s="379">
        <v>296107</v>
      </c>
      <c r="AL127" s="318">
        <f t="shared" si="104"/>
        <v>2067518</v>
      </c>
      <c r="AM127" s="377" t="s">
        <v>55</v>
      </c>
      <c r="AN127" s="406" t="s">
        <v>55</v>
      </c>
      <c r="AO127" s="406" t="s">
        <v>55</v>
      </c>
      <c r="AP127" s="406" t="s">
        <v>55</v>
      </c>
      <c r="AQ127" s="406" t="s">
        <v>55</v>
      </c>
      <c r="AR127" s="406" t="s">
        <v>55</v>
      </c>
      <c r="AS127" s="406" t="s">
        <v>55</v>
      </c>
      <c r="AT127" s="318">
        <f t="shared" si="105"/>
        <v>0</v>
      </c>
      <c r="AU127" s="381">
        <v>775247</v>
      </c>
      <c r="AV127" s="382"/>
      <c r="AW127" s="382"/>
      <c r="AX127" s="382">
        <v>198174</v>
      </c>
      <c r="AY127" s="382">
        <v>0</v>
      </c>
      <c r="AZ127" s="382">
        <v>199740</v>
      </c>
      <c r="BA127" s="382">
        <v>213793</v>
      </c>
      <c r="BB127" s="319">
        <f t="shared" si="106"/>
        <v>1386954</v>
      </c>
      <c r="BC127" s="328">
        <v>1015492</v>
      </c>
      <c r="BD127" s="329">
        <v>0</v>
      </c>
      <c r="BE127" s="329">
        <v>0</v>
      </c>
      <c r="BF127" s="329">
        <v>539030</v>
      </c>
      <c r="BG127" s="329">
        <v>0</v>
      </c>
      <c r="BH127" s="329">
        <v>349298</v>
      </c>
      <c r="BI127" s="329">
        <v>475350</v>
      </c>
      <c r="BJ127" s="314">
        <f t="shared" si="135"/>
        <v>2379170</v>
      </c>
      <c r="BK127" s="40" t="s">
        <v>11020</v>
      </c>
      <c r="BL127" s="320">
        <v>46</v>
      </c>
      <c r="BM127" s="320">
        <v>2.2999999999999998</v>
      </c>
      <c r="BN127" s="320">
        <v>2.7</v>
      </c>
      <c r="BO127" s="341" t="s">
        <v>17267</v>
      </c>
      <c r="BP127" s="155">
        <v>214</v>
      </c>
      <c r="BQ127" s="314">
        <v>32</v>
      </c>
      <c r="BR127" s="314">
        <v>106</v>
      </c>
      <c r="BS127" s="314"/>
      <c r="BT127" s="314"/>
      <c r="BU127" s="314"/>
      <c r="BV127" s="314"/>
      <c r="BW127" s="314"/>
      <c r="BX127" s="325" t="s">
        <v>20688</v>
      </c>
    </row>
    <row r="128" spans="1:76" ht="15.75" customHeight="1">
      <c r="A128" s="374" t="s">
        <v>17430</v>
      </c>
      <c r="B128" s="311" t="s">
        <v>2714</v>
      </c>
      <c r="C128" s="155">
        <v>161</v>
      </c>
      <c r="D128" s="312">
        <v>157</v>
      </c>
      <c r="E128" s="40" t="s">
        <v>16979</v>
      </c>
      <c r="F128" s="314">
        <v>131</v>
      </c>
      <c r="G128" s="316">
        <f>COUNTA(ME_101_D)</f>
        <v>24</v>
      </c>
      <c r="H128" s="316">
        <f>COUNTIF(ME_101_G,"TT")</f>
        <v>23</v>
      </c>
      <c r="I128" s="316">
        <f t="shared" si="131"/>
        <v>1</v>
      </c>
      <c r="J128" s="316">
        <f>COUNTA(ME_101_D)</f>
        <v>24</v>
      </c>
      <c r="K128" s="316">
        <f>COUNTIF(ME_101_G,"TT")</f>
        <v>23</v>
      </c>
      <c r="L128" s="316">
        <f t="shared" si="132"/>
        <v>1</v>
      </c>
      <c r="M128" s="316">
        <f>COUNTIFS('Mechanical Engineering Faculty'!$F$4988:$F$5011,M$1)</f>
        <v>11</v>
      </c>
      <c r="N128" s="316">
        <f>COUNTIFS('Mechanical Engineering Faculty'!$F$4988:$F$5011,N$1)</f>
        <v>6</v>
      </c>
      <c r="O128" s="316">
        <f>COUNTIFS('Mechanical Engineering Faculty'!$F$4988:$F$5011,O$1)</f>
        <v>6</v>
      </c>
      <c r="P128" s="316">
        <f>COUNTIFS(ME_101_G,"TT", ME_101_D,P$1)</f>
        <v>11</v>
      </c>
      <c r="Q128" s="316">
        <f>COUNTIFS(ME_101_G,"TT", ME_101_D,Q$1)</f>
        <v>6</v>
      </c>
      <c r="R128" s="316">
        <f>COUNTIFS(ME_101_G,"TT", ME_101_D,R$1)</f>
        <v>6</v>
      </c>
      <c r="S128" s="316">
        <f>COUNTIF(ME_101_D,S$1)</f>
        <v>1</v>
      </c>
      <c r="T128" s="316">
        <f t="shared" si="100"/>
        <v>0</v>
      </c>
      <c r="U128" s="316">
        <f t="shared" si="101"/>
        <v>0</v>
      </c>
      <c r="V128" s="316">
        <f t="shared" si="102"/>
        <v>0</v>
      </c>
      <c r="W128" s="316">
        <f t="shared" ref="W128:AB128" si="140">COUNTIF(ME_101_D,W$1)</f>
        <v>0</v>
      </c>
      <c r="X128" s="316">
        <f t="shared" si="140"/>
        <v>0</v>
      </c>
      <c r="Y128" s="316">
        <f t="shared" si="140"/>
        <v>0</v>
      </c>
      <c r="Z128" s="316">
        <f t="shared" si="140"/>
        <v>0</v>
      </c>
      <c r="AA128" s="316">
        <f t="shared" si="140"/>
        <v>0</v>
      </c>
      <c r="AB128" s="316">
        <f t="shared" si="140"/>
        <v>0</v>
      </c>
      <c r="AC128" s="315">
        <f>COUNTIF(ME_101_E,AC$1)+COUNTIF(ME_101_E,"E/D")</f>
        <v>0</v>
      </c>
      <c r="AD128" s="315">
        <f>COUNTIF(ME_101_E,AD$1)+COUNTIF(ME_101_E,"E/D")</f>
        <v>1</v>
      </c>
      <c r="AE128" s="378">
        <v>25813610</v>
      </c>
      <c r="AF128" s="379">
        <v>102456</v>
      </c>
      <c r="AG128" s="379">
        <v>1016534</v>
      </c>
      <c r="AH128" s="379">
        <v>12877846</v>
      </c>
      <c r="AI128" s="379">
        <v>0</v>
      </c>
      <c r="AJ128" s="379">
        <v>208537</v>
      </c>
      <c r="AK128" s="379">
        <v>589813</v>
      </c>
      <c r="AL128" s="318">
        <f t="shared" si="104"/>
        <v>40608796</v>
      </c>
      <c r="AM128" s="378">
        <v>776000</v>
      </c>
      <c r="AN128" s="379">
        <v>285000</v>
      </c>
      <c r="AO128" s="379"/>
      <c r="AP128" s="379">
        <v>282000</v>
      </c>
      <c r="AQ128" s="379"/>
      <c r="AR128" s="379">
        <v>40000</v>
      </c>
      <c r="AS128" s="379">
        <v>0</v>
      </c>
      <c r="AT128" s="318">
        <f t="shared" si="105"/>
        <v>1383000</v>
      </c>
      <c r="AU128" s="381">
        <v>27848758</v>
      </c>
      <c r="AV128" s="382">
        <v>220794</v>
      </c>
      <c r="AW128" s="382">
        <v>672227</v>
      </c>
      <c r="AX128" s="382">
        <v>7441439</v>
      </c>
      <c r="AY128" s="382">
        <v>0</v>
      </c>
      <c r="AZ128" s="382">
        <v>503574</v>
      </c>
      <c r="BA128" s="382">
        <v>154402</v>
      </c>
      <c r="BB128" s="319">
        <f t="shared" si="106"/>
        <v>36841194</v>
      </c>
      <c r="BC128" s="328">
        <v>481000</v>
      </c>
      <c r="BD128" s="329">
        <v>0</v>
      </c>
      <c r="BE128" s="329">
        <v>0</v>
      </c>
      <c r="BF128" s="329">
        <v>848000</v>
      </c>
      <c r="BG128" s="329">
        <v>0</v>
      </c>
      <c r="BH128" s="329">
        <v>28000</v>
      </c>
      <c r="BI128" s="329">
        <v>0</v>
      </c>
      <c r="BJ128" s="314">
        <f t="shared" si="135"/>
        <v>1357000</v>
      </c>
      <c r="BK128" s="40" t="s">
        <v>16909</v>
      </c>
      <c r="BL128" s="320">
        <v>27</v>
      </c>
      <c r="BM128" s="320">
        <v>2.2000000000000002</v>
      </c>
      <c r="BN128" s="320">
        <v>2.9</v>
      </c>
      <c r="BO128" s="40" t="s">
        <v>17467</v>
      </c>
      <c r="BP128" s="155">
        <v>534</v>
      </c>
      <c r="BQ128" s="314">
        <v>68</v>
      </c>
      <c r="BR128" s="314">
        <v>175</v>
      </c>
      <c r="BS128" s="314"/>
      <c r="BT128" s="314"/>
      <c r="BU128" s="314"/>
      <c r="BV128" s="314"/>
      <c r="BW128" s="314"/>
      <c r="BX128" s="325" t="s">
        <v>20692</v>
      </c>
    </row>
    <row r="129" spans="1:76" ht="15.75" customHeight="1">
      <c r="A129" s="4" t="s">
        <v>17636</v>
      </c>
      <c r="B129" s="311" t="s">
        <v>2714</v>
      </c>
      <c r="C129" s="155">
        <v>157</v>
      </c>
      <c r="D129" s="312">
        <v>155</v>
      </c>
      <c r="E129" s="341" t="s">
        <v>16979</v>
      </c>
      <c r="F129" s="314">
        <v>131</v>
      </c>
      <c r="G129" s="316">
        <f>COUNTA(ME_104_D)</f>
        <v>32</v>
      </c>
      <c r="H129" s="316">
        <f>COUNTIF(ME_104_G,"TT")</f>
        <v>26</v>
      </c>
      <c r="I129" s="316">
        <f t="shared" si="131"/>
        <v>6</v>
      </c>
      <c r="J129" s="316">
        <f>COUNTA(ME_104_D)</f>
        <v>32</v>
      </c>
      <c r="K129" s="316">
        <f>COUNTIF(ME_104_G,"TT")</f>
        <v>26</v>
      </c>
      <c r="L129" s="316">
        <f t="shared" si="132"/>
        <v>6</v>
      </c>
      <c r="M129" s="316">
        <f>COUNTIFS('Mechanical Engineering Faculty'!$F$5051:$F$5082,M$1)</f>
        <v>10</v>
      </c>
      <c r="N129" s="316">
        <f>COUNTIFS('Mechanical Engineering Faculty'!$F$5051:$F$5082,N$1)</f>
        <v>6</v>
      </c>
      <c r="O129" s="316">
        <f>COUNTIFS('Mechanical Engineering Faculty'!$F$5051:$F$5082,O$1)</f>
        <v>10</v>
      </c>
      <c r="P129" s="316">
        <f>COUNTIFS(ME_104_G,"TT", ME_104_D,P$1)</f>
        <v>10</v>
      </c>
      <c r="Q129" s="316">
        <f>COUNTIFS(ME_104_G,"TT", ME_104_D,Q$1)</f>
        <v>6</v>
      </c>
      <c r="R129" s="316">
        <f>COUNTIFS(ME_104_G,"TT", ME_104_D,R$1)</f>
        <v>10</v>
      </c>
      <c r="S129" s="316">
        <f>COUNTIF(ME_104_D,S$1)</f>
        <v>1</v>
      </c>
      <c r="T129" s="316">
        <f t="shared" si="100"/>
        <v>0</v>
      </c>
      <c r="U129" s="316">
        <f t="shared" si="101"/>
        <v>0</v>
      </c>
      <c r="V129" s="316">
        <f t="shared" si="102"/>
        <v>0</v>
      </c>
      <c r="W129" s="316">
        <f t="shared" ref="W129:AB129" si="141">COUNTIF(ME_104_D,W$1)</f>
        <v>1</v>
      </c>
      <c r="X129" s="316">
        <f t="shared" si="141"/>
        <v>3</v>
      </c>
      <c r="Y129" s="316">
        <f t="shared" si="141"/>
        <v>0</v>
      </c>
      <c r="Z129" s="316">
        <f t="shared" si="141"/>
        <v>0</v>
      </c>
      <c r="AA129" s="316">
        <f t="shared" si="141"/>
        <v>0</v>
      </c>
      <c r="AB129" s="316">
        <f t="shared" si="141"/>
        <v>1</v>
      </c>
      <c r="AC129" s="315">
        <f>COUNTIF(ME_104_E,AC$1)+COUNTIF(ME_104_E,"E/D")</f>
        <v>0</v>
      </c>
      <c r="AD129" s="315">
        <f>COUNTIF(ME_104_E,AD$1)+COUNTIF(ME_104_E,"E/D")</f>
        <v>3</v>
      </c>
      <c r="AE129" s="378">
        <v>2366702</v>
      </c>
      <c r="AF129" s="379"/>
      <c r="AG129" s="379"/>
      <c r="AH129" s="379">
        <v>444045</v>
      </c>
      <c r="AI129" s="379">
        <v>413050</v>
      </c>
      <c r="AJ129" s="379">
        <v>122287</v>
      </c>
      <c r="AK129" s="379">
        <v>10269</v>
      </c>
      <c r="AL129" s="318">
        <f t="shared" si="104"/>
        <v>3356353</v>
      </c>
      <c r="AM129" s="378">
        <v>2616783</v>
      </c>
      <c r="AN129" s="379"/>
      <c r="AO129" s="379"/>
      <c r="AP129" s="379">
        <v>182725</v>
      </c>
      <c r="AQ129" s="379">
        <v>495340</v>
      </c>
      <c r="AR129" s="379">
        <v>110525</v>
      </c>
      <c r="AS129" s="379">
        <v>0</v>
      </c>
      <c r="AT129" s="318">
        <f t="shared" si="105"/>
        <v>3405373</v>
      </c>
      <c r="AU129" s="381">
        <v>4191783</v>
      </c>
      <c r="AV129" s="382"/>
      <c r="AW129" s="382"/>
      <c r="AX129" s="382">
        <v>254347</v>
      </c>
      <c r="AY129" s="382">
        <v>180330</v>
      </c>
      <c r="AZ129" s="382">
        <v>180209</v>
      </c>
      <c r="BA129" s="382">
        <v>10616</v>
      </c>
      <c r="BB129" s="319">
        <f t="shared" si="106"/>
        <v>4817285</v>
      </c>
      <c r="BC129" s="328">
        <v>4695027</v>
      </c>
      <c r="BD129" s="329">
        <v>0</v>
      </c>
      <c r="BE129" s="329">
        <v>0</v>
      </c>
      <c r="BF129" s="329">
        <v>466904</v>
      </c>
      <c r="BG129" s="329">
        <v>169318</v>
      </c>
      <c r="BH129" s="329">
        <v>71424</v>
      </c>
      <c r="BI129" s="329">
        <v>22525</v>
      </c>
      <c r="BJ129" s="314">
        <f t="shared" si="135"/>
        <v>5425198</v>
      </c>
      <c r="BK129" s="40" t="s">
        <v>14231</v>
      </c>
      <c r="BL129" s="320">
        <v>38</v>
      </c>
      <c r="BM129" s="320">
        <v>2.2999999999999998</v>
      </c>
      <c r="BN129" s="320">
        <v>2.6</v>
      </c>
      <c r="BO129" s="341" t="s">
        <v>17677</v>
      </c>
      <c r="BP129" s="155">
        <v>479</v>
      </c>
      <c r="BQ129" s="344"/>
      <c r="BR129" s="314">
        <v>141</v>
      </c>
      <c r="BS129" s="314"/>
      <c r="BT129" s="314"/>
      <c r="BU129" s="314"/>
      <c r="BV129" s="314"/>
      <c r="BW129" s="314"/>
      <c r="BX129" s="325" t="s">
        <v>20695</v>
      </c>
    </row>
    <row r="130" spans="1:76" ht="15.75" customHeight="1">
      <c r="A130" s="4" t="s">
        <v>17742</v>
      </c>
      <c r="B130" s="311" t="s">
        <v>2714</v>
      </c>
      <c r="C130" s="155">
        <v>160</v>
      </c>
      <c r="D130" s="312" t="s">
        <v>20474</v>
      </c>
      <c r="E130" s="40" t="s">
        <v>16979</v>
      </c>
      <c r="F130" s="314">
        <v>131</v>
      </c>
      <c r="G130" s="316">
        <f>COUNTA(ME_105_D)</f>
        <v>14</v>
      </c>
      <c r="H130" s="316">
        <f>COUNTIF(ME_105_G,"TT")</f>
        <v>14</v>
      </c>
      <c r="I130" s="316">
        <f t="shared" si="131"/>
        <v>0</v>
      </c>
      <c r="J130" s="316">
        <f>COUNTA(ME_105_D)</f>
        <v>14</v>
      </c>
      <c r="K130" s="316">
        <f>COUNTIF(ME_105_G,"TT")</f>
        <v>14</v>
      </c>
      <c r="L130" s="316">
        <f t="shared" si="132"/>
        <v>0</v>
      </c>
      <c r="M130" s="316">
        <f>COUNTIFS('Mechanical Engineering Faculty'!$F$5084:$F$5097,M$1)</f>
        <v>2</v>
      </c>
      <c r="N130" s="316">
        <f>COUNTIFS('Mechanical Engineering Faculty'!$F$5084:$F$5097,N$1)</f>
        <v>3</v>
      </c>
      <c r="O130" s="316">
        <f>COUNTIFS('Mechanical Engineering Faculty'!$F$5084:$F$5097,O$1)</f>
        <v>9</v>
      </c>
      <c r="P130" s="316">
        <f>COUNTIFS(ME_105_G,"TT", ME_105_D,P$1)</f>
        <v>2</v>
      </c>
      <c r="Q130" s="316">
        <f>COUNTIFS(ME_105_G,"TT", ME_105_D,Q$1)</f>
        <v>3</v>
      </c>
      <c r="R130" s="316">
        <f>COUNTIFS(ME_105_G,"TT", ME_105_D,R$1)</f>
        <v>9</v>
      </c>
      <c r="S130" s="316">
        <f>COUNTIF(ME_105_D,S$1)</f>
        <v>0</v>
      </c>
      <c r="T130" s="316">
        <f t="shared" ref="T130:T161" si="142">P130-M130</f>
        <v>0</v>
      </c>
      <c r="U130" s="316">
        <f t="shared" ref="U130:U161" si="143">Q130-N130</f>
        <v>0</v>
      </c>
      <c r="V130" s="316">
        <f t="shared" ref="V130:V161" si="144">R130-O130</f>
        <v>0</v>
      </c>
      <c r="W130" s="316">
        <f t="shared" ref="W130:AB130" si="145">COUNTIF(ME_105_D,W$1)</f>
        <v>0</v>
      </c>
      <c r="X130" s="316">
        <f t="shared" si="145"/>
        <v>0</v>
      </c>
      <c r="Y130" s="316">
        <f t="shared" si="145"/>
        <v>0</v>
      </c>
      <c r="Z130" s="316">
        <f t="shared" si="145"/>
        <v>0</v>
      </c>
      <c r="AA130" s="316">
        <f t="shared" si="145"/>
        <v>0</v>
      </c>
      <c r="AB130" s="316">
        <f t="shared" si="145"/>
        <v>0</v>
      </c>
      <c r="AC130" s="315">
        <f>COUNTIF(ME_105_E,AC$1)+COUNTIF(ME_105_E,"E/D")</f>
        <v>0</v>
      </c>
      <c r="AD130" s="315">
        <f>COUNTIF(ME_105_E,AD$1)+COUNTIF(ME_105_E,"E/D")</f>
        <v>0</v>
      </c>
      <c r="AE130" s="377" t="s">
        <v>55</v>
      </c>
      <c r="AF130" s="377" t="s">
        <v>55</v>
      </c>
      <c r="AG130" s="377" t="s">
        <v>55</v>
      </c>
      <c r="AH130" s="377" t="s">
        <v>55</v>
      </c>
      <c r="AI130" s="377" t="s">
        <v>55</v>
      </c>
      <c r="AJ130" s="377" t="s">
        <v>55</v>
      </c>
      <c r="AK130" s="377" t="s">
        <v>55</v>
      </c>
      <c r="AL130" s="318">
        <f t="shared" ref="AL130:AL161" si="146">SUM(AE130:AK130)</f>
        <v>0</v>
      </c>
      <c r="AM130" s="378">
        <v>1765289</v>
      </c>
      <c r="AN130" s="379">
        <v>25208</v>
      </c>
      <c r="AO130" s="379"/>
      <c r="AP130" s="379">
        <v>283262</v>
      </c>
      <c r="AQ130" s="379">
        <v>0</v>
      </c>
      <c r="AR130" s="379">
        <v>0</v>
      </c>
      <c r="AS130" s="379">
        <v>1322777</v>
      </c>
      <c r="AT130" s="318">
        <f t="shared" ref="AT130:AT161" si="147">SUM(AM130:AS130)</f>
        <v>3396536</v>
      </c>
      <c r="AU130" s="381">
        <v>1605963</v>
      </c>
      <c r="AV130" s="382">
        <v>260502</v>
      </c>
      <c r="AW130" s="382">
        <v>0</v>
      </c>
      <c r="AX130" s="382">
        <v>0</v>
      </c>
      <c r="AY130" s="382">
        <v>0</v>
      </c>
      <c r="AZ130" s="382">
        <v>0</v>
      </c>
      <c r="BA130" s="382">
        <v>1271739</v>
      </c>
      <c r="BB130" s="319">
        <f t="shared" ref="BB130:BB161" si="148">SUM(AU130:BA130)</f>
        <v>3138204</v>
      </c>
      <c r="BC130" s="332" t="s">
        <v>55</v>
      </c>
      <c r="BD130" s="332" t="s">
        <v>55</v>
      </c>
      <c r="BE130" s="332" t="s">
        <v>55</v>
      </c>
      <c r="BF130" s="332" t="s">
        <v>55</v>
      </c>
      <c r="BG130" s="332" t="s">
        <v>55</v>
      </c>
      <c r="BH130" s="332" t="s">
        <v>55</v>
      </c>
      <c r="BI130" s="332" t="s">
        <v>55</v>
      </c>
      <c r="BJ130" s="332" t="s">
        <v>55</v>
      </c>
      <c r="BK130" s="40" t="s">
        <v>13413</v>
      </c>
      <c r="BL130" s="320">
        <v>44</v>
      </c>
      <c r="BM130" s="320">
        <v>2.2999999999999998</v>
      </c>
      <c r="BN130" s="320">
        <v>2.7</v>
      </c>
      <c r="BO130" s="341" t="s">
        <v>17785</v>
      </c>
      <c r="BP130" s="155">
        <v>403</v>
      </c>
      <c r="BQ130" s="344"/>
      <c r="BR130" s="314">
        <v>111</v>
      </c>
      <c r="BS130" s="314"/>
      <c r="BT130" s="314"/>
      <c r="BU130" s="314"/>
      <c r="BV130" s="314"/>
      <c r="BW130" s="314"/>
      <c r="BX130" s="325" t="s">
        <v>20696</v>
      </c>
    </row>
    <row r="131" spans="1:76" ht="15.75" customHeight="1">
      <c r="A131" s="4" t="s">
        <v>17858</v>
      </c>
      <c r="B131" s="311" t="s">
        <v>2714</v>
      </c>
      <c r="C131" s="155" t="s">
        <v>55</v>
      </c>
      <c r="D131" s="312">
        <v>162</v>
      </c>
      <c r="E131" s="40" t="s">
        <v>17871</v>
      </c>
      <c r="F131" s="314">
        <v>131</v>
      </c>
      <c r="G131" s="316">
        <f>COUNTA(ME_107_D)</f>
        <v>22</v>
      </c>
      <c r="H131" s="316">
        <f>COUNTIF(ME_107_G,"TT")</f>
        <v>22</v>
      </c>
      <c r="I131" s="316">
        <f t="shared" si="131"/>
        <v>0</v>
      </c>
      <c r="J131" s="316">
        <f>COUNTA(ME_107_D)</f>
        <v>22</v>
      </c>
      <c r="K131" s="316">
        <f>COUNTIF(ME_107_G,"TT")</f>
        <v>22</v>
      </c>
      <c r="L131" s="316">
        <f t="shared" si="132"/>
        <v>0</v>
      </c>
      <c r="M131" s="316">
        <f>COUNTIFS('Mechanical Engineering Faculty'!$F$5120:$F$5141,M$1)</f>
        <v>9</v>
      </c>
      <c r="N131" s="316">
        <f>COUNTIFS('Mechanical Engineering Faculty'!$F$5120:$F$5141,N$1)</f>
        <v>4</v>
      </c>
      <c r="O131" s="316">
        <f>COUNTIFS('Mechanical Engineering Faculty'!$F$5120:$F$5141,O$1)</f>
        <v>9</v>
      </c>
      <c r="P131" s="316">
        <f>COUNTIFS(ME_107_G,"TT", ME_107_D,P$1)</f>
        <v>10</v>
      </c>
      <c r="Q131" s="316">
        <f>COUNTIFS(ME_107_G,"TT", ME_107_D,Q$1)</f>
        <v>3</v>
      </c>
      <c r="R131" s="316">
        <f>COUNTIFS(ME_107_G,"TT", ME_107_D,R$1)</f>
        <v>9</v>
      </c>
      <c r="S131" s="316">
        <f>COUNTIF(ME_107_D,S$1)</f>
        <v>0</v>
      </c>
      <c r="T131" s="316">
        <f t="shared" si="142"/>
        <v>1</v>
      </c>
      <c r="U131" s="316">
        <f t="shared" si="143"/>
        <v>-1</v>
      </c>
      <c r="V131" s="316">
        <f t="shared" si="144"/>
        <v>0</v>
      </c>
      <c r="W131" s="316">
        <f t="shared" ref="W131:AB131" si="149">COUNTIF(ME_107_D,W$1)</f>
        <v>0</v>
      </c>
      <c r="X131" s="316">
        <f t="shared" si="149"/>
        <v>0</v>
      </c>
      <c r="Y131" s="316">
        <f t="shared" si="149"/>
        <v>0</v>
      </c>
      <c r="Z131" s="316">
        <f t="shared" si="149"/>
        <v>0</v>
      </c>
      <c r="AA131" s="316">
        <f t="shared" si="149"/>
        <v>0</v>
      </c>
      <c r="AB131" s="316">
        <f t="shared" si="149"/>
        <v>0</v>
      </c>
      <c r="AC131" s="315">
        <f>COUNTIF(ME_107_E,AC$1)+COUNTIF(ME_107_E,"E/D")</f>
        <v>0</v>
      </c>
      <c r="AD131" s="315">
        <f>COUNTIF(ME_107_E,AD$1)+COUNTIF(ME_107_E,"E/D")</f>
        <v>1</v>
      </c>
      <c r="AE131" s="377" t="s">
        <v>55</v>
      </c>
      <c r="AF131" s="377" t="s">
        <v>55</v>
      </c>
      <c r="AG131" s="377" t="s">
        <v>55</v>
      </c>
      <c r="AH131" s="377" t="s">
        <v>55</v>
      </c>
      <c r="AI131" s="377" t="s">
        <v>55</v>
      </c>
      <c r="AJ131" s="377" t="s">
        <v>55</v>
      </c>
      <c r="AK131" s="377" t="s">
        <v>55</v>
      </c>
      <c r="AL131" s="318">
        <f t="shared" si="146"/>
        <v>0</v>
      </c>
      <c r="AM131" s="377" t="s">
        <v>55</v>
      </c>
      <c r="AN131" s="377" t="s">
        <v>55</v>
      </c>
      <c r="AO131" s="377" t="s">
        <v>55</v>
      </c>
      <c r="AP131" s="377" t="s">
        <v>55</v>
      </c>
      <c r="AQ131" s="377" t="s">
        <v>55</v>
      </c>
      <c r="AR131" s="377" t="s">
        <v>55</v>
      </c>
      <c r="AS131" s="377" t="s">
        <v>55</v>
      </c>
      <c r="AT131" s="318">
        <f t="shared" si="147"/>
        <v>0</v>
      </c>
      <c r="AU131" s="377" t="s">
        <v>55</v>
      </c>
      <c r="AV131" s="406" t="s">
        <v>55</v>
      </c>
      <c r="AW131" s="406" t="s">
        <v>55</v>
      </c>
      <c r="AX131" s="406" t="s">
        <v>55</v>
      </c>
      <c r="AY131" s="406" t="s">
        <v>55</v>
      </c>
      <c r="AZ131" s="406" t="s">
        <v>55</v>
      </c>
      <c r="BA131" s="409" t="s">
        <v>55</v>
      </c>
      <c r="BB131" s="319">
        <f t="shared" si="148"/>
        <v>0</v>
      </c>
      <c r="BC131" s="411" t="s">
        <v>55</v>
      </c>
      <c r="BD131" s="413" t="s">
        <v>55</v>
      </c>
      <c r="BE131" s="413" t="s">
        <v>55</v>
      </c>
      <c r="BF131" s="413" t="s">
        <v>55</v>
      </c>
      <c r="BG131" s="413" t="s">
        <v>55</v>
      </c>
      <c r="BH131" s="413" t="s">
        <v>55</v>
      </c>
      <c r="BI131" s="413" t="s">
        <v>55</v>
      </c>
      <c r="BJ131" s="332" t="s">
        <v>55</v>
      </c>
      <c r="BK131" s="40" t="s">
        <v>16029</v>
      </c>
      <c r="BL131" s="320">
        <v>34</v>
      </c>
      <c r="BM131" s="320">
        <v>2.1</v>
      </c>
      <c r="BN131" s="320">
        <v>2.8</v>
      </c>
      <c r="BO131" s="341" t="s">
        <v>17906</v>
      </c>
      <c r="BP131" s="155">
        <v>462</v>
      </c>
      <c r="BQ131" s="314">
        <v>83</v>
      </c>
      <c r="BR131" s="314">
        <v>164</v>
      </c>
      <c r="BS131" s="314"/>
      <c r="BT131" s="314"/>
      <c r="BU131" s="314"/>
      <c r="BV131" s="314"/>
      <c r="BW131" s="314"/>
      <c r="BX131" s="325" t="s">
        <v>20698</v>
      </c>
    </row>
    <row r="132" spans="1:76" ht="15.75" customHeight="1">
      <c r="A132" s="4" t="s">
        <v>18176</v>
      </c>
      <c r="B132" s="311" t="s">
        <v>18181</v>
      </c>
      <c r="C132" s="155">
        <v>162</v>
      </c>
      <c r="D132" s="312">
        <v>160</v>
      </c>
      <c r="E132" s="40" t="s">
        <v>17871</v>
      </c>
      <c r="F132" s="314">
        <v>131</v>
      </c>
      <c r="G132" s="316">
        <f>COUNTA(ME_111_D)</f>
        <v>15</v>
      </c>
      <c r="H132" s="316">
        <f>COUNTIF(ME_111_G,"TT")</f>
        <v>10</v>
      </c>
      <c r="I132" s="316">
        <f t="shared" si="131"/>
        <v>5</v>
      </c>
      <c r="J132" s="316">
        <f>COUNTA(ME_111_D)</f>
        <v>15</v>
      </c>
      <c r="K132" s="316">
        <f>COUNTIF(ME_111_G,"TT")</f>
        <v>10</v>
      </c>
      <c r="L132" s="316">
        <f t="shared" si="132"/>
        <v>5</v>
      </c>
      <c r="M132" s="316">
        <f>COUNTIFS('Mechanical Engineering Faculty'!$F$5212:$F$5227,M$1)</f>
        <v>5</v>
      </c>
      <c r="N132" s="316">
        <f>COUNTIFS('Mechanical Engineering Faculty'!$F$5212:$F$5227,N$1)</f>
        <v>4</v>
      </c>
      <c r="O132" s="316">
        <f>COUNTIFS('Mechanical Engineering Faculty'!$F$5212:$F$5227,O$1)</f>
        <v>2</v>
      </c>
      <c r="P132" s="316">
        <f>COUNTIFS(ME_111_G,"TT", ME_111_D,P$1)</f>
        <v>4</v>
      </c>
      <c r="Q132" s="316">
        <f>COUNTIFS(ME_111_G,"TT", ME_111_D,Q$1)</f>
        <v>4</v>
      </c>
      <c r="R132" s="316">
        <f>COUNTIFS(ME_111_G,"TT", ME_111_D,R$1)</f>
        <v>2</v>
      </c>
      <c r="S132" s="316">
        <f>COUNTIF(ME_111_D,S$1)</f>
        <v>1</v>
      </c>
      <c r="T132" s="316">
        <f t="shared" si="142"/>
        <v>-1</v>
      </c>
      <c r="U132" s="316">
        <f t="shared" si="143"/>
        <v>0</v>
      </c>
      <c r="V132" s="316">
        <f t="shared" si="144"/>
        <v>0</v>
      </c>
      <c r="W132" s="316">
        <f t="shared" ref="W132:AB132" si="150">COUNTIF(ME_111_D,W$1)</f>
        <v>0</v>
      </c>
      <c r="X132" s="316">
        <f t="shared" si="150"/>
        <v>0</v>
      </c>
      <c r="Y132" s="316">
        <f t="shared" si="150"/>
        <v>0</v>
      </c>
      <c r="Z132" s="316">
        <f t="shared" si="150"/>
        <v>1</v>
      </c>
      <c r="AA132" s="316">
        <f t="shared" si="150"/>
        <v>1</v>
      </c>
      <c r="AB132" s="316">
        <f t="shared" si="150"/>
        <v>1</v>
      </c>
      <c r="AC132" s="315">
        <f>COUNTIF(ME_111_E,AC$1)+COUNTIF(ME_111_E,"E/D")</f>
        <v>0</v>
      </c>
      <c r="AD132" s="315">
        <f>COUNTIF(ME_111_E,AD$1)+COUNTIF(ME_111_E,"E/D")</f>
        <v>0</v>
      </c>
      <c r="AE132" s="378">
        <v>1195868</v>
      </c>
      <c r="AF132" s="378"/>
      <c r="AG132" s="378"/>
      <c r="AH132" s="378"/>
      <c r="AI132" s="378">
        <v>0</v>
      </c>
      <c r="AJ132" s="378">
        <v>210874</v>
      </c>
      <c r="AK132" s="378"/>
      <c r="AL132" s="318">
        <f t="shared" si="146"/>
        <v>1406742</v>
      </c>
      <c r="AM132" s="377" t="s">
        <v>55</v>
      </c>
      <c r="AN132" s="377" t="s">
        <v>55</v>
      </c>
      <c r="AO132" s="377" t="s">
        <v>55</v>
      </c>
      <c r="AP132" s="377" t="s">
        <v>55</v>
      </c>
      <c r="AQ132" s="377" t="s">
        <v>55</v>
      </c>
      <c r="AR132" s="377" t="s">
        <v>55</v>
      </c>
      <c r="AS132" s="377" t="s">
        <v>55</v>
      </c>
      <c r="AT132" s="318">
        <f t="shared" si="147"/>
        <v>0</v>
      </c>
      <c r="AU132" s="381">
        <v>26379769</v>
      </c>
      <c r="AV132" s="381"/>
      <c r="AW132" s="381"/>
      <c r="AX132" s="381">
        <v>277507</v>
      </c>
      <c r="AY132" s="381"/>
      <c r="AZ132" s="381">
        <v>510</v>
      </c>
      <c r="BA132" s="381">
        <v>138199</v>
      </c>
      <c r="BB132" s="319">
        <f t="shared" si="148"/>
        <v>26795985</v>
      </c>
      <c r="BC132" s="412">
        <v>24946328</v>
      </c>
      <c r="BD132" s="412">
        <v>0</v>
      </c>
      <c r="BE132" s="412">
        <v>0</v>
      </c>
      <c r="BF132" s="412">
        <v>307262</v>
      </c>
      <c r="BG132" s="412">
        <v>0</v>
      </c>
      <c r="BH132" s="412">
        <v>0</v>
      </c>
      <c r="BI132" s="412">
        <v>0</v>
      </c>
      <c r="BJ132" s="314">
        <f>SUM(BC132:BI132)</f>
        <v>25253590</v>
      </c>
      <c r="BK132" s="40" t="s">
        <v>13413</v>
      </c>
      <c r="BL132" s="320">
        <v>44</v>
      </c>
      <c r="BM132" s="320">
        <v>2.2000000000000002</v>
      </c>
      <c r="BN132" s="320">
        <v>2.6</v>
      </c>
      <c r="BO132" s="341" t="s">
        <v>18220</v>
      </c>
      <c r="BP132" s="155">
        <v>481</v>
      </c>
      <c r="BQ132" s="344"/>
      <c r="BR132" s="314">
        <v>124</v>
      </c>
      <c r="BS132" s="314"/>
      <c r="BT132" s="314"/>
      <c r="BU132" s="314"/>
      <c r="BV132" s="314"/>
      <c r="BW132" s="314"/>
      <c r="BX132" s="325" t="s">
        <v>20702</v>
      </c>
    </row>
    <row r="133" spans="1:76" ht="15.75" customHeight="1">
      <c r="A133" s="4" t="s">
        <v>18394</v>
      </c>
      <c r="B133" s="311" t="s">
        <v>2714</v>
      </c>
      <c r="C133" s="155">
        <v>157</v>
      </c>
      <c r="D133" s="312">
        <v>158</v>
      </c>
      <c r="E133" s="40" t="s">
        <v>17871</v>
      </c>
      <c r="F133" s="314">
        <v>131</v>
      </c>
      <c r="G133" s="316">
        <f>COUNTA(ME_115_D)</f>
        <v>16</v>
      </c>
      <c r="H133" s="316">
        <f>COUNTIF(ME_115_G,"TT")</f>
        <v>14</v>
      </c>
      <c r="I133" s="316">
        <f t="shared" si="131"/>
        <v>2</v>
      </c>
      <c r="J133" s="316">
        <f>COUNTA(ME_115_D)</f>
        <v>16</v>
      </c>
      <c r="K133" s="316">
        <f>COUNTIF(ME_115_G,"TT")</f>
        <v>14</v>
      </c>
      <c r="L133" s="316">
        <f t="shared" si="132"/>
        <v>2</v>
      </c>
      <c r="M133" s="316">
        <f>COUNTIFS('Mechanical Engineering Faculty'!$F$5287:$F$5302,M$1)</f>
        <v>7</v>
      </c>
      <c r="N133" s="316">
        <f>COUNTIFS('Mechanical Engineering Faculty'!$F$5287:$F$5302,N$1)</f>
        <v>3</v>
      </c>
      <c r="O133" s="316">
        <f>COUNTIFS('Mechanical Engineering Faculty'!$F$5287:$F$5302,O$1)</f>
        <v>4</v>
      </c>
      <c r="P133" s="316">
        <f>COUNTIFS(ME_115_G,"TT", ME_115_D,P$1)</f>
        <v>7</v>
      </c>
      <c r="Q133" s="316">
        <f>COUNTIFS(ME_115_G,"TT", ME_115_D,Q$1)</f>
        <v>3</v>
      </c>
      <c r="R133" s="316">
        <f>COUNTIFS(ME_115_G,"TT", ME_115_D,R$1)</f>
        <v>4</v>
      </c>
      <c r="S133" s="316">
        <f>COUNTIF(ME_115_D,S$1)</f>
        <v>2</v>
      </c>
      <c r="T133" s="316">
        <f t="shared" si="142"/>
        <v>0</v>
      </c>
      <c r="U133" s="316">
        <f t="shared" si="143"/>
        <v>0</v>
      </c>
      <c r="V133" s="316">
        <f t="shared" si="144"/>
        <v>0</v>
      </c>
      <c r="W133" s="316">
        <f t="shared" ref="W133:AB133" si="151">COUNTIF(ME_115_D,W$1)</f>
        <v>0</v>
      </c>
      <c r="X133" s="316">
        <f t="shared" si="151"/>
        <v>0</v>
      </c>
      <c r="Y133" s="316">
        <f t="shared" si="151"/>
        <v>0</v>
      </c>
      <c r="Z133" s="316">
        <f t="shared" si="151"/>
        <v>0</v>
      </c>
      <c r="AA133" s="316">
        <f t="shared" si="151"/>
        <v>0</v>
      </c>
      <c r="AB133" s="316">
        <f t="shared" si="151"/>
        <v>0</v>
      </c>
      <c r="AC133" s="315">
        <f>COUNTIF(ME_115_E,AC$1)+COUNTIF(ME_115_E,"E/D")</f>
        <v>0</v>
      </c>
      <c r="AD133" s="315">
        <f>COUNTIF(ME_115_E,AD$1)+COUNTIF(ME_115_E,"E/D")</f>
        <v>4</v>
      </c>
      <c r="AE133" s="378">
        <v>672338</v>
      </c>
      <c r="AF133" s="379"/>
      <c r="AG133" s="379"/>
      <c r="AH133" s="379">
        <v>0</v>
      </c>
      <c r="AI133" s="379">
        <v>0</v>
      </c>
      <c r="AJ133" s="379">
        <v>0</v>
      </c>
      <c r="AK133" s="379">
        <v>0</v>
      </c>
      <c r="AL133" s="318">
        <f t="shared" si="146"/>
        <v>672338</v>
      </c>
      <c r="AM133" s="378">
        <v>470728</v>
      </c>
      <c r="AN133" s="379"/>
      <c r="AO133" s="379">
        <v>22853</v>
      </c>
      <c r="AP133" s="379">
        <v>17335</v>
      </c>
      <c r="AQ133" s="379"/>
      <c r="AR133" s="379">
        <v>0</v>
      </c>
      <c r="AS133" s="379">
        <v>0</v>
      </c>
      <c r="AT133" s="318">
        <f t="shared" si="147"/>
        <v>510916</v>
      </c>
      <c r="AU133" s="381">
        <v>567099</v>
      </c>
      <c r="AV133" s="382"/>
      <c r="AW133" s="382"/>
      <c r="AX133" s="382">
        <v>0</v>
      </c>
      <c r="AY133" s="382"/>
      <c r="AZ133" s="382">
        <v>110465</v>
      </c>
      <c r="BA133" s="382">
        <v>0</v>
      </c>
      <c r="BB133" s="319">
        <f t="shared" si="148"/>
        <v>677564</v>
      </c>
      <c r="BC133" s="328">
        <v>673598</v>
      </c>
      <c r="BD133" s="329">
        <v>0</v>
      </c>
      <c r="BE133" s="329">
        <v>0</v>
      </c>
      <c r="BF133" s="329">
        <v>17103</v>
      </c>
      <c r="BG133" s="329">
        <v>0</v>
      </c>
      <c r="BH133" s="329">
        <v>0</v>
      </c>
      <c r="BI133" s="329">
        <v>0</v>
      </c>
      <c r="BJ133" s="314">
        <f>SUM(BC133:BI133)</f>
        <v>690701</v>
      </c>
      <c r="BK133" s="40" t="s">
        <v>13546</v>
      </c>
      <c r="BL133" s="320">
        <v>47</v>
      </c>
      <c r="BM133" s="320">
        <v>2.2000000000000002</v>
      </c>
      <c r="BN133" s="320">
        <v>2.7</v>
      </c>
      <c r="BO133" s="341" t="s">
        <v>18443</v>
      </c>
      <c r="BP133" s="155">
        <v>249</v>
      </c>
      <c r="BQ133" s="344"/>
      <c r="BR133" s="314">
        <v>111</v>
      </c>
      <c r="BS133" s="314"/>
      <c r="BT133" s="314"/>
      <c r="BU133" s="314"/>
      <c r="BV133" s="314"/>
      <c r="BW133" s="314"/>
      <c r="BX133" s="325" t="s">
        <v>20706</v>
      </c>
    </row>
    <row r="134" spans="1:76" ht="15.75" customHeight="1">
      <c r="A134" s="4" t="s">
        <v>18460</v>
      </c>
      <c r="B134" s="311" t="s">
        <v>2714</v>
      </c>
      <c r="C134" s="155">
        <v>162</v>
      </c>
      <c r="D134" s="312">
        <v>156</v>
      </c>
      <c r="E134" s="40" t="s">
        <v>17871</v>
      </c>
      <c r="F134" s="314">
        <v>131</v>
      </c>
      <c r="G134" s="316">
        <f>COUNTA(ME_116_D)</f>
        <v>20</v>
      </c>
      <c r="H134" s="316">
        <f>COUNTIF(ME_116_G,"TT")</f>
        <v>16</v>
      </c>
      <c r="I134" s="316">
        <f t="shared" si="131"/>
        <v>4</v>
      </c>
      <c r="J134" s="316">
        <f>COUNTA(ME_116_D)</f>
        <v>20</v>
      </c>
      <c r="K134" s="316">
        <f>COUNTIF(ME_116_G,"TT")</f>
        <v>16</v>
      </c>
      <c r="L134" s="316">
        <f t="shared" si="132"/>
        <v>4</v>
      </c>
      <c r="M134" s="316">
        <f>COUNTIFS('Mechanical Engineering Faculty'!$F$5305:$F$5324,M$1)</f>
        <v>3</v>
      </c>
      <c r="N134" s="316">
        <f>COUNTIFS('Mechanical Engineering Faculty'!$F$5305:$F$5324,N$1)</f>
        <v>9</v>
      </c>
      <c r="O134" s="316">
        <f>COUNTIFS('Mechanical Engineering Faculty'!$F$5305:$F$5324,O$1)</f>
        <v>4</v>
      </c>
      <c r="P134" s="316">
        <f>COUNTIFS(ME_116_G,"TT", ME_116_D,P$1)</f>
        <v>3</v>
      </c>
      <c r="Q134" s="316">
        <f>COUNTIFS(ME_116_G,"TT", ME_116_D,Q$1)</f>
        <v>9</v>
      </c>
      <c r="R134" s="316">
        <f>COUNTIFS(ME_116_G,"TT", ME_116_D,R$1)</f>
        <v>4</v>
      </c>
      <c r="S134" s="316">
        <f>COUNTIF(ME_116_D,S$1)</f>
        <v>2</v>
      </c>
      <c r="T134" s="316">
        <f t="shared" si="142"/>
        <v>0</v>
      </c>
      <c r="U134" s="316">
        <f t="shared" si="143"/>
        <v>0</v>
      </c>
      <c r="V134" s="316">
        <f t="shared" si="144"/>
        <v>0</v>
      </c>
      <c r="W134" s="316">
        <f t="shared" ref="W134:AB134" si="152">COUNTIF(ME_116_D,W$1)</f>
        <v>0</v>
      </c>
      <c r="X134" s="316">
        <f t="shared" si="152"/>
        <v>1</v>
      </c>
      <c r="Y134" s="316">
        <f t="shared" si="152"/>
        <v>0</v>
      </c>
      <c r="Z134" s="316">
        <f t="shared" si="152"/>
        <v>0</v>
      </c>
      <c r="AA134" s="316">
        <f t="shared" si="152"/>
        <v>0</v>
      </c>
      <c r="AB134" s="316">
        <f t="shared" si="152"/>
        <v>1</v>
      </c>
      <c r="AC134" s="315">
        <f>COUNTIF(ME_116_E,AC$1)+COUNTIF(ME_116_E,"E/D")</f>
        <v>0</v>
      </c>
      <c r="AD134" s="315">
        <f>COUNTIF(ME_116_E,AD$1)+COUNTIF(ME_116_E,"E/D")</f>
        <v>1</v>
      </c>
      <c r="AE134" s="377" t="s">
        <v>55</v>
      </c>
      <c r="AF134" s="406" t="s">
        <v>55</v>
      </c>
      <c r="AG134" s="406" t="s">
        <v>55</v>
      </c>
      <c r="AH134" s="406" t="s">
        <v>55</v>
      </c>
      <c r="AI134" s="406" t="s">
        <v>55</v>
      </c>
      <c r="AJ134" s="406" t="s">
        <v>55</v>
      </c>
      <c r="AK134" s="406" t="s">
        <v>55</v>
      </c>
      <c r="AL134" s="318">
        <f t="shared" si="146"/>
        <v>0</v>
      </c>
      <c r="AM134" s="378">
        <v>1170927</v>
      </c>
      <c r="AN134" s="379">
        <v>0</v>
      </c>
      <c r="AO134" s="379"/>
      <c r="AP134" s="379">
        <v>315574</v>
      </c>
      <c r="AQ134" s="379">
        <v>0</v>
      </c>
      <c r="AR134" s="379">
        <v>69369</v>
      </c>
      <c r="AS134" s="379">
        <v>1505903</v>
      </c>
      <c r="AT134" s="318">
        <f t="shared" si="147"/>
        <v>3061773</v>
      </c>
      <c r="AU134" s="381">
        <v>2467716</v>
      </c>
      <c r="AV134" s="382"/>
      <c r="AW134" s="382"/>
      <c r="AX134" s="382">
        <v>242955</v>
      </c>
      <c r="AY134" s="382"/>
      <c r="AZ134" s="382">
        <v>121612</v>
      </c>
      <c r="BA134" s="382">
        <v>15935</v>
      </c>
      <c r="BB134" s="319">
        <f t="shared" si="148"/>
        <v>2848218</v>
      </c>
      <c r="BC134" s="328">
        <v>1969619</v>
      </c>
      <c r="BD134" s="329">
        <v>0</v>
      </c>
      <c r="BE134" s="329">
        <v>0</v>
      </c>
      <c r="BF134" s="329">
        <v>141346</v>
      </c>
      <c r="BG134" s="329">
        <v>0</v>
      </c>
      <c r="BH134" s="329">
        <v>93937</v>
      </c>
      <c r="BI134" s="329">
        <v>1485691</v>
      </c>
      <c r="BJ134" s="314">
        <f>SUM(BC134:BI134)</f>
        <v>3690593</v>
      </c>
      <c r="BK134" s="40" t="s">
        <v>12680</v>
      </c>
      <c r="BL134" s="320">
        <v>42</v>
      </c>
      <c r="BM134" s="320">
        <v>2.2000000000000002</v>
      </c>
      <c r="BN134" s="320">
        <v>2.6</v>
      </c>
      <c r="BO134" s="341" t="s">
        <v>18508</v>
      </c>
      <c r="BP134" s="155">
        <v>299</v>
      </c>
      <c r="BQ134" s="344"/>
      <c r="BR134" s="314">
        <v>120</v>
      </c>
      <c r="BS134" s="314"/>
      <c r="BT134" s="314"/>
      <c r="BU134" s="314"/>
      <c r="BV134" s="314"/>
      <c r="BW134" s="314"/>
      <c r="BX134" s="325" t="s">
        <v>20707</v>
      </c>
    </row>
    <row r="135" spans="1:76" ht="15.75" customHeight="1">
      <c r="A135" s="372" t="s">
        <v>18537</v>
      </c>
      <c r="B135" s="311" t="s">
        <v>18541</v>
      </c>
      <c r="C135" s="155">
        <v>160</v>
      </c>
      <c r="D135" s="312" t="s">
        <v>20474</v>
      </c>
      <c r="E135" s="40" t="s">
        <v>17871</v>
      </c>
      <c r="F135" s="314">
        <v>131</v>
      </c>
      <c r="G135" s="316">
        <f>COUNTA(ME_117_D)</f>
        <v>8</v>
      </c>
      <c r="H135" s="316">
        <f>COUNTIF(ME_117_G,"TT")</f>
        <v>6</v>
      </c>
      <c r="I135" s="316">
        <f t="shared" si="131"/>
        <v>2</v>
      </c>
      <c r="J135" s="316">
        <f>COUNTA(ME_117_D)</f>
        <v>8</v>
      </c>
      <c r="K135" s="316">
        <f>COUNTIF(ME_117_G,"TT")</f>
        <v>6</v>
      </c>
      <c r="L135" s="316">
        <f t="shared" si="132"/>
        <v>2</v>
      </c>
      <c r="M135" s="316">
        <f>COUNTIFS('Mechanical Engineering Faculty'!$F$5344:$F$5351,M$1)</f>
        <v>2</v>
      </c>
      <c r="N135" s="316">
        <f>COUNTIFS('Mechanical Engineering Faculty'!$F$5344:$F$5351,N$1)</f>
        <v>3</v>
      </c>
      <c r="O135" s="316">
        <f>COUNTIFS('Mechanical Engineering Faculty'!$F$5344:$F$5351,O$1)</f>
        <v>1</v>
      </c>
      <c r="P135" s="316">
        <f>COUNTIFS(ME_117_G,"TT", ME_117_D,P$1)</f>
        <v>2</v>
      </c>
      <c r="Q135" s="316">
        <f>COUNTIFS(ME_117_G,"TT", ME_117_D,Q$1)</f>
        <v>3</v>
      </c>
      <c r="R135" s="316">
        <f>COUNTIFS(ME_117_G,"TT", ME_117_D,R$1)</f>
        <v>1</v>
      </c>
      <c r="S135" s="316">
        <f>COUNTIF(ME_117_D,S$1)</f>
        <v>1</v>
      </c>
      <c r="T135" s="316">
        <f t="shared" si="142"/>
        <v>0</v>
      </c>
      <c r="U135" s="316">
        <f t="shared" si="143"/>
        <v>0</v>
      </c>
      <c r="V135" s="316">
        <f t="shared" si="144"/>
        <v>0</v>
      </c>
      <c r="W135" s="316">
        <f t="shared" ref="W135:AB135" si="153">COUNTIF(ME_117_D,W$1)</f>
        <v>0</v>
      </c>
      <c r="X135" s="316">
        <f t="shared" si="153"/>
        <v>0</v>
      </c>
      <c r="Y135" s="316">
        <f t="shared" si="153"/>
        <v>1</v>
      </c>
      <c r="Z135" s="316">
        <f t="shared" si="153"/>
        <v>0</v>
      </c>
      <c r="AA135" s="316">
        <f t="shared" si="153"/>
        <v>0</v>
      </c>
      <c r="AB135" s="316">
        <f t="shared" si="153"/>
        <v>0</v>
      </c>
      <c r="AC135" s="315">
        <f>COUNTIF(ME_117_E,AC$1)+COUNTIF(ME_117_E,"E/D")</f>
        <v>0</v>
      </c>
      <c r="AD135" s="315">
        <f>COUNTIF(ME_117_E,AD$1)+COUNTIF(ME_117_E,"E/D")</f>
        <v>0</v>
      </c>
      <c r="AE135" s="377" t="s">
        <v>55</v>
      </c>
      <c r="AF135" s="377" t="s">
        <v>55</v>
      </c>
      <c r="AG135" s="377" t="s">
        <v>55</v>
      </c>
      <c r="AH135" s="377" t="s">
        <v>55</v>
      </c>
      <c r="AI135" s="377" t="s">
        <v>55</v>
      </c>
      <c r="AJ135" s="377" t="s">
        <v>55</v>
      </c>
      <c r="AK135" s="377" t="s">
        <v>55</v>
      </c>
      <c r="AL135" s="318">
        <f t="shared" si="146"/>
        <v>0</v>
      </c>
      <c r="AM135" s="377" t="s">
        <v>55</v>
      </c>
      <c r="AN135" s="377" t="s">
        <v>55</v>
      </c>
      <c r="AO135" s="377" t="s">
        <v>55</v>
      </c>
      <c r="AP135" s="377" t="s">
        <v>55</v>
      </c>
      <c r="AQ135" s="377" t="s">
        <v>55</v>
      </c>
      <c r="AR135" s="377" t="s">
        <v>55</v>
      </c>
      <c r="AS135" s="377" t="s">
        <v>55</v>
      </c>
      <c r="AT135" s="318">
        <f t="shared" si="147"/>
        <v>0</v>
      </c>
      <c r="AU135" s="377" t="s">
        <v>55</v>
      </c>
      <c r="AV135" s="377" t="s">
        <v>55</v>
      </c>
      <c r="AW135" s="377" t="s">
        <v>55</v>
      </c>
      <c r="AX135" s="377" t="s">
        <v>55</v>
      </c>
      <c r="AY135" s="377" t="s">
        <v>55</v>
      </c>
      <c r="AZ135" s="377" t="s">
        <v>55</v>
      </c>
      <c r="BA135" s="380" t="s">
        <v>55</v>
      </c>
      <c r="BB135" s="319">
        <f t="shared" si="148"/>
        <v>0</v>
      </c>
      <c r="BC135" s="332" t="s">
        <v>55</v>
      </c>
      <c r="BD135" s="332" t="s">
        <v>55</v>
      </c>
      <c r="BE135" s="332" t="s">
        <v>55</v>
      </c>
      <c r="BF135" s="332" t="s">
        <v>55</v>
      </c>
      <c r="BG135" s="332" t="s">
        <v>55</v>
      </c>
      <c r="BH135" s="332" t="s">
        <v>55</v>
      </c>
      <c r="BI135" s="332" t="s">
        <v>55</v>
      </c>
      <c r="BJ135" s="332" t="s">
        <v>55</v>
      </c>
      <c r="BK135" s="40" t="s">
        <v>16635</v>
      </c>
      <c r="BL135" s="320">
        <v>39</v>
      </c>
      <c r="BM135" s="320">
        <v>2.2000000000000002</v>
      </c>
      <c r="BN135" s="320">
        <v>2.5</v>
      </c>
      <c r="BO135" s="40" t="s">
        <v>18566</v>
      </c>
      <c r="BP135" s="321">
        <v>172</v>
      </c>
      <c r="BQ135" s="344"/>
      <c r="BR135" s="314">
        <v>135</v>
      </c>
      <c r="BS135" s="314"/>
      <c r="BT135" s="314"/>
      <c r="BU135" s="314"/>
      <c r="BV135" s="314"/>
      <c r="BW135" s="314"/>
      <c r="BX135" s="325" t="s">
        <v>20708</v>
      </c>
    </row>
    <row r="136" spans="1:76" ht="15.75" customHeight="1">
      <c r="A136" s="4" t="s">
        <v>18567</v>
      </c>
      <c r="B136" s="311" t="s">
        <v>2714</v>
      </c>
      <c r="C136" s="155">
        <v>161</v>
      </c>
      <c r="D136" s="312">
        <v>159</v>
      </c>
      <c r="E136" s="40" t="s">
        <v>17871</v>
      </c>
      <c r="F136" s="314">
        <v>131</v>
      </c>
      <c r="G136" s="316">
        <f>COUNTA(ME_118_D)</f>
        <v>15</v>
      </c>
      <c r="H136" s="316">
        <f>COUNTIF(ME_118_G,"TT")</f>
        <v>15</v>
      </c>
      <c r="I136" s="316">
        <f t="shared" si="131"/>
        <v>0</v>
      </c>
      <c r="J136" s="316">
        <f>COUNTA(ME_118_D)</f>
        <v>15</v>
      </c>
      <c r="K136" s="316">
        <f>COUNTIF(ME_118_G,"TT")</f>
        <v>15</v>
      </c>
      <c r="L136" s="316">
        <f t="shared" si="132"/>
        <v>0</v>
      </c>
      <c r="M136" s="316">
        <f>COUNTIFS('Mechanical Engineering Faculty'!$F$5362:$F$5376,M$1)</f>
        <v>4</v>
      </c>
      <c r="N136" s="316">
        <f>COUNTIFS('Mechanical Engineering Faculty'!$F$5362:$F$5376,N$1)</f>
        <v>8</v>
      </c>
      <c r="O136" s="316">
        <f>COUNTIFS('Mechanical Engineering Faculty'!$F$5362:$F$5376,O$1)</f>
        <v>3</v>
      </c>
      <c r="P136" s="316">
        <f>COUNTIFS(ME_118_G,"TT", ME_118_D,P$1)</f>
        <v>4</v>
      </c>
      <c r="Q136" s="316">
        <f>COUNTIFS(ME_118_G,"TT", ME_118_D,Q$1)</f>
        <v>8</v>
      </c>
      <c r="R136" s="316">
        <f>COUNTIFS(ME_118_G,"TT", ME_118_D,R$1)</f>
        <v>3</v>
      </c>
      <c r="S136" s="316">
        <f>COUNTIF(ME_118_D,S$1)</f>
        <v>0</v>
      </c>
      <c r="T136" s="316">
        <f t="shared" si="142"/>
        <v>0</v>
      </c>
      <c r="U136" s="316">
        <f t="shared" si="143"/>
        <v>0</v>
      </c>
      <c r="V136" s="316">
        <f t="shared" si="144"/>
        <v>0</v>
      </c>
      <c r="W136" s="316">
        <f t="shared" ref="W136:AB136" si="154">COUNTIF(ME_118_D,W$1)</f>
        <v>0</v>
      </c>
      <c r="X136" s="316">
        <f t="shared" si="154"/>
        <v>0</v>
      </c>
      <c r="Y136" s="316">
        <f t="shared" si="154"/>
        <v>0</v>
      </c>
      <c r="Z136" s="316">
        <f t="shared" si="154"/>
        <v>0</v>
      </c>
      <c r="AA136" s="316">
        <f t="shared" si="154"/>
        <v>0</v>
      </c>
      <c r="AB136" s="316">
        <f t="shared" si="154"/>
        <v>0</v>
      </c>
      <c r="AC136" s="315">
        <f>COUNTIF(ME_118_E,AC$1)+COUNTIF(ME_118_E,"E/D")</f>
        <v>0</v>
      </c>
      <c r="AD136" s="315">
        <f>COUNTIF(ME_118_E,AD$1)+COUNTIF(ME_118_E,"E/D")</f>
        <v>0</v>
      </c>
      <c r="AE136" s="378">
        <v>457474</v>
      </c>
      <c r="AF136" s="379"/>
      <c r="AG136" s="379"/>
      <c r="AH136" s="379">
        <v>0</v>
      </c>
      <c r="AI136" s="379">
        <v>0</v>
      </c>
      <c r="AJ136" s="379">
        <v>30421</v>
      </c>
      <c r="AK136" s="379">
        <v>273688</v>
      </c>
      <c r="AL136" s="318">
        <f t="shared" si="146"/>
        <v>761583</v>
      </c>
      <c r="AM136" s="378">
        <v>263786</v>
      </c>
      <c r="AN136" s="378"/>
      <c r="AO136" s="378"/>
      <c r="AP136" s="378">
        <v>0</v>
      </c>
      <c r="AQ136" s="378"/>
      <c r="AR136" s="378">
        <v>29560</v>
      </c>
      <c r="AS136" s="378">
        <v>150265</v>
      </c>
      <c r="AT136" s="318">
        <f t="shared" si="147"/>
        <v>443611</v>
      </c>
      <c r="AU136" s="381">
        <v>593516</v>
      </c>
      <c r="AV136" s="382"/>
      <c r="AW136" s="382"/>
      <c r="AX136" s="382">
        <v>100370</v>
      </c>
      <c r="AY136" s="382"/>
      <c r="AZ136" s="382">
        <v>101221</v>
      </c>
      <c r="BA136" s="382">
        <v>190163</v>
      </c>
      <c r="BB136" s="319">
        <f t="shared" si="148"/>
        <v>985270</v>
      </c>
      <c r="BC136" s="411" t="s">
        <v>55</v>
      </c>
      <c r="BD136" s="413" t="s">
        <v>55</v>
      </c>
      <c r="BE136" s="413" t="s">
        <v>55</v>
      </c>
      <c r="BF136" s="413" t="s">
        <v>55</v>
      </c>
      <c r="BG136" s="413" t="s">
        <v>55</v>
      </c>
      <c r="BH136" s="413" t="s">
        <v>55</v>
      </c>
      <c r="BI136" s="413" t="s">
        <v>55</v>
      </c>
      <c r="BJ136" s="332" t="s">
        <v>55</v>
      </c>
      <c r="BK136" s="40" t="s">
        <v>6149</v>
      </c>
      <c r="BL136" s="320">
        <v>63</v>
      </c>
      <c r="BM136" s="320">
        <v>2.2000000000000002</v>
      </c>
      <c r="BN136" s="320">
        <v>2.7</v>
      </c>
      <c r="BO136" s="40" t="s">
        <v>18616</v>
      </c>
      <c r="BP136" s="321">
        <v>1306</v>
      </c>
      <c r="BQ136" s="314">
        <v>68</v>
      </c>
      <c r="BR136" s="314">
        <v>68</v>
      </c>
      <c r="BS136" s="314"/>
      <c r="BT136" s="314"/>
      <c r="BU136" s="314"/>
      <c r="BV136" s="314"/>
      <c r="BW136" s="314"/>
      <c r="BX136" s="325" t="s">
        <v>20709</v>
      </c>
    </row>
    <row r="137" spans="1:76" ht="15.75" customHeight="1">
      <c r="A137" s="4" t="s">
        <v>18831</v>
      </c>
      <c r="B137" s="311" t="s">
        <v>2714</v>
      </c>
      <c r="C137" s="155">
        <v>165</v>
      </c>
      <c r="D137" s="312">
        <v>157</v>
      </c>
      <c r="E137" s="40" t="s">
        <v>18641</v>
      </c>
      <c r="F137" s="314">
        <v>131</v>
      </c>
      <c r="G137" s="316">
        <f>COUNTA(ME_122_D)</f>
        <v>16</v>
      </c>
      <c r="H137" s="316">
        <f>COUNTIF(ME_122_G,"TT")</f>
        <v>13</v>
      </c>
      <c r="I137" s="316">
        <f t="shared" si="131"/>
        <v>3</v>
      </c>
      <c r="J137" s="316">
        <f>COUNTA(ME_122_D)</f>
        <v>16</v>
      </c>
      <c r="K137" s="316">
        <f>COUNTIF(ME_122_G,"TT")</f>
        <v>13</v>
      </c>
      <c r="L137" s="316">
        <f t="shared" si="132"/>
        <v>3</v>
      </c>
      <c r="M137" s="316">
        <f>COUNTIFS('Mechanical Engineering Faculty'!$F$5447:$F$5462,M$1)</f>
        <v>4</v>
      </c>
      <c r="N137" s="316">
        <f>COUNTIFS('Mechanical Engineering Faculty'!$F$5447:$F$5462,N$1)</f>
        <v>4</v>
      </c>
      <c r="O137" s="316">
        <f>COUNTIFS('Mechanical Engineering Faculty'!$F$5447:$F$5462,O$1)</f>
        <v>5</v>
      </c>
      <c r="P137" s="316">
        <f>COUNTIFS(ME_122_G,"TT", ME_122_D,P$1)</f>
        <v>4</v>
      </c>
      <c r="Q137" s="316">
        <f>COUNTIFS(ME_122_G,"TT", ME_122_D,Q$1)</f>
        <v>4</v>
      </c>
      <c r="R137" s="316">
        <f>COUNTIFS(ME_122_G,"TT", ME_122_D,R$1)</f>
        <v>5</v>
      </c>
      <c r="S137" s="316">
        <f>COUNTIF(ME_122_D,S$1)</f>
        <v>0</v>
      </c>
      <c r="T137" s="316">
        <f t="shared" si="142"/>
        <v>0</v>
      </c>
      <c r="U137" s="316">
        <f t="shared" si="143"/>
        <v>0</v>
      </c>
      <c r="V137" s="316">
        <f t="shared" si="144"/>
        <v>0</v>
      </c>
      <c r="W137" s="316">
        <f t="shared" ref="W137:AB137" si="155">COUNTIF(ME_122_D,W$1)</f>
        <v>0</v>
      </c>
      <c r="X137" s="316">
        <f t="shared" si="155"/>
        <v>0</v>
      </c>
      <c r="Y137" s="316">
        <f t="shared" si="155"/>
        <v>0</v>
      </c>
      <c r="Z137" s="316">
        <f t="shared" si="155"/>
        <v>1</v>
      </c>
      <c r="AA137" s="316">
        <f t="shared" si="155"/>
        <v>1</v>
      </c>
      <c r="AB137" s="316">
        <f t="shared" si="155"/>
        <v>1</v>
      </c>
      <c r="AC137" s="315">
        <f>COUNTIF(ME_122_E,AC$1)+COUNTIF(ME_122_E,"E/D")</f>
        <v>0</v>
      </c>
      <c r="AD137" s="315">
        <f>COUNTIF(ME_122_E,AD$1)+COUNTIF(ME_122_E,"E/D")</f>
        <v>0</v>
      </c>
      <c r="AE137" s="378">
        <v>538102</v>
      </c>
      <c r="AF137" s="379"/>
      <c r="AG137" s="379"/>
      <c r="AH137" s="379">
        <v>88274</v>
      </c>
      <c r="AI137" s="379"/>
      <c r="AJ137" s="379">
        <v>120334</v>
      </c>
      <c r="AK137" s="379">
        <v>0</v>
      </c>
      <c r="AL137" s="318">
        <f t="shared" si="146"/>
        <v>746710</v>
      </c>
      <c r="AM137" s="377" t="s">
        <v>55</v>
      </c>
      <c r="AN137" s="406" t="s">
        <v>55</v>
      </c>
      <c r="AO137" s="406" t="s">
        <v>55</v>
      </c>
      <c r="AP137" s="406" t="s">
        <v>55</v>
      </c>
      <c r="AQ137" s="406" t="s">
        <v>55</v>
      </c>
      <c r="AR137" s="406" t="s">
        <v>55</v>
      </c>
      <c r="AS137" s="406" t="s">
        <v>55</v>
      </c>
      <c r="AT137" s="318">
        <f t="shared" si="147"/>
        <v>0</v>
      </c>
      <c r="AU137" s="377" t="s">
        <v>55</v>
      </c>
      <c r="AV137" s="406" t="s">
        <v>55</v>
      </c>
      <c r="AW137" s="406" t="s">
        <v>55</v>
      </c>
      <c r="AX137" s="406" t="s">
        <v>55</v>
      </c>
      <c r="AY137" s="406" t="s">
        <v>55</v>
      </c>
      <c r="AZ137" s="406" t="s">
        <v>55</v>
      </c>
      <c r="BA137" s="409" t="s">
        <v>55</v>
      </c>
      <c r="BB137" s="319">
        <f t="shared" si="148"/>
        <v>0</v>
      </c>
      <c r="BC137" s="348">
        <v>2532259</v>
      </c>
      <c r="BD137" s="329">
        <v>0</v>
      </c>
      <c r="BE137" s="329">
        <v>0</v>
      </c>
      <c r="BF137" s="349">
        <v>88441</v>
      </c>
      <c r="BG137" s="329">
        <v>0</v>
      </c>
      <c r="BH137" s="349">
        <v>84528</v>
      </c>
      <c r="BI137" s="349">
        <v>40943</v>
      </c>
      <c r="BJ137" s="322">
        <f>SUM(BC137:BI137)</f>
        <v>2746171</v>
      </c>
      <c r="BK137" s="341" t="s">
        <v>14231</v>
      </c>
      <c r="BL137" s="320">
        <v>38</v>
      </c>
      <c r="BM137" s="320">
        <v>2.2999999999999998</v>
      </c>
      <c r="BN137" s="320">
        <v>2.8</v>
      </c>
      <c r="BO137" s="40" t="s">
        <v>18880</v>
      </c>
      <c r="BP137" s="321">
        <v>122</v>
      </c>
      <c r="BQ137" s="344"/>
      <c r="BR137" s="314">
        <v>135</v>
      </c>
      <c r="BS137" s="314"/>
      <c r="BT137" s="314"/>
      <c r="BU137" s="314"/>
      <c r="BV137" s="314"/>
      <c r="BW137" s="314"/>
      <c r="BX137" s="325" t="s">
        <v>20713</v>
      </c>
    </row>
    <row r="138" spans="1:76" ht="15.75" customHeight="1">
      <c r="A138" s="4" t="s">
        <v>19251</v>
      </c>
      <c r="B138" s="311" t="s">
        <v>2714</v>
      </c>
      <c r="C138" s="155">
        <v>159</v>
      </c>
      <c r="D138" s="312">
        <v>159</v>
      </c>
      <c r="E138" s="40" t="s">
        <v>18641</v>
      </c>
      <c r="F138" s="314">
        <v>131</v>
      </c>
      <c r="G138" s="316">
        <f>COUNTA(ME_129_D)</f>
        <v>11</v>
      </c>
      <c r="H138" s="316">
        <f>COUNTIF(ME_129_G,"TT")</f>
        <v>9</v>
      </c>
      <c r="I138" s="316">
        <f t="shared" si="131"/>
        <v>2</v>
      </c>
      <c r="J138" s="316">
        <f>COUNTA(ME_129_D)</f>
        <v>11</v>
      </c>
      <c r="K138" s="316">
        <f>COUNTIF(ME_129_G,"TT")</f>
        <v>9</v>
      </c>
      <c r="L138" s="316">
        <f t="shared" si="132"/>
        <v>2</v>
      </c>
      <c r="M138" s="316">
        <f>COUNTIFS('Mechanical Engineering Faculty'!$F$5598:$F$5608,M$1)</f>
        <v>2</v>
      </c>
      <c r="N138" s="316">
        <f>COUNTIFS('Mechanical Engineering Faculty'!$F$5598:$F$5608,N$1)</f>
        <v>4</v>
      </c>
      <c r="O138" s="316">
        <f>COUNTIFS('Mechanical Engineering Faculty'!$F$5598:$F$5608,O$1)</f>
        <v>3</v>
      </c>
      <c r="P138" s="316">
        <f>COUNTIFS(ME_129_G,"TT", ME_129_D,P$1)</f>
        <v>2</v>
      </c>
      <c r="Q138" s="316">
        <f>COUNTIFS(ME_129_G,"TT", ME_129_D,Q$1)</f>
        <v>4</v>
      </c>
      <c r="R138" s="316">
        <f>COUNTIFS(ME_129_G,"TT", ME_129_D,R$1)</f>
        <v>3</v>
      </c>
      <c r="S138" s="316">
        <f>COUNTIF(ME_129_D,S$1)</f>
        <v>0</v>
      </c>
      <c r="T138" s="316">
        <f t="shared" si="142"/>
        <v>0</v>
      </c>
      <c r="U138" s="316">
        <f t="shared" si="143"/>
        <v>0</v>
      </c>
      <c r="V138" s="316">
        <f t="shared" si="144"/>
        <v>0</v>
      </c>
      <c r="W138" s="316">
        <f t="shared" ref="W138:AB138" si="156">COUNTIF(ME_129_D,W$1)</f>
        <v>0</v>
      </c>
      <c r="X138" s="316">
        <f t="shared" si="156"/>
        <v>1</v>
      </c>
      <c r="Y138" s="316">
        <f t="shared" si="156"/>
        <v>1</v>
      </c>
      <c r="Z138" s="316">
        <f t="shared" si="156"/>
        <v>0</v>
      </c>
      <c r="AA138" s="316">
        <f t="shared" si="156"/>
        <v>0</v>
      </c>
      <c r="AB138" s="316">
        <f t="shared" si="156"/>
        <v>0</v>
      </c>
      <c r="AC138" s="315">
        <f>COUNTIF(ME_129_E,AC$1)+COUNTIF(ME_129_E,"E/D")</f>
        <v>1</v>
      </c>
      <c r="AD138" s="315">
        <f>COUNTIF(ME_129_E,AD$1)+COUNTIF(ME_129_E,"E/D")</f>
        <v>0</v>
      </c>
      <c r="AE138" s="378">
        <v>1494542</v>
      </c>
      <c r="AF138" s="378"/>
      <c r="AG138" s="378"/>
      <c r="AH138" s="378"/>
      <c r="AI138" s="378"/>
      <c r="AJ138" s="378"/>
      <c r="AK138" s="378"/>
      <c r="AL138" s="318">
        <f t="shared" si="146"/>
        <v>1494542</v>
      </c>
      <c r="AM138" s="378">
        <v>553760</v>
      </c>
      <c r="AN138" s="378"/>
      <c r="AO138" s="378"/>
      <c r="AP138" s="378"/>
      <c r="AQ138" s="378"/>
      <c r="AR138" s="378"/>
      <c r="AS138" s="378"/>
      <c r="AT138" s="318">
        <f t="shared" si="147"/>
        <v>553760</v>
      </c>
      <c r="AU138" s="381">
        <v>564072</v>
      </c>
      <c r="AV138" s="381"/>
      <c r="AW138" s="381"/>
      <c r="AX138" s="381"/>
      <c r="AY138" s="381"/>
      <c r="AZ138" s="381"/>
      <c r="BA138" s="381"/>
      <c r="BB138" s="319">
        <f t="shared" si="148"/>
        <v>564072</v>
      </c>
      <c r="BC138" s="328">
        <v>886287</v>
      </c>
      <c r="BD138" s="329">
        <v>0</v>
      </c>
      <c r="BE138" s="329">
        <v>0</v>
      </c>
      <c r="BF138" s="329">
        <v>0</v>
      </c>
      <c r="BG138" s="329">
        <v>0</v>
      </c>
      <c r="BH138" s="329">
        <v>0</v>
      </c>
      <c r="BI138" s="329">
        <v>0</v>
      </c>
      <c r="BJ138" s="314">
        <f>SUM(BC138:BI138)</f>
        <v>886287</v>
      </c>
      <c r="BK138" s="40" t="s">
        <v>19268</v>
      </c>
      <c r="BL138" s="320">
        <v>30</v>
      </c>
      <c r="BM138" s="320">
        <v>2.2000000000000002</v>
      </c>
      <c r="BN138" s="320">
        <v>2.5</v>
      </c>
      <c r="BO138" s="40" t="s">
        <v>19295</v>
      </c>
      <c r="BP138" s="321">
        <v>110</v>
      </c>
      <c r="BQ138" s="344"/>
      <c r="BR138" s="314">
        <v>170</v>
      </c>
      <c r="BS138" s="314"/>
      <c r="BT138" s="314"/>
      <c r="BU138" s="314"/>
      <c r="BV138" s="314"/>
      <c r="BW138" s="314"/>
      <c r="BX138" s="325" t="s">
        <v>20720</v>
      </c>
    </row>
    <row r="139" spans="1:76" ht="15.75" customHeight="1">
      <c r="A139" s="4" t="s">
        <v>17117</v>
      </c>
      <c r="B139" s="311" t="s">
        <v>2714</v>
      </c>
      <c r="C139" s="155" t="s">
        <v>55</v>
      </c>
      <c r="D139" s="312" t="s">
        <v>20474</v>
      </c>
      <c r="E139" s="341" t="s">
        <v>16979</v>
      </c>
      <c r="F139" s="314">
        <v>146</v>
      </c>
      <c r="G139" s="316">
        <f>COUNTA(ME_96_D)</f>
        <v>18</v>
      </c>
      <c r="H139" s="316">
        <f>COUNTIF(ME_96_G,"TT")</f>
        <v>10</v>
      </c>
      <c r="I139" s="316">
        <f t="shared" si="131"/>
        <v>8</v>
      </c>
      <c r="J139" s="316">
        <f>COUNTA(ME_96_D)</f>
        <v>18</v>
      </c>
      <c r="K139" s="316">
        <f>COUNTIF(ME_96_G,"TT")</f>
        <v>10</v>
      </c>
      <c r="L139" s="316">
        <f t="shared" si="132"/>
        <v>8</v>
      </c>
      <c r="M139" s="316">
        <f>COUNTIFS( 'Mechanical Engineering Faculty'!$F$4890:$F$4907,M$1)</f>
        <v>1</v>
      </c>
      <c r="N139" s="316">
        <f>COUNTIFS( 'Mechanical Engineering Faculty'!$F$4890:$F$4907,N$1)</f>
        <v>5</v>
      </c>
      <c r="O139" s="316">
        <f>COUNTIFS( 'Mechanical Engineering Faculty'!$F$4890:$F$4907,O$1)</f>
        <v>4</v>
      </c>
      <c r="P139" s="316">
        <f>COUNTIFS(ME_96_G,"TT", ME_96_D,P$1)</f>
        <v>1</v>
      </c>
      <c r="Q139" s="316">
        <f>COUNTIFS(ME_96_G,"TT", ME_96_D,Q$1)</f>
        <v>5</v>
      </c>
      <c r="R139" s="316">
        <f>COUNTIFS(ME_96_G,"TT", ME_96_D,R$1)</f>
        <v>4</v>
      </c>
      <c r="S139" s="316">
        <f>COUNTIF(ME_96_D,S$1)</f>
        <v>8</v>
      </c>
      <c r="T139" s="316">
        <f t="shared" si="142"/>
        <v>0</v>
      </c>
      <c r="U139" s="316">
        <f t="shared" si="143"/>
        <v>0</v>
      </c>
      <c r="V139" s="316">
        <f t="shared" si="144"/>
        <v>0</v>
      </c>
      <c r="W139" s="316">
        <f t="shared" ref="W139:AB139" si="157">COUNTIF(ME_96_D,W$1)</f>
        <v>0</v>
      </c>
      <c r="X139" s="316">
        <f t="shared" si="157"/>
        <v>0</v>
      </c>
      <c r="Y139" s="316">
        <f t="shared" si="157"/>
        <v>0</v>
      </c>
      <c r="Z139" s="316">
        <f t="shared" si="157"/>
        <v>0</v>
      </c>
      <c r="AA139" s="316">
        <f t="shared" si="157"/>
        <v>0</v>
      </c>
      <c r="AB139" s="316">
        <f t="shared" si="157"/>
        <v>0</v>
      </c>
      <c r="AC139" s="315">
        <f>COUNTIF(ME_96_E,AC$1)+COUNTIF(ME_96_E,"E/D")</f>
        <v>0</v>
      </c>
      <c r="AD139" s="315">
        <f>COUNTIF(ME_96_E,AD$1)+COUNTIF(ME_96_E,"E/D")</f>
        <v>0</v>
      </c>
      <c r="AE139" s="377" t="s">
        <v>55</v>
      </c>
      <c r="AF139" s="406" t="s">
        <v>55</v>
      </c>
      <c r="AG139" s="406" t="s">
        <v>55</v>
      </c>
      <c r="AH139" s="406" t="s">
        <v>55</v>
      </c>
      <c r="AI139" s="406" t="s">
        <v>55</v>
      </c>
      <c r="AJ139" s="406" t="s">
        <v>55</v>
      </c>
      <c r="AK139" s="406" t="s">
        <v>55</v>
      </c>
      <c r="AL139" s="318">
        <f t="shared" si="146"/>
        <v>0</v>
      </c>
      <c r="AM139" s="377" t="s">
        <v>55</v>
      </c>
      <c r="AN139" s="406" t="s">
        <v>55</v>
      </c>
      <c r="AO139" s="406" t="s">
        <v>55</v>
      </c>
      <c r="AP139" s="406" t="s">
        <v>55</v>
      </c>
      <c r="AQ139" s="406" t="s">
        <v>55</v>
      </c>
      <c r="AR139" s="406" t="s">
        <v>55</v>
      </c>
      <c r="AS139" s="406" t="s">
        <v>55</v>
      </c>
      <c r="AT139" s="318">
        <f t="shared" si="147"/>
        <v>0</v>
      </c>
      <c r="AU139" s="377" t="s">
        <v>55</v>
      </c>
      <c r="AV139" s="406" t="s">
        <v>55</v>
      </c>
      <c r="AW139" s="406" t="s">
        <v>55</v>
      </c>
      <c r="AX139" s="406" t="s">
        <v>55</v>
      </c>
      <c r="AY139" s="406" t="s">
        <v>55</v>
      </c>
      <c r="AZ139" s="406" t="s">
        <v>55</v>
      </c>
      <c r="BA139" s="409" t="s">
        <v>55</v>
      </c>
      <c r="BB139" s="319">
        <f t="shared" si="148"/>
        <v>0</v>
      </c>
      <c r="BC139" s="411" t="s">
        <v>55</v>
      </c>
      <c r="BD139" s="413" t="s">
        <v>55</v>
      </c>
      <c r="BE139" s="413" t="s">
        <v>55</v>
      </c>
      <c r="BF139" s="413" t="s">
        <v>55</v>
      </c>
      <c r="BG139" s="413" t="s">
        <v>55</v>
      </c>
      <c r="BH139" s="413" t="s">
        <v>55</v>
      </c>
      <c r="BI139" s="413" t="s">
        <v>55</v>
      </c>
      <c r="BJ139" s="332" t="s">
        <v>55</v>
      </c>
      <c r="BK139" s="40" t="s">
        <v>17027</v>
      </c>
      <c r="BL139" s="320">
        <v>37</v>
      </c>
      <c r="BM139" s="320">
        <v>2.2000000000000002</v>
      </c>
      <c r="BN139" s="320">
        <v>2.9</v>
      </c>
      <c r="BO139" s="341" t="s">
        <v>17156</v>
      </c>
      <c r="BP139" s="155">
        <v>150</v>
      </c>
      <c r="BQ139" s="344"/>
      <c r="BR139" s="314">
        <v>161</v>
      </c>
      <c r="BS139" s="314"/>
      <c r="BT139" s="314"/>
      <c r="BU139" s="314"/>
      <c r="BV139" s="314"/>
      <c r="BW139" s="314"/>
      <c r="BX139" s="325" t="s">
        <v>20686</v>
      </c>
    </row>
    <row r="140" spans="1:76" ht="15.75" customHeight="1">
      <c r="A140" s="4" t="s">
        <v>17310</v>
      </c>
      <c r="B140" s="311" t="s">
        <v>17314</v>
      </c>
      <c r="C140" s="155" t="s">
        <v>55</v>
      </c>
      <c r="D140" s="312" t="s">
        <v>20474</v>
      </c>
      <c r="E140" s="40" t="s">
        <v>16979</v>
      </c>
      <c r="F140" s="314">
        <v>146</v>
      </c>
      <c r="G140" s="316">
        <f>COUNTA(ME_99_D)</f>
        <v>18</v>
      </c>
      <c r="H140" s="316">
        <f>COUNTIF(ME_99_G,"TT")</f>
        <v>13</v>
      </c>
      <c r="I140" s="316">
        <f t="shared" si="131"/>
        <v>5</v>
      </c>
      <c r="J140" s="316">
        <f>COUNTA(ME_99_D)</f>
        <v>18</v>
      </c>
      <c r="K140" s="316">
        <f>COUNTIF(ME_99_G,"TT")</f>
        <v>13</v>
      </c>
      <c r="L140" s="316">
        <f t="shared" si="132"/>
        <v>5</v>
      </c>
      <c r="M140" s="316">
        <f>COUNTIFS('Mechanical Engineering Faculty'!$F$4951:$F$4968,M$1)</f>
        <v>1</v>
      </c>
      <c r="N140" s="316">
        <f>COUNTIFS('Mechanical Engineering Faculty'!$F$4951:$F$4968,N$1)</f>
        <v>6</v>
      </c>
      <c r="O140" s="316">
        <f>COUNTIFS('Mechanical Engineering Faculty'!$F$4951:$F$4968,O$1)</f>
        <v>6</v>
      </c>
      <c r="P140" s="316">
        <f>COUNTIFS(ME_99_G,"TT", ME_99_D,P$1)</f>
        <v>1</v>
      </c>
      <c r="Q140" s="316">
        <f>COUNTIFS(ME_99_G,"TT", ME_99_D,Q$1)</f>
        <v>6</v>
      </c>
      <c r="R140" s="316">
        <f>COUNTIFS(ME_99_G,"TT", ME_99_D,R$1)</f>
        <v>6</v>
      </c>
      <c r="S140" s="316">
        <f>COUNTIF(ME_99_D,S$1)</f>
        <v>2</v>
      </c>
      <c r="T140" s="316">
        <f t="shared" si="142"/>
        <v>0</v>
      </c>
      <c r="U140" s="316">
        <f t="shared" si="143"/>
        <v>0</v>
      </c>
      <c r="V140" s="316">
        <f t="shared" si="144"/>
        <v>0</v>
      </c>
      <c r="W140" s="316">
        <f t="shared" ref="W140:AB140" si="158">COUNTIF(ME_99_D,W$1)</f>
        <v>3</v>
      </c>
      <c r="X140" s="316">
        <f t="shared" si="158"/>
        <v>0</v>
      </c>
      <c r="Y140" s="316">
        <f t="shared" si="158"/>
        <v>0</v>
      </c>
      <c r="Z140" s="316">
        <f t="shared" si="158"/>
        <v>0</v>
      </c>
      <c r="AA140" s="316">
        <f t="shared" si="158"/>
        <v>0</v>
      </c>
      <c r="AB140" s="316">
        <f t="shared" si="158"/>
        <v>0</v>
      </c>
      <c r="AC140" s="315">
        <f>COUNTIF(ME_99_E,AC$1)+COUNTIF(ME_99_E,"E/D")</f>
        <v>0</v>
      </c>
      <c r="AD140" s="315">
        <f>COUNTIF(ME_99_E,AD$1)+COUNTIF(ME_99_E,"E/D")</f>
        <v>0</v>
      </c>
      <c r="AE140" s="378">
        <v>391755</v>
      </c>
      <c r="AF140" s="379"/>
      <c r="AG140" s="379"/>
      <c r="AH140" s="379">
        <v>39330</v>
      </c>
      <c r="AI140" s="379"/>
      <c r="AJ140" s="379"/>
      <c r="AK140" s="379">
        <v>12084</v>
      </c>
      <c r="AL140" s="318">
        <f t="shared" si="146"/>
        <v>443169</v>
      </c>
      <c r="AM140" s="378">
        <v>362629</v>
      </c>
      <c r="AN140" s="379">
        <v>0</v>
      </c>
      <c r="AO140" s="379">
        <v>0</v>
      </c>
      <c r="AP140" s="379">
        <v>102927</v>
      </c>
      <c r="AQ140" s="379">
        <v>0</v>
      </c>
      <c r="AR140" s="379">
        <v>0</v>
      </c>
      <c r="AS140" s="379">
        <v>22204</v>
      </c>
      <c r="AT140" s="318">
        <f t="shared" si="147"/>
        <v>487760</v>
      </c>
      <c r="AU140" s="381">
        <v>13841207</v>
      </c>
      <c r="AV140" s="382">
        <v>213590</v>
      </c>
      <c r="AW140" s="382">
        <v>371064</v>
      </c>
      <c r="AX140" s="382">
        <v>2317800</v>
      </c>
      <c r="AY140" s="382">
        <v>0</v>
      </c>
      <c r="AZ140" s="382">
        <v>1010928</v>
      </c>
      <c r="BA140" s="382">
        <v>293405</v>
      </c>
      <c r="BB140" s="319">
        <f t="shared" si="148"/>
        <v>18047994</v>
      </c>
      <c r="BC140" s="411" t="s">
        <v>55</v>
      </c>
      <c r="BD140" s="413" t="s">
        <v>55</v>
      </c>
      <c r="BE140" s="413" t="s">
        <v>55</v>
      </c>
      <c r="BF140" s="413" t="s">
        <v>55</v>
      </c>
      <c r="BG140" s="413" t="s">
        <v>55</v>
      </c>
      <c r="BH140" s="413" t="s">
        <v>55</v>
      </c>
      <c r="BI140" s="413" t="s">
        <v>55</v>
      </c>
      <c r="BJ140" s="332" t="s">
        <v>55</v>
      </c>
      <c r="BK140" s="40" t="s">
        <v>17325</v>
      </c>
      <c r="BL140" s="320">
        <v>26</v>
      </c>
      <c r="BM140" s="320">
        <v>2.1</v>
      </c>
      <c r="BN140" s="320">
        <v>2.6</v>
      </c>
      <c r="BO140" s="341" t="s">
        <v>55</v>
      </c>
      <c r="BP140" s="155">
        <v>140</v>
      </c>
      <c r="BQ140" s="344"/>
      <c r="BR140" s="314">
        <v>178</v>
      </c>
      <c r="BS140" s="314"/>
      <c r="BT140" s="314"/>
      <c r="BU140" s="314"/>
      <c r="BV140" s="314"/>
      <c r="BW140" s="314"/>
      <c r="BX140" s="325" t="s">
        <v>20689</v>
      </c>
    </row>
    <row r="141" spans="1:76" ht="15.75" customHeight="1">
      <c r="A141" s="4" t="s">
        <v>20690</v>
      </c>
      <c r="B141" s="311" t="s">
        <v>2714</v>
      </c>
      <c r="C141" s="155">
        <v>160</v>
      </c>
      <c r="D141" s="312">
        <v>156</v>
      </c>
      <c r="E141" s="40" t="s">
        <v>16979</v>
      </c>
      <c r="F141" s="314">
        <v>146</v>
      </c>
      <c r="G141" s="316">
        <f>COUNTA(ME_100_D)</f>
        <v>17</v>
      </c>
      <c r="H141" s="316">
        <f>COUNTIF(ME_100_G,"TT")</f>
        <v>17</v>
      </c>
      <c r="I141" s="316">
        <f t="shared" si="131"/>
        <v>0</v>
      </c>
      <c r="J141" s="316">
        <f>COUNTA(ME_100_D)</f>
        <v>17</v>
      </c>
      <c r="K141" s="316">
        <f>COUNTIF(ME_100_G,"TT")</f>
        <v>17</v>
      </c>
      <c r="L141" s="316">
        <f t="shared" si="132"/>
        <v>0</v>
      </c>
      <c r="M141" s="316">
        <f>COUNTIFS('Mechanical Engineering Faculty'!$F$4970:$F$4986,M$1)</f>
        <v>5</v>
      </c>
      <c r="N141" s="316">
        <f>COUNTIFS('Mechanical Engineering Faculty'!$F$4970:$F$4986,N$1)</f>
        <v>8</v>
      </c>
      <c r="O141" s="316">
        <f>COUNTIFS('Mechanical Engineering Faculty'!$F$4970:$F$4986,O$1)</f>
        <v>4</v>
      </c>
      <c r="P141" s="316">
        <f>COUNTIFS(ME_100_G,"TT", ME_100_D,P$1)</f>
        <v>5</v>
      </c>
      <c r="Q141" s="316">
        <f>COUNTIFS(ME_100_G,"TT", ME_100_D,Q$1)</f>
        <v>8</v>
      </c>
      <c r="R141" s="316">
        <f>COUNTIFS(ME_100_G,"TT", ME_100_D,R$1)</f>
        <v>4</v>
      </c>
      <c r="S141" s="316">
        <f>COUNTIF(ME_100_D,S$1)</f>
        <v>0</v>
      </c>
      <c r="T141" s="316">
        <f t="shared" si="142"/>
        <v>0</v>
      </c>
      <c r="U141" s="316">
        <f t="shared" si="143"/>
        <v>0</v>
      </c>
      <c r="V141" s="316">
        <f t="shared" si="144"/>
        <v>0</v>
      </c>
      <c r="W141" s="316">
        <f t="shared" ref="W141:AB141" si="159">COUNTIF(ME_100_D,W$1)</f>
        <v>0</v>
      </c>
      <c r="X141" s="316">
        <f t="shared" si="159"/>
        <v>0</v>
      </c>
      <c r="Y141" s="316">
        <f t="shared" si="159"/>
        <v>0</v>
      </c>
      <c r="Z141" s="316">
        <f t="shared" si="159"/>
        <v>0</v>
      </c>
      <c r="AA141" s="316">
        <f t="shared" si="159"/>
        <v>0</v>
      </c>
      <c r="AB141" s="316">
        <f t="shared" si="159"/>
        <v>0</v>
      </c>
      <c r="AC141" s="315">
        <f>COUNTIF(ME_100_E,AC$1)+COUNTIF(ME_100_E,"E/D")</f>
        <v>0</v>
      </c>
      <c r="AD141" s="315">
        <f>COUNTIF(ME_100_E,AD$1)+COUNTIF(ME_100_E,"E/D")</f>
        <v>0</v>
      </c>
      <c r="AE141" s="378">
        <v>1544000</v>
      </c>
      <c r="AF141" s="378">
        <v>0</v>
      </c>
      <c r="AG141" s="378"/>
      <c r="AH141" s="378"/>
      <c r="AI141" s="378"/>
      <c r="AJ141" s="378">
        <v>319000</v>
      </c>
      <c r="AK141" s="378">
        <v>0</v>
      </c>
      <c r="AL141" s="318">
        <f t="shared" si="146"/>
        <v>1863000</v>
      </c>
      <c r="AM141" s="378">
        <v>1297306</v>
      </c>
      <c r="AN141" s="379">
        <v>0</v>
      </c>
      <c r="AO141" s="379"/>
      <c r="AP141" s="379">
        <v>633885</v>
      </c>
      <c r="AQ141" s="379">
        <v>26379</v>
      </c>
      <c r="AR141" s="379">
        <v>38678</v>
      </c>
      <c r="AS141" s="379">
        <v>0</v>
      </c>
      <c r="AT141" s="318">
        <f t="shared" si="147"/>
        <v>1996248</v>
      </c>
      <c r="AU141" s="381">
        <v>1037836</v>
      </c>
      <c r="AV141" s="382">
        <v>0</v>
      </c>
      <c r="AW141" s="382"/>
      <c r="AX141" s="382">
        <v>231297</v>
      </c>
      <c r="AY141" s="382"/>
      <c r="AZ141" s="382">
        <v>181778</v>
      </c>
      <c r="BA141" s="382">
        <v>0</v>
      </c>
      <c r="BB141" s="319">
        <f t="shared" si="148"/>
        <v>1450911</v>
      </c>
      <c r="BC141" s="328">
        <v>1577125</v>
      </c>
      <c r="BD141" s="329">
        <v>0</v>
      </c>
      <c r="BE141" s="329">
        <v>0</v>
      </c>
      <c r="BF141" s="329">
        <v>269719</v>
      </c>
      <c r="BG141" s="329">
        <v>0</v>
      </c>
      <c r="BH141" s="329">
        <v>401114</v>
      </c>
      <c r="BI141" s="329">
        <v>163550</v>
      </c>
      <c r="BJ141" s="314">
        <f t="shared" ref="BJ141:BJ147" si="160">SUM(BC141:BI141)</f>
        <v>2411508</v>
      </c>
      <c r="BK141" s="40" t="s">
        <v>14789</v>
      </c>
      <c r="BL141" s="320">
        <v>31</v>
      </c>
      <c r="BM141" s="320">
        <v>2.2999999999999998</v>
      </c>
      <c r="BN141" s="320">
        <v>2.5</v>
      </c>
      <c r="BO141" s="341" t="s">
        <v>17414</v>
      </c>
      <c r="BP141" s="155">
        <v>84</v>
      </c>
      <c r="BQ141" s="344"/>
      <c r="BR141" s="314">
        <v>160</v>
      </c>
      <c r="BS141" s="314"/>
      <c r="BT141" s="314"/>
      <c r="BU141" s="314"/>
      <c r="BV141" s="314"/>
      <c r="BW141" s="314"/>
      <c r="BX141" s="325" t="s">
        <v>20691</v>
      </c>
    </row>
    <row r="142" spans="1:76" ht="15.75" customHeight="1">
      <c r="A142" s="4" t="s">
        <v>18001</v>
      </c>
      <c r="B142" s="311" t="s">
        <v>2628</v>
      </c>
      <c r="C142" s="155">
        <v>158</v>
      </c>
      <c r="D142" s="312">
        <v>160</v>
      </c>
      <c r="E142" s="40" t="s">
        <v>17871</v>
      </c>
      <c r="F142" s="314">
        <v>146</v>
      </c>
      <c r="G142" s="316">
        <f>COUNTA(ME_109_D)</f>
        <v>20</v>
      </c>
      <c r="H142" s="316">
        <f>COUNTIF(ME_109_G,"TT")</f>
        <v>20</v>
      </c>
      <c r="I142" s="316">
        <f t="shared" si="131"/>
        <v>0</v>
      </c>
      <c r="J142" s="316">
        <f>COUNTA(ME_109_D)</f>
        <v>20</v>
      </c>
      <c r="K142" s="316">
        <f>COUNTIF(ME_109_G,"TT")</f>
        <v>20</v>
      </c>
      <c r="L142" s="316">
        <f t="shared" si="132"/>
        <v>0</v>
      </c>
      <c r="M142" s="316">
        <f>COUNTIFS('Mechanical Engineering Faculty'!$F$5161:$F$5180,M$1)</f>
        <v>12</v>
      </c>
      <c r="N142" s="316">
        <f>COUNTIFS('Mechanical Engineering Faculty'!$F$5161:$F$5180,N$1)</f>
        <v>7</v>
      </c>
      <c r="O142" s="316">
        <f>COUNTIFS('Mechanical Engineering Faculty'!$F$5161:$F$5180,O$1)</f>
        <v>1</v>
      </c>
      <c r="P142" s="316">
        <f>COUNTIFS(ME_109_G,"TT", ME_109_D,P$1)</f>
        <v>12</v>
      </c>
      <c r="Q142" s="316">
        <f>COUNTIFS(ME_109_G,"TT", ME_109_D,Q$1)</f>
        <v>7</v>
      </c>
      <c r="R142" s="316">
        <f>COUNTIFS(ME_109_G,"TT", ME_109_D,R$1)</f>
        <v>1</v>
      </c>
      <c r="S142" s="316">
        <f>COUNTIF(ME_109_D,S$1)</f>
        <v>0</v>
      </c>
      <c r="T142" s="316">
        <f t="shared" si="142"/>
        <v>0</v>
      </c>
      <c r="U142" s="316">
        <f t="shared" si="143"/>
        <v>0</v>
      </c>
      <c r="V142" s="316">
        <f t="shared" si="144"/>
        <v>0</v>
      </c>
      <c r="W142" s="316">
        <f t="shared" ref="W142:AB142" si="161">COUNTIF(ME_109_D,W$1)</f>
        <v>0</v>
      </c>
      <c r="X142" s="316">
        <f t="shared" si="161"/>
        <v>0</v>
      </c>
      <c r="Y142" s="316">
        <f t="shared" si="161"/>
        <v>0</v>
      </c>
      <c r="Z142" s="316">
        <f t="shared" si="161"/>
        <v>0</v>
      </c>
      <c r="AA142" s="316">
        <f t="shared" si="161"/>
        <v>0</v>
      </c>
      <c r="AB142" s="316">
        <f t="shared" si="161"/>
        <v>0</v>
      </c>
      <c r="AC142" s="315">
        <f>COUNTIF(ME_109_E,AC$1)+COUNTIF(ME_109_E,"E/D")</f>
        <v>0</v>
      </c>
      <c r="AD142" s="315">
        <f>COUNTIF(ME_109_E,AD$1)+COUNTIF(ME_109_E,"E/D")</f>
        <v>0</v>
      </c>
      <c r="AE142" s="378">
        <v>523424</v>
      </c>
      <c r="AF142" s="378">
        <v>0</v>
      </c>
      <c r="AG142" s="378"/>
      <c r="AH142" s="378">
        <v>570283</v>
      </c>
      <c r="AI142" s="378">
        <v>44101</v>
      </c>
      <c r="AJ142" s="378">
        <v>29386</v>
      </c>
      <c r="AK142" s="378">
        <v>0</v>
      </c>
      <c r="AL142" s="318">
        <f t="shared" si="146"/>
        <v>1167194</v>
      </c>
      <c r="AM142" s="378">
        <v>1179584</v>
      </c>
      <c r="AN142" s="378">
        <v>0</v>
      </c>
      <c r="AO142" s="378"/>
      <c r="AP142" s="378">
        <v>142940</v>
      </c>
      <c r="AQ142" s="378">
        <v>0</v>
      </c>
      <c r="AR142" s="378">
        <v>0</v>
      </c>
      <c r="AS142" s="378">
        <v>109160</v>
      </c>
      <c r="AT142" s="318">
        <f t="shared" si="147"/>
        <v>1431684</v>
      </c>
      <c r="AU142" s="381">
        <v>1442183</v>
      </c>
      <c r="AV142" s="381">
        <v>0</v>
      </c>
      <c r="AW142" s="381"/>
      <c r="AX142" s="381">
        <v>90962</v>
      </c>
      <c r="AY142" s="381"/>
      <c r="AZ142" s="381">
        <v>49750</v>
      </c>
      <c r="BA142" s="381">
        <v>10418</v>
      </c>
      <c r="BB142" s="319">
        <f t="shared" si="148"/>
        <v>1593313</v>
      </c>
      <c r="BC142" s="412">
        <v>1419377</v>
      </c>
      <c r="BD142" s="412">
        <v>0</v>
      </c>
      <c r="BE142" s="412">
        <v>0</v>
      </c>
      <c r="BF142" s="412">
        <v>81340</v>
      </c>
      <c r="BG142" s="412">
        <v>0</v>
      </c>
      <c r="BH142" s="412">
        <v>6985</v>
      </c>
      <c r="BI142" s="412">
        <v>31565</v>
      </c>
      <c r="BJ142" s="314">
        <f t="shared" si="160"/>
        <v>1539267</v>
      </c>
      <c r="BK142" s="40" t="s">
        <v>17192</v>
      </c>
      <c r="BL142" s="320">
        <v>35</v>
      </c>
      <c r="BM142" s="320">
        <v>2.1</v>
      </c>
      <c r="BN142" s="320">
        <v>2.6</v>
      </c>
      <c r="BO142" s="341" t="s">
        <v>18048</v>
      </c>
      <c r="BP142" s="155">
        <v>262</v>
      </c>
      <c r="BQ142" s="314">
        <v>80</v>
      </c>
      <c r="BR142" s="314">
        <v>153</v>
      </c>
      <c r="BS142" s="314"/>
      <c r="BT142" s="314"/>
      <c r="BU142" s="314"/>
      <c r="BV142" s="314"/>
      <c r="BW142" s="314"/>
      <c r="BX142" s="325" t="s">
        <v>20700</v>
      </c>
    </row>
    <row r="143" spans="1:76" ht="15.75" customHeight="1">
      <c r="A143" s="372" t="s">
        <v>18680</v>
      </c>
      <c r="B143" s="311" t="s">
        <v>12252</v>
      </c>
      <c r="C143" s="155">
        <v>160</v>
      </c>
      <c r="D143" s="312">
        <v>157</v>
      </c>
      <c r="E143" s="40" t="s">
        <v>18641</v>
      </c>
      <c r="F143" s="314">
        <v>146</v>
      </c>
      <c r="G143" s="316">
        <f>COUNTA(ME_120_D)</f>
        <v>30</v>
      </c>
      <c r="H143" s="316">
        <f>COUNTIF(ME_120_G,"TT")</f>
        <v>21</v>
      </c>
      <c r="I143" s="316">
        <f t="shared" si="131"/>
        <v>9</v>
      </c>
      <c r="J143" s="316">
        <f>COUNTA(ME_120_D)</f>
        <v>30</v>
      </c>
      <c r="K143" s="316">
        <f>COUNTIF(ME_120_G,"TT")</f>
        <v>21</v>
      </c>
      <c r="L143" s="316">
        <f t="shared" si="132"/>
        <v>9</v>
      </c>
      <c r="M143" s="316">
        <f>COUNTIFS( 'Mechanical Engineering Faculty'!$F$5398:$F$5427,M$1)</f>
        <v>6</v>
      </c>
      <c r="N143" s="316">
        <f>COUNTIFS( 'Mechanical Engineering Faculty'!$F$5398:$F$5427,N$1)</f>
        <v>8</v>
      </c>
      <c r="O143" s="316">
        <f>COUNTIFS( 'Mechanical Engineering Faculty'!$F$5398:$F$5427,O$1)</f>
        <v>7</v>
      </c>
      <c r="P143" s="316">
        <f>COUNTIFS(ME_120_G,"TT", ME_120_D,P$1)</f>
        <v>6</v>
      </c>
      <c r="Q143" s="316">
        <f>COUNTIFS(ME_120_G,"TT", ME_120_D,Q$1)</f>
        <v>8</v>
      </c>
      <c r="R143" s="316">
        <f>COUNTIFS(ME_120_G,"TT", ME_120_D,R$1)</f>
        <v>7</v>
      </c>
      <c r="S143" s="316">
        <f>COUNTIF(ME_120_D,S$1)</f>
        <v>0</v>
      </c>
      <c r="T143" s="316">
        <f t="shared" si="142"/>
        <v>0</v>
      </c>
      <c r="U143" s="316">
        <f t="shared" si="143"/>
        <v>0</v>
      </c>
      <c r="V143" s="316">
        <f t="shared" si="144"/>
        <v>0</v>
      </c>
      <c r="W143" s="316">
        <f t="shared" ref="W143:AB143" si="162">COUNTIF(ME_120_D,W$1)</f>
        <v>2</v>
      </c>
      <c r="X143" s="316">
        <f t="shared" si="162"/>
        <v>2</v>
      </c>
      <c r="Y143" s="316">
        <f t="shared" si="162"/>
        <v>5</v>
      </c>
      <c r="Z143" s="316">
        <f t="shared" si="162"/>
        <v>0</v>
      </c>
      <c r="AA143" s="316">
        <f t="shared" si="162"/>
        <v>0</v>
      </c>
      <c r="AB143" s="316">
        <f t="shared" si="162"/>
        <v>0</v>
      </c>
      <c r="AC143" s="315">
        <f>COUNTIF(ME_120_E,AC$1)+COUNTIF(ME_120_E,"E/D")</f>
        <v>1</v>
      </c>
      <c r="AD143" s="315">
        <f>COUNTIF(ME_120_E,AD$1)+COUNTIF(ME_120_E,"E/D")</f>
        <v>0</v>
      </c>
      <c r="AE143" s="378">
        <v>2079371</v>
      </c>
      <c r="AF143" s="379">
        <v>0</v>
      </c>
      <c r="AG143" s="379">
        <v>0</v>
      </c>
      <c r="AH143" s="379">
        <v>0</v>
      </c>
      <c r="AI143" s="379">
        <v>0</v>
      </c>
      <c r="AJ143" s="379">
        <v>35668</v>
      </c>
      <c r="AK143" s="379">
        <v>12142</v>
      </c>
      <c r="AL143" s="318">
        <f t="shared" si="146"/>
        <v>2127181</v>
      </c>
      <c r="AM143" s="377" t="s">
        <v>55</v>
      </c>
      <c r="AN143" s="406" t="s">
        <v>55</v>
      </c>
      <c r="AO143" s="406" t="s">
        <v>55</v>
      </c>
      <c r="AP143" s="406" t="s">
        <v>55</v>
      </c>
      <c r="AQ143" s="406" t="s">
        <v>55</v>
      </c>
      <c r="AR143" s="406" t="s">
        <v>55</v>
      </c>
      <c r="AS143" s="406" t="s">
        <v>55</v>
      </c>
      <c r="AT143" s="318">
        <f t="shared" si="147"/>
        <v>0</v>
      </c>
      <c r="AU143" s="381">
        <v>6382451</v>
      </c>
      <c r="AV143" s="382">
        <v>854252</v>
      </c>
      <c r="AW143" s="382">
        <v>0</v>
      </c>
      <c r="AX143" s="382">
        <v>0</v>
      </c>
      <c r="AY143" s="382">
        <v>0</v>
      </c>
      <c r="AZ143" s="382">
        <v>64845</v>
      </c>
      <c r="BA143" s="382">
        <v>0</v>
      </c>
      <c r="BB143" s="319">
        <f t="shared" si="148"/>
        <v>7301548</v>
      </c>
      <c r="BC143" s="412">
        <v>8412388</v>
      </c>
      <c r="BD143" s="412">
        <v>877820</v>
      </c>
      <c r="BE143" s="412">
        <v>0</v>
      </c>
      <c r="BF143" s="412">
        <v>0</v>
      </c>
      <c r="BG143" s="412">
        <v>0</v>
      </c>
      <c r="BH143" s="412">
        <v>132529</v>
      </c>
      <c r="BI143" s="412">
        <v>7815</v>
      </c>
      <c r="BJ143" s="314">
        <f t="shared" si="160"/>
        <v>9430552</v>
      </c>
      <c r="BK143" s="40" t="s">
        <v>10670</v>
      </c>
      <c r="BL143" s="320">
        <v>49</v>
      </c>
      <c r="BM143" s="320">
        <v>2.2999999999999998</v>
      </c>
      <c r="BN143" s="320">
        <v>2.7</v>
      </c>
      <c r="BO143" s="40" t="s">
        <v>18725</v>
      </c>
      <c r="BP143" s="321">
        <v>852</v>
      </c>
      <c r="BQ143" s="344"/>
      <c r="BR143" s="314">
        <v>93</v>
      </c>
      <c r="BS143" s="314"/>
      <c r="BT143" s="314"/>
      <c r="BU143" s="314"/>
      <c r="BV143" s="314"/>
      <c r="BW143" s="314"/>
      <c r="BX143" s="325" t="s">
        <v>20711</v>
      </c>
    </row>
    <row r="144" spans="1:76" ht="15.75" customHeight="1">
      <c r="A144" s="4" t="s">
        <v>18897</v>
      </c>
      <c r="B144" s="311" t="s">
        <v>2714</v>
      </c>
      <c r="C144" s="155">
        <v>158</v>
      </c>
      <c r="D144" s="312">
        <v>158</v>
      </c>
      <c r="E144" s="40" t="s">
        <v>18641</v>
      </c>
      <c r="F144" s="314">
        <v>146</v>
      </c>
      <c r="G144" s="316">
        <f>COUNTA(ME_123_D)</f>
        <v>11</v>
      </c>
      <c r="H144" s="316">
        <f>COUNTIF(ME_123_G,"TT")</f>
        <v>11</v>
      </c>
      <c r="I144" s="316">
        <f t="shared" si="131"/>
        <v>0</v>
      </c>
      <c r="J144" s="316">
        <f>COUNTA(ME_123_D)</f>
        <v>11</v>
      </c>
      <c r="K144" s="316">
        <f>COUNTIF(ME_123_G,"TT")</f>
        <v>11</v>
      </c>
      <c r="L144" s="316">
        <f t="shared" si="132"/>
        <v>0</v>
      </c>
      <c r="M144" s="316">
        <f>COUNTIFS('Mechanical Engineering Faculty'!$F$5483:$F$5493,M$1)</f>
        <v>4</v>
      </c>
      <c r="N144" s="316">
        <f>COUNTIFS('Mechanical Engineering Faculty'!$F$5483:$F$5493,N$1)</f>
        <v>3</v>
      </c>
      <c r="O144" s="316">
        <f>COUNTIFS('Mechanical Engineering Faculty'!$F$5483:$F$5493,O$1)</f>
        <v>3</v>
      </c>
      <c r="P144" s="316">
        <f>COUNTIFS(ME_123_G,"TT", ME_123_D,P$1)</f>
        <v>4</v>
      </c>
      <c r="Q144" s="316">
        <f>COUNTIFS(ME_123_G,"TT", ME_123_D,Q$1)</f>
        <v>3</v>
      </c>
      <c r="R144" s="316">
        <f>COUNTIFS(ME_123_G,"TT", ME_123_D,R$1)</f>
        <v>3</v>
      </c>
      <c r="S144" s="316">
        <f>COUNTIF(ME_123_D,S$1)</f>
        <v>0</v>
      </c>
      <c r="T144" s="316">
        <f t="shared" si="142"/>
        <v>0</v>
      </c>
      <c r="U144" s="316">
        <f t="shared" si="143"/>
        <v>0</v>
      </c>
      <c r="V144" s="316">
        <f t="shared" si="144"/>
        <v>0</v>
      </c>
      <c r="W144" s="316">
        <f t="shared" ref="W144:AB144" si="163">COUNTIF(ME_123_D,W$1)</f>
        <v>0</v>
      </c>
      <c r="X144" s="316">
        <f t="shared" si="163"/>
        <v>0</v>
      </c>
      <c r="Y144" s="316">
        <f t="shared" si="163"/>
        <v>1</v>
      </c>
      <c r="Z144" s="316">
        <f t="shared" si="163"/>
        <v>0</v>
      </c>
      <c r="AA144" s="316">
        <f t="shared" si="163"/>
        <v>0</v>
      </c>
      <c r="AB144" s="316">
        <f t="shared" si="163"/>
        <v>0</v>
      </c>
      <c r="AC144" s="315">
        <f>COUNTIF(ME_123_E,AC$1)+COUNTIF(ME_123_E,"E/D")</f>
        <v>0</v>
      </c>
      <c r="AD144" s="315">
        <f>COUNTIF(ME_123_E,AD$1)+COUNTIF(ME_123_E,"E/D")</f>
        <v>2</v>
      </c>
      <c r="AE144" s="378">
        <v>469707</v>
      </c>
      <c r="AF144" s="379">
        <v>0</v>
      </c>
      <c r="AG144" s="379"/>
      <c r="AH144" s="379">
        <v>234376</v>
      </c>
      <c r="AI144" s="379">
        <v>39894</v>
      </c>
      <c r="AJ144" s="379"/>
      <c r="AK144" s="379">
        <v>295694</v>
      </c>
      <c r="AL144" s="318">
        <f t="shared" si="146"/>
        <v>1039671</v>
      </c>
      <c r="AM144" s="377" t="s">
        <v>55</v>
      </c>
      <c r="AN144" s="406" t="s">
        <v>55</v>
      </c>
      <c r="AO144" s="406" t="s">
        <v>55</v>
      </c>
      <c r="AP144" s="406" t="s">
        <v>55</v>
      </c>
      <c r="AQ144" s="406" t="s">
        <v>55</v>
      </c>
      <c r="AR144" s="406" t="s">
        <v>55</v>
      </c>
      <c r="AS144" s="406" t="s">
        <v>55</v>
      </c>
      <c r="AT144" s="318">
        <f t="shared" si="147"/>
        <v>0</v>
      </c>
      <c r="AU144" s="377" t="s">
        <v>55</v>
      </c>
      <c r="AV144" s="377" t="s">
        <v>55</v>
      </c>
      <c r="AW144" s="377" t="s">
        <v>55</v>
      </c>
      <c r="AX144" s="377" t="s">
        <v>55</v>
      </c>
      <c r="AY144" s="377" t="s">
        <v>55</v>
      </c>
      <c r="AZ144" s="377" t="s">
        <v>55</v>
      </c>
      <c r="BA144" s="380" t="s">
        <v>55</v>
      </c>
      <c r="BB144" s="319">
        <f t="shared" si="148"/>
        <v>0</v>
      </c>
      <c r="BC144" s="412">
        <v>1050672</v>
      </c>
      <c r="BD144" s="412">
        <v>0</v>
      </c>
      <c r="BE144" s="412">
        <v>0</v>
      </c>
      <c r="BF144" s="412">
        <v>104138</v>
      </c>
      <c r="BG144" s="412">
        <v>0</v>
      </c>
      <c r="BH144" s="412">
        <v>0</v>
      </c>
      <c r="BI144" s="412">
        <v>321268</v>
      </c>
      <c r="BJ144" s="314">
        <f t="shared" si="160"/>
        <v>1476078</v>
      </c>
      <c r="BK144" s="40" t="s">
        <v>14231</v>
      </c>
      <c r="BL144" s="320">
        <v>38</v>
      </c>
      <c r="BM144" s="320">
        <v>2.2000000000000002</v>
      </c>
      <c r="BN144" s="320">
        <v>2.8</v>
      </c>
      <c r="BO144" s="40" t="s">
        <v>18937</v>
      </c>
      <c r="BP144" s="321">
        <v>131</v>
      </c>
      <c r="BQ144" s="314">
        <v>80</v>
      </c>
      <c r="BR144" s="314">
        <v>158</v>
      </c>
      <c r="BS144" s="314"/>
      <c r="BT144" s="314"/>
      <c r="BU144" s="314"/>
      <c r="BV144" s="314"/>
      <c r="BW144" s="314"/>
      <c r="BX144" s="325" t="s">
        <v>20714</v>
      </c>
    </row>
    <row r="145" spans="1:76" ht="15.75" customHeight="1">
      <c r="A145" s="4" t="s">
        <v>19190</v>
      </c>
      <c r="B145" s="311" t="s">
        <v>2714</v>
      </c>
      <c r="C145" s="155">
        <v>158</v>
      </c>
      <c r="D145" s="312">
        <v>153</v>
      </c>
      <c r="E145" s="40" t="s">
        <v>18641</v>
      </c>
      <c r="F145" s="314">
        <v>146</v>
      </c>
      <c r="G145" s="316">
        <f>COUNTA(ME_128_D)</f>
        <v>16</v>
      </c>
      <c r="H145" s="316">
        <f>COUNTIF(ME_128_G,"TT")</f>
        <v>15</v>
      </c>
      <c r="I145" s="316">
        <f t="shared" si="131"/>
        <v>1</v>
      </c>
      <c r="J145" s="316">
        <f>COUNTA(ME_128_D)</f>
        <v>16</v>
      </c>
      <c r="K145" s="316">
        <f>COUNTIF(ME_128_G,"TT")</f>
        <v>15</v>
      </c>
      <c r="L145" s="316">
        <f t="shared" si="132"/>
        <v>1</v>
      </c>
      <c r="M145" s="316">
        <f>COUNTIFS( 'Mechanical Engineering Faculty'!$F$5580:$F$5595,M$1)</f>
        <v>8</v>
      </c>
      <c r="N145" s="316">
        <f>COUNTIFS( 'Mechanical Engineering Faculty'!$F$5580:$F$5595,N$1)</f>
        <v>3</v>
      </c>
      <c r="O145" s="316">
        <f>COUNTIFS( 'Mechanical Engineering Faculty'!$F$5580:$F$5595,O$1)</f>
        <v>4</v>
      </c>
      <c r="P145" s="316">
        <f>COUNTIFS(ME_128_G,"TT", ME_128_D,P$1)</f>
        <v>7</v>
      </c>
      <c r="Q145" s="316">
        <f>COUNTIFS(ME_128_G,"TT", ME_128_D,Q$1)</f>
        <v>3</v>
      </c>
      <c r="R145" s="316">
        <f>COUNTIFS(ME_128_G,"TT", ME_128_D,R$1)</f>
        <v>4</v>
      </c>
      <c r="S145" s="316">
        <f>COUNTIF(ME_128_D,S$1)</f>
        <v>0</v>
      </c>
      <c r="T145" s="316">
        <f t="shared" si="142"/>
        <v>-1</v>
      </c>
      <c r="U145" s="316">
        <f t="shared" si="143"/>
        <v>0</v>
      </c>
      <c r="V145" s="316">
        <f t="shared" si="144"/>
        <v>0</v>
      </c>
      <c r="W145" s="316">
        <f t="shared" ref="W145:AB145" si="164">COUNTIF(ME_128_D,W$1)</f>
        <v>0</v>
      </c>
      <c r="X145" s="316">
        <f t="shared" si="164"/>
        <v>1</v>
      </c>
      <c r="Y145" s="316">
        <f t="shared" si="164"/>
        <v>0</v>
      </c>
      <c r="Z145" s="316">
        <f t="shared" si="164"/>
        <v>0</v>
      </c>
      <c r="AA145" s="316">
        <f t="shared" si="164"/>
        <v>0</v>
      </c>
      <c r="AB145" s="316">
        <f t="shared" si="164"/>
        <v>0</v>
      </c>
      <c r="AC145" s="315">
        <f>COUNTIF(ME_128_E,AC$1)+COUNTIF(ME_128_E,"E/D")</f>
        <v>0</v>
      </c>
      <c r="AD145" s="315">
        <f>COUNTIF(ME_128_E,AD$1)+COUNTIF(ME_128_E,"E/D")</f>
        <v>1</v>
      </c>
      <c r="AE145" s="378">
        <v>545222</v>
      </c>
      <c r="AF145" s="379">
        <v>33122</v>
      </c>
      <c r="AG145" s="379"/>
      <c r="AH145" s="379">
        <v>0</v>
      </c>
      <c r="AI145" s="379"/>
      <c r="AJ145" s="379">
        <v>0</v>
      </c>
      <c r="AK145" s="379">
        <v>173298</v>
      </c>
      <c r="AL145" s="318">
        <f t="shared" si="146"/>
        <v>751642</v>
      </c>
      <c r="AM145" s="378">
        <v>508289</v>
      </c>
      <c r="AN145" s="378">
        <v>0</v>
      </c>
      <c r="AO145" s="378"/>
      <c r="AP145" s="378">
        <v>67155</v>
      </c>
      <c r="AQ145" s="378"/>
      <c r="AR145" s="378">
        <v>115831</v>
      </c>
      <c r="AS145" s="378">
        <v>379611</v>
      </c>
      <c r="AT145" s="318">
        <f t="shared" si="147"/>
        <v>1070886</v>
      </c>
      <c r="AU145" s="381">
        <v>1275879</v>
      </c>
      <c r="AV145" s="382"/>
      <c r="AW145" s="382"/>
      <c r="AX145" s="382">
        <v>278932</v>
      </c>
      <c r="AY145" s="382"/>
      <c r="AZ145" s="382"/>
      <c r="BA145" s="382">
        <v>0</v>
      </c>
      <c r="BB145" s="319">
        <f t="shared" si="148"/>
        <v>1554811</v>
      </c>
      <c r="BC145" s="328">
        <v>427070</v>
      </c>
      <c r="BD145" s="329">
        <v>0</v>
      </c>
      <c r="BE145" s="329">
        <v>0</v>
      </c>
      <c r="BF145" s="329">
        <v>57051</v>
      </c>
      <c r="BG145" s="329">
        <v>0</v>
      </c>
      <c r="BH145" s="329">
        <v>115238</v>
      </c>
      <c r="BI145" s="329">
        <v>533037</v>
      </c>
      <c r="BJ145" s="314">
        <f t="shared" si="160"/>
        <v>1132396</v>
      </c>
      <c r="BK145" s="40" t="s">
        <v>18646</v>
      </c>
      <c r="BL145" s="40" t="s">
        <v>18655</v>
      </c>
      <c r="BM145" s="320">
        <v>2.2000000000000002</v>
      </c>
      <c r="BN145" s="320">
        <v>2.5</v>
      </c>
      <c r="BO145" s="40" t="s">
        <v>19235</v>
      </c>
      <c r="BP145" s="321">
        <v>156</v>
      </c>
      <c r="BQ145" s="344"/>
      <c r="BR145" s="314">
        <v>149</v>
      </c>
      <c r="BS145" s="314"/>
      <c r="BT145" s="314"/>
      <c r="BU145" s="314"/>
      <c r="BV145" s="314"/>
      <c r="BW145" s="314"/>
      <c r="BX145" s="68" t="s">
        <v>20719</v>
      </c>
    </row>
    <row r="146" spans="1:76" ht="15.75" customHeight="1">
      <c r="A146" s="4" t="s">
        <v>19296</v>
      </c>
      <c r="B146" s="311" t="s">
        <v>2714</v>
      </c>
      <c r="C146" s="155">
        <v>159</v>
      </c>
      <c r="D146" s="312">
        <v>158</v>
      </c>
      <c r="E146" s="40" t="s">
        <v>18641</v>
      </c>
      <c r="F146" s="314">
        <v>146</v>
      </c>
      <c r="G146" s="316">
        <f>COUNTA(ME_130_D)</f>
        <v>20</v>
      </c>
      <c r="H146" s="316">
        <f>COUNTIF(ME_130_G,"TT")</f>
        <v>20</v>
      </c>
      <c r="I146" s="316">
        <f t="shared" si="131"/>
        <v>0</v>
      </c>
      <c r="J146" s="316">
        <f>COUNTA(ME_130_D)</f>
        <v>20</v>
      </c>
      <c r="K146" s="316">
        <f>COUNTIF(ME_130_G,"TT")</f>
        <v>20</v>
      </c>
      <c r="L146" s="316">
        <f t="shared" si="132"/>
        <v>0</v>
      </c>
      <c r="M146" s="316">
        <f>COUNTIFS( 'Mechanical Engineering Faculty'!$F$5616:$F$5635,M$1)</f>
        <v>11</v>
      </c>
      <c r="N146" s="316">
        <f>COUNTIFS( 'Mechanical Engineering Faculty'!$F$5616:$F$5635,N$1)</f>
        <v>4</v>
      </c>
      <c r="O146" s="316">
        <f>COUNTIFS( 'Mechanical Engineering Faculty'!$F$5616:$F$5635,O$1)</f>
        <v>5</v>
      </c>
      <c r="P146" s="316">
        <f>COUNTIFS(ME_130_G,"TT", ME_130_D,P$1)</f>
        <v>11</v>
      </c>
      <c r="Q146" s="316">
        <f>COUNTIFS(ME_130_G,"TT", ME_130_D,Q$1)</f>
        <v>4</v>
      </c>
      <c r="R146" s="316">
        <f>COUNTIFS(ME_130_G,"TT", ME_130_D,R$1)</f>
        <v>5</v>
      </c>
      <c r="S146" s="316">
        <f>COUNTIF(ME_130_D,S$1)</f>
        <v>0</v>
      </c>
      <c r="T146" s="316">
        <f t="shared" si="142"/>
        <v>0</v>
      </c>
      <c r="U146" s="316">
        <f t="shared" si="143"/>
        <v>0</v>
      </c>
      <c r="V146" s="316">
        <f t="shared" si="144"/>
        <v>0</v>
      </c>
      <c r="W146" s="316">
        <f t="shared" ref="W146:AB146" si="165">COUNTIF(ME_130_D,W$1)</f>
        <v>0</v>
      </c>
      <c r="X146" s="316">
        <f t="shared" si="165"/>
        <v>0</v>
      </c>
      <c r="Y146" s="316">
        <f t="shared" si="165"/>
        <v>0</v>
      </c>
      <c r="Z146" s="316">
        <f t="shared" si="165"/>
        <v>0</v>
      </c>
      <c r="AA146" s="316">
        <f t="shared" si="165"/>
        <v>0</v>
      </c>
      <c r="AB146" s="316">
        <f t="shared" si="165"/>
        <v>0</v>
      </c>
      <c r="AC146" s="315">
        <f>COUNTIF(ME_130_E,AC$1)+COUNTIF(ME_130_E,"E/D")</f>
        <v>1</v>
      </c>
      <c r="AD146" s="315">
        <f>COUNTIF(ME_130_E,AD$1)+COUNTIF(ME_130_E,"E/D")</f>
        <v>1</v>
      </c>
      <c r="AE146" s="378">
        <v>347179</v>
      </c>
      <c r="AF146" s="379"/>
      <c r="AG146" s="379"/>
      <c r="AH146" s="379">
        <v>0</v>
      </c>
      <c r="AI146" s="379"/>
      <c r="AJ146" s="379"/>
      <c r="AK146" s="379">
        <v>127565</v>
      </c>
      <c r="AL146" s="318">
        <f t="shared" si="146"/>
        <v>474744</v>
      </c>
      <c r="AM146" s="378">
        <v>2213277</v>
      </c>
      <c r="AN146" s="379"/>
      <c r="AO146" s="379"/>
      <c r="AP146" s="379">
        <v>100802</v>
      </c>
      <c r="AQ146" s="379"/>
      <c r="AR146" s="379">
        <v>25373</v>
      </c>
      <c r="AS146" s="379">
        <v>178704</v>
      </c>
      <c r="AT146" s="318">
        <f t="shared" si="147"/>
        <v>2518156</v>
      </c>
      <c r="AU146" s="381">
        <v>2467716</v>
      </c>
      <c r="AV146" s="382"/>
      <c r="AW146" s="382"/>
      <c r="AX146" s="382">
        <v>242955</v>
      </c>
      <c r="AY146" s="382"/>
      <c r="AZ146" s="382">
        <v>121612</v>
      </c>
      <c r="BA146" s="382">
        <v>15935</v>
      </c>
      <c r="BB146" s="319">
        <f t="shared" si="148"/>
        <v>2848218</v>
      </c>
      <c r="BC146" s="328">
        <v>2922957</v>
      </c>
      <c r="BD146" s="329">
        <v>0</v>
      </c>
      <c r="BE146" s="329">
        <v>0</v>
      </c>
      <c r="BF146" s="329">
        <v>318187</v>
      </c>
      <c r="BG146" s="329">
        <v>0</v>
      </c>
      <c r="BH146" s="329">
        <v>43274</v>
      </c>
      <c r="BI146" s="329">
        <v>44959</v>
      </c>
      <c r="BJ146" s="314">
        <f t="shared" si="160"/>
        <v>3329377</v>
      </c>
      <c r="BK146" s="40" t="s">
        <v>15695</v>
      </c>
      <c r="BL146" s="320">
        <v>29</v>
      </c>
      <c r="BM146" s="320">
        <v>2.2000000000000002</v>
      </c>
      <c r="BN146" s="320">
        <v>2.5</v>
      </c>
      <c r="BO146" s="40" t="s">
        <v>19332</v>
      </c>
      <c r="BP146" s="321">
        <v>314</v>
      </c>
      <c r="BQ146" s="344"/>
      <c r="BR146" s="314">
        <v>167</v>
      </c>
      <c r="BS146" s="314"/>
      <c r="BT146" s="314"/>
      <c r="BU146" s="314"/>
      <c r="BV146" s="314"/>
      <c r="BW146" s="314"/>
      <c r="BX146" s="325" t="s">
        <v>20721</v>
      </c>
    </row>
    <row r="147" spans="1:76" ht="15.75" customHeight="1">
      <c r="A147" s="4" t="s">
        <v>19459</v>
      </c>
      <c r="B147" s="311" t="s">
        <v>12252</v>
      </c>
      <c r="C147" s="155">
        <v>161</v>
      </c>
      <c r="D147" s="387">
        <v>160</v>
      </c>
      <c r="E147" s="40" t="s">
        <v>18641</v>
      </c>
      <c r="F147" s="314">
        <v>146</v>
      </c>
      <c r="G147" s="316">
        <f>COUNTA(ME_132_D)</f>
        <v>16</v>
      </c>
      <c r="H147" s="316">
        <f>COUNTIF(ME_132_G,"TT")</f>
        <v>14</v>
      </c>
      <c r="I147" s="316">
        <f t="shared" si="131"/>
        <v>2</v>
      </c>
      <c r="J147" s="316">
        <f>COUNTA(ME_132_D)</f>
        <v>16</v>
      </c>
      <c r="K147" s="316">
        <f>COUNTIF(ME_132_G,"TT")</f>
        <v>14</v>
      </c>
      <c r="L147" s="316">
        <f t="shared" si="132"/>
        <v>2</v>
      </c>
      <c r="M147" s="316">
        <f>COUNTIFS('Mechanical Engineering Faculty'!$F$5668:$F$5683,M$1)</f>
        <v>9</v>
      </c>
      <c r="N147" s="316">
        <f>COUNTIFS('Mechanical Engineering Faculty'!$F$5668:$F$5683,N$1)</f>
        <v>6</v>
      </c>
      <c r="O147" s="316">
        <f>COUNTIFS('Mechanical Engineering Faculty'!$F$5668:$F$5683,O$1)</f>
        <v>0</v>
      </c>
      <c r="P147" s="316">
        <f>COUNTIFS(ME_132_G,"TT", ME_132_D,P$1)</f>
        <v>9</v>
      </c>
      <c r="Q147" s="316">
        <f>COUNTIFS(ME_132_G,"TT", ME_132_D,Q$1)</f>
        <v>5</v>
      </c>
      <c r="R147" s="316">
        <f>COUNTIFS(ME_132_G,"TT", ME_132_D,R$1)</f>
        <v>0</v>
      </c>
      <c r="S147" s="316">
        <f>COUNTIF(ME_132_D,S$1)</f>
        <v>1</v>
      </c>
      <c r="T147" s="316">
        <f t="shared" si="142"/>
        <v>0</v>
      </c>
      <c r="U147" s="316">
        <f t="shared" si="143"/>
        <v>-1</v>
      </c>
      <c r="V147" s="316">
        <f t="shared" si="144"/>
        <v>0</v>
      </c>
      <c r="W147" s="316">
        <f t="shared" ref="W147:AB147" si="166">COUNTIF(ME_132_D,W$1)</f>
        <v>0</v>
      </c>
      <c r="X147" s="316">
        <f t="shared" si="166"/>
        <v>0</v>
      </c>
      <c r="Y147" s="316">
        <f t="shared" si="166"/>
        <v>0</v>
      </c>
      <c r="Z147" s="316">
        <f t="shared" si="166"/>
        <v>0</v>
      </c>
      <c r="AA147" s="316">
        <f t="shared" si="166"/>
        <v>0</v>
      </c>
      <c r="AB147" s="316">
        <f t="shared" si="166"/>
        <v>0</v>
      </c>
      <c r="AC147" s="315">
        <f>COUNTIF(ME_132_E,AC$1)+COUNTIF(ME_132_E,"E/D")</f>
        <v>0</v>
      </c>
      <c r="AD147" s="315">
        <f>COUNTIF(ME_132_E,AD$1)+COUNTIF(ME_132_E,"E/D")</f>
        <v>0</v>
      </c>
      <c r="AE147" s="378">
        <v>625000</v>
      </c>
      <c r="AF147" s="379"/>
      <c r="AG147" s="379"/>
      <c r="AH147" s="379">
        <v>148000</v>
      </c>
      <c r="AI147" s="379"/>
      <c r="AJ147" s="379"/>
      <c r="AK147" s="379">
        <v>234000</v>
      </c>
      <c r="AL147" s="318">
        <f t="shared" si="146"/>
        <v>1007000</v>
      </c>
      <c r="AM147" s="378">
        <v>632000</v>
      </c>
      <c r="AN147" s="378"/>
      <c r="AO147" s="378"/>
      <c r="AP147" s="378">
        <v>122000</v>
      </c>
      <c r="AQ147" s="378"/>
      <c r="AR147" s="378"/>
      <c r="AS147" s="378">
        <v>587000</v>
      </c>
      <c r="AT147" s="318">
        <f t="shared" si="147"/>
        <v>1341000</v>
      </c>
      <c r="AU147" s="381">
        <v>531000</v>
      </c>
      <c r="AV147" s="381"/>
      <c r="AW147" s="381"/>
      <c r="AX147" s="381">
        <v>74000</v>
      </c>
      <c r="AY147" s="381"/>
      <c r="AZ147" s="381"/>
      <c r="BA147" s="381">
        <v>284000</v>
      </c>
      <c r="BB147" s="319">
        <f t="shared" si="148"/>
        <v>889000</v>
      </c>
      <c r="BC147" s="328">
        <v>456000</v>
      </c>
      <c r="BD147" s="329">
        <v>0</v>
      </c>
      <c r="BE147" s="329">
        <v>0</v>
      </c>
      <c r="BF147" s="329">
        <v>7000</v>
      </c>
      <c r="BG147" s="329">
        <v>0</v>
      </c>
      <c r="BH147" s="329">
        <v>0</v>
      </c>
      <c r="BI147" s="329">
        <v>1076000</v>
      </c>
      <c r="BJ147" s="314">
        <f t="shared" si="160"/>
        <v>1539000</v>
      </c>
      <c r="BK147" s="40" t="s">
        <v>16842</v>
      </c>
      <c r="BL147" s="320">
        <v>36</v>
      </c>
      <c r="BM147" s="320">
        <v>2</v>
      </c>
      <c r="BN147" s="320">
        <v>2.5</v>
      </c>
      <c r="BO147" s="40" t="s">
        <v>19502</v>
      </c>
      <c r="BP147" s="321">
        <v>751</v>
      </c>
      <c r="BQ147" s="314">
        <v>77</v>
      </c>
      <c r="BR147" s="314">
        <v>167</v>
      </c>
      <c r="BS147" s="314" t="s">
        <v>20723</v>
      </c>
      <c r="BT147" s="314"/>
      <c r="BU147" s="314"/>
      <c r="BV147" s="314"/>
      <c r="BW147" s="314"/>
      <c r="BX147" s="325" t="s">
        <v>20724</v>
      </c>
    </row>
    <row r="148" spans="1:76" ht="15.75" customHeight="1">
      <c r="A148" s="4" t="s">
        <v>19517</v>
      </c>
      <c r="B148" s="311" t="s">
        <v>19522</v>
      </c>
      <c r="C148" s="155">
        <v>157</v>
      </c>
      <c r="D148" s="312">
        <v>160</v>
      </c>
      <c r="E148" s="40" t="s">
        <v>19531</v>
      </c>
      <c r="F148" s="314">
        <v>146</v>
      </c>
      <c r="G148" s="316">
        <f>COUNTA(ME_133_D)</f>
        <v>25</v>
      </c>
      <c r="H148" s="316">
        <f>COUNTIF(ME_133_G,"TT")</f>
        <v>24</v>
      </c>
      <c r="I148" s="316">
        <f t="shared" si="131"/>
        <v>1</v>
      </c>
      <c r="J148" s="316">
        <f>COUNTA(ME_133_D)</f>
        <v>25</v>
      </c>
      <c r="K148" s="316">
        <f>COUNTIF(ME_133_G,"TT")</f>
        <v>24</v>
      </c>
      <c r="L148" s="316">
        <f t="shared" si="132"/>
        <v>1</v>
      </c>
      <c r="M148" s="316">
        <f>COUNTIFS('Mechanical Engineering Faculty'!$F$5686:$F$5710,M$1)</f>
        <v>14</v>
      </c>
      <c r="N148" s="316">
        <f>COUNTIFS('Mechanical Engineering Faculty'!$F$5686:$F$5710,N$1)</f>
        <v>6</v>
      </c>
      <c r="O148" s="316">
        <f>COUNTIFS('Mechanical Engineering Faculty'!$F$5686:$F$5710,O$1)</f>
        <v>4</v>
      </c>
      <c r="P148" s="316">
        <f>COUNTIFS(ME_133_G,"TT", ME_133_D,P$1)</f>
        <v>14</v>
      </c>
      <c r="Q148" s="316">
        <f>COUNTIFS(ME_133_G,"TT", ME_133_D,Q$1)</f>
        <v>6</v>
      </c>
      <c r="R148" s="316">
        <f>COUNTIFS(ME_133_G,"TT", ME_133_D,R$1)</f>
        <v>4</v>
      </c>
      <c r="S148" s="316">
        <f>COUNTIF(ME_133_D,S$1)</f>
        <v>0</v>
      </c>
      <c r="T148" s="316">
        <f t="shared" si="142"/>
        <v>0</v>
      </c>
      <c r="U148" s="316">
        <f t="shared" si="143"/>
        <v>0</v>
      </c>
      <c r="V148" s="316">
        <f t="shared" si="144"/>
        <v>0</v>
      </c>
      <c r="W148" s="316">
        <f t="shared" ref="W148:AB148" si="167">COUNTIF(ME_133_D,W$1)</f>
        <v>0</v>
      </c>
      <c r="X148" s="316">
        <f t="shared" si="167"/>
        <v>0</v>
      </c>
      <c r="Y148" s="316">
        <f t="shared" si="167"/>
        <v>0</v>
      </c>
      <c r="Z148" s="316">
        <f t="shared" si="167"/>
        <v>1</v>
      </c>
      <c r="AA148" s="316">
        <f t="shared" si="167"/>
        <v>0</v>
      </c>
      <c r="AB148" s="316">
        <f t="shared" si="167"/>
        <v>0</v>
      </c>
      <c r="AC148" s="315">
        <f>COUNTIF(ME_133_E,AC$1)+COUNTIF(ME_133_E,"E/D")</f>
        <v>1</v>
      </c>
      <c r="AD148" s="315">
        <f>COUNTIF(ME_133_E,AD$1)+COUNTIF(ME_133_E,"E/D")</f>
        <v>1</v>
      </c>
      <c r="AE148" s="378">
        <v>2841778</v>
      </c>
      <c r="AF148" s="379">
        <v>0</v>
      </c>
      <c r="AG148" s="379">
        <v>0</v>
      </c>
      <c r="AH148" s="379">
        <v>120573</v>
      </c>
      <c r="AI148" s="379">
        <v>0</v>
      </c>
      <c r="AJ148" s="379">
        <v>634212</v>
      </c>
      <c r="AK148" s="379">
        <v>159576</v>
      </c>
      <c r="AL148" s="318">
        <f t="shared" si="146"/>
        <v>3756139</v>
      </c>
      <c r="AM148" s="377" t="s">
        <v>55</v>
      </c>
      <c r="AN148" s="377" t="s">
        <v>55</v>
      </c>
      <c r="AO148" s="377" t="s">
        <v>55</v>
      </c>
      <c r="AP148" s="377" t="s">
        <v>55</v>
      </c>
      <c r="AQ148" s="377" t="s">
        <v>55</v>
      </c>
      <c r="AR148" s="377" t="s">
        <v>55</v>
      </c>
      <c r="AS148" s="377" t="s">
        <v>55</v>
      </c>
      <c r="AT148" s="318">
        <f t="shared" si="147"/>
        <v>0</v>
      </c>
      <c r="AU148" s="377" t="s">
        <v>55</v>
      </c>
      <c r="AV148" s="377" t="s">
        <v>55</v>
      </c>
      <c r="AW148" s="377" t="s">
        <v>55</v>
      </c>
      <c r="AX148" s="377" t="s">
        <v>55</v>
      </c>
      <c r="AY148" s="377" t="s">
        <v>55</v>
      </c>
      <c r="AZ148" s="377" t="s">
        <v>55</v>
      </c>
      <c r="BA148" s="380" t="s">
        <v>55</v>
      </c>
      <c r="BB148" s="319">
        <f t="shared" si="148"/>
        <v>0</v>
      </c>
      <c r="BC148" s="411" t="s">
        <v>55</v>
      </c>
      <c r="BD148" s="413" t="s">
        <v>55</v>
      </c>
      <c r="BE148" s="413" t="s">
        <v>55</v>
      </c>
      <c r="BF148" s="413" t="s">
        <v>55</v>
      </c>
      <c r="BG148" s="413" t="s">
        <v>55</v>
      </c>
      <c r="BH148" s="413" t="s">
        <v>55</v>
      </c>
      <c r="BI148" s="413" t="s">
        <v>55</v>
      </c>
      <c r="BJ148" s="332" t="s">
        <v>55</v>
      </c>
      <c r="BK148" s="40" t="s">
        <v>16635</v>
      </c>
      <c r="BL148" s="320">
        <v>39</v>
      </c>
      <c r="BM148" s="320">
        <v>2</v>
      </c>
      <c r="BN148" s="320">
        <v>2.6</v>
      </c>
      <c r="BO148" s="40" t="s">
        <v>19568</v>
      </c>
      <c r="BP148" s="321">
        <v>400</v>
      </c>
      <c r="BQ148" s="344"/>
      <c r="BR148" s="314">
        <v>130</v>
      </c>
      <c r="BS148" s="314"/>
      <c r="BT148" s="314"/>
      <c r="BU148" s="314"/>
      <c r="BV148" s="314"/>
      <c r="BW148" s="314"/>
      <c r="BX148" s="325" t="s">
        <v>20725</v>
      </c>
    </row>
    <row r="149" spans="1:76" ht="15.75" customHeight="1">
      <c r="A149" s="4" t="s">
        <v>19893</v>
      </c>
      <c r="B149" s="311" t="s">
        <v>2714</v>
      </c>
      <c r="C149" s="155">
        <v>159</v>
      </c>
      <c r="D149" s="312">
        <v>158</v>
      </c>
      <c r="E149" s="40" t="s">
        <v>19531</v>
      </c>
      <c r="F149" s="314">
        <v>146</v>
      </c>
      <c r="G149" s="316">
        <f>COUNTA(ME_140_D)</f>
        <v>11</v>
      </c>
      <c r="H149" s="316">
        <f>COUNTIF(ME_140_G,"TT")</f>
        <v>11</v>
      </c>
      <c r="I149" s="316">
        <f t="shared" si="131"/>
        <v>0</v>
      </c>
      <c r="J149" s="316">
        <f>COUNTA(ME_140_D)</f>
        <v>11</v>
      </c>
      <c r="K149" s="316">
        <f>COUNTIF(ME_140_G,"TT")</f>
        <v>11</v>
      </c>
      <c r="L149" s="316">
        <f t="shared" si="132"/>
        <v>0</v>
      </c>
      <c r="M149" s="316">
        <f>COUNTIFS('Mechanical Engineering Faculty'!$F$5822:$F$5832,M$1)</f>
        <v>6</v>
      </c>
      <c r="N149" s="316">
        <f>COUNTIFS('Mechanical Engineering Faculty'!$F$5822:$F$5832,N$1)</f>
        <v>1</v>
      </c>
      <c r="O149" s="316">
        <f>COUNTIFS('Mechanical Engineering Faculty'!$F$5822:$F$5832,O$1)</f>
        <v>4</v>
      </c>
      <c r="P149" s="316">
        <f>COUNTIFS(ME_140_G,"TT", ME_140_D,P$1)</f>
        <v>6</v>
      </c>
      <c r="Q149" s="316">
        <f>COUNTIFS(ME_140_G,"TT", ME_140_D,Q$1)</f>
        <v>1</v>
      </c>
      <c r="R149" s="316">
        <f>COUNTIFS(ME_140_G,"TT", ME_140_D,R$1)</f>
        <v>4</v>
      </c>
      <c r="S149" s="316">
        <f>COUNTIF(ME_140_D,S$1)</f>
        <v>0</v>
      </c>
      <c r="T149" s="316">
        <f t="shared" si="142"/>
        <v>0</v>
      </c>
      <c r="U149" s="316">
        <f t="shared" si="143"/>
        <v>0</v>
      </c>
      <c r="V149" s="316">
        <f t="shared" si="144"/>
        <v>0</v>
      </c>
      <c r="W149" s="316">
        <f t="shared" ref="W149:AB149" si="168">COUNTIF(ME_140_D,W$1)</f>
        <v>0</v>
      </c>
      <c r="X149" s="316">
        <f t="shared" si="168"/>
        <v>0</v>
      </c>
      <c r="Y149" s="316">
        <f t="shared" si="168"/>
        <v>0</v>
      </c>
      <c r="Z149" s="316">
        <f t="shared" si="168"/>
        <v>0</v>
      </c>
      <c r="AA149" s="316">
        <f t="shared" si="168"/>
        <v>0</v>
      </c>
      <c r="AB149" s="316">
        <f t="shared" si="168"/>
        <v>0</v>
      </c>
      <c r="AC149" s="315">
        <f>COUNTIF(ME_140_E,AC$1)+COUNTIF(ME_140_E,"E/D")</f>
        <v>1</v>
      </c>
      <c r="AD149" s="315">
        <f>COUNTIF(ME_140_E,AD$1)+COUNTIF(ME_140_E,"E/D")</f>
        <v>1</v>
      </c>
      <c r="AE149" s="378">
        <v>690076</v>
      </c>
      <c r="AF149" s="379">
        <v>0</v>
      </c>
      <c r="AG149" s="379">
        <v>0</v>
      </c>
      <c r="AH149" s="379">
        <v>1889912</v>
      </c>
      <c r="AI149" s="379">
        <v>0</v>
      </c>
      <c r="AJ149" s="379">
        <v>0</v>
      </c>
      <c r="AK149" s="379">
        <v>167642</v>
      </c>
      <c r="AL149" s="318">
        <f t="shared" si="146"/>
        <v>2747630</v>
      </c>
      <c r="AM149" s="378">
        <v>1540609</v>
      </c>
      <c r="AN149" s="379">
        <v>0</v>
      </c>
      <c r="AO149" s="379"/>
      <c r="AP149" s="379">
        <v>1459283</v>
      </c>
      <c r="AQ149" s="379"/>
      <c r="AR149" s="379">
        <v>8846</v>
      </c>
      <c r="AS149" s="379">
        <v>72248</v>
      </c>
      <c r="AT149" s="318">
        <f t="shared" si="147"/>
        <v>3080986</v>
      </c>
      <c r="AU149" s="381">
        <v>1540609</v>
      </c>
      <c r="AV149" s="382">
        <v>0</v>
      </c>
      <c r="AW149" s="382"/>
      <c r="AX149" s="382">
        <v>766329</v>
      </c>
      <c r="AY149" s="382"/>
      <c r="AZ149" s="382">
        <v>8846</v>
      </c>
      <c r="BA149" s="382">
        <v>72248</v>
      </c>
      <c r="BB149" s="319">
        <f t="shared" si="148"/>
        <v>2388032</v>
      </c>
      <c r="BC149" s="328">
        <v>1152849</v>
      </c>
      <c r="BD149" s="329">
        <v>0</v>
      </c>
      <c r="BE149" s="329">
        <v>0</v>
      </c>
      <c r="BF149" s="329">
        <v>735187</v>
      </c>
      <c r="BG149" s="329">
        <v>0</v>
      </c>
      <c r="BH149" s="329">
        <v>23700</v>
      </c>
      <c r="BI149" s="329">
        <v>81634</v>
      </c>
      <c r="BJ149" s="314">
        <f>SUM(BC149:BI149)</f>
        <v>1993370</v>
      </c>
      <c r="BK149" s="40" t="s">
        <v>14231</v>
      </c>
      <c r="BL149" s="320">
        <v>38</v>
      </c>
      <c r="BM149" s="320">
        <v>1.9</v>
      </c>
      <c r="BN149" s="320">
        <v>2.6</v>
      </c>
      <c r="BO149" s="40" t="s">
        <v>19934</v>
      </c>
      <c r="BP149" s="321">
        <v>196</v>
      </c>
      <c r="BQ149" s="344"/>
      <c r="BR149" s="314">
        <v>149</v>
      </c>
      <c r="BS149" s="314"/>
      <c r="BT149" s="314"/>
      <c r="BU149" s="314"/>
      <c r="BV149" s="314"/>
      <c r="BW149" s="314"/>
      <c r="BX149" s="325" t="s">
        <v>20733</v>
      </c>
    </row>
    <row r="150" spans="1:76" ht="15.75" customHeight="1">
      <c r="A150" s="4" t="s">
        <v>17947</v>
      </c>
      <c r="B150" s="311" t="s">
        <v>2714</v>
      </c>
      <c r="C150" s="155">
        <v>155</v>
      </c>
      <c r="D150" s="312">
        <v>155</v>
      </c>
      <c r="E150" s="40" t="s">
        <v>17871</v>
      </c>
      <c r="F150" s="314">
        <v>158</v>
      </c>
      <c r="G150" s="316">
        <f>COUNTA(ME_108_D)</f>
        <v>15</v>
      </c>
      <c r="H150" s="316">
        <f>COUNTIF(ME_108_G,"TT")</f>
        <v>10</v>
      </c>
      <c r="I150" s="316">
        <f t="shared" si="131"/>
        <v>5</v>
      </c>
      <c r="J150" s="316">
        <f>COUNTA(ME_108_D)</f>
        <v>15</v>
      </c>
      <c r="K150" s="316">
        <f>COUNTIF(ME_108_G,"TT")</f>
        <v>10</v>
      </c>
      <c r="L150" s="316">
        <f t="shared" si="132"/>
        <v>5</v>
      </c>
      <c r="M150" s="316">
        <f>COUNTIFS('Mechanical Engineering Faculty'!$F$5143:$F$5157,M$1)</f>
        <v>8</v>
      </c>
      <c r="N150" s="316">
        <f>COUNTIFS('Mechanical Engineering Faculty'!$F$5143:$F$5157,N$1)</f>
        <v>1</v>
      </c>
      <c r="O150" s="316">
        <f>COUNTIFS('Mechanical Engineering Faculty'!$F$5143:$F$5157,O$1)</f>
        <v>1</v>
      </c>
      <c r="P150" s="316">
        <f>COUNTIFS(ME_108_G,"TT", ME_108_D,P$1)</f>
        <v>8</v>
      </c>
      <c r="Q150" s="316">
        <f>COUNTIFS(ME_108_G,"TT", ME_108_D,Q$1)</f>
        <v>1</v>
      </c>
      <c r="R150" s="316">
        <f>COUNTIFS(ME_108_G,"TT", ME_108_D,R$1)</f>
        <v>1</v>
      </c>
      <c r="S150" s="316">
        <f>COUNTIF(ME_108_D,S$1)</f>
        <v>4</v>
      </c>
      <c r="T150" s="316">
        <f t="shared" si="142"/>
        <v>0</v>
      </c>
      <c r="U150" s="316">
        <f t="shared" si="143"/>
        <v>0</v>
      </c>
      <c r="V150" s="316">
        <f t="shared" si="144"/>
        <v>0</v>
      </c>
      <c r="W150" s="316">
        <f t="shared" ref="W150:AB150" si="169">COUNTIF(ME_108_D,W$1)</f>
        <v>0</v>
      </c>
      <c r="X150" s="316">
        <f t="shared" si="169"/>
        <v>0</v>
      </c>
      <c r="Y150" s="316">
        <f t="shared" si="169"/>
        <v>1</v>
      </c>
      <c r="Z150" s="316">
        <f t="shared" si="169"/>
        <v>0</v>
      </c>
      <c r="AA150" s="316">
        <f t="shared" si="169"/>
        <v>0</v>
      </c>
      <c r="AB150" s="316">
        <f t="shared" si="169"/>
        <v>0</v>
      </c>
      <c r="AC150" s="315">
        <f>COUNTIF(ME_108_E,AC$1)+COUNTIF(ME_108_E,"E/D")</f>
        <v>1</v>
      </c>
      <c r="AD150" s="315">
        <f>COUNTIF(ME_108_E,AD$1)+COUNTIF(ME_108_E,"E/D")</f>
        <v>1</v>
      </c>
      <c r="AE150" s="378">
        <v>2494081</v>
      </c>
      <c r="AF150" s="378"/>
      <c r="AG150" s="378"/>
      <c r="AH150" s="378"/>
      <c r="AI150" s="378"/>
      <c r="AJ150" s="378">
        <v>2375</v>
      </c>
      <c r="AK150" s="378">
        <v>0</v>
      </c>
      <c r="AL150" s="318">
        <f t="shared" si="146"/>
        <v>2496456</v>
      </c>
      <c r="AM150" s="378">
        <v>1334954</v>
      </c>
      <c r="AN150" s="378"/>
      <c r="AO150" s="378"/>
      <c r="AP150" s="378"/>
      <c r="AQ150" s="378"/>
      <c r="AR150" s="378">
        <v>192</v>
      </c>
      <c r="AS150" s="378">
        <v>0</v>
      </c>
      <c r="AT150" s="318">
        <f t="shared" si="147"/>
        <v>1335146</v>
      </c>
      <c r="AU150" s="381">
        <v>540305</v>
      </c>
      <c r="AV150" s="381"/>
      <c r="AW150" s="381"/>
      <c r="AX150" s="381"/>
      <c r="AY150" s="381"/>
      <c r="AZ150" s="381">
        <v>49735</v>
      </c>
      <c r="BA150" s="381">
        <v>0</v>
      </c>
      <c r="BB150" s="319">
        <f t="shared" si="148"/>
        <v>590040</v>
      </c>
      <c r="BC150" s="412">
        <v>2412303</v>
      </c>
      <c r="BD150" s="412">
        <v>0</v>
      </c>
      <c r="BE150" s="412">
        <v>0</v>
      </c>
      <c r="BF150" s="412">
        <v>458903</v>
      </c>
      <c r="BG150" s="412">
        <v>0</v>
      </c>
      <c r="BH150" s="412">
        <v>2070</v>
      </c>
      <c r="BI150" s="412">
        <v>11779</v>
      </c>
      <c r="BJ150" s="314">
        <f>SUM(BC150:BI150)</f>
        <v>2885055</v>
      </c>
      <c r="BK150" s="40" t="s">
        <v>17027</v>
      </c>
      <c r="BL150" s="320">
        <v>37</v>
      </c>
      <c r="BM150" s="320">
        <v>2.2999999999999998</v>
      </c>
      <c r="BN150" s="320">
        <v>3.2</v>
      </c>
      <c r="BO150" s="341" t="s">
        <v>17989</v>
      </c>
      <c r="BP150" s="155">
        <v>219</v>
      </c>
      <c r="BQ150" s="314">
        <v>62</v>
      </c>
      <c r="BR150" s="314">
        <v>153</v>
      </c>
      <c r="BS150" s="314"/>
      <c r="BT150" s="314"/>
      <c r="BU150" s="314"/>
      <c r="BV150" s="314"/>
      <c r="BW150" s="314"/>
      <c r="BX150" s="325" t="s">
        <v>20699</v>
      </c>
    </row>
    <row r="151" spans="1:76" ht="15.75" customHeight="1">
      <c r="A151" s="4" t="s">
        <v>18231</v>
      </c>
      <c r="B151" s="311" t="s">
        <v>2714</v>
      </c>
      <c r="C151" s="155">
        <v>161</v>
      </c>
      <c r="D151" s="312">
        <v>161</v>
      </c>
      <c r="E151" s="341" t="s">
        <v>17871</v>
      </c>
      <c r="F151" s="314">
        <v>158</v>
      </c>
      <c r="G151" s="316">
        <f>COUNTA(ME_112_D)</f>
        <v>15</v>
      </c>
      <c r="H151" s="316">
        <f>COUNTIF(ME_112_G,"TT")</f>
        <v>13</v>
      </c>
      <c r="I151" s="316">
        <f t="shared" si="131"/>
        <v>2</v>
      </c>
      <c r="J151" s="316">
        <f>COUNTA(ME_112_D)</f>
        <v>15</v>
      </c>
      <c r="K151" s="316">
        <f>COUNTIF(ME_112_G,"TT")</f>
        <v>13</v>
      </c>
      <c r="L151" s="316">
        <f t="shared" si="132"/>
        <v>2</v>
      </c>
      <c r="M151" s="316">
        <f>COUNTIFS('Mechanical Engineering Faculty'!$F$5230:$F$5244,M$1)</f>
        <v>3</v>
      </c>
      <c r="N151" s="316">
        <f>COUNTIFS('Mechanical Engineering Faculty'!$F$5230:$F$5244,N$1)</f>
        <v>5</v>
      </c>
      <c r="O151" s="316">
        <f>COUNTIFS('Mechanical Engineering Faculty'!$F$5230:$F$5244,O$1)</f>
        <v>5</v>
      </c>
      <c r="P151" s="316">
        <f>COUNTIFS(ME_112_G,"TT", ME_112_D,P$1)</f>
        <v>3</v>
      </c>
      <c r="Q151" s="316">
        <f>COUNTIFS(ME_112_G,"TT", ME_112_D,Q$1)</f>
        <v>5</v>
      </c>
      <c r="R151" s="316">
        <f>COUNTIFS(ME_112_G,"TT", ME_112_D,R$1)</f>
        <v>5</v>
      </c>
      <c r="S151" s="316">
        <f>COUNTIF(ME_112_D,S$1)</f>
        <v>1</v>
      </c>
      <c r="T151" s="316">
        <f t="shared" si="142"/>
        <v>0</v>
      </c>
      <c r="U151" s="316">
        <f t="shared" si="143"/>
        <v>0</v>
      </c>
      <c r="V151" s="316">
        <f t="shared" si="144"/>
        <v>0</v>
      </c>
      <c r="W151" s="316">
        <f t="shared" ref="W151:AB151" si="170">COUNTIF(ME_112_D,W$1)</f>
        <v>1</v>
      </c>
      <c r="X151" s="316">
        <f t="shared" si="170"/>
        <v>0</v>
      </c>
      <c r="Y151" s="316">
        <f t="shared" si="170"/>
        <v>0</v>
      </c>
      <c r="Z151" s="316">
        <f t="shared" si="170"/>
        <v>0</v>
      </c>
      <c r="AA151" s="316">
        <f t="shared" si="170"/>
        <v>0</v>
      </c>
      <c r="AB151" s="316">
        <f t="shared" si="170"/>
        <v>0</v>
      </c>
      <c r="AC151" s="315">
        <f>COUNTIF(ME_112_E,AC$1)+COUNTIF(ME_112_E,"E/D")</f>
        <v>0</v>
      </c>
      <c r="AD151" s="315">
        <f>COUNTIF(ME_112_E,AD$1)+COUNTIF(ME_112_E,"E/D")</f>
        <v>0</v>
      </c>
      <c r="AE151" s="378">
        <v>858458</v>
      </c>
      <c r="AF151" s="379">
        <v>0</v>
      </c>
      <c r="AG151" s="379"/>
      <c r="AH151" s="379">
        <v>714409</v>
      </c>
      <c r="AI151" s="379">
        <v>0</v>
      </c>
      <c r="AJ151" s="379">
        <v>0</v>
      </c>
      <c r="AK151" s="379">
        <v>2437</v>
      </c>
      <c r="AL151" s="318">
        <f t="shared" si="146"/>
        <v>1575304</v>
      </c>
      <c r="AM151" s="378">
        <v>842953</v>
      </c>
      <c r="AN151" s="379"/>
      <c r="AO151" s="379"/>
      <c r="AP151" s="379">
        <v>412036</v>
      </c>
      <c r="AQ151" s="379">
        <v>0</v>
      </c>
      <c r="AR151" s="379">
        <v>66258</v>
      </c>
      <c r="AS151" s="379">
        <v>457</v>
      </c>
      <c r="AT151" s="318">
        <f t="shared" si="147"/>
        <v>1321704</v>
      </c>
      <c r="AU151" s="381">
        <v>13841207</v>
      </c>
      <c r="AV151" s="382">
        <v>213590</v>
      </c>
      <c r="AW151" s="382">
        <v>371064</v>
      </c>
      <c r="AX151" s="382">
        <v>2317800</v>
      </c>
      <c r="AY151" s="382">
        <v>0</v>
      </c>
      <c r="AZ151" s="382">
        <v>1010928</v>
      </c>
      <c r="BA151" s="382">
        <v>293405</v>
      </c>
      <c r="BB151" s="319">
        <f t="shared" si="148"/>
        <v>18047994</v>
      </c>
      <c r="BC151" s="336">
        <v>1411528</v>
      </c>
      <c r="BD151" s="337">
        <v>0</v>
      </c>
      <c r="BE151" s="329">
        <v>0</v>
      </c>
      <c r="BF151" s="337">
        <v>140800</v>
      </c>
      <c r="BG151" s="337">
        <v>0</v>
      </c>
      <c r="BH151" s="337">
        <v>0</v>
      </c>
      <c r="BI151" s="337">
        <v>0</v>
      </c>
      <c r="BJ151" s="338">
        <f>SUM(BC151:BI151)</f>
        <v>1552328</v>
      </c>
      <c r="BK151" s="313" t="s">
        <v>16635</v>
      </c>
      <c r="BL151" s="320">
        <v>39</v>
      </c>
      <c r="BM151" s="320">
        <v>2.1</v>
      </c>
      <c r="BN151" s="320">
        <v>2.8</v>
      </c>
      <c r="BO151" s="341" t="s">
        <v>18264</v>
      </c>
      <c r="BP151" s="155">
        <v>371</v>
      </c>
      <c r="BQ151" s="344"/>
      <c r="BR151" s="314">
        <v>135</v>
      </c>
      <c r="BS151" s="314"/>
      <c r="BT151" s="314"/>
      <c r="BU151" s="314"/>
      <c r="BV151" s="314"/>
      <c r="BW151" s="314"/>
      <c r="BX151" s="325" t="s">
        <v>20703</v>
      </c>
    </row>
    <row r="152" spans="1:76" ht="15.75" customHeight="1">
      <c r="A152" s="4" t="s">
        <v>18777</v>
      </c>
      <c r="B152" s="311" t="s">
        <v>12252</v>
      </c>
      <c r="C152" s="155" t="s">
        <v>55</v>
      </c>
      <c r="D152" s="312" t="s">
        <v>20474</v>
      </c>
      <c r="E152" s="40" t="s">
        <v>18641</v>
      </c>
      <c r="F152" s="314">
        <v>158</v>
      </c>
      <c r="G152" s="316">
        <f>COUNTA(ME_121_D)</f>
        <v>16</v>
      </c>
      <c r="H152" s="316">
        <f>COUNTIF(ME_121_G,"TT")</f>
        <v>12</v>
      </c>
      <c r="I152" s="316">
        <f t="shared" si="131"/>
        <v>4</v>
      </c>
      <c r="J152" s="316">
        <f>COUNTA(ME_121_D)</f>
        <v>16</v>
      </c>
      <c r="K152" s="316">
        <f>COUNTIF(ME_121_G,"TT")</f>
        <v>12</v>
      </c>
      <c r="L152" s="316">
        <f t="shared" si="132"/>
        <v>4</v>
      </c>
      <c r="M152" s="316">
        <f>COUNTIFS( 'Mechanical Engineering Faculty'!$F$5429:$F$5444,M$1)</f>
        <v>2</v>
      </c>
      <c r="N152" s="316">
        <f>COUNTIFS( 'Mechanical Engineering Faculty'!$F$5429:$F$5444,N$1)</f>
        <v>6</v>
      </c>
      <c r="O152" s="316">
        <f>COUNTIFS( 'Mechanical Engineering Faculty'!$F$5429:$F$5444,O$1)</f>
        <v>4</v>
      </c>
      <c r="P152" s="316">
        <f>COUNTIFS(ME_121_G,"TT", ME_121_D,P$1)</f>
        <v>2</v>
      </c>
      <c r="Q152" s="316">
        <f>COUNTIFS(ME_121_G,"TT", ME_121_D,Q$1)</f>
        <v>6</v>
      </c>
      <c r="R152" s="316">
        <f>COUNTIFS(ME_121_G,"TT", ME_121_D,R$1)</f>
        <v>4</v>
      </c>
      <c r="S152" s="316">
        <f>COUNTIF(ME_121_D,S$1)</f>
        <v>4</v>
      </c>
      <c r="T152" s="316">
        <f t="shared" si="142"/>
        <v>0</v>
      </c>
      <c r="U152" s="316">
        <f t="shared" si="143"/>
        <v>0</v>
      </c>
      <c r="V152" s="316">
        <f t="shared" si="144"/>
        <v>0</v>
      </c>
      <c r="W152" s="316">
        <f t="shared" ref="W152:AB152" si="171">COUNTIF(ME_121_D,W$1)</f>
        <v>0</v>
      </c>
      <c r="X152" s="316">
        <f t="shared" si="171"/>
        <v>0</v>
      </c>
      <c r="Y152" s="316">
        <f t="shared" si="171"/>
        <v>0</v>
      </c>
      <c r="Z152" s="316">
        <f t="shared" si="171"/>
        <v>0</v>
      </c>
      <c r="AA152" s="316">
        <f t="shared" si="171"/>
        <v>0</v>
      </c>
      <c r="AB152" s="316">
        <f t="shared" si="171"/>
        <v>0</v>
      </c>
      <c r="AC152" s="315">
        <f>COUNTIF(ME_121_E,AC$1)+COUNTIF(ME_121_E,"E/D")</f>
        <v>0</v>
      </c>
      <c r="AD152" s="315">
        <f>COUNTIF(ME_121_E,AD$1)+COUNTIF(ME_121_E,"E/D")</f>
        <v>0</v>
      </c>
      <c r="AE152" s="378">
        <v>172010</v>
      </c>
      <c r="AF152" s="379"/>
      <c r="AG152" s="379"/>
      <c r="AH152" s="379">
        <v>13243</v>
      </c>
      <c r="AI152" s="379"/>
      <c r="AJ152" s="379"/>
      <c r="AK152" s="379">
        <v>46849</v>
      </c>
      <c r="AL152" s="318">
        <f t="shared" si="146"/>
        <v>232102</v>
      </c>
      <c r="AM152" s="378">
        <v>981000</v>
      </c>
      <c r="AN152" s="379"/>
      <c r="AO152" s="379"/>
      <c r="AP152" s="379">
        <v>206000</v>
      </c>
      <c r="AQ152" s="379"/>
      <c r="AR152" s="379"/>
      <c r="AS152" s="379">
        <v>183000</v>
      </c>
      <c r="AT152" s="318">
        <f t="shared" si="147"/>
        <v>1370000</v>
      </c>
      <c r="AU152" s="381">
        <v>1050436</v>
      </c>
      <c r="AV152" s="382"/>
      <c r="AW152" s="382"/>
      <c r="AX152" s="382">
        <v>28389</v>
      </c>
      <c r="AY152" s="382"/>
      <c r="AZ152" s="382"/>
      <c r="BA152" s="382">
        <v>183668</v>
      </c>
      <c r="BB152" s="319">
        <f t="shared" si="148"/>
        <v>1262493</v>
      </c>
      <c r="BC152" s="328">
        <v>977000</v>
      </c>
      <c r="BD152" s="329">
        <v>0</v>
      </c>
      <c r="BE152" s="329">
        <v>0</v>
      </c>
      <c r="BF152" s="329">
        <v>895000</v>
      </c>
      <c r="BG152" s="329">
        <v>0</v>
      </c>
      <c r="BH152" s="329">
        <v>750000</v>
      </c>
      <c r="BI152" s="329">
        <v>2751000</v>
      </c>
      <c r="BJ152" s="314">
        <f>SUM(BC152:BI152)</f>
        <v>5373000</v>
      </c>
      <c r="BK152" s="40" t="s">
        <v>17192</v>
      </c>
      <c r="BL152" s="320">
        <v>35</v>
      </c>
      <c r="BM152" s="320">
        <v>2.1</v>
      </c>
      <c r="BN152" s="320">
        <v>2.7</v>
      </c>
      <c r="BO152" s="40" t="s">
        <v>18820</v>
      </c>
      <c r="BP152" s="321">
        <v>184</v>
      </c>
      <c r="BQ152" s="344"/>
      <c r="BR152" s="314">
        <v>170</v>
      </c>
      <c r="BS152" s="314"/>
      <c r="BT152" s="314"/>
      <c r="BU152" s="314"/>
      <c r="BV152" s="314"/>
      <c r="BW152" s="314"/>
      <c r="BX152" s="325" t="s">
        <v>20712</v>
      </c>
    </row>
    <row r="153" spans="1:76" ht="15.75" customHeight="1">
      <c r="A153" s="4" t="s">
        <v>18938</v>
      </c>
      <c r="B153" s="311" t="s">
        <v>2714</v>
      </c>
      <c r="C153" s="155" t="s">
        <v>55</v>
      </c>
      <c r="D153" s="312" t="s">
        <v>20474</v>
      </c>
      <c r="E153" s="40" t="s">
        <v>18641</v>
      </c>
      <c r="F153" s="314">
        <v>158</v>
      </c>
      <c r="G153" s="316">
        <f>COUNTA(ME_124_D)</f>
        <v>13</v>
      </c>
      <c r="H153" s="316">
        <f>COUNTIF(ME_124_G,"TT")</f>
        <v>9</v>
      </c>
      <c r="I153" s="316">
        <f t="shared" si="131"/>
        <v>4</v>
      </c>
      <c r="J153" s="316">
        <f>COUNTA(ME_124_D)</f>
        <v>13</v>
      </c>
      <c r="K153" s="316">
        <f>COUNTIF(ME_124_G,"TT")</f>
        <v>9</v>
      </c>
      <c r="L153" s="316">
        <f t="shared" si="132"/>
        <v>4</v>
      </c>
      <c r="M153" s="316">
        <f>COUNTIFS( 'Mechanical Engineering Faculty'!$F$5502:$F$5514,M$1)</f>
        <v>0</v>
      </c>
      <c r="N153" s="316">
        <f>COUNTIFS( 'Mechanical Engineering Faculty'!$F$5502:$F$5514,N$1)</f>
        <v>5</v>
      </c>
      <c r="O153" s="316">
        <f>COUNTIFS( 'Mechanical Engineering Faculty'!$F$5502:$F$5514,O$1)</f>
        <v>4</v>
      </c>
      <c r="P153" s="316">
        <f>COUNTIFS(ME_124_G,"TT", ME_124_D,P$1)</f>
        <v>0</v>
      </c>
      <c r="Q153" s="316">
        <f>COUNTIFS(ME_124_G,"TT", ME_124_D,Q$1)</f>
        <v>5</v>
      </c>
      <c r="R153" s="316">
        <f>COUNTIFS(ME_124_G,"TT", ME_124_D,R$1)</f>
        <v>4</v>
      </c>
      <c r="S153" s="316">
        <f>COUNTIF(ME_124_D,S$1)</f>
        <v>4</v>
      </c>
      <c r="T153" s="316">
        <f t="shared" si="142"/>
        <v>0</v>
      </c>
      <c r="U153" s="316">
        <f t="shared" si="143"/>
        <v>0</v>
      </c>
      <c r="V153" s="316">
        <f t="shared" si="144"/>
        <v>0</v>
      </c>
      <c r="W153" s="316">
        <f t="shared" ref="W153:AB153" si="172">COUNTIF(ME_124_D,W$1)</f>
        <v>0</v>
      </c>
      <c r="X153" s="316">
        <f t="shared" si="172"/>
        <v>0</v>
      </c>
      <c r="Y153" s="316">
        <f t="shared" si="172"/>
        <v>0</v>
      </c>
      <c r="Z153" s="316">
        <f t="shared" si="172"/>
        <v>0</v>
      </c>
      <c r="AA153" s="316">
        <f t="shared" si="172"/>
        <v>0</v>
      </c>
      <c r="AB153" s="316">
        <f t="shared" si="172"/>
        <v>0</v>
      </c>
      <c r="AC153" s="315">
        <f>COUNTIF(ME_124_E,AC$1)+COUNTIF(ME_124_E,"E/D")</f>
        <v>0</v>
      </c>
      <c r="AD153" s="315">
        <f>COUNTIF(ME_124_E,AD$1)+COUNTIF(ME_124_E,"E/D")</f>
        <v>0</v>
      </c>
      <c r="AE153" s="378">
        <v>112614</v>
      </c>
      <c r="AF153" s="379"/>
      <c r="AG153" s="379"/>
      <c r="AH153" s="379"/>
      <c r="AI153" s="379"/>
      <c r="AJ153" s="379"/>
      <c r="AK153" s="379"/>
      <c r="AL153" s="318">
        <f t="shared" si="146"/>
        <v>112614</v>
      </c>
      <c r="AM153" s="378">
        <v>321693</v>
      </c>
      <c r="AN153" s="379">
        <v>0</v>
      </c>
      <c r="AO153" s="379"/>
      <c r="AP153" s="379">
        <v>9094</v>
      </c>
      <c r="AQ153" s="379"/>
      <c r="AR153" s="379">
        <v>14340</v>
      </c>
      <c r="AS153" s="379">
        <v>0</v>
      </c>
      <c r="AT153" s="318">
        <f t="shared" si="147"/>
        <v>345127</v>
      </c>
      <c r="AU153" s="381">
        <v>176945</v>
      </c>
      <c r="AV153" s="382"/>
      <c r="AW153" s="382"/>
      <c r="AX153" s="382">
        <v>14598</v>
      </c>
      <c r="AY153" s="382"/>
      <c r="AZ153" s="382">
        <v>7149</v>
      </c>
      <c r="BA153" s="382">
        <v>0</v>
      </c>
      <c r="BB153" s="319">
        <f t="shared" si="148"/>
        <v>198692</v>
      </c>
      <c r="BC153" s="328">
        <v>176303</v>
      </c>
      <c r="BD153" s="329">
        <v>0</v>
      </c>
      <c r="BE153" s="329">
        <v>0</v>
      </c>
      <c r="BF153" s="329">
        <v>76575</v>
      </c>
      <c r="BG153" s="329">
        <v>0</v>
      </c>
      <c r="BH153" s="329">
        <v>2851</v>
      </c>
      <c r="BI153" s="329">
        <v>0</v>
      </c>
      <c r="BJ153" s="314">
        <f>SUM(BC153:BI153)</f>
        <v>255729</v>
      </c>
      <c r="BK153" s="40" t="s">
        <v>17192</v>
      </c>
      <c r="BL153" s="320">
        <v>35</v>
      </c>
      <c r="BM153" s="320">
        <v>2.2000000000000002</v>
      </c>
      <c r="BN153" s="320">
        <v>2.6</v>
      </c>
      <c r="BO153" s="40" t="s">
        <v>18981</v>
      </c>
      <c r="BP153" s="321">
        <v>534</v>
      </c>
      <c r="BQ153" s="344"/>
      <c r="BR153" s="314">
        <v>153</v>
      </c>
      <c r="BS153" s="314"/>
      <c r="BT153" s="314"/>
      <c r="BU153" s="314"/>
      <c r="BV153" s="314"/>
      <c r="BW153" s="314"/>
      <c r="BX153" s="325" t="s">
        <v>20715</v>
      </c>
    </row>
    <row r="154" spans="1:76" ht="15.75" customHeight="1">
      <c r="A154" s="4" t="s">
        <v>18990</v>
      </c>
      <c r="B154" s="311" t="s">
        <v>2714</v>
      </c>
      <c r="C154" s="155">
        <v>163</v>
      </c>
      <c r="D154" s="312">
        <v>162</v>
      </c>
      <c r="E154" s="40" t="s">
        <v>18641</v>
      </c>
      <c r="F154" s="314">
        <v>158</v>
      </c>
      <c r="G154" s="316">
        <f>COUNTA(ME_125_D)</f>
        <v>14</v>
      </c>
      <c r="H154" s="316">
        <f>COUNTIF(ME_125_G,"TT")</f>
        <v>10</v>
      </c>
      <c r="I154" s="316">
        <f t="shared" ref="I154:I185" si="173">G154-H154</f>
        <v>4</v>
      </c>
      <c r="J154" s="316">
        <f>COUNTA(ME_125_D)</f>
        <v>14</v>
      </c>
      <c r="K154" s="316">
        <f>COUNTIF(ME_125_G,"TT")</f>
        <v>10</v>
      </c>
      <c r="L154" s="316">
        <f t="shared" ref="L154:L185" si="174">J154-K154</f>
        <v>4</v>
      </c>
      <c r="M154" s="316">
        <f>COUNTIFS('Mechanical Engineering Faculty'!$F$5519:$F$5532,M$1)</f>
        <v>4</v>
      </c>
      <c r="N154" s="316">
        <f>COUNTIFS('Mechanical Engineering Faculty'!$F$5519:$F$5532,N$1)</f>
        <v>5</v>
      </c>
      <c r="O154" s="316">
        <f>COUNTIFS('Mechanical Engineering Faculty'!$F$5519:$F$5532,O$1)</f>
        <v>1</v>
      </c>
      <c r="P154" s="316">
        <f>COUNTIFS(ME_125_G,"TT", ME_125_D,P$1)</f>
        <v>4</v>
      </c>
      <c r="Q154" s="316">
        <f>COUNTIFS(ME_125_G,"TT", ME_125_D,Q$1)</f>
        <v>5</v>
      </c>
      <c r="R154" s="316">
        <f>COUNTIFS(ME_125_G,"TT", ME_125_D,R$1)</f>
        <v>1</v>
      </c>
      <c r="S154" s="316">
        <f>COUNTIF(ME_125_D,S$1)</f>
        <v>4</v>
      </c>
      <c r="T154" s="316">
        <f t="shared" si="142"/>
        <v>0</v>
      </c>
      <c r="U154" s="316">
        <f t="shared" si="143"/>
        <v>0</v>
      </c>
      <c r="V154" s="316">
        <f t="shared" si="144"/>
        <v>0</v>
      </c>
      <c r="W154" s="316">
        <f t="shared" ref="W154:AB154" si="175">COUNTIF(ME_125_D,W$1)</f>
        <v>0</v>
      </c>
      <c r="X154" s="316">
        <f t="shared" si="175"/>
        <v>0</v>
      </c>
      <c r="Y154" s="316">
        <f t="shared" si="175"/>
        <v>0</v>
      </c>
      <c r="Z154" s="316">
        <f t="shared" si="175"/>
        <v>0</v>
      </c>
      <c r="AA154" s="316">
        <f t="shared" si="175"/>
        <v>0</v>
      </c>
      <c r="AB154" s="316">
        <f t="shared" si="175"/>
        <v>0</v>
      </c>
      <c r="AC154" s="315">
        <f>COUNTIF(ME_125_E,AC$1)+COUNTIF(ME_125_E,"E/D")</f>
        <v>0</v>
      </c>
      <c r="AD154" s="315">
        <f>COUNTIF(ME_125_E,AD$1)+COUNTIF(ME_125_E,"E/D")</f>
        <v>1</v>
      </c>
      <c r="AE154" s="377" t="s">
        <v>55</v>
      </c>
      <c r="AF154" s="406" t="s">
        <v>55</v>
      </c>
      <c r="AG154" s="406" t="s">
        <v>55</v>
      </c>
      <c r="AH154" s="406" t="s">
        <v>55</v>
      </c>
      <c r="AI154" s="406" t="s">
        <v>55</v>
      </c>
      <c r="AJ154" s="406" t="s">
        <v>55</v>
      </c>
      <c r="AK154" s="406" t="s">
        <v>55</v>
      </c>
      <c r="AL154" s="318">
        <f t="shared" si="146"/>
        <v>0</v>
      </c>
      <c r="AM154" s="377" t="s">
        <v>55</v>
      </c>
      <c r="AN154" s="406" t="s">
        <v>55</v>
      </c>
      <c r="AO154" s="406" t="s">
        <v>55</v>
      </c>
      <c r="AP154" s="406" t="s">
        <v>55</v>
      </c>
      <c r="AQ154" s="406" t="s">
        <v>55</v>
      </c>
      <c r="AR154" s="406" t="s">
        <v>55</v>
      </c>
      <c r="AS154" s="406" t="s">
        <v>55</v>
      </c>
      <c r="AT154" s="318">
        <f t="shared" si="147"/>
        <v>0</v>
      </c>
      <c r="AU154" s="377" t="s">
        <v>55</v>
      </c>
      <c r="AV154" s="406" t="s">
        <v>55</v>
      </c>
      <c r="AW154" s="406" t="s">
        <v>55</v>
      </c>
      <c r="AX154" s="406" t="s">
        <v>55</v>
      </c>
      <c r="AY154" s="406" t="s">
        <v>55</v>
      </c>
      <c r="AZ154" s="406" t="s">
        <v>55</v>
      </c>
      <c r="BA154" s="409" t="s">
        <v>55</v>
      </c>
      <c r="BB154" s="319">
        <f t="shared" si="148"/>
        <v>0</v>
      </c>
      <c r="BC154" s="411" t="s">
        <v>55</v>
      </c>
      <c r="BD154" s="413" t="s">
        <v>55</v>
      </c>
      <c r="BE154" s="413" t="s">
        <v>55</v>
      </c>
      <c r="BF154" s="413" t="s">
        <v>55</v>
      </c>
      <c r="BG154" s="413" t="s">
        <v>55</v>
      </c>
      <c r="BH154" s="413" t="s">
        <v>55</v>
      </c>
      <c r="BI154" s="413" t="s">
        <v>55</v>
      </c>
      <c r="BJ154" s="332" t="s">
        <v>55</v>
      </c>
      <c r="BK154" s="40" t="s">
        <v>18646</v>
      </c>
      <c r="BL154" s="40" t="s">
        <v>18655</v>
      </c>
      <c r="BM154" s="320">
        <v>2.1</v>
      </c>
      <c r="BN154" s="320">
        <v>2.8</v>
      </c>
      <c r="BO154" s="40" t="s">
        <v>19039</v>
      </c>
      <c r="BP154" s="321">
        <v>589</v>
      </c>
      <c r="BQ154" s="344"/>
      <c r="BR154" s="314" t="s">
        <v>20651</v>
      </c>
      <c r="BS154" s="314"/>
      <c r="BT154" s="314"/>
      <c r="BU154" s="314"/>
      <c r="BV154" s="314"/>
      <c r="BW154" s="314"/>
      <c r="BX154" s="325" t="s">
        <v>20716</v>
      </c>
    </row>
    <row r="155" spans="1:76" ht="15.75" customHeight="1">
      <c r="A155" s="4" t="s">
        <v>19102</v>
      </c>
      <c r="B155" s="311" t="s">
        <v>7101</v>
      </c>
      <c r="C155" s="155">
        <v>150</v>
      </c>
      <c r="D155" s="312">
        <v>153</v>
      </c>
      <c r="E155" s="40" t="s">
        <v>18641</v>
      </c>
      <c r="F155" s="314">
        <v>158</v>
      </c>
      <c r="G155" s="316">
        <f>COUNTA(ME_127_D)</f>
        <v>24</v>
      </c>
      <c r="H155" s="316">
        <f>COUNTIF(ME_127_G,"TT")</f>
        <v>22</v>
      </c>
      <c r="I155" s="316">
        <f t="shared" si="173"/>
        <v>2</v>
      </c>
      <c r="J155" s="316">
        <f>COUNTA(ME_127_D)</f>
        <v>24</v>
      </c>
      <c r="K155" s="316">
        <f>COUNTIF(ME_127_G,"TT")</f>
        <v>22</v>
      </c>
      <c r="L155" s="316">
        <f t="shared" si="174"/>
        <v>2</v>
      </c>
      <c r="M155" s="316">
        <f>COUNTIFS('Mechanical Engineering Faculty'!$F$5555:$F$5578,M$1)</f>
        <v>10</v>
      </c>
      <c r="N155" s="316">
        <f>COUNTIFS('Mechanical Engineering Faculty'!$F$5555:$F$5578,N$1)</f>
        <v>2</v>
      </c>
      <c r="O155" s="316">
        <f>COUNTIFS('Mechanical Engineering Faculty'!$F$5555:$F$5578,O$1)</f>
        <v>10</v>
      </c>
      <c r="P155" s="316">
        <f>COUNTIFS(ME_127_G,"TT", ME_127_D,P$1)</f>
        <v>10</v>
      </c>
      <c r="Q155" s="316">
        <f>COUNTIFS(ME_127_G,"TT", ME_127_D,Q$1)</f>
        <v>2</v>
      </c>
      <c r="R155" s="316">
        <f>COUNTIFS(ME_127_G,"TT", ME_127_D,R$1)</f>
        <v>10</v>
      </c>
      <c r="S155" s="316">
        <f>COUNTIF(ME_127_D,S$1)</f>
        <v>0</v>
      </c>
      <c r="T155" s="316">
        <f t="shared" si="142"/>
        <v>0</v>
      </c>
      <c r="U155" s="316">
        <f t="shared" si="143"/>
        <v>0</v>
      </c>
      <c r="V155" s="316">
        <f t="shared" si="144"/>
        <v>0</v>
      </c>
      <c r="W155" s="316">
        <f t="shared" ref="W155:AB155" si="176">COUNTIF(ME_127_D,W$1)</f>
        <v>0</v>
      </c>
      <c r="X155" s="316">
        <f t="shared" si="176"/>
        <v>1</v>
      </c>
      <c r="Y155" s="316">
        <f t="shared" si="176"/>
        <v>1</v>
      </c>
      <c r="Z155" s="316">
        <f t="shared" si="176"/>
        <v>0</v>
      </c>
      <c r="AA155" s="316">
        <f t="shared" si="176"/>
        <v>0</v>
      </c>
      <c r="AB155" s="316">
        <f t="shared" si="176"/>
        <v>0</v>
      </c>
      <c r="AC155" s="315">
        <f>COUNTIF(ME_127_E,AC$1)+COUNTIF(ME_127_E,"E/D")</f>
        <v>0</v>
      </c>
      <c r="AD155" s="315">
        <f>COUNTIF(ME_127_E,AD$1)+COUNTIF(ME_127_E,"E/D")</f>
        <v>0</v>
      </c>
      <c r="AE155" s="378">
        <v>1457110</v>
      </c>
      <c r="AF155" s="379">
        <v>0</v>
      </c>
      <c r="AG155" s="379">
        <v>0</v>
      </c>
      <c r="AH155" s="379">
        <v>0</v>
      </c>
      <c r="AI155" s="379">
        <v>0</v>
      </c>
      <c r="AJ155" s="379">
        <v>0</v>
      </c>
      <c r="AK155" s="379">
        <v>52121</v>
      </c>
      <c r="AL155" s="318">
        <f t="shared" si="146"/>
        <v>1509231</v>
      </c>
      <c r="AM155" s="378">
        <v>4920715</v>
      </c>
      <c r="AN155" s="379"/>
      <c r="AO155" s="379"/>
      <c r="AP155" s="379">
        <v>387677</v>
      </c>
      <c r="AQ155" s="379">
        <v>0</v>
      </c>
      <c r="AR155" s="379">
        <v>74724</v>
      </c>
      <c r="AS155" s="379">
        <v>470207</v>
      </c>
      <c r="AT155" s="318">
        <f t="shared" si="147"/>
        <v>5853323</v>
      </c>
      <c r="AU155" s="381">
        <v>17814191</v>
      </c>
      <c r="AV155" s="382">
        <v>0</v>
      </c>
      <c r="AW155" s="382">
        <v>0</v>
      </c>
      <c r="AX155" s="382">
        <v>45755</v>
      </c>
      <c r="AY155" s="382">
        <v>225476</v>
      </c>
      <c r="AZ155" s="382">
        <v>108547</v>
      </c>
      <c r="BA155" s="382">
        <v>3870</v>
      </c>
      <c r="BB155" s="319">
        <f t="shared" si="148"/>
        <v>18197839</v>
      </c>
      <c r="BC155" s="328">
        <v>5804438</v>
      </c>
      <c r="BD155" s="329">
        <v>0</v>
      </c>
      <c r="BE155" s="329">
        <v>0</v>
      </c>
      <c r="BF155" s="329">
        <v>14997</v>
      </c>
      <c r="BG155" s="329">
        <v>81832</v>
      </c>
      <c r="BH155" s="329">
        <v>136999</v>
      </c>
      <c r="BI155" s="329">
        <v>50286</v>
      </c>
      <c r="BJ155" s="314">
        <f>SUM(BC155:BI155)</f>
        <v>6088552</v>
      </c>
      <c r="BK155" s="40" t="s">
        <v>17325</v>
      </c>
      <c r="BL155" s="320">
        <v>26</v>
      </c>
      <c r="BM155" s="320">
        <v>2.2000000000000002</v>
      </c>
      <c r="BN155" s="320">
        <v>2.7</v>
      </c>
      <c r="BO155" s="40" t="s">
        <v>19145</v>
      </c>
      <c r="BP155" s="321">
        <v>298</v>
      </c>
      <c r="BQ155" s="344"/>
      <c r="BR155" s="314">
        <v>128</v>
      </c>
      <c r="BS155" s="314"/>
      <c r="BT155" s="314"/>
      <c r="BU155" s="314"/>
      <c r="BV155" s="314"/>
      <c r="BW155" s="314"/>
      <c r="BX155" s="325" t="s">
        <v>20718</v>
      </c>
    </row>
    <row r="156" spans="1:76" ht="15.75" customHeight="1">
      <c r="A156" s="4" t="s">
        <v>19740</v>
      </c>
      <c r="B156" s="311" t="s">
        <v>2714</v>
      </c>
      <c r="C156" s="155" t="s">
        <v>55</v>
      </c>
      <c r="D156" s="312" t="s">
        <v>20474</v>
      </c>
      <c r="E156" s="40" t="s">
        <v>19531</v>
      </c>
      <c r="F156" s="314">
        <v>158</v>
      </c>
      <c r="G156" s="316">
        <f>COUNTA(ME_136_D)</f>
        <v>13</v>
      </c>
      <c r="H156" s="316">
        <f>COUNTIF(ME_136_G,"TT")</f>
        <v>8</v>
      </c>
      <c r="I156" s="316">
        <f t="shared" si="173"/>
        <v>5</v>
      </c>
      <c r="J156" s="316">
        <f>COUNTA(ME_136_D)</f>
        <v>13</v>
      </c>
      <c r="K156" s="316">
        <f>COUNTIF(ME_136_G,"TT")</f>
        <v>8</v>
      </c>
      <c r="L156" s="316">
        <f t="shared" si="174"/>
        <v>5</v>
      </c>
      <c r="M156" s="316">
        <f>COUNTIFS('Mechanical Engineering Faculty'!$F$5748:$F$5760,M$1)</f>
        <v>3</v>
      </c>
      <c r="N156" s="316">
        <f>COUNTIFS('Mechanical Engineering Faculty'!$F$5748:$F$5760,N$1)</f>
        <v>3</v>
      </c>
      <c r="O156" s="316">
        <f>COUNTIFS('Mechanical Engineering Faculty'!$F$5748:$F$5760,O$1)</f>
        <v>2</v>
      </c>
      <c r="P156" s="316">
        <f>COUNTIFS(ME_136_G,"TT", ME_136_D,P$1)</f>
        <v>3</v>
      </c>
      <c r="Q156" s="316">
        <f>COUNTIFS(ME_136_G,"TT", ME_136_D,Q$1)</f>
        <v>3</v>
      </c>
      <c r="R156" s="316">
        <f>COUNTIFS(ME_136_G,"TT", ME_136_D,R$1)</f>
        <v>2</v>
      </c>
      <c r="S156" s="316">
        <f>COUNTIF(ME_136_D,S$1)</f>
        <v>5</v>
      </c>
      <c r="T156" s="316">
        <f t="shared" si="142"/>
        <v>0</v>
      </c>
      <c r="U156" s="316">
        <f t="shared" si="143"/>
        <v>0</v>
      </c>
      <c r="V156" s="316">
        <f t="shared" si="144"/>
        <v>0</v>
      </c>
      <c r="W156" s="316">
        <f t="shared" ref="W156:AB156" si="177">COUNTIF(ME_136_D,W$1)</f>
        <v>0</v>
      </c>
      <c r="X156" s="316">
        <f t="shared" si="177"/>
        <v>0</v>
      </c>
      <c r="Y156" s="316">
        <f t="shared" si="177"/>
        <v>0</v>
      </c>
      <c r="Z156" s="316">
        <f t="shared" si="177"/>
        <v>0</v>
      </c>
      <c r="AA156" s="316">
        <f t="shared" si="177"/>
        <v>0</v>
      </c>
      <c r="AB156" s="316">
        <f t="shared" si="177"/>
        <v>0</v>
      </c>
      <c r="AC156" s="315">
        <f>COUNTIF(ME_136_E,AC$1)+COUNTIF(ME_136_E,"E/D")</f>
        <v>0</v>
      </c>
      <c r="AD156" s="315">
        <f>COUNTIF(ME_136_E,AD$1)+COUNTIF(ME_136_E,"E/D")</f>
        <v>1</v>
      </c>
      <c r="AE156" s="378">
        <v>203826</v>
      </c>
      <c r="AF156" s="379"/>
      <c r="AG156" s="379"/>
      <c r="AH156" s="379">
        <v>81803</v>
      </c>
      <c r="AI156" s="379"/>
      <c r="AJ156" s="379">
        <v>13679</v>
      </c>
      <c r="AK156" s="379">
        <v>21221</v>
      </c>
      <c r="AL156" s="318">
        <f t="shared" si="146"/>
        <v>320529</v>
      </c>
      <c r="AM156" s="377" t="s">
        <v>55</v>
      </c>
      <c r="AN156" s="406" t="s">
        <v>55</v>
      </c>
      <c r="AO156" s="406" t="s">
        <v>55</v>
      </c>
      <c r="AP156" s="406" t="s">
        <v>55</v>
      </c>
      <c r="AQ156" s="406" t="s">
        <v>55</v>
      </c>
      <c r="AR156" s="406" t="s">
        <v>55</v>
      </c>
      <c r="AS156" s="406" t="s">
        <v>55</v>
      </c>
      <c r="AT156" s="318">
        <f t="shared" si="147"/>
        <v>0</v>
      </c>
      <c r="AU156" s="377" t="s">
        <v>55</v>
      </c>
      <c r="AV156" s="406" t="s">
        <v>55</v>
      </c>
      <c r="AW156" s="406" t="s">
        <v>55</v>
      </c>
      <c r="AX156" s="406" t="s">
        <v>55</v>
      </c>
      <c r="AY156" s="406" t="s">
        <v>55</v>
      </c>
      <c r="AZ156" s="406" t="s">
        <v>55</v>
      </c>
      <c r="BA156" s="409" t="s">
        <v>55</v>
      </c>
      <c r="BB156" s="319">
        <f t="shared" si="148"/>
        <v>0</v>
      </c>
      <c r="BC156" s="411" t="s">
        <v>55</v>
      </c>
      <c r="BD156" s="413" t="s">
        <v>55</v>
      </c>
      <c r="BE156" s="413" t="s">
        <v>55</v>
      </c>
      <c r="BF156" s="413" t="s">
        <v>55</v>
      </c>
      <c r="BG156" s="413" t="s">
        <v>55</v>
      </c>
      <c r="BH156" s="413" t="s">
        <v>55</v>
      </c>
      <c r="BI156" s="413" t="s">
        <v>55</v>
      </c>
      <c r="BJ156" s="332" t="s">
        <v>55</v>
      </c>
      <c r="BK156" s="40" t="s">
        <v>19702</v>
      </c>
      <c r="BL156" s="40" t="s">
        <v>18655</v>
      </c>
      <c r="BM156" s="40" t="s">
        <v>55</v>
      </c>
      <c r="BN156" s="40" t="s">
        <v>55</v>
      </c>
      <c r="BO156" s="40" t="s">
        <v>55</v>
      </c>
      <c r="BP156" s="321" t="s">
        <v>55</v>
      </c>
      <c r="BQ156" s="344"/>
      <c r="BR156" s="314" t="s">
        <v>20727</v>
      </c>
      <c r="BS156" s="314"/>
      <c r="BT156" s="314"/>
      <c r="BU156" s="314"/>
      <c r="BV156" s="314"/>
      <c r="BW156" s="314"/>
      <c r="BX156" s="325" t="s">
        <v>20729</v>
      </c>
    </row>
    <row r="157" spans="1:76" ht="15.75" customHeight="1">
      <c r="A157" s="4" t="s">
        <v>19853</v>
      </c>
      <c r="B157" s="311" t="s">
        <v>2714</v>
      </c>
      <c r="C157" s="155">
        <v>162</v>
      </c>
      <c r="D157" s="312">
        <v>163</v>
      </c>
      <c r="E157" s="40" t="s">
        <v>19531</v>
      </c>
      <c r="F157" s="314">
        <v>158</v>
      </c>
      <c r="G157" s="316">
        <f>COUNTA(ME_139_D)</f>
        <v>13</v>
      </c>
      <c r="H157" s="316">
        <f>COUNTIF(ME_139_G,"TT")</f>
        <v>12</v>
      </c>
      <c r="I157" s="316">
        <f t="shared" si="173"/>
        <v>1</v>
      </c>
      <c r="J157" s="316">
        <f>COUNTA(ME_139_D)</f>
        <v>13</v>
      </c>
      <c r="K157" s="316">
        <f>COUNTIF(ME_139_G,"TT")</f>
        <v>12</v>
      </c>
      <c r="L157" s="316">
        <f t="shared" si="174"/>
        <v>1</v>
      </c>
      <c r="M157" s="316">
        <f>COUNTIFS('Mechanical Engineering Faculty'!$F$5804:$F$5816,M$1)</f>
        <v>4</v>
      </c>
      <c r="N157" s="316">
        <f>COUNTIFS('Mechanical Engineering Faculty'!$F$5804:$F$5816,N$1)</f>
        <v>1</v>
      </c>
      <c r="O157" s="316">
        <f>COUNTIFS('Mechanical Engineering Faculty'!$F$5804:$F$5816,O$1)</f>
        <v>7</v>
      </c>
      <c r="P157" s="316">
        <f>COUNTIFS(ME_139_G,"TT", ME_139_D,P$1)</f>
        <v>4</v>
      </c>
      <c r="Q157" s="316">
        <f>COUNTIFS(ME_139_G,"TT", ME_139_D,Q$1)</f>
        <v>1</v>
      </c>
      <c r="R157" s="316">
        <f>COUNTIFS(ME_139_G,"TT", ME_139_D,R$1)</f>
        <v>7</v>
      </c>
      <c r="S157" s="316">
        <f>COUNTIF(ME_139_D,S$1)</f>
        <v>0</v>
      </c>
      <c r="T157" s="316">
        <f t="shared" si="142"/>
        <v>0</v>
      </c>
      <c r="U157" s="316">
        <f t="shared" si="143"/>
        <v>0</v>
      </c>
      <c r="V157" s="316">
        <f t="shared" si="144"/>
        <v>0</v>
      </c>
      <c r="W157" s="316">
        <f t="shared" ref="W157:AB157" si="178">COUNTIF(ME_139_D,W$1)</f>
        <v>0</v>
      </c>
      <c r="X157" s="316">
        <f t="shared" si="178"/>
        <v>0</v>
      </c>
      <c r="Y157" s="316">
        <f t="shared" si="178"/>
        <v>1</v>
      </c>
      <c r="Z157" s="316">
        <f t="shared" si="178"/>
        <v>0</v>
      </c>
      <c r="AA157" s="316">
        <f t="shared" si="178"/>
        <v>0</v>
      </c>
      <c r="AB157" s="316">
        <f t="shared" si="178"/>
        <v>0</v>
      </c>
      <c r="AC157" s="315">
        <f>COUNTIF(ME_139_E,AC$1)+COUNTIF(ME_139_E,"E/D")</f>
        <v>0</v>
      </c>
      <c r="AD157" s="315">
        <f>COUNTIF(ME_139_E,AD$1)+COUNTIF(ME_139_E,"E/D")</f>
        <v>2</v>
      </c>
      <c r="AE157" s="378">
        <v>145415</v>
      </c>
      <c r="AF157" s="379"/>
      <c r="AG157" s="379"/>
      <c r="AH157" s="379">
        <v>432111</v>
      </c>
      <c r="AI157" s="379">
        <v>0</v>
      </c>
      <c r="AJ157" s="379">
        <v>109360</v>
      </c>
      <c r="AK157" s="379">
        <v>297367</v>
      </c>
      <c r="AL157" s="318">
        <f t="shared" si="146"/>
        <v>984253</v>
      </c>
      <c r="AM157" s="378">
        <v>300011</v>
      </c>
      <c r="AN157" s="379"/>
      <c r="AO157" s="379"/>
      <c r="AP157" s="379">
        <v>186324</v>
      </c>
      <c r="AQ157" s="379">
        <v>0</v>
      </c>
      <c r="AR157" s="379">
        <v>0</v>
      </c>
      <c r="AS157" s="379">
        <v>699888</v>
      </c>
      <c r="AT157" s="318">
        <f t="shared" si="147"/>
        <v>1186223</v>
      </c>
      <c r="AU157" s="381">
        <v>543116</v>
      </c>
      <c r="AV157" s="382"/>
      <c r="AW157" s="382"/>
      <c r="AX157" s="382">
        <v>208955</v>
      </c>
      <c r="AY157" s="382">
        <v>0</v>
      </c>
      <c r="AZ157" s="382">
        <v>82314</v>
      </c>
      <c r="BA157" s="382">
        <v>426246</v>
      </c>
      <c r="BB157" s="319">
        <f t="shared" si="148"/>
        <v>1260631</v>
      </c>
      <c r="BC157" s="328">
        <v>890687</v>
      </c>
      <c r="BD157" s="329">
        <v>0</v>
      </c>
      <c r="BE157" s="329">
        <v>0</v>
      </c>
      <c r="BF157" s="329">
        <v>126560</v>
      </c>
      <c r="BG157" s="329">
        <v>0</v>
      </c>
      <c r="BH157" s="329">
        <v>85614</v>
      </c>
      <c r="BI157" s="329">
        <v>1248850</v>
      </c>
      <c r="BJ157" s="314">
        <f>SUM(BC157:BI157)</f>
        <v>2351711</v>
      </c>
      <c r="BK157" s="40" t="s">
        <v>16842</v>
      </c>
      <c r="BL157" s="320">
        <v>36</v>
      </c>
      <c r="BM157" s="320">
        <v>2</v>
      </c>
      <c r="BN157" s="320">
        <v>2.2000000000000002</v>
      </c>
      <c r="BO157" s="40" t="s">
        <v>19890</v>
      </c>
      <c r="BP157" s="321">
        <v>366</v>
      </c>
      <c r="BQ157" s="344"/>
      <c r="BR157" s="314">
        <v>141</v>
      </c>
      <c r="BS157" s="314"/>
      <c r="BT157" s="314"/>
      <c r="BU157" s="314"/>
      <c r="BV157" s="314"/>
      <c r="BW157" s="314"/>
      <c r="BX157" s="325" t="s">
        <v>20732</v>
      </c>
    </row>
    <row r="158" spans="1:76" ht="15.75" customHeight="1">
      <c r="A158" s="4" t="s">
        <v>20053</v>
      </c>
      <c r="B158" s="311" t="s">
        <v>2714</v>
      </c>
      <c r="C158" s="155">
        <v>154</v>
      </c>
      <c r="D158" s="312">
        <v>56</v>
      </c>
      <c r="E158" s="40" t="s">
        <v>20051</v>
      </c>
      <c r="F158" s="314">
        <v>158</v>
      </c>
      <c r="G158" s="316">
        <f>COUNTA(ME_143_D)</f>
        <v>12</v>
      </c>
      <c r="H158" s="316">
        <f>COUNTIF(ME_143_G,"TT")</f>
        <v>11</v>
      </c>
      <c r="I158" s="316">
        <f t="shared" si="173"/>
        <v>1</v>
      </c>
      <c r="J158" s="316">
        <f>COUNTA(ME_143_D)</f>
        <v>12</v>
      </c>
      <c r="K158" s="316">
        <f>COUNTIF(ME_143_G,"TT")</f>
        <v>11</v>
      </c>
      <c r="L158" s="316">
        <f t="shared" si="174"/>
        <v>1</v>
      </c>
      <c r="M158" s="316">
        <f>COUNTIFS('Mechanical Engineering Faculty'!$F$5896:$F$5907,M$1)</f>
        <v>3</v>
      </c>
      <c r="N158" s="316">
        <f>COUNTIFS('Mechanical Engineering Faculty'!$F$5896:$F$5907,N$1)</f>
        <v>7</v>
      </c>
      <c r="O158" s="316">
        <f>COUNTIFS('Mechanical Engineering Faculty'!$F$5896:$F$5907,O$1)</f>
        <v>1</v>
      </c>
      <c r="P158" s="316">
        <f>COUNTIFS(ME_143_G,"TT", ME_143_D,P$1)</f>
        <v>3</v>
      </c>
      <c r="Q158" s="316">
        <f>COUNTIFS(ME_143_G,"TT", ME_143_D,Q$1)</f>
        <v>7</v>
      </c>
      <c r="R158" s="316">
        <f>COUNTIFS(ME_143_G,"TT", ME_143_D,R$1)</f>
        <v>1</v>
      </c>
      <c r="S158" s="316">
        <f>COUNTIF(ME_143_D,S$1)</f>
        <v>0</v>
      </c>
      <c r="T158" s="316">
        <f t="shared" si="142"/>
        <v>0</v>
      </c>
      <c r="U158" s="316">
        <f t="shared" si="143"/>
        <v>0</v>
      </c>
      <c r="V158" s="316">
        <f t="shared" si="144"/>
        <v>0</v>
      </c>
      <c r="W158" s="316">
        <f t="shared" ref="W158:AB158" si="179">COUNTIF(ME_143_D,W$1)</f>
        <v>0</v>
      </c>
      <c r="X158" s="316">
        <f t="shared" si="179"/>
        <v>0</v>
      </c>
      <c r="Y158" s="316">
        <f t="shared" si="179"/>
        <v>0</v>
      </c>
      <c r="Z158" s="316">
        <f t="shared" si="179"/>
        <v>0</v>
      </c>
      <c r="AA158" s="316">
        <f t="shared" si="179"/>
        <v>0</v>
      </c>
      <c r="AB158" s="316">
        <f t="shared" si="179"/>
        <v>0</v>
      </c>
      <c r="AC158" s="315">
        <f>COUNTIF(ME_143_E,AC$1)+COUNTIF(ME_143_E,"E/D")</f>
        <v>0</v>
      </c>
      <c r="AD158" s="315">
        <f>COUNTIF(ME_143_E,AD$1)+COUNTIF(ME_143_E,"E/D")</f>
        <v>0</v>
      </c>
      <c r="AE158" s="377" t="s">
        <v>55</v>
      </c>
      <c r="AF158" s="406" t="s">
        <v>55</v>
      </c>
      <c r="AG158" s="406" t="s">
        <v>55</v>
      </c>
      <c r="AH158" s="406" t="s">
        <v>55</v>
      </c>
      <c r="AI158" s="406" t="s">
        <v>55</v>
      </c>
      <c r="AJ158" s="406" t="s">
        <v>55</v>
      </c>
      <c r="AK158" s="406" t="s">
        <v>55</v>
      </c>
      <c r="AL158" s="318">
        <f t="shared" si="146"/>
        <v>0</v>
      </c>
      <c r="AM158" s="377" t="s">
        <v>55</v>
      </c>
      <c r="AN158" s="377" t="s">
        <v>55</v>
      </c>
      <c r="AO158" s="377" t="s">
        <v>55</v>
      </c>
      <c r="AP158" s="377" t="s">
        <v>55</v>
      </c>
      <c r="AQ158" s="377" t="s">
        <v>55</v>
      </c>
      <c r="AR158" s="377" t="s">
        <v>55</v>
      </c>
      <c r="AS158" s="377" t="s">
        <v>55</v>
      </c>
      <c r="AT158" s="318">
        <f t="shared" si="147"/>
        <v>0</v>
      </c>
      <c r="AU158" s="377" t="s">
        <v>55</v>
      </c>
      <c r="AV158" s="377" t="s">
        <v>55</v>
      </c>
      <c r="AW158" s="377" t="s">
        <v>55</v>
      </c>
      <c r="AX158" s="377" t="s">
        <v>55</v>
      </c>
      <c r="AY158" s="377" t="s">
        <v>55</v>
      </c>
      <c r="AZ158" s="377" t="s">
        <v>55</v>
      </c>
      <c r="BA158" s="380" t="s">
        <v>55</v>
      </c>
      <c r="BB158" s="319">
        <f t="shared" si="148"/>
        <v>0</v>
      </c>
      <c r="BC158" s="332" t="s">
        <v>55</v>
      </c>
      <c r="BD158" s="332" t="s">
        <v>55</v>
      </c>
      <c r="BE158" s="332" t="s">
        <v>55</v>
      </c>
      <c r="BF158" s="332" t="s">
        <v>55</v>
      </c>
      <c r="BG158" s="332" t="s">
        <v>55</v>
      </c>
      <c r="BH158" s="332" t="s">
        <v>55</v>
      </c>
      <c r="BI158" s="332" t="s">
        <v>55</v>
      </c>
      <c r="BJ158" s="332" t="s">
        <v>55</v>
      </c>
      <c r="BK158" s="40" t="s">
        <v>12680</v>
      </c>
      <c r="BL158" s="320">
        <v>42</v>
      </c>
      <c r="BM158" s="320">
        <v>2.1</v>
      </c>
      <c r="BN158" s="320">
        <v>2.7</v>
      </c>
      <c r="BO158" s="40" t="s">
        <v>20103</v>
      </c>
      <c r="BP158" s="321">
        <v>138</v>
      </c>
      <c r="BQ158" s="344"/>
      <c r="BR158" s="314">
        <v>120</v>
      </c>
      <c r="BS158" s="314"/>
      <c r="BT158" s="314"/>
      <c r="BU158" s="314"/>
      <c r="BV158" s="314"/>
      <c r="BW158" s="314"/>
      <c r="BX158" s="325" t="s">
        <v>20736</v>
      </c>
    </row>
    <row r="159" spans="1:76" ht="15.75" customHeight="1">
      <c r="A159" s="4" t="s">
        <v>20233</v>
      </c>
      <c r="B159" s="311" t="s">
        <v>7101</v>
      </c>
      <c r="C159" s="155">
        <v>164</v>
      </c>
      <c r="D159" s="312">
        <v>159</v>
      </c>
      <c r="E159" s="40" t="s">
        <v>20051</v>
      </c>
      <c r="F159" s="314">
        <v>158</v>
      </c>
      <c r="G159" s="316">
        <f>COUNTA(ME_146_D)</f>
        <v>10</v>
      </c>
      <c r="H159" s="316">
        <f>COUNTIF(ME_146_G,"TT")</f>
        <v>10</v>
      </c>
      <c r="I159" s="316">
        <f t="shared" si="173"/>
        <v>0</v>
      </c>
      <c r="J159" s="316">
        <f>COUNTA(ME_146_D)</f>
        <v>10</v>
      </c>
      <c r="K159" s="316">
        <f>COUNTIF(ME_146_G,"TT")</f>
        <v>10</v>
      </c>
      <c r="L159" s="316">
        <f t="shared" si="174"/>
        <v>0</v>
      </c>
      <c r="M159" s="316">
        <f>COUNTIFS('Mechanical Engineering Faculty'!$F$5953:$F$5965,M$1)</f>
        <v>2</v>
      </c>
      <c r="N159" s="316">
        <f>COUNTIFS('Mechanical Engineering Faculty'!$F$5953:$F$5965,N$1)</f>
        <v>7</v>
      </c>
      <c r="O159" s="316">
        <f>COUNTIFS('Mechanical Engineering Faculty'!$F$5953:$F$5965,O$1)</f>
        <v>1</v>
      </c>
      <c r="P159" s="316">
        <f>COUNTIFS(ME_146_G,"TT", ME_146_D,P$1)</f>
        <v>2</v>
      </c>
      <c r="Q159" s="316">
        <f>COUNTIFS(ME_146_G,"TT", ME_146_D,Q$1)</f>
        <v>7</v>
      </c>
      <c r="R159" s="316">
        <f>COUNTIFS(ME_146_G,"TT", ME_146_D,R$1)</f>
        <v>1</v>
      </c>
      <c r="S159" s="316">
        <f>COUNTIF(ME_146_D,S$1)</f>
        <v>0</v>
      </c>
      <c r="T159" s="316">
        <f t="shared" si="142"/>
        <v>0</v>
      </c>
      <c r="U159" s="316">
        <f t="shared" si="143"/>
        <v>0</v>
      </c>
      <c r="V159" s="316">
        <f t="shared" si="144"/>
        <v>0</v>
      </c>
      <c r="W159" s="316">
        <f t="shared" ref="W159:AB159" si="180">COUNTIF(ME_146_D,W$1)</f>
        <v>0</v>
      </c>
      <c r="X159" s="316">
        <f t="shared" si="180"/>
        <v>0</v>
      </c>
      <c r="Y159" s="316">
        <f t="shared" si="180"/>
        <v>0</v>
      </c>
      <c r="Z159" s="316">
        <f t="shared" si="180"/>
        <v>0</v>
      </c>
      <c r="AA159" s="316">
        <f t="shared" si="180"/>
        <v>0</v>
      </c>
      <c r="AB159" s="316">
        <f t="shared" si="180"/>
        <v>0</v>
      </c>
      <c r="AC159" s="315">
        <f>COUNTIF(ME_146_E,AC$1)+COUNTIF(ME_146_E,"E/D")</f>
        <v>0</v>
      </c>
      <c r="AD159" s="315">
        <f>COUNTIF(ME_146_E,AD$1)+COUNTIF(ME_146_E,"E/D")</f>
        <v>0</v>
      </c>
      <c r="AE159" s="377" t="s">
        <v>55</v>
      </c>
      <c r="AF159" s="406" t="s">
        <v>55</v>
      </c>
      <c r="AG159" s="406" t="s">
        <v>55</v>
      </c>
      <c r="AH159" s="406" t="s">
        <v>55</v>
      </c>
      <c r="AI159" s="406" t="s">
        <v>55</v>
      </c>
      <c r="AJ159" s="406" t="s">
        <v>55</v>
      </c>
      <c r="AK159" s="406" t="s">
        <v>55</v>
      </c>
      <c r="AL159" s="318">
        <f t="shared" si="146"/>
        <v>0</v>
      </c>
      <c r="AM159" s="378">
        <v>241548</v>
      </c>
      <c r="AN159" s="379">
        <v>0</v>
      </c>
      <c r="AO159" s="379"/>
      <c r="AP159" s="379">
        <v>25371</v>
      </c>
      <c r="AQ159" s="379"/>
      <c r="AR159" s="379">
        <v>66514</v>
      </c>
      <c r="AS159" s="379">
        <v>0</v>
      </c>
      <c r="AT159" s="318">
        <f t="shared" si="147"/>
        <v>333433</v>
      </c>
      <c r="AU159" s="381">
        <v>264140</v>
      </c>
      <c r="AV159" s="382">
        <v>0</v>
      </c>
      <c r="AW159" s="382"/>
      <c r="AX159" s="382">
        <v>-917</v>
      </c>
      <c r="AY159" s="382"/>
      <c r="AZ159" s="382">
        <v>82433</v>
      </c>
      <c r="BA159" s="382">
        <v>0</v>
      </c>
      <c r="BB159" s="319">
        <f t="shared" si="148"/>
        <v>345656</v>
      </c>
      <c r="BC159" s="332" t="s">
        <v>55</v>
      </c>
      <c r="BD159" s="332" t="s">
        <v>55</v>
      </c>
      <c r="BE159" s="332" t="s">
        <v>55</v>
      </c>
      <c r="BF159" s="332" t="s">
        <v>55</v>
      </c>
      <c r="BG159" s="332" t="s">
        <v>55</v>
      </c>
      <c r="BH159" s="332" t="s">
        <v>55</v>
      </c>
      <c r="BI159" s="332" t="s">
        <v>55</v>
      </c>
      <c r="BJ159" s="332" t="s">
        <v>55</v>
      </c>
      <c r="BK159" s="40" t="s">
        <v>18646</v>
      </c>
      <c r="BL159" s="40" t="s">
        <v>18655</v>
      </c>
      <c r="BM159" s="320">
        <v>1.9</v>
      </c>
      <c r="BN159" s="320">
        <v>2.5</v>
      </c>
      <c r="BO159" s="40" t="s">
        <v>20282</v>
      </c>
      <c r="BP159" s="321">
        <v>366</v>
      </c>
      <c r="BQ159" s="344"/>
      <c r="BR159" s="314" t="s">
        <v>20651</v>
      </c>
      <c r="BS159" s="314"/>
      <c r="BT159" s="314"/>
      <c r="BU159" s="314"/>
      <c r="BV159" s="314"/>
      <c r="BW159" s="314"/>
      <c r="BX159" s="325" t="s">
        <v>20739</v>
      </c>
    </row>
    <row r="160" spans="1:76" ht="15.75" customHeight="1">
      <c r="A160" s="4" t="s">
        <v>18629</v>
      </c>
      <c r="B160" s="311" t="s">
        <v>2714</v>
      </c>
      <c r="C160" s="155">
        <v>157</v>
      </c>
      <c r="D160" s="312" t="s">
        <v>20474</v>
      </c>
      <c r="E160" s="341" t="s">
        <v>18641</v>
      </c>
      <c r="F160" s="314">
        <v>169</v>
      </c>
      <c r="G160" s="316">
        <f>COUNTA(ME_119_D)</f>
        <v>12</v>
      </c>
      <c r="H160" s="316">
        <f>COUNTIF(ME_119_G,"TT")</f>
        <v>12</v>
      </c>
      <c r="I160" s="316">
        <f t="shared" si="173"/>
        <v>0</v>
      </c>
      <c r="J160" s="316">
        <f>COUNTA(ME_119_D)</f>
        <v>12</v>
      </c>
      <c r="K160" s="316">
        <f>COUNTIF(ME_119_G,"TT")</f>
        <v>12</v>
      </c>
      <c r="L160" s="316">
        <f t="shared" si="174"/>
        <v>0</v>
      </c>
      <c r="M160" s="316">
        <f>COUNTIFS('Mechanical Engineering Faculty'!$F$5380:$F$5391,M$1)</f>
        <v>5</v>
      </c>
      <c r="N160" s="316">
        <f>COUNTIFS('Mechanical Engineering Faculty'!$F$5380:$F$5391,N$1)</f>
        <v>4</v>
      </c>
      <c r="O160" s="316">
        <f>COUNTIFS('Mechanical Engineering Faculty'!$F$5380:$F$5391,O$1)</f>
        <v>3</v>
      </c>
      <c r="P160" s="316">
        <f>COUNTIFS(ME_119_G,"TT", ME_119_D,P$1)</f>
        <v>5</v>
      </c>
      <c r="Q160" s="316">
        <f>COUNTIFS(ME_119_G,"TT", ME_119_D,Q$1)</f>
        <v>4</v>
      </c>
      <c r="R160" s="316">
        <f>COUNTIFS(ME_119_G,"TT", ME_119_D,R$1)</f>
        <v>3</v>
      </c>
      <c r="S160" s="316">
        <f>COUNTIF(ME_119_D,S$1)</f>
        <v>0</v>
      </c>
      <c r="T160" s="316">
        <f t="shared" si="142"/>
        <v>0</v>
      </c>
      <c r="U160" s="316">
        <f t="shared" si="143"/>
        <v>0</v>
      </c>
      <c r="V160" s="316">
        <f t="shared" si="144"/>
        <v>0</v>
      </c>
      <c r="W160" s="316">
        <f t="shared" ref="W160:AB160" si="181">COUNTIF(ME_119_D,W$1)</f>
        <v>0</v>
      </c>
      <c r="X160" s="316">
        <f t="shared" si="181"/>
        <v>0</v>
      </c>
      <c r="Y160" s="316">
        <f t="shared" si="181"/>
        <v>0</v>
      </c>
      <c r="Z160" s="316">
        <f t="shared" si="181"/>
        <v>0</v>
      </c>
      <c r="AA160" s="316">
        <f t="shared" si="181"/>
        <v>0</v>
      </c>
      <c r="AB160" s="316">
        <f t="shared" si="181"/>
        <v>0</v>
      </c>
      <c r="AC160" s="315">
        <f>COUNTIF(ME_119_E,AC$1)+COUNTIF(ME_119_E,"E/D")</f>
        <v>1</v>
      </c>
      <c r="AD160" s="315">
        <f>COUNTIF(ME_119_E,AD$1)+COUNTIF(ME_119_E,"E/D")</f>
        <v>0</v>
      </c>
      <c r="AE160" s="378">
        <v>724039</v>
      </c>
      <c r="AF160" s="378">
        <v>0</v>
      </c>
      <c r="AG160" s="378"/>
      <c r="AH160" s="378">
        <v>23898</v>
      </c>
      <c r="AI160" s="378"/>
      <c r="AJ160" s="378">
        <v>91131</v>
      </c>
      <c r="AK160" s="378">
        <v>11443</v>
      </c>
      <c r="AL160" s="318">
        <f t="shared" si="146"/>
        <v>850511</v>
      </c>
      <c r="AM160" s="378">
        <v>785594</v>
      </c>
      <c r="AN160" s="378"/>
      <c r="AO160" s="378"/>
      <c r="AP160" s="378">
        <v>10800</v>
      </c>
      <c r="AQ160" s="378"/>
      <c r="AR160" s="378">
        <v>24596</v>
      </c>
      <c r="AS160" s="378">
        <v>103710</v>
      </c>
      <c r="AT160" s="318">
        <f t="shared" si="147"/>
        <v>924700</v>
      </c>
      <c r="AU160" s="377" t="s">
        <v>55</v>
      </c>
      <c r="AV160" s="377" t="s">
        <v>55</v>
      </c>
      <c r="AW160" s="377" t="s">
        <v>55</v>
      </c>
      <c r="AX160" s="377" t="s">
        <v>55</v>
      </c>
      <c r="AY160" s="377" t="s">
        <v>55</v>
      </c>
      <c r="AZ160" s="377" t="s">
        <v>55</v>
      </c>
      <c r="BA160" s="380" t="s">
        <v>55</v>
      </c>
      <c r="BB160" s="319">
        <f t="shared" si="148"/>
        <v>0</v>
      </c>
      <c r="BC160" s="332" t="s">
        <v>55</v>
      </c>
      <c r="BD160" s="332" t="s">
        <v>55</v>
      </c>
      <c r="BE160" s="332" t="s">
        <v>55</v>
      </c>
      <c r="BF160" s="332" t="s">
        <v>55</v>
      </c>
      <c r="BG160" s="332" t="s">
        <v>55</v>
      </c>
      <c r="BH160" s="332" t="s">
        <v>55</v>
      </c>
      <c r="BI160" s="332" t="s">
        <v>55</v>
      </c>
      <c r="BJ160" s="332" t="s">
        <v>55</v>
      </c>
      <c r="BK160" s="40" t="s">
        <v>18646</v>
      </c>
      <c r="BL160" s="40" t="s">
        <v>18655</v>
      </c>
      <c r="BM160" s="320">
        <v>1.9</v>
      </c>
      <c r="BN160" s="320">
        <v>2.2999999999999998</v>
      </c>
      <c r="BO160" s="40" t="s">
        <v>18679</v>
      </c>
      <c r="BP160" s="321">
        <v>960</v>
      </c>
      <c r="BQ160" s="344"/>
      <c r="BR160" s="386" t="s">
        <v>20651</v>
      </c>
      <c r="BS160" s="314"/>
      <c r="BT160" s="314"/>
      <c r="BU160" s="314"/>
      <c r="BV160" s="314"/>
      <c r="BW160" s="314"/>
      <c r="BX160" s="325" t="s">
        <v>20710</v>
      </c>
    </row>
    <row r="161" spans="1:76" ht="15.75" customHeight="1">
      <c r="A161" s="4" t="s">
        <v>19356</v>
      </c>
      <c r="B161" s="311" t="s">
        <v>2714</v>
      </c>
      <c r="C161" s="155">
        <v>165</v>
      </c>
      <c r="D161" s="312">
        <v>165</v>
      </c>
      <c r="E161" s="40" t="s">
        <v>18641</v>
      </c>
      <c r="F161" s="314">
        <v>169</v>
      </c>
      <c r="G161" s="316">
        <f>COUNTA(ME_131_D)</f>
        <v>30</v>
      </c>
      <c r="H161" s="316">
        <f>COUNTIF(ME_131_G,"TT")</f>
        <v>21</v>
      </c>
      <c r="I161" s="316">
        <f t="shared" si="173"/>
        <v>9</v>
      </c>
      <c r="J161" s="316">
        <f>COUNTA(ME_131_D)</f>
        <v>30</v>
      </c>
      <c r="K161" s="316">
        <f>COUNTIF(ME_131_G,"TT")</f>
        <v>21</v>
      </c>
      <c r="L161" s="316">
        <f t="shared" si="174"/>
        <v>9</v>
      </c>
      <c r="M161" s="316">
        <f>COUNTIFS('Mechanical Engineering Faculty'!$F$5637:$F$5666,M$1)</f>
        <v>14</v>
      </c>
      <c r="N161" s="316">
        <f>COUNTIFS('Mechanical Engineering Faculty'!$F$5637:$F$5666,N$1)</f>
        <v>3</v>
      </c>
      <c r="O161" s="316">
        <f>COUNTIFS('Mechanical Engineering Faculty'!$F$5637:$F$5666,O$1)</f>
        <v>4</v>
      </c>
      <c r="P161" s="316">
        <f>COUNTIFS(ME_131_G,"TT", ME_131_D,P$1)</f>
        <v>14</v>
      </c>
      <c r="Q161" s="316">
        <f>COUNTIFS(ME_131_G,"TT", ME_131_D,Q$1)</f>
        <v>3</v>
      </c>
      <c r="R161" s="316">
        <f>COUNTIFS(ME_131_G,"TT", ME_131_D,R$1)</f>
        <v>4</v>
      </c>
      <c r="S161" s="316">
        <f>COUNTIF(ME_131_D,S$1)</f>
        <v>0</v>
      </c>
      <c r="T161" s="316">
        <f t="shared" si="142"/>
        <v>0</v>
      </c>
      <c r="U161" s="316">
        <f t="shared" si="143"/>
        <v>0</v>
      </c>
      <c r="V161" s="316">
        <f t="shared" si="144"/>
        <v>0</v>
      </c>
      <c r="W161" s="316">
        <f t="shared" ref="W161:AB161" si="182">COUNTIF(ME_131_D,W$1)</f>
        <v>0</v>
      </c>
      <c r="X161" s="316">
        <f t="shared" si="182"/>
        <v>1</v>
      </c>
      <c r="Y161" s="316">
        <f t="shared" si="182"/>
        <v>6</v>
      </c>
      <c r="Z161" s="316">
        <f t="shared" si="182"/>
        <v>1</v>
      </c>
      <c r="AA161" s="316">
        <f t="shared" si="182"/>
        <v>0</v>
      </c>
      <c r="AB161" s="316">
        <f t="shared" si="182"/>
        <v>1</v>
      </c>
      <c r="AC161" s="315">
        <f>COUNTIF(ME_131_E,AC$1)+COUNTIF(ME_131_E,"E/D")</f>
        <v>1</v>
      </c>
      <c r="AD161" s="315">
        <f>COUNTIF(ME_131_E,AD$1)+COUNTIF(ME_131_E,"E/D")</f>
        <v>0</v>
      </c>
      <c r="AE161" s="378">
        <v>545249</v>
      </c>
      <c r="AF161" s="379"/>
      <c r="AG161" s="379"/>
      <c r="AH161" s="379"/>
      <c r="AI161" s="379">
        <v>29902</v>
      </c>
      <c r="AJ161" s="379">
        <v>181502</v>
      </c>
      <c r="AK161" s="379">
        <v>98776</v>
      </c>
      <c r="AL161" s="318">
        <f t="shared" si="146"/>
        <v>855429</v>
      </c>
      <c r="AM161" s="378">
        <v>1200991</v>
      </c>
      <c r="AN161" s="378">
        <v>0</v>
      </c>
      <c r="AO161" s="378">
        <v>0</v>
      </c>
      <c r="AP161" s="378">
        <v>0</v>
      </c>
      <c r="AQ161" s="378">
        <v>24679</v>
      </c>
      <c r="AR161" s="378">
        <v>159857</v>
      </c>
      <c r="AS161" s="378">
        <v>30593</v>
      </c>
      <c r="AT161" s="318">
        <f t="shared" si="147"/>
        <v>1416120</v>
      </c>
      <c r="AU161" s="381">
        <v>908198</v>
      </c>
      <c r="AV161" s="381">
        <v>0</v>
      </c>
      <c r="AW161" s="381"/>
      <c r="AX161" s="381"/>
      <c r="AY161" s="381">
        <v>21885</v>
      </c>
      <c r="AZ161" s="381">
        <v>71921</v>
      </c>
      <c r="BA161" s="381">
        <v>22230</v>
      </c>
      <c r="BB161" s="319">
        <f t="shared" si="148"/>
        <v>1024234</v>
      </c>
      <c r="BC161" s="412">
        <v>2645998</v>
      </c>
      <c r="BD161" s="412">
        <v>0</v>
      </c>
      <c r="BE161" s="412">
        <v>0</v>
      </c>
      <c r="BF161" s="412">
        <v>0</v>
      </c>
      <c r="BG161" s="412">
        <v>0</v>
      </c>
      <c r="BH161" s="412">
        <v>100653</v>
      </c>
      <c r="BI161" s="412">
        <v>35238</v>
      </c>
      <c r="BJ161" s="314">
        <f>SUM(BC161:BI161)</f>
        <v>2781889</v>
      </c>
      <c r="BK161" s="40" t="s">
        <v>16860</v>
      </c>
      <c r="BL161" s="320">
        <v>40</v>
      </c>
      <c r="BM161" s="320">
        <v>2.1</v>
      </c>
      <c r="BN161" s="320">
        <v>2.6</v>
      </c>
      <c r="BO161" s="40" t="s">
        <v>19399</v>
      </c>
      <c r="BP161" s="321">
        <v>2280</v>
      </c>
      <c r="BQ161" s="344"/>
      <c r="BR161" s="314">
        <v>135</v>
      </c>
      <c r="BS161" s="314"/>
      <c r="BT161" s="314"/>
      <c r="BU161" s="314"/>
      <c r="BV161" s="314"/>
      <c r="BW161" s="314"/>
      <c r="BX161" s="325" t="s">
        <v>20722</v>
      </c>
    </row>
    <row r="162" spans="1:76" ht="15.75" customHeight="1">
      <c r="A162" s="4" t="s">
        <v>19781</v>
      </c>
      <c r="B162" s="311" t="s">
        <v>2714</v>
      </c>
      <c r="C162" s="155">
        <v>152</v>
      </c>
      <c r="D162" s="312">
        <v>149</v>
      </c>
      <c r="E162" s="40" t="s">
        <v>19531</v>
      </c>
      <c r="F162" s="314">
        <v>169</v>
      </c>
      <c r="G162" s="316">
        <f>COUNTA(ME_137_D)</f>
        <v>19</v>
      </c>
      <c r="H162" s="316">
        <f>COUNTIF(ME_137_G,"TT")</f>
        <v>11</v>
      </c>
      <c r="I162" s="316">
        <f t="shared" si="173"/>
        <v>8</v>
      </c>
      <c r="J162" s="316">
        <f>COUNTA(ME_137_D)</f>
        <v>19</v>
      </c>
      <c r="K162" s="316">
        <f>COUNTIF(ME_137_G,"TT")</f>
        <v>11</v>
      </c>
      <c r="L162" s="316">
        <f t="shared" si="174"/>
        <v>8</v>
      </c>
      <c r="M162" s="316">
        <f>COUNTIFS('Mechanical Engineering Faculty'!$F$5766:$F$5784,M$1)</f>
        <v>4</v>
      </c>
      <c r="N162" s="316">
        <f>COUNTIFS('Mechanical Engineering Faculty'!$F$5766:$F$5784,N$1)</f>
        <v>6</v>
      </c>
      <c r="O162" s="316">
        <f>COUNTIFS('Mechanical Engineering Faculty'!$F$5766:$F$5784,O$1)</f>
        <v>1</v>
      </c>
      <c r="P162" s="316">
        <f>COUNTIFS(ME_137_G,"TT", ME_137_D,P$1)</f>
        <v>4</v>
      </c>
      <c r="Q162" s="316">
        <f>COUNTIFS(ME_137_G,"TT", ME_137_D,Q$1)</f>
        <v>6</v>
      </c>
      <c r="R162" s="316">
        <f>COUNTIFS(ME_137_G,"TT", ME_137_D,R$1)</f>
        <v>1</v>
      </c>
      <c r="S162" s="316">
        <f>COUNTIF(ME_137_D,S$1)</f>
        <v>7</v>
      </c>
      <c r="T162" s="316">
        <f t="shared" ref="T162:T174" si="183">P162-M162</f>
        <v>0</v>
      </c>
      <c r="U162" s="316">
        <f t="shared" ref="U162:U174" si="184">Q162-N162</f>
        <v>0</v>
      </c>
      <c r="V162" s="316">
        <f t="shared" ref="V162:V174" si="185">R162-O162</f>
        <v>0</v>
      </c>
      <c r="W162" s="316">
        <f t="shared" ref="W162:AB162" si="186">COUNTIF(ME_137_D,W$1)</f>
        <v>0</v>
      </c>
      <c r="X162" s="316">
        <f t="shared" si="186"/>
        <v>0</v>
      </c>
      <c r="Y162" s="316">
        <f t="shared" si="186"/>
        <v>1</v>
      </c>
      <c r="Z162" s="316">
        <f t="shared" si="186"/>
        <v>0</v>
      </c>
      <c r="AA162" s="316">
        <f t="shared" si="186"/>
        <v>0</v>
      </c>
      <c r="AB162" s="316">
        <f t="shared" si="186"/>
        <v>0</v>
      </c>
      <c r="AC162" s="315">
        <f>COUNTIF(ME_137_E,AC$1)+COUNTIF(ME_137_E,"E/D")</f>
        <v>0</v>
      </c>
      <c r="AD162" s="315">
        <f>COUNTIF(ME_137_E,AD$1)+COUNTIF(ME_137_E,"E/D")</f>
        <v>0</v>
      </c>
      <c r="AE162" s="378">
        <v>726071</v>
      </c>
      <c r="AF162" s="379"/>
      <c r="AG162" s="379"/>
      <c r="AH162" s="379">
        <v>0</v>
      </c>
      <c r="AI162" s="379"/>
      <c r="AJ162" s="379">
        <v>20250</v>
      </c>
      <c r="AK162" s="379">
        <v>69950</v>
      </c>
      <c r="AL162" s="318">
        <f t="shared" ref="AL162:AL193" si="187">SUM(AE162:AK162)</f>
        <v>816271</v>
      </c>
      <c r="AM162" s="378">
        <v>721057</v>
      </c>
      <c r="AN162" s="379"/>
      <c r="AO162" s="379"/>
      <c r="AP162" s="379">
        <v>0</v>
      </c>
      <c r="AQ162" s="379"/>
      <c r="AR162" s="379"/>
      <c r="AS162" s="379">
        <v>0</v>
      </c>
      <c r="AT162" s="318">
        <f t="shared" ref="AT162:AT193" si="188">SUM(AM162:AS162)</f>
        <v>721057</v>
      </c>
      <c r="AU162" s="381">
        <v>325340</v>
      </c>
      <c r="AV162" s="382"/>
      <c r="AW162" s="382"/>
      <c r="AX162" s="382">
        <v>0</v>
      </c>
      <c r="AY162" s="382"/>
      <c r="AZ162" s="382"/>
      <c r="BA162" s="382">
        <v>0</v>
      </c>
      <c r="BB162" s="319">
        <f t="shared" ref="BB162:BB193" si="189">SUM(AU162:BA162)</f>
        <v>325340</v>
      </c>
      <c r="BC162" s="328">
        <v>188125</v>
      </c>
      <c r="BD162" s="329">
        <v>0</v>
      </c>
      <c r="BE162" s="329">
        <v>0</v>
      </c>
      <c r="BF162" s="329">
        <v>0</v>
      </c>
      <c r="BG162" s="329">
        <v>0</v>
      </c>
      <c r="BH162" s="329">
        <v>84881</v>
      </c>
      <c r="BI162" s="329">
        <v>0</v>
      </c>
      <c r="BJ162" s="314">
        <f>SUM(BC162:BI162)</f>
        <v>273006</v>
      </c>
      <c r="BK162" s="40" t="s">
        <v>18646</v>
      </c>
      <c r="BL162" s="40" t="s">
        <v>18655</v>
      </c>
      <c r="BM162" s="320">
        <v>1.9</v>
      </c>
      <c r="BN162" s="320">
        <v>2.4</v>
      </c>
      <c r="BO162" s="40" t="s">
        <v>19830</v>
      </c>
      <c r="BP162" s="155">
        <v>123</v>
      </c>
      <c r="BQ162" s="344"/>
      <c r="BR162" s="314" t="s">
        <v>20651</v>
      </c>
      <c r="BS162" s="314"/>
      <c r="BT162" s="314"/>
      <c r="BU162" s="314"/>
      <c r="BV162" s="314"/>
      <c r="BW162" s="314"/>
      <c r="BX162" s="325" t="s">
        <v>20730</v>
      </c>
    </row>
    <row r="163" spans="1:76" ht="15.75" customHeight="1">
      <c r="A163" s="4" t="s">
        <v>20317</v>
      </c>
      <c r="B163" s="311" t="s">
        <v>2714</v>
      </c>
      <c r="C163" s="155" t="s">
        <v>55</v>
      </c>
      <c r="D163" s="312" t="s">
        <v>20474</v>
      </c>
      <c r="E163" s="40" t="s">
        <v>20051</v>
      </c>
      <c r="F163" s="314">
        <v>169</v>
      </c>
      <c r="G163" s="316">
        <f>COUNTA(ME_148_D)</f>
        <v>16</v>
      </c>
      <c r="H163" s="316">
        <f>COUNTIF(ME_148_G,"TT")</f>
        <v>12</v>
      </c>
      <c r="I163" s="316">
        <f t="shared" si="173"/>
        <v>4</v>
      </c>
      <c r="J163" s="316">
        <f>COUNTA(ME_148_D)</f>
        <v>16</v>
      </c>
      <c r="K163" s="316">
        <f>COUNTIF(ME_148_G,"TT")</f>
        <v>12</v>
      </c>
      <c r="L163" s="316">
        <f t="shared" si="174"/>
        <v>4</v>
      </c>
      <c r="M163" s="316">
        <f>COUNTIFS('Mechanical Engineering Faculty'!$F$5992:$F$6008,M$1)</f>
        <v>3</v>
      </c>
      <c r="N163" s="316">
        <f>COUNTIFS('Mechanical Engineering Faculty'!$F$5992:$F$6008,N$1)</f>
        <v>5</v>
      </c>
      <c r="O163" s="316">
        <f>COUNTIFS('Mechanical Engineering Faculty'!$F$5992:$F$6008,O$1)</f>
        <v>4</v>
      </c>
      <c r="P163" s="316">
        <f>COUNTIFS(ME_148_G,"TT", ME_148_D,P$1)</f>
        <v>3</v>
      </c>
      <c r="Q163" s="316">
        <f>COUNTIFS(ME_148_G,"TT", ME_148_D,Q$1)</f>
        <v>5</v>
      </c>
      <c r="R163" s="316">
        <f>COUNTIFS(ME_148_G,"TT", ME_148_D,R$1)</f>
        <v>4</v>
      </c>
      <c r="S163" s="316">
        <f>COUNTIF(ME_148_D,S$1)</f>
        <v>4</v>
      </c>
      <c r="T163" s="316">
        <f t="shared" si="183"/>
        <v>0</v>
      </c>
      <c r="U163" s="316">
        <f t="shared" si="184"/>
        <v>0</v>
      </c>
      <c r="V163" s="316">
        <f t="shared" si="185"/>
        <v>0</v>
      </c>
      <c r="W163" s="316">
        <f t="shared" ref="W163:AB163" si="190">COUNTIF(ME_148_D,W$1)</f>
        <v>0</v>
      </c>
      <c r="X163" s="316">
        <f t="shared" si="190"/>
        <v>0</v>
      </c>
      <c r="Y163" s="316">
        <f t="shared" si="190"/>
        <v>0</v>
      </c>
      <c r="Z163" s="316">
        <f t="shared" si="190"/>
        <v>0</v>
      </c>
      <c r="AA163" s="316">
        <f t="shared" si="190"/>
        <v>0</v>
      </c>
      <c r="AB163" s="316">
        <f t="shared" si="190"/>
        <v>0</v>
      </c>
      <c r="AC163" s="315">
        <f>COUNTIF(ME_148_E,AC$1)+COUNTIF(ME_148_E,"E/D")</f>
        <v>0</v>
      </c>
      <c r="AD163" s="315">
        <f>COUNTIF(ME_148_E,AD$1)+COUNTIF(ME_148_E,"E/D")</f>
        <v>0</v>
      </c>
      <c r="AE163" s="377" t="s">
        <v>55</v>
      </c>
      <c r="AF163" s="406" t="s">
        <v>55</v>
      </c>
      <c r="AG163" s="406" t="s">
        <v>55</v>
      </c>
      <c r="AH163" s="406" t="s">
        <v>55</v>
      </c>
      <c r="AI163" s="406" t="s">
        <v>55</v>
      </c>
      <c r="AJ163" s="406" t="s">
        <v>55</v>
      </c>
      <c r="AK163" s="406" t="s">
        <v>55</v>
      </c>
      <c r="AL163" s="318">
        <f t="shared" si="187"/>
        <v>0</v>
      </c>
      <c r="AM163" s="377" t="s">
        <v>55</v>
      </c>
      <c r="AN163" s="377" t="s">
        <v>55</v>
      </c>
      <c r="AO163" s="377" t="s">
        <v>55</v>
      </c>
      <c r="AP163" s="377" t="s">
        <v>55</v>
      </c>
      <c r="AQ163" s="377" t="s">
        <v>55</v>
      </c>
      <c r="AR163" s="377" t="s">
        <v>55</v>
      </c>
      <c r="AS163" s="377" t="s">
        <v>55</v>
      </c>
      <c r="AT163" s="318">
        <f t="shared" si="188"/>
        <v>0</v>
      </c>
      <c r="AU163" s="377" t="s">
        <v>55</v>
      </c>
      <c r="AV163" s="406" t="s">
        <v>55</v>
      </c>
      <c r="AW163" s="406" t="s">
        <v>55</v>
      </c>
      <c r="AX163" s="406" t="s">
        <v>55</v>
      </c>
      <c r="AY163" s="406" t="s">
        <v>55</v>
      </c>
      <c r="AZ163" s="406" t="s">
        <v>55</v>
      </c>
      <c r="BA163" s="409" t="s">
        <v>55</v>
      </c>
      <c r="BB163" s="319">
        <f t="shared" si="189"/>
        <v>0</v>
      </c>
      <c r="BC163" s="411" t="s">
        <v>55</v>
      </c>
      <c r="BD163" s="413" t="s">
        <v>55</v>
      </c>
      <c r="BE163" s="413" t="s">
        <v>55</v>
      </c>
      <c r="BF163" s="413" t="s">
        <v>55</v>
      </c>
      <c r="BG163" s="413" t="s">
        <v>55</v>
      </c>
      <c r="BH163" s="413" t="s">
        <v>55</v>
      </c>
      <c r="BI163" s="413" t="s">
        <v>55</v>
      </c>
      <c r="BJ163" s="332" t="s">
        <v>55</v>
      </c>
      <c r="BK163" s="40" t="s">
        <v>19702</v>
      </c>
      <c r="BL163" s="40" t="s">
        <v>18655</v>
      </c>
      <c r="BM163" s="40" t="s">
        <v>55</v>
      </c>
      <c r="BN163" s="40" t="s">
        <v>55</v>
      </c>
      <c r="BO163" s="40" t="s">
        <v>55</v>
      </c>
      <c r="BP163" s="321" t="s">
        <v>55</v>
      </c>
      <c r="BQ163" s="314">
        <v>93</v>
      </c>
      <c r="BR163" s="314" t="s">
        <v>20741</v>
      </c>
      <c r="BS163" s="314"/>
      <c r="BT163" s="314"/>
      <c r="BU163" s="314"/>
      <c r="BV163" s="314"/>
      <c r="BW163" s="314"/>
      <c r="BX163" s="325" t="s">
        <v>20742</v>
      </c>
    </row>
    <row r="164" spans="1:76" ht="15.75" customHeight="1">
      <c r="A164" s="4" t="s">
        <v>19048</v>
      </c>
      <c r="B164" s="311" t="s">
        <v>2714</v>
      </c>
      <c r="C164" s="155">
        <v>164</v>
      </c>
      <c r="D164" s="312">
        <v>164</v>
      </c>
      <c r="E164" s="341" t="s">
        <v>18641</v>
      </c>
      <c r="F164" s="314">
        <v>173</v>
      </c>
      <c r="G164" s="316">
        <f>COUNTA(ME_126_D)</f>
        <v>14</v>
      </c>
      <c r="H164" s="316">
        <f>COUNTIF(ME_126_G,"TT")</f>
        <v>14</v>
      </c>
      <c r="I164" s="316">
        <f t="shared" si="173"/>
        <v>0</v>
      </c>
      <c r="J164" s="316">
        <f>COUNTA(ME_126_D)</f>
        <v>14</v>
      </c>
      <c r="K164" s="316">
        <f>COUNTIF(ME_126_G,"TT")</f>
        <v>14</v>
      </c>
      <c r="L164" s="316">
        <f t="shared" si="174"/>
        <v>0</v>
      </c>
      <c r="M164" s="316">
        <f>COUNTIFS('Mechanical Engineering Faculty'!$F$5537:$F$5550,M$1)</f>
        <v>8</v>
      </c>
      <c r="N164" s="316">
        <f>COUNTIFS('Mechanical Engineering Faculty'!$F$5537:$F$5550,N$1)</f>
        <v>2</v>
      </c>
      <c r="O164" s="316">
        <f>COUNTIFS('Mechanical Engineering Faculty'!$F$5537:$F$5550,O$1)</f>
        <v>4</v>
      </c>
      <c r="P164" s="316">
        <f>COUNTIFS(ME_126_G,"TT", ME_126_D,P$1)</f>
        <v>8</v>
      </c>
      <c r="Q164" s="316">
        <f>COUNTIFS(ME_126_G,"TT", ME_126_D,Q$1)</f>
        <v>2</v>
      </c>
      <c r="R164" s="316">
        <f>COUNTIFS(ME_126_G,"TT", ME_126_D,R$1)</f>
        <v>4</v>
      </c>
      <c r="S164" s="316">
        <f>COUNTIF(ME_126_D,S$1)</f>
        <v>0</v>
      </c>
      <c r="T164" s="316">
        <f t="shared" si="183"/>
        <v>0</v>
      </c>
      <c r="U164" s="316">
        <f t="shared" si="184"/>
        <v>0</v>
      </c>
      <c r="V164" s="316">
        <f t="shared" si="185"/>
        <v>0</v>
      </c>
      <c r="W164" s="316">
        <f t="shared" ref="W164:AB164" si="191">COUNTIF(ME_126_D,W$1)</f>
        <v>0</v>
      </c>
      <c r="X164" s="316">
        <f t="shared" si="191"/>
        <v>0</v>
      </c>
      <c r="Y164" s="316">
        <f t="shared" si="191"/>
        <v>0</v>
      </c>
      <c r="Z164" s="316">
        <f t="shared" si="191"/>
        <v>0</v>
      </c>
      <c r="AA164" s="316">
        <f t="shared" si="191"/>
        <v>0</v>
      </c>
      <c r="AB164" s="316">
        <f t="shared" si="191"/>
        <v>0</v>
      </c>
      <c r="AC164" s="315">
        <f>COUNTIF(ME_126_E,AC$1)+COUNTIF(ME_126_E,"E/D")</f>
        <v>0</v>
      </c>
      <c r="AD164" s="315">
        <f>COUNTIF(ME_126_E,AD$1)+COUNTIF(ME_126_E,"E/D")</f>
        <v>0</v>
      </c>
      <c r="AE164" s="378">
        <v>431383</v>
      </c>
      <c r="AF164" s="379"/>
      <c r="AG164" s="379"/>
      <c r="AH164" s="379"/>
      <c r="AI164" s="379">
        <v>76044</v>
      </c>
      <c r="AJ164" s="379"/>
      <c r="AK164" s="379"/>
      <c r="AL164" s="318">
        <f t="shared" si="187"/>
        <v>507427</v>
      </c>
      <c r="AM164" s="378">
        <v>215528</v>
      </c>
      <c r="AN164" s="379"/>
      <c r="AO164" s="379"/>
      <c r="AP164" s="379"/>
      <c r="AQ164" s="379">
        <v>146876</v>
      </c>
      <c r="AR164" s="379"/>
      <c r="AS164" s="379">
        <v>0</v>
      </c>
      <c r="AT164" s="318">
        <f t="shared" si="188"/>
        <v>362404</v>
      </c>
      <c r="AU164" s="381">
        <v>244126</v>
      </c>
      <c r="AV164" s="382"/>
      <c r="AW164" s="382"/>
      <c r="AX164" s="382"/>
      <c r="AY164" s="382">
        <v>233592</v>
      </c>
      <c r="AZ164" s="382"/>
      <c r="BA164" s="382"/>
      <c r="BB164" s="319">
        <f t="shared" si="189"/>
        <v>477718</v>
      </c>
      <c r="BC164" s="328">
        <v>403550</v>
      </c>
      <c r="BD164" s="329">
        <v>0</v>
      </c>
      <c r="BE164" s="329">
        <v>0</v>
      </c>
      <c r="BF164" s="329">
        <v>0</v>
      </c>
      <c r="BG164" s="329">
        <v>0</v>
      </c>
      <c r="BH164" s="329">
        <v>181395</v>
      </c>
      <c r="BI164" s="329">
        <v>87619</v>
      </c>
      <c r="BJ164" s="314">
        <f>SUM(BC164:BI164)</f>
        <v>672564</v>
      </c>
      <c r="BK164" s="40" t="s">
        <v>18646</v>
      </c>
      <c r="BL164" s="40" t="s">
        <v>18655</v>
      </c>
      <c r="BM164" s="320">
        <v>1.9</v>
      </c>
      <c r="BN164" s="320">
        <v>2.5</v>
      </c>
      <c r="BO164" s="40" t="s">
        <v>19093</v>
      </c>
      <c r="BP164" s="321">
        <v>180</v>
      </c>
      <c r="BQ164" s="314">
        <v>89</v>
      </c>
      <c r="BR164" s="314" t="s">
        <v>20651</v>
      </c>
      <c r="BS164" s="314"/>
      <c r="BT164" s="314"/>
      <c r="BU164" s="314"/>
      <c r="BV164" s="314"/>
      <c r="BW164" s="314"/>
      <c r="BX164" s="325" t="s">
        <v>20717</v>
      </c>
    </row>
    <row r="165" spans="1:76" ht="15.75" customHeight="1">
      <c r="A165" s="4" t="s">
        <v>19621</v>
      </c>
      <c r="B165" s="311" t="s">
        <v>2714</v>
      </c>
      <c r="C165" s="155">
        <v>157</v>
      </c>
      <c r="D165" s="312">
        <v>159</v>
      </c>
      <c r="E165" s="341" t="s">
        <v>19531</v>
      </c>
      <c r="F165" s="314">
        <v>173</v>
      </c>
      <c r="G165" s="316">
        <f>COUNTA(ME_134_D)</f>
        <v>16</v>
      </c>
      <c r="H165" s="316">
        <f>COUNTIF(ME_134_G,"TT")</f>
        <v>16</v>
      </c>
      <c r="I165" s="316">
        <f t="shared" si="173"/>
        <v>0</v>
      </c>
      <c r="J165" s="316">
        <f>COUNTA(ME_134_D)</f>
        <v>16</v>
      </c>
      <c r="K165" s="316">
        <f>COUNTIF(ME_134_G,"TT")</f>
        <v>16</v>
      </c>
      <c r="L165" s="316">
        <f t="shared" si="174"/>
        <v>0</v>
      </c>
      <c r="M165" s="316">
        <f>COUNTIFS('Mechanical Engineering Faculty'!$F$5712:$F$5727,M$1)</f>
        <v>6</v>
      </c>
      <c r="N165" s="316">
        <f>COUNTIFS('Mechanical Engineering Faculty'!$F$5712:$F$5727,N$1)</f>
        <v>6</v>
      </c>
      <c r="O165" s="316">
        <f>COUNTIFS('Mechanical Engineering Faculty'!$F$5712:$F$5727,O$1)</f>
        <v>4</v>
      </c>
      <c r="P165" s="316">
        <f>COUNTIFS(ME_134_G,"TT", ME_134_D,P$1)</f>
        <v>6</v>
      </c>
      <c r="Q165" s="316">
        <f>COUNTIFS(ME_134_G,"TT", ME_134_D,Q$1)</f>
        <v>6</v>
      </c>
      <c r="R165" s="316">
        <f>COUNTIFS(ME_134_G,"TT", ME_134_D,R$1)</f>
        <v>4</v>
      </c>
      <c r="S165" s="316">
        <f>COUNTIF(ME_134_D,S$1)</f>
        <v>0</v>
      </c>
      <c r="T165" s="316">
        <f t="shared" si="183"/>
        <v>0</v>
      </c>
      <c r="U165" s="316">
        <f t="shared" si="184"/>
        <v>0</v>
      </c>
      <c r="V165" s="316">
        <f t="shared" si="185"/>
        <v>0</v>
      </c>
      <c r="W165" s="316">
        <f t="shared" ref="W165:AB165" si="192">COUNTIF(ME_134_D,W$1)</f>
        <v>0</v>
      </c>
      <c r="X165" s="316">
        <f t="shared" si="192"/>
        <v>0</v>
      </c>
      <c r="Y165" s="316">
        <f t="shared" si="192"/>
        <v>0</v>
      </c>
      <c r="Z165" s="316">
        <f t="shared" si="192"/>
        <v>0</v>
      </c>
      <c r="AA165" s="316">
        <f t="shared" si="192"/>
        <v>0</v>
      </c>
      <c r="AB165" s="316">
        <f t="shared" si="192"/>
        <v>0</v>
      </c>
      <c r="AC165" s="315">
        <f>COUNTIF(ME_134_E,AC$1)+COUNTIF(ME_134_E,"E/D")</f>
        <v>0</v>
      </c>
      <c r="AD165" s="315">
        <f>COUNTIF(ME_134_E,AD$1)+COUNTIF(ME_134_E,"E/D")</f>
        <v>0</v>
      </c>
      <c r="AE165" s="378">
        <v>746109</v>
      </c>
      <c r="AF165" s="379">
        <v>0</v>
      </c>
      <c r="AG165" s="379"/>
      <c r="AH165" s="379">
        <v>0</v>
      </c>
      <c r="AI165" s="379">
        <v>57500</v>
      </c>
      <c r="AJ165" s="379">
        <v>305827</v>
      </c>
      <c r="AK165" s="379">
        <v>282978</v>
      </c>
      <c r="AL165" s="318">
        <f t="shared" si="187"/>
        <v>1392414</v>
      </c>
      <c r="AM165" s="378">
        <v>648513</v>
      </c>
      <c r="AN165" s="379">
        <v>0</v>
      </c>
      <c r="AO165" s="379"/>
      <c r="AP165" s="379">
        <v>173975</v>
      </c>
      <c r="AQ165" s="379">
        <v>28143</v>
      </c>
      <c r="AR165" s="379">
        <v>223718</v>
      </c>
      <c r="AS165" s="379">
        <v>532593</v>
      </c>
      <c r="AT165" s="318">
        <f t="shared" si="188"/>
        <v>1606942</v>
      </c>
      <c r="AU165" s="381">
        <v>1553546</v>
      </c>
      <c r="AV165" s="382">
        <v>0</v>
      </c>
      <c r="AW165" s="382">
        <v>0</v>
      </c>
      <c r="AX165" s="382">
        <v>36898</v>
      </c>
      <c r="AY165" s="382">
        <v>0</v>
      </c>
      <c r="AZ165" s="382">
        <v>55413</v>
      </c>
      <c r="BA165" s="382">
        <v>209744</v>
      </c>
      <c r="BB165" s="319">
        <f t="shared" si="189"/>
        <v>1855601</v>
      </c>
      <c r="BC165" s="411" t="s">
        <v>55</v>
      </c>
      <c r="BD165" s="413" t="s">
        <v>55</v>
      </c>
      <c r="BE165" s="413" t="s">
        <v>55</v>
      </c>
      <c r="BF165" s="413" t="s">
        <v>55</v>
      </c>
      <c r="BG165" s="413" t="s">
        <v>55</v>
      </c>
      <c r="BH165" s="413" t="s">
        <v>55</v>
      </c>
      <c r="BI165" s="413" t="s">
        <v>55</v>
      </c>
      <c r="BJ165" s="332" t="s">
        <v>55</v>
      </c>
      <c r="BK165" s="40" t="s">
        <v>18286</v>
      </c>
      <c r="BL165" s="320">
        <v>28</v>
      </c>
      <c r="BM165" s="320">
        <v>2</v>
      </c>
      <c r="BN165" s="320">
        <v>2.2999999999999998</v>
      </c>
      <c r="BO165" s="40" t="s">
        <v>19670</v>
      </c>
      <c r="BP165" s="321">
        <v>170</v>
      </c>
      <c r="BQ165" s="314">
        <v>89</v>
      </c>
      <c r="BR165" s="314">
        <v>170</v>
      </c>
      <c r="BS165" s="314"/>
      <c r="BT165" s="314"/>
      <c r="BU165" s="314"/>
      <c r="BV165" s="314"/>
      <c r="BW165" s="314"/>
      <c r="BX165" s="325" t="s">
        <v>20726</v>
      </c>
    </row>
    <row r="166" spans="1:76" ht="15.75" customHeight="1">
      <c r="A166" s="4" t="s">
        <v>19687</v>
      </c>
      <c r="B166" s="311" t="s">
        <v>2714</v>
      </c>
      <c r="C166" s="155" t="s">
        <v>55</v>
      </c>
      <c r="D166" s="312" t="s">
        <v>20474</v>
      </c>
      <c r="E166" s="40" t="s">
        <v>19531</v>
      </c>
      <c r="F166" s="314">
        <v>173</v>
      </c>
      <c r="G166" s="316">
        <f>COUNTA(ME_135_D)</f>
        <v>16</v>
      </c>
      <c r="H166" s="316">
        <f>COUNTIF(ME_135_G,"TT")</f>
        <v>10</v>
      </c>
      <c r="I166" s="316">
        <f t="shared" si="173"/>
        <v>6</v>
      </c>
      <c r="J166" s="316">
        <f>COUNTA(ME_135_D)</f>
        <v>16</v>
      </c>
      <c r="K166" s="316">
        <f>COUNTIF(ME_135_G,"TT")</f>
        <v>10</v>
      </c>
      <c r="L166" s="316">
        <f t="shared" si="174"/>
        <v>6</v>
      </c>
      <c r="M166" s="316">
        <f>COUNTIFS('Mechanical Engineering Faculty'!$F$5730:$F$5745,M$1)</f>
        <v>3</v>
      </c>
      <c r="N166" s="316">
        <f>COUNTIFS('Mechanical Engineering Faculty'!$F$5730:$F$5745,N$1)</f>
        <v>2</v>
      </c>
      <c r="O166" s="316">
        <f>COUNTIFS('Mechanical Engineering Faculty'!$F$5730:$F$5745,O$1)</f>
        <v>5</v>
      </c>
      <c r="P166" s="316">
        <f>COUNTIFS(ME_135_G,"TT", ME_135_D,P$1)</f>
        <v>3</v>
      </c>
      <c r="Q166" s="316">
        <f>COUNTIFS(ME_135_G,"TT", ME_135_D,Q$1)</f>
        <v>2</v>
      </c>
      <c r="R166" s="316">
        <f>COUNTIFS(ME_135_G,"TT", ME_135_D,R$1)</f>
        <v>5</v>
      </c>
      <c r="S166" s="316">
        <f>COUNTIF(ME_135_D,S$1)</f>
        <v>1</v>
      </c>
      <c r="T166" s="316">
        <f t="shared" si="183"/>
        <v>0</v>
      </c>
      <c r="U166" s="316">
        <f t="shared" si="184"/>
        <v>0</v>
      </c>
      <c r="V166" s="316">
        <f t="shared" si="185"/>
        <v>0</v>
      </c>
      <c r="W166" s="316">
        <f t="shared" ref="W166:AB166" si="193">COUNTIF(ME_135_D,W$1)</f>
        <v>1</v>
      </c>
      <c r="X166" s="316">
        <f t="shared" si="193"/>
        <v>1</v>
      </c>
      <c r="Y166" s="316">
        <f t="shared" si="193"/>
        <v>3</v>
      </c>
      <c r="Z166" s="316">
        <f t="shared" si="193"/>
        <v>0</v>
      </c>
      <c r="AA166" s="316">
        <f t="shared" si="193"/>
        <v>0</v>
      </c>
      <c r="AB166" s="316">
        <f t="shared" si="193"/>
        <v>0</v>
      </c>
      <c r="AC166" s="315">
        <f>COUNTIF(ME_135_E,AC$1)+COUNTIF(ME_135_E,"E/D")</f>
        <v>0</v>
      </c>
      <c r="AD166" s="315">
        <f>COUNTIF(ME_135_E,AD$1)+COUNTIF(ME_135_E,"E/D")</f>
        <v>0</v>
      </c>
      <c r="AE166" s="377" t="s">
        <v>55</v>
      </c>
      <c r="AF166" s="406" t="s">
        <v>55</v>
      </c>
      <c r="AG166" s="406" t="s">
        <v>55</v>
      </c>
      <c r="AH166" s="406" t="s">
        <v>55</v>
      </c>
      <c r="AI166" s="406" t="s">
        <v>55</v>
      </c>
      <c r="AJ166" s="406" t="s">
        <v>55</v>
      </c>
      <c r="AK166" s="406" t="s">
        <v>55</v>
      </c>
      <c r="AL166" s="318">
        <f t="shared" si="187"/>
        <v>0</v>
      </c>
      <c r="AM166" s="377" t="s">
        <v>55</v>
      </c>
      <c r="AN166" s="406" t="s">
        <v>55</v>
      </c>
      <c r="AO166" s="406" t="s">
        <v>55</v>
      </c>
      <c r="AP166" s="406" t="s">
        <v>55</v>
      </c>
      <c r="AQ166" s="406" t="s">
        <v>55</v>
      </c>
      <c r="AR166" s="406" t="s">
        <v>55</v>
      </c>
      <c r="AS166" s="406" t="s">
        <v>55</v>
      </c>
      <c r="AT166" s="318">
        <f t="shared" si="188"/>
        <v>0</v>
      </c>
      <c r="AU166" s="377" t="s">
        <v>55</v>
      </c>
      <c r="AV166" s="406" t="s">
        <v>55</v>
      </c>
      <c r="AW166" s="406" t="s">
        <v>55</v>
      </c>
      <c r="AX166" s="406" t="s">
        <v>55</v>
      </c>
      <c r="AY166" s="406" t="s">
        <v>55</v>
      </c>
      <c r="AZ166" s="406" t="s">
        <v>55</v>
      </c>
      <c r="BA166" s="409" t="s">
        <v>55</v>
      </c>
      <c r="BB166" s="319">
        <f t="shared" si="189"/>
        <v>0</v>
      </c>
      <c r="BC166" s="411" t="s">
        <v>55</v>
      </c>
      <c r="BD166" s="413" t="s">
        <v>55</v>
      </c>
      <c r="BE166" s="413" t="s">
        <v>55</v>
      </c>
      <c r="BF166" s="413" t="s">
        <v>55</v>
      </c>
      <c r="BG166" s="413" t="s">
        <v>55</v>
      </c>
      <c r="BH166" s="413" t="s">
        <v>55</v>
      </c>
      <c r="BI166" s="413" t="s">
        <v>55</v>
      </c>
      <c r="BJ166" s="332" t="s">
        <v>55</v>
      </c>
      <c r="BK166" s="40" t="s">
        <v>19702</v>
      </c>
      <c r="BL166" s="40" t="s">
        <v>18655</v>
      </c>
      <c r="BM166" s="40" t="s">
        <v>55</v>
      </c>
      <c r="BN166" s="40" t="s">
        <v>55</v>
      </c>
      <c r="BO166" s="40" t="s">
        <v>55</v>
      </c>
      <c r="BP166" s="321" t="s">
        <v>55</v>
      </c>
      <c r="BQ166" s="344"/>
      <c r="BR166" s="314" t="s">
        <v>20727</v>
      </c>
      <c r="BS166" s="314"/>
      <c r="BT166" s="314"/>
      <c r="BU166" s="314"/>
      <c r="BV166" s="314"/>
      <c r="BW166" s="314"/>
      <c r="BX166" s="325" t="s">
        <v>20728</v>
      </c>
    </row>
    <row r="167" spans="1:76" ht="15.75" customHeight="1">
      <c r="A167" s="4" t="s">
        <v>19843</v>
      </c>
      <c r="B167" s="311" t="s">
        <v>2714</v>
      </c>
      <c r="C167" s="155">
        <v>154</v>
      </c>
      <c r="D167" s="312">
        <v>163</v>
      </c>
      <c r="E167" s="40" t="s">
        <v>19531</v>
      </c>
      <c r="F167" s="314">
        <v>173</v>
      </c>
      <c r="G167" s="316">
        <f>COUNTA(ME_138_D)</f>
        <v>4</v>
      </c>
      <c r="H167" s="316">
        <f>COUNTIF(ME_138_G,"TT")</f>
        <v>4</v>
      </c>
      <c r="I167" s="316">
        <f t="shared" si="173"/>
        <v>0</v>
      </c>
      <c r="J167" s="316">
        <f>COUNTA(ME_138_D)</f>
        <v>4</v>
      </c>
      <c r="K167" s="316">
        <f>COUNTIF(ME_138_G,"TT")</f>
        <v>4</v>
      </c>
      <c r="L167" s="316">
        <f t="shared" si="174"/>
        <v>0</v>
      </c>
      <c r="M167" s="316">
        <f>COUNTIFS('Mechanical Engineering Faculty'!$F$5786:$F$5790,M$1)</f>
        <v>2</v>
      </c>
      <c r="N167" s="316">
        <f>COUNTIFS('Mechanical Engineering Faculty'!$F$5786:$F$5790,N$1)</f>
        <v>2</v>
      </c>
      <c r="O167" s="316">
        <f>COUNTIFS('Mechanical Engineering Faculty'!$F$5786:$F$5790,O$1)</f>
        <v>0</v>
      </c>
      <c r="P167" s="316">
        <f>COUNTIFS(ME_138_G,"TT", ME_138_D,P$1)</f>
        <v>2</v>
      </c>
      <c r="Q167" s="316">
        <f>COUNTIFS(ME_138_G,"TT", ME_138_D,Q$1)</f>
        <v>2</v>
      </c>
      <c r="R167" s="316">
        <f>COUNTIFS(ME_138_G,"TT", ME_138_D,R$1)</f>
        <v>0</v>
      </c>
      <c r="S167" s="316">
        <f>COUNTIF(ME_138_D,S$1)</f>
        <v>0</v>
      </c>
      <c r="T167" s="316">
        <f t="shared" si="183"/>
        <v>0</v>
      </c>
      <c r="U167" s="316">
        <f t="shared" si="184"/>
        <v>0</v>
      </c>
      <c r="V167" s="316">
        <f t="shared" si="185"/>
        <v>0</v>
      </c>
      <c r="W167" s="316">
        <f t="shared" ref="W167:AB167" si="194">COUNTIF(ME_138_D,W$1)</f>
        <v>0</v>
      </c>
      <c r="X167" s="316">
        <f t="shared" si="194"/>
        <v>0</v>
      </c>
      <c r="Y167" s="316">
        <f t="shared" si="194"/>
        <v>0</v>
      </c>
      <c r="Z167" s="316">
        <f t="shared" si="194"/>
        <v>0</v>
      </c>
      <c r="AA167" s="316">
        <f t="shared" si="194"/>
        <v>0</v>
      </c>
      <c r="AB167" s="316">
        <f t="shared" si="194"/>
        <v>0</v>
      </c>
      <c r="AC167" s="315">
        <f>COUNTIF(ME_138_E,AC$1)+COUNTIF(ME_138_E,"E/D")</f>
        <v>0</v>
      </c>
      <c r="AD167" s="315">
        <f>COUNTIF(ME_138_E,AD$1)+COUNTIF(ME_138_E,"E/D")</f>
        <v>0</v>
      </c>
      <c r="AE167" s="378">
        <v>1566260</v>
      </c>
      <c r="AF167" s="378"/>
      <c r="AG167" s="378"/>
      <c r="AH167" s="378">
        <v>104440</v>
      </c>
      <c r="AI167" s="378">
        <v>4172</v>
      </c>
      <c r="AJ167" s="378">
        <v>96539</v>
      </c>
      <c r="AK167" s="378">
        <v>296107</v>
      </c>
      <c r="AL167" s="318">
        <f t="shared" si="187"/>
        <v>2067518</v>
      </c>
      <c r="AM167" s="377" t="s">
        <v>55</v>
      </c>
      <c r="AN167" s="377" t="s">
        <v>55</v>
      </c>
      <c r="AO167" s="377" t="s">
        <v>55</v>
      </c>
      <c r="AP167" s="377" t="s">
        <v>55</v>
      </c>
      <c r="AQ167" s="377" t="s">
        <v>55</v>
      </c>
      <c r="AR167" s="377" t="s">
        <v>55</v>
      </c>
      <c r="AS167" s="377" t="s">
        <v>55</v>
      </c>
      <c r="AT167" s="318">
        <f t="shared" si="188"/>
        <v>0</v>
      </c>
      <c r="AU167" s="381">
        <v>775247</v>
      </c>
      <c r="AV167" s="381"/>
      <c r="AW167" s="381"/>
      <c r="AX167" s="381">
        <v>198174</v>
      </c>
      <c r="AY167" s="381">
        <v>0</v>
      </c>
      <c r="AZ167" s="381">
        <v>199740</v>
      </c>
      <c r="BA167" s="381">
        <v>213793</v>
      </c>
      <c r="BB167" s="319">
        <f t="shared" si="189"/>
        <v>1386954</v>
      </c>
      <c r="BC167" s="412">
        <v>1015492</v>
      </c>
      <c r="BD167" s="412">
        <v>0</v>
      </c>
      <c r="BE167" s="412">
        <v>0</v>
      </c>
      <c r="BF167" s="412">
        <v>539030</v>
      </c>
      <c r="BG167" s="412">
        <v>0</v>
      </c>
      <c r="BH167" s="412">
        <v>349298</v>
      </c>
      <c r="BI167" s="412">
        <v>475350</v>
      </c>
      <c r="BJ167" s="314">
        <f>SUM(BC167:BI167)</f>
        <v>2379170</v>
      </c>
      <c r="BK167" s="40" t="s">
        <v>18286</v>
      </c>
      <c r="BL167" s="320">
        <v>28</v>
      </c>
      <c r="BM167" s="320">
        <v>1.8</v>
      </c>
      <c r="BN167" s="320">
        <v>1.9</v>
      </c>
      <c r="BO167" s="40" t="s">
        <v>19852</v>
      </c>
      <c r="BP167" s="321">
        <v>249</v>
      </c>
      <c r="BQ167" s="344"/>
      <c r="BR167" s="314" t="s">
        <v>20651</v>
      </c>
      <c r="BS167" s="314"/>
      <c r="BT167" s="314"/>
      <c r="BU167" s="314"/>
      <c r="BV167" s="314"/>
      <c r="BW167" s="314"/>
      <c r="BX167" s="325" t="s">
        <v>20731</v>
      </c>
    </row>
    <row r="168" spans="1:76" ht="15.75" customHeight="1">
      <c r="A168" s="4" t="s">
        <v>19935</v>
      </c>
      <c r="B168" s="311" t="s">
        <v>2628</v>
      </c>
      <c r="C168" s="155">
        <v>148</v>
      </c>
      <c r="D168" s="312">
        <v>159</v>
      </c>
      <c r="E168" s="40" t="s">
        <v>19531</v>
      </c>
      <c r="F168" s="314">
        <v>173</v>
      </c>
      <c r="G168" s="316">
        <f>COUNTA(ME_141_D)</f>
        <v>19</v>
      </c>
      <c r="H168" s="316">
        <f>COUNTIF(ME_141_G,"TT")</f>
        <v>19</v>
      </c>
      <c r="I168" s="316">
        <f t="shared" si="173"/>
        <v>0</v>
      </c>
      <c r="J168" s="316">
        <f>COUNTA(ME_141_D)</f>
        <v>19</v>
      </c>
      <c r="K168" s="316">
        <f>COUNTIF(ME_141_G,"TT")</f>
        <v>19</v>
      </c>
      <c r="L168" s="316">
        <f t="shared" si="174"/>
        <v>0</v>
      </c>
      <c r="M168" s="316">
        <f>COUNTIFS('Mechanical Engineering Faculty'!$F$5840:$F$5858,M$1)</f>
        <v>14</v>
      </c>
      <c r="N168" s="316">
        <f>COUNTIFS('Mechanical Engineering Faculty'!$F$5840:$F$5858,N$1)</f>
        <v>2</v>
      </c>
      <c r="O168" s="316">
        <f>COUNTIFS('Mechanical Engineering Faculty'!$F$5840:$F$5858,O$1)</f>
        <v>3</v>
      </c>
      <c r="P168" s="316">
        <f>COUNTIFS(ME_141_G,"TT", ME_141_D,P$1)</f>
        <v>14</v>
      </c>
      <c r="Q168" s="316">
        <f>COUNTIFS(ME_141_G,"TT", ME_141_D,Q$1)</f>
        <v>2</v>
      </c>
      <c r="R168" s="316">
        <f>COUNTIFS(ME_141_G,"TT", ME_141_D,R$1)</f>
        <v>3</v>
      </c>
      <c r="S168" s="316">
        <f>COUNTIF(ME_141_D,S$1)</f>
        <v>0</v>
      </c>
      <c r="T168" s="316">
        <f t="shared" si="183"/>
        <v>0</v>
      </c>
      <c r="U168" s="316">
        <f t="shared" si="184"/>
        <v>0</v>
      </c>
      <c r="V168" s="316">
        <f t="shared" si="185"/>
        <v>0</v>
      </c>
      <c r="W168" s="316">
        <f t="shared" ref="W168:AB168" si="195">COUNTIF(ME_141_D,W$1)</f>
        <v>0</v>
      </c>
      <c r="X168" s="316">
        <f t="shared" si="195"/>
        <v>0</v>
      </c>
      <c r="Y168" s="316">
        <f t="shared" si="195"/>
        <v>0</v>
      </c>
      <c r="Z168" s="316">
        <f t="shared" si="195"/>
        <v>0</v>
      </c>
      <c r="AA168" s="316">
        <f t="shared" si="195"/>
        <v>0</v>
      </c>
      <c r="AB168" s="316">
        <f t="shared" si="195"/>
        <v>0</v>
      </c>
      <c r="AC168" s="315">
        <f>COUNTIF(ME_141_E,AC$1)+COUNTIF(ME_141_E,"E/D")</f>
        <v>0</v>
      </c>
      <c r="AD168" s="315">
        <f>COUNTIF(ME_141_E,AD$1)+COUNTIF(ME_141_E,"E/D")</f>
        <v>1</v>
      </c>
      <c r="AE168" s="378">
        <v>307636</v>
      </c>
      <c r="AF168" s="378"/>
      <c r="AG168" s="378"/>
      <c r="AH168" s="378">
        <v>303103</v>
      </c>
      <c r="AI168" s="378"/>
      <c r="AJ168" s="378">
        <v>191812</v>
      </c>
      <c r="AK168" s="378"/>
      <c r="AL168" s="318">
        <f t="shared" si="187"/>
        <v>802551</v>
      </c>
      <c r="AM168" s="378">
        <v>734350</v>
      </c>
      <c r="AN168" s="378">
        <v>0</v>
      </c>
      <c r="AO168" s="378"/>
      <c r="AP168" s="378">
        <v>218260</v>
      </c>
      <c r="AQ168" s="378"/>
      <c r="AR168" s="378">
        <v>196343</v>
      </c>
      <c r="AS168" s="378">
        <v>0</v>
      </c>
      <c r="AT168" s="318">
        <f t="shared" si="188"/>
        <v>1148953</v>
      </c>
      <c r="AU168" s="381">
        <v>624506</v>
      </c>
      <c r="AV168" s="381">
        <v>0</v>
      </c>
      <c r="AW168" s="381">
        <v>0</v>
      </c>
      <c r="AX168" s="381">
        <v>322943</v>
      </c>
      <c r="AY168" s="381">
        <v>0</v>
      </c>
      <c r="AZ168" s="381">
        <v>256452</v>
      </c>
      <c r="BA168" s="381">
        <v>0</v>
      </c>
      <c r="BB168" s="319">
        <f t="shared" si="189"/>
        <v>1203901</v>
      </c>
      <c r="BC168" s="412">
        <v>851850</v>
      </c>
      <c r="BD168" s="412">
        <v>0</v>
      </c>
      <c r="BE168" s="412">
        <v>0</v>
      </c>
      <c r="BF168" s="412">
        <v>537397</v>
      </c>
      <c r="BG168" s="412">
        <v>0</v>
      </c>
      <c r="BH168" s="412">
        <v>265342</v>
      </c>
      <c r="BI168" s="412">
        <v>0</v>
      </c>
      <c r="BJ168" s="314">
        <f>SUM(BC168:BI168)</f>
        <v>1654589</v>
      </c>
      <c r="BK168" s="40" t="s">
        <v>14231</v>
      </c>
      <c r="BL168" s="40" t="s">
        <v>18655</v>
      </c>
      <c r="BM168" s="320">
        <v>1.9</v>
      </c>
      <c r="BN168" s="320">
        <v>2.4</v>
      </c>
      <c r="BO168" s="40" t="s">
        <v>19984</v>
      </c>
      <c r="BP168" s="321">
        <v>241</v>
      </c>
      <c r="BQ168" s="314">
        <v>83</v>
      </c>
      <c r="BR168" s="314" t="s">
        <v>20651</v>
      </c>
      <c r="BS168" s="314"/>
      <c r="BT168" s="314"/>
      <c r="BU168" s="314"/>
      <c r="BV168" s="314"/>
      <c r="BW168" s="314"/>
      <c r="BX168" s="325" t="s">
        <v>20734</v>
      </c>
    </row>
    <row r="169" spans="1:76" ht="15.75" customHeight="1">
      <c r="A169" s="4" t="s">
        <v>20011</v>
      </c>
      <c r="B169" s="311" t="s">
        <v>2714</v>
      </c>
      <c r="C169" s="155" t="s">
        <v>55</v>
      </c>
      <c r="D169" s="312" t="s">
        <v>20474</v>
      </c>
      <c r="E169" s="341" t="s">
        <v>19531</v>
      </c>
      <c r="F169" s="314">
        <v>173</v>
      </c>
      <c r="G169" s="316">
        <f>COUNTA(ME_142_D)</f>
        <v>9</v>
      </c>
      <c r="H169" s="316">
        <f>COUNTIF(ME_142_G,"TT")</f>
        <v>9</v>
      </c>
      <c r="I169" s="316">
        <f t="shared" si="173"/>
        <v>0</v>
      </c>
      <c r="J169" s="316">
        <f>COUNTA(ME_142_D)</f>
        <v>9</v>
      </c>
      <c r="K169" s="316">
        <f>COUNTIF(ME_142_G,"TT")</f>
        <v>9</v>
      </c>
      <c r="L169" s="316">
        <f t="shared" si="174"/>
        <v>0</v>
      </c>
      <c r="M169" s="316">
        <f>COUNTIFS('Mechanical Engineering Faculty'!$F$5860:$F$5868,M$1)</f>
        <v>4</v>
      </c>
      <c r="N169" s="316">
        <f>COUNTIFS('Mechanical Engineering Faculty'!$F$5860:$F$5868,N$1)</f>
        <v>2</v>
      </c>
      <c r="O169" s="316">
        <f>COUNTIFS('Mechanical Engineering Faculty'!$F$5860:$F$5868,O$1)</f>
        <v>3</v>
      </c>
      <c r="P169" s="316">
        <f>COUNTIFS(ME_142_G,"TT", ME_142_D,P$1)</f>
        <v>4</v>
      </c>
      <c r="Q169" s="316">
        <f>COUNTIFS(ME_142_G,"TT", ME_142_D,Q$1)</f>
        <v>2</v>
      </c>
      <c r="R169" s="316">
        <f>COUNTIFS(ME_142_G,"TT", ME_142_D,R$1)</f>
        <v>3</v>
      </c>
      <c r="S169" s="316">
        <f>COUNTIF(ME_142_D,S$1)</f>
        <v>0</v>
      </c>
      <c r="T169" s="316">
        <f t="shared" si="183"/>
        <v>0</v>
      </c>
      <c r="U169" s="316">
        <f t="shared" si="184"/>
        <v>0</v>
      </c>
      <c r="V169" s="316">
        <f t="shared" si="185"/>
        <v>0</v>
      </c>
      <c r="W169" s="316">
        <f t="shared" ref="W169:AB169" si="196">COUNTIF(ME_142_D,W$1)</f>
        <v>0</v>
      </c>
      <c r="X169" s="316">
        <f t="shared" si="196"/>
        <v>0</v>
      </c>
      <c r="Y169" s="316">
        <f t="shared" si="196"/>
        <v>0</v>
      </c>
      <c r="Z169" s="316">
        <f t="shared" si="196"/>
        <v>0</v>
      </c>
      <c r="AA169" s="316">
        <f t="shared" si="196"/>
        <v>0</v>
      </c>
      <c r="AB169" s="316">
        <f t="shared" si="196"/>
        <v>0</v>
      </c>
      <c r="AC169" s="315">
        <f>COUNTIF(ME_142_E,AC$1)+COUNTIF(ME_142_E,"E/D")</f>
        <v>0</v>
      </c>
      <c r="AD169" s="315">
        <f>COUNTIF(ME_142_E,AD$1)+COUNTIF(ME_142_E,"E/D")</f>
        <v>1</v>
      </c>
      <c r="AE169" s="377" t="s">
        <v>55</v>
      </c>
      <c r="AF169" s="406" t="s">
        <v>55</v>
      </c>
      <c r="AG169" s="406" t="s">
        <v>55</v>
      </c>
      <c r="AH169" s="406" t="s">
        <v>55</v>
      </c>
      <c r="AI169" s="406" t="s">
        <v>55</v>
      </c>
      <c r="AJ169" s="406" t="s">
        <v>55</v>
      </c>
      <c r="AK169" s="406" t="s">
        <v>55</v>
      </c>
      <c r="AL169" s="318">
        <f t="shared" si="187"/>
        <v>0</v>
      </c>
      <c r="AM169" s="377" t="s">
        <v>55</v>
      </c>
      <c r="AN169" s="377" t="s">
        <v>55</v>
      </c>
      <c r="AO169" s="377" t="s">
        <v>55</v>
      </c>
      <c r="AP169" s="377" t="s">
        <v>55</v>
      </c>
      <c r="AQ169" s="377" t="s">
        <v>55</v>
      </c>
      <c r="AR169" s="377" t="s">
        <v>55</v>
      </c>
      <c r="AS169" s="377" t="s">
        <v>55</v>
      </c>
      <c r="AT169" s="318">
        <f t="shared" si="188"/>
        <v>0</v>
      </c>
      <c r="AU169" s="377" t="s">
        <v>55</v>
      </c>
      <c r="AV169" s="377" t="s">
        <v>55</v>
      </c>
      <c r="AW169" s="377" t="s">
        <v>55</v>
      </c>
      <c r="AX169" s="377" t="s">
        <v>55</v>
      </c>
      <c r="AY169" s="377" t="s">
        <v>55</v>
      </c>
      <c r="AZ169" s="377" t="s">
        <v>55</v>
      </c>
      <c r="BA169" s="380" t="s">
        <v>55</v>
      </c>
      <c r="BB169" s="319">
        <f t="shared" si="189"/>
        <v>0</v>
      </c>
      <c r="BC169" s="411" t="s">
        <v>55</v>
      </c>
      <c r="BD169" s="413" t="s">
        <v>55</v>
      </c>
      <c r="BE169" s="413" t="s">
        <v>55</v>
      </c>
      <c r="BF169" s="413" t="s">
        <v>55</v>
      </c>
      <c r="BG169" s="413" t="s">
        <v>55</v>
      </c>
      <c r="BH169" s="413" t="s">
        <v>55</v>
      </c>
      <c r="BI169" s="413" t="s">
        <v>55</v>
      </c>
      <c r="BJ169" s="332" t="s">
        <v>55</v>
      </c>
      <c r="BK169" s="40" t="s">
        <v>18646</v>
      </c>
      <c r="BL169" s="40" t="s">
        <v>18655</v>
      </c>
      <c r="BM169" s="320">
        <v>1.7</v>
      </c>
      <c r="BN169" s="320">
        <v>2</v>
      </c>
      <c r="BO169" s="40" t="s">
        <v>20048</v>
      </c>
      <c r="BP169" s="321">
        <v>707</v>
      </c>
      <c r="BQ169" s="314">
        <v>93</v>
      </c>
      <c r="BR169" s="314" t="s">
        <v>20651</v>
      </c>
      <c r="BS169" s="314"/>
      <c r="BT169" s="314"/>
      <c r="BU169" s="314"/>
      <c r="BV169" s="314"/>
      <c r="BW169" s="314"/>
      <c r="BX169" s="325" t="s">
        <v>20735</v>
      </c>
    </row>
    <row r="170" spans="1:76" ht="15.75" customHeight="1">
      <c r="A170" s="4" t="s">
        <v>20104</v>
      </c>
      <c r="B170" s="311" t="s">
        <v>2714</v>
      </c>
      <c r="C170" s="155" t="s">
        <v>55</v>
      </c>
      <c r="D170" s="312" t="s">
        <v>20474</v>
      </c>
      <c r="E170" s="40" t="s">
        <v>20051</v>
      </c>
      <c r="F170" s="314">
        <v>173</v>
      </c>
      <c r="G170" s="316">
        <f>COUNTA(ME_144_D)</f>
        <v>20</v>
      </c>
      <c r="H170" s="316">
        <f>COUNTIF(ME_144_G,"TT")</f>
        <v>20</v>
      </c>
      <c r="I170" s="316">
        <f t="shared" si="173"/>
        <v>0</v>
      </c>
      <c r="J170" s="316">
        <f>COUNTA(ME_144_D)</f>
        <v>20</v>
      </c>
      <c r="K170" s="316">
        <f>COUNTIF(ME_144_G,"TT")</f>
        <v>20</v>
      </c>
      <c r="L170" s="316">
        <f t="shared" si="174"/>
        <v>0</v>
      </c>
      <c r="M170" s="316">
        <f>COUNTIFS('Mechanical Engineering Faculty'!$F$5914:$F$5933,M$1)</f>
        <v>9</v>
      </c>
      <c r="N170" s="316">
        <f>COUNTIFS('Mechanical Engineering Faculty'!$F$5914:$F$5933,N$1)</f>
        <v>4</v>
      </c>
      <c r="O170" s="316">
        <f>COUNTIFS('Mechanical Engineering Faculty'!$F$5914:$F$5933,O$1)</f>
        <v>7</v>
      </c>
      <c r="P170" s="316">
        <f>COUNTIFS(ME_144_G,"TT", ME_144_D,P$1)</f>
        <v>9</v>
      </c>
      <c r="Q170" s="316">
        <f>COUNTIFS(ME_144_G,"TT", ME_144_D,Q$1)</f>
        <v>4</v>
      </c>
      <c r="R170" s="316">
        <f>COUNTIFS(ME_144_G,"TT", ME_144_D,R$1)</f>
        <v>7</v>
      </c>
      <c r="S170" s="316">
        <f>COUNTIF(ME_144_D,S$1)</f>
        <v>0</v>
      </c>
      <c r="T170" s="316">
        <f t="shared" si="183"/>
        <v>0</v>
      </c>
      <c r="U170" s="316">
        <f t="shared" si="184"/>
        <v>0</v>
      </c>
      <c r="V170" s="316">
        <f t="shared" si="185"/>
        <v>0</v>
      </c>
      <c r="W170" s="316">
        <f t="shared" ref="W170:AB170" si="197">COUNTIF(ME_144_D,W$1)</f>
        <v>0</v>
      </c>
      <c r="X170" s="316">
        <f t="shared" si="197"/>
        <v>0</v>
      </c>
      <c r="Y170" s="316">
        <f t="shared" si="197"/>
        <v>0</v>
      </c>
      <c r="Z170" s="316">
        <f t="shared" si="197"/>
        <v>0</v>
      </c>
      <c r="AA170" s="316">
        <f t="shared" si="197"/>
        <v>0</v>
      </c>
      <c r="AB170" s="316">
        <f t="shared" si="197"/>
        <v>0</v>
      </c>
      <c r="AC170" s="315">
        <f>COUNTIF(ME_144_E,AC$1)+COUNTIF(ME_144_E,"E/D")</f>
        <v>3</v>
      </c>
      <c r="AD170" s="315">
        <f>COUNTIF(ME_144_E,AD$1)+COUNTIF(ME_144_E,"E/D")</f>
        <v>0</v>
      </c>
      <c r="AE170" s="378">
        <v>441185</v>
      </c>
      <c r="AF170" s="379">
        <v>0</v>
      </c>
      <c r="AG170" s="379">
        <v>0</v>
      </c>
      <c r="AH170" s="379">
        <v>223622</v>
      </c>
      <c r="AI170" s="379">
        <v>0</v>
      </c>
      <c r="AJ170" s="379">
        <v>0</v>
      </c>
      <c r="AK170" s="379">
        <v>109293</v>
      </c>
      <c r="AL170" s="318">
        <f t="shared" si="187"/>
        <v>774100</v>
      </c>
      <c r="AM170" s="377" t="s">
        <v>55</v>
      </c>
      <c r="AN170" s="406" t="s">
        <v>55</v>
      </c>
      <c r="AO170" s="406" t="s">
        <v>55</v>
      </c>
      <c r="AP170" s="406" t="s">
        <v>55</v>
      </c>
      <c r="AQ170" s="406" t="s">
        <v>55</v>
      </c>
      <c r="AR170" s="406" t="s">
        <v>55</v>
      </c>
      <c r="AS170" s="406" t="s">
        <v>55</v>
      </c>
      <c r="AT170" s="318">
        <f t="shared" si="188"/>
        <v>0</v>
      </c>
      <c r="AU170" s="377" t="s">
        <v>55</v>
      </c>
      <c r="AV170" s="406" t="s">
        <v>55</v>
      </c>
      <c r="AW170" s="406" t="s">
        <v>55</v>
      </c>
      <c r="AX170" s="406" t="s">
        <v>55</v>
      </c>
      <c r="AY170" s="406" t="s">
        <v>55</v>
      </c>
      <c r="AZ170" s="406" t="s">
        <v>55</v>
      </c>
      <c r="BA170" s="409" t="s">
        <v>55</v>
      </c>
      <c r="BB170" s="319">
        <f t="shared" si="189"/>
        <v>0</v>
      </c>
      <c r="BC170" s="328">
        <v>918394</v>
      </c>
      <c r="BD170" s="329">
        <v>0</v>
      </c>
      <c r="BE170" s="329">
        <v>0</v>
      </c>
      <c r="BF170" s="329">
        <v>64085</v>
      </c>
      <c r="BG170" s="329">
        <v>0</v>
      </c>
      <c r="BH170" s="329">
        <v>0</v>
      </c>
      <c r="BI170" s="329">
        <v>112529</v>
      </c>
      <c r="BJ170" s="314">
        <f>SUM(BC170:BI170)</f>
        <v>1095008</v>
      </c>
      <c r="BK170" s="40" t="s">
        <v>18646</v>
      </c>
      <c r="BL170" s="40" t="s">
        <v>18655</v>
      </c>
      <c r="BM170" s="320">
        <v>1.8</v>
      </c>
      <c r="BN170" s="320">
        <v>2.4</v>
      </c>
      <c r="BO170" s="40" t="s">
        <v>20147</v>
      </c>
      <c r="BP170" s="321">
        <v>311</v>
      </c>
      <c r="BQ170" s="314">
        <v>93</v>
      </c>
      <c r="BR170" s="314" t="s">
        <v>20651</v>
      </c>
      <c r="BS170" s="314"/>
      <c r="BT170" s="314"/>
      <c r="BU170" s="314"/>
      <c r="BV170" s="314"/>
      <c r="BW170" s="314"/>
      <c r="BX170" s="325" t="s">
        <v>20737</v>
      </c>
    </row>
    <row r="171" spans="1:76" ht="15.75" customHeight="1">
      <c r="A171" s="4" t="s">
        <v>20178</v>
      </c>
      <c r="B171" s="311" t="s">
        <v>12252</v>
      </c>
      <c r="C171" s="155">
        <v>161</v>
      </c>
      <c r="D171" s="312">
        <v>161</v>
      </c>
      <c r="E171" s="40" t="s">
        <v>20051</v>
      </c>
      <c r="F171" s="314">
        <v>173</v>
      </c>
      <c r="G171" s="316">
        <f>COUNTA(ME_145_D)</f>
        <v>13</v>
      </c>
      <c r="H171" s="316">
        <f>COUNTIF(ME_145_G,"TT")</f>
        <v>12</v>
      </c>
      <c r="I171" s="316">
        <f t="shared" si="173"/>
        <v>1</v>
      </c>
      <c r="J171" s="316">
        <f>COUNTA(ME_145_D)</f>
        <v>13</v>
      </c>
      <c r="K171" s="316">
        <f>COUNTIF(ME_145_G,"TT")</f>
        <v>12</v>
      </c>
      <c r="L171" s="316">
        <f t="shared" si="174"/>
        <v>1</v>
      </c>
      <c r="M171" s="316">
        <f>COUNTIFS( 'Mechanical Engineering Faculty'!$F$5935:$F$5947,M$1)</f>
        <v>3</v>
      </c>
      <c r="N171" s="316">
        <f>COUNTIFS( 'Mechanical Engineering Faculty'!$F$5935:$F$5947,N$1)</f>
        <v>6</v>
      </c>
      <c r="O171" s="316">
        <f>COUNTIFS( 'Mechanical Engineering Faculty'!$F$5935:$F$5947,O$1)</f>
        <v>3</v>
      </c>
      <c r="P171" s="316">
        <f>COUNTIFS(ME_145_G,"TT", ME_145_D,P$1)</f>
        <v>3</v>
      </c>
      <c r="Q171" s="316">
        <f>COUNTIFS(ME_145_G,"TT", ME_145_D,Q$1)</f>
        <v>6</v>
      </c>
      <c r="R171" s="316">
        <f>COUNTIFS(ME_145_G,"TT", ME_145_D,R$1)</f>
        <v>3</v>
      </c>
      <c r="S171" s="316">
        <f>COUNTIF(ME_145_D,S$1)</f>
        <v>0</v>
      </c>
      <c r="T171" s="316">
        <f t="shared" si="183"/>
        <v>0</v>
      </c>
      <c r="U171" s="316">
        <f t="shared" si="184"/>
        <v>0</v>
      </c>
      <c r="V171" s="316">
        <f t="shared" si="185"/>
        <v>0</v>
      </c>
      <c r="W171" s="316">
        <f t="shared" ref="W171:AB171" si="198">COUNTIF(ME_145_D,W$1)</f>
        <v>0</v>
      </c>
      <c r="X171" s="316">
        <f t="shared" si="198"/>
        <v>0</v>
      </c>
      <c r="Y171" s="316">
        <f t="shared" si="198"/>
        <v>1</v>
      </c>
      <c r="Z171" s="316">
        <f t="shared" si="198"/>
        <v>0</v>
      </c>
      <c r="AA171" s="316">
        <f t="shared" si="198"/>
        <v>0</v>
      </c>
      <c r="AB171" s="316">
        <f t="shared" si="198"/>
        <v>0</v>
      </c>
      <c r="AC171" s="315">
        <f>COUNTIF(ME_145_E,AC$1)+COUNTIF(ME_145_E,"E/D")</f>
        <v>0</v>
      </c>
      <c r="AD171" s="315">
        <f>COUNTIF(ME_145_E,AD$1)+COUNTIF(ME_145_E,"E/D")</f>
        <v>0</v>
      </c>
      <c r="AE171" s="378">
        <v>1065171</v>
      </c>
      <c r="AF171" s="378"/>
      <c r="AG171" s="378"/>
      <c r="AH171" s="378">
        <v>442308</v>
      </c>
      <c r="AI171" s="378">
        <v>34251</v>
      </c>
      <c r="AJ171" s="378">
        <v>362272</v>
      </c>
      <c r="AK171" s="378">
        <v>0</v>
      </c>
      <c r="AL171" s="318">
        <f t="shared" si="187"/>
        <v>1904002</v>
      </c>
      <c r="AM171" s="378">
        <v>997815</v>
      </c>
      <c r="AN171" s="379">
        <v>96189</v>
      </c>
      <c r="AO171" s="379"/>
      <c r="AP171" s="379">
        <v>57604</v>
      </c>
      <c r="AQ171" s="379">
        <v>0</v>
      </c>
      <c r="AR171" s="379">
        <v>662730</v>
      </c>
      <c r="AS171" s="379">
        <v>0</v>
      </c>
      <c r="AT171" s="318">
        <f t="shared" si="188"/>
        <v>1814338</v>
      </c>
      <c r="AU171" s="381">
        <v>1137235</v>
      </c>
      <c r="AV171" s="382"/>
      <c r="AW171" s="382"/>
      <c r="AX171" s="382">
        <v>70163</v>
      </c>
      <c r="AY171" s="382">
        <v>0</v>
      </c>
      <c r="AZ171" s="382">
        <v>338894</v>
      </c>
      <c r="BA171" s="382">
        <v>0</v>
      </c>
      <c r="BB171" s="319">
        <f t="shared" si="189"/>
        <v>1546292</v>
      </c>
      <c r="BC171" s="412">
        <v>1121064</v>
      </c>
      <c r="BD171" s="412">
        <v>31</v>
      </c>
      <c r="BE171" s="412">
        <v>0</v>
      </c>
      <c r="BF171" s="412">
        <v>152807</v>
      </c>
      <c r="BG171" s="412">
        <v>0</v>
      </c>
      <c r="BH171" s="412">
        <v>58868</v>
      </c>
      <c r="BI171" s="412">
        <v>0</v>
      </c>
      <c r="BJ171" s="314">
        <f>SUM(BC171:BI171)</f>
        <v>1332770</v>
      </c>
      <c r="BK171" s="40" t="s">
        <v>20195</v>
      </c>
      <c r="BL171" s="320">
        <v>33</v>
      </c>
      <c r="BM171" s="320">
        <v>2</v>
      </c>
      <c r="BN171" s="320">
        <v>2.4</v>
      </c>
      <c r="BO171" s="40" t="s">
        <v>20228</v>
      </c>
      <c r="BP171" s="321">
        <v>473</v>
      </c>
      <c r="BQ171" s="344"/>
      <c r="BR171" s="314">
        <v>164</v>
      </c>
      <c r="BS171" s="314"/>
      <c r="BT171" s="314"/>
      <c r="BU171" s="314"/>
      <c r="BV171" s="314"/>
      <c r="BW171" s="314"/>
      <c r="BX171" s="325" t="s">
        <v>20738</v>
      </c>
    </row>
    <row r="172" spans="1:76" ht="15.75" customHeight="1">
      <c r="A172" s="4" t="s">
        <v>18273</v>
      </c>
      <c r="B172" s="311" t="s">
        <v>12252</v>
      </c>
      <c r="C172" s="155" t="s">
        <v>55</v>
      </c>
      <c r="D172" s="312" t="s">
        <v>20474</v>
      </c>
      <c r="E172" s="40" t="s">
        <v>17871</v>
      </c>
      <c r="F172" s="314">
        <v>182</v>
      </c>
      <c r="G172" s="316">
        <f>COUNTA(ME_113_D)</f>
        <v>14</v>
      </c>
      <c r="H172" s="316">
        <f>COUNTIF(ME_113_G,"TT")</f>
        <v>9</v>
      </c>
      <c r="I172" s="316">
        <f t="shared" si="173"/>
        <v>5</v>
      </c>
      <c r="J172" s="316">
        <f>COUNTA(ME_113_D)</f>
        <v>14</v>
      </c>
      <c r="K172" s="316">
        <f>COUNTIF(ME_113_G,"TT")</f>
        <v>9</v>
      </c>
      <c r="L172" s="316">
        <f t="shared" si="174"/>
        <v>5</v>
      </c>
      <c r="M172" s="316">
        <f>COUNTIFS('Mechanical Engineering Faculty'!$F$5248:$F$5261,M$1)</f>
        <v>5</v>
      </c>
      <c r="N172" s="316">
        <f>COUNTIFS('Mechanical Engineering Faculty'!$F$5248:$F$5261,N$1)</f>
        <v>2</v>
      </c>
      <c r="O172" s="316">
        <f>COUNTIFS('Mechanical Engineering Faculty'!$F$5248:$F$5261,O$1)</f>
        <v>1</v>
      </c>
      <c r="P172" s="316">
        <f>COUNTIFS(ME_113_G,"TT", ME_113_D,P$1)</f>
        <v>5</v>
      </c>
      <c r="Q172" s="316">
        <f>COUNTIFS(ME_113_G,"TT", ME_113_D,Q$1)</f>
        <v>2</v>
      </c>
      <c r="R172" s="316">
        <f>COUNTIFS(ME_113_G,"TT", ME_113_D,R$1)</f>
        <v>1</v>
      </c>
      <c r="S172" s="316">
        <f>COUNTIF(ME_113_D,S$1)</f>
        <v>0</v>
      </c>
      <c r="T172" s="316">
        <f t="shared" si="183"/>
        <v>0</v>
      </c>
      <c r="U172" s="316">
        <f t="shared" si="184"/>
        <v>0</v>
      </c>
      <c r="V172" s="316">
        <f t="shared" si="185"/>
        <v>0</v>
      </c>
      <c r="W172" s="316">
        <f t="shared" ref="W172:AB172" si="199">COUNTIF(ME_113_D,W$1)</f>
        <v>1</v>
      </c>
      <c r="X172" s="316">
        <f t="shared" si="199"/>
        <v>0</v>
      </c>
      <c r="Y172" s="316">
        <f t="shared" si="199"/>
        <v>1</v>
      </c>
      <c r="Z172" s="316">
        <f t="shared" si="199"/>
        <v>2</v>
      </c>
      <c r="AA172" s="316">
        <f t="shared" si="199"/>
        <v>1</v>
      </c>
      <c r="AB172" s="316">
        <f t="shared" si="199"/>
        <v>1</v>
      </c>
      <c r="AC172" s="315">
        <f>COUNTIF(ME_113_E,AC$1)+COUNTIF(ME_113_E,"E/D")</f>
        <v>0</v>
      </c>
      <c r="AD172" s="315">
        <f>COUNTIF(ME_113_E,AD$1)+COUNTIF(ME_113_E,"E/D")</f>
        <v>1</v>
      </c>
      <c r="AE172" s="377" t="s">
        <v>55</v>
      </c>
      <c r="AF172" s="377" t="s">
        <v>55</v>
      </c>
      <c r="AG172" s="377" t="s">
        <v>55</v>
      </c>
      <c r="AH172" s="377" t="s">
        <v>55</v>
      </c>
      <c r="AI172" s="377" t="s">
        <v>55</v>
      </c>
      <c r="AJ172" s="377" t="s">
        <v>55</v>
      </c>
      <c r="AK172" s="377" t="s">
        <v>55</v>
      </c>
      <c r="AL172" s="318">
        <f t="shared" si="187"/>
        <v>0</v>
      </c>
      <c r="AM172" s="377" t="s">
        <v>55</v>
      </c>
      <c r="AN172" s="377" t="s">
        <v>55</v>
      </c>
      <c r="AO172" s="377" t="s">
        <v>55</v>
      </c>
      <c r="AP172" s="377" t="s">
        <v>55</v>
      </c>
      <c r="AQ172" s="377" t="s">
        <v>55</v>
      </c>
      <c r="AR172" s="377" t="s">
        <v>55</v>
      </c>
      <c r="AS172" s="377" t="s">
        <v>55</v>
      </c>
      <c r="AT172" s="318">
        <f t="shared" si="188"/>
        <v>0</v>
      </c>
      <c r="AU172" s="377" t="s">
        <v>55</v>
      </c>
      <c r="AV172" s="377" t="s">
        <v>55</v>
      </c>
      <c r="AW172" s="377" t="s">
        <v>55</v>
      </c>
      <c r="AX172" s="377" t="s">
        <v>55</v>
      </c>
      <c r="AY172" s="377" t="s">
        <v>55</v>
      </c>
      <c r="AZ172" s="377" t="s">
        <v>55</v>
      </c>
      <c r="BA172" s="380" t="s">
        <v>55</v>
      </c>
      <c r="BB172" s="319">
        <f t="shared" si="189"/>
        <v>0</v>
      </c>
      <c r="BC172" s="412">
        <v>482058</v>
      </c>
      <c r="BD172" s="412">
        <v>0</v>
      </c>
      <c r="BE172" s="412">
        <v>0</v>
      </c>
      <c r="BF172" s="412">
        <v>673847</v>
      </c>
      <c r="BG172" s="412">
        <v>0</v>
      </c>
      <c r="BH172" s="412">
        <v>63438</v>
      </c>
      <c r="BI172" s="412">
        <v>19535</v>
      </c>
      <c r="BJ172" s="314">
        <f>SUM(BC172:BI172)</f>
        <v>1238878</v>
      </c>
      <c r="BK172" s="40" t="s">
        <v>18286</v>
      </c>
      <c r="BL172" s="320">
        <v>28</v>
      </c>
      <c r="BM172" s="320">
        <v>2</v>
      </c>
      <c r="BN172" s="320">
        <v>2.6</v>
      </c>
      <c r="BO172" s="341" t="s">
        <v>18311</v>
      </c>
      <c r="BP172" s="155">
        <v>324</v>
      </c>
      <c r="BQ172" s="314">
        <v>93</v>
      </c>
      <c r="BR172" s="314" t="s">
        <v>20651</v>
      </c>
      <c r="BS172" s="314"/>
      <c r="BT172" s="314"/>
      <c r="BU172" s="314"/>
      <c r="BV172" s="314"/>
      <c r="BW172" s="314"/>
      <c r="BX172" s="325" t="s">
        <v>20704</v>
      </c>
    </row>
    <row r="173" spans="1:76" ht="15.75" customHeight="1">
      <c r="A173" s="4" t="s">
        <v>20374</v>
      </c>
      <c r="B173" s="311" t="s">
        <v>2714</v>
      </c>
      <c r="C173" s="155" t="s">
        <v>55</v>
      </c>
      <c r="D173" s="312" t="s">
        <v>20474</v>
      </c>
      <c r="E173" s="341" t="s">
        <v>20051</v>
      </c>
      <c r="F173" s="314">
        <v>182</v>
      </c>
      <c r="G173" s="316">
        <f>COUNTA(ME_149_D)</f>
        <v>9</v>
      </c>
      <c r="H173" s="316">
        <f>COUNTIF(ME_149_G,"TT")</f>
        <v>9</v>
      </c>
      <c r="I173" s="316">
        <f t="shared" si="173"/>
        <v>0</v>
      </c>
      <c r="J173" s="316">
        <f>COUNTA(ME_149_D)</f>
        <v>9</v>
      </c>
      <c r="K173" s="316">
        <f>COUNTIF(ME_149_G,"TT")</f>
        <v>9</v>
      </c>
      <c r="L173" s="316">
        <f t="shared" si="174"/>
        <v>0</v>
      </c>
      <c r="M173" s="316">
        <f>COUNTIFS('Mechanical Engineering Faculty'!$F$6011:$F$6019,M$1)</f>
        <v>6</v>
      </c>
      <c r="N173" s="316">
        <f>COUNTIFS('Mechanical Engineering Faculty'!$F$6011:$F$6019,N$1)</f>
        <v>2</v>
      </c>
      <c r="O173" s="316">
        <f>COUNTIFS('Mechanical Engineering Faculty'!$F$6011:$F$6019,O$1)</f>
        <v>1</v>
      </c>
      <c r="P173" s="316">
        <f>COUNTIFS(ME_149_G,"TT", ME_149_D,P$1)</f>
        <v>6</v>
      </c>
      <c r="Q173" s="316">
        <f>COUNTIFS(ME_149_G,"TT", ME_149_D,Q$1)</f>
        <v>2</v>
      </c>
      <c r="R173" s="316">
        <f>COUNTIFS(ME_149_G,"TT", ME_149_D,R$1)</f>
        <v>1</v>
      </c>
      <c r="S173" s="316">
        <f>COUNTIF(ME_149_D,S$1)</f>
        <v>0</v>
      </c>
      <c r="T173" s="316">
        <f t="shared" si="183"/>
        <v>0</v>
      </c>
      <c r="U173" s="316">
        <f t="shared" si="184"/>
        <v>0</v>
      </c>
      <c r="V173" s="316">
        <f t="shared" si="185"/>
        <v>0</v>
      </c>
      <c r="W173" s="316">
        <f t="shared" ref="W173:AB173" si="200">COUNTIF(ME_149_D,W$1)</f>
        <v>0</v>
      </c>
      <c r="X173" s="316">
        <f t="shared" si="200"/>
        <v>0</v>
      </c>
      <c r="Y173" s="316">
        <f t="shared" si="200"/>
        <v>0</v>
      </c>
      <c r="Z173" s="316">
        <f t="shared" si="200"/>
        <v>0</v>
      </c>
      <c r="AA173" s="316">
        <f t="shared" si="200"/>
        <v>0</v>
      </c>
      <c r="AB173" s="316">
        <f t="shared" si="200"/>
        <v>0</v>
      </c>
      <c r="AC173" s="315">
        <f>COUNTIF(ME_149_E,AC$1)+COUNTIF(ME_149_E,"E/D")</f>
        <v>0</v>
      </c>
      <c r="AD173" s="315">
        <f>COUNTIF(ME_149_E,AD$1)+COUNTIF(ME_149_E,"E/D")</f>
        <v>1</v>
      </c>
      <c r="AE173" s="378">
        <v>2500</v>
      </c>
      <c r="AF173" s="378"/>
      <c r="AG173" s="378"/>
      <c r="AH173" s="378">
        <v>1153</v>
      </c>
      <c r="AI173" s="378"/>
      <c r="AJ173" s="378">
        <v>159260</v>
      </c>
      <c r="AK173" s="378">
        <v>0</v>
      </c>
      <c r="AL173" s="318">
        <f t="shared" si="187"/>
        <v>162913</v>
      </c>
      <c r="AM173" s="378">
        <v>2500</v>
      </c>
      <c r="AN173" s="378"/>
      <c r="AO173" s="378"/>
      <c r="AP173" s="378">
        <v>3582</v>
      </c>
      <c r="AQ173" s="378"/>
      <c r="AR173" s="378">
        <v>74567</v>
      </c>
      <c r="AS173" s="377" t="s">
        <v>55</v>
      </c>
      <c r="AT173" s="318">
        <f t="shared" si="188"/>
        <v>80649</v>
      </c>
      <c r="AU173" s="377" t="s">
        <v>55</v>
      </c>
      <c r="AV173" s="377" t="s">
        <v>55</v>
      </c>
      <c r="AW173" s="377" t="s">
        <v>55</v>
      </c>
      <c r="AX173" s="377" t="s">
        <v>55</v>
      </c>
      <c r="AY173" s="377" t="s">
        <v>55</v>
      </c>
      <c r="AZ173" s="377" t="s">
        <v>55</v>
      </c>
      <c r="BA173" s="380" t="s">
        <v>55</v>
      </c>
      <c r="BB173" s="319">
        <f t="shared" si="189"/>
        <v>0</v>
      </c>
      <c r="BC173" s="412">
        <v>390884</v>
      </c>
      <c r="BD173" s="412">
        <v>0</v>
      </c>
      <c r="BE173" s="412">
        <v>0</v>
      </c>
      <c r="BF173" s="412">
        <v>109214</v>
      </c>
      <c r="BG173" s="412">
        <v>0</v>
      </c>
      <c r="BH173" s="412">
        <v>29555</v>
      </c>
      <c r="BI173" s="412">
        <v>0</v>
      </c>
      <c r="BJ173" s="314">
        <f>SUM(BC173:BI173)</f>
        <v>529653</v>
      </c>
      <c r="BK173" s="40" t="s">
        <v>20391</v>
      </c>
      <c r="BL173" s="40" t="s">
        <v>18655</v>
      </c>
      <c r="BM173" s="320">
        <v>1.8</v>
      </c>
      <c r="BN173" s="320">
        <v>2.2000000000000002</v>
      </c>
      <c r="BO173" s="40" t="s">
        <v>20410</v>
      </c>
      <c r="BP173" s="321">
        <v>74</v>
      </c>
      <c r="BQ173" s="344"/>
      <c r="BR173" s="314" t="s">
        <v>20651</v>
      </c>
      <c r="BS173" s="314"/>
      <c r="BT173" s="314"/>
      <c r="BU173" s="314"/>
      <c r="BV173" s="314"/>
      <c r="BW173" s="314"/>
      <c r="BX173" s="325" t="s">
        <v>20743</v>
      </c>
    </row>
    <row r="174" spans="1:76" ht="15.75" customHeight="1">
      <c r="A174" s="4" t="s">
        <v>20283</v>
      </c>
      <c r="B174" s="311" t="s">
        <v>2714</v>
      </c>
      <c r="C174" s="155" t="s">
        <v>55</v>
      </c>
      <c r="D174" s="312" t="s">
        <v>20474</v>
      </c>
      <c r="E174" s="40" t="s">
        <v>20051</v>
      </c>
      <c r="F174" s="314">
        <v>184</v>
      </c>
      <c r="G174" s="316">
        <f>COUNTA(ME_147_D)</f>
        <v>8</v>
      </c>
      <c r="H174" s="316">
        <f>COUNTIF(ME_147_G,"TT")</f>
        <v>8</v>
      </c>
      <c r="I174" s="316">
        <f t="shared" si="173"/>
        <v>0</v>
      </c>
      <c r="J174" s="316">
        <f>COUNTA(ME_147_D)</f>
        <v>8</v>
      </c>
      <c r="K174" s="316">
        <f>COUNTIF(ME_147_G,"TT")</f>
        <v>8</v>
      </c>
      <c r="L174" s="316">
        <f t="shared" si="174"/>
        <v>0</v>
      </c>
      <c r="M174" s="316">
        <f>COUNTIFS('Mechanical Engineering Faculty'!$F$5974:$F$5981,M$1)</f>
        <v>6</v>
      </c>
      <c r="N174" s="316">
        <f>COUNTIFS('Mechanical Engineering Faculty'!$F$5974:$F$5981,N$1)</f>
        <v>2</v>
      </c>
      <c r="O174" s="316">
        <f>COUNTIFS('Mechanical Engineering Faculty'!$F$5974:$F$5981,O$1)</f>
        <v>0</v>
      </c>
      <c r="P174" s="316">
        <f>COUNTIFS(ME_147_G,"TT", ME_147_D,P$1)</f>
        <v>7</v>
      </c>
      <c r="Q174" s="316">
        <f>COUNTIFS(ME_147_G,"TT", ME_147_D,Q$1)</f>
        <v>1</v>
      </c>
      <c r="R174" s="316">
        <f>COUNTIFS(ME_147_G,"TT", ME_147_D,R$1)</f>
        <v>0</v>
      </c>
      <c r="S174" s="316">
        <f>COUNTIF(ME_147_D,S$1)</f>
        <v>0</v>
      </c>
      <c r="T174" s="316">
        <f t="shared" si="183"/>
        <v>1</v>
      </c>
      <c r="U174" s="316">
        <f t="shared" si="184"/>
        <v>-1</v>
      </c>
      <c r="V174" s="316">
        <f t="shared" si="185"/>
        <v>0</v>
      </c>
      <c r="W174" s="316">
        <f t="shared" ref="W174:AB174" si="201">COUNTIF(ME_147_D,W$1)</f>
        <v>0</v>
      </c>
      <c r="X174" s="316">
        <f t="shared" si="201"/>
        <v>0</v>
      </c>
      <c r="Y174" s="316">
        <f t="shared" si="201"/>
        <v>0</v>
      </c>
      <c r="Z174" s="316">
        <f t="shared" si="201"/>
        <v>0</v>
      </c>
      <c r="AA174" s="316">
        <f t="shared" si="201"/>
        <v>0</v>
      </c>
      <c r="AB174" s="316">
        <f t="shared" si="201"/>
        <v>0</v>
      </c>
      <c r="AC174" s="315">
        <f>COUNTIF(ME_147_E,AC$1)+COUNTIF(ME_147_E,"E/D")</f>
        <v>0</v>
      </c>
      <c r="AD174" s="315">
        <f>COUNTIF(ME_147_E,AD$1)+COUNTIF(ME_147_E,"E/D")</f>
        <v>2</v>
      </c>
      <c r="AE174" s="377" t="s">
        <v>55</v>
      </c>
      <c r="AF174" s="406" t="s">
        <v>55</v>
      </c>
      <c r="AG174" s="406" t="s">
        <v>55</v>
      </c>
      <c r="AH174" s="406" t="s">
        <v>55</v>
      </c>
      <c r="AI174" s="406" t="s">
        <v>55</v>
      </c>
      <c r="AJ174" s="406" t="s">
        <v>55</v>
      </c>
      <c r="AK174" s="406" t="s">
        <v>55</v>
      </c>
      <c r="AL174" s="318">
        <f t="shared" si="187"/>
        <v>0</v>
      </c>
      <c r="AM174" s="377" t="s">
        <v>55</v>
      </c>
      <c r="AN174" s="406" t="s">
        <v>55</v>
      </c>
      <c r="AO174" s="406" t="s">
        <v>55</v>
      </c>
      <c r="AP174" s="406" t="s">
        <v>55</v>
      </c>
      <c r="AQ174" s="406" t="s">
        <v>55</v>
      </c>
      <c r="AR174" s="406" t="s">
        <v>55</v>
      </c>
      <c r="AS174" s="377" t="s">
        <v>55</v>
      </c>
      <c r="AT174" s="318">
        <f t="shared" si="188"/>
        <v>0</v>
      </c>
      <c r="AU174" s="377" t="s">
        <v>55</v>
      </c>
      <c r="AV174" s="377" t="s">
        <v>55</v>
      </c>
      <c r="AW174" s="377" t="s">
        <v>55</v>
      </c>
      <c r="AX174" s="377" t="s">
        <v>55</v>
      </c>
      <c r="AY174" s="377" t="s">
        <v>55</v>
      </c>
      <c r="AZ174" s="377" t="s">
        <v>55</v>
      </c>
      <c r="BA174" s="380" t="s">
        <v>55</v>
      </c>
      <c r="BB174" s="319">
        <f t="shared" si="189"/>
        <v>0</v>
      </c>
      <c r="BC174" s="411" t="s">
        <v>55</v>
      </c>
      <c r="BD174" s="413" t="s">
        <v>55</v>
      </c>
      <c r="BE174" s="413" t="s">
        <v>55</v>
      </c>
      <c r="BF174" s="413" t="s">
        <v>55</v>
      </c>
      <c r="BG174" s="413" t="s">
        <v>55</v>
      </c>
      <c r="BH174" s="413" t="s">
        <v>55</v>
      </c>
      <c r="BI174" s="413" t="s">
        <v>55</v>
      </c>
      <c r="BJ174" s="332" t="s">
        <v>55</v>
      </c>
      <c r="BK174" s="40" t="s">
        <v>18646</v>
      </c>
      <c r="BL174" s="40" t="s">
        <v>18655</v>
      </c>
      <c r="BM174" s="320">
        <v>1.7</v>
      </c>
      <c r="BN174" s="320">
        <v>1.9</v>
      </c>
      <c r="BO174" s="40" t="s">
        <v>20316</v>
      </c>
      <c r="BP174" s="321">
        <v>38</v>
      </c>
      <c r="BQ174" s="344"/>
      <c r="BR174" s="314" t="s">
        <v>20651</v>
      </c>
      <c r="BS174" s="314"/>
      <c r="BT174" s="314"/>
      <c r="BU174" s="314"/>
      <c r="BV174" s="314"/>
      <c r="BW174" s="314"/>
      <c r="BX174" s="325" t="s">
        <v>20740</v>
      </c>
    </row>
    <row r="175" spans="1:76" ht="15.75" customHeight="1">
      <c r="A175" s="25"/>
      <c r="B175" s="39"/>
      <c r="C175" s="155"/>
      <c r="D175" s="155"/>
      <c r="E175" s="40"/>
      <c r="F175" s="314"/>
      <c r="H175" s="315"/>
      <c r="I175" s="315"/>
      <c r="BA175" s="30"/>
      <c r="BB175" s="155"/>
      <c r="BC175" s="314"/>
      <c r="BD175" s="314"/>
      <c r="BE175" s="314"/>
      <c r="BF175" s="314"/>
      <c r="BG175" s="314"/>
      <c r="BH175" s="314"/>
      <c r="BI175" s="314"/>
      <c r="BJ175" s="314"/>
      <c r="BK175" s="40"/>
      <c r="BL175" s="40"/>
      <c r="BM175" s="40"/>
      <c r="BN175" s="40"/>
      <c r="BO175" s="40"/>
      <c r="BP175" s="155"/>
      <c r="BQ175" s="314"/>
      <c r="BR175" s="314"/>
      <c r="BS175" s="314"/>
      <c r="BT175" s="314"/>
      <c r="BU175" s="314"/>
      <c r="BV175" s="314"/>
      <c r="BW175" s="314"/>
      <c r="BX175" s="155"/>
    </row>
    <row r="176" spans="1:76" ht="15.75" customHeight="1">
      <c r="A176" s="25"/>
      <c r="B176" s="39"/>
      <c r="C176" s="155"/>
      <c r="D176" s="155"/>
      <c r="E176" s="40"/>
      <c r="F176" s="314"/>
      <c r="H176" s="315"/>
      <c r="I176" s="315"/>
      <c r="BA176" s="30"/>
      <c r="BB176" s="155"/>
      <c r="BC176" s="314"/>
      <c r="BD176" s="314"/>
      <c r="BE176" s="314"/>
      <c r="BF176" s="314"/>
      <c r="BG176" s="314"/>
      <c r="BH176" s="314"/>
      <c r="BI176" s="314"/>
      <c r="BJ176" s="314"/>
      <c r="BK176" s="40"/>
      <c r="BL176" s="40"/>
      <c r="BM176" s="40"/>
      <c r="BN176" s="40"/>
      <c r="BO176" s="40"/>
      <c r="BP176" s="155"/>
      <c r="BQ176" s="314"/>
      <c r="BR176" s="314"/>
      <c r="BS176" s="314"/>
      <c r="BT176" s="314"/>
      <c r="BU176" s="314"/>
      <c r="BV176" s="314"/>
      <c r="BW176" s="314"/>
      <c r="BX176" s="155"/>
    </row>
    <row r="177" spans="1:76" ht="15.75" customHeight="1">
      <c r="A177" s="25"/>
      <c r="B177" s="39"/>
      <c r="C177" s="155"/>
      <c r="D177" s="155"/>
      <c r="E177" s="40"/>
      <c r="F177" s="314"/>
      <c r="H177" s="315"/>
      <c r="I177" s="315"/>
      <c r="BA177" s="30"/>
      <c r="BB177" s="155"/>
      <c r="BC177" s="314"/>
      <c r="BD177" s="314"/>
      <c r="BE177" s="314"/>
      <c r="BF177" s="314"/>
      <c r="BG177" s="314"/>
      <c r="BH177" s="314"/>
      <c r="BI177" s="314"/>
      <c r="BJ177" s="314"/>
      <c r="BK177" s="40"/>
      <c r="BL177" s="40"/>
      <c r="BM177" s="40"/>
      <c r="BN177" s="40"/>
      <c r="BO177" s="40"/>
      <c r="BP177" s="155"/>
      <c r="BQ177" s="314"/>
      <c r="BR177" s="314"/>
      <c r="BS177" s="314"/>
      <c r="BT177" s="314"/>
      <c r="BU177" s="314"/>
      <c r="BV177" s="314"/>
      <c r="BW177" s="314"/>
      <c r="BX177" s="155"/>
    </row>
    <row r="178" spans="1:76" ht="15.75" customHeight="1">
      <c r="A178" s="25"/>
      <c r="B178" s="39"/>
      <c r="C178" s="155"/>
      <c r="D178" s="155"/>
      <c r="E178" s="40"/>
      <c r="F178" s="314"/>
      <c r="H178" s="315"/>
      <c r="I178" s="315"/>
      <c r="BA178" s="30"/>
      <c r="BB178" s="155"/>
      <c r="BC178" s="314"/>
      <c r="BD178" s="314"/>
      <c r="BE178" s="314"/>
      <c r="BF178" s="314"/>
      <c r="BG178" s="314"/>
      <c r="BH178" s="314"/>
      <c r="BI178" s="314"/>
      <c r="BJ178" s="314"/>
      <c r="BK178" s="40"/>
      <c r="BL178" s="40"/>
      <c r="BM178" s="40"/>
      <c r="BN178" s="40"/>
      <c r="BO178" s="40"/>
      <c r="BP178" s="155"/>
      <c r="BQ178" s="314"/>
      <c r="BR178" s="314"/>
      <c r="BS178" s="314"/>
      <c r="BT178" s="314"/>
      <c r="BU178" s="314"/>
      <c r="BV178" s="314"/>
      <c r="BW178" s="314"/>
      <c r="BX178" s="155"/>
    </row>
    <row r="179" spans="1:76" ht="15.75" customHeight="1">
      <c r="A179" s="25"/>
      <c r="B179" s="39"/>
      <c r="C179" s="155"/>
      <c r="D179" s="155"/>
      <c r="E179" s="40"/>
      <c r="F179" s="314"/>
      <c r="H179" s="315"/>
      <c r="I179" s="315"/>
      <c r="BA179" s="30"/>
      <c r="BB179" s="155"/>
      <c r="BC179" s="322"/>
      <c r="BD179" s="322"/>
      <c r="BE179" s="322"/>
      <c r="BF179" s="322"/>
      <c r="BG179" s="322"/>
      <c r="BH179" s="322"/>
      <c r="BI179" s="322"/>
      <c r="BJ179" s="322"/>
      <c r="BK179" s="341"/>
      <c r="BL179" s="40"/>
      <c r="BM179" s="40"/>
      <c r="BN179" s="40"/>
      <c r="BO179" s="40"/>
      <c r="BP179" s="155"/>
      <c r="BQ179" s="314"/>
      <c r="BR179" s="314"/>
      <c r="BS179" s="314"/>
      <c r="BT179" s="314"/>
      <c r="BU179" s="314"/>
      <c r="BV179" s="314"/>
      <c r="BW179" s="314"/>
      <c r="BX179" s="155"/>
    </row>
    <row r="180" spans="1:76" ht="15.75" customHeight="1">
      <c r="A180" s="25"/>
      <c r="B180" s="39"/>
      <c r="C180" s="155"/>
      <c r="D180" s="155"/>
      <c r="E180" s="40"/>
      <c r="F180" s="314"/>
      <c r="H180" s="315"/>
      <c r="I180" s="315"/>
      <c r="BA180" s="30"/>
      <c r="BB180" s="155"/>
      <c r="BC180" s="314"/>
      <c r="BD180" s="314"/>
      <c r="BE180" s="314"/>
      <c r="BF180" s="314"/>
      <c r="BG180" s="314"/>
      <c r="BH180" s="314"/>
      <c r="BI180" s="314"/>
      <c r="BJ180" s="314"/>
      <c r="BK180" s="40"/>
      <c r="BL180" s="40"/>
      <c r="BM180" s="40"/>
      <c r="BN180" s="40"/>
      <c r="BO180" s="40"/>
      <c r="BP180" s="155"/>
      <c r="BQ180" s="314"/>
      <c r="BR180" s="314"/>
      <c r="BS180" s="314"/>
      <c r="BT180" s="314"/>
      <c r="BU180" s="314"/>
      <c r="BV180" s="314"/>
      <c r="BW180" s="314"/>
      <c r="BX180" s="155"/>
    </row>
    <row r="181" spans="1:76" ht="15.75" customHeight="1">
      <c r="A181" s="25"/>
      <c r="B181" s="39"/>
      <c r="C181" s="155"/>
      <c r="D181" s="155"/>
      <c r="E181" s="40"/>
      <c r="F181" s="314"/>
      <c r="H181" s="315"/>
      <c r="I181" s="315"/>
      <c r="BA181" s="30"/>
      <c r="BB181" s="155"/>
      <c r="BC181" s="314"/>
      <c r="BD181" s="314"/>
      <c r="BE181" s="314"/>
      <c r="BF181" s="314"/>
      <c r="BG181" s="314"/>
      <c r="BH181" s="314"/>
      <c r="BI181" s="314"/>
      <c r="BJ181" s="314"/>
      <c r="BK181" s="40"/>
      <c r="BL181" s="40"/>
      <c r="BM181" s="40"/>
      <c r="BN181" s="40"/>
      <c r="BO181" s="40"/>
      <c r="BP181" s="155"/>
      <c r="BQ181" s="314"/>
      <c r="BR181" s="314"/>
      <c r="BS181" s="314"/>
      <c r="BT181" s="314"/>
      <c r="BU181" s="314"/>
      <c r="BV181" s="314"/>
      <c r="BW181" s="314"/>
      <c r="BX181" s="155"/>
    </row>
    <row r="182" spans="1:76" ht="15.75" customHeight="1">
      <c r="A182" s="25"/>
      <c r="B182" s="39"/>
      <c r="C182" s="155"/>
      <c r="D182" s="155"/>
      <c r="E182" s="341"/>
      <c r="F182" s="314"/>
      <c r="H182" s="315"/>
      <c r="I182" s="315"/>
      <c r="BA182" s="30"/>
      <c r="BB182" s="321"/>
      <c r="BC182" s="314"/>
      <c r="BD182" s="314"/>
      <c r="BE182" s="314"/>
      <c r="BF182" s="314"/>
      <c r="BG182" s="314"/>
      <c r="BH182" s="314"/>
      <c r="BI182" s="314"/>
      <c r="BJ182" s="314"/>
      <c r="BK182" s="40"/>
      <c r="BL182" s="40"/>
      <c r="BM182" s="40"/>
      <c r="BN182" s="40"/>
      <c r="BO182" s="40"/>
      <c r="BP182" s="155"/>
      <c r="BQ182" s="314"/>
      <c r="BR182" s="314"/>
      <c r="BS182" s="314"/>
      <c r="BT182" s="314"/>
      <c r="BU182" s="314"/>
      <c r="BV182" s="314"/>
      <c r="BW182" s="314"/>
      <c r="BX182" s="155"/>
    </row>
    <row r="183" spans="1:76" ht="15.75" customHeight="1">
      <c r="A183" s="25"/>
      <c r="B183" s="39"/>
      <c r="C183" s="155"/>
      <c r="D183" s="155"/>
      <c r="E183" s="40"/>
      <c r="F183" s="314"/>
      <c r="H183" s="315"/>
      <c r="I183" s="315"/>
      <c r="BA183" s="30"/>
      <c r="BB183" s="155"/>
      <c r="BC183" s="314"/>
      <c r="BD183" s="314"/>
      <c r="BE183" s="314"/>
      <c r="BF183" s="314"/>
      <c r="BG183" s="314"/>
      <c r="BH183" s="314"/>
      <c r="BI183" s="314"/>
      <c r="BJ183" s="314"/>
      <c r="BK183" s="40"/>
      <c r="BL183" s="40"/>
      <c r="BM183" s="40"/>
      <c r="BN183" s="40"/>
      <c r="BO183" s="40"/>
      <c r="BP183" s="155"/>
      <c r="BQ183" s="314"/>
      <c r="BR183" s="314"/>
      <c r="BS183" s="314"/>
      <c r="BT183" s="314"/>
      <c r="BU183" s="314"/>
      <c r="BV183" s="314"/>
      <c r="BW183" s="314"/>
      <c r="BX183" s="155"/>
    </row>
    <row r="184" spans="1:76" ht="15.75" customHeight="1">
      <c r="A184" s="25"/>
      <c r="B184" s="39"/>
      <c r="C184" s="155"/>
      <c r="D184" s="155"/>
      <c r="E184" s="40"/>
      <c r="F184" s="314"/>
      <c r="H184" s="315"/>
      <c r="I184" s="315"/>
      <c r="BA184" s="30"/>
      <c r="BB184" s="155"/>
      <c r="BC184" s="314"/>
      <c r="BD184" s="314"/>
      <c r="BE184" s="314"/>
      <c r="BF184" s="314"/>
      <c r="BG184" s="314"/>
      <c r="BH184" s="314"/>
      <c r="BI184" s="314"/>
      <c r="BJ184" s="314"/>
      <c r="BK184" s="40"/>
      <c r="BL184" s="40"/>
      <c r="BM184" s="40"/>
      <c r="BN184" s="40"/>
      <c r="BO184" s="40"/>
      <c r="BP184" s="155"/>
      <c r="BQ184" s="314"/>
      <c r="BR184" s="314"/>
      <c r="BS184" s="314"/>
      <c r="BT184" s="314"/>
      <c r="BU184" s="314"/>
      <c r="BV184" s="314"/>
      <c r="BW184" s="314"/>
      <c r="BX184" s="155"/>
    </row>
    <row r="185" spans="1:76" ht="15.75" customHeight="1">
      <c r="A185" s="25"/>
      <c r="B185" s="39"/>
      <c r="C185" s="155"/>
      <c r="D185" s="155"/>
      <c r="E185" s="40"/>
      <c r="F185" s="314"/>
      <c r="H185" s="315"/>
      <c r="I185" s="315"/>
      <c r="BA185" s="30"/>
      <c r="BB185" s="155"/>
      <c r="BC185" s="314"/>
      <c r="BD185" s="314"/>
      <c r="BE185" s="314"/>
      <c r="BF185" s="314"/>
      <c r="BG185" s="314"/>
      <c r="BH185" s="314"/>
      <c r="BI185" s="314"/>
      <c r="BJ185" s="314"/>
      <c r="BK185" s="40"/>
      <c r="BL185" s="40"/>
      <c r="BM185" s="40"/>
      <c r="BN185" s="40"/>
      <c r="BO185" s="40"/>
      <c r="BP185" s="155"/>
      <c r="BQ185" s="314"/>
      <c r="BR185" s="314"/>
      <c r="BS185" s="314"/>
      <c r="BT185" s="314"/>
      <c r="BU185" s="314"/>
      <c r="BV185" s="314"/>
      <c r="BW185" s="314"/>
      <c r="BX185" s="155"/>
    </row>
    <row r="186" spans="1:76" ht="15.75" customHeight="1">
      <c r="A186" s="25"/>
      <c r="B186" s="39"/>
      <c r="C186" s="155"/>
      <c r="D186" s="155"/>
      <c r="E186" s="40"/>
      <c r="F186" s="314"/>
      <c r="H186" s="315"/>
      <c r="I186" s="315"/>
      <c r="BA186" s="30"/>
      <c r="BB186" s="155"/>
      <c r="BC186" s="314"/>
      <c r="BD186" s="314"/>
      <c r="BE186" s="314"/>
      <c r="BF186" s="314"/>
      <c r="BG186" s="314"/>
      <c r="BH186" s="314"/>
      <c r="BI186" s="314"/>
      <c r="BJ186" s="314"/>
      <c r="BK186" s="40"/>
      <c r="BL186" s="40"/>
      <c r="BM186" s="40"/>
      <c r="BN186" s="40"/>
      <c r="BO186" s="40"/>
      <c r="BP186" s="155"/>
      <c r="BQ186" s="314"/>
      <c r="BR186" s="314"/>
      <c r="BS186" s="314"/>
      <c r="BT186" s="314"/>
      <c r="BU186" s="314"/>
      <c r="BV186" s="314"/>
      <c r="BW186" s="314"/>
      <c r="BX186" s="155"/>
    </row>
    <row r="187" spans="1:76" ht="15.75" customHeight="1">
      <c r="A187" s="25"/>
      <c r="B187" s="39"/>
      <c r="C187" s="155"/>
      <c r="D187" s="155"/>
      <c r="E187" s="40"/>
      <c r="F187" s="314"/>
      <c r="H187" s="315"/>
      <c r="I187" s="315"/>
      <c r="BA187" s="30"/>
      <c r="BB187" s="155"/>
      <c r="BC187" s="314"/>
      <c r="BD187" s="314"/>
      <c r="BE187" s="314"/>
      <c r="BF187" s="314"/>
      <c r="BG187" s="314"/>
      <c r="BH187" s="314"/>
      <c r="BI187" s="314"/>
      <c r="BJ187" s="314"/>
      <c r="BK187" s="40"/>
      <c r="BL187" s="40"/>
      <c r="BM187" s="40"/>
      <c r="BN187" s="40"/>
      <c r="BO187" s="40"/>
      <c r="BP187" s="155"/>
      <c r="BQ187" s="314"/>
      <c r="BR187" s="314"/>
      <c r="BS187" s="314"/>
      <c r="BT187" s="314"/>
      <c r="BU187" s="314"/>
      <c r="BV187" s="314"/>
      <c r="BW187" s="314"/>
      <c r="BX187" s="155"/>
    </row>
    <row r="188" spans="1:76" ht="15.75" customHeight="1">
      <c r="A188" s="25"/>
      <c r="B188" s="39"/>
      <c r="C188" s="155"/>
      <c r="D188" s="155"/>
      <c r="E188" s="40"/>
      <c r="F188" s="314"/>
      <c r="H188" s="315"/>
      <c r="I188" s="315"/>
      <c r="BA188" s="30"/>
      <c r="BB188" s="155"/>
      <c r="BC188" s="314"/>
      <c r="BD188" s="314"/>
      <c r="BE188" s="314"/>
      <c r="BF188" s="314"/>
      <c r="BG188" s="314"/>
      <c r="BH188" s="314"/>
      <c r="BI188" s="314"/>
      <c r="BJ188" s="314"/>
      <c r="BK188" s="40"/>
      <c r="BL188" s="40"/>
      <c r="BM188" s="40"/>
      <c r="BN188" s="40"/>
      <c r="BO188" s="40"/>
      <c r="BP188" s="155"/>
      <c r="BQ188" s="314"/>
      <c r="BR188" s="314"/>
      <c r="BS188" s="314"/>
      <c r="BT188" s="314"/>
      <c r="BU188" s="314"/>
      <c r="BV188" s="314"/>
      <c r="BW188" s="314"/>
      <c r="BX188" s="155"/>
    </row>
    <row r="189" spans="1:76" ht="15.75" customHeight="1">
      <c r="A189" s="25"/>
      <c r="B189" s="39"/>
      <c r="C189" s="155"/>
      <c r="D189" s="155"/>
      <c r="E189" s="40"/>
      <c r="F189" s="314"/>
      <c r="H189" s="315"/>
      <c r="I189" s="315"/>
      <c r="BA189" s="30"/>
      <c r="BB189" s="155"/>
      <c r="BC189" s="314"/>
      <c r="BD189" s="314"/>
      <c r="BE189" s="314"/>
      <c r="BF189" s="314"/>
      <c r="BG189" s="314"/>
      <c r="BH189" s="314"/>
      <c r="BI189" s="314"/>
      <c r="BJ189" s="314"/>
      <c r="BK189" s="40"/>
      <c r="BL189" s="40"/>
      <c r="BM189" s="40"/>
      <c r="BN189" s="40"/>
      <c r="BO189" s="40"/>
      <c r="BP189" s="155"/>
      <c r="BQ189" s="314"/>
      <c r="BR189" s="314"/>
      <c r="BS189" s="314"/>
      <c r="BT189" s="314"/>
      <c r="BU189" s="314"/>
      <c r="BV189" s="314"/>
      <c r="BW189" s="314"/>
      <c r="BX189" s="155"/>
    </row>
    <row r="190" spans="1:76" ht="15.75" customHeight="1">
      <c r="A190" s="25"/>
      <c r="B190" s="39"/>
      <c r="C190" s="155"/>
      <c r="D190" s="155"/>
      <c r="E190" s="341"/>
      <c r="F190" s="314"/>
      <c r="H190" s="315"/>
      <c r="I190" s="315"/>
      <c r="BA190" s="30"/>
      <c r="BB190" s="321"/>
      <c r="BC190" s="314"/>
      <c r="BD190" s="314"/>
      <c r="BE190" s="314"/>
      <c r="BF190" s="314"/>
      <c r="BG190" s="314"/>
      <c r="BH190" s="314"/>
      <c r="BI190" s="314"/>
      <c r="BJ190" s="314"/>
      <c r="BK190" s="40"/>
      <c r="BL190" s="40"/>
      <c r="BM190" s="40"/>
      <c r="BN190" s="40"/>
      <c r="BO190" s="40"/>
      <c r="BP190" s="155"/>
      <c r="BQ190" s="314"/>
      <c r="BR190" s="314"/>
      <c r="BS190" s="314"/>
      <c r="BT190" s="314"/>
      <c r="BU190" s="314"/>
      <c r="BV190" s="314"/>
      <c r="BW190" s="314"/>
      <c r="BX190" s="155"/>
    </row>
    <row r="191" spans="1:76" ht="15.75" customHeight="1">
      <c r="A191" s="25"/>
      <c r="B191" s="39"/>
      <c r="C191" s="155"/>
      <c r="D191" s="155"/>
      <c r="E191" s="40"/>
      <c r="F191" s="314"/>
      <c r="H191" s="315"/>
      <c r="I191" s="315"/>
      <c r="BA191" s="30"/>
      <c r="BB191" s="155"/>
      <c r="BC191" s="314"/>
      <c r="BD191" s="314"/>
      <c r="BE191" s="314"/>
      <c r="BF191" s="314"/>
      <c r="BG191" s="314"/>
      <c r="BH191" s="314"/>
      <c r="BI191" s="314"/>
      <c r="BJ191" s="314"/>
      <c r="BK191" s="40"/>
      <c r="BL191" s="40"/>
      <c r="BM191" s="40"/>
      <c r="BN191" s="40"/>
      <c r="BO191" s="40"/>
      <c r="BP191" s="155"/>
      <c r="BQ191" s="314"/>
      <c r="BR191" s="314"/>
      <c r="BS191" s="314"/>
      <c r="BT191" s="314"/>
      <c r="BU191" s="314"/>
      <c r="BV191" s="314"/>
      <c r="BW191" s="314"/>
      <c r="BX191" s="155"/>
    </row>
    <row r="192" spans="1:76" ht="15.75" customHeight="1">
      <c r="A192" s="25"/>
      <c r="B192" s="39"/>
      <c r="C192" s="155"/>
      <c r="D192" s="155"/>
      <c r="E192" s="40"/>
      <c r="F192" s="314"/>
      <c r="H192" s="315"/>
      <c r="I192" s="315"/>
      <c r="BA192" s="30"/>
      <c r="BB192" s="155"/>
      <c r="BC192" s="314"/>
      <c r="BD192" s="314"/>
      <c r="BE192" s="314"/>
      <c r="BF192" s="314"/>
      <c r="BG192" s="314"/>
      <c r="BH192" s="314"/>
      <c r="BI192" s="314"/>
      <c r="BJ192" s="314"/>
      <c r="BK192" s="40"/>
      <c r="BL192" s="40"/>
      <c r="BM192" s="40"/>
      <c r="BN192" s="40"/>
      <c r="BO192" s="40"/>
      <c r="BP192" s="155"/>
      <c r="BQ192" s="314"/>
      <c r="BR192" s="314"/>
      <c r="BS192" s="314"/>
      <c r="BT192" s="314"/>
      <c r="BU192" s="314"/>
      <c r="BV192" s="314"/>
      <c r="BW192" s="314"/>
      <c r="BX192" s="155"/>
    </row>
    <row r="193" spans="1:76" ht="15.75" customHeight="1">
      <c r="A193" s="25"/>
      <c r="B193" s="39"/>
      <c r="C193" s="155"/>
      <c r="D193" s="155"/>
      <c r="E193" s="40"/>
      <c r="F193" s="314"/>
      <c r="H193" s="315"/>
      <c r="I193" s="315"/>
      <c r="BA193" s="30"/>
      <c r="BB193" s="155"/>
      <c r="BC193" s="314"/>
      <c r="BD193" s="314"/>
      <c r="BE193" s="314"/>
      <c r="BF193" s="314"/>
      <c r="BG193" s="314"/>
      <c r="BH193" s="314"/>
      <c r="BI193" s="314"/>
      <c r="BJ193" s="314"/>
      <c r="BK193" s="40"/>
      <c r="BL193" s="40"/>
      <c r="BM193" s="40"/>
      <c r="BN193" s="40"/>
      <c r="BO193" s="40"/>
      <c r="BP193" s="155"/>
      <c r="BQ193" s="314"/>
      <c r="BR193" s="314"/>
      <c r="BS193" s="314"/>
      <c r="BT193" s="314"/>
      <c r="BU193" s="314"/>
      <c r="BV193" s="314"/>
      <c r="BW193" s="314"/>
      <c r="BX193" s="155"/>
    </row>
    <row r="194" spans="1:76" ht="15.75" customHeight="1">
      <c r="A194" s="25"/>
      <c r="B194" s="39"/>
      <c r="C194" s="155"/>
      <c r="D194" s="155"/>
      <c r="E194" s="40"/>
      <c r="F194" s="314"/>
      <c r="H194" s="315"/>
      <c r="I194" s="315"/>
      <c r="BA194" s="30"/>
      <c r="BB194" s="155"/>
      <c r="BC194" s="314"/>
      <c r="BD194" s="314"/>
      <c r="BE194" s="314"/>
      <c r="BF194" s="314"/>
      <c r="BG194" s="314"/>
      <c r="BH194" s="314"/>
      <c r="BI194" s="314"/>
      <c r="BJ194" s="314"/>
      <c r="BK194" s="40"/>
      <c r="BL194" s="40"/>
      <c r="BM194" s="40"/>
      <c r="BN194" s="40"/>
      <c r="BO194" s="40"/>
      <c r="BP194" s="155"/>
      <c r="BQ194" s="314"/>
      <c r="BR194" s="314"/>
      <c r="BS194" s="314"/>
      <c r="BT194" s="314"/>
      <c r="BU194" s="314"/>
      <c r="BV194" s="314"/>
      <c r="BW194" s="314"/>
      <c r="BX194" s="155"/>
    </row>
    <row r="195" spans="1:76" ht="15.75" customHeight="1">
      <c r="A195" s="25"/>
      <c r="B195" s="39"/>
      <c r="C195" s="155"/>
      <c r="D195" s="155"/>
      <c r="E195" s="40"/>
      <c r="F195" s="314"/>
      <c r="H195" s="315"/>
      <c r="I195" s="315"/>
      <c r="BA195" s="30"/>
      <c r="BB195" s="155"/>
      <c r="BC195" s="314"/>
      <c r="BD195" s="314"/>
      <c r="BE195" s="314"/>
      <c r="BF195" s="314"/>
      <c r="BG195" s="314"/>
      <c r="BH195" s="314"/>
      <c r="BI195" s="314"/>
      <c r="BJ195" s="314"/>
      <c r="BK195" s="40"/>
      <c r="BL195" s="40"/>
      <c r="BM195" s="40"/>
      <c r="BN195" s="40"/>
      <c r="BO195" s="40"/>
      <c r="BP195" s="155"/>
      <c r="BQ195" s="314"/>
      <c r="BR195" s="314"/>
      <c r="BS195" s="314"/>
      <c r="BT195" s="314"/>
      <c r="BU195" s="314"/>
      <c r="BV195" s="314"/>
      <c r="BW195" s="314"/>
      <c r="BX195" s="155"/>
    </row>
    <row r="196" spans="1:76" ht="15.75" customHeight="1">
      <c r="A196" s="25"/>
      <c r="B196" s="39"/>
      <c r="C196" s="155"/>
      <c r="D196" s="155"/>
      <c r="E196" s="40"/>
      <c r="F196" s="314"/>
      <c r="H196" s="315"/>
      <c r="I196" s="315"/>
      <c r="BA196" s="30"/>
      <c r="BB196" s="155"/>
      <c r="BC196" s="314"/>
      <c r="BD196" s="314"/>
      <c r="BE196" s="314"/>
      <c r="BF196" s="314"/>
      <c r="BG196" s="314"/>
      <c r="BH196" s="314"/>
      <c r="BI196" s="314"/>
      <c r="BJ196" s="314"/>
      <c r="BK196" s="40"/>
      <c r="BL196" s="40"/>
      <c r="BM196" s="40"/>
      <c r="BN196" s="40"/>
      <c r="BO196" s="40"/>
      <c r="BP196" s="155"/>
      <c r="BQ196" s="314"/>
      <c r="BR196" s="314"/>
      <c r="BS196" s="314"/>
      <c r="BT196" s="314"/>
      <c r="BU196" s="314"/>
      <c r="BV196" s="314"/>
      <c r="BW196" s="314"/>
      <c r="BX196" s="155"/>
    </row>
    <row r="197" spans="1:76" ht="15.75" customHeight="1">
      <c r="A197" s="25"/>
      <c r="B197" s="39"/>
      <c r="C197" s="155"/>
      <c r="D197" s="155"/>
      <c r="E197" s="40"/>
      <c r="F197" s="314"/>
      <c r="H197" s="315"/>
      <c r="I197" s="315"/>
      <c r="BA197" s="30"/>
      <c r="BB197" s="155"/>
      <c r="BC197" s="314"/>
      <c r="BD197" s="314"/>
      <c r="BE197" s="314"/>
      <c r="BF197" s="314"/>
      <c r="BG197" s="314"/>
      <c r="BH197" s="314"/>
      <c r="BI197" s="314"/>
      <c r="BJ197" s="314"/>
      <c r="BK197" s="40"/>
      <c r="BL197" s="40"/>
      <c r="BM197" s="40"/>
      <c r="BN197" s="40"/>
      <c r="BO197" s="40"/>
      <c r="BP197" s="155"/>
      <c r="BQ197" s="314"/>
      <c r="BR197" s="314"/>
      <c r="BS197" s="314"/>
      <c r="BT197" s="314"/>
      <c r="BU197" s="314"/>
      <c r="BV197" s="314"/>
      <c r="BW197" s="314"/>
      <c r="BX197" s="155"/>
    </row>
    <row r="198" spans="1:76" ht="15.75" customHeight="1">
      <c r="A198" s="25"/>
      <c r="B198" s="39"/>
      <c r="C198" s="155"/>
      <c r="D198" s="155"/>
      <c r="E198" s="341"/>
      <c r="F198" s="314"/>
      <c r="H198" s="315"/>
      <c r="I198" s="315"/>
      <c r="BA198" s="30"/>
      <c r="BB198" s="321"/>
      <c r="BC198" s="314"/>
      <c r="BD198" s="314"/>
      <c r="BE198" s="314"/>
      <c r="BF198" s="314"/>
      <c r="BG198" s="314"/>
      <c r="BH198" s="314"/>
      <c r="BI198" s="314"/>
      <c r="BJ198" s="314"/>
      <c r="BK198" s="40"/>
      <c r="BL198" s="40"/>
      <c r="BM198" s="40"/>
      <c r="BN198" s="40"/>
      <c r="BO198" s="40"/>
      <c r="BP198" s="155"/>
      <c r="BQ198" s="314"/>
      <c r="BR198" s="314"/>
      <c r="BS198" s="314"/>
      <c r="BT198" s="314"/>
      <c r="BU198" s="314"/>
      <c r="BV198" s="314"/>
      <c r="BW198" s="314"/>
      <c r="BX198" s="155"/>
    </row>
    <row r="199" spans="1:76" ht="15.75" customHeight="1">
      <c r="A199" s="25"/>
      <c r="B199" s="39"/>
      <c r="C199" s="155"/>
      <c r="D199" s="155"/>
      <c r="E199" s="40"/>
      <c r="F199" s="314"/>
      <c r="H199" s="315"/>
      <c r="I199" s="315"/>
      <c r="BA199" s="30"/>
      <c r="BB199" s="155"/>
      <c r="BC199" s="314"/>
      <c r="BD199" s="314"/>
      <c r="BE199" s="314"/>
      <c r="BF199" s="314"/>
      <c r="BG199" s="314"/>
      <c r="BH199" s="314"/>
      <c r="BI199" s="314"/>
      <c r="BJ199" s="314"/>
      <c r="BK199" s="40"/>
      <c r="BL199" s="40"/>
      <c r="BM199" s="40"/>
      <c r="BN199" s="40"/>
      <c r="BO199" s="40"/>
      <c r="BP199" s="155"/>
      <c r="BQ199" s="314"/>
      <c r="BR199" s="314"/>
      <c r="BS199" s="314"/>
      <c r="BT199" s="314"/>
      <c r="BU199" s="314"/>
      <c r="BV199" s="314"/>
      <c r="BW199" s="314"/>
      <c r="BX199" s="155"/>
    </row>
    <row r="200" spans="1:76" ht="15.75" customHeight="1">
      <c r="A200" s="25"/>
      <c r="B200" s="39"/>
      <c r="C200" s="155"/>
      <c r="D200" s="155"/>
      <c r="E200" s="40"/>
      <c r="F200" s="314"/>
      <c r="H200" s="315"/>
      <c r="I200" s="315"/>
      <c r="BA200" s="30"/>
      <c r="BB200" s="155"/>
      <c r="BC200" s="314"/>
      <c r="BD200" s="314"/>
      <c r="BE200" s="314"/>
      <c r="BF200" s="314"/>
      <c r="BG200" s="314"/>
      <c r="BH200" s="314"/>
      <c r="BI200" s="314"/>
      <c r="BJ200" s="314"/>
      <c r="BK200" s="40"/>
      <c r="BL200" s="40"/>
      <c r="BM200" s="40"/>
      <c r="BN200" s="40"/>
      <c r="BO200" s="40"/>
      <c r="BP200" s="155"/>
      <c r="BQ200" s="314"/>
      <c r="BR200" s="314"/>
      <c r="BS200" s="314"/>
      <c r="BT200" s="314"/>
      <c r="BU200" s="314"/>
      <c r="BV200" s="314"/>
      <c r="BW200" s="314"/>
      <c r="BX200" s="155"/>
    </row>
    <row r="201" spans="1:76" ht="15.75" customHeight="1">
      <c r="A201" s="25"/>
      <c r="B201" s="39"/>
      <c r="C201" s="155"/>
      <c r="D201" s="155"/>
      <c r="E201" s="40"/>
      <c r="F201" s="314"/>
      <c r="H201" s="315"/>
      <c r="I201" s="315"/>
      <c r="BA201" s="30"/>
      <c r="BB201" s="155"/>
      <c r="BC201" s="314"/>
      <c r="BD201" s="314"/>
      <c r="BE201" s="314"/>
      <c r="BF201" s="314"/>
      <c r="BG201" s="314"/>
      <c r="BH201" s="314"/>
      <c r="BI201" s="314"/>
      <c r="BJ201" s="314"/>
      <c r="BK201" s="40"/>
      <c r="BL201" s="40"/>
      <c r="BM201" s="40"/>
      <c r="BN201" s="40"/>
      <c r="BO201" s="40"/>
      <c r="BP201" s="155"/>
      <c r="BQ201" s="314"/>
      <c r="BR201" s="314"/>
      <c r="BS201" s="314"/>
      <c r="BT201" s="314"/>
      <c r="BU201" s="314"/>
      <c r="BV201" s="314"/>
      <c r="BW201" s="314"/>
      <c r="BX201" s="155"/>
    </row>
    <row r="202" spans="1:76" ht="15.75" customHeight="1">
      <c r="A202" s="25"/>
      <c r="B202" s="39"/>
      <c r="C202" s="155"/>
      <c r="D202" s="155"/>
      <c r="E202" s="40"/>
      <c r="F202" s="314"/>
      <c r="H202" s="315"/>
      <c r="I202" s="315"/>
      <c r="BA202" s="30"/>
      <c r="BB202" s="155"/>
      <c r="BC202" s="314"/>
      <c r="BD202" s="314"/>
      <c r="BE202" s="314"/>
      <c r="BF202" s="314"/>
      <c r="BG202" s="314"/>
      <c r="BH202" s="314"/>
      <c r="BI202" s="314"/>
      <c r="BJ202" s="314"/>
      <c r="BK202" s="40"/>
      <c r="BL202" s="40"/>
      <c r="BM202" s="40"/>
      <c r="BN202" s="40"/>
      <c r="BO202" s="40"/>
      <c r="BP202" s="155"/>
      <c r="BQ202" s="314"/>
      <c r="BR202" s="314"/>
      <c r="BS202" s="314"/>
      <c r="BT202" s="314"/>
      <c r="BU202" s="314"/>
      <c r="BV202" s="314"/>
      <c r="BW202" s="314"/>
      <c r="BX202" s="155"/>
    </row>
    <row r="203" spans="1:76" ht="15.75" customHeight="1">
      <c r="A203" s="25"/>
      <c r="B203" s="39"/>
      <c r="C203" s="155"/>
      <c r="D203" s="155"/>
      <c r="E203" s="40"/>
      <c r="F203" s="314"/>
      <c r="H203" s="315"/>
      <c r="I203" s="315"/>
      <c r="BA203" s="30"/>
      <c r="BB203" s="155"/>
      <c r="BC203" s="314"/>
      <c r="BD203" s="314"/>
      <c r="BE203" s="314"/>
      <c r="BF203" s="314"/>
      <c r="BG203" s="314"/>
      <c r="BH203" s="314"/>
      <c r="BI203" s="314"/>
      <c r="BJ203" s="314"/>
      <c r="BK203" s="40"/>
      <c r="BL203" s="40"/>
      <c r="BM203" s="40"/>
      <c r="BN203" s="40"/>
      <c r="BO203" s="40"/>
      <c r="BP203" s="155"/>
      <c r="BQ203" s="314"/>
      <c r="BR203" s="314"/>
      <c r="BS203" s="314"/>
      <c r="BT203" s="314"/>
      <c r="BU203" s="314"/>
      <c r="BV203" s="314"/>
      <c r="BW203" s="314"/>
      <c r="BX203" s="155"/>
    </row>
    <row r="204" spans="1:76" ht="15.75" customHeight="1">
      <c r="A204" s="25"/>
      <c r="B204" s="39"/>
      <c r="C204" s="155"/>
      <c r="D204" s="155"/>
      <c r="E204" s="40"/>
      <c r="F204" s="314"/>
      <c r="H204" s="315"/>
      <c r="I204" s="315"/>
      <c r="BA204" s="30"/>
      <c r="BB204" s="155"/>
      <c r="BC204" s="314"/>
      <c r="BD204" s="314"/>
      <c r="BE204" s="314"/>
      <c r="BF204" s="314"/>
      <c r="BG204" s="314"/>
      <c r="BH204" s="314"/>
      <c r="BI204" s="314"/>
      <c r="BJ204" s="314"/>
      <c r="BK204" s="40"/>
      <c r="BL204" s="40"/>
      <c r="BM204" s="40"/>
      <c r="BN204" s="40"/>
      <c r="BO204" s="40"/>
      <c r="BP204" s="155"/>
      <c r="BQ204" s="314"/>
      <c r="BR204" s="314"/>
      <c r="BS204" s="314"/>
      <c r="BT204" s="314"/>
      <c r="BU204" s="314"/>
      <c r="BV204" s="314"/>
      <c r="BW204" s="314"/>
      <c r="BX204" s="155"/>
    </row>
    <row r="205" spans="1:76" ht="15.75" customHeight="1">
      <c r="A205" s="25"/>
      <c r="B205" s="39"/>
      <c r="C205" s="155"/>
      <c r="D205" s="155"/>
      <c r="E205" s="40"/>
      <c r="F205" s="314"/>
      <c r="H205" s="315"/>
      <c r="I205" s="315"/>
      <c r="BA205" s="30"/>
      <c r="BB205" s="155"/>
      <c r="BC205" s="314"/>
      <c r="BD205" s="314"/>
      <c r="BE205" s="314"/>
      <c r="BF205" s="314"/>
      <c r="BG205" s="314"/>
      <c r="BH205" s="314"/>
      <c r="BI205" s="314"/>
      <c r="BJ205" s="314"/>
      <c r="BK205" s="40"/>
      <c r="BL205" s="40"/>
      <c r="BM205" s="40"/>
      <c r="BN205" s="40"/>
      <c r="BO205" s="40"/>
      <c r="BP205" s="155"/>
      <c r="BQ205" s="314"/>
      <c r="BR205" s="314"/>
      <c r="BS205" s="314"/>
      <c r="BT205" s="314"/>
      <c r="BU205" s="314"/>
      <c r="BV205" s="314"/>
      <c r="BW205" s="314"/>
      <c r="BX205" s="155"/>
    </row>
    <row r="206" spans="1:76" ht="15.75" customHeight="1">
      <c r="A206" s="25"/>
      <c r="B206" s="39"/>
      <c r="C206" s="155"/>
      <c r="D206" s="155"/>
      <c r="E206" s="341"/>
      <c r="F206" s="314"/>
      <c r="H206" s="315"/>
      <c r="I206" s="315"/>
      <c r="BA206" s="30"/>
      <c r="BB206" s="321"/>
      <c r="BC206" s="314"/>
      <c r="BD206" s="314"/>
      <c r="BE206" s="314"/>
      <c r="BF206" s="314"/>
      <c r="BG206" s="314"/>
      <c r="BH206" s="314"/>
      <c r="BI206" s="314"/>
      <c r="BJ206" s="314"/>
      <c r="BK206" s="40"/>
      <c r="BL206" s="40"/>
      <c r="BM206" s="40"/>
      <c r="BN206" s="40"/>
      <c r="BO206" s="40"/>
      <c r="BP206" s="155"/>
      <c r="BQ206" s="314"/>
      <c r="BR206" s="314"/>
      <c r="BS206" s="314"/>
      <c r="BT206" s="314"/>
      <c r="BU206" s="314"/>
      <c r="BV206" s="314"/>
      <c r="BW206" s="314"/>
      <c r="BX206" s="155"/>
    </row>
    <row r="207" spans="1:76" ht="15.75" customHeight="1">
      <c r="A207" s="25"/>
      <c r="B207" s="39"/>
      <c r="C207" s="155"/>
      <c r="D207" s="155"/>
      <c r="E207" s="40"/>
      <c r="F207" s="314"/>
      <c r="H207" s="315"/>
      <c r="I207" s="315"/>
      <c r="BA207" s="30"/>
      <c r="BB207" s="155"/>
      <c r="BC207" s="314"/>
      <c r="BD207" s="314"/>
      <c r="BE207" s="314"/>
      <c r="BF207" s="314"/>
      <c r="BG207" s="314"/>
      <c r="BH207" s="314"/>
      <c r="BI207" s="314"/>
      <c r="BJ207" s="314"/>
      <c r="BK207" s="40"/>
      <c r="BL207" s="40"/>
      <c r="BM207" s="40"/>
      <c r="BN207" s="40"/>
      <c r="BO207" s="40"/>
      <c r="BP207" s="155"/>
      <c r="BQ207" s="314"/>
      <c r="BR207" s="314"/>
      <c r="BS207" s="314"/>
      <c r="BT207" s="314"/>
      <c r="BU207" s="314"/>
      <c r="BV207" s="314"/>
      <c r="BW207" s="314"/>
      <c r="BX207" s="155"/>
    </row>
    <row r="208" spans="1:76" ht="15.75" customHeight="1">
      <c r="A208" s="25"/>
      <c r="B208" s="39"/>
      <c r="C208" s="155"/>
      <c r="D208" s="155"/>
      <c r="E208" s="40"/>
      <c r="F208" s="314"/>
      <c r="H208" s="315"/>
      <c r="I208" s="315"/>
      <c r="BA208" s="30"/>
      <c r="BB208" s="155"/>
      <c r="BC208" s="314"/>
      <c r="BD208" s="314"/>
      <c r="BE208" s="314"/>
      <c r="BF208" s="314"/>
      <c r="BG208" s="314"/>
      <c r="BH208" s="314"/>
      <c r="BI208" s="314"/>
      <c r="BJ208" s="314"/>
      <c r="BK208" s="40"/>
      <c r="BL208" s="40"/>
      <c r="BM208" s="40"/>
      <c r="BN208" s="40"/>
      <c r="BO208" s="40"/>
      <c r="BP208" s="155"/>
      <c r="BQ208" s="314"/>
      <c r="BR208" s="314"/>
      <c r="BS208" s="314"/>
      <c r="BT208" s="314"/>
      <c r="BU208" s="314"/>
      <c r="BV208" s="314"/>
      <c r="BW208" s="314"/>
      <c r="BX208" s="155"/>
    </row>
    <row r="209" spans="1:76" ht="15.75" customHeight="1">
      <c r="A209" s="25"/>
      <c r="B209" s="39"/>
      <c r="C209" s="155"/>
      <c r="D209" s="155"/>
      <c r="E209" s="40"/>
      <c r="F209" s="314"/>
      <c r="H209" s="315"/>
      <c r="I209" s="315"/>
      <c r="BA209" s="30"/>
      <c r="BB209" s="155"/>
      <c r="BC209" s="314"/>
      <c r="BD209" s="314"/>
      <c r="BE209" s="314"/>
      <c r="BF209" s="314"/>
      <c r="BG209" s="314"/>
      <c r="BH209" s="314"/>
      <c r="BI209" s="314"/>
      <c r="BJ209" s="314"/>
      <c r="BK209" s="40"/>
      <c r="BL209" s="40"/>
      <c r="BM209" s="40"/>
      <c r="BN209" s="40"/>
      <c r="BO209" s="40"/>
      <c r="BP209" s="155"/>
      <c r="BQ209" s="314"/>
      <c r="BR209" s="314"/>
      <c r="BS209" s="314"/>
      <c r="BT209" s="314"/>
      <c r="BU209" s="314"/>
      <c r="BV209" s="314"/>
      <c r="BW209" s="314"/>
      <c r="BX209" s="155"/>
    </row>
    <row r="210" spans="1:76" ht="15.75" customHeight="1">
      <c r="A210" s="25"/>
      <c r="B210" s="39"/>
      <c r="C210" s="155"/>
      <c r="D210" s="155"/>
      <c r="E210" s="40"/>
      <c r="F210" s="314"/>
      <c r="H210" s="315"/>
      <c r="I210" s="315"/>
      <c r="BA210" s="30"/>
      <c r="BB210" s="155"/>
      <c r="BC210" s="314"/>
      <c r="BD210" s="314"/>
      <c r="BE210" s="314"/>
      <c r="BF210" s="314"/>
      <c r="BG210" s="314"/>
      <c r="BH210" s="314"/>
      <c r="BI210" s="314"/>
      <c r="BJ210" s="314"/>
      <c r="BK210" s="40"/>
      <c r="BL210" s="40"/>
      <c r="BM210" s="40"/>
      <c r="BN210" s="40"/>
      <c r="BO210" s="40"/>
      <c r="BP210" s="155"/>
      <c r="BQ210" s="314"/>
      <c r="BR210" s="314"/>
      <c r="BS210" s="314"/>
      <c r="BT210" s="314"/>
      <c r="BU210" s="314"/>
      <c r="BV210" s="314"/>
      <c r="BW210" s="314"/>
      <c r="BX210" s="155"/>
    </row>
    <row r="211" spans="1:76" ht="15.75" customHeight="1">
      <c r="A211" s="25"/>
      <c r="B211" s="39"/>
      <c r="C211" s="155"/>
      <c r="D211" s="155"/>
      <c r="E211" s="40"/>
      <c r="F211" s="314"/>
      <c r="H211" s="315"/>
      <c r="I211" s="315"/>
      <c r="BA211" s="30"/>
      <c r="BB211" s="155"/>
      <c r="BC211" s="314"/>
      <c r="BD211" s="314"/>
      <c r="BE211" s="314"/>
      <c r="BF211" s="314"/>
      <c r="BG211" s="314"/>
      <c r="BH211" s="314"/>
      <c r="BI211" s="314"/>
      <c r="BJ211" s="314"/>
      <c r="BK211" s="40"/>
      <c r="BL211" s="40"/>
      <c r="BM211" s="40"/>
      <c r="BN211" s="40"/>
      <c r="BO211" s="40"/>
      <c r="BP211" s="155"/>
      <c r="BQ211" s="314"/>
      <c r="BR211" s="314"/>
      <c r="BS211" s="314"/>
      <c r="BT211" s="314"/>
      <c r="BU211" s="314"/>
      <c r="BV211" s="314"/>
      <c r="BW211" s="314"/>
      <c r="BX211" s="155"/>
    </row>
    <row r="212" spans="1:76" ht="15.75" customHeight="1">
      <c r="A212" s="25"/>
      <c r="B212" s="39"/>
      <c r="C212" s="155"/>
      <c r="D212" s="155"/>
      <c r="E212" s="40"/>
      <c r="F212" s="314"/>
      <c r="H212" s="315"/>
      <c r="I212" s="315"/>
      <c r="BA212" s="30"/>
      <c r="BB212" s="155"/>
      <c r="BC212" s="314"/>
      <c r="BD212" s="314"/>
      <c r="BE212" s="314"/>
      <c r="BF212" s="314"/>
      <c r="BG212" s="314"/>
      <c r="BH212" s="314"/>
      <c r="BI212" s="314"/>
      <c r="BJ212" s="314"/>
      <c r="BK212" s="40"/>
      <c r="BL212" s="40"/>
      <c r="BM212" s="40"/>
      <c r="BN212" s="40"/>
      <c r="BO212" s="40"/>
      <c r="BP212" s="155"/>
      <c r="BQ212" s="314"/>
      <c r="BR212" s="314"/>
      <c r="BS212" s="314"/>
      <c r="BT212" s="314"/>
      <c r="BU212" s="314"/>
      <c r="BV212" s="314"/>
      <c r="BW212" s="314"/>
      <c r="BX212" s="155"/>
    </row>
    <row r="213" spans="1:76" ht="15.75" customHeight="1">
      <c r="A213" s="25"/>
      <c r="B213" s="39"/>
      <c r="C213" s="155"/>
      <c r="D213" s="155"/>
      <c r="E213" s="40"/>
      <c r="F213" s="314"/>
      <c r="H213" s="315"/>
      <c r="I213" s="315"/>
      <c r="BA213" s="30"/>
      <c r="BB213" s="155"/>
      <c r="BC213" s="314"/>
      <c r="BD213" s="314"/>
      <c r="BE213" s="314"/>
      <c r="BF213" s="314"/>
      <c r="BG213" s="314"/>
      <c r="BH213" s="314"/>
      <c r="BI213" s="314"/>
      <c r="BJ213" s="314"/>
      <c r="BK213" s="40"/>
      <c r="BL213" s="40"/>
      <c r="BM213" s="40"/>
      <c r="BN213" s="40"/>
      <c r="BO213" s="40"/>
      <c r="BP213" s="155"/>
      <c r="BQ213" s="314"/>
      <c r="BR213" s="314"/>
      <c r="BS213" s="314"/>
      <c r="BT213" s="314"/>
      <c r="BU213" s="314"/>
      <c r="BV213" s="314"/>
      <c r="BW213" s="314"/>
      <c r="BX213" s="155"/>
    </row>
    <row r="214" spans="1:76" ht="15.75" customHeight="1">
      <c r="A214" s="25"/>
      <c r="B214" s="39"/>
      <c r="C214" s="155"/>
      <c r="D214" s="155"/>
      <c r="E214" s="341"/>
      <c r="F214" s="314"/>
      <c r="H214" s="315"/>
      <c r="I214" s="315"/>
      <c r="BA214" s="30"/>
      <c r="BB214" s="321"/>
      <c r="BC214" s="314"/>
      <c r="BD214" s="314"/>
      <c r="BE214" s="314"/>
      <c r="BF214" s="314"/>
      <c r="BG214" s="314"/>
      <c r="BH214" s="314"/>
      <c r="BI214" s="314"/>
      <c r="BJ214" s="314"/>
      <c r="BK214" s="40"/>
      <c r="BL214" s="40"/>
      <c r="BM214" s="40"/>
      <c r="BN214" s="40"/>
      <c r="BO214" s="40"/>
      <c r="BP214" s="155"/>
      <c r="BQ214" s="314"/>
      <c r="BR214" s="314"/>
      <c r="BS214" s="314"/>
      <c r="BT214" s="314"/>
      <c r="BU214" s="314"/>
      <c r="BV214" s="314"/>
      <c r="BW214" s="314"/>
      <c r="BX214" s="155"/>
    </row>
    <row r="215" spans="1:76" ht="15.75" customHeight="1">
      <c r="A215" s="25"/>
      <c r="B215" s="39"/>
      <c r="C215" s="155"/>
      <c r="D215" s="155"/>
      <c r="E215" s="40"/>
      <c r="F215" s="314"/>
      <c r="H215" s="315"/>
      <c r="I215" s="315"/>
      <c r="BA215" s="30"/>
      <c r="BB215" s="155"/>
      <c r="BC215" s="314"/>
      <c r="BD215" s="314"/>
      <c r="BE215" s="314"/>
      <c r="BF215" s="314"/>
      <c r="BG215" s="314"/>
      <c r="BH215" s="314"/>
      <c r="BI215" s="314"/>
      <c r="BJ215" s="314"/>
      <c r="BK215" s="40"/>
      <c r="BL215" s="40"/>
      <c r="BM215" s="40"/>
      <c r="BN215" s="40"/>
      <c r="BO215" s="40"/>
      <c r="BP215" s="155"/>
      <c r="BQ215" s="314"/>
      <c r="BR215" s="314"/>
      <c r="BS215" s="314"/>
      <c r="BT215" s="314"/>
      <c r="BU215" s="314"/>
      <c r="BV215" s="314"/>
      <c r="BW215" s="314"/>
      <c r="BX215" s="155"/>
    </row>
    <row r="216" spans="1:76" ht="15.75" customHeight="1">
      <c r="A216" s="25"/>
      <c r="B216" s="39"/>
      <c r="C216" s="155"/>
      <c r="D216" s="155"/>
      <c r="E216" s="40"/>
      <c r="F216" s="314"/>
      <c r="H216" s="315"/>
      <c r="I216" s="315"/>
      <c r="BA216" s="30"/>
      <c r="BB216" s="155"/>
      <c r="BC216" s="314"/>
      <c r="BD216" s="314"/>
      <c r="BE216" s="314"/>
      <c r="BF216" s="314"/>
      <c r="BG216" s="314"/>
      <c r="BH216" s="314"/>
      <c r="BI216" s="314"/>
      <c r="BJ216" s="314"/>
      <c r="BK216" s="40"/>
      <c r="BL216" s="40"/>
      <c r="BM216" s="40"/>
      <c r="BN216" s="40"/>
      <c r="BO216" s="40"/>
      <c r="BP216" s="155"/>
      <c r="BQ216" s="314"/>
      <c r="BR216" s="314"/>
      <c r="BS216" s="314"/>
      <c r="BT216" s="314"/>
      <c r="BU216" s="314"/>
      <c r="BV216" s="314"/>
      <c r="BW216" s="314"/>
      <c r="BX216" s="155"/>
    </row>
    <row r="217" spans="1:76" ht="15.75" customHeight="1">
      <c r="A217" s="25"/>
      <c r="B217" s="39"/>
      <c r="C217" s="155"/>
      <c r="D217" s="155"/>
      <c r="E217" s="40"/>
      <c r="F217" s="314"/>
      <c r="H217" s="315"/>
      <c r="I217" s="315"/>
      <c r="BA217" s="30"/>
      <c r="BB217" s="155"/>
      <c r="BC217" s="314"/>
      <c r="BD217" s="314"/>
      <c r="BE217" s="314"/>
      <c r="BF217" s="314"/>
      <c r="BG217" s="314"/>
      <c r="BH217" s="314"/>
      <c r="BI217" s="314"/>
      <c r="BJ217" s="314"/>
      <c r="BK217" s="40"/>
      <c r="BL217" s="40"/>
      <c r="BM217" s="40"/>
      <c r="BN217" s="40"/>
      <c r="BO217" s="40"/>
      <c r="BP217" s="155"/>
      <c r="BQ217" s="314"/>
      <c r="BR217" s="314"/>
      <c r="BS217" s="314"/>
      <c r="BT217" s="314"/>
      <c r="BU217" s="314"/>
      <c r="BV217" s="314"/>
      <c r="BW217" s="314"/>
      <c r="BX217" s="155"/>
    </row>
    <row r="218" spans="1:76" ht="15.75" customHeight="1">
      <c r="A218" s="25"/>
      <c r="B218" s="39"/>
      <c r="C218" s="155"/>
      <c r="D218" s="155"/>
      <c r="E218" s="40"/>
      <c r="F218" s="314"/>
      <c r="H218" s="315"/>
      <c r="I218" s="315"/>
      <c r="BA218" s="30"/>
      <c r="BB218" s="155"/>
      <c r="BC218" s="314"/>
      <c r="BD218" s="314"/>
      <c r="BE218" s="314"/>
      <c r="BF218" s="314"/>
      <c r="BG218" s="314"/>
      <c r="BH218" s="314"/>
      <c r="BI218" s="314"/>
      <c r="BJ218" s="314"/>
      <c r="BK218" s="40"/>
      <c r="BL218" s="40"/>
      <c r="BM218" s="40"/>
      <c r="BN218" s="40"/>
      <c r="BO218" s="40"/>
      <c r="BP218" s="155"/>
      <c r="BQ218" s="314"/>
      <c r="BR218" s="314"/>
      <c r="BS218" s="314"/>
      <c r="BT218" s="314"/>
      <c r="BU218" s="314"/>
      <c r="BV218" s="314"/>
      <c r="BW218" s="314"/>
      <c r="BX218" s="155"/>
    </row>
    <row r="219" spans="1:76" ht="15.75" customHeight="1">
      <c r="A219" s="25"/>
      <c r="B219" s="39"/>
      <c r="C219" s="155"/>
      <c r="D219" s="155"/>
      <c r="E219" s="40"/>
      <c r="F219" s="314"/>
      <c r="H219" s="315"/>
      <c r="I219" s="315"/>
      <c r="BA219" s="30"/>
      <c r="BB219" s="155"/>
      <c r="BC219" s="314"/>
      <c r="BD219" s="314"/>
      <c r="BE219" s="314"/>
      <c r="BF219" s="314"/>
      <c r="BG219" s="314"/>
      <c r="BH219" s="314"/>
      <c r="BI219" s="314"/>
      <c r="BJ219" s="314"/>
      <c r="BK219" s="40"/>
      <c r="BL219" s="40"/>
      <c r="BM219" s="40"/>
      <c r="BN219" s="40"/>
      <c r="BO219" s="40"/>
      <c r="BP219" s="155"/>
      <c r="BQ219" s="314"/>
      <c r="BR219" s="314"/>
      <c r="BS219" s="314"/>
      <c r="BT219" s="314"/>
      <c r="BU219" s="314"/>
      <c r="BV219" s="314"/>
      <c r="BW219" s="314"/>
      <c r="BX219" s="155"/>
    </row>
    <row r="220" spans="1:76" ht="15.75" customHeight="1">
      <c r="A220" s="25"/>
      <c r="B220" s="39"/>
      <c r="C220" s="155"/>
      <c r="D220" s="155"/>
      <c r="E220" s="40"/>
      <c r="F220" s="314"/>
      <c r="H220" s="315"/>
      <c r="I220" s="315"/>
      <c r="BA220" s="30"/>
      <c r="BB220" s="155"/>
      <c r="BC220" s="314"/>
      <c r="BD220" s="314"/>
      <c r="BE220" s="314"/>
      <c r="BF220" s="314"/>
      <c r="BG220" s="314"/>
      <c r="BH220" s="314"/>
      <c r="BI220" s="314"/>
      <c r="BJ220" s="314"/>
      <c r="BK220" s="40"/>
      <c r="BL220" s="40"/>
      <c r="BM220" s="40"/>
      <c r="BN220" s="40"/>
      <c r="BO220" s="40"/>
      <c r="BP220" s="155"/>
      <c r="BQ220" s="314"/>
      <c r="BR220" s="314"/>
      <c r="BS220" s="314"/>
      <c r="BT220" s="314"/>
      <c r="BU220" s="314"/>
      <c r="BV220" s="314"/>
      <c r="BW220" s="314"/>
      <c r="BX220" s="155"/>
    </row>
    <row r="221" spans="1:76" ht="15.75" customHeight="1">
      <c r="A221" s="25"/>
      <c r="B221" s="39"/>
      <c r="C221" s="155"/>
      <c r="D221" s="155"/>
      <c r="E221" s="40"/>
      <c r="F221" s="314"/>
      <c r="H221" s="315"/>
      <c r="I221" s="315"/>
      <c r="BA221" s="30"/>
      <c r="BB221" s="155"/>
      <c r="BC221" s="314"/>
      <c r="BD221" s="314"/>
      <c r="BE221" s="314"/>
      <c r="BF221" s="314"/>
      <c r="BG221" s="314"/>
      <c r="BH221" s="314"/>
      <c r="BI221" s="314"/>
      <c r="BJ221" s="314"/>
      <c r="BK221" s="40"/>
      <c r="BL221" s="40"/>
      <c r="BM221" s="40"/>
      <c r="BN221" s="40"/>
      <c r="BO221" s="40"/>
      <c r="BP221" s="155"/>
      <c r="BQ221" s="314"/>
      <c r="BR221" s="314"/>
      <c r="BS221" s="314"/>
      <c r="BT221" s="314"/>
      <c r="BU221" s="314"/>
      <c r="BV221" s="314"/>
      <c r="BW221" s="314"/>
      <c r="BX221" s="155"/>
    </row>
    <row r="222" spans="1:76" ht="15.75" customHeight="1">
      <c r="A222" s="25"/>
      <c r="B222" s="39"/>
      <c r="C222" s="155"/>
      <c r="D222" s="155"/>
      <c r="E222" s="341"/>
      <c r="F222" s="314"/>
      <c r="H222" s="315"/>
      <c r="I222" s="315"/>
      <c r="BA222" s="30"/>
      <c r="BB222" s="321"/>
      <c r="BC222" s="314"/>
      <c r="BD222" s="314"/>
      <c r="BE222" s="314"/>
      <c r="BF222" s="314"/>
      <c r="BG222" s="314"/>
      <c r="BH222" s="314"/>
      <c r="BI222" s="314"/>
      <c r="BJ222" s="314"/>
      <c r="BK222" s="40"/>
      <c r="BL222" s="40"/>
      <c r="BM222" s="40"/>
      <c r="BN222" s="40"/>
      <c r="BO222" s="40"/>
      <c r="BP222" s="155"/>
      <c r="BQ222" s="314"/>
      <c r="BR222" s="314"/>
      <c r="BS222" s="314"/>
      <c r="BT222" s="314"/>
      <c r="BU222" s="314"/>
      <c r="BV222" s="314"/>
      <c r="BW222" s="314"/>
      <c r="BX222" s="155"/>
    </row>
    <row r="223" spans="1:76" ht="15.75" customHeight="1">
      <c r="A223" s="25"/>
      <c r="B223" s="39"/>
      <c r="C223" s="155"/>
      <c r="D223" s="155"/>
      <c r="E223" s="40"/>
      <c r="F223" s="314"/>
      <c r="H223" s="315"/>
      <c r="I223" s="315"/>
      <c r="BA223" s="30"/>
      <c r="BB223" s="155"/>
      <c r="BC223" s="314"/>
      <c r="BD223" s="314"/>
      <c r="BE223" s="314"/>
      <c r="BF223" s="314"/>
      <c r="BG223" s="314"/>
      <c r="BH223" s="314"/>
      <c r="BI223" s="314"/>
      <c r="BJ223" s="314"/>
      <c r="BK223" s="40"/>
      <c r="BL223" s="40"/>
      <c r="BM223" s="40"/>
      <c r="BN223" s="40"/>
      <c r="BO223" s="40"/>
      <c r="BP223" s="155"/>
      <c r="BQ223" s="314"/>
      <c r="BR223" s="314"/>
      <c r="BS223" s="314"/>
      <c r="BT223" s="314"/>
      <c r="BU223" s="314"/>
      <c r="BV223" s="314"/>
      <c r="BW223" s="314"/>
      <c r="BX223" s="155"/>
    </row>
    <row r="224" spans="1:76" ht="15.75" customHeight="1">
      <c r="A224" s="25"/>
      <c r="B224" s="39"/>
      <c r="C224" s="155"/>
      <c r="D224" s="155"/>
      <c r="E224" s="40"/>
      <c r="F224" s="314"/>
      <c r="H224" s="315"/>
      <c r="I224" s="315"/>
      <c r="BA224" s="30"/>
      <c r="BB224" s="155"/>
      <c r="BC224" s="314"/>
      <c r="BD224" s="314"/>
      <c r="BE224" s="314"/>
      <c r="BF224" s="314"/>
      <c r="BG224" s="314"/>
      <c r="BH224" s="314"/>
      <c r="BI224" s="314"/>
      <c r="BJ224" s="314"/>
      <c r="BK224" s="40"/>
      <c r="BL224" s="40"/>
      <c r="BM224" s="40"/>
      <c r="BN224" s="40"/>
      <c r="BO224" s="40"/>
      <c r="BP224" s="155"/>
      <c r="BQ224" s="314"/>
      <c r="BR224" s="314"/>
      <c r="BS224" s="314"/>
      <c r="BT224" s="314"/>
      <c r="BU224" s="314"/>
      <c r="BV224" s="314"/>
      <c r="BW224" s="314"/>
      <c r="BX224" s="155"/>
    </row>
    <row r="225" spans="1:76" ht="15.75" customHeight="1">
      <c r="A225" s="25"/>
      <c r="B225" s="39"/>
      <c r="C225" s="155"/>
      <c r="D225" s="155"/>
      <c r="E225" s="40"/>
      <c r="F225" s="314"/>
      <c r="H225" s="315"/>
      <c r="I225" s="315"/>
      <c r="BA225" s="30"/>
      <c r="BB225" s="155"/>
      <c r="BC225" s="314"/>
      <c r="BD225" s="314"/>
      <c r="BE225" s="314"/>
      <c r="BF225" s="314"/>
      <c r="BG225" s="314"/>
      <c r="BH225" s="314"/>
      <c r="BI225" s="314"/>
      <c r="BJ225" s="314"/>
      <c r="BK225" s="40"/>
      <c r="BL225" s="40"/>
      <c r="BM225" s="40"/>
      <c r="BN225" s="40"/>
      <c r="BO225" s="40"/>
      <c r="BP225" s="155"/>
      <c r="BQ225" s="314"/>
      <c r="BR225" s="314"/>
      <c r="BS225" s="314"/>
      <c r="BT225" s="314"/>
      <c r="BU225" s="314"/>
      <c r="BV225" s="314"/>
      <c r="BW225" s="314"/>
      <c r="BX225" s="155"/>
    </row>
    <row r="226" spans="1:76" ht="15.75" customHeight="1">
      <c r="A226" s="25"/>
      <c r="B226" s="39"/>
      <c r="C226" s="155"/>
      <c r="D226" s="155"/>
      <c r="E226" s="40"/>
      <c r="F226" s="314"/>
      <c r="H226" s="315"/>
      <c r="I226" s="315"/>
      <c r="BA226" s="30"/>
      <c r="BB226" s="155"/>
      <c r="BC226" s="314"/>
      <c r="BD226" s="314"/>
      <c r="BE226" s="314"/>
      <c r="BF226" s="314"/>
      <c r="BG226" s="314"/>
      <c r="BH226" s="314"/>
      <c r="BI226" s="314"/>
      <c r="BJ226" s="314"/>
      <c r="BK226" s="40"/>
      <c r="BL226" s="40"/>
      <c r="BM226" s="40"/>
      <c r="BN226" s="40"/>
      <c r="BO226" s="40"/>
      <c r="BP226" s="155"/>
      <c r="BQ226" s="314"/>
      <c r="BR226" s="314"/>
      <c r="BS226" s="314"/>
      <c r="BT226" s="314"/>
      <c r="BU226" s="314"/>
      <c r="BV226" s="314"/>
      <c r="BW226" s="314"/>
      <c r="BX226" s="155"/>
    </row>
    <row r="227" spans="1:76" ht="15.75" customHeight="1">
      <c r="A227" s="25"/>
      <c r="B227" s="39"/>
      <c r="C227" s="155"/>
      <c r="D227" s="155"/>
      <c r="E227" s="40"/>
      <c r="F227" s="314"/>
      <c r="H227" s="315"/>
      <c r="I227" s="315"/>
      <c r="BA227" s="30"/>
      <c r="BB227" s="155"/>
      <c r="BC227" s="314"/>
      <c r="BD227" s="314"/>
      <c r="BE227" s="314"/>
      <c r="BF227" s="314"/>
      <c r="BG227" s="314"/>
      <c r="BH227" s="314"/>
      <c r="BI227" s="314"/>
      <c r="BJ227" s="314"/>
      <c r="BK227" s="40"/>
      <c r="BL227" s="40"/>
      <c r="BM227" s="40"/>
      <c r="BN227" s="40"/>
      <c r="BO227" s="40"/>
      <c r="BP227" s="155"/>
      <c r="BQ227" s="314"/>
      <c r="BR227" s="314"/>
      <c r="BS227" s="314"/>
      <c r="BT227" s="314"/>
      <c r="BU227" s="314"/>
      <c r="BV227" s="314"/>
      <c r="BW227" s="314"/>
      <c r="BX227" s="155"/>
    </row>
    <row r="228" spans="1:76" ht="15.75" customHeight="1">
      <c r="A228" s="25"/>
      <c r="B228" s="39"/>
      <c r="C228" s="155"/>
      <c r="D228" s="155"/>
      <c r="E228" s="40"/>
      <c r="F228" s="314"/>
      <c r="H228" s="315"/>
      <c r="I228" s="315"/>
      <c r="BA228" s="30"/>
      <c r="BB228" s="155"/>
      <c r="BC228" s="314"/>
      <c r="BD228" s="314"/>
      <c r="BE228" s="314"/>
      <c r="BF228" s="314"/>
      <c r="BG228" s="314"/>
      <c r="BH228" s="314"/>
      <c r="BI228" s="314"/>
      <c r="BJ228" s="314"/>
      <c r="BK228" s="40"/>
      <c r="BL228" s="40"/>
      <c r="BM228" s="40"/>
      <c r="BN228" s="40"/>
      <c r="BO228" s="40"/>
      <c r="BP228" s="155"/>
      <c r="BQ228" s="314"/>
      <c r="BR228" s="314"/>
      <c r="BS228" s="314"/>
      <c r="BT228" s="314"/>
      <c r="BU228" s="314"/>
      <c r="BV228" s="314"/>
      <c r="BW228" s="314"/>
      <c r="BX228" s="155"/>
    </row>
    <row r="229" spans="1:76" ht="15.75" customHeight="1">
      <c r="A229" s="25"/>
      <c r="B229" s="39"/>
      <c r="C229" s="155"/>
      <c r="D229" s="155"/>
      <c r="E229" s="40"/>
      <c r="F229" s="314"/>
      <c r="H229" s="315"/>
      <c r="I229" s="315"/>
      <c r="BA229" s="30"/>
      <c r="BB229" s="155"/>
      <c r="BC229" s="314"/>
      <c r="BD229" s="314"/>
      <c r="BE229" s="314"/>
      <c r="BF229" s="314"/>
      <c r="BG229" s="314"/>
      <c r="BH229" s="314"/>
      <c r="BI229" s="314"/>
      <c r="BJ229" s="314"/>
      <c r="BK229" s="40"/>
      <c r="BL229" s="40"/>
      <c r="BM229" s="40"/>
      <c r="BN229" s="40"/>
      <c r="BO229" s="40"/>
      <c r="BP229" s="155"/>
      <c r="BQ229" s="314"/>
      <c r="BR229" s="314"/>
      <c r="BS229" s="314"/>
      <c r="BT229" s="314"/>
      <c r="BU229" s="314"/>
      <c r="BV229" s="314"/>
      <c r="BW229" s="314"/>
      <c r="BX229" s="155"/>
    </row>
    <row r="230" spans="1:76" ht="15.75" customHeight="1">
      <c r="A230" s="25"/>
      <c r="B230" s="39"/>
      <c r="C230" s="155"/>
      <c r="D230" s="155"/>
      <c r="E230" s="341"/>
      <c r="F230" s="314"/>
      <c r="H230" s="315"/>
      <c r="I230" s="315"/>
      <c r="BA230" s="30"/>
      <c r="BB230" s="321"/>
      <c r="BC230" s="314"/>
      <c r="BD230" s="314"/>
      <c r="BE230" s="314"/>
      <c r="BF230" s="314"/>
      <c r="BG230" s="314"/>
      <c r="BH230" s="314"/>
      <c r="BI230" s="314"/>
      <c r="BJ230" s="314"/>
      <c r="BK230" s="40"/>
      <c r="BL230" s="40"/>
      <c r="BM230" s="40"/>
      <c r="BN230" s="40"/>
      <c r="BO230" s="40"/>
      <c r="BP230" s="155"/>
      <c r="BQ230" s="314"/>
      <c r="BR230" s="314"/>
      <c r="BS230" s="314"/>
      <c r="BT230" s="314"/>
      <c r="BU230" s="314"/>
      <c r="BV230" s="314"/>
      <c r="BW230" s="314"/>
      <c r="BX230" s="155"/>
    </row>
    <row r="231" spans="1:76" ht="15.75" customHeight="1">
      <c r="A231" s="25"/>
      <c r="B231" s="39"/>
      <c r="C231" s="155"/>
      <c r="D231" s="155"/>
      <c r="E231" s="40"/>
      <c r="F231" s="314"/>
      <c r="H231" s="315"/>
      <c r="I231" s="315"/>
      <c r="BA231" s="30"/>
      <c r="BB231" s="155"/>
      <c r="BC231" s="314"/>
      <c r="BD231" s="314"/>
      <c r="BE231" s="314"/>
      <c r="BF231" s="314"/>
      <c r="BG231" s="314"/>
      <c r="BH231" s="314"/>
      <c r="BI231" s="314"/>
      <c r="BJ231" s="314"/>
      <c r="BK231" s="40"/>
      <c r="BL231" s="40"/>
      <c r="BM231" s="40"/>
      <c r="BN231" s="40"/>
      <c r="BO231" s="40"/>
      <c r="BP231" s="155"/>
      <c r="BQ231" s="314"/>
      <c r="BR231" s="314"/>
      <c r="BS231" s="314"/>
      <c r="BT231" s="314"/>
      <c r="BU231" s="314"/>
      <c r="BV231" s="314"/>
      <c r="BW231" s="314"/>
      <c r="BX231" s="155"/>
    </row>
    <row r="232" spans="1:76" ht="15.75" customHeight="1">
      <c r="A232" s="25"/>
      <c r="B232" s="39"/>
      <c r="C232" s="155"/>
      <c r="D232" s="155"/>
      <c r="E232" s="40"/>
      <c r="F232" s="314"/>
      <c r="H232" s="315"/>
      <c r="I232" s="315"/>
      <c r="BA232" s="30"/>
      <c r="BB232" s="155"/>
      <c r="BC232" s="314"/>
      <c r="BD232" s="314"/>
      <c r="BE232" s="314"/>
      <c r="BF232" s="314"/>
      <c r="BG232" s="314"/>
      <c r="BH232" s="314"/>
      <c r="BI232" s="314"/>
      <c r="BJ232" s="314"/>
      <c r="BK232" s="40"/>
      <c r="BL232" s="40"/>
      <c r="BM232" s="40"/>
      <c r="BN232" s="40"/>
      <c r="BO232" s="40"/>
      <c r="BP232" s="155"/>
      <c r="BQ232" s="314"/>
      <c r="BR232" s="314"/>
      <c r="BS232" s="314"/>
      <c r="BT232" s="314"/>
      <c r="BU232" s="314"/>
      <c r="BV232" s="314"/>
      <c r="BW232" s="314"/>
      <c r="BX232" s="155"/>
    </row>
    <row r="233" spans="1:76" ht="15.75" customHeight="1">
      <c r="A233" s="25"/>
      <c r="B233" s="39"/>
      <c r="C233" s="155"/>
      <c r="D233" s="155"/>
      <c r="E233" s="40"/>
      <c r="F233" s="314"/>
      <c r="H233" s="315"/>
      <c r="I233" s="315"/>
      <c r="BA233" s="30"/>
      <c r="BB233" s="155"/>
      <c r="BC233" s="314"/>
      <c r="BD233" s="314"/>
      <c r="BE233" s="314"/>
      <c r="BF233" s="314"/>
      <c r="BG233" s="314"/>
      <c r="BH233" s="314"/>
      <c r="BI233" s="314"/>
      <c r="BJ233" s="314"/>
      <c r="BK233" s="40"/>
      <c r="BL233" s="40"/>
      <c r="BM233" s="40"/>
      <c r="BN233" s="40"/>
      <c r="BO233" s="40"/>
      <c r="BP233" s="155"/>
      <c r="BQ233" s="314"/>
      <c r="BR233" s="314"/>
      <c r="BS233" s="314"/>
      <c r="BT233" s="314"/>
      <c r="BU233" s="314"/>
      <c r="BV233" s="314"/>
      <c r="BW233" s="314"/>
      <c r="BX233" s="155"/>
    </row>
    <row r="234" spans="1:76" ht="15.75" customHeight="1">
      <c r="A234" s="25"/>
      <c r="B234" s="39"/>
      <c r="C234" s="155"/>
      <c r="D234" s="155"/>
      <c r="E234" s="40"/>
      <c r="F234" s="314"/>
      <c r="H234" s="315"/>
      <c r="I234" s="315"/>
      <c r="BA234" s="30"/>
      <c r="BB234" s="155"/>
      <c r="BC234" s="314"/>
      <c r="BD234" s="314"/>
      <c r="BE234" s="314"/>
      <c r="BF234" s="314"/>
      <c r="BG234" s="314"/>
      <c r="BH234" s="314"/>
      <c r="BI234" s="314"/>
      <c r="BJ234" s="314"/>
      <c r="BK234" s="40"/>
      <c r="BL234" s="40"/>
      <c r="BM234" s="40"/>
      <c r="BN234" s="40"/>
      <c r="BO234" s="40"/>
      <c r="BP234" s="155"/>
      <c r="BQ234" s="314"/>
      <c r="BR234" s="314"/>
      <c r="BS234" s="314"/>
      <c r="BT234" s="314"/>
      <c r="BU234" s="314"/>
      <c r="BV234" s="314"/>
      <c r="BW234" s="314"/>
      <c r="BX234" s="155"/>
    </row>
    <row r="235" spans="1:76" ht="15.75" customHeight="1">
      <c r="A235" s="25"/>
      <c r="B235" s="39"/>
      <c r="C235" s="155"/>
      <c r="D235" s="155"/>
      <c r="E235" s="40"/>
      <c r="F235" s="314"/>
      <c r="H235" s="315"/>
      <c r="I235" s="315"/>
      <c r="BA235" s="30"/>
      <c r="BB235" s="155"/>
      <c r="BC235" s="314"/>
      <c r="BD235" s="314"/>
      <c r="BE235" s="314"/>
      <c r="BF235" s="314"/>
      <c r="BG235" s="314"/>
      <c r="BH235" s="314"/>
      <c r="BI235" s="314"/>
      <c r="BJ235" s="314"/>
      <c r="BK235" s="40"/>
      <c r="BL235" s="40"/>
      <c r="BM235" s="40"/>
      <c r="BN235" s="40"/>
      <c r="BO235" s="40"/>
      <c r="BP235" s="155"/>
      <c r="BQ235" s="314"/>
      <c r="BR235" s="314"/>
      <c r="BS235" s="314"/>
      <c r="BT235" s="314"/>
      <c r="BU235" s="314"/>
      <c r="BV235" s="314"/>
      <c r="BW235" s="314"/>
      <c r="BX235" s="155"/>
    </row>
    <row r="236" spans="1:76" ht="15.75" customHeight="1">
      <c r="A236" s="25"/>
      <c r="B236" s="39"/>
      <c r="C236" s="155"/>
      <c r="D236" s="155"/>
      <c r="E236" s="40"/>
      <c r="F236" s="314"/>
      <c r="H236" s="315"/>
      <c r="I236" s="315"/>
      <c r="BA236" s="30"/>
      <c r="BB236" s="155"/>
      <c r="BC236" s="314"/>
      <c r="BD236" s="314"/>
      <c r="BE236" s="314"/>
      <c r="BF236" s="314"/>
      <c r="BG236" s="314"/>
      <c r="BH236" s="314"/>
      <c r="BI236" s="314"/>
      <c r="BJ236" s="314"/>
      <c r="BK236" s="40"/>
      <c r="BL236" s="40"/>
      <c r="BM236" s="40"/>
      <c r="BN236" s="40"/>
      <c r="BO236" s="40"/>
      <c r="BP236" s="155"/>
      <c r="BQ236" s="314"/>
      <c r="BR236" s="314"/>
      <c r="BS236" s="314"/>
      <c r="BT236" s="314"/>
      <c r="BU236" s="314"/>
      <c r="BV236" s="314"/>
      <c r="BW236" s="314"/>
      <c r="BX236" s="155"/>
    </row>
    <row r="237" spans="1:76" ht="15.75" customHeight="1">
      <c r="A237" s="25"/>
      <c r="B237" s="39"/>
      <c r="C237" s="155"/>
      <c r="D237" s="155"/>
      <c r="E237" s="40"/>
      <c r="F237" s="314"/>
      <c r="H237" s="315"/>
      <c r="I237" s="315"/>
      <c r="BA237" s="30"/>
      <c r="BB237" s="155"/>
      <c r="BC237" s="314"/>
      <c r="BD237" s="314"/>
      <c r="BE237" s="314"/>
      <c r="BF237" s="314"/>
      <c r="BG237" s="314"/>
      <c r="BH237" s="314"/>
      <c r="BI237" s="314"/>
      <c r="BJ237" s="314"/>
      <c r="BK237" s="40"/>
      <c r="BL237" s="40"/>
      <c r="BM237" s="40"/>
      <c r="BN237" s="40"/>
      <c r="BO237" s="40"/>
      <c r="BP237" s="155"/>
      <c r="BQ237" s="314"/>
      <c r="BR237" s="314"/>
      <c r="BS237" s="314"/>
      <c r="BT237" s="314"/>
      <c r="BU237" s="314"/>
      <c r="BV237" s="314"/>
      <c r="BW237" s="314"/>
      <c r="BX237" s="155"/>
    </row>
    <row r="238" spans="1:76" ht="15.75" customHeight="1">
      <c r="A238" s="25"/>
      <c r="B238" s="39"/>
      <c r="C238" s="155"/>
      <c r="D238" s="155"/>
      <c r="E238" s="341"/>
      <c r="F238" s="314"/>
      <c r="H238" s="315"/>
      <c r="I238" s="315"/>
      <c r="BA238" s="30"/>
      <c r="BB238" s="321"/>
      <c r="BC238" s="314"/>
      <c r="BD238" s="314"/>
      <c r="BE238" s="314"/>
      <c r="BF238" s="314"/>
      <c r="BG238" s="314"/>
      <c r="BH238" s="314"/>
      <c r="BI238" s="314"/>
      <c r="BJ238" s="314"/>
      <c r="BK238" s="40"/>
      <c r="BL238" s="40"/>
      <c r="BM238" s="40"/>
      <c r="BN238" s="40"/>
      <c r="BO238" s="40"/>
      <c r="BP238" s="155"/>
      <c r="BQ238" s="314"/>
      <c r="BR238" s="314"/>
      <c r="BS238" s="314"/>
      <c r="BT238" s="314"/>
      <c r="BU238" s="314"/>
      <c r="BV238" s="314"/>
      <c r="BW238" s="314"/>
      <c r="BX238" s="155"/>
    </row>
    <row r="239" spans="1:76" ht="15.75" customHeight="1">
      <c r="A239" s="25"/>
      <c r="B239" s="39"/>
      <c r="C239" s="155"/>
      <c r="D239" s="155"/>
      <c r="E239" s="40"/>
      <c r="F239" s="314"/>
      <c r="H239" s="315"/>
      <c r="I239" s="315"/>
      <c r="BA239" s="30"/>
      <c r="BB239" s="155"/>
      <c r="BC239" s="314"/>
      <c r="BD239" s="314"/>
      <c r="BE239" s="314"/>
      <c r="BF239" s="314"/>
      <c r="BG239" s="314"/>
      <c r="BH239" s="314"/>
      <c r="BI239" s="314"/>
      <c r="BJ239" s="314"/>
      <c r="BK239" s="40"/>
      <c r="BL239" s="40"/>
      <c r="BM239" s="40"/>
      <c r="BN239" s="40"/>
      <c r="BO239" s="40"/>
      <c r="BP239" s="155"/>
      <c r="BQ239" s="314"/>
      <c r="BR239" s="314"/>
      <c r="BS239" s="314"/>
      <c r="BT239" s="314"/>
      <c r="BU239" s="314"/>
      <c r="BV239" s="314"/>
      <c r="BW239" s="314"/>
      <c r="BX239" s="155"/>
    </row>
    <row r="240" spans="1:76" ht="15.75" customHeight="1">
      <c r="A240" s="25"/>
      <c r="B240" s="39"/>
      <c r="C240" s="155"/>
      <c r="D240" s="155"/>
      <c r="E240" s="40"/>
      <c r="F240" s="314"/>
      <c r="H240" s="315"/>
      <c r="I240" s="315"/>
      <c r="BA240" s="30"/>
      <c r="BB240" s="155"/>
      <c r="BC240" s="314"/>
      <c r="BD240" s="314"/>
      <c r="BE240" s="314"/>
      <c r="BF240" s="314"/>
      <c r="BG240" s="314"/>
      <c r="BH240" s="314"/>
      <c r="BI240" s="314"/>
      <c r="BJ240" s="314"/>
      <c r="BK240" s="40"/>
      <c r="BL240" s="40"/>
      <c r="BM240" s="40"/>
      <c r="BN240" s="40"/>
      <c r="BO240" s="40"/>
      <c r="BP240" s="155"/>
      <c r="BQ240" s="314"/>
      <c r="BR240" s="314"/>
      <c r="BS240" s="314"/>
      <c r="BT240" s="314"/>
      <c r="BU240" s="314"/>
      <c r="BV240" s="314"/>
      <c r="BW240" s="314"/>
      <c r="BX240" s="155"/>
    </row>
    <row r="241" spans="1:76" ht="15.75" customHeight="1">
      <c r="A241" s="25"/>
      <c r="B241" s="39"/>
      <c r="C241" s="155"/>
      <c r="D241" s="155"/>
      <c r="E241" s="40"/>
      <c r="F241" s="314"/>
      <c r="H241" s="315"/>
      <c r="I241" s="315"/>
      <c r="BA241" s="30"/>
      <c r="BB241" s="155"/>
      <c r="BC241" s="314"/>
      <c r="BD241" s="314"/>
      <c r="BE241" s="314"/>
      <c r="BF241" s="314"/>
      <c r="BG241" s="314"/>
      <c r="BH241" s="314"/>
      <c r="BI241" s="314"/>
      <c r="BJ241" s="314"/>
      <c r="BK241" s="40"/>
      <c r="BL241" s="40"/>
      <c r="BM241" s="40"/>
      <c r="BN241" s="40"/>
      <c r="BO241" s="40"/>
      <c r="BP241" s="155"/>
      <c r="BQ241" s="314"/>
      <c r="BR241" s="314"/>
      <c r="BS241" s="314"/>
      <c r="BT241" s="314"/>
      <c r="BU241" s="314"/>
      <c r="BV241" s="314"/>
      <c r="BW241" s="314"/>
      <c r="BX241" s="155"/>
    </row>
    <row r="242" spans="1:76" ht="15.75" customHeight="1">
      <c r="A242" s="25"/>
      <c r="B242" s="39"/>
      <c r="C242" s="155"/>
      <c r="D242" s="155"/>
      <c r="E242" s="40"/>
      <c r="F242" s="314"/>
      <c r="H242" s="315"/>
      <c r="I242" s="315"/>
      <c r="BA242" s="30"/>
      <c r="BB242" s="155"/>
      <c r="BC242" s="314"/>
      <c r="BD242" s="314"/>
      <c r="BE242" s="314"/>
      <c r="BF242" s="314"/>
      <c r="BG242" s="314"/>
      <c r="BH242" s="314"/>
      <c r="BI242" s="314"/>
      <c r="BJ242" s="314"/>
      <c r="BK242" s="40"/>
      <c r="BL242" s="40"/>
      <c r="BM242" s="40"/>
      <c r="BN242" s="40"/>
      <c r="BO242" s="40"/>
      <c r="BP242" s="155"/>
      <c r="BQ242" s="314"/>
      <c r="BR242" s="314"/>
      <c r="BS242" s="314"/>
      <c r="BT242" s="314"/>
      <c r="BU242" s="314"/>
      <c r="BV242" s="314"/>
      <c r="BW242" s="314"/>
      <c r="BX242" s="155"/>
    </row>
    <row r="243" spans="1:76" ht="15.75" customHeight="1">
      <c r="A243" s="25"/>
      <c r="B243" s="39"/>
      <c r="C243" s="155"/>
      <c r="D243" s="155"/>
      <c r="E243" s="40"/>
      <c r="F243" s="314"/>
      <c r="H243" s="315"/>
      <c r="I243" s="315"/>
      <c r="BA243" s="30"/>
      <c r="BB243" s="155"/>
      <c r="BC243" s="314"/>
      <c r="BD243" s="314"/>
      <c r="BE243" s="314"/>
      <c r="BF243" s="314"/>
      <c r="BG243" s="314"/>
      <c r="BH243" s="314"/>
      <c r="BI243" s="314"/>
      <c r="BJ243" s="314"/>
      <c r="BK243" s="40"/>
      <c r="BL243" s="40"/>
      <c r="BM243" s="40"/>
      <c r="BN243" s="40"/>
      <c r="BO243" s="40"/>
      <c r="BP243" s="155"/>
      <c r="BQ243" s="314"/>
      <c r="BR243" s="314"/>
      <c r="BS243" s="314"/>
      <c r="BT243" s="314"/>
      <c r="BU243" s="314"/>
      <c r="BV243" s="314"/>
      <c r="BW243" s="314"/>
      <c r="BX243" s="155"/>
    </row>
    <row r="244" spans="1:76" ht="15.75" customHeight="1">
      <c r="A244" s="25"/>
      <c r="B244" s="39"/>
      <c r="C244" s="155"/>
      <c r="D244" s="155"/>
      <c r="E244" s="40"/>
      <c r="F244" s="314"/>
      <c r="H244" s="315"/>
      <c r="I244" s="315"/>
      <c r="BA244" s="30"/>
      <c r="BB244" s="155"/>
      <c r="BC244" s="314"/>
      <c r="BD244" s="314"/>
      <c r="BE244" s="314"/>
      <c r="BF244" s="314"/>
      <c r="BG244" s="314"/>
      <c r="BH244" s="314"/>
      <c r="BI244" s="314"/>
      <c r="BJ244" s="314"/>
      <c r="BK244" s="40"/>
      <c r="BL244" s="40"/>
      <c r="BM244" s="40"/>
      <c r="BN244" s="40"/>
      <c r="BO244" s="40"/>
      <c r="BP244" s="155"/>
      <c r="BQ244" s="314"/>
      <c r="BR244" s="314"/>
      <c r="BS244" s="314"/>
      <c r="BT244" s="314"/>
      <c r="BU244" s="314"/>
      <c r="BV244" s="314"/>
      <c r="BW244" s="314"/>
      <c r="BX244" s="155"/>
    </row>
    <row r="245" spans="1:76" ht="15.75" customHeight="1">
      <c r="A245" s="25"/>
      <c r="B245" s="39"/>
      <c r="C245" s="155"/>
      <c r="D245" s="155"/>
      <c r="E245" s="40"/>
      <c r="F245" s="314"/>
      <c r="H245" s="315"/>
      <c r="I245" s="315"/>
      <c r="BA245" s="30"/>
      <c r="BB245" s="155"/>
      <c r="BC245" s="314"/>
      <c r="BD245" s="314"/>
      <c r="BE245" s="314"/>
      <c r="BF245" s="314"/>
      <c r="BG245" s="314"/>
      <c r="BH245" s="314"/>
      <c r="BI245" s="314"/>
      <c r="BJ245" s="314"/>
      <c r="BK245" s="40"/>
      <c r="BL245" s="40"/>
      <c r="BM245" s="40"/>
      <c r="BN245" s="40"/>
      <c r="BO245" s="40"/>
      <c r="BP245" s="155"/>
      <c r="BQ245" s="314"/>
      <c r="BR245" s="314"/>
      <c r="BS245" s="314"/>
      <c r="BT245" s="314"/>
      <c r="BU245" s="314"/>
      <c r="BV245" s="314"/>
      <c r="BW245" s="314"/>
      <c r="BX245" s="155"/>
    </row>
    <row r="246" spans="1:76" ht="15.75" customHeight="1">
      <c r="A246" s="25"/>
      <c r="B246" s="39"/>
      <c r="C246" s="155"/>
      <c r="D246" s="155"/>
      <c r="E246" s="341"/>
      <c r="F246" s="314"/>
      <c r="H246" s="315"/>
      <c r="I246" s="315"/>
      <c r="BA246" s="30"/>
      <c r="BB246" s="321"/>
      <c r="BC246" s="314"/>
      <c r="BD246" s="314"/>
      <c r="BE246" s="314"/>
      <c r="BF246" s="314"/>
      <c r="BG246" s="314"/>
      <c r="BH246" s="314"/>
      <c r="BI246" s="314"/>
      <c r="BJ246" s="314"/>
      <c r="BK246" s="40"/>
      <c r="BL246" s="40"/>
      <c r="BM246" s="40"/>
      <c r="BN246" s="40"/>
      <c r="BO246" s="40"/>
      <c r="BP246" s="155"/>
      <c r="BQ246" s="314"/>
      <c r="BR246" s="314"/>
      <c r="BS246" s="314"/>
      <c r="BT246" s="314"/>
      <c r="BU246" s="314"/>
      <c r="BV246" s="314"/>
      <c r="BW246" s="314"/>
      <c r="BX246" s="155"/>
    </row>
    <row r="247" spans="1:76" ht="15.75" customHeight="1">
      <c r="A247" s="25"/>
      <c r="B247" s="39"/>
      <c r="C247" s="155"/>
      <c r="D247" s="155"/>
      <c r="E247" s="40"/>
      <c r="F247" s="314"/>
      <c r="H247" s="315"/>
      <c r="I247" s="315"/>
      <c r="BA247" s="30"/>
      <c r="BB247" s="155"/>
      <c r="BC247" s="314"/>
      <c r="BD247" s="314"/>
      <c r="BE247" s="314"/>
      <c r="BF247" s="314"/>
      <c r="BG247" s="314"/>
      <c r="BH247" s="314"/>
      <c r="BI247" s="314"/>
      <c r="BJ247" s="314"/>
      <c r="BK247" s="40"/>
      <c r="BL247" s="40"/>
      <c r="BM247" s="40"/>
      <c r="BN247" s="40"/>
      <c r="BO247" s="40"/>
      <c r="BP247" s="155"/>
      <c r="BQ247" s="314"/>
      <c r="BR247" s="314"/>
      <c r="BS247" s="314"/>
      <c r="BT247" s="314"/>
      <c r="BU247" s="314"/>
      <c r="BV247" s="314"/>
      <c r="BW247" s="314"/>
      <c r="BX247" s="155"/>
    </row>
    <row r="248" spans="1:76" ht="15.75" customHeight="1">
      <c r="A248" s="25"/>
      <c r="B248" s="39"/>
      <c r="C248" s="155"/>
      <c r="D248" s="155"/>
      <c r="E248" s="40"/>
      <c r="F248" s="314"/>
      <c r="H248" s="315"/>
      <c r="I248" s="315"/>
      <c r="BA248" s="30"/>
      <c r="BB248" s="155"/>
      <c r="BC248" s="314"/>
      <c r="BD248" s="314"/>
      <c r="BE248" s="314"/>
      <c r="BF248" s="314"/>
      <c r="BG248" s="314"/>
      <c r="BH248" s="314"/>
      <c r="BI248" s="314"/>
      <c r="BJ248" s="314"/>
      <c r="BK248" s="40"/>
      <c r="BL248" s="40"/>
      <c r="BM248" s="40"/>
      <c r="BN248" s="40"/>
      <c r="BO248" s="40"/>
      <c r="BP248" s="155"/>
      <c r="BQ248" s="314"/>
      <c r="BR248" s="314"/>
      <c r="BS248" s="314"/>
      <c r="BT248" s="314"/>
      <c r="BU248" s="314"/>
      <c r="BV248" s="314"/>
      <c r="BW248" s="314"/>
      <c r="BX248" s="155"/>
    </row>
    <row r="249" spans="1:76" ht="15.75" customHeight="1">
      <c r="A249" s="25"/>
      <c r="B249" s="39"/>
      <c r="C249" s="155"/>
      <c r="D249" s="155"/>
      <c r="E249" s="40"/>
      <c r="F249" s="314"/>
      <c r="H249" s="315"/>
      <c r="I249" s="315"/>
      <c r="BA249" s="30"/>
      <c r="BB249" s="155"/>
      <c r="BC249" s="314"/>
      <c r="BD249" s="314"/>
      <c r="BE249" s="314"/>
      <c r="BF249" s="314"/>
      <c r="BG249" s="314"/>
      <c r="BH249" s="314"/>
      <c r="BI249" s="314"/>
      <c r="BJ249" s="314"/>
      <c r="BK249" s="40"/>
      <c r="BL249" s="40"/>
      <c r="BM249" s="40"/>
      <c r="BN249" s="40"/>
      <c r="BO249" s="40"/>
      <c r="BP249" s="155"/>
      <c r="BQ249" s="314"/>
      <c r="BR249" s="314"/>
      <c r="BS249" s="314"/>
      <c r="BT249" s="314"/>
      <c r="BU249" s="314"/>
      <c r="BV249" s="314"/>
      <c r="BW249" s="314"/>
      <c r="BX249" s="155"/>
    </row>
    <row r="250" spans="1:76" ht="15.75" customHeight="1">
      <c r="A250" s="25"/>
      <c r="B250" s="39"/>
      <c r="C250" s="155"/>
      <c r="D250" s="155"/>
      <c r="E250" s="40"/>
      <c r="F250" s="314"/>
      <c r="H250" s="315"/>
      <c r="I250" s="315"/>
      <c r="BA250" s="30"/>
      <c r="BB250" s="155"/>
      <c r="BC250" s="314"/>
      <c r="BD250" s="314"/>
      <c r="BE250" s="314"/>
      <c r="BF250" s="314"/>
      <c r="BG250" s="314"/>
      <c r="BH250" s="314"/>
      <c r="BI250" s="314"/>
      <c r="BJ250" s="314"/>
      <c r="BK250" s="40"/>
      <c r="BL250" s="40"/>
      <c r="BM250" s="40"/>
      <c r="BN250" s="40"/>
      <c r="BO250" s="40"/>
      <c r="BP250" s="155"/>
      <c r="BQ250" s="314"/>
      <c r="BR250" s="314"/>
      <c r="BS250" s="314"/>
      <c r="BT250" s="314"/>
      <c r="BU250" s="314"/>
      <c r="BV250" s="314"/>
      <c r="BW250" s="314"/>
      <c r="BX250" s="155"/>
    </row>
    <row r="251" spans="1:76" ht="15.75" customHeight="1">
      <c r="A251" s="25"/>
      <c r="B251" s="39"/>
      <c r="C251" s="155"/>
      <c r="D251" s="155"/>
      <c r="E251" s="40"/>
      <c r="F251" s="314"/>
      <c r="H251" s="315"/>
      <c r="I251" s="315"/>
      <c r="BA251" s="30"/>
      <c r="BB251" s="155"/>
      <c r="BC251" s="314"/>
      <c r="BD251" s="314"/>
      <c r="BE251" s="314"/>
      <c r="BF251" s="314"/>
      <c r="BG251" s="314"/>
      <c r="BH251" s="314"/>
      <c r="BI251" s="314"/>
      <c r="BJ251" s="314"/>
      <c r="BK251" s="40"/>
      <c r="BL251" s="40"/>
      <c r="BM251" s="40"/>
      <c r="BN251" s="40"/>
      <c r="BO251" s="40"/>
      <c r="BP251" s="155"/>
      <c r="BQ251" s="314"/>
      <c r="BR251" s="314"/>
      <c r="BS251" s="314"/>
      <c r="BT251" s="314"/>
      <c r="BU251" s="314"/>
      <c r="BV251" s="314"/>
      <c r="BW251" s="314"/>
      <c r="BX251" s="155"/>
    </row>
    <row r="252" spans="1:76" ht="15.75" customHeight="1">
      <c r="A252" s="25"/>
      <c r="B252" s="39"/>
      <c r="C252" s="155"/>
      <c r="D252" s="155"/>
      <c r="E252" s="40"/>
      <c r="F252" s="314"/>
      <c r="H252" s="315"/>
      <c r="I252" s="315"/>
      <c r="BA252" s="30"/>
      <c r="BB252" s="155"/>
      <c r="BC252" s="314"/>
      <c r="BD252" s="314"/>
      <c r="BE252" s="314"/>
      <c r="BF252" s="314"/>
      <c r="BG252" s="314"/>
      <c r="BH252" s="314"/>
      <c r="BI252" s="314"/>
      <c r="BJ252" s="314"/>
      <c r="BK252" s="40"/>
      <c r="BL252" s="40"/>
      <c r="BM252" s="40"/>
      <c r="BN252" s="40"/>
      <c r="BO252" s="40"/>
      <c r="BP252" s="155"/>
      <c r="BQ252" s="314"/>
      <c r="BR252" s="314"/>
      <c r="BS252" s="314"/>
      <c r="BT252" s="314"/>
      <c r="BU252" s="314"/>
      <c r="BV252" s="314"/>
      <c r="BW252" s="314"/>
      <c r="BX252" s="155"/>
    </row>
    <row r="253" spans="1:76" ht="15.75" customHeight="1">
      <c r="A253" s="25"/>
      <c r="B253" s="39"/>
      <c r="C253" s="155"/>
      <c r="D253" s="155"/>
      <c r="E253" s="40"/>
      <c r="F253" s="314"/>
      <c r="H253" s="315"/>
      <c r="I253" s="315"/>
      <c r="BA253" s="30"/>
      <c r="BB253" s="155"/>
      <c r="BC253" s="314"/>
      <c r="BD253" s="314"/>
      <c r="BE253" s="314"/>
      <c r="BF253" s="314"/>
      <c r="BG253" s="314"/>
      <c r="BH253" s="314"/>
      <c r="BI253" s="314"/>
      <c r="BJ253" s="314"/>
      <c r="BK253" s="40"/>
      <c r="BL253" s="40"/>
      <c r="BM253" s="40"/>
      <c r="BN253" s="40"/>
      <c r="BO253" s="40"/>
      <c r="BP253" s="155"/>
      <c r="BQ253" s="314"/>
      <c r="BR253" s="314"/>
      <c r="BS253" s="314"/>
      <c r="BT253" s="314"/>
      <c r="BU253" s="314"/>
      <c r="BV253" s="314"/>
      <c r="BW253" s="314"/>
      <c r="BX253" s="155"/>
    </row>
    <row r="254" spans="1:76" ht="15.75" customHeight="1">
      <c r="A254" s="25"/>
      <c r="B254" s="39"/>
      <c r="C254" s="155"/>
      <c r="D254" s="155"/>
      <c r="E254" s="341"/>
      <c r="F254" s="314"/>
      <c r="H254" s="315"/>
      <c r="I254" s="315"/>
      <c r="BA254" s="30"/>
      <c r="BB254" s="321"/>
      <c r="BC254" s="314"/>
      <c r="BD254" s="314"/>
      <c r="BE254" s="314"/>
      <c r="BF254" s="314"/>
      <c r="BG254" s="314"/>
      <c r="BH254" s="314"/>
      <c r="BI254" s="314"/>
      <c r="BJ254" s="314"/>
      <c r="BK254" s="40"/>
      <c r="BL254" s="40"/>
      <c r="BM254" s="40"/>
      <c r="BN254" s="40"/>
      <c r="BO254" s="40"/>
      <c r="BP254" s="155"/>
      <c r="BQ254" s="314"/>
      <c r="BR254" s="314"/>
      <c r="BS254" s="314"/>
      <c r="BT254" s="314"/>
      <c r="BU254" s="314"/>
      <c r="BV254" s="314"/>
      <c r="BW254" s="314"/>
      <c r="BX254" s="155"/>
    </row>
    <row r="255" spans="1:76" ht="15.75" customHeight="1">
      <c r="A255" s="25"/>
      <c r="B255" s="39"/>
      <c r="C255" s="155"/>
      <c r="D255" s="155"/>
      <c r="E255" s="40"/>
      <c r="F255" s="314"/>
      <c r="H255" s="315"/>
      <c r="I255" s="315"/>
      <c r="BA255" s="30"/>
      <c r="BB255" s="155"/>
      <c r="BC255" s="314"/>
      <c r="BD255" s="314"/>
      <c r="BE255" s="314"/>
      <c r="BF255" s="314"/>
      <c r="BG255" s="314"/>
      <c r="BH255" s="314"/>
      <c r="BI255" s="314"/>
      <c r="BJ255" s="314"/>
      <c r="BK255" s="40"/>
      <c r="BL255" s="40"/>
      <c r="BM255" s="40"/>
      <c r="BN255" s="40"/>
      <c r="BO255" s="40"/>
      <c r="BP255" s="155"/>
      <c r="BQ255" s="314"/>
      <c r="BR255" s="314"/>
      <c r="BS255" s="314"/>
      <c r="BT255" s="314"/>
      <c r="BU255" s="314"/>
      <c r="BV255" s="314"/>
      <c r="BW255" s="314"/>
      <c r="BX255" s="155"/>
    </row>
    <row r="256" spans="1:76" ht="15.75" customHeight="1">
      <c r="A256" s="25"/>
      <c r="B256" s="39"/>
      <c r="C256" s="155"/>
      <c r="D256" s="155"/>
      <c r="E256" s="40"/>
      <c r="F256" s="314"/>
      <c r="H256" s="315"/>
      <c r="I256" s="315"/>
      <c r="BA256" s="30"/>
      <c r="BB256" s="155"/>
      <c r="BC256" s="314"/>
      <c r="BD256" s="314"/>
      <c r="BE256" s="314"/>
      <c r="BF256" s="314"/>
      <c r="BG256" s="314"/>
      <c r="BH256" s="314"/>
      <c r="BI256" s="314"/>
      <c r="BJ256" s="314"/>
      <c r="BK256" s="40"/>
      <c r="BL256" s="40"/>
      <c r="BM256" s="40"/>
      <c r="BN256" s="40"/>
      <c r="BO256" s="40"/>
      <c r="BP256" s="155"/>
      <c r="BQ256" s="314"/>
      <c r="BR256" s="314"/>
      <c r="BS256" s="314"/>
      <c r="BT256" s="314"/>
      <c r="BU256" s="314"/>
      <c r="BV256" s="314"/>
      <c r="BW256" s="314"/>
      <c r="BX256" s="155"/>
    </row>
    <row r="257" spans="1:76" ht="15.75" customHeight="1">
      <c r="A257" s="25"/>
      <c r="B257" s="39"/>
      <c r="C257" s="155"/>
      <c r="D257" s="155"/>
      <c r="E257" s="40"/>
      <c r="F257" s="314"/>
      <c r="H257" s="315"/>
      <c r="I257" s="315"/>
      <c r="BA257" s="30"/>
      <c r="BB257" s="155"/>
      <c r="BC257" s="314"/>
      <c r="BD257" s="314"/>
      <c r="BE257" s="314"/>
      <c r="BF257" s="314"/>
      <c r="BG257" s="314"/>
      <c r="BH257" s="314"/>
      <c r="BI257" s="314"/>
      <c r="BJ257" s="314"/>
      <c r="BK257" s="40"/>
      <c r="BL257" s="40"/>
      <c r="BM257" s="40"/>
      <c r="BN257" s="40"/>
      <c r="BO257" s="40"/>
      <c r="BP257" s="155"/>
      <c r="BQ257" s="314"/>
      <c r="BR257" s="314"/>
      <c r="BS257" s="314"/>
      <c r="BT257" s="314"/>
      <c r="BU257" s="314"/>
      <c r="BV257" s="314"/>
      <c r="BW257" s="314"/>
      <c r="BX257" s="155"/>
    </row>
    <row r="258" spans="1:76" ht="15.75" customHeight="1">
      <c r="A258" s="25"/>
      <c r="B258" s="39"/>
      <c r="C258" s="155"/>
      <c r="D258" s="155"/>
      <c r="E258" s="40"/>
      <c r="F258" s="314"/>
      <c r="H258" s="315"/>
      <c r="I258" s="315"/>
      <c r="BA258" s="30"/>
      <c r="BB258" s="155"/>
      <c r="BC258" s="314"/>
      <c r="BD258" s="314"/>
      <c r="BE258" s="314"/>
      <c r="BF258" s="314"/>
      <c r="BG258" s="314"/>
      <c r="BH258" s="314"/>
      <c r="BI258" s="314"/>
      <c r="BJ258" s="314"/>
      <c r="BK258" s="40"/>
      <c r="BL258" s="40"/>
      <c r="BM258" s="40"/>
      <c r="BN258" s="40"/>
      <c r="BO258" s="40"/>
      <c r="BP258" s="155"/>
      <c r="BQ258" s="314"/>
      <c r="BR258" s="314"/>
      <c r="BS258" s="314"/>
      <c r="BT258" s="314"/>
      <c r="BU258" s="314"/>
      <c r="BV258" s="314"/>
      <c r="BW258" s="314"/>
      <c r="BX258" s="155"/>
    </row>
    <row r="259" spans="1:76" ht="15.75" customHeight="1">
      <c r="A259" s="25"/>
      <c r="B259" s="39"/>
      <c r="C259" s="155"/>
      <c r="D259" s="155"/>
      <c r="E259" s="40"/>
      <c r="F259" s="314"/>
      <c r="H259" s="315"/>
      <c r="I259" s="315"/>
      <c r="BA259" s="30"/>
      <c r="BB259" s="155"/>
      <c r="BC259" s="314"/>
      <c r="BD259" s="314"/>
      <c r="BE259" s="314"/>
      <c r="BF259" s="314"/>
      <c r="BG259" s="314"/>
      <c r="BH259" s="314"/>
      <c r="BI259" s="314"/>
      <c r="BJ259" s="314"/>
      <c r="BK259" s="40"/>
      <c r="BL259" s="40"/>
      <c r="BM259" s="40"/>
      <c r="BN259" s="40"/>
      <c r="BO259" s="40"/>
      <c r="BP259" s="155"/>
      <c r="BQ259" s="314"/>
      <c r="BR259" s="314"/>
      <c r="BS259" s="314"/>
      <c r="BT259" s="314"/>
      <c r="BU259" s="314"/>
      <c r="BV259" s="314"/>
      <c r="BW259" s="314"/>
      <c r="BX259" s="155"/>
    </row>
    <row r="260" spans="1:76" ht="15.75" customHeight="1">
      <c r="A260" s="25"/>
      <c r="B260" s="39"/>
      <c r="C260" s="155"/>
      <c r="D260" s="155"/>
      <c r="E260" s="40"/>
      <c r="F260" s="314"/>
      <c r="H260" s="315"/>
      <c r="I260" s="315"/>
      <c r="BA260" s="30"/>
      <c r="BB260" s="155"/>
      <c r="BC260" s="314"/>
      <c r="BD260" s="314"/>
      <c r="BE260" s="314"/>
      <c r="BF260" s="314"/>
      <c r="BG260" s="314"/>
      <c r="BH260" s="314"/>
      <c r="BI260" s="314"/>
      <c r="BJ260" s="314"/>
      <c r="BK260" s="40"/>
      <c r="BL260" s="40"/>
      <c r="BM260" s="40"/>
      <c r="BN260" s="40"/>
      <c r="BO260" s="40"/>
      <c r="BP260" s="155"/>
      <c r="BQ260" s="314"/>
      <c r="BR260" s="314"/>
      <c r="BS260" s="314"/>
      <c r="BT260" s="314"/>
      <c r="BU260" s="314"/>
      <c r="BV260" s="314"/>
      <c r="BW260" s="314"/>
      <c r="BX260" s="155"/>
    </row>
    <row r="261" spans="1:76" ht="15.75" customHeight="1">
      <c r="A261" s="25"/>
      <c r="B261" s="39"/>
      <c r="C261" s="155"/>
      <c r="D261" s="155"/>
      <c r="E261" s="40"/>
      <c r="F261" s="314"/>
      <c r="H261" s="315"/>
      <c r="I261" s="315"/>
      <c r="BA261" s="30"/>
      <c r="BB261" s="155"/>
      <c r="BC261" s="314"/>
      <c r="BD261" s="314"/>
      <c r="BE261" s="314"/>
      <c r="BF261" s="314"/>
      <c r="BG261" s="314"/>
      <c r="BH261" s="314"/>
      <c r="BI261" s="314"/>
      <c r="BJ261" s="314"/>
      <c r="BK261" s="40"/>
      <c r="BL261" s="40"/>
      <c r="BM261" s="40"/>
      <c r="BN261" s="40"/>
      <c r="BO261" s="40"/>
      <c r="BP261" s="155"/>
      <c r="BQ261" s="314"/>
      <c r="BR261" s="314"/>
      <c r="BS261" s="314"/>
      <c r="BT261" s="314"/>
      <c r="BU261" s="314"/>
      <c r="BV261" s="314"/>
      <c r="BW261" s="314"/>
      <c r="BX261" s="155"/>
    </row>
    <row r="262" spans="1:76" ht="15.75" customHeight="1">
      <c r="A262" s="25"/>
      <c r="B262" s="39"/>
      <c r="C262" s="155"/>
      <c r="D262" s="155"/>
      <c r="E262" s="341"/>
      <c r="F262" s="314"/>
      <c r="H262" s="315"/>
      <c r="I262" s="315"/>
      <c r="BA262" s="30"/>
      <c r="BB262" s="321"/>
      <c r="BC262" s="314"/>
      <c r="BD262" s="314"/>
      <c r="BE262" s="314"/>
      <c r="BF262" s="314"/>
      <c r="BG262" s="314"/>
      <c r="BH262" s="314"/>
      <c r="BI262" s="314"/>
      <c r="BJ262" s="314"/>
      <c r="BK262" s="40"/>
      <c r="BL262" s="40"/>
      <c r="BM262" s="40"/>
      <c r="BN262" s="40"/>
      <c r="BO262" s="40"/>
      <c r="BP262" s="155"/>
      <c r="BQ262" s="314"/>
      <c r="BR262" s="314"/>
      <c r="BS262" s="314"/>
      <c r="BT262" s="314"/>
      <c r="BU262" s="314"/>
      <c r="BV262" s="314"/>
      <c r="BW262" s="314"/>
      <c r="BX262" s="155"/>
    </row>
    <row r="263" spans="1:76" ht="15.75" customHeight="1">
      <c r="A263" s="25"/>
      <c r="B263" s="39"/>
      <c r="C263" s="155"/>
      <c r="D263" s="155"/>
      <c r="E263" s="40"/>
      <c r="F263" s="314"/>
      <c r="H263" s="315"/>
      <c r="I263" s="315"/>
      <c r="BA263" s="30"/>
      <c r="BB263" s="155"/>
      <c r="BC263" s="314"/>
      <c r="BD263" s="314"/>
      <c r="BE263" s="314"/>
      <c r="BF263" s="314"/>
      <c r="BG263" s="314"/>
      <c r="BH263" s="314"/>
      <c r="BI263" s="314"/>
      <c r="BJ263" s="314"/>
      <c r="BK263" s="40"/>
      <c r="BL263" s="40"/>
      <c r="BM263" s="40"/>
      <c r="BN263" s="40"/>
      <c r="BO263" s="40"/>
      <c r="BP263" s="155"/>
      <c r="BQ263" s="314"/>
      <c r="BR263" s="314"/>
      <c r="BS263" s="314"/>
      <c r="BT263" s="314"/>
      <c r="BU263" s="314"/>
      <c r="BV263" s="314"/>
      <c r="BW263" s="314"/>
      <c r="BX263" s="155"/>
    </row>
    <row r="264" spans="1:76" ht="15.75" customHeight="1">
      <c r="A264" s="25"/>
      <c r="B264" s="39"/>
      <c r="C264" s="155"/>
      <c r="D264" s="155"/>
      <c r="E264" s="40"/>
      <c r="F264" s="314"/>
      <c r="H264" s="315"/>
      <c r="I264" s="315"/>
      <c r="BA264" s="30"/>
      <c r="BB264" s="155"/>
      <c r="BC264" s="314"/>
      <c r="BD264" s="314"/>
      <c r="BE264" s="314"/>
      <c r="BF264" s="314"/>
      <c r="BG264" s="314"/>
      <c r="BH264" s="314"/>
      <c r="BI264" s="314"/>
      <c r="BJ264" s="314"/>
      <c r="BK264" s="40"/>
      <c r="BL264" s="40"/>
      <c r="BM264" s="40"/>
      <c r="BN264" s="40"/>
      <c r="BO264" s="40"/>
      <c r="BP264" s="155"/>
      <c r="BQ264" s="314"/>
      <c r="BR264" s="314"/>
      <c r="BS264" s="314"/>
      <c r="BT264" s="314"/>
      <c r="BU264" s="314"/>
      <c r="BV264" s="314"/>
      <c r="BW264" s="314"/>
      <c r="BX264" s="155"/>
    </row>
    <row r="265" spans="1:76" ht="15.75" customHeight="1">
      <c r="A265" s="25"/>
      <c r="B265" s="39"/>
      <c r="C265" s="155"/>
      <c r="D265" s="155"/>
      <c r="E265" s="40"/>
      <c r="F265" s="314"/>
      <c r="H265" s="315"/>
      <c r="I265" s="315"/>
      <c r="BA265" s="30"/>
      <c r="BB265" s="155"/>
      <c r="BC265" s="314"/>
      <c r="BD265" s="314"/>
      <c r="BE265" s="314"/>
      <c r="BF265" s="314"/>
      <c r="BG265" s="314"/>
      <c r="BH265" s="314"/>
      <c r="BI265" s="314"/>
      <c r="BJ265" s="314"/>
      <c r="BK265" s="40"/>
      <c r="BL265" s="40"/>
      <c r="BM265" s="40"/>
      <c r="BN265" s="40"/>
      <c r="BO265" s="40"/>
      <c r="BP265" s="155"/>
      <c r="BQ265" s="314"/>
      <c r="BR265" s="314"/>
      <c r="BS265" s="314"/>
      <c r="BT265" s="314"/>
      <c r="BU265" s="314"/>
      <c r="BV265" s="314"/>
      <c r="BW265" s="314"/>
      <c r="BX265" s="155"/>
    </row>
    <row r="266" spans="1:76" ht="15.75" customHeight="1">
      <c r="A266" s="25"/>
      <c r="B266" s="39"/>
      <c r="C266" s="155"/>
      <c r="D266" s="155"/>
      <c r="E266" s="40"/>
      <c r="F266" s="314"/>
      <c r="H266" s="315"/>
      <c r="I266" s="315"/>
      <c r="BA266" s="30"/>
      <c r="BB266" s="155"/>
      <c r="BC266" s="314"/>
      <c r="BD266" s="314"/>
      <c r="BE266" s="314"/>
      <c r="BF266" s="314"/>
      <c r="BG266" s="314"/>
      <c r="BH266" s="314"/>
      <c r="BI266" s="314"/>
      <c r="BJ266" s="314"/>
      <c r="BK266" s="40"/>
      <c r="BL266" s="40"/>
      <c r="BM266" s="40"/>
      <c r="BN266" s="40"/>
      <c r="BO266" s="40"/>
      <c r="BP266" s="155"/>
      <c r="BQ266" s="314"/>
      <c r="BR266" s="314"/>
      <c r="BS266" s="314"/>
      <c r="BT266" s="314"/>
      <c r="BU266" s="314"/>
      <c r="BV266" s="314"/>
      <c r="BW266" s="314"/>
      <c r="BX266" s="155"/>
    </row>
    <row r="267" spans="1:76" ht="15.75" customHeight="1">
      <c r="A267" s="25"/>
      <c r="B267" s="39"/>
      <c r="C267" s="155"/>
      <c r="D267" s="155"/>
      <c r="E267" s="40"/>
      <c r="F267" s="314"/>
      <c r="H267" s="315"/>
      <c r="I267" s="315"/>
      <c r="BA267" s="30"/>
      <c r="BB267" s="155"/>
      <c r="BC267" s="314"/>
      <c r="BD267" s="314"/>
      <c r="BE267" s="314"/>
      <c r="BF267" s="314"/>
      <c r="BG267" s="314"/>
      <c r="BH267" s="314"/>
      <c r="BI267" s="314"/>
      <c r="BJ267" s="314"/>
      <c r="BK267" s="40"/>
      <c r="BL267" s="40"/>
      <c r="BM267" s="40"/>
      <c r="BN267" s="40"/>
      <c r="BO267" s="40"/>
      <c r="BP267" s="155"/>
      <c r="BQ267" s="314"/>
      <c r="BR267" s="314"/>
      <c r="BS267" s="314"/>
      <c r="BT267" s="314"/>
      <c r="BU267" s="314"/>
      <c r="BV267" s="314"/>
      <c r="BW267" s="314"/>
      <c r="BX267" s="155"/>
    </row>
    <row r="268" spans="1:76" ht="15.75" customHeight="1">
      <c r="A268" s="25"/>
      <c r="B268" s="39"/>
      <c r="C268" s="155"/>
      <c r="D268" s="155"/>
      <c r="E268" s="40"/>
      <c r="F268" s="314"/>
      <c r="H268" s="315"/>
      <c r="I268" s="315"/>
      <c r="BA268" s="30"/>
      <c r="BB268" s="155"/>
      <c r="BC268" s="314"/>
      <c r="BD268" s="314"/>
      <c r="BE268" s="314"/>
      <c r="BF268" s="314"/>
      <c r="BG268" s="314"/>
      <c r="BH268" s="314"/>
      <c r="BI268" s="314"/>
      <c r="BJ268" s="314"/>
      <c r="BK268" s="40"/>
      <c r="BL268" s="40"/>
      <c r="BM268" s="40"/>
      <c r="BN268" s="40"/>
      <c r="BO268" s="40"/>
      <c r="BP268" s="155"/>
      <c r="BQ268" s="314"/>
      <c r="BR268" s="314"/>
      <c r="BS268" s="314"/>
      <c r="BT268" s="314"/>
      <c r="BU268" s="314"/>
      <c r="BV268" s="314"/>
      <c r="BW268" s="314"/>
      <c r="BX268" s="155"/>
    </row>
    <row r="269" spans="1:76" ht="15.75" customHeight="1">
      <c r="A269" s="25"/>
      <c r="B269" s="39"/>
      <c r="C269" s="155"/>
      <c r="D269" s="155"/>
      <c r="E269" s="40"/>
      <c r="F269" s="314"/>
      <c r="H269" s="315"/>
      <c r="I269" s="315"/>
      <c r="BA269" s="30"/>
      <c r="BB269" s="155"/>
      <c r="BC269" s="314"/>
      <c r="BD269" s="314"/>
      <c r="BE269" s="314"/>
      <c r="BF269" s="314"/>
      <c r="BG269" s="314"/>
      <c r="BH269" s="314"/>
      <c r="BI269" s="314"/>
      <c r="BJ269" s="314"/>
      <c r="BK269" s="40"/>
      <c r="BL269" s="40"/>
      <c r="BM269" s="40"/>
      <c r="BN269" s="40"/>
      <c r="BO269" s="40"/>
      <c r="BP269" s="155"/>
      <c r="BQ269" s="314"/>
      <c r="BR269" s="314"/>
      <c r="BS269" s="314"/>
      <c r="BT269" s="314"/>
      <c r="BU269" s="314"/>
      <c r="BV269" s="314"/>
      <c r="BW269" s="314"/>
      <c r="BX269" s="155"/>
    </row>
    <row r="270" spans="1:76" ht="15.75" customHeight="1">
      <c r="A270" s="25"/>
      <c r="B270" s="39"/>
      <c r="C270" s="155"/>
      <c r="D270" s="155"/>
      <c r="E270" s="341"/>
      <c r="F270" s="314"/>
      <c r="H270" s="315"/>
      <c r="I270" s="315"/>
      <c r="BA270" s="30"/>
      <c r="BB270" s="321"/>
      <c r="BC270" s="314"/>
      <c r="BD270" s="314"/>
      <c r="BE270" s="314"/>
      <c r="BF270" s="314"/>
      <c r="BG270" s="314"/>
      <c r="BH270" s="314"/>
      <c r="BI270" s="314"/>
      <c r="BJ270" s="314"/>
      <c r="BK270" s="40"/>
      <c r="BL270" s="40"/>
      <c r="BM270" s="40"/>
      <c r="BN270" s="40"/>
      <c r="BO270" s="40"/>
      <c r="BP270" s="155"/>
      <c r="BQ270" s="314"/>
      <c r="BR270" s="314"/>
      <c r="BS270" s="314"/>
      <c r="BT270" s="314"/>
      <c r="BU270" s="314"/>
      <c r="BV270" s="314"/>
      <c r="BW270" s="314"/>
      <c r="BX270" s="155"/>
    </row>
    <row r="271" spans="1:76" ht="15.75" customHeight="1">
      <c r="A271" s="25"/>
      <c r="B271" s="39"/>
      <c r="C271" s="155"/>
      <c r="D271" s="155"/>
      <c r="E271" s="40"/>
      <c r="F271" s="314"/>
      <c r="H271" s="315"/>
      <c r="I271" s="315"/>
      <c r="BA271" s="30"/>
      <c r="BB271" s="155"/>
      <c r="BC271" s="314"/>
      <c r="BD271" s="314"/>
      <c r="BE271" s="314"/>
      <c r="BF271" s="314"/>
      <c r="BG271" s="314"/>
      <c r="BH271" s="314"/>
      <c r="BI271" s="314"/>
      <c r="BJ271" s="314"/>
      <c r="BK271" s="40"/>
      <c r="BL271" s="40"/>
      <c r="BM271" s="40"/>
      <c r="BN271" s="40"/>
      <c r="BO271" s="40"/>
      <c r="BP271" s="155"/>
      <c r="BQ271" s="314"/>
      <c r="BR271" s="314"/>
      <c r="BS271" s="314"/>
      <c r="BT271" s="314"/>
      <c r="BU271" s="314"/>
      <c r="BV271" s="314"/>
      <c r="BW271" s="314"/>
      <c r="BX271" s="155"/>
    </row>
    <row r="272" spans="1:76" ht="15.75" customHeight="1">
      <c r="A272" s="25"/>
      <c r="B272" s="39"/>
      <c r="C272" s="155"/>
      <c r="D272" s="155"/>
      <c r="E272" s="40"/>
      <c r="F272" s="314"/>
      <c r="H272" s="315"/>
      <c r="I272" s="315"/>
      <c r="BA272" s="30"/>
      <c r="BB272" s="155"/>
      <c r="BC272" s="338"/>
      <c r="BD272" s="338"/>
      <c r="BE272" s="338"/>
      <c r="BF272" s="338"/>
      <c r="BG272" s="338"/>
      <c r="BH272" s="338"/>
      <c r="BI272" s="338"/>
      <c r="BJ272" s="338"/>
      <c r="BK272" s="313"/>
      <c r="BL272" s="40"/>
      <c r="BM272" s="40"/>
      <c r="BN272" s="40"/>
      <c r="BO272" s="40"/>
      <c r="BP272" s="155"/>
      <c r="BQ272" s="314"/>
      <c r="BR272" s="314"/>
      <c r="BS272" s="314"/>
      <c r="BT272" s="314"/>
      <c r="BU272" s="314"/>
      <c r="BV272" s="314"/>
      <c r="BW272" s="314"/>
      <c r="BX272" s="155"/>
    </row>
    <row r="273" spans="1:76" ht="15.75" customHeight="1">
      <c r="A273" s="25"/>
      <c r="B273" s="39"/>
      <c r="C273" s="155"/>
      <c r="D273" s="155"/>
      <c r="E273" s="40"/>
      <c r="F273" s="314"/>
      <c r="H273" s="315"/>
      <c r="I273" s="315"/>
      <c r="BA273" s="30"/>
      <c r="BB273" s="155"/>
      <c r="BC273" s="314"/>
      <c r="BD273" s="314"/>
      <c r="BE273" s="314"/>
      <c r="BF273" s="314"/>
      <c r="BG273" s="314"/>
      <c r="BH273" s="314"/>
      <c r="BI273" s="314"/>
      <c r="BJ273" s="314"/>
      <c r="BK273" s="40"/>
      <c r="BL273" s="40"/>
      <c r="BM273" s="40"/>
      <c r="BN273" s="40"/>
      <c r="BO273" s="40"/>
      <c r="BP273" s="155"/>
      <c r="BQ273" s="314"/>
      <c r="BR273" s="314"/>
      <c r="BS273" s="314"/>
      <c r="BT273" s="314"/>
      <c r="BU273" s="314"/>
      <c r="BV273" s="314"/>
      <c r="BW273" s="314"/>
      <c r="BX273" s="155"/>
    </row>
    <row r="274" spans="1:76" ht="15.75" customHeight="1">
      <c r="A274" s="25"/>
      <c r="B274" s="39"/>
      <c r="C274" s="155"/>
      <c r="D274" s="155"/>
      <c r="E274" s="40"/>
      <c r="F274" s="314"/>
      <c r="H274" s="315"/>
      <c r="I274" s="315"/>
      <c r="BA274" s="30"/>
      <c r="BB274" s="155"/>
      <c r="BC274" s="314"/>
      <c r="BD274" s="314"/>
      <c r="BE274" s="314"/>
      <c r="BF274" s="314"/>
      <c r="BG274" s="314"/>
      <c r="BH274" s="314"/>
      <c r="BI274" s="314"/>
      <c r="BJ274" s="314"/>
      <c r="BK274" s="40"/>
      <c r="BL274" s="40"/>
      <c r="BM274" s="40"/>
      <c r="BN274" s="40"/>
      <c r="BO274" s="40"/>
      <c r="BP274" s="155"/>
      <c r="BQ274" s="314"/>
      <c r="BR274" s="314"/>
      <c r="BS274" s="314"/>
      <c r="BT274" s="314"/>
      <c r="BU274" s="314"/>
      <c r="BV274" s="314"/>
      <c r="BW274" s="314"/>
      <c r="BX274" s="155"/>
    </row>
    <row r="275" spans="1:76" ht="15.75" customHeight="1">
      <c r="A275" s="25"/>
      <c r="B275" s="39"/>
      <c r="C275" s="155"/>
      <c r="D275" s="155"/>
      <c r="E275" s="40"/>
      <c r="F275" s="314"/>
      <c r="H275" s="315"/>
      <c r="I275" s="315"/>
      <c r="BA275" s="30"/>
      <c r="BB275" s="155"/>
      <c r="BC275" s="314"/>
      <c r="BD275" s="314"/>
      <c r="BE275" s="314"/>
      <c r="BF275" s="314"/>
      <c r="BG275" s="314"/>
      <c r="BH275" s="314"/>
      <c r="BI275" s="314"/>
      <c r="BJ275" s="314"/>
      <c r="BK275" s="40"/>
      <c r="BL275" s="40"/>
      <c r="BM275" s="40"/>
      <c r="BN275" s="40"/>
      <c r="BO275" s="40"/>
      <c r="BP275" s="155"/>
      <c r="BQ275" s="314"/>
      <c r="BR275" s="314"/>
      <c r="BS275" s="314"/>
      <c r="BT275" s="314"/>
      <c r="BU275" s="314"/>
      <c r="BV275" s="314"/>
      <c r="BW275" s="314"/>
      <c r="BX275" s="155"/>
    </row>
    <row r="276" spans="1:76" ht="15.75" customHeight="1">
      <c r="A276" s="25"/>
      <c r="B276" s="39"/>
      <c r="C276" s="155"/>
      <c r="D276" s="155"/>
      <c r="E276" s="40"/>
      <c r="F276" s="314"/>
      <c r="H276" s="315"/>
      <c r="I276" s="315"/>
      <c r="BA276" s="30"/>
      <c r="BB276" s="155"/>
      <c r="BC276" s="314"/>
      <c r="BD276" s="314"/>
      <c r="BE276" s="314"/>
      <c r="BF276" s="314"/>
      <c r="BG276" s="314"/>
      <c r="BH276" s="314"/>
      <c r="BI276" s="314"/>
      <c r="BJ276" s="314"/>
      <c r="BK276" s="40"/>
      <c r="BL276" s="40"/>
      <c r="BM276" s="40"/>
      <c r="BN276" s="40"/>
      <c r="BO276" s="40"/>
      <c r="BP276" s="155"/>
      <c r="BQ276" s="314"/>
      <c r="BR276" s="314"/>
      <c r="BS276" s="314"/>
      <c r="BT276" s="314"/>
      <c r="BU276" s="314"/>
      <c r="BV276" s="314"/>
      <c r="BW276" s="314"/>
      <c r="BX276" s="155"/>
    </row>
    <row r="277" spans="1:76" ht="15.75" customHeight="1">
      <c r="A277" s="25"/>
      <c r="B277" s="39"/>
      <c r="C277" s="155"/>
      <c r="D277" s="155"/>
      <c r="E277" s="40"/>
      <c r="F277" s="314"/>
      <c r="H277" s="315"/>
      <c r="I277" s="315"/>
      <c r="BA277" s="30"/>
      <c r="BB277" s="155"/>
      <c r="BC277" s="314"/>
      <c r="BD277" s="314"/>
      <c r="BE277" s="314"/>
      <c r="BF277" s="314"/>
      <c r="BG277" s="314"/>
      <c r="BH277" s="314"/>
      <c r="BI277" s="314"/>
      <c r="BJ277" s="314"/>
      <c r="BK277" s="40"/>
      <c r="BL277" s="40"/>
      <c r="BM277" s="40"/>
      <c r="BN277" s="40"/>
      <c r="BO277" s="40"/>
      <c r="BP277" s="155"/>
      <c r="BQ277" s="314"/>
      <c r="BR277" s="314"/>
      <c r="BS277" s="314"/>
      <c r="BT277" s="314"/>
      <c r="BU277" s="314"/>
      <c r="BV277" s="314"/>
      <c r="BW277" s="314"/>
      <c r="BX277" s="155"/>
    </row>
    <row r="278" spans="1:76" ht="15.75" customHeight="1">
      <c r="A278" s="25"/>
      <c r="B278" s="39"/>
      <c r="C278" s="155"/>
      <c r="D278" s="155"/>
      <c r="E278" s="341"/>
      <c r="F278" s="314"/>
      <c r="H278" s="315"/>
      <c r="I278" s="315"/>
      <c r="BA278" s="30"/>
      <c r="BB278" s="321"/>
      <c r="BC278" s="314"/>
      <c r="BD278" s="314"/>
      <c r="BE278" s="314"/>
      <c r="BF278" s="314"/>
      <c r="BG278" s="314"/>
      <c r="BH278" s="314"/>
      <c r="BI278" s="314"/>
      <c r="BJ278" s="314"/>
      <c r="BK278" s="40"/>
      <c r="BL278" s="40"/>
      <c r="BM278" s="40"/>
      <c r="BN278" s="40"/>
      <c r="BO278" s="40"/>
      <c r="BP278" s="155"/>
      <c r="BQ278" s="314"/>
      <c r="BR278" s="314"/>
      <c r="BS278" s="314"/>
      <c r="BT278" s="314"/>
      <c r="BU278" s="314"/>
      <c r="BV278" s="314"/>
      <c r="BW278" s="314"/>
      <c r="BX278" s="155"/>
    </row>
    <row r="279" spans="1:76" ht="15.75" customHeight="1">
      <c r="A279" s="25"/>
      <c r="B279" s="39"/>
      <c r="C279" s="155"/>
      <c r="D279" s="155"/>
      <c r="E279" s="40"/>
      <c r="F279" s="314"/>
      <c r="H279" s="315"/>
      <c r="I279" s="315"/>
      <c r="BA279" s="30"/>
      <c r="BB279" s="155"/>
      <c r="BC279" s="314"/>
      <c r="BD279" s="314"/>
      <c r="BE279" s="314"/>
      <c r="BF279" s="314"/>
      <c r="BG279" s="314"/>
      <c r="BH279" s="314"/>
      <c r="BI279" s="314"/>
      <c r="BJ279" s="314"/>
      <c r="BK279" s="40"/>
      <c r="BL279" s="40"/>
      <c r="BM279" s="40"/>
      <c r="BN279" s="40"/>
      <c r="BO279" s="40"/>
      <c r="BP279" s="155"/>
      <c r="BQ279" s="314"/>
      <c r="BR279" s="314"/>
      <c r="BS279" s="314"/>
      <c r="BT279" s="314"/>
      <c r="BU279" s="314"/>
      <c r="BV279" s="314"/>
      <c r="BW279" s="314"/>
      <c r="BX279" s="155"/>
    </row>
    <row r="280" spans="1:76" ht="15.75" customHeight="1">
      <c r="A280" s="25"/>
      <c r="B280" s="39"/>
      <c r="C280" s="155"/>
      <c r="D280" s="155"/>
      <c r="E280" s="40"/>
      <c r="F280" s="314"/>
      <c r="H280" s="315"/>
      <c r="I280" s="315"/>
      <c r="BA280" s="30"/>
      <c r="BB280" s="155"/>
      <c r="BC280" s="314"/>
      <c r="BD280" s="314"/>
      <c r="BE280" s="314"/>
      <c r="BF280" s="314"/>
      <c r="BG280" s="314"/>
      <c r="BH280" s="314"/>
      <c r="BI280" s="314"/>
      <c r="BJ280" s="314"/>
      <c r="BK280" s="40"/>
      <c r="BL280" s="40"/>
      <c r="BM280" s="40"/>
      <c r="BN280" s="40"/>
      <c r="BO280" s="40"/>
      <c r="BP280" s="155"/>
      <c r="BQ280" s="314"/>
      <c r="BR280" s="314"/>
      <c r="BS280" s="314"/>
      <c r="BT280" s="314"/>
      <c r="BU280" s="314"/>
      <c r="BV280" s="314"/>
      <c r="BW280" s="314"/>
      <c r="BX280" s="155"/>
    </row>
    <row r="281" spans="1:76" ht="15.75" customHeight="1">
      <c r="A281" s="25"/>
      <c r="B281" s="39"/>
      <c r="C281" s="155"/>
      <c r="D281" s="155"/>
      <c r="E281" s="40"/>
      <c r="F281" s="314"/>
      <c r="H281" s="315"/>
      <c r="I281" s="315"/>
      <c r="BA281" s="30"/>
      <c r="BB281" s="155"/>
      <c r="BC281" s="314"/>
      <c r="BD281" s="314"/>
      <c r="BE281" s="314"/>
      <c r="BF281" s="314"/>
      <c r="BG281" s="314"/>
      <c r="BH281" s="314"/>
      <c r="BI281" s="314"/>
      <c r="BJ281" s="314"/>
      <c r="BK281" s="40"/>
      <c r="BL281" s="40"/>
      <c r="BM281" s="40"/>
      <c r="BN281" s="40"/>
      <c r="BO281" s="40"/>
      <c r="BP281" s="155"/>
      <c r="BQ281" s="314"/>
      <c r="BR281" s="314"/>
      <c r="BS281" s="314"/>
      <c r="BT281" s="314"/>
      <c r="BU281" s="314"/>
      <c r="BV281" s="314"/>
      <c r="BW281" s="314"/>
      <c r="BX281" s="155"/>
    </row>
    <row r="282" spans="1:76" ht="15.75" customHeight="1">
      <c r="A282" s="25"/>
      <c r="B282" s="39"/>
      <c r="C282" s="155"/>
      <c r="D282" s="155"/>
      <c r="E282" s="40"/>
      <c r="F282" s="314"/>
      <c r="H282" s="315"/>
      <c r="I282" s="315"/>
      <c r="BA282" s="30"/>
      <c r="BB282" s="155"/>
      <c r="BC282" s="314"/>
      <c r="BD282" s="314"/>
      <c r="BE282" s="314"/>
      <c r="BF282" s="314"/>
      <c r="BG282" s="314"/>
      <c r="BH282" s="314"/>
      <c r="BI282" s="314"/>
      <c r="BJ282" s="314"/>
      <c r="BK282" s="40"/>
      <c r="BL282" s="40"/>
      <c r="BM282" s="40"/>
      <c r="BN282" s="40"/>
      <c r="BO282" s="40"/>
      <c r="BP282" s="155"/>
      <c r="BQ282" s="314"/>
      <c r="BR282" s="314"/>
      <c r="BS282" s="314"/>
      <c r="BT282" s="314"/>
      <c r="BU282" s="314"/>
      <c r="BV282" s="314"/>
      <c r="BW282" s="314"/>
      <c r="BX282" s="155"/>
    </row>
    <row r="283" spans="1:76" ht="15.75" customHeight="1">
      <c r="A283" s="25"/>
      <c r="B283" s="39"/>
      <c r="C283" s="155"/>
      <c r="D283" s="155"/>
      <c r="E283" s="40"/>
      <c r="F283" s="314"/>
      <c r="H283" s="315"/>
      <c r="I283" s="315"/>
      <c r="BA283" s="30"/>
      <c r="BB283" s="155"/>
      <c r="BC283" s="322"/>
      <c r="BD283" s="322"/>
      <c r="BE283" s="322"/>
      <c r="BF283" s="322"/>
      <c r="BG283" s="322"/>
      <c r="BH283" s="322"/>
      <c r="BI283" s="322"/>
      <c r="BJ283" s="322"/>
      <c r="BK283" s="341"/>
      <c r="BL283" s="40"/>
      <c r="BM283" s="40"/>
      <c r="BN283" s="40"/>
      <c r="BO283" s="40"/>
      <c r="BP283" s="155"/>
      <c r="BQ283" s="314"/>
      <c r="BR283" s="314"/>
      <c r="BS283" s="314"/>
      <c r="BT283" s="314"/>
      <c r="BU283" s="314"/>
      <c r="BV283" s="314"/>
      <c r="BW283" s="314"/>
      <c r="BX283" s="155"/>
    </row>
    <row r="284" spans="1:76" ht="15.75" customHeight="1">
      <c r="A284" s="25"/>
      <c r="B284" s="39"/>
      <c r="C284" s="155"/>
      <c r="D284" s="155"/>
      <c r="E284" s="40"/>
      <c r="F284" s="314"/>
      <c r="H284" s="315"/>
      <c r="I284" s="315"/>
      <c r="BA284" s="30"/>
      <c r="BB284" s="155"/>
      <c r="BC284" s="314"/>
      <c r="BD284" s="314"/>
      <c r="BE284" s="314"/>
      <c r="BF284" s="314"/>
      <c r="BG284" s="314"/>
      <c r="BH284" s="314"/>
      <c r="BI284" s="314"/>
      <c r="BJ284" s="314"/>
      <c r="BK284" s="40"/>
      <c r="BL284" s="40"/>
      <c r="BM284" s="40"/>
      <c r="BN284" s="40"/>
      <c r="BO284" s="40"/>
      <c r="BP284" s="155"/>
      <c r="BQ284" s="314"/>
      <c r="BR284" s="314"/>
      <c r="BS284" s="314"/>
      <c r="BT284" s="314"/>
      <c r="BU284" s="314"/>
      <c r="BV284" s="314"/>
      <c r="BW284" s="314"/>
      <c r="BX284" s="155"/>
    </row>
    <row r="285" spans="1:76" ht="15.75" customHeight="1">
      <c r="A285" s="25"/>
      <c r="B285" s="39"/>
      <c r="C285" s="155"/>
      <c r="D285" s="155"/>
      <c r="E285" s="40"/>
      <c r="F285" s="314"/>
      <c r="H285" s="315"/>
      <c r="I285" s="315"/>
      <c r="BA285" s="30"/>
      <c r="BB285" s="155"/>
      <c r="BC285" s="314"/>
      <c r="BD285" s="314"/>
      <c r="BE285" s="314"/>
      <c r="BF285" s="314"/>
      <c r="BG285" s="314"/>
      <c r="BH285" s="314"/>
      <c r="BI285" s="314"/>
      <c r="BJ285" s="314"/>
      <c r="BK285" s="40"/>
      <c r="BL285" s="40"/>
      <c r="BM285" s="40"/>
      <c r="BN285" s="40"/>
      <c r="BO285" s="40"/>
      <c r="BP285" s="155"/>
      <c r="BQ285" s="314"/>
      <c r="BR285" s="314"/>
      <c r="BS285" s="314"/>
      <c r="BT285" s="314"/>
      <c r="BU285" s="314"/>
      <c r="BV285" s="314"/>
      <c r="BW285" s="314"/>
      <c r="BX285" s="155"/>
    </row>
    <row r="286" spans="1:76" ht="15.75" customHeight="1">
      <c r="A286" s="25"/>
      <c r="B286" s="39"/>
      <c r="C286" s="155"/>
      <c r="D286" s="155"/>
      <c r="E286" s="341"/>
      <c r="F286" s="314"/>
      <c r="H286" s="315"/>
      <c r="I286" s="315"/>
      <c r="BA286" s="30"/>
      <c r="BB286" s="321"/>
      <c r="BC286" s="314"/>
      <c r="BD286" s="314"/>
      <c r="BE286" s="314"/>
      <c r="BF286" s="314"/>
      <c r="BG286" s="314"/>
      <c r="BH286" s="314"/>
      <c r="BI286" s="314"/>
      <c r="BJ286" s="314"/>
      <c r="BK286" s="40"/>
      <c r="BL286" s="40"/>
      <c r="BM286" s="40"/>
      <c r="BN286" s="40"/>
      <c r="BO286" s="40"/>
      <c r="BP286" s="155"/>
      <c r="BQ286" s="314"/>
      <c r="BR286" s="314"/>
      <c r="BS286" s="314"/>
      <c r="BT286" s="314"/>
      <c r="BU286" s="314"/>
      <c r="BV286" s="314"/>
      <c r="BW286" s="314"/>
      <c r="BX286" s="155"/>
    </row>
    <row r="287" spans="1:76" ht="15.75" customHeight="1">
      <c r="A287" s="25"/>
      <c r="B287" s="39"/>
      <c r="C287" s="155"/>
      <c r="D287" s="155"/>
      <c r="E287" s="40"/>
      <c r="F287" s="314"/>
      <c r="H287" s="315"/>
      <c r="I287" s="315"/>
      <c r="BA287" s="30"/>
      <c r="BB287" s="155"/>
      <c r="BC287" s="314"/>
      <c r="BD287" s="314"/>
      <c r="BE287" s="314"/>
      <c r="BF287" s="314"/>
      <c r="BG287" s="314"/>
      <c r="BH287" s="314"/>
      <c r="BI287" s="314"/>
      <c r="BJ287" s="314"/>
      <c r="BK287" s="40"/>
      <c r="BL287" s="40"/>
      <c r="BM287" s="40"/>
      <c r="BN287" s="40"/>
      <c r="BO287" s="40"/>
      <c r="BP287" s="155"/>
      <c r="BQ287" s="314"/>
      <c r="BR287" s="314"/>
      <c r="BS287" s="314"/>
      <c r="BT287" s="314"/>
      <c r="BU287" s="314"/>
      <c r="BV287" s="314"/>
      <c r="BW287" s="314"/>
      <c r="BX287" s="155"/>
    </row>
    <row r="288" spans="1:76" ht="15.75" customHeight="1">
      <c r="A288" s="25"/>
      <c r="B288" s="39"/>
      <c r="C288" s="155"/>
      <c r="D288" s="155"/>
      <c r="E288" s="40"/>
      <c r="F288" s="314"/>
      <c r="H288" s="315"/>
      <c r="I288" s="315"/>
      <c r="BA288" s="30"/>
      <c r="BB288" s="155"/>
      <c r="BC288" s="314"/>
      <c r="BD288" s="314"/>
      <c r="BE288" s="314"/>
      <c r="BF288" s="314"/>
      <c r="BG288" s="314"/>
      <c r="BH288" s="314"/>
      <c r="BI288" s="314"/>
      <c r="BJ288" s="314"/>
      <c r="BK288" s="40"/>
      <c r="BL288" s="40"/>
      <c r="BM288" s="40"/>
      <c r="BN288" s="40"/>
      <c r="BO288" s="40"/>
      <c r="BP288" s="155"/>
      <c r="BQ288" s="314"/>
      <c r="BR288" s="314"/>
      <c r="BS288" s="314"/>
      <c r="BT288" s="314"/>
      <c r="BU288" s="314"/>
      <c r="BV288" s="314"/>
      <c r="BW288" s="314"/>
      <c r="BX288" s="155"/>
    </row>
    <row r="289" spans="1:76" ht="15.75" customHeight="1">
      <c r="A289" s="25"/>
      <c r="B289" s="39"/>
      <c r="C289" s="155"/>
      <c r="D289" s="155"/>
      <c r="E289" s="40"/>
      <c r="F289" s="314"/>
      <c r="H289" s="315"/>
      <c r="I289" s="315"/>
      <c r="BA289" s="30"/>
      <c r="BB289" s="155"/>
      <c r="BC289" s="314"/>
      <c r="BD289" s="314"/>
      <c r="BE289" s="314"/>
      <c r="BF289" s="314"/>
      <c r="BG289" s="314"/>
      <c r="BH289" s="314"/>
      <c r="BI289" s="314"/>
      <c r="BJ289" s="314"/>
      <c r="BK289" s="40"/>
      <c r="BL289" s="40"/>
      <c r="BM289" s="40"/>
      <c r="BN289" s="40"/>
      <c r="BO289" s="40"/>
      <c r="BP289" s="155"/>
      <c r="BQ289" s="314"/>
      <c r="BR289" s="314"/>
      <c r="BS289" s="314"/>
      <c r="BT289" s="314"/>
      <c r="BU289" s="314"/>
      <c r="BV289" s="314"/>
      <c r="BW289" s="314"/>
      <c r="BX289" s="155"/>
    </row>
    <row r="290" spans="1:76" ht="15.75" customHeight="1">
      <c r="A290" s="25"/>
      <c r="B290" s="39"/>
      <c r="C290" s="155"/>
      <c r="D290" s="155"/>
      <c r="E290" s="40"/>
      <c r="F290" s="314"/>
      <c r="H290" s="315"/>
      <c r="I290" s="315"/>
      <c r="BA290" s="30"/>
      <c r="BB290" s="155"/>
      <c r="BC290" s="314"/>
      <c r="BD290" s="314"/>
      <c r="BE290" s="314"/>
      <c r="BF290" s="314"/>
      <c r="BG290" s="314"/>
      <c r="BH290" s="314"/>
      <c r="BI290" s="314"/>
      <c r="BJ290" s="314"/>
      <c r="BK290" s="40"/>
      <c r="BL290" s="40"/>
      <c r="BM290" s="40"/>
      <c r="BN290" s="40"/>
      <c r="BO290" s="40"/>
      <c r="BP290" s="155"/>
      <c r="BQ290" s="314"/>
      <c r="BR290" s="314"/>
      <c r="BS290" s="314"/>
      <c r="BT290" s="314"/>
      <c r="BU290" s="314"/>
      <c r="BV290" s="314"/>
      <c r="BW290" s="314"/>
      <c r="BX290" s="155"/>
    </row>
    <row r="291" spans="1:76" ht="15.75" customHeight="1">
      <c r="A291" s="25"/>
      <c r="B291" s="39"/>
      <c r="C291" s="155"/>
      <c r="D291" s="155"/>
      <c r="E291" s="40"/>
      <c r="F291" s="314"/>
      <c r="H291" s="315"/>
      <c r="I291" s="315"/>
      <c r="BA291" s="30"/>
      <c r="BB291" s="155"/>
      <c r="BC291" s="314"/>
      <c r="BD291" s="314"/>
      <c r="BE291" s="314"/>
      <c r="BF291" s="314"/>
      <c r="BG291" s="314"/>
      <c r="BH291" s="314"/>
      <c r="BI291" s="314"/>
      <c r="BJ291" s="314"/>
      <c r="BK291" s="40"/>
      <c r="BL291" s="40"/>
      <c r="BM291" s="40"/>
      <c r="BN291" s="40"/>
      <c r="BO291" s="40"/>
      <c r="BP291" s="155"/>
      <c r="BQ291" s="314"/>
      <c r="BR291" s="314"/>
      <c r="BS291" s="314"/>
      <c r="BT291" s="314"/>
      <c r="BU291" s="314"/>
      <c r="BV291" s="314"/>
      <c r="BW291" s="314"/>
      <c r="BX291" s="155"/>
    </row>
    <row r="292" spans="1:76" ht="15.75" customHeight="1">
      <c r="A292" s="25"/>
      <c r="B292" s="39"/>
      <c r="C292" s="155"/>
      <c r="D292" s="155"/>
      <c r="E292" s="40"/>
      <c r="F292" s="314"/>
      <c r="H292" s="315"/>
      <c r="I292" s="315"/>
      <c r="BA292" s="30"/>
      <c r="BB292" s="155"/>
      <c r="BC292" s="314"/>
      <c r="BD292" s="314"/>
      <c r="BE292" s="314"/>
      <c r="BF292" s="314"/>
      <c r="BG292" s="314"/>
      <c r="BH292" s="314"/>
      <c r="BI292" s="314"/>
      <c r="BJ292" s="314"/>
      <c r="BK292" s="40"/>
      <c r="BL292" s="40"/>
      <c r="BM292" s="40"/>
      <c r="BN292" s="40"/>
      <c r="BO292" s="40"/>
      <c r="BP292" s="155"/>
      <c r="BQ292" s="314"/>
      <c r="BR292" s="314"/>
      <c r="BS292" s="314"/>
      <c r="BT292" s="314"/>
      <c r="BU292" s="314"/>
      <c r="BV292" s="314"/>
      <c r="BW292" s="314"/>
      <c r="BX292" s="155"/>
    </row>
    <row r="293" spans="1:76" ht="15.75" customHeight="1">
      <c r="A293" s="25"/>
      <c r="B293" s="39"/>
      <c r="C293" s="155"/>
      <c r="D293" s="155"/>
      <c r="E293" s="40"/>
      <c r="F293" s="314"/>
      <c r="H293" s="315"/>
      <c r="I293" s="315"/>
      <c r="BA293" s="30"/>
      <c r="BB293" s="155"/>
      <c r="BC293" s="314"/>
      <c r="BD293" s="314"/>
      <c r="BE293" s="314"/>
      <c r="BF293" s="314"/>
      <c r="BG293" s="314"/>
      <c r="BH293" s="314"/>
      <c r="BI293" s="314"/>
      <c r="BJ293" s="314"/>
      <c r="BK293" s="40"/>
      <c r="BL293" s="40"/>
      <c r="BM293" s="40"/>
      <c r="BN293" s="40"/>
      <c r="BO293" s="40"/>
      <c r="BP293" s="155"/>
      <c r="BQ293" s="314"/>
      <c r="BR293" s="314"/>
      <c r="BS293" s="314"/>
      <c r="BT293" s="314"/>
      <c r="BU293" s="314"/>
      <c r="BV293" s="314"/>
      <c r="BW293" s="314"/>
      <c r="BX293" s="155"/>
    </row>
    <row r="294" spans="1:76" ht="15.75" customHeight="1">
      <c r="A294" s="25"/>
      <c r="B294" s="39"/>
      <c r="C294" s="155"/>
      <c r="D294" s="155"/>
      <c r="E294" s="341"/>
      <c r="F294" s="314"/>
      <c r="H294" s="315"/>
      <c r="I294" s="315"/>
      <c r="BA294" s="30"/>
      <c r="BB294" s="321"/>
      <c r="BC294" s="314"/>
      <c r="BD294" s="314"/>
      <c r="BE294" s="314"/>
      <c r="BF294" s="314"/>
      <c r="BG294" s="314"/>
      <c r="BH294" s="314"/>
      <c r="BI294" s="314"/>
      <c r="BJ294" s="314"/>
      <c r="BK294" s="40"/>
      <c r="BL294" s="40"/>
      <c r="BM294" s="40"/>
      <c r="BN294" s="40"/>
      <c r="BO294" s="40"/>
      <c r="BP294" s="155"/>
      <c r="BQ294" s="314"/>
      <c r="BR294" s="314"/>
      <c r="BS294" s="314"/>
      <c r="BT294" s="314"/>
      <c r="BU294" s="314"/>
      <c r="BV294" s="314"/>
      <c r="BW294" s="314"/>
      <c r="BX294" s="155"/>
    </row>
    <row r="295" spans="1:76" ht="15.75" customHeight="1">
      <c r="A295" s="25"/>
      <c r="B295" s="39"/>
      <c r="C295" s="155"/>
      <c r="D295" s="155"/>
      <c r="E295" s="40"/>
      <c r="F295" s="314"/>
      <c r="H295" s="315"/>
      <c r="I295" s="315"/>
      <c r="BA295" s="30"/>
      <c r="BB295" s="155"/>
      <c r="BC295" s="314"/>
      <c r="BD295" s="314"/>
      <c r="BE295" s="314"/>
      <c r="BF295" s="314"/>
      <c r="BG295" s="314"/>
      <c r="BH295" s="314"/>
      <c r="BI295" s="314"/>
      <c r="BJ295" s="314"/>
      <c r="BK295" s="40"/>
      <c r="BL295" s="40"/>
      <c r="BM295" s="40"/>
      <c r="BN295" s="40"/>
      <c r="BO295" s="40"/>
      <c r="BP295" s="155"/>
      <c r="BQ295" s="314"/>
      <c r="BR295" s="314"/>
      <c r="BS295" s="314"/>
      <c r="BT295" s="314"/>
      <c r="BU295" s="314"/>
      <c r="BV295" s="314"/>
      <c r="BW295" s="314"/>
      <c r="BX295" s="155"/>
    </row>
    <row r="296" spans="1:76" ht="15.75" customHeight="1">
      <c r="A296" s="25"/>
      <c r="B296" s="39"/>
      <c r="C296" s="155"/>
      <c r="D296" s="155"/>
      <c r="E296" s="40"/>
      <c r="F296" s="314"/>
      <c r="H296" s="315"/>
      <c r="I296" s="315"/>
      <c r="BA296" s="30"/>
      <c r="BB296" s="155"/>
      <c r="BC296" s="314"/>
      <c r="BD296" s="314"/>
      <c r="BE296" s="314"/>
      <c r="BF296" s="314"/>
      <c r="BG296" s="314"/>
      <c r="BH296" s="314"/>
      <c r="BI296" s="314"/>
      <c r="BJ296" s="314"/>
      <c r="BK296" s="40"/>
      <c r="BL296" s="40"/>
      <c r="BM296" s="40"/>
      <c r="BN296" s="40"/>
      <c r="BO296" s="40"/>
      <c r="BP296" s="155"/>
      <c r="BQ296" s="314"/>
      <c r="BR296" s="314"/>
      <c r="BS296" s="314"/>
      <c r="BT296" s="314"/>
      <c r="BU296" s="314"/>
      <c r="BV296" s="314"/>
      <c r="BW296" s="314"/>
      <c r="BX296" s="155"/>
    </row>
    <row r="297" spans="1:76" ht="15.75" customHeight="1">
      <c r="A297" s="25"/>
      <c r="B297" s="39"/>
      <c r="C297" s="155"/>
      <c r="D297" s="155"/>
      <c r="E297" s="40"/>
      <c r="F297" s="314"/>
      <c r="H297" s="315"/>
      <c r="I297" s="315"/>
      <c r="BA297" s="30"/>
      <c r="BB297" s="155"/>
      <c r="BC297" s="314"/>
      <c r="BD297" s="314"/>
      <c r="BE297" s="314"/>
      <c r="BF297" s="314"/>
      <c r="BG297" s="314"/>
      <c r="BH297" s="314"/>
      <c r="BI297" s="314"/>
      <c r="BJ297" s="314"/>
      <c r="BK297" s="40"/>
      <c r="BL297" s="40"/>
      <c r="BM297" s="40"/>
      <c r="BN297" s="40"/>
      <c r="BO297" s="40"/>
      <c r="BP297" s="155"/>
      <c r="BQ297" s="314"/>
      <c r="BR297" s="314"/>
      <c r="BS297" s="314"/>
      <c r="BT297" s="314"/>
      <c r="BU297" s="314"/>
      <c r="BV297" s="314"/>
      <c r="BW297" s="314"/>
      <c r="BX297" s="155"/>
    </row>
    <row r="298" spans="1:76" ht="15.75" customHeight="1">
      <c r="A298" s="25"/>
      <c r="B298" s="39"/>
      <c r="C298" s="155"/>
      <c r="D298" s="155"/>
      <c r="E298" s="40"/>
      <c r="F298" s="314"/>
      <c r="H298" s="315"/>
      <c r="I298" s="315"/>
      <c r="BA298" s="30"/>
      <c r="BB298" s="155"/>
      <c r="BC298" s="314"/>
      <c r="BD298" s="314"/>
      <c r="BE298" s="314"/>
      <c r="BF298" s="314"/>
      <c r="BG298" s="314"/>
      <c r="BH298" s="314"/>
      <c r="BI298" s="314"/>
      <c r="BJ298" s="314"/>
      <c r="BK298" s="40"/>
      <c r="BL298" s="40"/>
      <c r="BM298" s="40"/>
      <c r="BN298" s="40"/>
      <c r="BO298" s="40"/>
      <c r="BP298" s="155"/>
      <c r="BQ298" s="314"/>
      <c r="BR298" s="314"/>
      <c r="BS298" s="314"/>
      <c r="BT298" s="314"/>
      <c r="BU298" s="314"/>
      <c r="BV298" s="314"/>
      <c r="BW298" s="314"/>
      <c r="BX298" s="155"/>
    </row>
    <row r="299" spans="1:76" ht="15.75" customHeight="1">
      <c r="A299" s="25"/>
      <c r="B299" s="39"/>
      <c r="C299" s="155"/>
      <c r="D299" s="155"/>
      <c r="E299" s="40"/>
      <c r="F299" s="314"/>
      <c r="H299" s="315"/>
      <c r="I299" s="315"/>
      <c r="BA299" s="30"/>
      <c r="BB299" s="155"/>
      <c r="BC299" s="314"/>
      <c r="BD299" s="314"/>
      <c r="BE299" s="314"/>
      <c r="BF299" s="314"/>
      <c r="BG299" s="314"/>
      <c r="BH299" s="314"/>
      <c r="BI299" s="314"/>
      <c r="BJ299" s="314"/>
      <c r="BK299" s="40"/>
      <c r="BL299" s="40"/>
      <c r="BM299" s="40"/>
      <c r="BN299" s="40"/>
      <c r="BO299" s="40"/>
      <c r="BP299" s="155"/>
      <c r="BQ299" s="314"/>
      <c r="BR299" s="314"/>
      <c r="BS299" s="314"/>
      <c r="BT299" s="314"/>
      <c r="BU299" s="314"/>
      <c r="BV299" s="314"/>
      <c r="BW299" s="314"/>
      <c r="BX299" s="155"/>
    </row>
    <row r="300" spans="1:76" ht="15.75" customHeight="1">
      <c r="A300" s="25"/>
      <c r="B300" s="39"/>
      <c r="C300" s="155"/>
      <c r="D300" s="155"/>
      <c r="E300" s="40"/>
      <c r="F300" s="314"/>
      <c r="H300" s="315"/>
      <c r="I300" s="315"/>
      <c r="BA300" s="30"/>
      <c r="BB300" s="155"/>
      <c r="BC300" s="314"/>
      <c r="BD300" s="314"/>
      <c r="BE300" s="314"/>
      <c r="BF300" s="314"/>
      <c r="BG300" s="314"/>
      <c r="BH300" s="314"/>
      <c r="BI300" s="314"/>
      <c r="BJ300" s="314"/>
      <c r="BK300" s="40"/>
      <c r="BL300" s="40"/>
      <c r="BM300" s="40"/>
      <c r="BN300" s="40"/>
      <c r="BO300" s="40"/>
      <c r="BP300" s="155"/>
      <c r="BQ300" s="314"/>
      <c r="BR300" s="314"/>
      <c r="BS300" s="314"/>
      <c r="BT300" s="314"/>
      <c r="BU300" s="314"/>
      <c r="BV300" s="314"/>
      <c r="BW300" s="314"/>
      <c r="BX300" s="155"/>
    </row>
    <row r="301" spans="1:76" ht="15.75" customHeight="1">
      <c r="A301" s="25"/>
      <c r="B301" s="39"/>
      <c r="C301" s="155"/>
      <c r="D301" s="155"/>
      <c r="E301" s="40"/>
      <c r="F301" s="314"/>
      <c r="H301" s="315"/>
      <c r="I301" s="315"/>
      <c r="BA301" s="30"/>
      <c r="BB301" s="155"/>
      <c r="BC301" s="314"/>
      <c r="BD301" s="314"/>
      <c r="BE301" s="314"/>
      <c r="BF301" s="314"/>
      <c r="BG301" s="314"/>
      <c r="BH301" s="314"/>
      <c r="BI301" s="314"/>
      <c r="BJ301" s="314"/>
      <c r="BK301" s="40"/>
      <c r="BL301" s="40"/>
      <c r="BM301" s="40"/>
      <c r="BN301" s="40"/>
      <c r="BO301" s="40"/>
      <c r="BP301" s="155"/>
      <c r="BQ301" s="314"/>
      <c r="BR301" s="314"/>
      <c r="BS301" s="314"/>
      <c r="BT301" s="314"/>
      <c r="BU301" s="314"/>
      <c r="BV301" s="314"/>
      <c r="BW301" s="314"/>
      <c r="BX301" s="155"/>
    </row>
    <row r="302" spans="1:76" ht="15.75" customHeight="1">
      <c r="A302" s="25"/>
      <c r="B302" s="39"/>
      <c r="C302" s="155"/>
      <c r="D302" s="155"/>
      <c r="E302" s="341"/>
      <c r="F302" s="314"/>
      <c r="H302" s="315"/>
      <c r="I302" s="315"/>
      <c r="BA302" s="30"/>
      <c r="BB302" s="321"/>
      <c r="BC302" s="314"/>
      <c r="BD302" s="314"/>
      <c r="BE302" s="314"/>
      <c r="BF302" s="314"/>
      <c r="BG302" s="314"/>
      <c r="BH302" s="314"/>
      <c r="BI302" s="314"/>
      <c r="BJ302" s="314"/>
      <c r="BK302" s="40"/>
      <c r="BL302" s="40"/>
      <c r="BM302" s="40"/>
      <c r="BN302" s="40"/>
      <c r="BO302" s="40"/>
      <c r="BP302" s="155"/>
      <c r="BQ302" s="314"/>
      <c r="BR302" s="314"/>
      <c r="BS302" s="314"/>
      <c r="BT302" s="314"/>
      <c r="BU302" s="314"/>
      <c r="BV302" s="314"/>
      <c r="BW302" s="314"/>
      <c r="BX302" s="155"/>
    </row>
    <row r="303" spans="1:76" ht="15.75" customHeight="1">
      <c r="A303" s="25"/>
      <c r="B303" s="39"/>
      <c r="C303" s="155"/>
      <c r="D303" s="155"/>
      <c r="E303" s="40"/>
      <c r="F303" s="314"/>
      <c r="H303" s="315"/>
      <c r="I303" s="315"/>
      <c r="BA303" s="30"/>
      <c r="BB303" s="155"/>
      <c r="BC303" s="314"/>
      <c r="BD303" s="314"/>
      <c r="BE303" s="314"/>
      <c r="BF303" s="314"/>
      <c r="BG303" s="314"/>
      <c r="BH303" s="314"/>
      <c r="BI303" s="314"/>
      <c r="BJ303" s="314"/>
      <c r="BK303" s="40"/>
      <c r="BL303" s="40"/>
      <c r="BM303" s="40"/>
      <c r="BN303" s="40"/>
      <c r="BO303" s="40"/>
      <c r="BP303" s="155"/>
      <c r="BQ303" s="314"/>
      <c r="BR303" s="314"/>
      <c r="BS303" s="314"/>
      <c r="BT303" s="314"/>
      <c r="BU303" s="314"/>
      <c r="BV303" s="314"/>
      <c r="BW303" s="314"/>
      <c r="BX303" s="155"/>
    </row>
    <row r="304" spans="1:76" ht="15.75" customHeight="1">
      <c r="A304" s="25"/>
      <c r="B304" s="39"/>
      <c r="C304" s="155"/>
      <c r="D304" s="155"/>
      <c r="E304" s="40"/>
      <c r="F304" s="314"/>
      <c r="H304" s="315"/>
      <c r="I304" s="315"/>
      <c r="BA304" s="30"/>
      <c r="BB304" s="155"/>
      <c r="BC304" s="314"/>
      <c r="BD304" s="314"/>
      <c r="BE304" s="314"/>
      <c r="BF304" s="314"/>
      <c r="BG304" s="314"/>
      <c r="BH304" s="314"/>
      <c r="BI304" s="314"/>
      <c r="BJ304" s="314"/>
      <c r="BK304" s="40"/>
      <c r="BL304" s="40"/>
      <c r="BM304" s="40"/>
      <c r="BN304" s="40"/>
      <c r="BO304" s="40"/>
      <c r="BP304" s="155"/>
      <c r="BQ304" s="314"/>
      <c r="BR304" s="314"/>
      <c r="BS304" s="314"/>
      <c r="BT304" s="314"/>
      <c r="BU304" s="314"/>
      <c r="BV304" s="314"/>
      <c r="BW304" s="314"/>
      <c r="BX304" s="155"/>
    </row>
    <row r="305" spans="1:76" ht="15.75" customHeight="1">
      <c r="A305" s="25"/>
      <c r="B305" s="39"/>
      <c r="C305" s="155"/>
      <c r="D305" s="155"/>
      <c r="E305" s="40"/>
      <c r="F305" s="314"/>
      <c r="H305" s="315"/>
      <c r="I305" s="315"/>
      <c r="BA305" s="30"/>
      <c r="BB305" s="155"/>
      <c r="BC305" s="314"/>
      <c r="BD305" s="314"/>
      <c r="BE305" s="314"/>
      <c r="BF305" s="314"/>
      <c r="BG305" s="314"/>
      <c r="BH305" s="314"/>
      <c r="BI305" s="314"/>
      <c r="BJ305" s="314"/>
      <c r="BK305" s="40"/>
      <c r="BL305" s="40"/>
      <c r="BM305" s="40"/>
      <c r="BN305" s="40"/>
      <c r="BO305" s="40"/>
      <c r="BP305" s="155"/>
      <c r="BQ305" s="314"/>
      <c r="BR305" s="314"/>
      <c r="BS305" s="314"/>
      <c r="BT305" s="314"/>
      <c r="BU305" s="314"/>
      <c r="BV305" s="314"/>
      <c r="BW305" s="314"/>
      <c r="BX305" s="155"/>
    </row>
    <row r="306" spans="1:76" ht="15.75" customHeight="1">
      <c r="A306" s="25"/>
      <c r="B306" s="39"/>
      <c r="C306" s="155"/>
      <c r="D306" s="155"/>
      <c r="E306" s="40"/>
      <c r="F306" s="314"/>
      <c r="H306" s="315"/>
      <c r="I306" s="315"/>
      <c r="BA306" s="30"/>
      <c r="BB306" s="155"/>
      <c r="BC306" s="314"/>
      <c r="BD306" s="314"/>
      <c r="BE306" s="314"/>
      <c r="BF306" s="314"/>
      <c r="BG306" s="314"/>
      <c r="BH306" s="314"/>
      <c r="BI306" s="314"/>
      <c r="BJ306" s="314"/>
      <c r="BK306" s="40"/>
      <c r="BL306" s="40"/>
      <c r="BM306" s="40"/>
      <c r="BN306" s="40"/>
      <c r="BO306" s="40"/>
      <c r="BP306" s="155"/>
      <c r="BQ306" s="314"/>
      <c r="BR306" s="314"/>
      <c r="BS306" s="314"/>
      <c r="BT306" s="314"/>
      <c r="BU306" s="314"/>
      <c r="BV306" s="314"/>
      <c r="BW306" s="314"/>
      <c r="BX306" s="155"/>
    </row>
    <row r="307" spans="1:76" ht="15.75" customHeight="1">
      <c r="A307" s="25"/>
      <c r="B307" s="39"/>
      <c r="C307" s="155"/>
      <c r="D307" s="155"/>
      <c r="E307" s="40"/>
      <c r="F307" s="314"/>
      <c r="H307" s="315"/>
      <c r="I307" s="315"/>
      <c r="BA307" s="30"/>
      <c r="BB307" s="155"/>
      <c r="BC307" s="314"/>
      <c r="BD307" s="314"/>
      <c r="BE307" s="314"/>
      <c r="BF307" s="314"/>
      <c r="BG307" s="314"/>
      <c r="BH307" s="314"/>
      <c r="BI307" s="314"/>
      <c r="BJ307" s="314"/>
      <c r="BK307" s="40"/>
      <c r="BL307" s="40"/>
      <c r="BM307" s="40"/>
      <c r="BN307" s="40"/>
      <c r="BO307" s="40"/>
      <c r="BP307" s="155"/>
      <c r="BQ307" s="314"/>
      <c r="BR307" s="314"/>
      <c r="BS307" s="314"/>
      <c r="BT307" s="314"/>
      <c r="BU307" s="314"/>
      <c r="BV307" s="314"/>
      <c r="BW307" s="314"/>
      <c r="BX307" s="155"/>
    </row>
    <row r="308" spans="1:76" ht="15.75" customHeight="1">
      <c r="A308" s="25"/>
      <c r="B308" s="39"/>
      <c r="C308" s="155"/>
      <c r="D308" s="155"/>
      <c r="E308" s="40"/>
      <c r="F308" s="314"/>
      <c r="H308" s="315"/>
      <c r="I308" s="315"/>
      <c r="BA308" s="30"/>
      <c r="BB308" s="155"/>
      <c r="BC308" s="314"/>
      <c r="BD308" s="314"/>
      <c r="BE308" s="314"/>
      <c r="BF308" s="314"/>
      <c r="BG308" s="314"/>
      <c r="BH308" s="314"/>
      <c r="BI308" s="314"/>
      <c r="BJ308" s="314"/>
      <c r="BK308" s="40"/>
      <c r="BL308" s="40"/>
      <c r="BM308" s="40"/>
      <c r="BN308" s="40"/>
      <c r="BO308" s="40"/>
      <c r="BP308" s="155"/>
      <c r="BQ308" s="314"/>
      <c r="BR308" s="314"/>
      <c r="BS308" s="314"/>
      <c r="BT308" s="314"/>
      <c r="BU308" s="314"/>
      <c r="BV308" s="314"/>
      <c r="BW308" s="314"/>
      <c r="BX308" s="155"/>
    </row>
    <row r="309" spans="1:76" ht="15.75" customHeight="1">
      <c r="A309" s="25"/>
      <c r="B309" s="39"/>
      <c r="C309" s="155"/>
      <c r="D309" s="155"/>
      <c r="E309" s="40"/>
      <c r="F309" s="314"/>
      <c r="H309" s="315"/>
      <c r="I309" s="315"/>
      <c r="BA309" s="30"/>
      <c r="BB309" s="155"/>
      <c r="BC309" s="314"/>
      <c r="BD309" s="314"/>
      <c r="BE309" s="314"/>
      <c r="BF309" s="314"/>
      <c r="BG309" s="314"/>
      <c r="BH309" s="314"/>
      <c r="BI309" s="314"/>
      <c r="BJ309" s="314"/>
      <c r="BK309" s="40"/>
      <c r="BL309" s="40"/>
      <c r="BM309" s="40"/>
      <c r="BN309" s="40"/>
      <c r="BO309" s="40"/>
      <c r="BP309" s="155"/>
      <c r="BQ309" s="314"/>
      <c r="BR309" s="314"/>
      <c r="BS309" s="314"/>
      <c r="BT309" s="314"/>
      <c r="BU309" s="314"/>
      <c r="BV309" s="314"/>
      <c r="BW309" s="314"/>
      <c r="BX309" s="155"/>
    </row>
    <row r="310" spans="1:76" ht="15.75" customHeight="1">
      <c r="A310" s="25"/>
      <c r="B310" s="39"/>
      <c r="C310" s="155"/>
      <c r="D310" s="155"/>
      <c r="E310" s="341"/>
      <c r="F310" s="314"/>
      <c r="H310" s="315"/>
      <c r="I310" s="315"/>
      <c r="BA310" s="30"/>
      <c r="BB310" s="321"/>
      <c r="BC310" s="314"/>
      <c r="BD310" s="314"/>
      <c r="BE310" s="314"/>
      <c r="BF310" s="314"/>
      <c r="BG310" s="314"/>
      <c r="BH310" s="314"/>
      <c r="BI310" s="314"/>
      <c r="BJ310" s="314"/>
      <c r="BK310" s="40"/>
      <c r="BL310" s="40"/>
      <c r="BM310" s="40"/>
      <c r="BN310" s="40"/>
      <c r="BO310" s="40"/>
      <c r="BP310" s="155"/>
      <c r="BQ310" s="314"/>
      <c r="BR310" s="314"/>
      <c r="BS310" s="314"/>
      <c r="BT310" s="314"/>
      <c r="BU310" s="314"/>
      <c r="BV310" s="314"/>
      <c r="BW310" s="314"/>
      <c r="BX310" s="155"/>
    </row>
    <row r="311" spans="1:76" ht="15.75" customHeight="1">
      <c r="A311" s="25"/>
      <c r="B311" s="39"/>
      <c r="C311" s="155"/>
      <c r="D311" s="155"/>
      <c r="E311" s="40"/>
      <c r="F311" s="314"/>
      <c r="H311" s="315"/>
      <c r="I311" s="315"/>
      <c r="BA311" s="30"/>
      <c r="BB311" s="155"/>
      <c r="BC311" s="314"/>
      <c r="BD311" s="314"/>
      <c r="BE311" s="314"/>
      <c r="BF311" s="314"/>
      <c r="BG311" s="314"/>
      <c r="BH311" s="314"/>
      <c r="BI311" s="314"/>
      <c r="BJ311" s="314"/>
      <c r="BK311" s="40"/>
      <c r="BL311" s="40"/>
      <c r="BM311" s="40"/>
      <c r="BN311" s="40"/>
      <c r="BO311" s="40"/>
      <c r="BP311" s="155"/>
      <c r="BQ311" s="314"/>
      <c r="BR311" s="314"/>
      <c r="BS311" s="314"/>
      <c r="BT311" s="314"/>
      <c r="BU311" s="314"/>
      <c r="BV311" s="314"/>
      <c r="BW311" s="314"/>
      <c r="BX311" s="155"/>
    </row>
    <row r="312" spans="1:76" ht="15.75" customHeight="1">
      <c r="A312" s="25"/>
      <c r="B312" s="39"/>
      <c r="C312" s="155"/>
      <c r="D312" s="155"/>
      <c r="E312" s="40"/>
      <c r="F312" s="314"/>
      <c r="H312" s="315"/>
      <c r="I312" s="315"/>
      <c r="BA312" s="30"/>
      <c r="BB312" s="155"/>
      <c r="BC312" s="314"/>
      <c r="BD312" s="314"/>
      <c r="BE312" s="314"/>
      <c r="BF312" s="314"/>
      <c r="BG312" s="314"/>
      <c r="BH312" s="314"/>
      <c r="BI312" s="314"/>
      <c r="BJ312" s="314"/>
      <c r="BK312" s="40"/>
      <c r="BL312" s="40"/>
      <c r="BM312" s="40"/>
      <c r="BN312" s="40"/>
      <c r="BO312" s="40"/>
      <c r="BP312" s="155"/>
      <c r="BQ312" s="314"/>
      <c r="BR312" s="314"/>
      <c r="BS312" s="314"/>
      <c r="BT312" s="314"/>
      <c r="BU312" s="314"/>
      <c r="BV312" s="314"/>
      <c r="BW312" s="314"/>
      <c r="BX312" s="155"/>
    </row>
    <row r="313" spans="1:76" ht="15.75" customHeight="1">
      <c r="A313" s="25"/>
      <c r="B313" s="39"/>
      <c r="C313" s="155"/>
      <c r="D313" s="155"/>
      <c r="E313" s="40"/>
      <c r="F313" s="314"/>
      <c r="H313" s="315"/>
      <c r="I313" s="315"/>
      <c r="BA313" s="30"/>
      <c r="BB313" s="155"/>
      <c r="BC313" s="314"/>
      <c r="BD313" s="314"/>
      <c r="BE313" s="314"/>
      <c r="BF313" s="314"/>
      <c r="BG313" s="314"/>
      <c r="BH313" s="314"/>
      <c r="BI313" s="314"/>
      <c r="BJ313" s="314"/>
      <c r="BK313" s="40"/>
      <c r="BL313" s="40"/>
      <c r="BM313" s="40"/>
      <c r="BN313" s="40"/>
      <c r="BO313" s="40"/>
      <c r="BP313" s="155"/>
      <c r="BQ313" s="314"/>
      <c r="BR313" s="314"/>
      <c r="BS313" s="314"/>
      <c r="BT313" s="314"/>
      <c r="BU313" s="314"/>
      <c r="BV313" s="314"/>
      <c r="BW313" s="314"/>
      <c r="BX313" s="155"/>
    </row>
    <row r="314" spans="1:76" ht="15.75" customHeight="1">
      <c r="A314" s="25"/>
      <c r="B314" s="39"/>
      <c r="C314" s="155"/>
      <c r="D314" s="155"/>
      <c r="E314" s="40"/>
      <c r="F314" s="314"/>
      <c r="H314" s="315"/>
      <c r="I314" s="315"/>
      <c r="BA314" s="30"/>
      <c r="BB314" s="155"/>
      <c r="BC314" s="314"/>
      <c r="BD314" s="314"/>
      <c r="BE314" s="314"/>
      <c r="BF314" s="314"/>
      <c r="BG314" s="314"/>
      <c r="BH314" s="314"/>
      <c r="BI314" s="314"/>
      <c r="BJ314" s="314"/>
      <c r="BK314" s="40"/>
      <c r="BL314" s="40"/>
      <c r="BM314" s="40"/>
      <c r="BN314" s="40"/>
      <c r="BO314" s="40"/>
      <c r="BP314" s="155"/>
      <c r="BQ314" s="314"/>
      <c r="BR314" s="314"/>
      <c r="BS314" s="314"/>
      <c r="BT314" s="314"/>
      <c r="BU314" s="314"/>
      <c r="BV314" s="314"/>
      <c r="BW314" s="314"/>
      <c r="BX314" s="155"/>
    </row>
    <row r="315" spans="1:76" ht="15.75" customHeight="1">
      <c r="A315" s="25"/>
      <c r="B315" s="39"/>
      <c r="C315" s="155"/>
      <c r="D315" s="155"/>
      <c r="E315" s="40"/>
      <c r="F315" s="314"/>
      <c r="H315" s="315"/>
      <c r="I315" s="315"/>
      <c r="BA315" s="30"/>
      <c r="BB315" s="155"/>
      <c r="BC315" s="314"/>
      <c r="BD315" s="314"/>
      <c r="BE315" s="314"/>
      <c r="BF315" s="314"/>
      <c r="BG315" s="314"/>
      <c r="BH315" s="314"/>
      <c r="BI315" s="314"/>
      <c r="BJ315" s="314"/>
      <c r="BK315" s="40"/>
      <c r="BL315" s="40"/>
      <c r="BM315" s="40"/>
      <c r="BN315" s="40"/>
      <c r="BO315" s="40"/>
      <c r="BP315" s="155"/>
      <c r="BQ315" s="314"/>
      <c r="BR315" s="314"/>
      <c r="BS315" s="314"/>
      <c r="BT315" s="314"/>
      <c r="BU315" s="314"/>
      <c r="BV315" s="314"/>
      <c r="BW315" s="314"/>
      <c r="BX315" s="155"/>
    </row>
    <row r="316" spans="1:76" ht="15.75" customHeight="1">
      <c r="A316" s="25"/>
      <c r="B316" s="39"/>
      <c r="C316" s="155"/>
      <c r="D316" s="155"/>
      <c r="E316" s="40"/>
      <c r="F316" s="314"/>
      <c r="H316" s="315"/>
      <c r="I316" s="315"/>
      <c r="BA316" s="30"/>
      <c r="BB316" s="155"/>
      <c r="BC316" s="314"/>
      <c r="BD316" s="314"/>
      <c r="BE316" s="314"/>
      <c r="BF316" s="314"/>
      <c r="BG316" s="314"/>
      <c r="BH316" s="314"/>
      <c r="BI316" s="314"/>
      <c r="BJ316" s="314"/>
      <c r="BK316" s="40"/>
      <c r="BL316" s="40"/>
      <c r="BM316" s="40"/>
      <c r="BN316" s="40"/>
      <c r="BO316" s="40"/>
      <c r="BP316" s="155"/>
      <c r="BQ316" s="314"/>
      <c r="BR316" s="314"/>
      <c r="BS316" s="314"/>
      <c r="BT316" s="314"/>
      <c r="BU316" s="314"/>
      <c r="BV316" s="314"/>
      <c r="BW316" s="314"/>
      <c r="BX316" s="155"/>
    </row>
    <row r="317" spans="1:76" ht="15.75" customHeight="1">
      <c r="A317" s="25"/>
      <c r="B317" s="39"/>
      <c r="C317" s="155"/>
      <c r="D317" s="155"/>
      <c r="E317" s="40"/>
      <c r="F317" s="314"/>
      <c r="H317" s="315"/>
      <c r="I317" s="315"/>
      <c r="BA317" s="30"/>
      <c r="BB317" s="155"/>
      <c r="BC317" s="314"/>
      <c r="BD317" s="314"/>
      <c r="BE317" s="314"/>
      <c r="BF317" s="314"/>
      <c r="BG317" s="314"/>
      <c r="BH317" s="314"/>
      <c r="BI317" s="314"/>
      <c r="BJ317" s="314"/>
      <c r="BK317" s="40"/>
      <c r="BL317" s="40"/>
      <c r="BM317" s="40"/>
      <c r="BN317" s="40"/>
      <c r="BO317" s="40"/>
      <c r="BP317" s="155"/>
      <c r="BQ317" s="314"/>
      <c r="BR317" s="314"/>
      <c r="BS317" s="314"/>
      <c r="BT317" s="314"/>
      <c r="BU317" s="314"/>
      <c r="BV317" s="314"/>
      <c r="BW317" s="314"/>
      <c r="BX317" s="155"/>
    </row>
    <row r="318" spans="1:76" ht="15.75" customHeight="1">
      <c r="A318" s="25"/>
      <c r="B318" s="39"/>
      <c r="C318" s="155"/>
      <c r="D318" s="155"/>
      <c r="E318" s="341"/>
      <c r="F318" s="314"/>
      <c r="H318" s="315"/>
      <c r="I318" s="315"/>
      <c r="BA318" s="30"/>
      <c r="BB318" s="321"/>
      <c r="BC318" s="314"/>
      <c r="BD318" s="314"/>
      <c r="BE318" s="314"/>
      <c r="BF318" s="314"/>
      <c r="BG318" s="314"/>
      <c r="BH318" s="314"/>
      <c r="BI318" s="314"/>
      <c r="BJ318" s="314"/>
      <c r="BK318" s="40"/>
      <c r="BL318" s="40"/>
      <c r="BM318" s="40"/>
      <c r="BN318" s="40"/>
      <c r="BO318" s="40"/>
      <c r="BP318" s="155"/>
      <c r="BQ318" s="314"/>
      <c r="BR318" s="314"/>
      <c r="BS318" s="314"/>
      <c r="BT318" s="314"/>
      <c r="BU318" s="314"/>
      <c r="BV318" s="314"/>
      <c r="BW318" s="314"/>
      <c r="BX318" s="155"/>
    </row>
    <row r="319" spans="1:76" ht="15.75" customHeight="1">
      <c r="A319" s="25"/>
      <c r="B319" s="39"/>
      <c r="C319" s="155"/>
      <c r="D319" s="155"/>
      <c r="E319" s="40"/>
      <c r="F319" s="314"/>
      <c r="H319" s="315"/>
      <c r="I319" s="315"/>
      <c r="BA319" s="30"/>
      <c r="BB319" s="155"/>
      <c r="BC319" s="314"/>
      <c r="BD319" s="314"/>
      <c r="BE319" s="314"/>
      <c r="BF319" s="314"/>
      <c r="BG319" s="314"/>
      <c r="BH319" s="314"/>
      <c r="BI319" s="314"/>
      <c r="BJ319" s="314"/>
      <c r="BK319" s="40"/>
      <c r="BL319" s="40"/>
      <c r="BM319" s="40"/>
      <c r="BN319" s="40"/>
      <c r="BO319" s="40"/>
      <c r="BP319" s="155"/>
      <c r="BQ319" s="314"/>
      <c r="BR319" s="314"/>
      <c r="BS319" s="314"/>
      <c r="BT319" s="314"/>
      <c r="BU319" s="314"/>
      <c r="BV319" s="314"/>
      <c r="BW319" s="314"/>
      <c r="BX319" s="155"/>
    </row>
    <row r="320" spans="1:76" ht="15.75" customHeight="1">
      <c r="A320" s="25"/>
      <c r="B320" s="39"/>
      <c r="C320" s="155"/>
      <c r="D320" s="155"/>
      <c r="E320" s="40"/>
      <c r="F320" s="314"/>
      <c r="H320" s="315"/>
      <c r="I320" s="315"/>
      <c r="BA320" s="30"/>
      <c r="BB320" s="155"/>
      <c r="BC320" s="314"/>
      <c r="BD320" s="314"/>
      <c r="BE320" s="314"/>
      <c r="BF320" s="314"/>
      <c r="BG320" s="314"/>
      <c r="BH320" s="314"/>
      <c r="BI320" s="314"/>
      <c r="BJ320" s="314"/>
      <c r="BK320" s="40"/>
      <c r="BL320" s="40"/>
      <c r="BM320" s="40"/>
      <c r="BN320" s="40"/>
      <c r="BO320" s="40"/>
      <c r="BP320" s="155"/>
      <c r="BQ320" s="314"/>
      <c r="BR320" s="314"/>
      <c r="BS320" s="314"/>
      <c r="BT320" s="314"/>
      <c r="BU320" s="314"/>
      <c r="BV320" s="314"/>
      <c r="BW320" s="314"/>
      <c r="BX320" s="155"/>
    </row>
    <row r="321" spans="1:76" ht="15.75" customHeight="1">
      <c r="A321" s="25"/>
      <c r="B321" s="39"/>
      <c r="C321" s="155"/>
      <c r="D321" s="155"/>
      <c r="E321" s="40"/>
      <c r="F321" s="314"/>
      <c r="H321" s="315"/>
      <c r="I321" s="315"/>
      <c r="BA321" s="30"/>
      <c r="BB321" s="155"/>
      <c r="BC321" s="314"/>
      <c r="BD321" s="314"/>
      <c r="BE321" s="314"/>
      <c r="BF321" s="314"/>
      <c r="BG321" s="314"/>
      <c r="BH321" s="314"/>
      <c r="BI321" s="314"/>
      <c r="BJ321" s="314"/>
      <c r="BK321" s="40"/>
      <c r="BL321" s="40"/>
      <c r="BM321" s="40"/>
      <c r="BN321" s="40"/>
      <c r="BO321" s="40"/>
      <c r="BP321" s="155"/>
      <c r="BQ321" s="314"/>
      <c r="BR321" s="314"/>
      <c r="BS321" s="314"/>
      <c r="BT321" s="314"/>
      <c r="BU321" s="314"/>
      <c r="BV321" s="314"/>
      <c r="BW321" s="314"/>
      <c r="BX321" s="155"/>
    </row>
    <row r="322" spans="1:76" ht="15.75" customHeight="1">
      <c r="A322" s="25"/>
      <c r="B322" s="39"/>
      <c r="C322" s="155"/>
      <c r="D322" s="155"/>
      <c r="E322" s="40"/>
      <c r="F322" s="314"/>
      <c r="H322" s="315"/>
      <c r="I322" s="315"/>
      <c r="BA322" s="30"/>
      <c r="BB322" s="155"/>
      <c r="BC322" s="314"/>
      <c r="BD322" s="314"/>
      <c r="BE322" s="314"/>
      <c r="BF322" s="314"/>
      <c r="BG322" s="314"/>
      <c r="BH322" s="314"/>
      <c r="BI322" s="314"/>
      <c r="BJ322" s="314"/>
      <c r="BK322" s="40"/>
      <c r="BL322" s="40"/>
      <c r="BM322" s="40"/>
      <c r="BN322" s="40"/>
      <c r="BO322" s="40"/>
      <c r="BP322" s="155"/>
      <c r="BQ322" s="314"/>
      <c r="BR322" s="314"/>
      <c r="BS322" s="314"/>
      <c r="BT322" s="314"/>
      <c r="BU322" s="314"/>
      <c r="BV322" s="314"/>
      <c r="BW322" s="314"/>
      <c r="BX322" s="155"/>
    </row>
    <row r="323" spans="1:76" ht="15.75" customHeight="1">
      <c r="A323" s="25"/>
      <c r="B323" s="39"/>
      <c r="C323" s="155"/>
      <c r="D323" s="155"/>
      <c r="E323" s="40"/>
      <c r="F323" s="314"/>
      <c r="H323" s="315"/>
      <c r="I323" s="315"/>
      <c r="BA323" s="30"/>
      <c r="BB323" s="155"/>
      <c r="BC323" s="314"/>
      <c r="BD323" s="314"/>
      <c r="BE323" s="314"/>
      <c r="BF323" s="314"/>
      <c r="BG323" s="314"/>
      <c r="BH323" s="314"/>
      <c r="BI323" s="314"/>
      <c r="BJ323" s="314"/>
      <c r="BK323" s="40"/>
      <c r="BL323" s="40"/>
      <c r="BM323" s="40"/>
      <c r="BN323" s="40"/>
      <c r="BO323" s="40"/>
      <c r="BP323" s="155"/>
      <c r="BQ323" s="314"/>
      <c r="BR323" s="314"/>
      <c r="BS323" s="314"/>
      <c r="BT323" s="314"/>
      <c r="BU323" s="314"/>
      <c r="BV323" s="314"/>
      <c r="BW323" s="314"/>
      <c r="BX323" s="155"/>
    </row>
    <row r="324" spans="1:76" ht="15.75" customHeight="1">
      <c r="A324" s="25"/>
      <c r="B324" s="39"/>
      <c r="C324" s="155"/>
      <c r="D324" s="155"/>
      <c r="E324" s="40"/>
      <c r="F324" s="314"/>
      <c r="H324" s="315"/>
      <c r="I324" s="315"/>
      <c r="BA324" s="30"/>
      <c r="BB324" s="155"/>
      <c r="BC324" s="314"/>
      <c r="BD324" s="314"/>
      <c r="BE324" s="314"/>
      <c r="BF324" s="314"/>
      <c r="BG324" s="314"/>
      <c r="BH324" s="314"/>
      <c r="BI324" s="314"/>
      <c r="BJ324" s="314"/>
      <c r="BK324" s="40"/>
      <c r="BL324" s="40"/>
      <c r="BM324" s="40"/>
      <c r="BN324" s="40"/>
      <c r="BO324" s="40"/>
      <c r="BP324" s="155"/>
      <c r="BQ324" s="314"/>
      <c r="BR324" s="314"/>
      <c r="BS324" s="314"/>
      <c r="BT324" s="314"/>
      <c r="BU324" s="314"/>
      <c r="BV324" s="314"/>
      <c r="BW324" s="314"/>
      <c r="BX324" s="155"/>
    </row>
    <row r="325" spans="1:76" ht="15.75" customHeight="1">
      <c r="A325" s="25"/>
      <c r="B325" s="39"/>
      <c r="C325" s="155"/>
      <c r="D325" s="155"/>
      <c r="E325" s="40"/>
      <c r="F325" s="314"/>
      <c r="H325" s="315"/>
      <c r="I325" s="315"/>
      <c r="BA325" s="30"/>
      <c r="BB325" s="155"/>
      <c r="BC325" s="314"/>
      <c r="BD325" s="314"/>
      <c r="BE325" s="314"/>
      <c r="BF325" s="314"/>
      <c r="BG325" s="314"/>
      <c r="BH325" s="314"/>
      <c r="BI325" s="314"/>
      <c r="BJ325" s="314"/>
      <c r="BK325" s="40"/>
      <c r="BL325" s="40"/>
      <c r="BM325" s="40"/>
      <c r="BN325" s="40"/>
      <c r="BO325" s="40"/>
      <c r="BP325" s="155"/>
      <c r="BQ325" s="314"/>
      <c r="BR325" s="314"/>
      <c r="BS325" s="314"/>
      <c r="BT325" s="314"/>
      <c r="BU325" s="314"/>
      <c r="BV325" s="314"/>
      <c r="BW325" s="314"/>
      <c r="BX325" s="155"/>
    </row>
    <row r="326" spans="1:76" ht="15.75" customHeight="1">
      <c r="A326" s="25"/>
      <c r="B326" s="39"/>
      <c r="C326" s="155"/>
      <c r="D326" s="155"/>
      <c r="E326" s="341"/>
      <c r="F326" s="314"/>
      <c r="H326" s="315"/>
      <c r="I326" s="315"/>
      <c r="BA326" s="30"/>
      <c r="BB326" s="321"/>
      <c r="BC326" s="314"/>
      <c r="BD326" s="314"/>
      <c r="BE326" s="314"/>
      <c r="BF326" s="314"/>
      <c r="BG326" s="314"/>
      <c r="BH326" s="314"/>
      <c r="BI326" s="314"/>
      <c r="BJ326" s="314"/>
      <c r="BK326" s="40"/>
      <c r="BL326" s="40"/>
      <c r="BM326" s="40"/>
      <c r="BN326" s="40"/>
      <c r="BO326" s="40"/>
      <c r="BP326" s="155"/>
      <c r="BQ326" s="314"/>
      <c r="BR326" s="314"/>
      <c r="BS326" s="314"/>
      <c r="BT326" s="314"/>
      <c r="BU326" s="314"/>
      <c r="BV326" s="314"/>
      <c r="BW326" s="314"/>
      <c r="BX326" s="155"/>
    </row>
    <row r="327" spans="1:76" ht="15.75" customHeight="1">
      <c r="A327" s="25"/>
      <c r="B327" s="39"/>
      <c r="C327" s="155"/>
      <c r="D327" s="155"/>
      <c r="E327" s="40"/>
      <c r="F327" s="314"/>
      <c r="H327" s="315"/>
      <c r="I327" s="315"/>
      <c r="BA327" s="30"/>
      <c r="BB327" s="155"/>
      <c r="BC327" s="314"/>
      <c r="BD327" s="314"/>
      <c r="BE327" s="314"/>
      <c r="BF327" s="314"/>
      <c r="BG327" s="314"/>
      <c r="BH327" s="314"/>
      <c r="BI327" s="314"/>
      <c r="BJ327" s="314"/>
      <c r="BK327" s="40"/>
      <c r="BL327" s="40"/>
      <c r="BM327" s="40"/>
      <c r="BN327" s="40"/>
      <c r="BO327" s="40"/>
      <c r="BP327" s="155"/>
      <c r="BQ327" s="314"/>
      <c r="BR327" s="314"/>
      <c r="BS327" s="314"/>
      <c r="BT327" s="314"/>
      <c r="BU327" s="314"/>
      <c r="BV327" s="314"/>
      <c r="BW327" s="314"/>
      <c r="BX327" s="155"/>
    </row>
    <row r="328" spans="1:76" ht="15.75" customHeight="1">
      <c r="A328" s="25"/>
      <c r="B328" s="39"/>
      <c r="C328" s="155"/>
      <c r="D328" s="155"/>
      <c r="E328" s="40"/>
      <c r="F328" s="314"/>
      <c r="H328" s="315"/>
      <c r="I328" s="315"/>
      <c r="BA328" s="30"/>
      <c r="BB328" s="155"/>
      <c r="BC328" s="314"/>
      <c r="BD328" s="314"/>
      <c r="BE328" s="314"/>
      <c r="BF328" s="314"/>
      <c r="BG328" s="314"/>
      <c r="BH328" s="314"/>
      <c r="BI328" s="314"/>
      <c r="BJ328" s="314"/>
      <c r="BK328" s="40"/>
      <c r="BL328" s="40"/>
      <c r="BM328" s="40"/>
      <c r="BN328" s="40"/>
      <c r="BO328" s="40"/>
      <c r="BP328" s="155"/>
      <c r="BQ328" s="314"/>
      <c r="BR328" s="314"/>
      <c r="BS328" s="314"/>
      <c r="BT328" s="314"/>
      <c r="BU328" s="314"/>
      <c r="BV328" s="314"/>
      <c r="BW328" s="314"/>
      <c r="BX328" s="155"/>
    </row>
    <row r="329" spans="1:76" ht="15.75" customHeight="1">
      <c r="A329" s="25"/>
      <c r="B329" s="39"/>
      <c r="C329" s="155"/>
      <c r="D329" s="155"/>
      <c r="E329" s="40"/>
      <c r="F329" s="314"/>
      <c r="H329" s="315"/>
      <c r="I329" s="315"/>
      <c r="BA329" s="30"/>
      <c r="BB329" s="155"/>
      <c r="BC329" s="314"/>
      <c r="BD329" s="314"/>
      <c r="BE329" s="314"/>
      <c r="BF329" s="314"/>
      <c r="BG329" s="314"/>
      <c r="BH329" s="314"/>
      <c r="BI329" s="314"/>
      <c r="BJ329" s="314"/>
      <c r="BK329" s="40"/>
      <c r="BL329" s="40"/>
      <c r="BM329" s="40"/>
      <c r="BN329" s="40"/>
      <c r="BO329" s="40"/>
      <c r="BP329" s="155"/>
      <c r="BQ329" s="314"/>
      <c r="BR329" s="314"/>
      <c r="BS329" s="314"/>
      <c r="BT329" s="314"/>
      <c r="BU329" s="314"/>
      <c r="BV329" s="314"/>
      <c r="BW329" s="314"/>
      <c r="BX329" s="155"/>
    </row>
    <row r="330" spans="1:76" ht="15.75" customHeight="1">
      <c r="A330" s="25"/>
      <c r="B330" s="39"/>
      <c r="C330" s="155"/>
      <c r="D330" s="155"/>
      <c r="E330" s="40"/>
      <c r="F330" s="314"/>
      <c r="H330" s="315"/>
      <c r="I330" s="315"/>
      <c r="BA330" s="30"/>
      <c r="BB330" s="155"/>
      <c r="BC330" s="314"/>
      <c r="BD330" s="314"/>
      <c r="BE330" s="314"/>
      <c r="BF330" s="314"/>
      <c r="BG330" s="314"/>
      <c r="BH330" s="314"/>
      <c r="BI330" s="314"/>
      <c r="BJ330" s="314"/>
      <c r="BK330" s="40"/>
      <c r="BL330" s="40"/>
      <c r="BM330" s="40"/>
      <c r="BN330" s="40"/>
      <c r="BO330" s="40"/>
      <c r="BP330" s="155"/>
      <c r="BQ330" s="314"/>
      <c r="BR330" s="314"/>
      <c r="BS330" s="314"/>
      <c r="BT330" s="314"/>
      <c r="BU330" s="314"/>
      <c r="BV330" s="314"/>
      <c r="BW330" s="314"/>
      <c r="BX330" s="155"/>
    </row>
    <row r="331" spans="1:76" ht="15.75" customHeight="1">
      <c r="A331" s="25"/>
      <c r="B331" s="39"/>
      <c r="C331" s="155"/>
      <c r="D331" s="155"/>
      <c r="E331" s="40"/>
      <c r="F331" s="314"/>
      <c r="H331" s="315"/>
      <c r="I331" s="315"/>
      <c r="BA331" s="30"/>
      <c r="BB331" s="155"/>
      <c r="BC331" s="314"/>
      <c r="BD331" s="314"/>
      <c r="BE331" s="314"/>
      <c r="BF331" s="314"/>
      <c r="BG331" s="314"/>
      <c r="BH331" s="314"/>
      <c r="BI331" s="314"/>
      <c r="BJ331" s="314"/>
      <c r="BK331" s="40"/>
      <c r="BL331" s="40"/>
      <c r="BM331" s="40"/>
      <c r="BN331" s="40"/>
      <c r="BO331" s="40"/>
      <c r="BP331" s="155"/>
      <c r="BQ331" s="314"/>
      <c r="BR331" s="314"/>
      <c r="BS331" s="314"/>
      <c r="BT331" s="314"/>
      <c r="BU331" s="314"/>
      <c r="BV331" s="314"/>
      <c r="BW331" s="314"/>
      <c r="BX331" s="155"/>
    </row>
    <row r="332" spans="1:76" ht="15.75" customHeight="1">
      <c r="A332" s="25"/>
      <c r="B332" s="39"/>
      <c r="C332" s="155"/>
      <c r="D332" s="155"/>
      <c r="E332" s="40"/>
      <c r="F332" s="314"/>
      <c r="H332" s="315"/>
      <c r="I332" s="315"/>
      <c r="BA332" s="30"/>
      <c r="BB332" s="155"/>
      <c r="BC332" s="314"/>
      <c r="BD332" s="314"/>
      <c r="BE332" s="314"/>
      <c r="BF332" s="314"/>
      <c r="BG332" s="314"/>
      <c r="BH332" s="314"/>
      <c r="BI332" s="314"/>
      <c r="BJ332" s="314"/>
      <c r="BK332" s="40"/>
      <c r="BL332" s="40"/>
      <c r="BM332" s="40"/>
      <c r="BN332" s="40"/>
      <c r="BO332" s="40"/>
      <c r="BP332" s="155"/>
      <c r="BQ332" s="314"/>
      <c r="BR332" s="314"/>
      <c r="BS332" s="314"/>
      <c r="BT332" s="314"/>
      <c r="BU332" s="314"/>
      <c r="BV332" s="314"/>
      <c r="BW332" s="314"/>
      <c r="BX332" s="155"/>
    </row>
    <row r="333" spans="1:76" ht="15.75" customHeight="1">
      <c r="A333" s="25"/>
      <c r="B333" s="39"/>
      <c r="C333" s="155"/>
      <c r="D333" s="155"/>
      <c r="E333" s="40"/>
      <c r="F333" s="314"/>
      <c r="H333" s="315"/>
      <c r="I333" s="315"/>
      <c r="BA333" s="30"/>
      <c r="BB333" s="155"/>
      <c r="BC333" s="314"/>
      <c r="BD333" s="314"/>
      <c r="BE333" s="314"/>
      <c r="BF333" s="314"/>
      <c r="BG333" s="314"/>
      <c r="BH333" s="314"/>
      <c r="BI333" s="314"/>
      <c r="BJ333" s="314"/>
      <c r="BK333" s="40"/>
      <c r="BL333" s="40"/>
      <c r="BM333" s="40"/>
      <c r="BN333" s="40"/>
      <c r="BO333" s="40"/>
      <c r="BP333" s="155"/>
      <c r="BQ333" s="314"/>
      <c r="BR333" s="314"/>
      <c r="BS333" s="314"/>
      <c r="BT333" s="314"/>
      <c r="BU333" s="314"/>
      <c r="BV333" s="314"/>
      <c r="BW333" s="314"/>
      <c r="BX333" s="155"/>
    </row>
    <row r="334" spans="1:76" ht="15.75" customHeight="1">
      <c r="A334" s="25"/>
      <c r="B334" s="39"/>
      <c r="C334" s="155"/>
      <c r="D334" s="155"/>
      <c r="E334" s="341"/>
      <c r="F334" s="314"/>
      <c r="H334" s="315"/>
      <c r="I334" s="315"/>
      <c r="BA334" s="30"/>
      <c r="BB334" s="321"/>
      <c r="BC334" s="314"/>
      <c r="BD334" s="314"/>
      <c r="BE334" s="314"/>
      <c r="BF334" s="314"/>
      <c r="BG334" s="314"/>
      <c r="BH334" s="314"/>
      <c r="BI334" s="314"/>
      <c r="BJ334" s="314"/>
      <c r="BK334" s="40"/>
      <c r="BL334" s="40"/>
      <c r="BM334" s="40"/>
      <c r="BN334" s="40"/>
      <c r="BO334" s="40"/>
      <c r="BP334" s="155"/>
      <c r="BQ334" s="314"/>
      <c r="BR334" s="314"/>
      <c r="BS334" s="314"/>
      <c r="BT334" s="314"/>
      <c r="BU334" s="314"/>
      <c r="BV334" s="314"/>
      <c r="BW334" s="314"/>
      <c r="BX334" s="155"/>
    </row>
    <row r="335" spans="1:76" ht="15.75" customHeight="1">
      <c r="A335" s="25"/>
      <c r="B335" s="39"/>
      <c r="C335" s="155"/>
      <c r="D335" s="155"/>
      <c r="E335" s="40"/>
      <c r="F335" s="314"/>
      <c r="H335" s="315"/>
      <c r="I335" s="315"/>
      <c r="BA335" s="30"/>
      <c r="BB335" s="155"/>
      <c r="BC335" s="314"/>
      <c r="BD335" s="314"/>
      <c r="BE335" s="314"/>
      <c r="BF335" s="314"/>
      <c r="BG335" s="314"/>
      <c r="BH335" s="314"/>
      <c r="BI335" s="314"/>
      <c r="BJ335" s="314"/>
      <c r="BK335" s="40"/>
      <c r="BL335" s="40"/>
      <c r="BM335" s="40"/>
      <c r="BN335" s="40"/>
      <c r="BO335" s="40"/>
      <c r="BP335" s="155"/>
      <c r="BQ335" s="314"/>
      <c r="BR335" s="314"/>
      <c r="BS335" s="314"/>
      <c r="BT335" s="314"/>
      <c r="BU335" s="314"/>
      <c r="BV335" s="314"/>
      <c r="BW335" s="314"/>
      <c r="BX335" s="155"/>
    </row>
    <row r="336" spans="1:76" ht="15.75" customHeight="1">
      <c r="A336" s="25"/>
      <c r="B336" s="39"/>
      <c r="C336" s="155"/>
      <c r="D336" s="155"/>
      <c r="E336" s="40"/>
      <c r="F336" s="314"/>
      <c r="H336" s="315"/>
      <c r="I336" s="315"/>
      <c r="BA336" s="30"/>
      <c r="BB336" s="155"/>
      <c r="BC336" s="314"/>
      <c r="BD336" s="314"/>
      <c r="BE336" s="314"/>
      <c r="BF336" s="314"/>
      <c r="BG336" s="314"/>
      <c r="BH336" s="314"/>
      <c r="BI336" s="314"/>
      <c r="BJ336" s="314"/>
      <c r="BK336" s="40"/>
      <c r="BL336" s="40"/>
      <c r="BM336" s="40"/>
      <c r="BN336" s="40"/>
      <c r="BO336" s="40"/>
      <c r="BP336" s="155"/>
      <c r="BQ336" s="314"/>
      <c r="BR336" s="314"/>
      <c r="BS336" s="314"/>
      <c r="BT336" s="314"/>
      <c r="BU336" s="314"/>
      <c r="BV336" s="314"/>
      <c r="BW336" s="314"/>
      <c r="BX336" s="155"/>
    </row>
    <row r="337" spans="1:76" ht="15.75" customHeight="1">
      <c r="A337" s="25"/>
      <c r="B337" s="39"/>
      <c r="C337" s="155"/>
      <c r="D337" s="155"/>
      <c r="E337" s="40"/>
      <c r="F337" s="314"/>
      <c r="H337" s="315"/>
      <c r="I337" s="315"/>
      <c r="BA337" s="30"/>
      <c r="BB337" s="155"/>
      <c r="BC337" s="314"/>
      <c r="BD337" s="314"/>
      <c r="BE337" s="314"/>
      <c r="BF337" s="314"/>
      <c r="BG337" s="314"/>
      <c r="BH337" s="314"/>
      <c r="BI337" s="314"/>
      <c r="BJ337" s="314"/>
      <c r="BK337" s="40"/>
      <c r="BL337" s="40"/>
      <c r="BM337" s="40"/>
      <c r="BN337" s="40"/>
      <c r="BO337" s="40"/>
      <c r="BP337" s="155"/>
      <c r="BQ337" s="314"/>
      <c r="BR337" s="314"/>
      <c r="BS337" s="314"/>
      <c r="BT337" s="314"/>
      <c r="BU337" s="314"/>
      <c r="BV337" s="314"/>
      <c r="BW337" s="314"/>
      <c r="BX337" s="155"/>
    </row>
    <row r="338" spans="1:76" ht="15.75" customHeight="1">
      <c r="A338" s="25"/>
      <c r="B338" s="39"/>
      <c r="C338" s="155"/>
      <c r="D338" s="155"/>
      <c r="E338" s="40"/>
      <c r="F338" s="314"/>
      <c r="H338" s="315"/>
      <c r="I338" s="315"/>
      <c r="BA338" s="30"/>
      <c r="BB338" s="155"/>
      <c r="BC338" s="314"/>
      <c r="BD338" s="314"/>
      <c r="BE338" s="314"/>
      <c r="BF338" s="314"/>
      <c r="BG338" s="314"/>
      <c r="BH338" s="314"/>
      <c r="BI338" s="314"/>
      <c r="BJ338" s="314"/>
      <c r="BK338" s="40"/>
      <c r="BL338" s="40"/>
      <c r="BM338" s="40"/>
      <c r="BN338" s="40"/>
      <c r="BO338" s="40"/>
      <c r="BP338" s="155"/>
      <c r="BQ338" s="314"/>
      <c r="BR338" s="314"/>
      <c r="BS338" s="314"/>
      <c r="BT338" s="314"/>
      <c r="BU338" s="314"/>
      <c r="BV338" s="314"/>
      <c r="BW338" s="314"/>
      <c r="BX338" s="155"/>
    </row>
    <row r="339" spans="1:76" ht="15.75" customHeight="1">
      <c r="A339" s="25"/>
      <c r="B339" s="39"/>
      <c r="C339" s="155"/>
      <c r="D339" s="155"/>
      <c r="E339" s="40"/>
      <c r="F339" s="314"/>
      <c r="H339" s="315"/>
      <c r="I339" s="315"/>
      <c r="BA339" s="30"/>
      <c r="BB339" s="155"/>
      <c r="BC339" s="314"/>
      <c r="BD339" s="314"/>
      <c r="BE339" s="314"/>
      <c r="BF339" s="314"/>
      <c r="BG339" s="314"/>
      <c r="BH339" s="314"/>
      <c r="BI339" s="314"/>
      <c r="BJ339" s="314"/>
      <c r="BK339" s="40"/>
      <c r="BL339" s="40"/>
      <c r="BM339" s="40"/>
      <c r="BN339" s="40"/>
      <c r="BO339" s="40"/>
      <c r="BP339" s="155"/>
      <c r="BQ339" s="314"/>
      <c r="BR339" s="314"/>
      <c r="BS339" s="314"/>
      <c r="BT339" s="314"/>
      <c r="BU339" s="314"/>
      <c r="BV339" s="314"/>
      <c r="BW339" s="314"/>
      <c r="BX339" s="155"/>
    </row>
    <row r="340" spans="1:76" ht="15.75" customHeight="1">
      <c r="A340" s="25"/>
      <c r="B340" s="39"/>
      <c r="C340" s="155"/>
      <c r="D340" s="155"/>
      <c r="E340" s="40"/>
      <c r="F340" s="314"/>
      <c r="H340" s="315"/>
      <c r="I340" s="315"/>
      <c r="BA340" s="30"/>
      <c r="BB340" s="155"/>
      <c r="BC340" s="314"/>
      <c r="BD340" s="314"/>
      <c r="BE340" s="314"/>
      <c r="BF340" s="314"/>
      <c r="BG340" s="314"/>
      <c r="BH340" s="314"/>
      <c r="BI340" s="314"/>
      <c r="BJ340" s="314"/>
      <c r="BK340" s="40"/>
      <c r="BL340" s="40"/>
      <c r="BM340" s="40"/>
      <c r="BN340" s="40"/>
      <c r="BO340" s="40"/>
      <c r="BP340" s="155"/>
      <c r="BQ340" s="314"/>
      <c r="BR340" s="314"/>
      <c r="BS340" s="314"/>
      <c r="BT340" s="314"/>
      <c r="BU340" s="314"/>
      <c r="BV340" s="314"/>
      <c r="BW340" s="314"/>
      <c r="BX340" s="155"/>
    </row>
    <row r="341" spans="1:76" ht="15.75" customHeight="1">
      <c r="A341" s="25"/>
      <c r="B341" s="39"/>
      <c r="C341" s="155"/>
      <c r="D341" s="155"/>
      <c r="E341" s="40"/>
      <c r="F341" s="314"/>
      <c r="H341" s="315"/>
      <c r="I341" s="315"/>
      <c r="BA341" s="30"/>
      <c r="BB341" s="155"/>
      <c r="BC341" s="314"/>
      <c r="BD341" s="314"/>
      <c r="BE341" s="314"/>
      <c r="BF341" s="314"/>
      <c r="BG341" s="314"/>
      <c r="BH341" s="314"/>
      <c r="BI341" s="314"/>
      <c r="BJ341" s="314"/>
      <c r="BK341" s="40"/>
      <c r="BL341" s="40"/>
      <c r="BM341" s="40"/>
      <c r="BN341" s="40"/>
      <c r="BO341" s="40"/>
      <c r="BP341" s="155"/>
      <c r="BQ341" s="314"/>
      <c r="BR341" s="314"/>
      <c r="BS341" s="314"/>
      <c r="BT341" s="314"/>
      <c r="BU341" s="314"/>
      <c r="BV341" s="314"/>
      <c r="BW341" s="314"/>
      <c r="BX341" s="155"/>
    </row>
    <row r="342" spans="1:76" ht="15.75" customHeight="1">
      <c r="A342" s="25"/>
      <c r="B342" s="39"/>
      <c r="C342" s="155"/>
      <c r="D342" s="155"/>
      <c r="E342" s="341"/>
      <c r="F342" s="314"/>
      <c r="H342" s="315"/>
      <c r="I342" s="315"/>
      <c r="BA342" s="30"/>
      <c r="BB342" s="321"/>
      <c r="BC342" s="314"/>
      <c r="BD342" s="314"/>
      <c r="BE342" s="314"/>
      <c r="BF342" s="314"/>
      <c r="BG342" s="314"/>
      <c r="BH342" s="314"/>
      <c r="BI342" s="314"/>
      <c r="BJ342" s="314"/>
      <c r="BK342" s="40"/>
      <c r="BL342" s="40"/>
      <c r="BM342" s="40"/>
      <c r="BN342" s="40"/>
      <c r="BO342" s="40"/>
      <c r="BP342" s="155"/>
      <c r="BQ342" s="314"/>
      <c r="BR342" s="314"/>
      <c r="BS342" s="314"/>
      <c r="BT342" s="314"/>
      <c r="BU342" s="314"/>
      <c r="BV342" s="314"/>
      <c r="BW342" s="314"/>
      <c r="BX342" s="155"/>
    </row>
    <row r="343" spans="1:76" ht="15.75" customHeight="1">
      <c r="A343" s="25"/>
      <c r="B343" s="39"/>
      <c r="C343" s="155"/>
      <c r="D343" s="155"/>
      <c r="E343" s="40"/>
      <c r="F343" s="314"/>
      <c r="H343" s="315"/>
      <c r="I343" s="315"/>
      <c r="BA343" s="30"/>
      <c r="BB343" s="155"/>
      <c r="BC343" s="314"/>
      <c r="BD343" s="314"/>
      <c r="BE343" s="314"/>
      <c r="BF343" s="314"/>
      <c r="BG343" s="314"/>
      <c r="BH343" s="314"/>
      <c r="BI343" s="314"/>
      <c r="BJ343" s="314"/>
      <c r="BK343" s="40"/>
      <c r="BL343" s="40"/>
      <c r="BM343" s="40"/>
      <c r="BN343" s="40"/>
      <c r="BO343" s="40"/>
      <c r="BP343" s="155"/>
      <c r="BQ343" s="314"/>
      <c r="BR343" s="314"/>
      <c r="BS343" s="314"/>
      <c r="BT343" s="314"/>
      <c r="BU343" s="314"/>
      <c r="BV343" s="314"/>
      <c r="BW343" s="314"/>
      <c r="BX343" s="155"/>
    </row>
    <row r="344" spans="1:76" ht="15.75" customHeight="1">
      <c r="A344" s="25"/>
      <c r="B344" s="39"/>
      <c r="C344" s="155"/>
      <c r="D344" s="155"/>
      <c r="E344" s="40"/>
      <c r="F344" s="314"/>
      <c r="H344" s="315"/>
      <c r="I344" s="315"/>
      <c r="BA344" s="30"/>
      <c r="BB344" s="155"/>
      <c r="BC344" s="314"/>
      <c r="BD344" s="314"/>
      <c r="BE344" s="314"/>
      <c r="BF344" s="314"/>
      <c r="BG344" s="314"/>
      <c r="BH344" s="314"/>
      <c r="BI344" s="314"/>
      <c r="BJ344" s="314"/>
      <c r="BK344" s="40"/>
      <c r="BL344" s="40"/>
      <c r="BM344" s="40"/>
      <c r="BN344" s="40"/>
      <c r="BO344" s="40"/>
      <c r="BP344" s="155"/>
      <c r="BQ344" s="314"/>
      <c r="BR344" s="314"/>
      <c r="BS344" s="314"/>
      <c r="BT344" s="314"/>
      <c r="BU344" s="314"/>
      <c r="BV344" s="314"/>
      <c r="BW344" s="314"/>
      <c r="BX344" s="155"/>
    </row>
    <row r="345" spans="1:76" ht="15.75" customHeight="1">
      <c r="A345" s="25"/>
      <c r="B345" s="39"/>
      <c r="C345" s="155"/>
      <c r="D345" s="155"/>
      <c r="E345" s="40"/>
      <c r="F345" s="314"/>
      <c r="H345" s="315"/>
      <c r="I345" s="315"/>
      <c r="BA345" s="30"/>
      <c r="BB345" s="155"/>
      <c r="BC345" s="314"/>
      <c r="BD345" s="314"/>
      <c r="BE345" s="314"/>
      <c r="BF345" s="314"/>
      <c r="BG345" s="314"/>
      <c r="BH345" s="314"/>
      <c r="BI345" s="314"/>
      <c r="BJ345" s="314"/>
      <c r="BK345" s="40"/>
      <c r="BL345" s="40"/>
      <c r="BM345" s="40"/>
      <c r="BN345" s="40"/>
      <c r="BO345" s="40"/>
      <c r="BP345" s="155"/>
      <c r="BQ345" s="314"/>
      <c r="BR345" s="314"/>
      <c r="BS345" s="314"/>
      <c r="BT345" s="314"/>
      <c r="BU345" s="314"/>
      <c r="BV345" s="314"/>
      <c r="BW345" s="314"/>
      <c r="BX345" s="155"/>
    </row>
    <row r="346" spans="1:76" ht="15.75" customHeight="1">
      <c r="A346" s="25"/>
      <c r="B346" s="39"/>
      <c r="C346" s="155"/>
      <c r="D346" s="155"/>
      <c r="E346" s="40"/>
      <c r="F346" s="314"/>
      <c r="H346" s="315"/>
      <c r="I346" s="315"/>
      <c r="BA346" s="30"/>
      <c r="BB346" s="155"/>
      <c r="BC346" s="314"/>
      <c r="BD346" s="314"/>
      <c r="BE346" s="314"/>
      <c r="BF346" s="314"/>
      <c r="BG346" s="314"/>
      <c r="BH346" s="314"/>
      <c r="BI346" s="314"/>
      <c r="BJ346" s="314"/>
      <c r="BK346" s="40"/>
      <c r="BL346" s="40"/>
      <c r="BM346" s="40"/>
      <c r="BN346" s="40"/>
      <c r="BO346" s="40"/>
      <c r="BP346" s="155"/>
      <c r="BQ346" s="314"/>
      <c r="BR346" s="314"/>
      <c r="BS346" s="314"/>
      <c r="BT346" s="314"/>
      <c r="BU346" s="314"/>
      <c r="BV346" s="314"/>
      <c r="BW346" s="314"/>
      <c r="BX346" s="155"/>
    </row>
    <row r="347" spans="1:76" ht="15.75" customHeight="1">
      <c r="A347" s="25"/>
      <c r="B347" s="39"/>
      <c r="C347" s="155"/>
      <c r="D347" s="155"/>
      <c r="E347" s="40"/>
      <c r="F347" s="314"/>
      <c r="H347" s="315"/>
      <c r="I347" s="315"/>
      <c r="BA347" s="30"/>
      <c r="BB347" s="155"/>
      <c r="BC347" s="314"/>
      <c r="BD347" s="314"/>
      <c r="BE347" s="314"/>
      <c r="BF347" s="314"/>
      <c r="BG347" s="314"/>
      <c r="BH347" s="314"/>
      <c r="BI347" s="314"/>
      <c r="BJ347" s="314"/>
      <c r="BK347" s="40"/>
      <c r="BL347" s="40"/>
      <c r="BM347" s="40"/>
      <c r="BN347" s="40"/>
      <c r="BO347" s="40"/>
      <c r="BP347" s="155"/>
      <c r="BQ347" s="314"/>
      <c r="BR347" s="314"/>
      <c r="BS347" s="314"/>
      <c r="BT347" s="314"/>
      <c r="BU347" s="314"/>
      <c r="BV347" s="314"/>
      <c r="BW347" s="314"/>
      <c r="BX347" s="155"/>
    </row>
    <row r="348" spans="1:76" ht="15.75" customHeight="1">
      <c r="A348" s="25"/>
      <c r="B348" s="39"/>
      <c r="C348" s="155"/>
      <c r="D348" s="155"/>
      <c r="E348" s="40"/>
      <c r="F348" s="314"/>
      <c r="H348" s="315"/>
      <c r="I348" s="315"/>
      <c r="BA348" s="30"/>
      <c r="BB348" s="155"/>
      <c r="BC348" s="314"/>
      <c r="BD348" s="314"/>
      <c r="BE348" s="314"/>
      <c r="BF348" s="314"/>
      <c r="BG348" s="314"/>
      <c r="BH348" s="314"/>
      <c r="BI348" s="314"/>
      <c r="BJ348" s="314"/>
      <c r="BK348" s="40"/>
      <c r="BL348" s="40"/>
      <c r="BM348" s="40"/>
      <c r="BN348" s="40"/>
      <c r="BO348" s="40"/>
      <c r="BP348" s="155"/>
      <c r="BQ348" s="314"/>
      <c r="BR348" s="314"/>
      <c r="BS348" s="314"/>
      <c r="BT348" s="314"/>
      <c r="BU348" s="314"/>
      <c r="BV348" s="314"/>
      <c r="BW348" s="314"/>
      <c r="BX348" s="155"/>
    </row>
    <row r="349" spans="1:76" ht="15.75" customHeight="1">
      <c r="A349" s="25"/>
      <c r="B349" s="39"/>
      <c r="C349" s="155"/>
      <c r="D349" s="155"/>
      <c r="E349" s="40"/>
      <c r="F349" s="314"/>
      <c r="H349" s="315"/>
      <c r="I349" s="315"/>
      <c r="BA349" s="30"/>
      <c r="BB349" s="155"/>
      <c r="BC349" s="314"/>
      <c r="BD349" s="314"/>
      <c r="BE349" s="314"/>
      <c r="BF349" s="314"/>
      <c r="BG349" s="314"/>
      <c r="BH349" s="314"/>
      <c r="BI349" s="314"/>
      <c r="BJ349" s="314"/>
      <c r="BK349" s="40"/>
      <c r="BL349" s="40"/>
      <c r="BM349" s="40"/>
      <c r="BN349" s="40"/>
      <c r="BO349" s="40"/>
      <c r="BP349" s="155"/>
      <c r="BQ349" s="314"/>
      <c r="BR349" s="314"/>
      <c r="BS349" s="314"/>
      <c r="BT349" s="314"/>
      <c r="BU349" s="314"/>
      <c r="BV349" s="314"/>
      <c r="BW349" s="314"/>
      <c r="BX349" s="155"/>
    </row>
    <row r="350" spans="1:76" ht="15.75" customHeight="1">
      <c r="A350" s="25"/>
      <c r="B350" s="39"/>
      <c r="C350" s="155"/>
      <c r="D350" s="155"/>
      <c r="E350" s="341"/>
      <c r="F350" s="314"/>
      <c r="H350" s="315"/>
      <c r="I350" s="315"/>
      <c r="BA350" s="30"/>
      <c r="BB350" s="321"/>
      <c r="BC350" s="314"/>
      <c r="BD350" s="314"/>
      <c r="BE350" s="314"/>
      <c r="BF350" s="314"/>
      <c r="BG350" s="314"/>
      <c r="BH350" s="314"/>
      <c r="BI350" s="314"/>
      <c r="BJ350" s="314"/>
      <c r="BK350" s="40"/>
      <c r="BL350" s="40"/>
      <c r="BM350" s="40"/>
      <c r="BN350" s="40"/>
      <c r="BO350" s="40"/>
      <c r="BP350" s="155"/>
      <c r="BQ350" s="314"/>
      <c r="BR350" s="314"/>
      <c r="BS350" s="314"/>
      <c r="BT350" s="314"/>
      <c r="BU350" s="314"/>
      <c r="BV350" s="314"/>
      <c r="BW350" s="314"/>
      <c r="BX350" s="155"/>
    </row>
    <row r="351" spans="1:76" ht="15.75" customHeight="1">
      <c r="A351" s="25"/>
      <c r="B351" s="39"/>
      <c r="C351" s="155"/>
      <c r="D351" s="155"/>
      <c r="E351" s="40"/>
      <c r="F351" s="314"/>
      <c r="H351" s="315"/>
      <c r="I351" s="315"/>
      <c r="BA351" s="30"/>
      <c r="BB351" s="155"/>
      <c r="BC351" s="314"/>
      <c r="BD351" s="314"/>
      <c r="BE351" s="314"/>
      <c r="BF351" s="314"/>
      <c r="BG351" s="314"/>
      <c r="BH351" s="314"/>
      <c r="BI351" s="314"/>
      <c r="BJ351" s="314"/>
      <c r="BK351" s="40"/>
      <c r="BL351" s="40"/>
      <c r="BM351" s="40"/>
      <c r="BN351" s="40"/>
      <c r="BO351" s="40"/>
      <c r="BP351" s="155"/>
      <c r="BQ351" s="314"/>
      <c r="BR351" s="314"/>
      <c r="BS351" s="314"/>
      <c r="BT351" s="314"/>
      <c r="BU351" s="314"/>
      <c r="BV351" s="314"/>
      <c r="BW351" s="314"/>
      <c r="BX351" s="155"/>
    </row>
    <row r="352" spans="1:76" ht="15.75" customHeight="1">
      <c r="A352" s="25"/>
      <c r="B352" s="39"/>
      <c r="C352" s="155"/>
      <c r="D352" s="155"/>
      <c r="E352" s="40"/>
      <c r="F352" s="314"/>
      <c r="H352" s="315"/>
      <c r="I352" s="315"/>
      <c r="BA352" s="30"/>
      <c r="BB352" s="155"/>
      <c r="BC352" s="314"/>
      <c r="BD352" s="314"/>
      <c r="BE352" s="314"/>
      <c r="BF352" s="314"/>
      <c r="BG352" s="314"/>
      <c r="BH352" s="314"/>
      <c r="BI352" s="314"/>
      <c r="BJ352" s="314"/>
      <c r="BK352" s="40"/>
      <c r="BL352" s="40"/>
      <c r="BM352" s="40"/>
      <c r="BN352" s="40"/>
      <c r="BO352" s="40"/>
      <c r="BP352" s="155"/>
      <c r="BQ352" s="314"/>
      <c r="BR352" s="314"/>
      <c r="BS352" s="314"/>
      <c r="BT352" s="314"/>
      <c r="BU352" s="314"/>
      <c r="BV352" s="314"/>
      <c r="BW352" s="314"/>
      <c r="BX352" s="155"/>
    </row>
    <row r="353" spans="1:76" ht="15.75" customHeight="1">
      <c r="A353" s="25"/>
      <c r="B353" s="39"/>
      <c r="C353" s="155"/>
      <c r="D353" s="155"/>
      <c r="E353" s="40"/>
      <c r="F353" s="314"/>
      <c r="H353" s="315"/>
      <c r="I353" s="315"/>
      <c r="BA353" s="30"/>
      <c r="BB353" s="155"/>
      <c r="BC353" s="322"/>
      <c r="BD353" s="322"/>
      <c r="BE353" s="322"/>
      <c r="BF353" s="322"/>
      <c r="BG353" s="322"/>
      <c r="BH353" s="322"/>
      <c r="BI353" s="322"/>
      <c r="BJ353" s="322"/>
      <c r="BK353" s="341"/>
      <c r="BL353" s="40"/>
      <c r="BM353" s="40"/>
      <c r="BN353" s="40"/>
      <c r="BO353" s="40"/>
      <c r="BP353" s="155"/>
      <c r="BQ353" s="314"/>
      <c r="BR353" s="314"/>
      <c r="BS353" s="314"/>
      <c r="BT353" s="314"/>
      <c r="BU353" s="314"/>
      <c r="BV353" s="314"/>
      <c r="BW353" s="314"/>
      <c r="BX353" s="155"/>
    </row>
    <row r="354" spans="1:76" ht="15.75" customHeight="1">
      <c r="A354" s="25"/>
      <c r="B354" s="39"/>
      <c r="C354" s="155"/>
      <c r="D354" s="155"/>
      <c r="E354" s="40"/>
      <c r="F354" s="314"/>
      <c r="H354" s="315"/>
      <c r="I354" s="315"/>
      <c r="BA354" s="30"/>
      <c r="BB354" s="155"/>
      <c r="BC354" s="314"/>
      <c r="BD354" s="314"/>
      <c r="BE354" s="314"/>
      <c r="BF354" s="314"/>
      <c r="BG354" s="314"/>
      <c r="BH354" s="314"/>
      <c r="BI354" s="314"/>
      <c r="BJ354" s="314"/>
      <c r="BK354" s="40"/>
      <c r="BL354" s="40"/>
      <c r="BM354" s="40"/>
      <c r="BN354" s="40"/>
      <c r="BO354" s="40"/>
      <c r="BP354" s="155"/>
      <c r="BQ354" s="314"/>
      <c r="BR354" s="314"/>
      <c r="BS354" s="314"/>
      <c r="BT354" s="314"/>
      <c r="BU354" s="314"/>
      <c r="BV354" s="314"/>
      <c r="BW354" s="314"/>
      <c r="BX354" s="155"/>
    </row>
    <row r="355" spans="1:76" ht="15.75" customHeight="1">
      <c r="A355" s="25"/>
      <c r="B355" s="39"/>
      <c r="C355" s="155"/>
      <c r="D355" s="155"/>
      <c r="E355" s="40"/>
      <c r="F355" s="314"/>
      <c r="H355" s="315"/>
      <c r="I355" s="315"/>
      <c r="BA355" s="30"/>
      <c r="BB355" s="155"/>
      <c r="BC355" s="314"/>
      <c r="BD355" s="314"/>
      <c r="BE355" s="314"/>
      <c r="BF355" s="314"/>
      <c r="BG355" s="314"/>
      <c r="BH355" s="314"/>
      <c r="BI355" s="314"/>
      <c r="BJ355" s="314"/>
      <c r="BK355" s="40"/>
      <c r="BL355" s="40"/>
      <c r="BM355" s="40"/>
      <c r="BN355" s="40"/>
      <c r="BO355" s="40"/>
      <c r="BP355" s="155"/>
      <c r="BQ355" s="314"/>
      <c r="BR355" s="314"/>
      <c r="BS355" s="314"/>
      <c r="BT355" s="314"/>
      <c r="BU355" s="314"/>
      <c r="BV355" s="314"/>
      <c r="BW355" s="314"/>
      <c r="BX355" s="155"/>
    </row>
    <row r="356" spans="1:76" ht="15.75" customHeight="1">
      <c r="A356" s="25"/>
      <c r="B356" s="39"/>
      <c r="C356" s="155"/>
      <c r="D356" s="155"/>
      <c r="E356" s="40"/>
      <c r="F356" s="314"/>
      <c r="H356" s="315"/>
      <c r="I356" s="315"/>
      <c r="BA356" s="30"/>
      <c r="BB356" s="155"/>
      <c r="BC356" s="314"/>
      <c r="BD356" s="314"/>
      <c r="BE356" s="314"/>
      <c r="BF356" s="314"/>
      <c r="BG356" s="314"/>
      <c r="BH356" s="314"/>
      <c r="BI356" s="314"/>
      <c r="BJ356" s="314"/>
      <c r="BK356" s="40"/>
      <c r="BL356" s="40"/>
      <c r="BM356" s="40"/>
      <c r="BN356" s="40"/>
      <c r="BO356" s="40"/>
      <c r="BP356" s="155"/>
      <c r="BQ356" s="314"/>
      <c r="BR356" s="314"/>
      <c r="BS356" s="314"/>
      <c r="BT356" s="314"/>
      <c r="BU356" s="314"/>
      <c r="BV356" s="314"/>
      <c r="BW356" s="314"/>
      <c r="BX356" s="155"/>
    </row>
    <row r="357" spans="1:76" ht="15.75" customHeight="1">
      <c r="A357" s="25"/>
      <c r="B357" s="39"/>
      <c r="C357" s="155"/>
      <c r="D357" s="155"/>
      <c r="E357" s="40"/>
      <c r="F357" s="314"/>
      <c r="H357" s="315"/>
      <c r="I357" s="315"/>
      <c r="BA357" s="30"/>
      <c r="BB357" s="155"/>
      <c r="BC357" s="314"/>
      <c r="BD357" s="314"/>
      <c r="BE357" s="314"/>
      <c r="BF357" s="314"/>
      <c r="BG357" s="314"/>
      <c r="BH357" s="314"/>
      <c r="BI357" s="314"/>
      <c r="BJ357" s="314"/>
      <c r="BK357" s="40"/>
      <c r="BL357" s="40"/>
      <c r="BM357" s="40"/>
      <c r="BN357" s="40"/>
      <c r="BO357" s="40"/>
      <c r="BP357" s="155"/>
      <c r="BQ357" s="314"/>
      <c r="BR357" s="314"/>
      <c r="BS357" s="314"/>
      <c r="BT357" s="314"/>
      <c r="BU357" s="314"/>
      <c r="BV357" s="314"/>
      <c r="BW357" s="314"/>
      <c r="BX357" s="155"/>
    </row>
    <row r="358" spans="1:76" ht="15.75" customHeight="1">
      <c r="A358" s="25"/>
      <c r="B358" s="39"/>
      <c r="C358" s="155"/>
      <c r="D358" s="155"/>
      <c r="E358" s="341"/>
      <c r="F358" s="314"/>
      <c r="H358" s="315"/>
      <c r="I358" s="315"/>
      <c r="BA358" s="30"/>
      <c r="BB358" s="321"/>
      <c r="BC358" s="314"/>
      <c r="BD358" s="314"/>
      <c r="BE358" s="314"/>
      <c r="BF358" s="314"/>
      <c r="BG358" s="314"/>
      <c r="BH358" s="314"/>
      <c r="BI358" s="314"/>
      <c r="BJ358" s="314"/>
      <c r="BK358" s="40"/>
      <c r="BL358" s="40"/>
      <c r="BM358" s="40"/>
      <c r="BN358" s="40"/>
      <c r="BO358" s="40"/>
      <c r="BP358" s="155"/>
      <c r="BQ358" s="314"/>
      <c r="BR358" s="314"/>
      <c r="BS358" s="314"/>
      <c r="BT358" s="314"/>
      <c r="BU358" s="314"/>
      <c r="BV358" s="314"/>
      <c r="BW358" s="314"/>
      <c r="BX358" s="155"/>
    </row>
    <row r="359" spans="1:76" ht="15.75" customHeight="1">
      <c r="A359" s="25"/>
      <c r="B359" s="39"/>
      <c r="C359" s="155"/>
      <c r="D359" s="155"/>
      <c r="E359" s="40"/>
      <c r="F359" s="314"/>
      <c r="H359" s="315"/>
      <c r="I359" s="315"/>
      <c r="BA359" s="30"/>
      <c r="BB359" s="155"/>
      <c r="BC359" s="314"/>
      <c r="BD359" s="314"/>
      <c r="BE359" s="314"/>
      <c r="BF359" s="314"/>
      <c r="BG359" s="314"/>
      <c r="BH359" s="314"/>
      <c r="BI359" s="314"/>
      <c r="BJ359" s="314"/>
      <c r="BK359" s="40"/>
      <c r="BL359" s="40"/>
      <c r="BM359" s="40"/>
      <c r="BN359" s="40"/>
      <c r="BO359" s="40"/>
      <c r="BP359" s="155"/>
      <c r="BQ359" s="314"/>
      <c r="BR359" s="314"/>
      <c r="BS359" s="314"/>
      <c r="BT359" s="314"/>
      <c r="BU359" s="314"/>
      <c r="BV359" s="314"/>
      <c r="BW359" s="314"/>
      <c r="BX359" s="155"/>
    </row>
    <row r="360" spans="1:76" ht="15.75" customHeight="1">
      <c r="A360" s="25"/>
      <c r="B360" s="39"/>
      <c r="C360" s="155"/>
      <c r="D360" s="155"/>
      <c r="E360" s="40"/>
      <c r="F360" s="314"/>
      <c r="H360" s="315"/>
      <c r="I360" s="315"/>
      <c r="BA360" s="30"/>
      <c r="BB360" s="155"/>
      <c r="BC360" s="314"/>
      <c r="BD360" s="314"/>
      <c r="BE360" s="314"/>
      <c r="BF360" s="314"/>
      <c r="BG360" s="314"/>
      <c r="BH360" s="314"/>
      <c r="BI360" s="314"/>
      <c r="BJ360" s="314"/>
      <c r="BK360" s="40"/>
      <c r="BL360" s="40"/>
      <c r="BM360" s="40"/>
      <c r="BN360" s="40"/>
      <c r="BO360" s="40"/>
      <c r="BP360" s="155"/>
      <c r="BQ360" s="314"/>
      <c r="BR360" s="314"/>
      <c r="BS360" s="314"/>
      <c r="BT360" s="314"/>
      <c r="BU360" s="314"/>
      <c r="BV360" s="314"/>
      <c r="BW360" s="314"/>
      <c r="BX360" s="155"/>
    </row>
    <row r="361" spans="1:76" ht="15.75" customHeight="1">
      <c r="A361" s="25"/>
      <c r="B361" s="39"/>
      <c r="C361" s="155"/>
      <c r="D361" s="155"/>
      <c r="E361" s="40"/>
      <c r="F361" s="314"/>
      <c r="H361" s="315"/>
      <c r="I361" s="315"/>
      <c r="BA361" s="30"/>
      <c r="BB361" s="155"/>
      <c r="BC361" s="314"/>
      <c r="BD361" s="314"/>
      <c r="BE361" s="314"/>
      <c r="BF361" s="314"/>
      <c r="BG361" s="314"/>
      <c r="BH361" s="314"/>
      <c r="BI361" s="314"/>
      <c r="BJ361" s="314"/>
      <c r="BK361" s="40"/>
      <c r="BL361" s="40"/>
      <c r="BM361" s="40"/>
      <c r="BN361" s="40"/>
      <c r="BO361" s="40"/>
      <c r="BP361" s="155"/>
      <c r="BQ361" s="314"/>
      <c r="BR361" s="314"/>
      <c r="BS361" s="314"/>
      <c r="BT361" s="314"/>
      <c r="BU361" s="314"/>
      <c r="BV361" s="314"/>
      <c r="BW361" s="314"/>
      <c r="BX361" s="155"/>
    </row>
    <row r="362" spans="1:76" ht="15.75" customHeight="1">
      <c r="A362" s="25"/>
      <c r="B362" s="39"/>
      <c r="C362" s="155"/>
      <c r="D362" s="155"/>
      <c r="E362" s="40"/>
      <c r="F362" s="314"/>
      <c r="H362" s="315"/>
      <c r="I362" s="315"/>
      <c r="BA362" s="30"/>
      <c r="BB362" s="155"/>
      <c r="BC362" s="314"/>
      <c r="BD362" s="314"/>
      <c r="BE362" s="314"/>
      <c r="BF362" s="314"/>
      <c r="BG362" s="314"/>
      <c r="BH362" s="314"/>
      <c r="BI362" s="314"/>
      <c r="BJ362" s="314"/>
      <c r="BK362" s="40"/>
      <c r="BL362" s="40"/>
      <c r="BM362" s="40"/>
      <c r="BN362" s="40"/>
      <c r="BO362" s="40"/>
      <c r="BP362" s="155"/>
      <c r="BQ362" s="314"/>
      <c r="BR362" s="314"/>
      <c r="BS362" s="314"/>
      <c r="BT362" s="314"/>
      <c r="BU362" s="314"/>
      <c r="BV362" s="314"/>
      <c r="BW362" s="314"/>
      <c r="BX362" s="155"/>
    </row>
    <row r="363" spans="1:76" ht="15.75" customHeight="1">
      <c r="A363" s="25"/>
      <c r="B363" s="39"/>
      <c r="C363" s="155"/>
      <c r="D363" s="155"/>
      <c r="E363" s="40"/>
      <c r="F363" s="314"/>
      <c r="H363" s="315"/>
      <c r="I363" s="315"/>
      <c r="BA363" s="30"/>
      <c r="BB363" s="155"/>
      <c r="BC363" s="314"/>
      <c r="BD363" s="314"/>
      <c r="BE363" s="314"/>
      <c r="BF363" s="314"/>
      <c r="BG363" s="314"/>
      <c r="BH363" s="314"/>
      <c r="BI363" s="314"/>
      <c r="BJ363" s="314"/>
      <c r="BK363" s="40"/>
      <c r="BL363" s="40"/>
      <c r="BM363" s="40"/>
      <c r="BN363" s="40"/>
      <c r="BO363" s="40"/>
      <c r="BP363" s="155"/>
      <c r="BQ363" s="314"/>
      <c r="BR363" s="314"/>
      <c r="BS363" s="314"/>
      <c r="BT363" s="314"/>
      <c r="BU363" s="314"/>
      <c r="BV363" s="314"/>
      <c r="BW363" s="314"/>
      <c r="BX363" s="155"/>
    </row>
    <row r="364" spans="1:76" ht="15.75" customHeight="1">
      <c r="A364" s="25"/>
      <c r="B364" s="39"/>
      <c r="C364" s="155"/>
      <c r="D364" s="155"/>
      <c r="E364" s="40"/>
      <c r="F364" s="314"/>
      <c r="H364" s="315"/>
      <c r="I364" s="315"/>
      <c r="BA364" s="30"/>
      <c r="BB364" s="155"/>
      <c r="BC364" s="314"/>
      <c r="BD364" s="314"/>
      <c r="BE364" s="314"/>
      <c r="BF364" s="314"/>
      <c r="BG364" s="314"/>
      <c r="BH364" s="314"/>
      <c r="BI364" s="314"/>
      <c r="BJ364" s="314"/>
      <c r="BK364" s="40"/>
      <c r="BL364" s="40"/>
      <c r="BM364" s="40"/>
      <c r="BN364" s="40"/>
      <c r="BO364" s="40"/>
      <c r="BP364" s="155"/>
      <c r="BQ364" s="314"/>
      <c r="BR364" s="314"/>
      <c r="BS364" s="314"/>
      <c r="BT364" s="314"/>
      <c r="BU364" s="314"/>
      <c r="BV364" s="314"/>
      <c r="BW364" s="314"/>
      <c r="BX364" s="155"/>
    </row>
    <row r="365" spans="1:76" ht="15.75" customHeight="1">
      <c r="A365" s="25"/>
      <c r="B365" s="39"/>
      <c r="C365" s="155"/>
      <c r="D365" s="155"/>
      <c r="E365" s="40"/>
      <c r="F365" s="314"/>
      <c r="H365" s="315"/>
      <c r="I365" s="315"/>
      <c r="BA365" s="30"/>
      <c r="BB365" s="155"/>
      <c r="BC365" s="314"/>
      <c r="BD365" s="314"/>
      <c r="BE365" s="314"/>
      <c r="BF365" s="314"/>
      <c r="BG365" s="314"/>
      <c r="BH365" s="314"/>
      <c r="BI365" s="314"/>
      <c r="BJ365" s="314"/>
      <c r="BK365" s="40"/>
      <c r="BL365" s="40"/>
      <c r="BM365" s="40"/>
      <c r="BN365" s="40"/>
      <c r="BO365" s="40"/>
      <c r="BP365" s="155"/>
      <c r="BQ365" s="314"/>
      <c r="BR365" s="314"/>
      <c r="BS365" s="314"/>
      <c r="BT365" s="314"/>
      <c r="BU365" s="314"/>
      <c r="BV365" s="314"/>
      <c r="BW365" s="314"/>
      <c r="BX365" s="155"/>
    </row>
    <row r="366" spans="1:76" ht="15.75" customHeight="1">
      <c r="A366" s="25"/>
      <c r="B366" s="39"/>
      <c r="C366" s="155"/>
      <c r="D366" s="155"/>
      <c r="E366" s="341"/>
      <c r="F366" s="314"/>
      <c r="H366" s="315"/>
      <c r="I366" s="315"/>
      <c r="BA366" s="30"/>
      <c r="BB366" s="321"/>
      <c r="BC366" s="314"/>
      <c r="BD366" s="314"/>
      <c r="BE366" s="314"/>
      <c r="BF366" s="314"/>
      <c r="BG366" s="314"/>
      <c r="BH366" s="314"/>
      <c r="BI366" s="314"/>
      <c r="BJ366" s="314"/>
      <c r="BK366" s="40"/>
      <c r="BL366" s="40"/>
      <c r="BM366" s="40"/>
      <c r="BN366" s="40"/>
      <c r="BO366" s="40"/>
      <c r="BP366" s="155"/>
      <c r="BQ366" s="314"/>
      <c r="BR366" s="314"/>
      <c r="BS366" s="314"/>
      <c r="BT366" s="314"/>
      <c r="BU366" s="314"/>
      <c r="BV366" s="314"/>
      <c r="BW366" s="314"/>
      <c r="BX366" s="155"/>
    </row>
    <row r="367" spans="1:76" ht="15.75" customHeight="1">
      <c r="A367" s="25"/>
      <c r="B367" s="39"/>
      <c r="C367" s="155"/>
      <c r="D367" s="155"/>
      <c r="E367" s="40"/>
      <c r="F367" s="314"/>
      <c r="H367" s="315"/>
      <c r="I367" s="315"/>
      <c r="BA367" s="30"/>
      <c r="BB367" s="155"/>
      <c r="BC367" s="314"/>
      <c r="BD367" s="314"/>
      <c r="BE367" s="314"/>
      <c r="BF367" s="314"/>
      <c r="BG367" s="314"/>
      <c r="BH367" s="314"/>
      <c r="BI367" s="314"/>
      <c r="BJ367" s="314"/>
      <c r="BK367" s="40"/>
      <c r="BL367" s="40"/>
      <c r="BM367" s="40"/>
      <c r="BN367" s="40"/>
      <c r="BO367" s="40"/>
      <c r="BP367" s="155"/>
      <c r="BQ367" s="314"/>
      <c r="BR367" s="314"/>
      <c r="BS367" s="314"/>
      <c r="BT367" s="314"/>
      <c r="BU367" s="314"/>
      <c r="BV367" s="314"/>
      <c r="BW367" s="314"/>
      <c r="BX367" s="155"/>
    </row>
    <row r="368" spans="1:76" ht="15.75" customHeight="1">
      <c r="A368" s="25"/>
      <c r="B368" s="39"/>
      <c r="C368" s="155"/>
      <c r="D368" s="155"/>
      <c r="E368" s="40"/>
      <c r="F368" s="314"/>
      <c r="H368" s="315"/>
      <c r="I368" s="315"/>
      <c r="BA368" s="30"/>
      <c r="BB368" s="155"/>
      <c r="BC368" s="314"/>
      <c r="BD368" s="314"/>
      <c r="BE368" s="314"/>
      <c r="BF368" s="314"/>
      <c r="BG368" s="314"/>
      <c r="BH368" s="314"/>
      <c r="BI368" s="314"/>
      <c r="BJ368" s="314"/>
      <c r="BK368" s="40"/>
      <c r="BL368" s="40"/>
      <c r="BM368" s="40"/>
      <c r="BN368" s="40"/>
      <c r="BO368" s="40"/>
      <c r="BP368" s="155"/>
      <c r="BQ368" s="314"/>
      <c r="BR368" s="314"/>
      <c r="BS368" s="314"/>
      <c r="BT368" s="314"/>
      <c r="BU368" s="314"/>
      <c r="BV368" s="314"/>
      <c r="BW368" s="314"/>
      <c r="BX368" s="155"/>
    </row>
    <row r="369" spans="1:76" ht="15.75" customHeight="1">
      <c r="A369" s="25"/>
      <c r="B369" s="39"/>
      <c r="C369" s="155"/>
      <c r="D369" s="155"/>
      <c r="E369" s="40"/>
      <c r="F369" s="314"/>
      <c r="H369" s="315"/>
      <c r="I369" s="315"/>
      <c r="BA369" s="30"/>
      <c r="BB369" s="155"/>
      <c r="BC369" s="314"/>
      <c r="BD369" s="314"/>
      <c r="BE369" s="314"/>
      <c r="BF369" s="314"/>
      <c r="BG369" s="314"/>
      <c r="BH369" s="314"/>
      <c r="BI369" s="314"/>
      <c r="BJ369" s="314"/>
      <c r="BK369" s="40"/>
      <c r="BL369" s="40"/>
      <c r="BM369" s="40"/>
      <c r="BN369" s="40"/>
      <c r="BO369" s="40"/>
      <c r="BP369" s="155"/>
      <c r="BQ369" s="314"/>
      <c r="BR369" s="314"/>
      <c r="BS369" s="314"/>
      <c r="BT369" s="314"/>
      <c r="BU369" s="314"/>
      <c r="BV369" s="314"/>
      <c r="BW369" s="314"/>
      <c r="BX369" s="155"/>
    </row>
    <row r="370" spans="1:76" ht="15.75" customHeight="1">
      <c r="A370" s="25"/>
      <c r="B370" s="39"/>
      <c r="C370" s="155"/>
      <c r="D370" s="155"/>
      <c r="E370" s="40"/>
      <c r="F370" s="314"/>
      <c r="H370" s="315"/>
      <c r="I370" s="315"/>
      <c r="BA370" s="30"/>
      <c r="BB370" s="155"/>
      <c r="BC370" s="314"/>
      <c r="BD370" s="314"/>
      <c r="BE370" s="314"/>
      <c r="BF370" s="314"/>
      <c r="BG370" s="314"/>
      <c r="BH370" s="314"/>
      <c r="BI370" s="314"/>
      <c r="BJ370" s="314"/>
      <c r="BK370" s="40"/>
      <c r="BL370" s="40"/>
      <c r="BM370" s="40"/>
      <c r="BN370" s="40"/>
      <c r="BO370" s="40"/>
      <c r="BP370" s="155"/>
      <c r="BQ370" s="314"/>
      <c r="BR370" s="314"/>
      <c r="BS370" s="314"/>
      <c r="BT370" s="314"/>
      <c r="BU370" s="314"/>
      <c r="BV370" s="314"/>
      <c r="BW370" s="314"/>
      <c r="BX370" s="155"/>
    </row>
    <row r="371" spans="1:76" ht="15.75" customHeight="1">
      <c r="A371" s="25"/>
      <c r="B371" s="39"/>
      <c r="C371" s="155"/>
      <c r="D371" s="155"/>
      <c r="E371" s="40"/>
      <c r="F371" s="314"/>
      <c r="H371" s="315"/>
      <c r="I371" s="315"/>
      <c r="BA371" s="30"/>
      <c r="BB371" s="155"/>
      <c r="BC371" s="314"/>
      <c r="BD371" s="314"/>
      <c r="BE371" s="314"/>
      <c r="BF371" s="314"/>
      <c r="BG371" s="314"/>
      <c r="BH371" s="314"/>
      <c r="BI371" s="314"/>
      <c r="BJ371" s="314"/>
      <c r="BK371" s="40"/>
      <c r="BL371" s="40"/>
      <c r="BM371" s="40"/>
      <c r="BN371" s="40"/>
      <c r="BO371" s="40"/>
      <c r="BP371" s="155"/>
      <c r="BQ371" s="314"/>
      <c r="BR371" s="314"/>
      <c r="BS371" s="314"/>
      <c r="BT371" s="314"/>
      <c r="BU371" s="314"/>
      <c r="BV371" s="314"/>
      <c r="BW371" s="314"/>
      <c r="BX371" s="155"/>
    </row>
    <row r="372" spans="1:76" ht="15.75" customHeight="1">
      <c r="A372" s="25"/>
      <c r="B372" s="39"/>
      <c r="C372" s="155"/>
      <c r="D372" s="155"/>
      <c r="E372" s="40"/>
      <c r="F372" s="314"/>
      <c r="H372" s="315"/>
      <c r="I372" s="315"/>
      <c r="BA372" s="30"/>
      <c r="BB372" s="155"/>
      <c r="BC372" s="314"/>
      <c r="BD372" s="314"/>
      <c r="BE372" s="314"/>
      <c r="BF372" s="314"/>
      <c r="BG372" s="314"/>
      <c r="BH372" s="314"/>
      <c r="BI372" s="314"/>
      <c r="BJ372" s="314"/>
      <c r="BK372" s="40"/>
      <c r="BL372" s="40"/>
      <c r="BM372" s="40"/>
      <c r="BN372" s="40"/>
      <c r="BO372" s="40"/>
      <c r="BP372" s="155"/>
      <c r="BQ372" s="314"/>
      <c r="BR372" s="314"/>
      <c r="BS372" s="314"/>
      <c r="BT372" s="314"/>
      <c r="BU372" s="314"/>
      <c r="BV372" s="314"/>
      <c r="BW372" s="314"/>
      <c r="BX372" s="155"/>
    </row>
    <row r="373" spans="1:76" ht="15.75" customHeight="1">
      <c r="A373" s="25"/>
      <c r="B373" s="39"/>
      <c r="C373" s="155"/>
      <c r="D373" s="155"/>
      <c r="E373" s="40"/>
      <c r="F373" s="314"/>
      <c r="H373" s="315"/>
      <c r="I373" s="315"/>
      <c r="BA373" s="30"/>
      <c r="BB373" s="155"/>
      <c r="BC373" s="314"/>
      <c r="BD373" s="314"/>
      <c r="BE373" s="314"/>
      <c r="BF373" s="314"/>
      <c r="BG373" s="314"/>
      <c r="BH373" s="314"/>
      <c r="BI373" s="314"/>
      <c r="BJ373" s="314"/>
      <c r="BK373" s="40"/>
      <c r="BL373" s="40"/>
      <c r="BM373" s="40"/>
      <c r="BN373" s="40"/>
      <c r="BO373" s="40"/>
      <c r="BP373" s="155"/>
      <c r="BQ373" s="314"/>
      <c r="BR373" s="314"/>
      <c r="BS373" s="314"/>
      <c r="BT373" s="314"/>
      <c r="BU373" s="314"/>
      <c r="BV373" s="314"/>
      <c r="BW373" s="314"/>
      <c r="BX373" s="155"/>
    </row>
    <row r="374" spans="1:76" ht="15.75" customHeight="1">
      <c r="A374" s="25"/>
      <c r="B374" s="39"/>
      <c r="C374" s="155"/>
      <c r="D374" s="155"/>
      <c r="E374" s="341"/>
      <c r="F374" s="314"/>
      <c r="H374" s="315"/>
      <c r="I374" s="315"/>
      <c r="BA374" s="30"/>
      <c r="BB374" s="321"/>
      <c r="BC374" s="314"/>
      <c r="BD374" s="314"/>
      <c r="BE374" s="314"/>
      <c r="BF374" s="314"/>
      <c r="BG374" s="314"/>
      <c r="BH374" s="314"/>
      <c r="BI374" s="314"/>
      <c r="BJ374" s="314"/>
      <c r="BK374" s="40"/>
      <c r="BL374" s="40"/>
      <c r="BM374" s="40"/>
      <c r="BN374" s="40"/>
      <c r="BO374" s="40"/>
      <c r="BP374" s="155"/>
      <c r="BQ374" s="314"/>
      <c r="BR374" s="314"/>
      <c r="BS374" s="314"/>
      <c r="BT374" s="314"/>
      <c r="BU374" s="314"/>
      <c r="BV374" s="314"/>
      <c r="BW374" s="314"/>
      <c r="BX374" s="155"/>
    </row>
    <row r="375" spans="1:76" ht="15.75" customHeight="1">
      <c r="A375" s="25"/>
      <c r="B375" s="39"/>
      <c r="C375" s="155"/>
      <c r="D375" s="155"/>
      <c r="E375" s="40"/>
      <c r="F375" s="314"/>
      <c r="H375" s="315"/>
      <c r="I375" s="315"/>
      <c r="BA375" s="30"/>
      <c r="BB375" s="155"/>
      <c r="BC375" s="314"/>
      <c r="BD375" s="314"/>
      <c r="BE375" s="314"/>
      <c r="BF375" s="314"/>
      <c r="BG375" s="314"/>
      <c r="BH375" s="314"/>
      <c r="BI375" s="314"/>
      <c r="BJ375" s="314"/>
      <c r="BK375" s="40"/>
      <c r="BL375" s="40"/>
      <c r="BM375" s="40"/>
      <c r="BN375" s="40"/>
      <c r="BO375" s="40"/>
      <c r="BP375" s="155"/>
      <c r="BQ375" s="314"/>
      <c r="BR375" s="314"/>
      <c r="BS375" s="314"/>
      <c r="BT375" s="314"/>
      <c r="BU375" s="314"/>
      <c r="BV375" s="314"/>
      <c r="BW375" s="314"/>
      <c r="BX375" s="155"/>
    </row>
    <row r="376" spans="1:76" ht="15.75" customHeight="1">
      <c r="A376" s="25"/>
      <c r="B376" s="39"/>
      <c r="C376" s="155"/>
      <c r="D376" s="155"/>
      <c r="E376" s="40"/>
      <c r="F376" s="314"/>
      <c r="H376" s="315"/>
      <c r="I376" s="315"/>
      <c r="BA376" s="30"/>
      <c r="BB376" s="155"/>
      <c r="BC376" s="314"/>
      <c r="BD376" s="314"/>
      <c r="BE376" s="314"/>
      <c r="BF376" s="314"/>
      <c r="BG376" s="314"/>
      <c r="BH376" s="314"/>
      <c r="BI376" s="314"/>
      <c r="BJ376" s="314"/>
      <c r="BK376" s="40"/>
      <c r="BL376" s="40"/>
      <c r="BM376" s="40"/>
      <c r="BN376" s="40"/>
      <c r="BO376" s="40"/>
      <c r="BP376" s="155"/>
      <c r="BQ376" s="314"/>
      <c r="BR376" s="314"/>
      <c r="BS376" s="314"/>
      <c r="BT376" s="314"/>
      <c r="BU376" s="314"/>
      <c r="BV376" s="314"/>
      <c r="BW376" s="314"/>
      <c r="BX376" s="155"/>
    </row>
    <row r="377" spans="1:76" ht="15.75" customHeight="1">
      <c r="A377" s="25"/>
      <c r="B377" s="39"/>
      <c r="C377" s="155"/>
      <c r="D377" s="155"/>
      <c r="E377" s="40"/>
      <c r="F377" s="314"/>
      <c r="H377" s="315"/>
      <c r="I377" s="315"/>
      <c r="BA377" s="30"/>
      <c r="BB377" s="155"/>
      <c r="BC377" s="314"/>
      <c r="BD377" s="314"/>
      <c r="BE377" s="314"/>
      <c r="BF377" s="314"/>
      <c r="BG377" s="314"/>
      <c r="BH377" s="314"/>
      <c r="BI377" s="314"/>
      <c r="BJ377" s="314"/>
      <c r="BK377" s="40"/>
      <c r="BL377" s="40"/>
      <c r="BM377" s="40"/>
      <c r="BN377" s="40"/>
      <c r="BO377" s="40"/>
      <c r="BP377" s="155"/>
      <c r="BQ377" s="314"/>
      <c r="BR377" s="314"/>
      <c r="BS377" s="314"/>
      <c r="BT377" s="314"/>
      <c r="BU377" s="314"/>
      <c r="BV377" s="314"/>
      <c r="BW377" s="314"/>
      <c r="BX377" s="155"/>
    </row>
    <row r="378" spans="1:76" ht="15.75" customHeight="1">
      <c r="A378" s="25"/>
      <c r="B378" s="39"/>
      <c r="C378" s="155"/>
      <c r="D378" s="155"/>
      <c r="E378" s="40"/>
      <c r="F378" s="314"/>
      <c r="H378" s="315"/>
      <c r="I378" s="315"/>
      <c r="BA378" s="30"/>
      <c r="BB378" s="155"/>
      <c r="BC378" s="314"/>
      <c r="BD378" s="314"/>
      <c r="BE378" s="314"/>
      <c r="BF378" s="314"/>
      <c r="BG378" s="314"/>
      <c r="BH378" s="314"/>
      <c r="BI378" s="314"/>
      <c r="BJ378" s="314"/>
      <c r="BK378" s="40"/>
      <c r="BL378" s="40"/>
      <c r="BM378" s="40"/>
      <c r="BN378" s="40"/>
      <c r="BO378" s="40"/>
      <c r="BP378" s="155"/>
      <c r="BQ378" s="314"/>
      <c r="BR378" s="314"/>
      <c r="BS378" s="314"/>
      <c r="BT378" s="314"/>
      <c r="BU378" s="314"/>
      <c r="BV378" s="314"/>
      <c r="BW378" s="314"/>
      <c r="BX378" s="155"/>
    </row>
    <row r="379" spans="1:76" ht="15.75" customHeight="1">
      <c r="A379" s="25"/>
      <c r="B379" s="39"/>
      <c r="C379" s="155"/>
      <c r="D379" s="155"/>
      <c r="E379" s="40"/>
      <c r="F379" s="314"/>
      <c r="H379" s="315"/>
      <c r="I379" s="315"/>
      <c r="BA379" s="30"/>
      <c r="BB379" s="155"/>
      <c r="BC379" s="314"/>
      <c r="BD379" s="314"/>
      <c r="BE379" s="314"/>
      <c r="BF379" s="314"/>
      <c r="BG379" s="314"/>
      <c r="BH379" s="314"/>
      <c r="BI379" s="314"/>
      <c r="BJ379" s="314"/>
      <c r="BK379" s="40"/>
      <c r="BL379" s="40"/>
      <c r="BM379" s="40"/>
      <c r="BN379" s="40"/>
      <c r="BO379" s="40"/>
      <c r="BP379" s="155"/>
      <c r="BQ379" s="314"/>
      <c r="BR379" s="314"/>
      <c r="BS379" s="314"/>
      <c r="BT379" s="314"/>
      <c r="BU379" s="314"/>
      <c r="BV379" s="314"/>
      <c r="BW379" s="314"/>
      <c r="BX379" s="155"/>
    </row>
    <row r="380" spans="1:76" ht="15.75" customHeight="1">
      <c r="A380" s="25"/>
      <c r="B380" s="39"/>
      <c r="C380" s="155"/>
      <c r="D380" s="155"/>
      <c r="E380" s="40"/>
      <c r="F380" s="314"/>
      <c r="H380" s="315"/>
      <c r="I380" s="315"/>
      <c r="BA380" s="30"/>
      <c r="BB380" s="155"/>
      <c r="BC380" s="314"/>
      <c r="BD380" s="314"/>
      <c r="BE380" s="314"/>
      <c r="BF380" s="314"/>
      <c r="BG380" s="314"/>
      <c r="BH380" s="314"/>
      <c r="BI380" s="314"/>
      <c r="BJ380" s="314"/>
      <c r="BK380" s="40"/>
      <c r="BL380" s="40"/>
      <c r="BM380" s="40"/>
      <c r="BN380" s="40"/>
      <c r="BO380" s="40"/>
      <c r="BP380" s="155"/>
      <c r="BQ380" s="314"/>
      <c r="BR380" s="314"/>
      <c r="BS380" s="314"/>
      <c r="BT380" s="314"/>
      <c r="BU380" s="314"/>
      <c r="BV380" s="314"/>
      <c r="BW380" s="314"/>
      <c r="BX380" s="155"/>
    </row>
    <row r="381" spans="1:76" ht="15.75" customHeight="1">
      <c r="A381" s="25"/>
      <c r="B381" s="39"/>
      <c r="C381" s="155"/>
      <c r="D381" s="155"/>
      <c r="E381" s="40"/>
      <c r="F381" s="314"/>
      <c r="H381" s="315"/>
      <c r="I381" s="315"/>
      <c r="BA381" s="30"/>
      <c r="BB381" s="155"/>
      <c r="BC381" s="314"/>
      <c r="BD381" s="314"/>
      <c r="BE381" s="314"/>
      <c r="BF381" s="314"/>
      <c r="BG381" s="314"/>
      <c r="BH381" s="314"/>
      <c r="BI381" s="314"/>
      <c r="BJ381" s="314"/>
      <c r="BK381" s="40"/>
      <c r="BL381" s="40"/>
      <c r="BM381" s="40"/>
      <c r="BN381" s="40"/>
      <c r="BO381" s="40"/>
      <c r="BP381" s="155"/>
      <c r="BQ381" s="314"/>
      <c r="BR381" s="314"/>
      <c r="BS381" s="314"/>
      <c r="BT381" s="314"/>
      <c r="BU381" s="314"/>
      <c r="BV381" s="314"/>
      <c r="BW381" s="314"/>
      <c r="BX381" s="155"/>
    </row>
    <row r="382" spans="1:76" ht="15.75" customHeight="1">
      <c r="A382" s="25"/>
      <c r="B382" s="39"/>
      <c r="C382" s="155"/>
      <c r="D382" s="155"/>
      <c r="E382" s="341"/>
      <c r="F382" s="314"/>
      <c r="H382" s="315"/>
      <c r="I382" s="315"/>
      <c r="BA382" s="30"/>
      <c r="BB382" s="321"/>
      <c r="BC382" s="314"/>
      <c r="BD382" s="314"/>
      <c r="BE382" s="314"/>
      <c r="BF382" s="314"/>
      <c r="BG382" s="314"/>
      <c r="BH382" s="314"/>
      <c r="BI382" s="314"/>
      <c r="BJ382" s="314"/>
      <c r="BK382" s="40"/>
      <c r="BL382" s="40"/>
      <c r="BM382" s="40"/>
      <c r="BN382" s="40"/>
      <c r="BO382" s="40"/>
      <c r="BP382" s="155"/>
      <c r="BQ382" s="314"/>
      <c r="BR382" s="314"/>
      <c r="BS382" s="314"/>
      <c r="BT382" s="314"/>
      <c r="BU382" s="314"/>
      <c r="BV382" s="314"/>
      <c r="BW382" s="314"/>
      <c r="BX382" s="155"/>
    </row>
    <row r="383" spans="1:76" ht="15.75" customHeight="1">
      <c r="A383" s="25"/>
      <c r="B383" s="39"/>
      <c r="C383" s="155"/>
      <c r="D383" s="155"/>
      <c r="E383" s="40"/>
      <c r="F383" s="314"/>
      <c r="H383" s="315"/>
      <c r="I383" s="315"/>
      <c r="BA383" s="30"/>
      <c r="BB383" s="155"/>
      <c r="BC383" s="314"/>
      <c r="BD383" s="314"/>
      <c r="BE383" s="314"/>
      <c r="BF383" s="314"/>
      <c r="BG383" s="314"/>
      <c r="BH383" s="314"/>
      <c r="BI383" s="314"/>
      <c r="BJ383" s="314"/>
      <c r="BK383" s="40"/>
      <c r="BL383" s="40"/>
      <c r="BM383" s="40"/>
      <c r="BN383" s="40"/>
      <c r="BO383" s="40"/>
      <c r="BP383" s="155"/>
      <c r="BQ383" s="314"/>
      <c r="BR383" s="314"/>
      <c r="BS383" s="314"/>
      <c r="BT383" s="314"/>
      <c r="BU383" s="314"/>
      <c r="BV383" s="314"/>
      <c r="BW383" s="314"/>
      <c r="BX383" s="155"/>
    </row>
    <row r="384" spans="1:76" ht="15.75" customHeight="1">
      <c r="A384" s="25"/>
      <c r="B384" s="39"/>
      <c r="C384" s="155"/>
      <c r="D384" s="155"/>
      <c r="E384" s="40"/>
      <c r="F384" s="314"/>
      <c r="H384" s="315"/>
      <c r="I384" s="315"/>
      <c r="BA384" s="30"/>
      <c r="BB384" s="155"/>
      <c r="BC384" s="314"/>
      <c r="BD384" s="314"/>
      <c r="BE384" s="314"/>
      <c r="BF384" s="314"/>
      <c r="BG384" s="314"/>
      <c r="BH384" s="314"/>
      <c r="BI384" s="314"/>
      <c r="BJ384" s="314"/>
      <c r="BK384" s="40"/>
      <c r="BL384" s="40"/>
      <c r="BM384" s="40"/>
      <c r="BN384" s="40"/>
      <c r="BO384" s="40"/>
      <c r="BP384" s="155"/>
      <c r="BQ384" s="314"/>
      <c r="BR384" s="314"/>
      <c r="BS384" s="314"/>
      <c r="BT384" s="314"/>
      <c r="BU384" s="314"/>
      <c r="BV384" s="314"/>
      <c r="BW384" s="314"/>
      <c r="BX384" s="155"/>
    </row>
    <row r="385" spans="1:76" ht="15.75" customHeight="1">
      <c r="A385" s="25"/>
      <c r="B385" s="39"/>
      <c r="C385" s="155"/>
      <c r="D385" s="155"/>
      <c r="E385" s="40"/>
      <c r="F385" s="314"/>
      <c r="H385" s="315"/>
      <c r="I385" s="315"/>
      <c r="BA385" s="30"/>
      <c r="BB385" s="155"/>
      <c r="BC385" s="314"/>
      <c r="BD385" s="314"/>
      <c r="BE385" s="314"/>
      <c r="BF385" s="314"/>
      <c r="BG385" s="314"/>
      <c r="BH385" s="314"/>
      <c r="BI385" s="314"/>
      <c r="BJ385" s="314"/>
      <c r="BK385" s="40"/>
      <c r="BL385" s="40"/>
      <c r="BM385" s="40"/>
      <c r="BN385" s="40"/>
      <c r="BO385" s="40"/>
      <c r="BP385" s="155"/>
      <c r="BQ385" s="314"/>
      <c r="BR385" s="314"/>
      <c r="BS385" s="314"/>
      <c r="BT385" s="314"/>
      <c r="BU385" s="314"/>
      <c r="BV385" s="314"/>
      <c r="BW385" s="314"/>
      <c r="BX385" s="155"/>
    </row>
    <row r="386" spans="1:76" ht="15.75" customHeight="1">
      <c r="A386" s="25"/>
      <c r="B386" s="39"/>
      <c r="C386" s="155"/>
      <c r="D386" s="155"/>
      <c r="E386" s="40"/>
      <c r="F386" s="314"/>
      <c r="H386" s="315"/>
      <c r="I386" s="315"/>
      <c r="BA386" s="30"/>
      <c r="BB386" s="155"/>
      <c r="BC386" s="314"/>
      <c r="BD386" s="314"/>
      <c r="BE386" s="314"/>
      <c r="BF386" s="314"/>
      <c r="BG386" s="314"/>
      <c r="BH386" s="314"/>
      <c r="BI386" s="314"/>
      <c r="BJ386" s="314"/>
      <c r="BK386" s="40"/>
      <c r="BL386" s="40"/>
      <c r="BM386" s="40"/>
      <c r="BN386" s="40"/>
      <c r="BO386" s="40"/>
      <c r="BP386" s="155"/>
      <c r="BQ386" s="314"/>
      <c r="BR386" s="314"/>
      <c r="BS386" s="314"/>
      <c r="BT386" s="314"/>
      <c r="BU386" s="314"/>
      <c r="BV386" s="314"/>
      <c r="BW386" s="314"/>
      <c r="BX386" s="155"/>
    </row>
    <row r="387" spans="1:76" ht="15.75" customHeight="1">
      <c r="A387" s="25"/>
      <c r="B387" s="39"/>
      <c r="C387" s="155"/>
      <c r="D387" s="155"/>
      <c r="E387" s="40"/>
      <c r="F387" s="314"/>
      <c r="H387" s="315"/>
      <c r="I387" s="315"/>
      <c r="BA387" s="30"/>
      <c r="BB387" s="155"/>
      <c r="BC387" s="314"/>
      <c r="BD387" s="314"/>
      <c r="BE387" s="314"/>
      <c r="BF387" s="314"/>
      <c r="BG387" s="314"/>
      <c r="BH387" s="314"/>
      <c r="BI387" s="314"/>
      <c r="BJ387" s="314"/>
      <c r="BK387" s="40"/>
      <c r="BL387" s="40"/>
      <c r="BM387" s="40"/>
      <c r="BN387" s="40"/>
      <c r="BO387" s="40"/>
      <c r="BP387" s="155"/>
      <c r="BQ387" s="314"/>
      <c r="BR387" s="314"/>
      <c r="BS387" s="314"/>
      <c r="BT387" s="314"/>
      <c r="BU387" s="314"/>
      <c r="BV387" s="314"/>
      <c r="BW387" s="314"/>
      <c r="BX387" s="155"/>
    </row>
    <row r="388" spans="1:76" ht="15.75" customHeight="1">
      <c r="A388" s="25"/>
      <c r="B388" s="39"/>
      <c r="C388" s="155"/>
      <c r="D388" s="155"/>
      <c r="E388" s="40"/>
      <c r="F388" s="314"/>
      <c r="H388" s="315"/>
      <c r="I388" s="315"/>
      <c r="BA388" s="30"/>
      <c r="BB388" s="155"/>
      <c r="BC388" s="314"/>
      <c r="BD388" s="314"/>
      <c r="BE388" s="314"/>
      <c r="BF388" s="314"/>
      <c r="BG388" s="314"/>
      <c r="BH388" s="314"/>
      <c r="BI388" s="314"/>
      <c r="BJ388" s="314"/>
      <c r="BK388" s="40"/>
      <c r="BL388" s="40"/>
      <c r="BM388" s="40"/>
      <c r="BN388" s="40"/>
      <c r="BO388" s="40"/>
      <c r="BP388" s="155"/>
      <c r="BQ388" s="314"/>
      <c r="BR388" s="314"/>
      <c r="BS388" s="314"/>
      <c r="BT388" s="314"/>
      <c r="BU388" s="314"/>
      <c r="BV388" s="314"/>
      <c r="BW388" s="314"/>
      <c r="BX388" s="155"/>
    </row>
    <row r="389" spans="1:76" ht="15.75" customHeight="1">
      <c r="A389" s="25"/>
      <c r="B389" s="39"/>
      <c r="C389" s="155"/>
      <c r="D389" s="155"/>
      <c r="E389" s="40"/>
      <c r="F389" s="314"/>
      <c r="H389" s="315"/>
      <c r="I389" s="315"/>
      <c r="BA389" s="30"/>
      <c r="BB389" s="155"/>
      <c r="BC389" s="314"/>
      <c r="BD389" s="314"/>
      <c r="BE389" s="314"/>
      <c r="BF389" s="314"/>
      <c r="BG389" s="314"/>
      <c r="BH389" s="314"/>
      <c r="BI389" s="314"/>
      <c r="BJ389" s="314"/>
      <c r="BK389" s="40"/>
      <c r="BL389" s="40"/>
      <c r="BM389" s="40"/>
      <c r="BN389" s="40"/>
      <c r="BO389" s="40"/>
      <c r="BP389" s="155"/>
      <c r="BQ389" s="314"/>
      <c r="BR389" s="314"/>
      <c r="BS389" s="314"/>
      <c r="BT389" s="314"/>
      <c r="BU389" s="314"/>
      <c r="BV389" s="314"/>
      <c r="BW389" s="314"/>
      <c r="BX389" s="155"/>
    </row>
    <row r="390" spans="1:76" ht="15.75" customHeight="1">
      <c r="A390" s="25"/>
      <c r="B390" s="39"/>
      <c r="C390" s="155"/>
      <c r="D390" s="155"/>
      <c r="E390" s="341"/>
      <c r="F390" s="314"/>
      <c r="H390" s="315"/>
      <c r="I390" s="315"/>
      <c r="BA390" s="30"/>
      <c r="BB390" s="321"/>
      <c r="BC390" s="314"/>
      <c r="BD390" s="314"/>
      <c r="BE390" s="314"/>
      <c r="BF390" s="314"/>
      <c r="BG390" s="314"/>
      <c r="BH390" s="314"/>
      <c r="BI390" s="314"/>
      <c r="BJ390" s="314"/>
      <c r="BK390" s="40"/>
      <c r="BL390" s="40"/>
      <c r="BM390" s="40"/>
      <c r="BN390" s="40"/>
      <c r="BO390" s="40"/>
      <c r="BP390" s="155"/>
      <c r="BQ390" s="314"/>
      <c r="BR390" s="314"/>
      <c r="BS390" s="314"/>
      <c r="BT390" s="314"/>
      <c r="BU390" s="314"/>
      <c r="BV390" s="314"/>
      <c r="BW390" s="314"/>
      <c r="BX390" s="155"/>
    </row>
    <row r="391" spans="1:76" ht="15.75" customHeight="1">
      <c r="A391" s="25"/>
      <c r="B391" s="39"/>
      <c r="C391" s="155"/>
      <c r="D391" s="155"/>
      <c r="E391" s="40"/>
      <c r="F391" s="314"/>
      <c r="H391" s="315"/>
      <c r="I391" s="315"/>
      <c r="BA391" s="30"/>
      <c r="BB391" s="155"/>
      <c r="BC391" s="314"/>
      <c r="BD391" s="314"/>
      <c r="BE391" s="314"/>
      <c r="BF391" s="314"/>
      <c r="BG391" s="314"/>
      <c r="BH391" s="314"/>
      <c r="BI391" s="314"/>
      <c r="BJ391" s="314"/>
      <c r="BK391" s="40"/>
      <c r="BL391" s="40"/>
      <c r="BM391" s="40"/>
      <c r="BN391" s="40"/>
      <c r="BO391" s="40"/>
      <c r="BP391" s="155"/>
      <c r="BQ391" s="314"/>
      <c r="BR391" s="314"/>
      <c r="BS391" s="314"/>
      <c r="BT391" s="314"/>
      <c r="BU391" s="314"/>
      <c r="BV391" s="314"/>
      <c r="BW391" s="314"/>
      <c r="BX391" s="155"/>
    </row>
    <row r="392" spans="1:76" ht="15.75" customHeight="1">
      <c r="A392" s="25"/>
      <c r="B392" s="39"/>
      <c r="C392" s="155"/>
      <c r="D392" s="155"/>
      <c r="E392" s="40"/>
      <c r="F392" s="314"/>
      <c r="H392" s="315"/>
      <c r="I392" s="315"/>
      <c r="BA392" s="30"/>
      <c r="BB392" s="155"/>
      <c r="BC392" s="314"/>
      <c r="BD392" s="314"/>
      <c r="BE392" s="314"/>
      <c r="BF392" s="314"/>
      <c r="BG392" s="314"/>
      <c r="BH392" s="314"/>
      <c r="BI392" s="314"/>
      <c r="BJ392" s="314"/>
      <c r="BK392" s="40"/>
      <c r="BL392" s="40"/>
      <c r="BM392" s="40"/>
      <c r="BN392" s="40"/>
      <c r="BO392" s="40"/>
      <c r="BP392" s="155"/>
      <c r="BQ392" s="314"/>
      <c r="BR392" s="314"/>
      <c r="BS392" s="314"/>
      <c r="BT392" s="314"/>
      <c r="BU392" s="314"/>
      <c r="BV392" s="314"/>
      <c r="BW392" s="314"/>
      <c r="BX392" s="155"/>
    </row>
    <row r="393" spans="1:76" ht="15.75" customHeight="1">
      <c r="A393" s="25"/>
      <c r="B393" s="39"/>
      <c r="C393" s="155"/>
      <c r="D393" s="155"/>
      <c r="E393" s="40"/>
      <c r="F393" s="314"/>
      <c r="H393" s="315"/>
      <c r="I393" s="315"/>
      <c r="BA393" s="30"/>
      <c r="BB393" s="155"/>
      <c r="BC393" s="314"/>
      <c r="BD393" s="314"/>
      <c r="BE393" s="314"/>
      <c r="BF393" s="314"/>
      <c r="BG393" s="314"/>
      <c r="BH393" s="314"/>
      <c r="BI393" s="314"/>
      <c r="BJ393" s="314"/>
      <c r="BK393" s="40"/>
      <c r="BL393" s="40"/>
      <c r="BM393" s="40"/>
      <c r="BN393" s="40"/>
      <c r="BO393" s="40"/>
      <c r="BP393" s="155"/>
      <c r="BQ393" s="314"/>
      <c r="BR393" s="314"/>
      <c r="BS393" s="314"/>
      <c r="BT393" s="314"/>
      <c r="BU393" s="314"/>
      <c r="BV393" s="314"/>
      <c r="BW393" s="314"/>
      <c r="BX393" s="155"/>
    </row>
    <row r="394" spans="1:76" ht="15.75" customHeight="1">
      <c r="A394" s="25"/>
      <c r="B394" s="39"/>
      <c r="C394" s="155"/>
      <c r="D394" s="155"/>
      <c r="E394" s="40"/>
      <c r="F394" s="314"/>
      <c r="H394" s="315"/>
      <c r="I394" s="315"/>
      <c r="BA394" s="30"/>
      <c r="BB394" s="155"/>
      <c r="BC394" s="314"/>
      <c r="BD394" s="314"/>
      <c r="BE394" s="314"/>
      <c r="BF394" s="314"/>
      <c r="BG394" s="314"/>
      <c r="BH394" s="314"/>
      <c r="BI394" s="314"/>
      <c r="BJ394" s="314"/>
      <c r="BK394" s="40"/>
      <c r="BL394" s="40"/>
      <c r="BM394" s="40"/>
      <c r="BN394" s="40"/>
      <c r="BO394" s="40"/>
      <c r="BP394" s="155"/>
      <c r="BQ394" s="314"/>
      <c r="BR394" s="314"/>
      <c r="BS394" s="314"/>
      <c r="BT394" s="314"/>
      <c r="BU394" s="314"/>
      <c r="BV394" s="314"/>
      <c r="BW394" s="314"/>
      <c r="BX394" s="155"/>
    </row>
    <row r="395" spans="1:76" ht="15.75" customHeight="1">
      <c r="A395" s="25"/>
      <c r="B395" s="39"/>
      <c r="C395" s="155"/>
      <c r="D395" s="155"/>
      <c r="E395" s="40"/>
      <c r="F395" s="314"/>
      <c r="H395" s="315"/>
      <c r="I395" s="315"/>
      <c r="BA395" s="30"/>
      <c r="BB395" s="155"/>
      <c r="BC395" s="314"/>
      <c r="BD395" s="314"/>
      <c r="BE395" s="314"/>
      <c r="BF395" s="314"/>
      <c r="BG395" s="314"/>
      <c r="BH395" s="314"/>
      <c r="BI395" s="314"/>
      <c r="BJ395" s="314"/>
      <c r="BK395" s="40"/>
      <c r="BL395" s="40"/>
      <c r="BM395" s="40"/>
      <c r="BN395" s="40"/>
      <c r="BO395" s="40"/>
      <c r="BP395" s="155"/>
      <c r="BQ395" s="314"/>
      <c r="BR395" s="314"/>
      <c r="BS395" s="314"/>
      <c r="BT395" s="314"/>
      <c r="BU395" s="314"/>
      <c r="BV395" s="314"/>
      <c r="BW395" s="314"/>
      <c r="BX395" s="155"/>
    </row>
    <row r="396" spans="1:76" ht="15.75" customHeight="1">
      <c r="A396" s="25"/>
      <c r="B396" s="39"/>
      <c r="C396" s="155"/>
      <c r="D396" s="155"/>
      <c r="E396" s="40"/>
      <c r="F396" s="314"/>
      <c r="H396" s="315"/>
      <c r="I396" s="315"/>
      <c r="BA396" s="30"/>
      <c r="BB396" s="155"/>
      <c r="BC396" s="314"/>
      <c r="BD396" s="314"/>
      <c r="BE396" s="314"/>
      <c r="BF396" s="314"/>
      <c r="BG396" s="314"/>
      <c r="BH396" s="314"/>
      <c r="BI396" s="314"/>
      <c r="BJ396" s="314"/>
      <c r="BK396" s="40"/>
      <c r="BL396" s="40"/>
      <c r="BM396" s="40"/>
      <c r="BN396" s="40"/>
      <c r="BO396" s="40"/>
      <c r="BP396" s="155"/>
      <c r="BQ396" s="314"/>
      <c r="BR396" s="314"/>
      <c r="BS396" s="314"/>
      <c r="BT396" s="314"/>
      <c r="BU396" s="314"/>
      <c r="BV396" s="314"/>
      <c r="BW396" s="314"/>
      <c r="BX396" s="155"/>
    </row>
    <row r="397" spans="1:76" ht="15.75" customHeight="1">
      <c r="A397" s="25"/>
      <c r="B397" s="39"/>
      <c r="C397" s="155"/>
      <c r="D397" s="155"/>
      <c r="E397" s="40"/>
      <c r="F397" s="314"/>
      <c r="H397" s="315"/>
      <c r="I397" s="315"/>
      <c r="BA397" s="30"/>
      <c r="BB397" s="155"/>
      <c r="BC397" s="314"/>
      <c r="BD397" s="314"/>
      <c r="BE397" s="314"/>
      <c r="BF397" s="314"/>
      <c r="BG397" s="314"/>
      <c r="BH397" s="314"/>
      <c r="BI397" s="314"/>
      <c r="BJ397" s="314"/>
      <c r="BK397" s="40"/>
      <c r="BL397" s="40"/>
      <c r="BM397" s="40"/>
      <c r="BN397" s="40"/>
      <c r="BO397" s="40"/>
      <c r="BP397" s="155"/>
      <c r="BQ397" s="314"/>
      <c r="BR397" s="314"/>
      <c r="BS397" s="314"/>
      <c r="BT397" s="314"/>
      <c r="BU397" s="314"/>
      <c r="BV397" s="314"/>
      <c r="BW397" s="314"/>
      <c r="BX397" s="155"/>
    </row>
    <row r="398" spans="1:76" ht="15.75" customHeight="1">
      <c r="A398" s="25"/>
      <c r="B398" s="39"/>
      <c r="C398" s="155"/>
      <c r="D398" s="155"/>
      <c r="E398" s="341"/>
      <c r="F398" s="314"/>
      <c r="H398" s="315"/>
      <c r="I398" s="315"/>
      <c r="BA398" s="30"/>
      <c r="BB398" s="321"/>
      <c r="BC398" s="314"/>
      <c r="BD398" s="314"/>
      <c r="BE398" s="314"/>
      <c r="BF398" s="314"/>
      <c r="BG398" s="314"/>
      <c r="BH398" s="314"/>
      <c r="BI398" s="314"/>
      <c r="BJ398" s="314"/>
      <c r="BK398" s="40"/>
      <c r="BL398" s="40"/>
      <c r="BM398" s="40"/>
      <c r="BN398" s="40"/>
      <c r="BO398" s="40"/>
      <c r="BP398" s="155"/>
      <c r="BQ398" s="314"/>
      <c r="BR398" s="314"/>
      <c r="BS398" s="314"/>
      <c r="BT398" s="314"/>
      <c r="BU398" s="314"/>
      <c r="BV398" s="314"/>
      <c r="BW398" s="314"/>
      <c r="BX398" s="155"/>
    </row>
    <row r="399" spans="1:76" ht="15.75" customHeight="1">
      <c r="A399" s="25"/>
      <c r="B399" s="39"/>
      <c r="C399" s="155"/>
      <c r="D399" s="155"/>
      <c r="E399" s="40"/>
      <c r="F399" s="314"/>
      <c r="H399" s="315"/>
      <c r="I399" s="315"/>
      <c r="BA399" s="30"/>
      <c r="BB399" s="155"/>
      <c r="BC399" s="314"/>
      <c r="BD399" s="314"/>
      <c r="BE399" s="314"/>
      <c r="BF399" s="314"/>
      <c r="BG399" s="314"/>
      <c r="BH399" s="314"/>
      <c r="BI399" s="314"/>
      <c r="BJ399" s="314"/>
      <c r="BK399" s="40"/>
      <c r="BL399" s="40"/>
      <c r="BM399" s="40"/>
      <c r="BN399" s="40"/>
      <c r="BO399" s="40"/>
      <c r="BP399" s="155"/>
      <c r="BQ399" s="314"/>
      <c r="BR399" s="314"/>
      <c r="BS399" s="314"/>
      <c r="BT399" s="314"/>
      <c r="BU399" s="314"/>
      <c r="BV399" s="314"/>
      <c r="BW399" s="314"/>
      <c r="BX399" s="155"/>
    </row>
    <row r="400" spans="1:76" ht="15.75" customHeight="1">
      <c r="A400" s="25"/>
      <c r="B400" s="39"/>
      <c r="C400" s="155"/>
      <c r="D400" s="155"/>
      <c r="E400" s="40"/>
      <c r="F400" s="314"/>
      <c r="H400" s="315"/>
      <c r="I400" s="315"/>
      <c r="BA400" s="30"/>
      <c r="BB400" s="155"/>
      <c r="BC400" s="314"/>
      <c r="BD400" s="314"/>
      <c r="BE400" s="314"/>
      <c r="BF400" s="314"/>
      <c r="BG400" s="314"/>
      <c r="BH400" s="314"/>
      <c r="BI400" s="314"/>
      <c r="BJ400" s="314"/>
      <c r="BK400" s="40"/>
      <c r="BL400" s="40"/>
      <c r="BM400" s="40"/>
      <c r="BN400" s="40"/>
      <c r="BO400" s="40"/>
      <c r="BP400" s="155"/>
      <c r="BQ400" s="314"/>
      <c r="BR400" s="314"/>
      <c r="BS400" s="314"/>
      <c r="BT400" s="314"/>
      <c r="BU400" s="314"/>
      <c r="BV400" s="314"/>
      <c r="BW400" s="314"/>
      <c r="BX400" s="155"/>
    </row>
    <row r="401" spans="1:76" ht="15.75" customHeight="1">
      <c r="A401" s="25"/>
      <c r="B401" s="39"/>
      <c r="C401" s="155"/>
      <c r="D401" s="155"/>
      <c r="E401" s="40"/>
      <c r="F401" s="314"/>
      <c r="H401" s="315"/>
      <c r="I401" s="315"/>
      <c r="BA401" s="30"/>
      <c r="BB401" s="155"/>
      <c r="BC401" s="314"/>
      <c r="BD401" s="314"/>
      <c r="BE401" s="314"/>
      <c r="BF401" s="314"/>
      <c r="BG401" s="314"/>
      <c r="BH401" s="314"/>
      <c r="BI401" s="314"/>
      <c r="BJ401" s="314"/>
      <c r="BK401" s="40"/>
      <c r="BL401" s="40"/>
      <c r="BM401" s="40"/>
      <c r="BN401" s="40"/>
      <c r="BO401" s="40"/>
      <c r="BP401" s="155"/>
      <c r="BQ401" s="314"/>
      <c r="BR401" s="314"/>
      <c r="BS401" s="314"/>
      <c r="BT401" s="314"/>
      <c r="BU401" s="314"/>
      <c r="BV401" s="314"/>
      <c r="BW401" s="314"/>
      <c r="BX401" s="155"/>
    </row>
    <row r="402" spans="1:76" ht="15.75" customHeight="1">
      <c r="A402" s="25"/>
      <c r="B402" s="39"/>
      <c r="C402" s="155"/>
      <c r="D402" s="155"/>
      <c r="E402" s="40"/>
      <c r="F402" s="314"/>
      <c r="H402" s="315"/>
      <c r="I402" s="315"/>
      <c r="BA402" s="30"/>
      <c r="BB402" s="155"/>
      <c r="BC402" s="314"/>
      <c r="BD402" s="314"/>
      <c r="BE402" s="314"/>
      <c r="BF402" s="314"/>
      <c r="BG402" s="314"/>
      <c r="BH402" s="314"/>
      <c r="BI402" s="314"/>
      <c r="BJ402" s="314"/>
      <c r="BK402" s="40"/>
      <c r="BL402" s="40"/>
      <c r="BM402" s="40"/>
      <c r="BN402" s="40"/>
      <c r="BO402" s="40"/>
      <c r="BP402" s="155"/>
      <c r="BQ402" s="314"/>
      <c r="BR402" s="314"/>
      <c r="BS402" s="314"/>
      <c r="BT402" s="314"/>
      <c r="BU402" s="314"/>
      <c r="BV402" s="314"/>
      <c r="BW402" s="314"/>
      <c r="BX402" s="155"/>
    </row>
    <row r="403" spans="1:76" ht="15.75" customHeight="1">
      <c r="A403" s="25"/>
      <c r="B403" s="39"/>
      <c r="C403" s="155"/>
      <c r="D403" s="155"/>
      <c r="E403" s="40"/>
      <c r="F403" s="314"/>
      <c r="H403" s="315"/>
      <c r="I403" s="315"/>
      <c r="BA403" s="30"/>
      <c r="BB403" s="155"/>
      <c r="BC403" s="314"/>
      <c r="BD403" s="314"/>
      <c r="BE403" s="314"/>
      <c r="BF403" s="314"/>
      <c r="BG403" s="314"/>
      <c r="BH403" s="314"/>
      <c r="BI403" s="314"/>
      <c r="BJ403" s="314"/>
      <c r="BK403" s="40"/>
      <c r="BL403" s="40"/>
      <c r="BM403" s="40"/>
      <c r="BN403" s="40"/>
      <c r="BO403" s="40"/>
      <c r="BP403" s="155"/>
      <c r="BQ403" s="314"/>
      <c r="BR403" s="314"/>
      <c r="BS403" s="314"/>
      <c r="BT403" s="314"/>
      <c r="BU403" s="314"/>
      <c r="BV403" s="314"/>
      <c r="BW403" s="314"/>
      <c r="BX403" s="155"/>
    </row>
    <row r="404" spans="1:76" ht="15.75" customHeight="1">
      <c r="A404" s="25"/>
      <c r="B404" s="39"/>
      <c r="C404" s="155"/>
      <c r="D404" s="155"/>
      <c r="E404" s="40"/>
      <c r="F404" s="314"/>
      <c r="H404" s="315"/>
      <c r="I404" s="315"/>
      <c r="BA404" s="30"/>
      <c r="BB404" s="155"/>
      <c r="BC404" s="314"/>
      <c r="BD404" s="314"/>
      <c r="BE404" s="314"/>
      <c r="BF404" s="314"/>
      <c r="BG404" s="314"/>
      <c r="BH404" s="314"/>
      <c r="BI404" s="314"/>
      <c r="BJ404" s="314"/>
      <c r="BK404" s="40"/>
      <c r="BL404" s="40"/>
      <c r="BM404" s="40"/>
      <c r="BN404" s="40"/>
      <c r="BO404" s="40"/>
      <c r="BP404" s="155"/>
      <c r="BQ404" s="314"/>
      <c r="BR404" s="314"/>
      <c r="BS404" s="314"/>
      <c r="BT404" s="314"/>
      <c r="BU404" s="314"/>
      <c r="BV404" s="314"/>
      <c r="BW404" s="314"/>
      <c r="BX404" s="155"/>
    </row>
    <row r="405" spans="1:76" ht="15.75" customHeight="1">
      <c r="A405" s="25"/>
      <c r="B405" s="39"/>
      <c r="C405" s="155"/>
      <c r="D405" s="155"/>
      <c r="E405" s="40"/>
      <c r="F405" s="314"/>
      <c r="H405" s="315"/>
      <c r="I405" s="315"/>
      <c r="BA405" s="30"/>
      <c r="BB405" s="155"/>
      <c r="BC405" s="314"/>
      <c r="BD405" s="314"/>
      <c r="BE405" s="314"/>
      <c r="BF405" s="314"/>
      <c r="BG405" s="314"/>
      <c r="BH405" s="314"/>
      <c r="BI405" s="314"/>
      <c r="BJ405" s="314"/>
      <c r="BK405" s="40"/>
      <c r="BL405" s="40"/>
      <c r="BM405" s="40"/>
      <c r="BN405" s="40"/>
      <c r="BO405" s="40"/>
      <c r="BP405" s="155"/>
      <c r="BQ405" s="314"/>
      <c r="BR405" s="314"/>
      <c r="BS405" s="314"/>
      <c r="BT405" s="314"/>
      <c r="BU405" s="314"/>
      <c r="BV405" s="314"/>
      <c r="BW405" s="314"/>
      <c r="BX405" s="155"/>
    </row>
    <row r="406" spans="1:76" ht="15.75" customHeight="1">
      <c r="A406" s="25"/>
      <c r="B406" s="39"/>
      <c r="C406" s="155"/>
      <c r="D406" s="155"/>
      <c r="E406" s="341"/>
      <c r="F406" s="314"/>
      <c r="H406" s="315"/>
      <c r="I406" s="315"/>
      <c r="BA406" s="30"/>
      <c r="BB406" s="321"/>
      <c r="BC406" s="314"/>
      <c r="BD406" s="314"/>
      <c r="BE406" s="314"/>
      <c r="BF406" s="314"/>
      <c r="BG406" s="314"/>
      <c r="BH406" s="314"/>
      <c r="BI406" s="314"/>
      <c r="BJ406" s="314"/>
      <c r="BK406" s="40"/>
      <c r="BL406" s="40"/>
      <c r="BM406" s="40"/>
      <c r="BN406" s="40"/>
      <c r="BO406" s="40"/>
      <c r="BP406" s="155"/>
      <c r="BQ406" s="314"/>
      <c r="BR406" s="314"/>
      <c r="BS406" s="314"/>
      <c r="BT406" s="314"/>
      <c r="BU406" s="314"/>
      <c r="BV406" s="314"/>
      <c r="BW406" s="314"/>
      <c r="BX406" s="155"/>
    </row>
    <row r="407" spans="1:76" ht="15.75" customHeight="1">
      <c r="A407" s="25"/>
      <c r="B407" s="39"/>
      <c r="C407" s="155"/>
      <c r="D407" s="155"/>
      <c r="E407" s="40"/>
      <c r="F407" s="314"/>
      <c r="H407" s="315"/>
      <c r="I407" s="315"/>
      <c r="BA407" s="30"/>
      <c r="BB407" s="155"/>
      <c r="BC407" s="314"/>
      <c r="BD407" s="314"/>
      <c r="BE407" s="314"/>
      <c r="BF407" s="314"/>
      <c r="BG407" s="314"/>
      <c r="BH407" s="314"/>
      <c r="BI407" s="314"/>
      <c r="BJ407" s="314"/>
      <c r="BK407" s="40"/>
      <c r="BL407" s="40"/>
      <c r="BM407" s="40"/>
      <c r="BN407" s="40"/>
      <c r="BO407" s="40"/>
      <c r="BP407" s="155"/>
      <c r="BQ407" s="314"/>
      <c r="BR407" s="314"/>
      <c r="BS407" s="314"/>
      <c r="BT407" s="314"/>
      <c r="BU407" s="314"/>
      <c r="BV407" s="314"/>
      <c r="BW407" s="314"/>
      <c r="BX407" s="155"/>
    </row>
    <row r="408" spans="1:76" ht="15.75" customHeight="1">
      <c r="A408" s="25"/>
      <c r="B408" s="39"/>
      <c r="C408" s="155"/>
      <c r="D408" s="155"/>
      <c r="E408" s="40"/>
      <c r="F408" s="314"/>
      <c r="H408" s="315"/>
      <c r="I408" s="315"/>
      <c r="BA408" s="30"/>
      <c r="BB408" s="155"/>
      <c r="BC408" s="314"/>
      <c r="BD408" s="314"/>
      <c r="BE408" s="314"/>
      <c r="BF408" s="314"/>
      <c r="BG408" s="314"/>
      <c r="BH408" s="314"/>
      <c r="BI408" s="314"/>
      <c r="BJ408" s="314"/>
      <c r="BK408" s="40"/>
      <c r="BL408" s="40"/>
      <c r="BM408" s="40"/>
      <c r="BN408" s="40"/>
      <c r="BO408" s="40"/>
      <c r="BP408" s="155"/>
      <c r="BQ408" s="314"/>
      <c r="BR408" s="314"/>
      <c r="BS408" s="314"/>
      <c r="BT408" s="314"/>
      <c r="BU408" s="314"/>
      <c r="BV408" s="314"/>
      <c r="BW408" s="314"/>
      <c r="BX408" s="155"/>
    </row>
    <row r="409" spans="1:76" ht="15.75" customHeight="1">
      <c r="A409" s="25"/>
      <c r="B409" s="39"/>
      <c r="C409" s="155"/>
      <c r="D409" s="155"/>
      <c r="E409" s="40"/>
      <c r="F409" s="314"/>
      <c r="H409" s="315"/>
      <c r="I409" s="315"/>
      <c r="BA409" s="30"/>
      <c r="BB409" s="155"/>
      <c r="BC409" s="314"/>
      <c r="BD409" s="314"/>
      <c r="BE409" s="314"/>
      <c r="BF409" s="314"/>
      <c r="BG409" s="314"/>
      <c r="BH409" s="314"/>
      <c r="BI409" s="314"/>
      <c r="BJ409" s="314"/>
      <c r="BK409" s="40"/>
      <c r="BL409" s="40"/>
      <c r="BM409" s="40"/>
      <c r="BN409" s="40"/>
      <c r="BO409" s="40"/>
      <c r="BP409" s="155"/>
      <c r="BQ409" s="314"/>
      <c r="BR409" s="314"/>
      <c r="BS409" s="314"/>
      <c r="BT409" s="314"/>
      <c r="BU409" s="314"/>
      <c r="BV409" s="314"/>
      <c r="BW409" s="314"/>
      <c r="BX409" s="155"/>
    </row>
    <row r="410" spans="1:76" ht="15.75" customHeight="1">
      <c r="A410" s="25"/>
      <c r="B410" s="39"/>
      <c r="C410" s="155"/>
      <c r="D410" s="155"/>
      <c r="E410" s="40"/>
      <c r="F410" s="314"/>
      <c r="H410" s="315"/>
      <c r="I410" s="315"/>
      <c r="BA410" s="30"/>
      <c r="BB410" s="155"/>
      <c r="BC410" s="314"/>
      <c r="BD410" s="314"/>
      <c r="BE410" s="314"/>
      <c r="BF410" s="314"/>
      <c r="BG410" s="314"/>
      <c r="BH410" s="314"/>
      <c r="BI410" s="314"/>
      <c r="BJ410" s="314"/>
      <c r="BK410" s="40"/>
      <c r="BL410" s="40"/>
      <c r="BM410" s="40"/>
      <c r="BN410" s="40"/>
      <c r="BO410" s="40"/>
      <c r="BP410" s="155"/>
      <c r="BQ410" s="314"/>
      <c r="BR410" s="314"/>
      <c r="BS410" s="314"/>
      <c r="BT410" s="314"/>
      <c r="BU410" s="314"/>
      <c r="BV410" s="314"/>
      <c r="BW410" s="314"/>
      <c r="BX410" s="155"/>
    </row>
    <row r="411" spans="1:76" ht="15.75" customHeight="1">
      <c r="A411" s="25"/>
      <c r="B411" s="39"/>
      <c r="C411" s="155"/>
      <c r="D411" s="155"/>
      <c r="E411" s="40"/>
      <c r="F411" s="314"/>
      <c r="H411" s="315"/>
      <c r="I411" s="315"/>
      <c r="BA411" s="30"/>
      <c r="BB411" s="155"/>
      <c r="BC411" s="314"/>
      <c r="BD411" s="314"/>
      <c r="BE411" s="314"/>
      <c r="BF411" s="314"/>
      <c r="BG411" s="314"/>
      <c r="BH411" s="314"/>
      <c r="BI411" s="314"/>
      <c r="BJ411" s="314"/>
      <c r="BK411" s="40"/>
      <c r="BL411" s="40"/>
      <c r="BM411" s="40"/>
      <c r="BN411" s="40"/>
      <c r="BO411" s="40"/>
      <c r="BP411" s="155"/>
      <c r="BQ411" s="314"/>
      <c r="BR411" s="314"/>
      <c r="BS411" s="314"/>
      <c r="BT411" s="314"/>
      <c r="BU411" s="314"/>
      <c r="BV411" s="314"/>
      <c r="BW411" s="314"/>
      <c r="BX411" s="155"/>
    </row>
    <row r="412" spans="1:76" ht="15.75" customHeight="1">
      <c r="A412" s="25"/>
      <c r="B412" s="39"/>
      <c r="C412" s="155"/>
      <c r="D412" s="155"/>
      <c r="E412" s="40"/>
      <c r="F412" s="314"/>
      <c r="H412" s="315"/>
      <c r="I412" s="315"/>
      <c r="BA412" s="30"/>
      <c r="BB412" s="155"/>
      <c r="BC412" s="314"/>
      <c r="BD412" s="314"/>
      <c r="BE412" s="314"/>
      <c r="BF412" s="314"/>
      <c r="BG412" s="314"/>
      <c r="BH412" s="314"/>
      <c r="BI412" s="314"/>
      <c r="BJ412" s="314"/>
      <c r="BK412" s="40"/>
      <c r="BL412" s="40"/>
      <c r="BM412" s="40"/>
      <c r="BN412" s="40"/>
      <c r="BO412" s="40"/>
      <c r="BP412" s="155"/>
      <c r="BQ412" s="314"/>
      <c r="BR412" s="314"/>
      <c r="BS412" s="314"/>
      <c r="BT412" s="314"/>
      <c r="BU412" s="314"/>
      <c r="BV412" s="314"/>
      <c r="BW412" s="314"/>
      <c r="BX412" s="155"/>
    </row>
    <row r="413" spans="1:76" ht="15.75" customHeight="1">
      <c r="A413" s="25"/>
      <c r="B413" s="39"/>
      <c r="C413" s="155"/>
      <c r="D413" s="155"/>
      <c r="E413" s="40"/>
      <c r="F413" s="314"/>
      <c r="H413" s="315"/>
      <c r="I413" s="315"/>
      <c r="BA413" s="30"/>
      <c r="BB413" s="155"/>
      <c r="BC413" s="314"/>
      <c r="BD413" s="314"/>
      <c r="BE413" s="314"/>
      <c r="BF413" s="314"/>
      <c r="BG413" s="314"/>
      <c r="BH413" s="314"/>
      <c r="BI413" s="314"/>
      <c r="BJ413" s="314"/>
      <c r="BK413" s="40"/>
      <c r="BL413" s="40"/>
      <c r="BM413" s="40"/>
      <c r="BN413" s="40"/>
      <c r="BO413" s="40"/>
      <c r="BP413" s="155"/>
      <c r="BQ413" s="314"/>
      <c r="BR413" s="314"/>
      <c r="BS413" s="314"/>
      <c r="BT413" s="314"/>
      <c r="BU413" s="314"/>
      <c r="BV413" s="314"/>
      <c r="BW413" s="314"/>
      <c r="BX413" s="155"/>
    </row>
    <row r="414" spans="1:76" ht="15.75" customHeight="1">
      <c r="A414" s="25"/>
      <c r="B414" s="39"/>
      <c r="C414" s="155"/>
      <c r="D414" s="155"/>
      <c r="E414" s="341"/>
      <c r="F414" s="314"/>
      <c r="H414" s="315"/>
      <c r="I414" s="315"/>
      <c r="BA414" s="30"/>
      <c r="BB414" s="321"/>
      <c r="BC414" s="314"/>
      <c r="BD414" s="314"/>
      <c r="BE414" s="314"/>
      <c r="BF414" s="314"/>
      <c r="BG414" s="314"/>
      <c r="BH414" s="314"/>
      <c r="BI414" s="314"/>
      <c r="BJ414" s="314"/>
      <c r="BK414" s="40"/>
      <c r="BL414" s="40"/>
      <c r="BM414" s="40"/>
      <c r="BN414" s="40"/>
      <c r="BO414" s="40"/>
      <c r="BP414" s="155"/>
      <c r="BQ414" s="314"/>
      <c r="BR414" s="314"/>
      <c r="BS414" s="314"/>
      <c r="BT414" s="314"/>
      <c r="BU414" s="314"/>
      <c r="BV414" s="314"/>
      <c r="BW414" s="314"/>
      <c r="BX414" s="155"/>
    </row>
    <row r="415" spans="1:76" ht="15.75" customHeight="1">
      <c r="A415" s="25"/>
      <c r="B415" s="39"/>
      <c r="C415" s="155"/>
      <c r="D415" s="155"/>
      <c r="E415" s="40"/>
      <c r="F415" s="314"/>
      <c r="H415" s="315"/>
      <c r="I415" s="315"/>
      <c r="BA415" s="30"/>
      <c r="BB415" s="155"/>
      <c r="BC415" s="314"/>
      <c r="BD415" s="314"/>
      <c r="BE415" s="314"/>
      <c r="BF415" s="314"/>
      <c r="BG415" s="314"/>
      <c r="BH415" s="314"/>
      <c r="BI415" s="314"/>
      <c r="BJ415" s="314"/>
      <c r="BK415" s="40"/>
      <c r="BL415" s="40"/>
      <c r="BM415" s="40"/>
      <c r="BN415" s="40"/>
      <c r="BO415" s="40"/>
      <c r="BP415" s="155"/>
      <c r="BQ415" s="314"/>
      <c r="BR415" s="314"/>
      <c r="BS415" s="314"/>
      <c r="BT415" s="314"/>
      <c r="BU415" s="314"/>
      <c r="BV415" s="314"/>
      <c r="BW415" s="314"/>
      <c r="BX415" s="155"/>
    </row>
    <row r="416" spans="1:76" ht="15.75" customHeight="1">
      <c r="A416" s="25"/>
      <c r="B416" s="39"/>
      <c r="C416" s="155"/>
      <c r="D416" s="155"/>
      <c r="E416" s="40"/>
      <c r="F416" s="314"/>
      <c r="H416" s="315"/>
      <c r="I416" s="315"/>
      <c r="BA416" s="30"/>
      <c r="BB416" s="155"/>
      <c r="BC416" s="314"/>
      <c r="BD416" s="314"/>
      <c r="BE416" s="314"/>
      <c r="BF416" s="314"/>
      <c r="BG416" s="314"/>
      <c r="BH416" s="314"/>
      <c r="BI416" s="314"/>
      <c r="BJ416" s="314"/>
      <c r="BK416" s="40"/>
      <c r="BL416" s="40"/>
      <c r="BM416" s="40"/>
      <c r="BN416" s="40"/>
      <c r="BO416" s="40"/>
      <c r="BP416" s="155"/>
      <c r="BQ416" s="314"/>
      <c r="BR416" s="314"/>
      <c r="BS416" s="314"/>
      <c r="BT416" s="314"/>
      <c r="BU416" s="314"/>
      <c r="BV416" s="314"/>
      <c r="BW416" s="314"/>
      <c r="BX416" s="155"/>
    </row>
    <row r="417" spans="1:76" ht="15.75" customHeight="1">
      <c r="A417" s="25"/>
      <c r="B417" s="39"/>
      <c r="C417" s="155"/>
      <c r="D417" s="155"/>
      <c r="E417" s="40"/>
      <c r="F417" s="314"/>
      <c r="H417" s="315"/>
      <c r="I417" s="315"/>
      <c r="BA417" s="30"/>
      <c r="BB417" s="155"/>
      <c r="BC417" s="314"/>
      <c r="BD417" s="314"/>
      <c r="BE417" s="314"/>
      <c r="BF417" s="314"/>
      <c r="BG417" s="314"/>
      <c r="BH417" s="314"/>
      <c r="BI417" s="314"/>
      <c r="BJ417" s="314"/>
      <c r="BK417" s="40"/>
      <c r="BL417" s="40"/>
      <c r="BM417" s="40"/>
      <c r="BN417" s="40"/>
      <c r="BO417" s="40"/>
      <c r="BP417" s="155"/>
      <c r="BQ417" s="314"/>
      <c r="BR417" s="314"/>
      <c r="BS417" s="314"/>
      <c r="BT417" s="314"/>
      <c r="BU417" s="314"/>
      <c r="BV417" s="314"/>
      <c r="BW417" s="314"/>
      <c r="BX417" s="155"/>
    </row>
    <row r="418" spans="1:76" ht="15.75" customHeight="1">
      <c r="A418" s="25"/>
      <c r="B418" s="39"/>
      <c r="C418" s="155"/>
      <c r="D418" s="155"/>
      <c r="E418" s="40"/>
      <c r="F418" s="314"/>
      <c r="H418" s="315"/>
      <c r="I418" s="315"/>
      <c r="BA418" s="30"/>
      <c r="BB418" s="155"/>
      <c r="BC418" s="314"/>
      <c r="BD418" s="314"/>
      <c r="BE418" s="314"/>
      <c r="BF418" s="314"/>
      <c r="BG418" s="314"/>
      <c r="BH418" s="314"/>
      <c r="BI418" s="314"/>
      <c r="BJ418" s="314"/>
      <c r="BK418" s="40"/>
      <c r="BL418" s="40"/>
      <c r="BM418" s="40"/>
      <c r="BN418" s="40"/>
      <c r="BO418" s="40"/>
      <c r="BP418" s="155"/>
      <c r="BQ418" s="314"/>
      <c r="BR418" s="314"/>
      <c r="BS418" s="314"/>
      <c r="BT418" s="314"/>
      <c r="BU418" s="314"/>
      <c r="BV418" s="314"/>
      <c r="BW418" s="314"/>
      <c r="BX418" s="155"/>
    </row>
    <row r="419" spans="1:76" ht="15.75" customHeight="1">
      <c r="A419" s="25"/>
      <c r="B419" s="39"/>
      <c r="C419" s="155"/>
      <c r="D419" s="155"/>
      <c r="E419" s="40"/>
      <c r="F419" s="314"/>
      <c r="H419" s="315"/>
      <c r="I419" s="315"/>
      <c r="BA419" s="30"/>
      <c r="BB419" s="155"/>
      <c r="BC419" s="314"/>
      <c r="BD419" s="314"/>
      <c r="BE419" s="314"/>
      <c r="BF419" s="314"/>
      <c r="BG419" s="314"/>
      <c r="BH419" s="314"/>
      <c r="BI419" s="314"/>
      <c r="BJ419" s="314"/>
      <c r="BK419" s="40"/>
      <c r="BL419" s="40"/>
      <c r="BM419" s="40"/>
      <c r="BN419" s="40"/>
      <c r="BO419" s="40"/>
      <c r="BP419" s="155"/>
      <c r="BQ419" s="314"/>
      <c r="BR419" s="314"/>
      <c r="BS419" s="314"/>
      <c r="BT419" s="314"/>
      <c r="BU419" s="314"/>
      <c r="BV419" s="314"/>
      <c r="BW419" s="314"/>
      <c r="BX419" s="155"/>
    </row>
    <row r="420" spans="1:76" ht="15.75" customHeight="1">
      <c r="A420" s="25"/>
      <c r="B420" s="39"/>
      <c r="C420" s="155"/>
      <c r="D420" s="155"/>
      <c r="E420" s="40"/>
      <c r="F420" s="314"/>
      <c r="H420" s="315"/>
      <c r="I420" s="315"/>
      <c r="BA420" s="30"/>
      <c r="BB420" s="155"/>
      <c r="BC420" s="314"/>
      <c r="BD420" s="314"/>
      <c r="BE420" s="314"/>
      <c r="BF420" s="314"/>
      <c r="BG420" s="314"/>
      <c r="BH420" s="314"/>
      <c r="BI420" s="314"/>
      <c r="BJ420" s="314"/>
      <c r="BK420" s="40"/>
      <c r="BL420" s="40"/>
      <c r="BM420" s="40"/>
      <c r="BN420" s="40"/>
      <c r="BO420" s="40"/>
      <c r="BP420" s="155"/>
      <c r="BQ420" s="314"/>
      <c r="BR420" s="314"/>
      <c r="BS420" s="314"/>
      <c r="BT420" s="314"/>
      <c r="BU420" s="314"/>
      <c r="BV420" s="314"/>
      <c r="BW420" s="314"/>
      <c r="BX420" s="155"/>
    </row>
    <row r="421" spans="1:76" ht="15.75" customHeight="1">
      <c r="A421" s="25"/>
      <c r="B421" s="39"/>
      <c r="C421" s="155"/>
      <c r="D421" s="155"/>
      <c r="E421" s="40"/>
      <c r="F421" s="314"/>
      <c r="H421" s="315"/>
      <c r="I421" s="315"/>
      <c r="BA421" s="30"/>
      <c r="BB421" s="155"/>
      <c r="BC421" s="314"/>
      <c r="BD421" s="314"/>
      <c r="BE421" s="314"/>
      <c r="BF421" s="314"/>
      <c r="BG421" s="314"/>
      <c r="BH421" s="314"/>
      <c r="BI421" s="314"/>
      <c r="BJ421" s="314"/>
      <c r="BK421" s="40"/>
      <c r="BL421" s="40"/>
      <c r="BM421" s="40"/>
      <c r="BN421" s="40"/>
      <c r="BO421" s="40"/>
      <c r="BP421" s="155"/>
      <c r="BQ421" s="314"/>
      <c r="BR421" s="314"/>
      <c r="BS421" s="314"/>
      <c r="BT421" s="314"/>
      <c r="BU421" s="314"/>
      <c r="BV421" s="314"/>
      <c r="BW421" s="314"/>
      <c r="BX421" s="155"/>
    </row>
    <row r="422" spans="1:76" ht="15.75" customHeight="1">
      <c r="A422" s="25"/>
      <c r="B422" s="39"/>
      <c r="C422" s="155"/>
      <c r="D422" s="155"/>
      <c r="E422" s="341"/>
      <c r="F422" s="314"/>
      <c r="H422" s="315"/>
      <c r="I422" s="315"/>
      <c r="BA422" s="30"/>
      <c r="BB422" s="321"/>
      <c r="BC422" s="314"/>
      <c r="BD422" s="314"/>
      <c r="BE422" s="314"/>
      <c r="BF422" s="314"/>
      <c r="BG422" s="314"/>
      <c r="BH422" s="314"/>
      <c r="BI422" s="314"/>
      <c r="BJ422" s="314"/>
      <c r="BK422" s="40"/>
      <c r="BL422" s="40"/>
      <c r="BM422" s="40"/>
      <c r="BN422" s="40"/>
      <c r="BO422" s="40"/>
      <c r="BP422" s="155"/>
      <c r="BQ422" s="314"/>
      <c r="BR422" s="314"/>
      <c r="BS422" s="314"/>
      <c r="BT422" s="314"/>
      <c r="BU422" s="314"/>
      <c r="BV422" s="314"/>
      <c r="BW422" s="314"/>
      <c r="BX422" s="155"/>
    </row>
    <row r="423" spans="1:76" ht="15.75" customHeight="1">
      <c r="A423" s="25"/>
      <c r="B423" s="39"/>
      <c r="C423" s="155"/>
      <c r="D423" s="155"/>
      <c r="E423" s="40"/>
      <c r="F423" s="314"/>
      <c r="H423" s="315"/>
      <c r="I423" s="315"/>
      <c r="BA423" s="30"/>
      <c r="BB423" s="155"/>
      <c r="BC423" s="314"/>
      <c r="BD423" s="314"/>
      <c r="BE423" s="314"/>
      <c r="BF423" s="314"/>
      <c r="BG423" s="314"/>
      <c r="BH423" s="314"/>
      <c r="BI423" s="314"/>
      <c r="BJ423" s="314"/>
      <c r="BK423" s="40"/>
      <c r="BL423" s="40"/>
      <c r="BM423" s="40"/>
      <c r="BN423" s="40"/>
      <c r="BO423" s="40"/>
      <c r="BP423" s="155"/>
      <c r="BQ423" s="314"/>
      <c r="BR423" s="314"/>
      <c r="BS423" s="314"/>
      <c r="BT423" s="314"/>
      <c r="BU423" s="314"/>
      <c r="BV423" s="314"/>
      <c r="BW423" s="314"/>
      <c r="BX423" s="155"/>
    </row>
    <row r="424" spans="1:76" ht="15.75" customHeight="1">
      <c r="A424" s="25"/>
      <c r="B424" s="39"/>
      <c r="C424" s="155"/>
      <c r="D424" s="155"/>
      <c r="E424" s="40"/>
      <c r="F424" s="314"/>
      <c r="H424" s="315"/>
      <c r="I424" s="315"/>
      <c r="BA424" s="30"/>
      <c r="BB424" s="155"/>
      <c r="BC424" s="314"/>
      <c r="BD424" s="314"/>
      <c r="BE424" s="314"/>
      <c r="BF424" s="314"/>
      <c r="BG424" s="314"/>
      <c r="BH424" s="314"/>
      <c r="BI424" s="314"/>
      <c r="BJ424" s="314"/>
      <c r="BK424" s="40"/>
      <c r="BL424" s="40"/>
      <c r="BM424" s="40"/>
      <c r="BN424" s="40"/>
      <c r="BO424" s="40"/>
      <c r="BP424" s="155"/>
      <c r="BQ424" s="314"/>
      <c r="BR424" s="314"/>
      <c r="BS424" s="314"/>
      <c r="BT424" s="314"/>
      <c r="BU424" s="314"/>
      <c r="BV424" s="314"/>
      <c r="BW424" s="314"/>
      <c r="BX424" s="155"/>
    </row>
    <row r="425" spans="1:76" ht="15.75" customHeight="1">
      <c r="A425" s="25"/>
      <c r="B425" s="39"/>
      <c r="C425" s="155"/>
      <c r="D425" s="155"/>
      <c r="E425" s="40"/>
      <c r="F425" s="314"/>
      <c r="H425" s="315"/>
      <c r="I425" s="315"/>
      <c r="BA425" s="30"/>
      <c r="BB425" s="155"/>
      <c r="BC425" s="314"/>
      <c r="BD425" s="314"/>
      <c r="BE425" s="314"/>
      <c r="BF425" s="314"/>
      <c r="BG425" s="314"/>
      <c r="BH425" s="314"/>
      <c r="BI425" s="314"/>
      <c r="BJ425" s="314"/>
      <c r="BK425" s="40"/>
      <c r="BL425" s="40"/>
      <c r="BM425" s="40"/>
      <c r="BN425" s="40"/>
      <c r="BO425" s="40"/>
      <c r="BP425" s="155"/>
      <c r="BQ425" s="314"/>
      <c r="BR425" s="314"/>
      <c r="BS425" s="314"/>
      <c r="BT425" s="314"/>
      <c r="BU425" s="314"/>
      <c r="BV425" s="314"/>
      <c r="BW425" s="314"/>
      <c r="BX425" s="155"/>
    </row>
    <row r="426" spans="1:76" ht="15.75" customHeight="1">
      <c r="A426" s="25"/>
      <c r="B426" s="39"/>
      <c r="C426" s="155"/>
      <c r="D426" s="155"/>
      <c r="E426" s="40"/>
      <c r="F426" s="314"/>
      <c r="H426" s="315"/>
      <c r="I426" s="315"/>
      <c r="BA426" s="30"/>
      <c r="BB426" s="155"/>
      <c r="BC426" s="314"/>
      <c r="BD426" s="314"/>
      <c r="BE426" s="314"/>
      <c r="BF426" s="314"/>
      <c r="BG426" s="314"/>
      <c r="BH426" s="314"/>
      <c r="BI426" s="314"/>
      <c r="BJ426" s="314"/>
      <c r="BK426" s="40"/>
      <c r="BL426" s="40"/>
      <c r="BM426" s="40"/>
      <c r="BN426" s="40"/>
      <c r="BO426" s="40"/>
      <c r="BP426" s="155"/>
      <c r="BQ426" s="314"/>
      <c r="BR426" s="314"/>
      <c r="BS426" s="314"/>
      <c r="BT426" s="314"/>
      <c r="BU426" s="314"/>
      <c r="BV426" s="314"/>
      <c r="BW426" s="314"/>
      <c r="BX426" s="155"/>
    </row>
    <row r="427" spans="1:76" ht="15.75" customHeight="1">
      <c r="A427" s="25"/>
      <c r="B427" s="39"/>
      <c r="C427" s="155"/>
      <c r="D427" s="155"/>
      <c r="E427" s="40"/>
      <c r="F427" s="314"/>
      <c r="H427" s="315"/>
      <c r="I427" s="315"/>
      <c r="BA427" s="30"/>
      <c r="BB427" s="155"/>
      <c r="BC427" s="314"/>
      <c r="BD427" s="314"/>
      <c r="BE427" s="314"/>
      <c r="BF427" s="314"/>
      <c r="BG427" s="314"/>
      <c r="BH427" s="314"/>
      <c r="BI427" s="314"/>
      <c r="BJ427" s="314"/>
      <c r="BK427" s="40"/>
      <c r="BL427" s="40"/>
      <c r="BM427" s="40"/>
      <c r="BN427" s="40"/>
      <c r="BO427" s="40"/>
      <c r="BP427" s="155"/>
      <c r="BQ427" s="314"/>
      <c r="BR427" s="314"/>
      <c r="BS427" s="314"/>
      <c r="BT427" s="314"/>
      <c r="BU427" s="314"/>
      <c r="BV427" s="314"/>
      <c r="BW427" s="314"/>
      <c r="BX427" s="155"/>
    </row>
    <row r="428" spans="1:76" ht="15.75" customHeight="1">
      <c r="A428" s="25"/>
      <c r="B428" s="39"/>
      <c r="C428" s="155"/>
      <c r="D428" s="155"/>
      <c r="E428" s="40"/>
      <c r="F428" s="314"/>
      <c r="H428" s="315"/>
      <c r="I428" s="315"/>
      <c r="BA428" s="30"/>
      <c r="BB428" s="155"/>
      <c r="BC428" s="314"/>
      <c r="BD428" s="314"/>
      <c r="BE428" s="314"/>
      <c r="BF428" s="314"/>
      <c r="BG428" s="314"/>
      <c r="BH428" s="314"/>
      <c r="BI428" s="314"/>
      <c r="BJ428" s="314"/>
      <c r="BK428" s="40"/>
      <c r="BL428" s="40"/>
      <c r="BM428" s="40"/>
      <c r="BN428" s="40"/>
      <c r="BO428" s="40"/>
      <c r="BP428" s="155"/>
      <c r="BQ428" s="314"/>
      <c r="BR428" s="314"/>
      <c r="BS428" s="314"/>
      <c r="BT428" s="314"/>
      <c r="BU428" s="314"/>
      <c r="BV428" s="314"/>
      <c r="BW428" s="314"/>
      <c r="BX428" s="155"/>
    </row>
    <row r="429" spans="1:76" ht="15.75" customHeight="1">
      <c r="A429" s="25"/>
      <c r="B429" s="39"/>
      <c r="C429" s="155"/>
      <c r="D429" s="155"/>
      <c r="E429" s="40"/>
      <c r="F429" s="314"/>
      <c r="H429" s="315"/>
      <c r="I429" s="315"/>
      <c r="BA429" s="30"/>
      <c r="BB429" s="155"/>
      <c r="BC429" s="314"/>
      <c r="BD429" s="314"/>
      <c r="BE429" s="314"/>
      <c r="BF429" s="314"/>
      <c r="BG429" s="314"/>
      <c r="BH429" s="314"/>
      <c r="BI429" s="314"/>
      <c r="BJ429" s="314"/>
      <c r="BK429" s="40"/>
      <c r="BL429" s="40"/>
      <c r="BM429" s="40"/>
      <c r="BN429" s="40"/>
      <c r="BO429" s="40"/>
      <c r="BP429" s="155"/>
      <c r="BQ429" s="314"/>
      <c r="BR429" s="314"/>
      <c r="BS429" s="314"/>
      <c r="BT429" s="314"/>
      <c r="BU429" s="314"/>
      <c r="BV429" s="314"/>
      <c r="BW429" s="314"/>
      <c r="BX429" s="155"/>
    </row>
    <row r="430" spans="1:76" ht="15.75" customHeight="1">
      <c r="A430" s="25"/>
      <c r="B430" s="39"/>
      <c r="C430" s="155"/>
      <c r="D430" s="155"/>
      <c r="E430" s="341"/>
      <c r="F430" s="314"/>
      <c r="H430" s="315"/>
      <c r="I430" s="315"/>
      <c r="BA430" s="30"/>
      <c r="BB430" s="321"/>
      <c r="BC430" s="314"/>
      <c r="BD430" s="314"/>
      <c r="BE430" s="314"/>
      <c r="BF430" s="314"/>
      <c r="BG430" s="314"/>
      <c r="BH430" s="314"/>
      <c r="BI430" s="314"/>
      <c r="BJ430" s="314"/>
      <c r="BK430" s="40"/>
      <c r="BL430" s="40"/>
      <c r="BM430" s="40"/>
      <c r="BN430" s="40"/>
      <c r="BO430" s="40"/>
      <c r="BP430" s="155"/>
      <c r="BQ430" s="314"/>
      <c r="BR430" s="314"/>
      <c r="BS430" s="314"/>
      <c r="BT430" s="314"/>
      <c r="BU430" s="314"/>
      <c r="BV430" s="314"/>
      <c r="BW430" s="314"/>
      <c r="BX430" s="155"/>
    </row>
    <row r="431" spans="1:76" ht="15.75" customHeight="1">
      <c r="A431" s="25"/>
      <c r="B431" s="39"/>
      <c r="C431" s="155"/>
      <c r="D431" s="155"/>
      <c r="E431" s="40"/>
      <c r="F431" s="314"/>
      <c r="H431" s="315"/>
      <c r="I431" s="315"/>
      <c r="BA431" s="30"/>
      <c r="BB431" s="155"/>
      <c r="BC431" s="314"/>
      <c r="BD431" s="314"/>
      <c r="BE431" s="314"/>
      <c r="BF431" s="314"/>
      <c r="BG431" s="314"/>
      <c r="BH431" s="314"/>
      <c r="BI431" s="314"/>
      <c r="BJ431" s="314"/>
      <c r="BK431" s="40"/>
      <c r="BL431" s="40"/>
      <c r="BM431" s="40"/>
      <c r="BN431" s="40"/>
      <c r="BO431" s="40"/>
      <c r="BP431" s="155"/>
      <c r="BQ431" s="314"/>
      <c r="BR431" s="314"/>
      <c r="BS431" s="314"/>
      <c r="BT431" s="314"/>
      <c r="BU431" s="314"/>
      <c r="BV431" s="314"/>
      <c r="BW431" s="314"/>
      <c r="BX431" s="155"/>
    </row>
    <row r="432" spans="1:76" ht="15.75" customHeight="1">
      <c r="A432" s="25"/>
      <c r="B432" s="39"/>
      <c r="C432" s="155"/>
      <c r="D432" s="155"/>
      <c r="E432" s="40"/>
      <c r="F432" s="314"/>
      <c r="H432" s="315"/>
      <c r="I432" s="315"/>
      <c r="BA432" s="30"/>
      <c r="BB432" s="155"/>
      <c r="BC432" s="314"/>
      <c r="BD432" s="314"/>
      <c r="BE432" s="314"/>
      <c r="BF432" s="314"/>
      <c r="BG432" s="314"/>
      <c r="BH432" s="314"/>
      <c r="BI432" s="314"/>
      <c r="BJ432" s="314"/>
      <c r="BK432" s="40"/>
      <c r="BL432" s="40"/>
      <c r="BM432" s="40"/>
      <c r="BN432" s="40"/>
      <c r="BO432" s="40"/>
      <c r="BP432" s="155"/>
      <c r="BQ432" s="314"/>
      <c r="BR432" s="314"/>
      <c r="BS432" s="314"/>
      <c r="BT432" s="314"/>
      <c r="BU432" s="314"/>
      <c r="BV432" s="314"/>
      <c r="BW432" s="314"/>
      <c r="BX432" s="155"/>
    </row>
    <row r="433" spans="1:76" ht="15.75" customHeight="1">
      <c r="A433" s="25"/>
      <c r="B433" s="39"/>
      <c r="C433" s="155"/>
      <c r="D433" s="155"/>
      <c r="E433" s="40"/>
      <c r="F433" s="314"/>
      <c r="H433" s="315"/>
      <c r="I433" s="315"/>
      <c r="BA433" s="30"/>
      <c r="BB433" s="155"/>
      <c r="BC433" s="314"/>
      <c r="BD433" s="314"/>
      <c r="BE433" s="314"/>
      <c r="BF433" s="314"/>
      <c r="BG433" s="314"/>
      <c r="BH433" s="314"/>
      <c r="BI433" s="314"/>
      <c r="BJ433" s="314"/>
      <c r="BK433" s="40"/>
      <c r="BL433" s="40"/>
      <c r="BM433" s="40"/>
      <c r="BN433" s="40"/>
      <c r="BO433" s="40"/>
      <c r="BP433" s="155"/>
      <c r="BQ433" s="314"/>
      <c r="BR433" s="314"/>
      <c r="BS433" s="314"/>
      <c r="BT433" s="314"/>
      <c r="BU433" s="314"/>
      <c r="BV433" s="314"/>
      <c r="BW433" s="314"/>
      <c r="BX433" s="155"/>
    </row>
    <row r="434" spans="1:76" ht="15.75" customHeight="1">
      <c r="A434" s="25"/>
      <c r="B434" s="39"/>
      <c r="C434" s="155"/>
      <c r="D434" s="155"/>
      <c r="E434" s="40"/>
      <c r="F434" s="314"/>
      <c r="H434" s="315"/>
      <c r="I434" s="315"/>
      <c r="BA434" s="30"/>
      <c r="BB434" s="155"/>
      <c r="BC434" s="314"/>
      <c r="BD434" s="314"/>
      <c r="BE434" s="314"/>
      <c r="BF434" s="314"/>
      <c r="BG434" s="314"/>
      <c r="BH434" s="314"/>
      <c r="BI434" s="314"/>
      <c r="BJ434" s="314"/>
      <c r="BK434" s="40"/>
      <c r="BL434" s="40"/>
      <c r="BM434" s="40"/>
      <c r="BN434" s="40"/>
      <c r="BO434" s="40"/>
      <c r="BP434" s="155"/>
      <c r="BQ434" s="314"/>
      <c r="BR434" s="314"/>
      <c r="BS434" s="314"/>
      <c r="BT434" s="314"/>
      <c r="BU434" s="314"/>
      <c r="BV434" s="314"/>
      <c r="BW434" s="314"/>
      <c r="BX434" s="155"/>
    </row>
    <row r="435" spans="1:76" ht="15.75" customHeight="1">
      <c r="A435" s="25"/>
      <c r="B435" s="39"/>
      <c r="C435" s="155"/>
      <c r="D435" s="155"/>
      <c r="E435" s="40"/>
      <c r="F435" s="314"/>
      <c r="H435" s="315"/>
      <c r="I435" s="315"/>
      <c r="BA435" s="30"/>
      <c r="BB435" s="155"/>
      <c r="BC435" s="314"/>
      <c r="BD435" s="314"/>
      <c r="BE435" s="314"/>
      <c r="BF435" s="314"/>
      <c r="BG435" s="314"/>
      <c r="BH435" s="314"/>
      <c r="BI435" s="314"/>
      <c r="BJ435" s="314"/>
      <c r="BK435" s="40"/>
      <c r="BL435" s="40"/>
      <c r="BM435" s="40"/>
      <c r="BN435" s="40"/>
      <c r="BO435" s="40"/>
      <c r="BP435" s="155"/>
      <c r="BQ435" s="314"/>
      <c r="BR435" s="314"/>
      <c r="BS435" s="314"/>
      <c r="BT435" s="314"/>
      <c r="BU435" s="314"/>
      <c r="BV435" s="314"/>
      <c r="BW435" s="314"/>
      <c r="BX435" s="155"/>
    </row>
    <row r="436" spans="1:76" ht="15.75" customHeight="1">
      <c r="A436" s="25"/>
      <c r="B436" s="39"/>
      <c r="C436" s="155"/>
      <c r="D436" s="155"/>
      <c r="E436" s="40"/>
      <c r="F436" s="314"/>
      <c r="H436" s="315"/>
      <c r="I436" s="315"/>
      <c r="BA436" s="30"/>
      <c r="BB436" s="155"/>
      <c r="BC436" s="314"/>
      <c r="BD436" s="314"/>
      <c r="BE436" s="314"/>
      <c r="BF436" s="314"/>
      <c r="BG436" s="314"/>
      <c r="BH436" s="314"/>
      <c r="BI436" s="314"/>
      <c r="BJ436" s="314"/>
      <c r="BK436" s="40"/>
      <c r="BL436" s="40"/>
      <c r="BM436" s="40"/>
      <c r="BN436" s="40"/>
      <c r="BO436" s="40"/>
      <c r="BP436" s="155"/>
      <c r="BQ436" s="314"/>
      <c r="BR436" s="314"/>
      <c r="BS436" s="314"/>
      <c r="BT436" s="314"/>
      <c r="BU436" s="314"/>
      <c r="BV436" s="314"/>
      <c r="BW436" s="314"/>
      <c r="BX436" s="155"/>
    </row>
    <row r="437" spans="1:76" ht="15.75" customHeight="1">
      <c r="A437" s="25"/>
      <c r="B437" s="39"/>
      <c r="C437" s="155"/>
      <c r="D437" s="155"/>
      <c r="E437" s="40"/>
      <c r="F437" s="314"/>
      <c r="H437" s="315"/>
      <c r="I437" s="315"/>
      <c r="BA437" s="30"/>
      <c r="BB437" s="155"/>
      <c r="BC437" s="314"/>
      <c r="BD437" s="314"/>
      <c r="BE437" s="314"/>
      <c r="BF437" s="314"/>
      <c r="BG437" s="314"/>
      <c r="BH437" s="314"/>
      <c r="BI437" s="314"/>
      <c r="BJ437" s="314"/>
      <c r="BK437" s="40"/>
      <c r="BL437" s="40"/>
      <c r="BM437" s="40"/>
      <c r="BN437" s="40"/>
      <c r="BO437" s="40"/>
      <c r="BP437" s="155"/>
      <c r="BQ437" s="314"/>
      <c r="BR437" s="314"/>
      <c r="BS437" s="314"/>
      <c r="BT437" s="314"/>
      <c r="BU437" s="314"/>
      <c r="BV437" s="314"/>
      <c r="BW437" s="314"/>
      <c r="BX437" s="155"/>
    </row>
    <row r="438" spans="1:76" ht="15.75" customHeight="1">
      <c r="A438" s="25"/>
      <c r="B438" s="39"/>
      <c r="C438" s="155"/>
      <c r="D438" s="155"/>
      <c r="E438" s="341"/>
      <c r="F438" s="314"/>
      <c r="H438" s="315"/>
      <c r="I438" s="315"/>
      <c r="BA438" s="30"/>
      <c r="BB438" s="321"/>
      <c r="BC438" s="314"/>
      <c r="BD438" s="314"/>
      <c r="BE438" s="314"/>
      <c r="BF438" s="314"/>
      <c r="BG438" s="314"/>
      <c r="BH438" s="314"/>
      <c r="BI438" s="314"/>
      <c r="BJ438" s="314"/>
      <c r="BK438" s="40"/>
      <c r="BL438" s="40"/>
      <c r="BM438" s="40"/>
      <c r="BN438" s="40"/>
      <c r="BO438" s="40"/>
      <c r="BP438" s="155"/>
      <c r="BQ438" s="314"/>
      <c r="BR438" s="314"/>
      <c r="BS438" s="314"/>
      <c r="BT438" s="314"/>
      <c r="BU438" s="314"/>
      <c r="BV438" s="314"/>
      <c r="BW438" s="314"/>
      <c r="BX438" s="155"/>
    </row>
    <row r="439" spans="1:76" ht="15.75" customHeight="1">
      <c r="A439" s="25"/>
      <c r="B439" s="39"/>
      <c r="C439" s="155"/>
      <c r="D439" s="155"/>
      <c r="E439" s="40"/>
      <c r="F439" s="314"/>
      <c r="H439" s="315"/>
      <c r="I439" s="315"/>
      <c r="BA439" s="30"/>
      <c r="BB439" s="155"/>
      <c r="BC439" s="314"/>
      <c r="BD439" s="314"/>
      <c r="BE439" s="314"/>
      <c r="BF439" s="314"/>
      <c r="BG439" s="314"/>
      <c r="BH439" s="314"/>
      <c r="BI439" s="314"/>
      <c r="BJ439" s="314"/>
      <c r="BK439" s="40"/>
      <c r="BL439" s="40"/>
      <c r="BM439" s="40"/>
      <c r="BN439" s="40"/>
      <c r="BO439" s="40"/>
      <c r="BP439" s="155"/>
      <c r="BQ439" s="314"/>
      <c r="BR439" s="314"/>
      <c r="BS439" s="314"/>
      <c r="BT439" s="314"/>
      <c r="BU439" s="314"/>
      <c r="BV439" s="314"/>
      <c r="BW439" s="314"/>
      <c r="BX439" s="155"/>
    </row>
    <row r="440" spans="1:76" ht="15.75" customHeight="1">
      <c r="A440" s="25"/>
      <c r="B440" s="39"/>
      <c r="C440" s="155"/>
      <c r="D440" s="155"/>
      <c r="E440" s="40"/>
      <c r="F440" s="314"/>
      <c r="H440" s="315"/>
      <c r="I440" s="315"/>
      <c r="BA440" s="30"/>
      <c r="BB440" s="155"/>
      <c r="BC440" s="314"/>
      <c r="BD440" s="314"/>
      <c r="BE440" s="314"/>
      <c r="BF440" s="314"/>
      <c r="BG440" s="314"/>
      <c r="BH440" s="314"/>
      <c r="BI440" s="314"/>
      <c r="BJ440" s="314"/>
      <c r="BK440" s="40"/>
      <c r="BL440" s="40"/>
      <c r="BM440" s="40"/>
      <c r="BN440" s="40"/>
      <c r="BO440" s="40"/>
      <c r="BP440" s="155"/>
      <c r="BQ440" s="314"/>
      <c r="BR440" s="314"/>
      <c r="BS440" s="314"/>
      <c r="BT440" s="314"/>
      <c r="BU440" s="314"/>
      <c r="BV440" s="314"/>
      <c r="BW440" s="314"/>
      <c r="BX440" s="155"/>
    </row>
    <row r="441" spans="1:76" ht="15.75" customHeight="1">
      <c r="A441" s="25"/>
      <c r="B441" s="39"/>
      <c r="C441" s="155"/>
      <c r="D441" s="155"/>
      <c r="E441" s="40"/>
      <c r="F441" s="314"/>
      <c r="H441" s="315"/>
      <c r="I441" s="315"/>
      <c r="BA441" s="30"/>
      <c r="BB441" s="155"/>
      <c r="BC441" s="314"/>
      <c r="BD441" s="314"/>
      <c r="BE441" s="314"/>
      <c r="BF441" s="314"/>
      <c r="BG441" s="314"/>
      <c r="BH441" s="314"/>
      <c r="BI441" s="314"/>
      <c r="BJ441" s="314"/>
      <c r="BK441" s="40"/>
      <c r="BL441" s="40"/>
      <c r="BM441" s="40"/>
      <c r="BN441" s="40"/>
      <c r="BO441" s="40"/>
      <c r="BP441" s="155"/>
      <c r="BQ441" s="314"/>
      <c r="BR441" s="314"/>
      <c r="BS441" s="314"/>
      <c r="BT441" s="314"/>
      <c r="BU441" s="314"/>
      <c r="BV441" s="314"/>
      <c r="BW441" s="314"/>
      <c r="BX441" s="155"/>
    </row>
    <row r="442" spans="1:76" ht="15.75" customHeight="1">
      <c r="A442" s="25"/>
      <c r="B442" s="39"/>
      <c r="C442" s="155"/>
      <c r="D442" s="155"/>
      <c r="E442" s="40"/>
      <c r="F442" s="314"/>
      <c r="H442" s="315"/>
      <c r="I442" s="315"/>
      <c r="BA442" s="30"/>
      <c r="BB442" s="155"/>
      <c r="BC442" s="314"/>
      <c r="BD442" s="314"/>
      <c r="BE442" s="314"/>
      <c r="BF442" s="314"/>
      <c r="BG442" s="314"/>
      <c r="BH442" s="314"/>
      <c r="BI442" s="314"/>
      <c r="BJ442" s="314"/>
      <c r="BK442" s="40"/>
      <c r="BL442" s="40"/>
      <c r="BM442" s="40"/>
      <c r="BN442" s="40"/>
      <c r="BO442" s="40"/>
      <c r="BP442" s="155"/>
      <c r="BQ442" s="314"/>
      <c r="BR442" s="314"/>
      <c r="BS442" s="314"/>
      <c r="BT442" s="314"/>
      <c r="BU442" s="314"/>
      <c r="BV442" s="314"/>
      <c r="BW442" s="314"/>
      <c r="BX442" s="155"/>
    </row>
    <row r="443" spans="1:76" ht="15.75" customHeight="1">
      <c r="A443" s="25"/>
      <c r="B443" s="39"/>
      <c r="C443" s="155"/>
      <c r="D443" s="155"/>
      <c r="E443" s="40"/>
      <c r="F443" s="314"/>
      <c r="H443" s="315"/>
      <c r="I443" s="315"/>
      <c r="BA443" s="30"/>
      <c r="BB443" s="155"/>
      <c r="BC443" s="314"/>
      <c r="BD443" s="314"/>
      <c r="BE443" s="314"/>
      <c r="BF443" s="314"/>
      <c r="BG443" s="314"/>
      <c r="BH443" s="314"/>
      <c r="BI443" s="314"/>
      <c r="BJ443" s="314"/>
      <c r="BK443" s="40"/>
      <c r="BL443" s="40"/>
      <c r="BM443" s="40"/>
      <c r="BN443" s="40"/>
      <c r="BO443" s="40"/>
      <c r="BP443" s="155"/>
      <c r="BQ443" s="314"/>
      <c r="BR443" s="314"/>
      <c r="BS443" s="314"/>
      <c r="BT443" s="314"/>
      <c r="BU443" s="314"/>
      <c r="BV443" s="314"/>
      <c r="BW443" s="314"/>
      <c r="BX443" s="155"/>
    </row>
    <row r="444" spans="1:76" ht="15.75" customHeight="1">
      <c r="A444" s="25"/>
      <c r="B444" s="39"/>
      <c r="C444" s="155"/>
      <c r="D444" s="155"/>
      <c r="E444" s="40"/>
      <c r="F444" s="314"/>
      <c r="H444" s="315"/>
      <c r="I444" s="315"/>
      <c r="BA444" s="30"/>
      <c r="BB444" s="155"/>
      <c r="BC444" s="314"/>
      <c r="BD444" s="314"/>
      <c r="BE444" s="314"/>
      <c r="BF444" s="314"/>
      <c r="BG444" s="314"/>
      <c r="BH444" s="314"/>
      <c r="BI444" s="314"/>
      <c r="BJ444" s="314"/>
      <c r="BK444" s="40"/>
      <c r="BL444" s="40"/>
      <c r="BM444" s="40"/>
      <c r="BN444" s="40"/>
      <c r="BO444" s="40"/>
      <c r="BP444" s="155"/>
      <c r="BQ444" s="314"/>
      <c r="BR444" s="314"/>
      <c r="BS444" s="314"/>
      <c r="BT444" s="314"/>
      <c r="BU444" s="314"/>
      <c r="BV444" s="314"/>
      <c r="BW444" s="314"/>
      <c r="BX444" s="155"/>
    </row>
    <row r="445" spans="1:76" ht="15.75" customHeight="1">
      <c r="A445" s="25"/>
      <c r="B445" s="39"/>
      <c r="C445" s="155"/>
      <c r="D445" s="155"/>
      <c r="E445" s="40"/>
      <c r="F445" s="314"/>
      <c r="H445" s="315"/>
      <c r="I445" s="315"/>
      <c r="BA445" s="30"/>
      <c r="BB445" s="155"/>
      <c r="BC445" s="314"/>
      <c r="BD445" s="314"/>
      <c r="BE445" s="314"/>
      <c r="BF445" s="314"/>
      <c r="BG445" s="314"/>
      <c r="BH445" s="314"/>
      <c r="BI445" s="314"/>
      <c r="BJ445" s="314"/>
      <c r="BK445" s="40"/>
      <c r="BL445" s="40"/>
      <c r="BM445" s="40"/>
      <c r="BN445" s="40"/>
      <c r="BO445" s="40"/>
      <c r="BP445" s="155"/>
      <c r="BQ445" s="314"/>
      <c r="BR445" s="314"/>
      <c r="BS445" s="314"/>
      <c r="BT445" s="314"/>
      <c r="BU445" s="314"/>
      <c r="BV445" s="314"/>
      <c r="BW445" s="314"/>
      <c r="BX445" s="155"/>
    </row>
    <row r="446" spans="1:76" ht="15.75" customHeight="1">
      <c r="A446" s="25"/>
      <c r="B446" s="39"/>
      <c r="C446" s="155"/>
      <c r="D446" s="155"/>
      <c r="E446" s="341"/>
      <c r="F446" s="314"/>
      <c r="H446" s="315"/>
      <c r="I446" s="315"/>
      <c r="BA446" s="30"/>
      <c r="BB446" s="321"/>
      <c r="BC446" s="314"/>
      <c r="BD446" s="314"/>
      <c r="BE446" s="314"/>
      <c r="BF446" s="314"/>
      <c r="BG446" s="314"/>
      <c r="BH446" s="314"/>
      <c r="BI446" s="314"/>
      <c r="BJ446" s="314"/>
      <c r="BK446" s="40"/>
      <c r="BL446" s="40"/>
      <c r="BM446" s="40"/>
      <c r="BN446" s="40"/>
      <c r="BO446" s="40"/>
      <c r="BP446" s="155"/>
      <c r="BQ446" s="314"/>
      <c r="BR446" s="314"/>
      <c r="BS446" s="314"/>
      <c r="BT446" s="314"/>
      <c r="BU446" s="314"/>
      <c r="BV446" s="314"/>
      <c r="BW446" s="314"/>
      <c r="BX446" s="155"/>
    </row>
    <row r="447" spans="1:76" ht="15.75" customHeight="1">
      <c r="A447" s="25"/>
      <c r="B447" s="39"/>
      <c r="C447" s="155"/>
      <c r="D447" s="155"/>
      <c r="E447" s="40"/>
      <c r="F447" s="314"/>
      <c r="H447" s="315"/>
      <c r="I447" s="315"/>
      <c r="BA447" s="30"/>
      <c r="BB447" s="155"/>
      <c r="BC447" s="314"/>
      <c r="BD447" s="314"/>
      <c r="BE447" s="314"/>
      <c r="BF447" s="314"/>
      <c r="BG447" s="314"/>
      <c r="BH447" s="314"/>
      <c r="BI447" s="314"/>
      <c r="BJ447" s="314"/>
      <c r="BK447" s="40"/>
      <c r="BL447" s="40"/>
      <c r="BM447" s="40"/>
      <c r="BN447" s="40"/>
      <c r="BO447" s="40"/>
      <c r="BP447" s="155"/>
      <c r="BQ447" s="314"/>
      <c r="BR447" s="314"/>
      <c r="BS447" s="314"/>
      <c r="BT447" s="314"/>
      <c r="BU447" s="314"/>
      <c r="BV447" s="314"/>
      <c r="BW447" s="314"/>
      <c r="BX447" s="155"/>
    </row>
    <row r="448" spans="1:76" ht="15.75" customHeight="1">
      <c r="A448" s="25"/>
      <c r="B448" s="39"/>
      <c r="C448" s="155"/>
      <c r="D448" s="155"/>
      <c r="E448" s="40"/>
      <c r="F448" s="314"/>
      <c r="H448" s="315"/>
      <c r="I448" s="315"/>
      <c r="BA448" s="30"/>
      <c r="BB448" s="155"/>
      <c r="BC448" s="314"/>
      <c r="BD448" s="314"/>
      <c r="BE448" s="314"/>
      <c r="BF448" s="314"/>
      <c r="BG448" s="314"/>
      <c r="BH448" s="314"/>
      <c r="BI448" s="314"/>
      <c r="BJ448" s="314"/>
      <c r="BK448" s="40"/>
      <c r="BL448" s="40"/>
      <c r="BM448" s="40"/>
      <c r="BN448" s="40"/>
      <c r="BO448" s="40"/>
      <c r="BP448" s="155"/>
      <c r="BQ448" s="314"/>
      <c r="BR448" s="314"/>
      <c r="BS448" s="314"/>
      <c r="BT448" s="314"/>
      <c r="BU448" s="314"/>
      <c r="BV448" s="314"/>
      <c r="BW448" s="314"/>
      <c r="BX448" s="155"/>
    </row>
    <row r="449" spans="1:76" ht="15.75" customHeight="1">
      <c r="A449" s="25"/>
      <c r="B449" s="39"/>
      <c r="C449" s="155"/>
      <c r="D449" s="155"/>
      <c r="E449" s="40"/>
      <c r="F449" s="314"/>
      <c r="H449" s="315"/>
      <c r="I449" s="315"/>
      <c r="BA449" s="30"/>
      <c r="BB449" s="155"/>
      <c r="BC449" s="314"/>
      <c r="BD449" s="314"/>
      <c r="BE449" s="314"/>
      <c r="BF449" s="314"/>
      <c r="BG449" s="314"/>
      <c r="BH449" s="314"/>
      <c r="BI449" s="314"/>
      <c r="BJ449" s="314"/>
      <c r="BK449" s="40"/>
      <c r="BL449" s="40"/>
      <c r="BM449" s="40"/>
      <c r="BN449" s="40"/>
      <c r="BO449" s="40"/>
      <c r="BP449" s="155"/>
      <c r="BQ449" s="314"/>
      <c r="BR449" s="314"/>
      <c r="BS449" s="314"/>
      <c r="BT449" s="314"/>
      <c r="BU449" s="314"/>
      <c r="BV449" s="314"/>
      <c r="BW449" s="314"/>
      <c r="BX449" s="155"/>
    </row>
    <row r="450" spans="1:76" ht="15.75" customHeight="1">
      <c r="A450" s="25"/>
      <c r="B450" s="39"/>
      <c r="C450" s="155"/>
      <c r="D450" s="155"/>
      <c r="E450" s="40"/>
      <c r="F450" s="314"/>
      <c r="H450" s="315"/>
      <c r="I450" s="315"/>
      <c r="BA450" s="30"/>
      <c r="BB450" s="155"/>
      <c r="BC450" s="314"/>
      <c r="BD450" s="314"/>
      <c r="BE450" s="314"/>
      <c r="BF450" s="314"/>
      <c r="BG450" s="314"/>
      <c r="BH450" s="314"/>
      <c r="BI450" s="314"/>
      <c r="BJ450" s="314"/>
      <c r="BK450" s="40"/>
      <c r="BL450" s="40"/>
      <c r="BM450" s="40"/>
      <c r="BN450" s="40"/>
      <c r="BO450" s="40"/>
      <c r="BP450" s="155"/>
      <c r="BQ450" s="314"/>
      <c r="BR450" s="314"/>
      <c r="BS450" s="314"/>
      <c r="BT450" s="314"/>
      <c r="BU450" s="314"/>
      <c r="BV450" s="314"/>
      <c r="BW450" s="314"/>
      <c r="BX450" s="155"/>
    </row>
    <row r="451" spans="1:76" ht="15.75" customHeight="1">
      <c r="A451" s="25"/>
      <c r="B451" s="39"/>
      <c r="C451" s="155"/>
      <c r="D451" s="155"/>
      <c r="E451" s="40"/>
      <c r="F451" s="314"/>
      <c r="H451" s="315"/>
      <c r="I451" s="315"/>
      <c r="BA451" s="30"/>
      <c r="BB451" s="155"/>
      <c r="BC451" s="314"/>
      <c r="BD451" s="314"/>
      <c r="BE451" s="314"/>
      <c r="BF451" s="314"/>
      <c r="BG451" s="314"/>
      <c r="BH451" s="314"/>
      <c r="BI451" s="314"/>
      <c r="BJ451" s="314"/>
      <c r="BK451" s="40"/>
      <c r="BL451" s="40"/>
      <c r="BM451" s="40"/>
      <c r="BN451" s="40"/>
      <c r="BO451" s="40"/>
      <c r="BP451" s="155"/>
      <c r="BQ451" s="314"/>
      <c r="BR451" s="314"/>
      <c r="BS451" s="314"/>
      <c r="BT451" s="314"/>
      <c r="BU451" s="314"/>
      <c r="BV451" s="314"/>
      <c r="BW451" s="314"/>
      <c r="BX451" s="155"/>
    </row>
    <row r="452" spans="1:76" ht="15.75" customHeight="1">
      <c r="A452" s="25"/>
      <c r="B452" s="39"/>
      <c r="C452" s="155"/>
      <c r="D452" s="155"/>
      <c r="E452" s="40"/>
      <c r="F452" s="314"/>
      <c r="H452" s="315"/>
      <c r="I452" s="315"/>
      <c r="BA452" s="30"/>
      <c r="BB452" s="155"/>
      <c r="BC452" s="314"/>
      <c r="BD452" s="314"/>
      <c r="BE452" s="314"/>
      <c r="BF452" s="314"/>
      <c r="BG452" s="314"/>
      <c r="BH452" s="314"/>
      <c r="BI452" s="314"/>
      <c r="BJ452" s="314"/>
      <c r="BK452" s="40"/>
      <c r="BL452" s="40"/>
      <c r="BM452" s="40"/>
      <c r="BN452" s="40"/>
      <c r="BO452" s="40"/>
      <c r="BP452" s="155"/>
      <c r="BQ452" s="314"/>
      <c r="BR452" s="314"/>
      <c r="BS452" s="314"/>
      <c r="BT452" s="314"/>
      <c r="BU452" s="314"/>
      <c r="BV452" s="314"/>
      <c r="BW452" s="314"/>
      <c r="BX452" s="155"/>
    </row>
    <row r="453" spans="1:76" ht="15.75" customHeight="1">
      <c r="A453" s="25"/>
      <c r="B453" s="39"/>
      <c r="C453" s="155"/>
      <c r="D453" s="155"/>
      <c r="E453" s="40"/>
      <c r="F453" s="314"/>
      <c r="H453" s="315"/>
      <c r="I453" s="315"/>
      <c r="BA453" s="30"/>
      <c r="BB453" s="155"/>
      <c r="BC453" s="314"/>
      <c r="BD453" s="314"/>
      <c r="BE453" s="314"/>
      <c r="BF453" s="314"/>
      <c r="BG453" s="314"/>
      <c r="BH453" s="314"/>
      <c r="BI453" s="314"/>
      <c r="BJ453" s="314"/>
      <c r="BK453" s="40"/>
      <c r="BL453" s="40"/>
      <c r="BM453" s="40"/>
      <c r="BN453" s="40"/>
      <c r="BO453" s="40"/>
      <c r="BP453" s="155"/>
      <c r="BQ453" s="314"/>
      <c r="BR453" s="314"/>
      <c r="BS453" s="314"/>
      <c r="BT453" s="314"/>
      <c r="BU453" s="314"/>
      <c r="BV453" s="314"/>
      <c r="BW453" s="314"/>
      <c r="BX453" s="155"/>
    </row>
    <row r="454" spans="1:76" ht="15.75" customHeight="1">
      <c r="A454" s="25"/>
      <c r="B454" s="39"/>
      <c r="C454" s="155"/>
      <c r="D454" s="155"/>
      <c r="E454" s="341"/>
      <c r="F454" s="314"/>
      <c r="H454" s="315"/>
      <c r="I454" s="315"/>
      <c r="BA454" s="30"/>
      <c r="BB454" s="321"/>
      <c r="BC454" s="314"/>
      <c r="BD454" s="314"/>
      <c r="BE454" s="314"/>
      <c r="BF454" s="314"/>
      <c r="BG454" s="314"/>
      <c r="BH454" s="314"/>
      <c r="BI454" s="314"/>
      <c r="BJ454" s="314"/>
      <c r="BK454" s="40"/>
      <c r="BL454" s="40"/>
      <c r="BM454" s="40"/>
      <c r="BN454" s="40"/>
      <c r="BO454" s="40"/>
      <c r="BP454" s="155"/>
      <c r="BQ454" s="314"/>
      <c r="BR454" s="314"/>
      <c r="BS454" s="314"/>
      <c r="BT454" s="314"/>
      <c r="BU454" s="314"/>
      <c r="BV454" s="314"/>
      <c r="BW454" s="314"/>
      <c r="BX454" s="155"/>
    </row>
    <row r="455" spans="1:76" ht="15.75" customHeight="1">
      <c r="A455" s="25"/>
      <c r="B455" s="39"/>
      <c r="C455" s="155"/>
      <c r="D455" s="155"/>
      <c r="E455" s="40"/>
      <c r="F455" s="314"/>
      <c r="H455" s="315"/>
      <c r="I455" s="315"/>
      <c r="BA455" s="30"/>
      <c r="BB455" s="155"/>
      <c r="BC455" s="314"/>
      <c r="BD455" s="314"/>
      <c r="BE455" s="314"/>
      <c r="BF455" s="314"/>
      <c r="BG455" s="314"/>
      <c r="BH455" s="314"/>
      <c r="BI455" s="314"/>
      <c r="BJ455" s="314"/>
      <c r="BK455" s="40"/>
      <c r="BL455" s="40"/>
      <c r="BM455" s="40"/>
      <c r="BN455" s="40"/>
      <c r="BO455" s="40"/>
      <c r="BP455" s="155"/>
      <c r="BQ455" s="314"/>
      <c r="BR455" s="314"/>
      <c r="BS455" s="314"/>
      <c r="BT455" s="314"/>
      <c r="BU455" s="314"/>
      <c r="BV455" s="314"/>
      <c r="BW455" s="314"/>
      <c r="BX455" s="155"/>
    </row>
    <row r="456" spans="1:76" ht="15.75" customHeight="1">
      <c r="A456" s="25"/>
      <c r="B456" s="39"/>
      <c r="C456" s="155"/>
      <c r="D456" s="155"/>
      <c r="E456" s="40"/>
      <c r="F456" s="314"/>
      <c r="H456" s="315"/>
      <c r="I456" s="315"/>
      <c r="BA456" s="30"/>
      <c r="BB456" s="155"/>
      <c r="BC456" s="314"/>
      <c r="BD456" s="314"/>
      <c r="BE456" s="314"/>
      <c r="BF456" s="314"/>
      <c r="BG456" s="314"/>
      <c r="BH456" s="314"/>
      <c r="BI456" s="314"/>
      <c r="BJ456" s="314"/>
      <c r="BK456" s="40"/>
      <c r="BL456" s="40"/>
      <c r="BM456" s="40"/>
      <c r="BN456" s="40"/>
      <c r="BO456" s="40"/>
      <c r="BP456" s="155"/>
      <c r="BQ456" s="314"/>
      <c r="BR456" s="314"/>
      <c r="BS456" s="314"/>
      <c r="BT456" s="314"/>
      <c r="BU456" s="314"/>
      <c r="BV456" s="314"/>
      <c r="BW456" s="314"/>
      <c r="BX456" s="155"/>
    </row>
    <row r="457" spans="1:76" ht="15.75" customHeight="1">
      <c r="A457" s="25"/>
      <c r="B457" s="39"/>
      <c r="C457" s="155"/>
      <c r="D457" s="155"/>
      <c r="E457" s="40"/>
      <c r="F457" s="314"/>
      <c r="H457" s="315"/>
      <c r="I457" s="315"/>
      <c r="BA457" s="30"/>
      <c r="BB457" s="155"/>
      <c r="BC457" s="314"/>
      <c r="BD457" s="314"/>
      <c r="BE457" s="314"/>
      <c r="BF457" s="314"/>
      <c r="BG457" s="314"/>
      <c r="BH457" s="314"/>
      <c r="BI457" s="314"/>
      <c r="BJ457" s="314"/>
      <c r="BK457" s="40"/>
      <c r="BL457" s="40"/>
      <c r="BM457" s="40"/>
      <c r="BN457" s="40"/>
      <c r="BO457" s="40"/>
      <c r="BP457" s="155"/>
      <c r="BQ457" s="314"/>
      <c r="BR457" s="314"/>
      <c r="BS457" s="314"/>
      <c r="BT457" s="314"/>
      <c r="BU457" s="314"/>
      <c r="BV457" s="314"/>
      <c r="BW457" s="314"/>
      <c r="BX457" s="155"/>
    </row>
    <row r="458" spans="1:76" ht="15.75" customHeight="1">
      <c r="A458" s="25"/>
      <c r="B458" s="39"/>
      <c r="C458" s="155"/>
      <c r="D458" s="155"/>
      <c r="E458" s="40"/>
      <c r="F458" s="314"/>
      <c r="H458" s="315"/>
      <c r="I458" s="315"/>
      <c r="BA458" s="30"/>
      <c r="BB458" s="155"/>
      <c r="BC458" s="314"/>
      <c r="BD458" s="314"/>
      <c r="BE458" s="314"/>
      <c r="BF458" s="314"/>
      <c r="BG458" s="314"/>
      <c r="BH458" s="314"/>
      <c r="BI458" s="314"/>
      <c r="BJ458" s="314"/>
      <c r="BK458" s="40"/>
      <c r="BL458" s="40"/>
      <c r="BM458" s="40"/>
      <c r="BN458" s="40"/>
      <c r="BO458" s="40"/>
      <c r="BP458" s="155"/>
      <c r="BQ458" s="314"/>
      <c r="BR458" s="314"/>
      <c r="BS458" s="314"/>
      <c r="BT458" s="314"/>
      <c r="BU458" s="314"/>
      <c r="BV458" s="314"/>
      <c r="BW458" s="314"/>
      <c r="BX458" s="155"/>
    </row>
    <row r="459" spans="1:76" ht="15.75" customHeight="1">
      <c r="A459" s="25"/>
      <c r="B459" s="39"/>
      <c r="C459" s="155"/>
      <c r="D459" s="155"/>
      <c r="E459" s="40"/>
      <c r="F459" s="314"/>
      <c r="H459" s="315"/>
      <c r="I459" s="315"/>
      <c r="BA459" s="30"/>
      <c r="BB459" s="155"/>
      <c r="BC459" s="314"/>
      <c r="BD459" s="314"/>
      <c r="BE459" s="314"/>
      <c r="BF459" s="314"/>
      <c r="BG459" s="314"/>
      <c r="BH459" s="314"/>
      <c r="BI459" s="314"/>
      <c r="BJ459" s="314"/>
      <c r="BK459" s="40"/>
      <c r="BL459" s="40"/>
      <c r="BM459" s="40"/>
      <c r="BN459" s="40"/>
      <c r="BO459" s="40"/>
      <c r="BP459" s="155"/>
      <c r="BQ459" s="314"/>
      <c r="BR459" s="314"/>
      <c r="BS459" s="314"/>
      <c r="BT459" s="314"/>
      <c r="BU459" s="314"/>
      <c r="BV459" s="314"/>
      <c r="BW459" s="314"/>
      <c r="BX459" s="155"/>
    </row>
    <row r="460" spans="1:76" ht="15.75" customHeight="1">
      <c r="A460" s="25"/>
      <c r="B460" s="39"/>
      <c r="C460" s="155"/>
      <c r="D460" s="155"/>
      <c r="E460" s="40"/>
      <c r="F460" s="314"/>
      <c r="H460" s="315"/>
      <c r="I460" s="315"/>
      <c r="BA460" s="30"/>
      <c r="BB460" s="155"/>
      <c r="BC460" s="314"/>
      <c r="BD460" s="314"/>
      <c r="BE460" s="314"/>
      <c r="BF460" s="314"/>
      <c r="BG460" s="314"/>
      <c r="BH460" s="314"/>
      <c r="BI460" s="314"/>
      <c r="BJ460" s="314"/>
      <c r="BK460" s="40"/>
      <c r="BL460" s="40"/>
      <c r="BM460" s="40"/>
      <c r="BN460" s="40"/>
      <c r="BO460" s="40"/>
      <c r="BP460" s="155"/>
      <c r="BQ460" s="314"/>
      <c r="BR460" s="314"/>
      <c r="BS460" s="314"/>
      <c r="BT460" s="314"/>
      <c r="BU460" s="314"/>
      <c r="BV460" s="314"/>
      <c r="BW460" s="314"/>
      <c r="BX460" s="155"/>
    </row>
    <row r="461" spans="1:76" ht="15.75" customHeight="1">
      <c r="A461" s="25"/>
      <c r="B461" s="39"/>
      <c r="C461" s="155"/>
      <c r="D461" s="155"/>
      <c r="E461" s="40"/>
      <c r="F461" s="314"/>
      <c r="H461" s="315"/>
      <c r="I461" s="315"/>
      <c r="BA461" s="30"/>
      <c r="BB461" s="155"/>
      <c r="BC461" s="314"/>
      <c r="BD461" s="314"/>
      <c r="BE461" s="314"/>
      <c r="BF461" s="314"/>
      <c r="BG461" s="314"/>
      <c r="BH461" s="314"/>
      <c r="BI461" s="314"/>
      <c r="BJ461" s="314"/>
      <c r="BK461" s="40"/>
      <c r="BL461" s="40"/>
      <c r="BM461" s="40"/>
      <c r="BN461" s="40"/>
      <c r="BO461" s="40"/>
      <c r="BP461" s="155"/>
      <c r="BQ461" s="314"/>
      <c r="BR461" s="314"/>
      <c r="BS461" s="314"/>
      <c r="BT461" s="314"/>
      <c r="BU461" s="314"/>
      <c r="BV461" s="314"/>
      <c r="BW461" s="314"/>
      <c r="BX461" s="155"/>
    </row>
    <row r="462" spans="1:76" ht="15.75" customHeight="1">
      <c r="A462" s="25"/>
      <c r="B462" s="39"/>
      <c r="C462" s="155"/>
      <c r="D462" s="155"/>
      <c r="E462" s="341"/>
      <c r="F462" s="314"/>
      <c r="H462" s="315"/>
      <c r="I462" s="315"/>
      <c r="BA462" s="30"/>
      <c r="BB462" s="321"/>
      <c r="BC462" s="314"/>
      <c r="BD462" s="314"/>
      <c r="BE462" s="314"/>
      <c r="BF462" s="314"/>
      <c r="BG462" s="314"/>
      <c r="BH462" s="314"/>
      <c r="BI462" s="314"/>
      <c r="BJ462" s="314"/>
      <c r="BK462" s="40"/>
      <c r="BL462" s="40"/>
      <c r="BM462" s="40"/>
      <c r="BN462" s="40"/>
      <c r="BO462" s="40"/>
      <c r="BP462" s="155"/>
      <c r="BQ462" s="314"/>
      <c r="BR462" s="314"/>
      <c r="BS462" s="314"/>
      <c r="BT462" s="314"/>
      <c r="BU462" s="314"/>
      <c r="BV462" s="314"/>
      <c r="BW462" s="314"/>
      <c r="BX462" s="155"/>
    </row>
    <row r="463" spans="1:76" ht="15.75" customHeight="1">
      <c r="A463" s="25"/>
      <c r="B463" s="39"/>
      <c r="C463" s="155"/>
      <c r="D463" s="155"/>
      <c r="E463" s="40"/>
      <c r="F463" s="314"/>
      <c r="H463" s="315"/>
      <c r="I463" s="315"/>
      <c r="BA463" s="30"/>
      <c r="BB463" s="155"/>
      <c r="BC463" s="322"/>
      <c r="BD463" s="322"/>
      <c r="BE463" s="322"/>
      <c r="BF463" s="322"/>
      <c r="BG463" s="322"/>
      <c r="BH463" s="322"/>
      <c r="BI463" s="322"/>
      <c r="BJ463" s="322"/>
      <c r="BK463" s="341"/>
      <c r="BL463" s="40"/>
      <c r="BM463" s="40"/>
      <c r="BN463" s="40"/>
      <c r="BO463" s="40"/>
      <c r="BP463" s="155"/>
      <c r="BQ463" s="314"/>
      <c r="BR463" s="314"/>
      <c r="BS463" s="314"/>
      <c r="BT463" s="314"/>
      <c r="BU463" s="314"/>
      <c r="BV463" s="314"/>
      <c r="BW463" s="314"/>
      <c r="BX463" s="155"/>
    </row>
    <row r="464" spans="1:76" ht="15.75" customHeight="1">
      <c r="A464" s="25"/>
      <c r="B464" s="39"/>
      <c r="C464" s="155"/>
      <c r="D464" s="155"/>
      <c r="E464" s="40"/>
      <c r="F464" s="314"/>
      <c r="H464" s="315"/>
      <c r="I464" s="315"/>
      <c r="BA464" s="30"/>
      <c r="BB464" s="155"/>
      <c r="BC464" s="314"/>
      <c r="BD464" s="314"/>
      <c r="BE464" s="314"/>
      <c r="BF464" s="314"/>
      <c r="BG464" s="314"/>
      <c r="BH464" s="314"/>
      <c r="BI464" s="314"/>
      <c r="BJ464" s="314"/>
      <c r="BK464" s="40"/>
      <c r="BL464" s="40"/>
      <c r="BM464" s="40"/>
      <c r="BN464" s="40"/>
      <c r="BO464" s="40"/>
      <c r="BP464" s="155"/>
      <c r="BQ464" s="314"/>
      <c r="BR464" s="314"/>
      <c r="BS464" s="314"/>
      <c r="BT464" s="314"/>
      <c r="BU464" s="314"/>
      <c r="BV464" s="314"/>
      <c r="BW464" s="314"/>
      <c r="BX464" s="155"/>
    </row>
    <row r="465" spans="1:76" ht="15.75" customHeight="1">
      <c r="A465" s="25"/>
      <c r="B465" s="39"/>
      <c r="C465" s="155"/>
      <c r="D465" s="155"/>
      <c r="E465" s="40"/>
      <c r="F465" s="314"/>
      <c r="H465" s="315"/>
      <c r="I465" s="315"/>
      <c r="BA465" s="30"/>
      <c r="BB465" s="155"/>
      <c r="BC465" s="314"/>
      <c r="BD465" s="314"/>
      <c r="BE465" s="314"/>
      <c r="BF465" s="314"/>
      <c r="BG465" s="314"/>
      <c r="BH465" s="314"/>
      <c r="BI465" s="314"/>
      <c r="BJ465" s="314"/>
      <c r="BK465" s="40"/>
      <c r="BL465" s="40"/>
      <c r="BM465" s="40"/>
      <c r="BN465" s="40"/>
      <c r="BO465" s="40"/>
      <c r="BP465" s="155"/>
      <c r="BQ465" s="314"/>
      <c r="BR465" s="314"/>
      <c r="BS465" s="314"/>
      <c r="BT465" s="314"/>
      <c r="BU465" s="314"/>
      <c r="BV465" s="314"/>
      <c r="BW465" s="314"/>
      <c r="BX465" s="155"/>
    </row>
    <row r="466" spans="1:76" ht="15.75" customHeight="1">
      <c r="A466" s="25"/>
      <c r="B466" s="39"/>
      <c r="C466" s="155"/>
      <c r="D466" s="155"/>
      <c r="E466" s="40"/>
      <c r="F466" s="314"/>
      <c r="H466" s="315"/>
      <c r="I466" s="315"/>
      <c r="BA466" s="30"/>
      <c r="BB466" s="155"/>
      <c r="BC466" s="314"/>
      <c r="BD466" s="314"/>
      <c r="BE466" s="314"/>
      <c r="BF466" s="314"/>
      <c r="BG466" s="314"/>
      <c r="BH466" s="314"/>
      <c r="BI466" s="314"/>
      <c r="BJ466" s="314"/>
      <c r="BK466" s="40"/>
      <c r="BL466" s="40"/>
      <c r="BM466" s="40"/>
      <c r="BN466" s="40"/>
      <c r="BO466" s="40"/>
      <c r="BP466" s="155"/>
      <c r="BQ466" s="314"/>
      <c r="BR466" s="314"/>
      <c r="BS466" s="314"/>
      <c r="BT466" s="314"/>
      <c r="BU466" s="314"/>
      <c r="BV466" s="314"/>
      <c r="BW466" s="314"/>
      <c r="BX466" s="155"/>
    </row>
    <row r="467" spans="1:76" ht="15.75" customHeight="1">
      <c r="A467" s="25"/>
      <c r="B467" s="39"/>
      <c r="C467" s="155"/>
      <c r="D467" s="155"/>
      <c r="E467" s="40"/>
      <c r="F467" s="314"/>
      <c r="H467" s="315"/>
      <c r="I467" s="315"/>
      <c r="BA467" s="30"/>
      <c r="BB467" s="155"/>
      <c r="BC467" s="314"/>
      <c r="BD467" s="314"/>
      <c r="BE467" s="314"/>
      <c r="BF467" s="314"/>
      <c r="BG467" s="314"/>
      <c r="BH467" s="314"/>
      <c r="BI467" s="314"/>
      <c r="BJ467" s="314"/>
      <c r="BK467" s="40"/>
      <c r="BL467" s="40"/>
      <c r="BM467" s="40"/>
      <c r="BN467" s="40"/>
      <c r="BO467" s="40"/>
      <c r="BP467" s="155"/>
      <c r="BQ467" s="314"/>
      <c r="BR467" s="314"/>
      <c r="BS467" s="314"/>
      <c r="BT467" s="314"/>
      <c r="BU467" s="314"/>
      <c r="BV467" s="314"/>
      <c r="BW467" s="314"/>
      <c r="BX467" s="155"/>
    </row>
    <row r="468" spans="1:76" ht="15.75" customHeight="1">
      <c r="A468" s="25"/>
      <c r="B468" s="39"/>
      <c r="C468" s="155"/>
      <c r="D468" s="155"/>
      <c r="E468" s="40"/>
      <c r="F468" s="314"/>
      <c r="H468" s="315"/>
      <c r="I468" s="315"/>
      <c r="BA468" s="30"/>
      <c r="BB468" s="155"/>
      <c r="BC468" s="314"/>
      <c r="BD468" s="314"/>
      <c r="BE468" s="314"/>
      <c r="BF468" s="314"/>
      <c r="BG468" s="314"/>
      <c r="BH468" s="314"/>
      <c r="BI468" s="314"/>
      <c r="BJ468" s="314"/>
      <c r="BK468" s="40"/>
      <c r="BL468" s="40"/>
      <c r="BM468" s="40"/>
      <c r="BN468" s="40"/>
      <c r="BO468" s="40"/>
      <c r="BP468" s="155"/>
      <c r="BQ468" s="314"/>
      <c r="BR468" s="314"/>
      <c r="BS468" s="314"/>
      <c r="BT468" s="314"/>
      <c r="BU468" s="314"/>
      <c r="BV468" s="314"/>
      <c r="BW468" s="314"/>
      <c r="BX468" s="155"/>
    </row>
    <row r="469" spans="1:76" ht="15.75" customHeight="1">
      <c r="A469" s="25"/>
      <c r="B469" s="39"/>
      <c r="C469" s="155"/>
      <c r="D469" s="155"/>
      <c r="E469" s="40"/>
      <c r="F469" s="314"/>
      <c r="H469" s="315"/>
      <c r="I469" s="315"/>
      <c r="BA469" s="30"/>
      <c r="BB469" s="155"/>
      <c r="BC469" s="314"/>
      <c r="BD469" s="314"/>
      <c r="BE469" s="314"/>
      <c r="BF469" s="314"/>
      <c r="BG469" s="314"/>
      <c r="BH469" s="314"/>
      <c r="BI469" s="314"/>
      <c r="BJ469" s="314"/>
      <c r="BK469" s="40"/>
      <c r="BL469" s="40"/>
      <c r="BM469" s="40"/>
      <c r="BN469" s="40"/>
      <c r="BO469" s="40"/>
      <c r="BP469" s="155"/>
      <c r="BQ469" s="314"/>
      <c r="BR469" s="314"/>
      <c r="BS469" s="314"/>
      <c r="BT469" s="314"/>
      <c r="BU469" s="314"/>
      <c r="BV469" s="314"/>
      <c r="BW469" s="314"/>
      <c r="BX469" s="155"/>
    </row>
    <row r="470" spans="1:76" ht="15.75" customHeight="1">
      <c r="A470" s="25"/>
      <c r="B470" s="39"/>
      <c r="C470" s="155"/>
      <c r="D470" s="155"/>
      <c r="E470" s="341"/>
      <c r="F470" s="314"/>
      <c r="H470" s="315"/>
      <c r="I470" s="315"/>
      <c r="BA470" s="30"/>
      <c r="BB470" s="321"/>
      <c r="BC470" s="314"/>
      <c r="BD470" s="314"/>
      <c r="BE470" s="314"/>
      <c r="BF470" s="314"/>
      <c r="BG470" s="314"/>
      <c r="BH470" s="314"/>
      <c r="BI470" s="314"/>
      <c r="BJ470" s="314"/>
      <c r="BK470" s="40"/>
      <c r="BL470" s="40"/>
      <c r="BM470" s="40"/>
      <c r="BN470" s="40"/>
      <c r="BO470" s="40"/>
      <c r="BP470" s="155"/>
      <c r="BQ470" s="314"/>
      <c r="BR470" s="314"/>
      <c r="BS470" s="314"/>
      <c r="BT470" s="314"/>
      <c r="BU470" s="314"/>
      <c r="BV470" s="314"/>
      <c r="BW470" s="314"/>
      <c r="BX470" s="155"/>
    </row>
    <row r="471" spans="1:76" ht="15.75" customHeight="1">
      <c r="A471" s="25"/>
      <c r="B471" s="39"/>
      <c r="C471" s="155"/>
      <c r="D471" s="155"/>
      <c r="E471" s="40"/>
      <c r="F471" s="314"/>
      <c r="H471" s="315"/>
      <c r="I471" s="315"/>
      <c r="BA471" s="30"/>
      <c r="BB471" s="155"/>
      <c r="BC471" s="314"/>
      <c r="BD471" s="314"/>
      <c r="BE471" s="314"/>
      <c r="BF471" s="314"/>
      <c r="BG471" s="314"/>
      <c r="BH471" s="314"/>
      <c r="BI471" s="314"/>
      <c r="BJ471" s="314"/>
      <c r="BK471" s="40"/>
      <c r="BL471" s="40"/>
      <c r="BM471" s="40"/>
      <c r="BN471" s="40"/>
      <c r="BO471" s="40"/>
      <c r="BP471" s="155"/>
      <c r="BQ471" s="314"/>
      <c r="BR471" s="314"/>
      <c r="BS471" s="314"/>
      <c r="BT471" s="314"/>
      <c r="BU471" s="314"/>
      <c r="BV471" s="314"/>
      <c r="BW471" s="314"/>
      <c r="BX471" s="155"/>
    </row>
    <row r="472" spans="1:76" ht="15.75" customHeight="1">
      <c r="A472" s="25"/>
      <c r="B472" s="39"/>
      <c r="C472" s="155"/>
      <c r="D472" s="155"/>
      <c r="E472" s="40"/>
      <c r="F472" s="314"/>
      <c r="H472" s="315"/>
      <c r="I472" s="315"/>
      <c r="BA472" s="30"/>
      <c r="BB472" s="155"/>
      <c r="BC472" s="314"/>
      <c r="BD472" s="314"/>
      <c r="BE472" s="314"/>
      <c r="BF472" s="314"/>
      <c r="BG472" s="314"/>
      <c r="BH472" s="314"/>
      <c r="BI472" s="314"/>
      <c r="BJ472" s="314"/>
      <c r="BK472" s="40"/>
      <c r="BL472" s="40"/>
      <c r="BM472" s="40"/>
      <c r="BN472" s="40"/>
      <c r="BO472" s="40"/>
      <c r="BP472" s="155"/>
      <c r="BQ472" s="314"/>
      <c r="BR472" s="314"/>
      <c r="BS472" s="314"/>
      <c r="BT472" s="314"/>
      <c r="BU472" s="314"/>
      <c r="BV472" s="314"/>
      <c r="BW472" s="314"/>
      <c r="BX472" s="155"/>
    </row>
    <row r="473" spans="1:76" ht="15.75" customHeight="1">
      <c r="A473" s="25"/>
      <c r="B473" s="39"/>
      <c r="C473" s="155"/>
      <c r="D473" s="155"/>
      <c r="E473" s="40"/>
      <c r="F473" s="314"/>
      <c r="H473" s="315"/>
      <c r="I473" s="315"/>
      <c r="BA473" s="30"/>
      <c r="BB473" s="155"/>
      <c r="BC473" s="314"/>
      <c r="BD473" s="314"/>
      <c r="BE473" s="314"/>
      <c r="BF473" s="314"/>
      <c r="BG473" s="314"/>
      <c r="BH473" s="314"/>
      <c r="BI473" s="314"/>
      <c r="BJ473" s="314"/>
      <c r="BK473" s="40"/>
      <c r="BL473" s="40"/>
      <c r="BM473" s="40"/>
      <c r="BN473" s="40"/>
      <c r="BO473" s="40"/>
      <c r="BP473" s="155"/>
      <c r="BQ473" s="314"/>
      <c r="BR473" s="314"/>
      <c r="BS473" s="314"/>
      <c r="BT473" s="314"/>
      <c r="BU473" s="314"/>
      <c r="BV473" s="314"/>
      <c r="BW473" s="314"/>
      <c r="BX473" s="155"/>
    </row>
    <row r="474" spans="1:76" ht="15.75" customHeight="1">
      <c r="A474" s="25"/>
      <c r="B474" s="39"/>
      <c r="C474" s="155"/>
      <c r="D474" s="155"/>
      <c r="E474" s="40"/>
      <c r="F474" s="314"/>
      <c r="H474" s="315"/>
      <c r="I474" s="315"/>
      <c r="BA474" s="30"/>
      <c r="BB474" s="155"/>
      <c r="BC474" s="314"/>
      <c r="BD474" s="314"/>
      <c r="BE474" s="314"/>
      <c r="BF474" s="314"/>
      <c r="BG474" s="314"/>
      <c r="BH474" s="314"/>
      <c r="BI474" s="314"/>
      <c r="BJ474" s="314"/>
      <c r="BK474" s="40"/>
      <c r="BL474" s="40"/>
      <c r="BM474" s="40"/>
      <c r="BN474" s="40"/>
      <c r="BO474" s="40"/>
      <c r="BP474" s="155"/>
      <c r="BQ474" s="314"/>
      <c r="BR474" s="314"/>
      <c r="BS474" s="314"/>
      <c r="BT474" s="314"/>
      <c r="BU474" s="314"/>
      <c r="BV474" s="314"/>
      <c r="BW474" s="314"/>
      <c r="BX474" s="155"/>
    </row>
    <row r="475" spans="1:76" ht="15.75" customHeight="1">
      <c r="A475" s="25"/>
      <c r="B475" s="39"/>
      <c r="C475" s="155"/>
      <c r="D475" s="155"/>
      <c r="E475" s="40"/>
      <c r="F475" s="314"/>
      <c r="H475" s="315"/>
      <c r="I475" s="315"/>
      <c r="BA475" s="30"/>
      <c r="BB475" s="155"/>
      <c r="BC475" s="314"/>
      <c r="BD475" s="314"/>
      <c r="BE475" s="314"/>
      <c r="BF475" s="314"/>
      <c r="BG475" s="314"/>
      <c r="BH475" s="314"/>
      <c r="BI475" s="314"/>
      <c r="BJ475" s="314"/>
      <c r="BK475" s="40"/>
      <c r="BL475" s="40"/>
      <c r="BM475" s="40"/>
      <c r="BN475" s="40"/>
      <c r="BO475" s="40"/>
      <c r="BP475" s="155"/>
      <c r="BQ475" s="314"/>
      <c r="BR475" s="314"/>
      <c r="BS475" s="314"/>
      <c r="BT475" s="314"/>
      <c r="BU475" s="314"/>
      <c r="BV475" s="314"/>
      <c r="BW475" s="314"/>
      <c r="BX475" s="155"/>
    </row>
    <row r="476" spans="1:76" ht="15.75" customHeight="1">
      <c r="A476" s="25"/>
      <c r="B476" s="39"/>
      <c r="C476" s="155"/>
      <c r="D476" s="155"/>
      <c r="E476" s="40"/>
      <c r="F476" s="314"/>
      <c r="H476" s="315"/>
      <c r="I476" s="315"/>
      <c r="BA476" s="30"/>
      <c r="BB476" s="155"/>
      <c r="BC476" s="314"/>
      <c r="BD476" s="314"/>
      <c r="BE476" s="314"/>
      <c r="BF476" s="314"/>
      <c r="BG476" s="314"/>
      <c r="BH476" s="314"/>
      <c r="BI476" s="314"/>
      <c r="BJ476" s="314"/>
      <c r="BK476" s="40"/>
      <c r="BL476" s="40"/>
      <c r="BM476" s="40"/>
      <c r="BN476" s="40"/>
      <c r="BO476" s="40"/>
      <c r="BP476" s="155"/>
      <c r="BQ476" s="314"/>
      <c r="BR476" s="314"/>
      <c r="BS476" s="314"/>
      <c r="BT476" s="314"/>
      <c r="BU476" s="314"/>
      <c r="BV476" s="314"/>
      <c r="BW476" s="314"/>
      <c r="BX476" s="155"/>
    </row>
    <row r="477" spans="1:76" ht="15.75" customHeight="1">
      <c r="A477" s="25"/>
      <c r="B477" s="39"/>
      <c r="C477" s="155"/>
      <c r="D477" s="155"/>
      <c r="E477" s="40"/>
      <c r="F477" s="314"/>
      <c r="H477" s="315"/>
      <c r="I477" s="315"/>
      <c r="BA477" s="30"/>
      <c r="BB477" s="155"/>
      <c r="BC477" s="314"/>
      <c r="BD477" s="314"/>
      <c r="BE477" s="314"/>
      <c r="BF477" s="314"/>
      <c r="BG477" s="314"/>
      <c r="BH477" s="314"/>
      <c r="BI477" s="314"/>
      <c r="BJ477" s="314"/>
      <c r="BK477" s="40"/>
      <c r="BL477" s="40"/>
      <c r="BM477" s="40"/>
      <c r="BN477" s="40"/>
      <c r="BO477" s="40"/>
      <c r="BP477" s="155"/>
      <c r="BQ477" s="314"/>
      <c r="BR477" s="314"/>
      <c r="BS477" s="314"/>
      <c r="BT477" s="314"/>
      <c r="BU477" s="314"/>
      <c r="BV477" s="314"/>
      <c r="BW477" s="314"/>
      <c r="BX477" s="155"/>
    </row>
    <row r="478" spans="1:76" ht="15.75" customHeight="1">
      <c r="A478" s="25"/>
      <c r="B478" s="39"/>
      <c r="C478" s="155"/>
      <c r="D478" s="155"/>
      <c r="E478" s="341"/>
      <c r="F478" s="314"/>
      <c r="H478" s="315"/>
      <c r="I478" s="315"/>
      <c r="BA478" s="30"/>
      <c r="BB478" s="321"/>
      <c r="BC478" s="314"/>
      <c r="BD478" s="314"/>
      <c r="BE478" s="314"/>
      <c r="BF478" s="314"/>
      <c r="BG478" s="314"/>
      <c r="BH478" s="314"/>
      <c r="BI478" s="314"/>
      <c r="BJ478" s="314"/>
      <c r="BK478" s="40"/>
      <c r="BL478" s="40"/>
      <c r="BM478" s="40"/>
      <c r="BN478" s="40"/>
      <c r="BO478" s="40"/>
      <c r="BP478" s="155"/>
      <c r="BQ478" s="314"/>
      <c r="BR478" s="314"/>
      <c r="BS478" s="314"/>
      <c r="BT478" s="314"/>
      <c r="BU478" s="314"/>
      <c r="BV478" s="314"/>
      <c r="BW478" s="314"/>
      <c r="BX478" s="155"/>
    </row>
    <row r="479" spans="1:76" ht="15.75" customHeight="1">
      <c r="A479" s="25"/>
      <c r="B479" s="39"/>
      <c r="C479" s="155"/>
      <c r="D479" s="155"/>
      <c r="E479" s="40"/>
      <c r="F479" s="314"/>
      <c r="H479" s="315"/>
      <c r="I479" s="315"/>
      <c r="BA479" s="30"/>
      <c r="BB479" s="155"/>
      <c r="BC479" s="314"/>
      <c r="BD479" s="314"/>
      <c r="BE479" s="314"/>
      <c r="BF479" s="314"/>
      <c r="BG479" s="314"/>
      <c r="BH479" s="314"/>
      <c r="BI479" s="314"/>
      <c r="BJ479" s="314"/>
      <c r="BK479" s="40"/>
      <c r="BL479" s="40"/>
      <c r="BM479" s="40"/>
      <c r="BN479" s="40"/>
      <c r="BO479" s="40"/>
      <c r="BP479" s="155"/>
      <c r="BQ479" s="314"/>
      <c r="BR479" s="314"/>
      <c r="BS479" s="314"/>
      <c r="BT479" s="314"/>
      <c r="BU479" s="314"/>
      <c r="BV479" s="314"/>
      <c r="BW479" s="314"/>
      <c r="BX479" s="155"/>
    </row>
    <row r="480" spans="1:76" ht="15.75" customHeight="1">
      <c r="A480" s="25"/>
      <c r="B480" s="39"/>
      <c r="C480" s="155"/>
      <c r="D480" s="155"/>
      <c r="E480" s="40"/>
      <c r="F480" s="314"/>
      <c r="H480" s="315"/>
      <c r="I480" s="315"/>
      <c r="BA480" s="30"/>
      <c r="BB480" s="155"/>
      <c r="BC480" s="314"/>
      <c r="BD480" s="314"/>
      <c r="BE480" s="314"/>
      <c r="BF480" s="314"/>
      <c r="BG480" s="314"/>
      <c r="BH480" s="314"/>
      <c r="BI480" s="314"/>
      <c r="BJ480" s="314"/>
      <c r="BK480" s="40"/>
      <c r="BL480" s="40"/>
      <c r="BM480" s="40"/>
      <c r="BN480" s="40"/>
      <c r="BO480" s="40"/>
      <c r="BP480" s="155"/>
      <c r="BQ480" s="314"/>
      <c r="BR480" s="314"/>
      <c r="BS480" s="314"/>
      <c r="BT480" s="314"/>
      <c r="BU480" s="314"/>
      <c r="BV480" s="314"/>
      <c r="BW480" s="314"/>
      <c r="BX480" s="155"/>
    </row>
    <row r="481" spans="1:76" ht="15.75" customHeight="1">
      <c r="A481" s="25"/>
      <c r="B481" s="39"/>
      <c r="C481" s="155"/>
      <c r="D481" s="155"/>
      <c r="E481" s="40"/>
      <c r="F481" s="314"/>
      <c r="H481" s="315"/>
      <c r="I481" s="315"/>
      <c r="BA481" s="30"/>
      <c r="BB481" s="155"/>
      <c r="BC481" s="314"/>
      <c r="BD481" s="314"/>
      <c r="BE481" s="314"/>
      <c r="BF481" s="314"/>
      <c r="BG481" s="314"/>
      <c r="BH481" s="314"/>
      <c r="BI481" s="314"/>
      <c r="BJ481" s="314"/>
      <c r="BK481" s="40"/>
      <c r="BL481" s="40"/>
      <c r="BM481" s="40"/>
      <c r="BN481" s="40"/>
      <c r="BO481" s="40"/>
      <c r="BP481" s="155"/>
      <c r="BQ481" s="314"/>
      <c r="BR481" s="314"/>
      <c r="BS481" s="314"/>
      <c r="BT481" s="314"/>
      <c r="BU481" s="314"/>
      <c r="BV481" s="314"/>
      <c r="BW481" s="314"/>
      <c r="BX481" s="155"/>
    </row>
    <row r="482" spans="1:76" ht="15.75" customHeight="1">
      <c r="A482" s="25"/>
      <c r="B482" s="39"/>
      <c r="C482" s="155"/>
      <c r="D482" s="155"/>
      <c r="E482" s="40"/>
      <c r="F482" s="314"/>
      <c r="H482" s="315"/>
      <c r="I482" s="315"/>
      <c r="BA482" s="30"/>
      <c r="BB482" s="155"/>
      <c r="BC482" s="314"/>
      <c r="BD482" s="314"/>
      <c r="BE482" s="314"/>
      <c r="BF482" s="314"/>
      <c r="BG482" s="314"/>
      <c r="BH482" s="314"/>
      <c r="BI482" s="314"/>
      <c r="BJ482" s="314"/>
      <c r="BK482" s="40"/>
      <c r="BL482" s="40"/>
      <c r="BM482" s="40"/>
      <c r="BN482" s="40"/>
      <c r="BO482" s="40"/>
      <c r="BP482" s="155"/>
      <c r="BQ482" s="314"/>
      <c r="BR482" s="314"/>
      <c r="BS482" s="314"/>
      <c r="BT482" s="314"/>
      <c r="BU482" s="314"/>
      <c r="BV482" s="314"/>
      <c r="BW482" s="314"/>
      <c r="BX482" s="155"/>
    </row>
    <row r="483" spans="1:76" ht="15.75" customHeight="1">
      <c r="A483" s="25"/>
      <c r="B483" s="39"/>
      <c r="C483" s="155"/>
      <c r="D483" s="155"/>
      <c r="E483" s="40"/>
      <c r="F483" s="314"/>
      <c r="H483" s="315"/>
      <c r="I483" s="315"/>
      <c r="BA483" s="30"/>
      <c r="BB483" s="155"/>
      <c r="BC483" s="314"/>
      <c r="BD483" s="314"/>
      <c r="BE483" s="314"/>
      <c r="BF483" s="314"/>
      <c r="BG483" s="314"/>
      <c r="BH483" s="314"/>
      <c r="BI483" s="314"/>
      <c r="BJ483" s="314"/>
      <c r="BK483" s="40"/>
      <c r="BL483" s="40"/>
      <c r="BM483" s="40"/>
      <c r="BN483" s="40"/>
      <c r="BO483" s="40"/>
      <c r="BP483" s="155"/>
      <c r="BQ483" s="314"/>
      <c r="BR483" s="314"/>
      <c r="BS483" s="314"/>
      <c r="BT483" s="314"/>
      <c r="BU483" s="314"/>
      <c r="BV483" s="314"/>
      <c r="BW483" s="314"/>
      <c r="BX483" s="155"/>
    </row>
    <row r="484" spans="1:76" ht="15.75" customHeight="1">
      <c r="A484" s="25"/>
      <c r="B484" s="39"/>
      <c r="C484" s="155"/>
      <c r="D484" s="155"/>
      <c r="E484" s="40"/>
      <c r="F484" s="314"/>
      <c r="H484" s="315"/>
      <c r="I484" s="315"/>
      <c r="BA484" s="30"/>
      <c r="BB484" s="155"/>
      <c r="BC484" s="314"/>
      <c r="BD484" s="314"/>
      <c r="BE484" s="314"/>
      <c r="BF484" s="314"/>
      <c r="BG484" s="314"/>
      <c r="BH484" s="314"/>
      <c r="BI484" s="314"/>
      <c r="BJ484" s="314"/>
      <c r="BK484" s="40"/>
      <c r="BL484" s="40"/>
      <c r="BM484" s="40"/>
      <c r="BN484" s="40"/>
      <c r="BO484" s="40"/>
      <c r="BP484" s="155"/>
      <c r="BQ484" s="314"/>
      <c r="BR484" s="314"/>
      <c r="BS484" s="314"/>
      <c r="BT484" s="314"/>
      <c r="BU484" s="314"/>
      <c r="BV484" s="314"/>
      <c r="BW484" s="314"/>
      <c r="BX484" s="155"/>
    </row>
    <row r="485" spans="1:76" ht="15.75" customHeight="1">
      <c r="A485" s="25"/>
      <c r="B485" s="39"/>
      <c r="C485" s="155"/>
      <c r="D485" s="155"/>
      <c r="E485" s="40"/>
      <c r="F485" s="314"/>
      <c r="H485" s="315"/>
      <c r="I485" s="315"/>
      <c r="BA485" s="30"/>
      <c r="BB485" s="155"/>
      <c r="BC485" s="314"/>
      <c r="BD485" s="314"/>
      <c r="BE485" s="314"/>
      <c r="BF485" s="314"/>
      <c r="BG485" s="314"/>
      <c r="BH485" s="314"/>
      <c r="BI485" s="314"/>
      <c r="BJ485" s="314"/>
      <c r="BK485" s="40"/>
      <c r="BL485" s="40"/>
      <c r="BM485" s="40"/>
      <c r="BN485" s="40"/>
      <c r="BO485" s="40"/>
      <c r="BP485" s="155"/>
      <c r="BQ485" s="314"/>
      <c r="BR485" s="314"/>
      <c r="BS485" s="314"/>
      <c r="BT485" s="314"/>
      <c r="BU485" s="314"/>
      <c r="BV485" s="314"/>
      <c r="BW485" s="314"/>
      <c r="BX485" s="155"/>
    </row>
    <row r="486" spans="1:76" ht="15.75" customHeight="1">
      <c r="A486" s="25"/>
      <c r="B486" s="39"/>
      <c r="C486" s="155"/>
      <c r="D486" s="155"/>
      <c r="E486" s="341"/>
      <c r="F486" s="314"/>
      <c r="H486" s="315"/>
      <c r="I486" s="315"/>
      <c r="BA486" s="30"/>
      <c r="BB486" s="321"/>
      <c r="BC486" s="314"/>
      <c r="BD486" s="314"/>
      <c r="BE486" s="314"/>
      <c r="BF486" s="314"/>
      <c r="BG486" s="314"/>
      <c r="BH486" s="314"/>
      <c r="BI486" s="314"/>
      <c r="BJ486" s="314"/>
      <c r="BK486" s="40"/>
      <c r="BL486" s="40"/>
      <c r="BM486" s="40"/>
      <c r="BN486" s="40"/>
      <c r="BO486" s="40"/>
      <c r="BP486" s="155"/>
      <c r="BQ486" s="314"/>
      <c r="BR486" s="314"/>
      <c r="BS486" s="314"/>
      <c r="BT486" s="314"/>
      <c r="BU486" s="314"/>
      <c r="BV486" s="314"/>
      <c r="BW486" s="314"/>
      <c r="BX486" s="155"/>
    </row>
    <row r="487" spans="1:76" ht="15.75" customHeight="1">
      <c r="A487" s="25"/>
      <c r="B487" s="39"/>
      <c r="C487" s="155"/>
      <c r="D487" s="155"/>
      <c r="E487" s="40"/>
      <c r="F487" s="314"/>
      <c r="H487" s="315"/>
      <c r="I487" s="315"/>
      <c r="BA487" s="30"/>
      <c r="BB487" s="155"/>
      <c r="BC487" s="314"/>
      <c r="BD487" s="314"/>
      <c r="BE487" s="314"/>
      <c r="BF487" s="314"/>
      <c r="BG487" s="314"/>
      <c r="BH487" s="314"/>
      <c r="BI487" s="314"/>
      <c r="BJ487" s="314"/>
      <c r="BK487" s="40"/>
      <c r="BL487" s="40"/>
      <c r="BM487" s="40"/>
      <c r="BN487" s="40"/>
      <c r="BO487" s="40"/>
      <c r="BP487" s="155"/>
      <c r="BQ487" s="314"/>
      <c r="BR487" s="314"/>
      <c r="BS487" s="314"/>
      <c r="BT487" s="314"/>
      <c r="BU487" s="314"/>
      <c r="BV487" s="314"/>
      <c r="BW487" s="314"/>
      <c r="BX487" s="155"/>
    </row>
    <row r="488" spans="1:76" ht="15.75" customHeight="1">
      <c r="A488" s="25"/>
      <c r="B488" s="39"/>
      <c r="C488" s="155"/>
      <c r="D488" s="155"/>
      <c r="E488" s="40"/>
      <c r="F488" s="314"/>
      <c r="H488" s="315"/>
      <c r="I488" s="315"/>
      <c r="BA488" s="30"/>
      <c r="BB488" s="155"/>
      <c r="BC488" s="314"/>
      <c r="BD488" s="314"/>
      <c r="BE488" s="314"/>
      <c r="BF488" s="314"/>
      <c r="BG488" s="314"/>
      <c r="BH488" s="314"/>
      <c r="BI488" s="314"/>
      <c r="BJ488" s="314"/>
      <c r="BK488" s="40"/>
      <c r="BL488" s="40"/>
      <c r="BM488" s="40"/>
      <c r="BN488" s="40"/>
      <c r="BO488" s="40"/>
      <c r="BP488" s="155"/>
      <c r="BQ488" s="314"/>
      <c r="BR488" s="314"/>
      <c r="BS488" s="314"/>
      <c r="BT488" s="314"/>
      <c r="BU488" s="314"/>
      <c r="BV488" s="314"/>
      <c r="BW488" s="314"/>
      <c r="BX488" s="155"/>
    </row>
    <row r="489" spans="1:76" ht="15.75" customHeight="1">
      <c r="A489" s="25"/>
      <c r="B489" s="39"/>
      <c r="C489" s="155"/>
      <c r="D489" s="155"/>
      <c r="E489" s="40"/>
      <c r="F489" s="314"/>
      <c r="H489" s="315"/>
      <c r="I489" s="315"/>
      <c r="BA489" s="30"/>
      <c r="BB489" s="155"/>
      <c r="BC489" s="314"/>
      <c r="BD489" s="314"/>
      <c r="BE489" s="314"/>
      <c r="BF489" s="314"/>
      <c r="BG489" s="314"/>
      <c r="BH489" s="314"/>
      <c r="BI489" s="314"/>
      <c r="BJ489" s="314"/>
      <c r="BK489" s="40"/>
      <c r="BL489" s="40"/>
      <c r="BM489" s="40"/>
      <c r="BN489" s="40"/>
      <c r="BO489" s="40"/>
      <c r="BP489" s="155"/>
      <c r="BQ489" s="314"/>
      <c r="BR489" s="314"/>
      <c r="BS489" s="314"/>
      <c r="BT489" s="314"/>
      <c r="BU489" s="314"/>
      <c r="BV489" s="314"/>
      <c r="BW489" s="314"/>
      <c r="BX489" s="155"/>
    </row>
    <row r="490" spans="1:76" ht="15.75" customHeight="1">
      <c r="A490" s="25"/>
      <c r="B490" s="39"/>
      <c r="C490" s="155"/>
      <c r="D490" s="155"/>
      <c r="E490" s="40"/>
      <c r="F490" s="314"/>
      <c r="H490" s="315"/>
      <c r="I490" s="315"/>
      <c r="BA490" s="30"/>
      <c r="BB490" s="155"/>
      <c r="BC490" s="314"/>
      <c r="BD490" s="314"/>
      <c r="BE490" s="314"/>
      <c r="BF490" s="314"/>
      <c r="BG490" s="314"/>
      <c r="BH490" s="314"/>
      <c r="BI490" s="314"/>
      <c r="BJ490" s="314"/>
      <c r="BK490" s="40"/>
      <c r="BL490" s="40"/>
      <c r="BM490" s="40"/>
      <c r="BN490" s="40"/>
      <c r="BO490" s="40"/>
      <c r="BP490" s="155"/>
      <c r="BQ490" s="314"/>
      <c r="BR490" s="314"/>
      <c r="BS490" s="314"/>
      <c r="BT490" s="314"/>
      <c r="BU490" s="314"/>
      <c r="BV490" s="314"/>
      <c r="BW490" s="314"/>
      <c r="BX490" s="155"/>
    </row>
    <row r="491" spans="1:76" ht="15.75" customHeight="1">
      <c r="A491" s="25"/>
      <c r="B491" s="39"/>
      <c r="C491" s="155"/>
      <c r="D491" s="155"/>
      <c r="E491" s="40"/>
      <c r="F491" s="314"/>
      <c r="H491" s="315"/>
      <c r="I491" s="315"/>
      <c r="BA491" s="30"/>
      <c r="BB491" s="155"/>
      <c r="BC491" s="314"/>
      <c r="BD491" s="314"/>
      <c r="BE491" s="314"/>
      <c r="BF491" s="314"/>
      <c r="BG491" s="314"/>
      <c r="BH491" s="314"/>
      <c r="BI491" s="314"/>
      <c r="BJ491" s="314"/>
      <c r="BK491" s="40"/>
      <c r="BL491" s="40"/>
      <c r="BM491" s="40"/>
      <c r="BN491" s="40"/>
      <c r="BO491" s="40"/>
      <c r="BP491" s="155"/>
      <c r="BQ491" s="314"/>
      <c r="BR491" s="314"/>
      <c r="BS491" s="314"/>
      <c r="BT491" s="314"/>
      <c r="BU491" s="314"/>
      <c r="BV491" s="314"/>
      <c r="BW491" s="314"/>
      <c r="BX491" s="155"/>
    </row>
    <row r="492" spans="1:76" ht="15.75" customHeight="1">
      <c r="A492" s="25"/>
      <c r="B492" s="39"/>
      <c r="C492" s="155"/>
      <c r="D492" s="155"/>
      <c r="E492" s="40"/>
      <c r="F492" s="314"/>
      <c r="H492" s="315"/>
      <c r="I492" s="315"/>
      <c r="BA492" s="30"/>
      <c r="BB492" s="155"/>
      <c r="BC492" s="314"/>
      <c r="BD492" s="314"/>
      <c r="BE492" s="314"/>
      <c r="BF492" s="314"/>
      <c r="BG492" s="314"/>
      <c r="BH492" s="314"/>
      <c r="BI492" s="314"/>
      <c r="BJ492" s="314"/>
      <c r="BK492" s="40"/>
      <c r="BL492" s="40"/>
      <c r="BM492" s="40"/>
      <c r="BN492" s="40"/>
      <c r="BO492" s="40"/>
      <c r="BP492" s="155"/>
      <c r="BQ492" s="314"/>
      <c r="BR492" s="314"/>
      <c r="BS492" s="314"/>
      <c r="BT492" s="314"/>
      <c r="BU492" s="314"/>
      <c r="BV492" s="314"/>
      <c r="BW492" s="314"/>
      <c r="BX492" s="155"/>
    </row>
    <row r="493" spans="1:76" ht="15.75" customHeight="1">
      <c r="A493" s="25"/>
      <c r="B493" s="39"/>
      <c r="C493" s="155"/>
      <c r="D493" s="155"/>
      <c r="E493" s="40"/>
      <c r="F493" s="314"/>
      <c r="H493" s="315"/>
      <c r="I493" s="315"/>
      <c r="BA493" s="30"/>
      <c r="BB493" s="155"/>
      <c r="BC493" s="314"/>
      <c r="BD493" s="314"/>
      <c r="BE493" s="314"/>
      <c r="BF493" s="314"/>
      <c r="BG493" s="314"/>
      <c r="BH493" s="314"/>
      <c r="BI493" s="314"/>
      <c r="BJ493" s="314"/>
      <c r="BK493" s="40"/>
      <c r="BL493" s="40"/>
      <c r="BM493" s="40"/>
      <c r="BN493" s="40"/>
      <c r="BO493" s="40"/>
      <c r="BP493" s="155"/>
      <c r="BQ493" s="314"/>
      <c r="BR493" s="314"/>
      <c r="BS493" s="314"/>
      <c r="BT493" s="314"/>
      <c r="BU493" s="314"/>
      <c r="BV493" s="314"/>
      <c r="BW493" s="314"/>
      <c r="BX493" s="155"/>
    </row>
    <row r="494" spans="1:76" ht="15.75" customHeight="1">
      <c r="A494" s="25"/>
      <c r="B494" s="39"/>
      <c r="C494" s="155"/>
      <c r="D494" s="155"/>
      <c r="E494" s="341"/>
      <c r="F494" s="314"/>
      <c r="H494" s="315"/>
      <c r="I494" s="315"/>
      <c r="BA494" s="30"/>
      <c r="BB494" s="321"/>
      <c r="BC494" s="314"/>
      <c r="BD494" s="314"/>
      <c r="BE494" s="314"/>
      <c r="BF494" s="314"/>
      <c r="BG494" s="314"/>
      <c r="BH494" s="314"/>
      <c r="BI494" s="314"/>
      <c r="BJ494" s="314"/>
      <c r="BK494" s="40"/>
      <c r="BL494" s="40"/>
      <c r="BM494" s="40"/>
      <c r="BN494" s="40"/>
      <c r="BO494" s="40"/>
      <c r="BP494" s="155"/>
      <c r="BQ494" s="314"/>
      <c r="BR494" s="314"/>
      <c r="BS494" s="314"/>
      <c r="BT494" s="314"/>
      <c r="BU494" s="314"/>
      <c r="BV494" s="314"/>
      <c r="BW494" s="314"/>
      <c r="BX494" s="155"/>
    </row>
    <row r="495" spans="1:76" ht="15.75" customHeight="1">
      <c r="A495" s="25"/>
      <c r="B495" s="39"/>
      <c r="C495" s="155"/>
      <c r="D495" s="155"/>
      <c r="E495" s="40"/>
      <c r="F495" s="314"/>
      <c r="H495" s="315"/>
      <c r="I495" s="315"/>
      <c r="BA495" s="30"/>
      <c r="BB495" s="155"/>
      <c r="BC495" s="314"/>
      <c r="BD495" s="314"/>
      <c r="BE495" s="314"/>
      <c r="BF495" s="314"/>
      <c r="BG495" s="314"/>
      <c r="BH495" s="314"/>
      <c r="BI495" s="314"/>
      <c r="BJ495" s="314"/>
      <c r="BK495" s="40"/>
      <c r="BL495" s="40"/>
      <c r="BM495" s="40"/>
      <c r="BN495" s="40"/>
      <c r="BO495" s="40"/>
      <c r="BP495" s="155"/>
      <c r="BQ495" s="314"/>
      <c r="BR495" s="314"/>
      <c r="BS495" s="314"/>
      <c r="BT495" s="314"/>
      <c r="BU495" s="314"/>
      <c r="BV495" s="314"/>
      <c r="BW495" s="314"/>
      <c r="BX495" s="155"/>
    </row>
    <row r="496" spans="1:76" ht="15.75" customHeight="1">
      <c r="A496" s="25"/>
      <c r="B496" s="39"/>
      <c r="C496" s="155"/>
      <c r="D496" s="155"/>
      <c r="E496" s="40"/>
      <c r="F496" s="314"/>
      <c r="H496" s="315"/>
      <c r="I496" s="315"/>
      <c r="BA496" s="30"/>
      <c r="BB496" s="155"/>
      <c r="BC496" s="314"/>
      <c r="BD496" s="314"/>
      <c r="BE496" s="314"/>
      <c r="BF496" s="314"/>
      <c r="BG496" s="314"/>
      <c r="BH496" s="314"/>
      <c r="BI496" s="314"/>
      <c r="BJ496" s="314"/>
      <c r="BK496" s="40"/>
      <c r="BL496" s="40"/>
      <c r="BM496" s="40"/>
      <c r="BN496" s="40"/>
      <c r="BO496" s="40"/>
      <c r="BP496" s="155"/>
      <c r="BQ496" s="314"/>
      <c r="BR496" s="314"/>
      <c r="BS496" s="314"/>
      <c r="BT496" s="314"/>
      <c r="BU496" s="314"/>
      <c r="BV496" s="314"/>
      <c r="BW496" s="314"/>
      <c r="BX496" s="155"/>
    </row>
    <row r="497" spans="1:76" ht="15.75" customHeight="1">
      <c r="A497" s="25"/>
      <c r="B497" s="39"/>
      <c r="C497" s="155"/>
      <c r="D497" s="155"/>
      <c r="E497" s="40"/>
      <c r="F497" s="314"/>
      <c r="H497" s="315"/>
      <c r="I497" s="315"/>
      <c r="BA497" s="30"/>
      <c r="BB497" s="155"/>
      <c r="BC497" s="314"/>
      <c r="BD497" s="314"/>
      <c r="BE497" s="314"/>
      <c r="BF497" s="314"/>
      <c r="BG497" s="314"/>
      <c r="BH497" s="314"/>
      <c r="BI497" s="314"/>
      <c r="BJ497" s="314"/>
      <c r="BK497" s="40"/>
      <c r="BL497" s="40"/>
      <c r="BM497" s="40"/>
      <c r="BN497" s="40"/>
      <c r="BO497" s="40"/>
      <c r="BP497" s="155"/>
      <c r="BQ497" s="314"/>
      <c r="BR497" s="314"/>
      <c r="BS497" s="314"/>
      <c r="BT497" s="314"/>
      <c r="BU497" s="314"/>
      <c r="BV497" s="314"/>
      <c r="BW497" s="314"/>
      <c r="BX497" s="155"/>
    </row>
    <row r="498" spans="1:76" ht="15.75" customHeight="1">
      <c r="A498" s="25"/>
      <c r="B498" s="39"/>
      <c r="C498" s="155"/>
      <c r="D498" s="155"/>
      <c r="E498" s="40"/>
      <c r="F498" s="314"/>
      <c r="H498" s="315"/>
      <c r="I498" s="315"/>
      <c r="BA498" s="30"/>
      <c r="BB498" s="155"/>
      <c r="BC498" s="314"/>
      <c r="BD498" s="314"/>
      <c r="BE498" s="314"/>
      <c r="BF498" s="314"/>
      <c r="BG498" s="314"/>
      <c r="BH498" s="314"/>
      <c r="BI498" s="314"/>
      <c r="BJ498" s="314"/>
      <c r="BK498" s="40"/>
      <c r="BL498" s="40"/>
      <c r="BM498" s="40"/>
      <c r="BN498" s="40"/>
      <c r="BO498" s="40"/>
      <c r="BP498" s="155"/>
      <c r="BQ498" s="314"/>
      <c r="BR498" s="314"/>
      <c r="BS498" s="314"/>
      <c r="BT498" s="314"/>
      <c r="BU498" s="314"/>
      <c r="BV498" s="314"/>
      <c r="BW498" s="314"/>
      <c r="BX498" s="155"/>
    </row>
    <row r="499" spans="1:76" ht="15.75" customHeight="1">
      <c r="A499" s="25"/>
      <c r="B499" s="39"/>
      <c r="C499" s="155"/>
      <c r="D499" s="155"/>
      <c r="E499" s="40"/>
      <c r="F499" s="314"/>
      <c r="H499" s="315"/>
      <c r="I499" s="315"/>
      <c r="BA499" s="30"/>
      <c r="BB499" s="155"/>
      <c r="BC499" s="314"/>
      <c r="BD499" s="314"/>
      <c r="BE499" s="314"/>
      <c r="BF499" s="314"/>
      <c r="BG499" s="314"/>
      <c r="BH499" s="314"/>
      <c r="BI499" s="314"/>
      <c r="BJ499" s="314"/>
      <c r="BK499" s="40"/>
      <c r="BL499" s="40"/>
      <c r="BM499" s="40"/>
      <c r="BN499" s="40"/>
      <c r="BO499" s="40"/>
      <c r="BP499" s="155"/>
      <c r="BQ499" s="314"/>
      <c r="BR499" s="314"/>
      <c r="BS499" s="314"/>
      <c r="BT499" s="314"/>
      <c r="BU499" s="314"/>
      <c r="BV499" s="314"/>
      <c r="BW499" s="314"/>
      <c r="BX499" s="155"/>
    </row>
    <row r="500" spans="1:76" ht="15.75" customHeight="1">
      <c r="A500" s="25"/>
      <c r="B500" s="39"/>
      <c r="C500" s="155"/>
      <c r="D500" s="155"/>
      <c r="E500" s="40"/>
      <c r="F500" s="314"/>
      <c r="H500" s="315"/>
      <c r="I500" s="315"/>
      <c r="BA500" s="30"/>
      <c r="BB500" s="155"/>
      <c r="BC500" s="314"/>
      <c r="BD500" s="314"/>
      <c r="BE500" s="314"/>
      <c r="BF500" s="314"/>
      <c r="BG500" s="314"/>
      <c r="BH500" s="314"/>
      <c r="BI500" s="314"/>
      <c r="BJ500" s="314"/>
      <c r="BK500" s="40"/>
      <c r="BL500" s="40"/>
      <c r="BM500" s="40"/>
      <c r="BN500" s="40"/>
      <c r="BO500" s="40"/>
      <c r="BP500" s="155"/>
      <c r="BQ500" s="314"/>
      <c r="BR500" s="314"/>
      <c r="BS500" s="314"/>
      <c r="BT500" s="314"/>
      <c r="BU500" s="314"/>
      <c r="BV500" s="314"/>
      <c r="BW500" s="314"/>
      <c r="BX500" s="155"/>
    </row>
    <row r="501" spans="1:76" ht="15.75" customHeight="1">
      <c r="A501" s="25"/>
      <c r="B501" s="39"/>
      <c r="C501" s="155"/>
      <c r="D501" s="155"/>
      <c r="E501" s="40"/>
      <c r="F501" s="314"/>
      <c r="H501" s="315"/>
      <c r="I501" s="315"/>
      <c r="BA501" s="30"/>
      <c r="BB501" s="155"/>
      <c r="BC501" s="314"/>
      <c r="BD501" s="314"/>
      <c r="BE501" s="314"/>
      <c r="BF501" s="314"/>
      <c r="BG501" s="314"/>
      <c r="BH501" s="314"/>
      <c r="BI501" s="314"/>
      <c r="BJ501" s="314"/>
      <c r="BK501" s="40"/>
      <c r="BL501" s="40"/>
      <c r="BM501" s="40"/>
      <c r="BN501" s="40"/>
      <c r="BO501" s="40"/>
      <c r="BP501" s="155"/>
      <c r="BQ501" s="314"/>
      <c r="BR501" s="314"/>
      <c r="BS501" s="314"/>
      <c r="BT501" s="314"/>
      <c r="BU501" s="314"/>
      <c r="BV501" s="314"/>
      <c r="BW501" s="314"/>
      <c r="BX501" s="155"/>
    </row>
    <row r="502" spans="1:76" ht="15.75" customHeight="1">
      <c r="A502" s="25"/>
      <c r="B502" s="39"/>
      <c r="C502" s="155"/>
      <c r="D502" s="155"/>
      <c r="E502" s="341"/>
      <c r="F502" s="314"/>
      <c r="H502" s="315"/>
      <c r="I502" s="315"/>
      <c r="BA502" s="30"/>
      <c r="BB502" s="321"/>
      <c r="BC502" s="314"/>
      <c r="BD502" s="314"/>
      <c r="BE502" s="314"/>
      <c r="BF502" s="314"/>
      <c r="BG502" s="314"/>
      <c r="BH502" s="314"/>
      <c r="BI502" s="314"/>
      <c r="BJ502" s="314"/>
      <c r="BK502" s="40"/>
      <c r="BL502" s="40"/>
      <c r="BM502" s="40"/>
      <c r="BN502" s="40"/>
      <c r="BO502" s="40"/>
      <c r="BP502" s="155"/>
      <c r="BQ502" s="314"/>
      <c r="BR502" s="314"/>
      <c r="BS502" s="314"/>
      <c r="BT502" s="314"/>
      <c r="BU502" s="314"/>
      <c r="BV502" s="314"/>
      <c r="BW502" s="314"/>
      <c r="BX502" s="155"/>
    </row>
    <row r="503" spans="1:76" ht="15.75" customHeight="1">
      <c r="A503" s="25"/>
      <c r="B503" s="39"/>
      <c r="C503" s="155"/>
      <c r="D503" s="155"/>
      <c r="E503" s="40"/>
      <c r="F503" s="314"/>
      <c r="H503" s="315"/>
      <c r="I503" s="315"/>
      <c r="BA503" s="30"/>
      <c r="BB503" s="155"/>
      <c r="BC503" s="314"/>
      <c r="BD503" s="314"/>
      <c r="BE503" s="314"/>
      <c r="BF503" s="314"/>
      <c r="BG503" s="314"/>
      <c r="BH503" s="314"/>
      <c r="BI503" s="314"/>
      <c r="BJ503" s="314"/>
      <c r="BK503" s="40"/>
      <c r="BL503" s="40"/>
      <c r="BM503" s="40"/>
      <c r="BN503" s="40"/>
      <c r="BO503" s="40"/>
      <c r="BP503" s="155"/>
      <c r="BQ503" s="314"/>
      <c r="BR503" s="314"/>
      <c r="BS503" s="314"/>
      <c r="BT503" s="314"/>
      <c r="BU503" s="314"/>
      <c r="BV503" s="314"/>
      <c r="BW503" s="314"/>
      <c r="BX503" s="155"/>
    </row>
    <row r="504" spans="1:76" ht="15.75" customHeight="1">
      <c r="A504" s="25"/>
      <c r="B504" s="39"/>
      <c r="C504" s="155"/>
      <c r="D504" s="155"/>
      <c r="E504" s="40"/>
      <c r="F504" s="314"/>
      <c r="H504" s="315"/>
      <c r="I504" s="315"/>
      <c r="BA504" s="30"/>
      <c r="BB504" s="155"/>
      <c r="BC504" s="314"/>
      <c r="BD504" s="314"/>
      <c r="BE504" s="314"/>
      <c r="BF504" s="314"/>
      <c r="BG504" s="314"/>
      <c r="BH504" s="314"/>
      <c r="BI504" s="314"/>
      <c r="BJ504" s="314"/>
      <c r="BK504" s="40"/>
      <c r="BL504" s="40"/>
      <c r="BM504" s="40"/>
      <c r="BN504" s="40"/>
      <c r="BO504" s="40"/>
      <c r="BP504" s="155"/>
      <c r="BQ504" s="314"/>
      <c r="BR504" s="314"/>
      <c r="BS504" s="314"/>
      <c r="BT504" s="314"/>
      <c r="BU504" s="314"/>
      <c r="BV504" s="314"/>
      <c r="BW504" s="314"/>
      <c r="BX504" s="155"/>
    </row>
    <row r="505" spans="1:76" ht="15.75" customHeight="1">
      <c r="A505" s="25"/>
      <c r="B505" s="39"/>
      <c r="C505" s="155"/>
      <c r="D505" s="155"/>
      <c r="E505" s="40"/>
      <c r="F505" s="314"/>
      <c r="H505" s="315"/>
      <c r="I505" s="315"/>
      <c r="BA505" s="30"/>
      <c r="BB505" s="155"/>
      <c r="BC505" s="314"/>
      <c r="BD505" s="314"/>
      <c r="BE505" s="314"/>
      <c r="BF505" s="314"/>
      <c r="BG505" s="314"/>
      <c r="BH505" s="314"/>
      <c r="BI505" s="314"/>
      <c r="BJ505" s="314"/>
      <c r="BK505" s="40"/>
      <c r="BL505" s="40"/>
      <c r="BM505" s="40"/>
      <c r="BN505" s="40"/>
      <c r="BO505" s="40"/>
      <c r="BP505" s="155"/>
      <c r="BQ505" s="314"/>
      <c r="BR505" s="314"/>
      <c r="BS505" s="314"/>
      <c r="BT505" s="314"/>
      <c r="BU505" s="314"/>
      <c r="BV505" s="314"/>
      <c r="BW505" s="314"/>
      <c r="BX505" s="155"/>
    </row>
    <row r="506" spans="1:76" ht="15.75" customHeight="1">
      <c r="A506" s="25"/>
      <c r="B506" s="39"/>
      <c r="C506" s="155"/>
      <c r="D506" s="155"/>
      <c r="E506" s="40"/>
      <c r="F506" s="314"/>
      <c r="H506" s="315"/>
      <c r="I506" s="315"/>
      <c r="BA506" s="30"/>
      <c r="BB506" s="155"/>
      <c r="BC506" s="314"/>
      <c r="BD506" s="314"/>
      <c r="BE506" s="314"/>
      <c r="BF506" s="314"/>
      <c r="BG506" s="314"/>
      <c r="BH506" s="314"/>
      <c r="BI506" s="314"/>
      <c r="BJ506" s="314"/>
      <c r="BK506" s="40"/>
      <c r="BL506" s="40"/>
      <c r="BM506" s="40"/>
      <c r="BN506" s="40"/>
      <c r="BO506" s="40"/>
      <c r="BP506" s="155"/>
      <c r="BQ506" s="314"/>
      <c r="BR506" s="314"/>
      <c r="BS506" s="314"/>
      <c r="BT506" s="314"/>
      <c r="BU506" s="314"/>
      <c r="BV506" s="314"/>
      <c r="BW506" s="314"/>
      <c r="BX506" s="155"/>
    </row>
    <row r="507" spans="1:76" ht="15.75" customHeight="1">
      <c r="A507" s="25"/>
      <c r="B507" s="39"/>
      <c r="C507" s="155"/>
      <c r="D507" s="155"/>
      <c r="E507" s="40"/>
      <c r="F507" s="314"/>
      <c r="H507" s="315"/>
      <c r="I507" s="315"/>
      <c r="BA507" s="30"/>
      <c r="BB507" s="155"/>
      <c r="BC507" s="314"/>
      <c r="BD507" s="314"/>
      <c r="BE507" s="314"/>
      <c r="BF507" s="314"/>
      <c r="BG507" s="314"/>
      <c r="BH507" s="314"/>
      <c r="BI507" s="314"/>
      <c r="BJ507" s="314"/>
      <c r="BK507" s="40"/>
      <c r="BL507" s="40"/>
      <c r="BM507" s="40"/>
      <c r="BN507" s="40"/>
      <c r="BO507" s="40"/>
      <c r="BP507" s="155"/>
      <c r="BQ507" s="314"/>
      <c r="BR507" s="314"/>
      <c r="BS507" s="314"/>
      <c r="BT507" s="314"/>
      <c r="BU507" s="314"/>
      <c r="BV507" s="314"/>
      <c r="BW507" s="314"/>
      <c r="BX507" s="155"/>
    </row>
    <row r="508" spans="1:76" ht="15.75" customHeight="1">
      <c r="A508" s="25"/>
      <c r="B508" s="39"/>
      <c r="C508" s="155"/>
      <c r="D508" s="155"/>
      <c r="E508" s="40"/>
      <c r="F508" s="314"/>
      <c r="H508" s="315"/>
      <c r="I508" s="315"/>
      <c r="BA508" s="30"/>
      <c r="BB508" s="155"/>
      <c r="BC508" s="314"/>
      <c r="BD508" s="314"/>
      <c r="BE508" s="314"/>
      <c r="BF508" s="314"/>
      <c r="BG508" s="314"/>
      <c r="BH508" s="314"/>
      <c r="BI508" s="314"/>
      <c r="BJ508" s="314"/>
      <c r="BK508" s="40"/>
      <c r="BL508" s="40"/>
      <c r="BM508" s="40"/>
      <c r="BN508" s="40"/>
      <c r="BO508" s="40"/>
      <c r="BP508" s="155"/>
      <c r="BQ508" s="314"/>
      <c r="BR508" s="314"/>
      <c r="BS508" s="314"/>
      <c r="BT508" s="314"/>
      <c r="BU508" s="314"/>
      <c r="BV508" s="314"/>
      <c r="BW508" s="314"/>
      <c r="BX508" s="155"/>
    </row>
    <row r="509" spans="1:76" ht="15.75" customHeight="1">
      <c r="A509" s="25"/>
      <c r="B509" s="39"/>
      <c r="C509" s="155"/>
      <c r="D509" s="155"/>
      <c r="E509" s="40"/>
      <c r="F509" s="314"/>
      <c r="H509" s="315"/>
      <c r="I509" s="315"/>
      <c r="BA509" s="30"/>
      <c r="BB509" s="155"/>
      <c r="BC509" s="314"/>
      <c r="BD509" s="314"/>
      <c r="BE509" s="314"/>
      <c r="BF509" s="314"/>
      <c r="BG509" s="314"/>
      <c r="BH509" s="314"/>
      <c r="BI509" s="314"/>
      <c r="BJ509" s="314"/>
      <c r="BK509" s="40"/>
      <c r="BL509" s="40"/>
      <c r="BM509" s="40"/>
      <c r="BN509" s="40"/>
      <c r="BO509" s="40"/>
      <c r="BP509" s="155"/>
      <c r="BQ509" s="314"/>
      <c r="BR509" s="314"/>
      <c r="BS509" s="314"/>
      <c r="BT509" s="314"/>
      <c r="BU509" s="314"/>
      <c r="BV509" s="314"/>
      <c r="BW509" s="314"/>
      <c r="BX509" s="155"/>
    </row>
    <row r="510" spans="1:76" ht="15.75" customHeight="1">
      <c r="A510" s="25"/>
      <c r="B510" s="39"/>
      <c r="C510" s="155"/>
      <c r="D510" s="155"/>
      <c r="E510" s="341"/>
      <c r="F510" s="314"/>
      <c r="H510" s="315"/>
      <c r="I510" s="315"/>
      <c r="BA510" s="30"/>
      <c r="BB510" s="321"/>
      <c r="BC510" s="314"/>
      <c r="BD510" s="314"/>
      <c r="BE510" s="314"/>
      <c r="BF510" s="314"/>
      <c r="BG510" s="314"/>
      <c r="BH510" s="314"/>
      <c r="BI510" s="314"/>
      <c r="BJ510" s="314"/>
      <c r="BK510" s="40"/>
      <c r="BL510" s="40"/>
      <c r="BM510" s="40"/>
      <c r="BN510" s="40"/>
      <c r="BO510" s="40"/>
      <c r="BP510" s="155"/>
      <c r="BQ510" s="314"/>
      <c r="BR510" s="314"/>
      <c r="BS510" s="314"/>
      <c r="BT510" s="314"/>
      <c r="BU510" s="314"/>
      <c r="BV510" s="314"/>
      <c r="BW510" s="314"/>
      <c r="BX510" s="155"/>
    </row>
    <row r="511" spans="1:76" ht="15.75" customHeight="1">
      <c r="A511" s="25"/>
      <c r="B511" s="39"/>
      <c r="C511" s="155"/>
      <c r="D511" s="155"/>
      <c r="E511" s="40"/>
      <c r="F511" s="314"/>
      <c r="H511" s="315"/>
      <c r="I511" s="315"/>
      <c r="BA511" s="30"/>
      <c r="BB511" s="155"/>
      <c r="BC511" s="314"/>
      <c r="BD511" s="314"/>
      <c r="BE511" s="314"/>
      <c r="BF511" s="314"/>
      <c r="BG511" s="314"/>
      <c r="BH511" s="314"/>
      <c r="BI511" s="314"/>
      <c r="BJ511" s="314"/>
      <c r="BK511" s="40"/>
      <c r="BL511" s="40"/>
      <c r="BM511" s="40"/>
      <c r="BN511" s="40"/>
      <c r="BO511" s="40"/>
      <c r="BP511" s="155"/>
      <c r="BQ511" s="314"/>
      <c r="BR511" s="314"/>
      <c r="BS511" s="314"/>
      <c r="BT511" s="314"/>
      <c r="BU511" s="314"/>
      <c r="BV511" s="314"/>
      <c r="BW511" s="314"/>
      <c r="BX511" s="155"/>
    </row>
    <row r="512" spans="1:76" ht="15.75" customHeight="1">
      <c r="A512" s="25"/>
      <c r="B512" s="39"/>
      <c r="C512" s="155"/>
      <c r="D512" s="155"/>
      <c r="E512" s="40"/>
      <c r="F512" s="314"/>
      <c r="H512" s="315"/>
      <c r="I512" s="315"/>
      <c r="BA512" s="30"/>
      <c r="BB512" s="155"/>
      <c r="BC512" s="314"/>
      <c r="BD512" s="314"/>
      <c r="BE512" s="314"/>
      <c r="BF512" s="314"/>
      <c r="BG512" s="314"/>
      <c r="BH512" s="314"/>
      <c r="BI512" s="314"/>
      <c r="BJ512" s="314"/>
      <c r="BK512" s="40"/>
      <c r="BL512" s="40"/>
      <c r="BM512" s="40"/>
      <c r="BN512" s="40"/>
      <c r="BO512" s="40"/>
      <c r="BP512" s="155"/>
      <c r="BQ512" s="314"/>
      <c r="BR512" s="314"/>
      <c r="BS512" s="314"/>
      <c r="BT512" s="314"/>
      <c r="BU512" s="314"/>
      <c r="BV512" s="314"/>
      <c r="BW512" s="314"/>
      <c r="BX512" s="155"/>
    </row>
    <row r="513" spans="1:76" ht="15.75" customHeight="1">
      <c r="A513" s="25"/>
      <c r="B513" s="39"/>
      <c r="C513" s="155"/>
      <c r="D513" s="155"/>
      <c r="E513" s="40"/>
      <c r="F513" s="314"/>
      <c r="H513" s="315"/>
      <c r="I513" s="315"/>
      <c r="BA513" s="30"/>
      <c r="BB513" s="155"/>
      <c r="BC513" s="314"/>
      <c r="BD513" s="314"/>
      <c r="BE513" s="314"/>
      <c r="BF513" s="314"/>
      <c r="BG513" s="314"/>
      <c r="BH513" s="314"/>
      <c r="BI513" s="314"/>
      <c r="BJ513" s="314"/>
      <c r="BK513" s="40"/>
      <c r="BL513" s="40"/>
      <c r="BM513" s="40"/>
      <c r="BN513" s="40"/>
      <c r="BO513" s="40"/>
      <c r="BP513" s="155"/>
      <c r="BQ513" s="314"/>
      <c r="BR513" s="314"/>
      <c r="BS513" s="314"/>
      <c r="BT513" s="314"/>
      <c r="BU513" s="314"/>
      <c r="BV513" s="314"/>
      <c r="BW513" s="314"/>
      <c r="BX513" s="155"/>
    </row>
    <row r="514" spans="1:76" ht="15.75" customHeight="1">
      <c r="A514" s="25"/>
      <c r="B514" s="39"/>
      <c r="C514" s="155"/>
      <c r="D514" s="155"/>
      <c r="E514" s="40"/>
      <c r="F514" s="314"/>
      <c r="H514" s="315"/>
      <c r="I514" s="315"/>
      <c r="BA514" s="30"/>
      <c r="BB514" s="155"/>
      <c r="BC514" s="314"/>
      <c r="BD514" s="314"/>
      <c r="BE514" s="314"/>
      <c r="BF514" s="314"/>
      <c r="BG514" s="314"/>
      <c r="BH514" s="314"/>
      <c r="BI514" s="314"/>
      <c r="BJ514" s="314"/>
      <c r="BK514" s="40"/>
      <c r="BL514" s="40"/>
      <c r="BM514" s="40"/>
      <c r="BN514" s="40"/>
      <c r="BO514" s="40"/>
      <c r="BP514" s="155"/>
      <c r="BQ514" s="314"/>
      <c r="BR514" s="314"/>
      <c r="BS514" s="314"/>
      <c r="BT514" s="314"/>
      <c r="BU514" s="314"/>
      <c r="BV514" s="314"/>
      <c r="BW514" s="314"/>
      <c r="BX514" s="155"/>
    </row>
    <row r="515" spans="1:76" ht="15.75" customHeight="1">
      <c r="A515" s="25"/>
      <c r="B515" s="39"/>
      <c r="C515" s="155"/>
      <c r="D515" s="155"/>
      <c r="E515" s="40"/>
      <c r="F515" s="314"/>
      <c r="H515" s="315"/>
      <c r="I515" s="315"/>
      <c r="BA515" s="30"/>
      <c r="BB515" s="155"/>
      <c r="BC515" s="314"/>
      <c r="BD515" s="314"/>
      <c r="BE515" s="314"/>
      <c r="BF515" s="314"/>
      <c r="BG515" s="314"/>
      <c r="BH515" s="314"/>
      <c r="BI515" s="314"/>
      <c r="BJ515" s="314"/>
      <c r="BK515" s="40"/>
      <c r="BL515" s="40"/>
      <c r="BM515" s="40"/>
      <c r="BN515" s="40"/>
      <c r="BO515" s="40"/>
      <c r="BP515" s="155"/>
      <c r="BQ515" s="314"/>
      <c r="BR515" s="314"/>
      <c r="BS515" s="314"/>
      <c r="BT515" s="314"/>
      <c r="BU515" s="314"/>
      <c r="BV515" s="314"/>
      <c r="BW515" s="314"/>
      <c r="BX515" s="155"/>
    </row>
    <row r="516" spans="1:76" ht="15.75" customHeight="1">
      <c r="A516" s="25"/>
      <c r="B516" s="39"/>
      <c r="C516" s="155"/>
      <c r="D516" s="155"/>
      <c r="E516" s="40"/>
      <c r="F516" s="314"/>
      <c r="H516" s="315"/>
      <c r="I516" s="315"/>
      <c r="BA516" s="30"/>
      <c r="BB516" s="155"/>
      <c r="BC516" s="314"/>
      <c r="BD516" s="314"/>
      <c r="BE516" s="314"/>
      <c r="BF516" s="314"/>
      <c r="BG516" s="314"/>
      <c r="BH516" s="314"/>
      <c r="BI516" s="314"/>
      <c r="BJ516" s="314"/>
      <c r="BK516" s="40"/>
      <c r="BL516" s="40"/>
      <c r="BM516" s="40"/>
      <c r="BN516" s="40"/>
      <c r="BO516" s="40"/>
      <c r="BP516" s="155"/>
      <c r="BQ516" s="314"/>
      <c r="BR516" s="314"/>
      <c r="BS516" s="314"/>
      <c r="BT516" s="314"/>
      <c r="BU516" s="314"/>
      <c r="BV516" s="314"/>
      <c r="BW516" s="314"/>
      <c r="BX516" s="155"/>
    </row>
    <row r="517" spans="1:76" ht="15.75" customHeight="1">
      <c r="A517" s="25"/>
      <c r="B517" s="39"/>
      <c r="C517" s="155"/>
      <c r="D517" s="155"/>
      <c r="E517" s="40"/>
      <c r="F517" s="314"/>
      <c r="H517" s="315"/>
      <c r="I517" s="315"/>
      <c r="BA517" s="30"/>
      <c r="BB517" s="155"/>
      <c r="BC517" s="314"/>
      <c r="BD517" s="314"/>
      <c r="BE517" s="314"/>
      <c r="BF517" s="314"/>
      <c r="BG517" s="314"/>
      <c r="BH517" s="314"/>
      <c r="BI517" s="314"/>
      <c r="BJ517" s="314"/>
      <c r="BK517" s="40"/>
      <c r="BL517" s="40"/>
      <c r="BM517" s="40"/>
      <c r="BN517" s="40"/>
      <c r="BO517" s="40"/>
      <c r="BP517" s="155"/>
      <c r="BQ517" s="314"/>
      <c r="BR517" s="314"/>
      <c r="BS517" s="314"/>
      <c r="BT517" s="314"/>
      <c r="BU517" s="314"/>
      <c r="BV517" s="314"/>
      <c r="BW517" s="314"/>
      <c r="BX517" s="155"/>
    </row>
    <row r="518" spans="1:76" ht="15.75" customHeight="1">
      <c r="A518" s="25"/>
      <c r="B518" s="39"/>
      <c r="C518" s="155"/>
      <c r="D518" s="155"/>
      <c r="E518" s="341"/>
      <c r="F518" s="314"/>
      <c r="H518" s="315"/>
      <c r="I518" s="315"/>
      <c r="BA518" s="30"/>
      <c r="BB518" s="321"/>
      <c r="BC518" s="314"/>
      <c r="BD518" s="314"/>
      <c r="BE518" s="314"/>
      <c r="BF518" s="314"/>
      <c r="BG518" s="314"/>
      <c r="BH518" s="314"/>
      <c r="BI518" s="314"/>
      <c r="BJ518" s="314"/>
      <c r="BK518" s="40"/>
      <c r="BL518" s="40"/>
      <c r="BM518" s="40"/>
      <c r="BN518" s="40"/>
      <c r="BO518" s="40"/>
      <c r="BP518" s="155"/>
      <c r="BQ518" s="314"/>
      <c r="BR518" s="314"/>
      <c r="BS518" s="314"/>
      <c r="BT518" s="314"/>
      <c r="BU518" s="314"/>
      <c r="BV518" s="314"/>
      <c r="BW518" s="314"/>
      <c r="BX518" s="155"/>
    </row>
    <row r="519" spans="1:76" ht="15.75" customHeight="1">
      <c r="A519" s="25"/>
      <c r="B519" s="39"/>
      <c r="C519" s="155"/>
      <c r="D519" s="155"/>
      <c r="E519" s="40"/>
      <c r="F519" s="314"/>
      <c r="H519" s="315"/>
      <c r="I519" s="315"/>
      <c r="BA519" s="30"/>
      <c r="BB519" s="155"/>
      <c r="BC519" s="314"/>
      <c r="BD519" s="314"/>
      <c r="BE519" s="314"/>
      <c r="BF519" s="314"/>
      <c r="BG519" s="314"/>
      <c r="BH519" s="314"/>
      <c r="BI519" s="314"/>
      <c r="BJ519" s="314"/>
      <c r="BK519" s="40"/>
      <c r="BL519" s="40"/>
      <c r="BM519" s="40"/>
      <c r="BN519" s="40"/>
      <c r="BO519" s="40"/>
      <c r="BP519" s="155"/>
      <c r="BQ519" s="314"/>
      <c r="BR519" s="314"/>
      <c r="BS519" s="314"/>
      <c r="BT519" s="314"/>
      <c r="BU519" s="314"/>
      <c r="BV519" s="314"/>
      <c r="BW519" s="314"/>
      <c r="BX519" s="155"/>
    </row>
    <row r="520" spans="1:76" ht="15.75" customHeight="1">
      <c r="A520" s="25"/>
      <c r="B520" s="39"/>
      <c r="C520" s="155"/>
      <c r="D520" s="155"/>
      <c r="E520" s="40"/>
      <c r="F520" s="314"/>
      <c r="H520" s="315"/>
      <c r="I520" s="315"/>
      <c r="BA520" s="30"/>
      <c r="BB520" s="155"/>
      <c r="BC520" s="314"/>
      <c r="BD520" s="314"/>
      <c r="BE520" s="314"/>
      <c r="BF520" s="314"/>
      <c r="BG520" s="314"/>
      <c r="BH520" s="314"/>
      <c r="BI520" s="314"/>
      <c r="BJ520" s="314"/>
      <c r="BK520" s="40"/>
      <c r="BL520" s="40"/>
      <c r="BM520" s="40"/>
      <c r="BN520" s="40"/>
      <c r="BO520" s="40"/>
      <c r="BP520" s="155"/>
      <c r="BQ520" s="314"/>
      <c r="BR520" s="314"/>
      <c r="BS520" s="314"/>
      <c r="BT520" s="314"/>
      <c r="BU520" s="314"/>
      <c r="BV520" s="314"/>
      <c r="BW520" s="314"/>
      <c r="BX520" s="155"/>
    </row>
    <row r="521" spans="1:76" ht="15.75" customHeight="1">
      <c r="A521" s="25"/>
      <c r="B521" s="39"/>
      <c r="C521" s="155"/>
      <c r="D521" s="155"/>
      <c r="E521" s="40"/>
      <c r="F521" s="314"/>
      <c r="H521" s="315"/>
      <c r="I521" s="315"/>
      <c r="BA521" s="30"/>
      <c r="BB521" s="155"/>
      <c r="BC521" s="314"/>
      <c r="BD521" s="314"/>
      <c r="BE521" s="314"/>
      <c r="BF521" s="314"/>
      <c r="BG521" s="314"/>
      <c r="BH521" s="314"/>
      <c r="BI521" s="314"/>
      <c r="BJ521" s="314"/>
      <c r="BK521" s="40"/>
      <c r="BL521" s="40"/>
      <c r="BM521" s="40"/>
      <c r="BN521" s="40"/>
      <c r="BO521" s="40"/>
      <c r="BP521" s="155"/>
      <c r="BQ521" s="314"/>
      <c r="BR521" s="314"/>
      <c r="BS521" s="314"/>
      <c r="BT521" s="314"/>
      <c r="BU521" s="314"/>
      <c r="BV521" s="314"/>
      <c r="BW521" s="314"/>
      <c r="BX521" s="155"/>
    </row>
    <row r="522" spans="1:76" ht="15.75" customHeight="1">
      <c r="A522" s="25"/>
      <c r="B522" s="39"/>
      <c r="C522" s="155"/>
      <c r="D522" s="155"/>
      <c r="E522" s="40"/>
      <c r="F522" s="314"/>
      <c r="H522" s="315"/>
      <c r="I522" s="315"/>
      <c r="BA522" s="30"/>
      <c r="BB522" s="155"/>
      <c r="BC522" s="314"/>
      <c r="BD522" s="314"/>
      <c r="BE522" s="314"/>
      <c r="BF522" s="314"/>
      <c r="BG522" s="314"/>
      <c r="BH522" s="314"/>
      <c r="BI522" s="314"/>
      <c r="BJ522" s="314"/>
      <c r="BK522" s="40"/>
      <c r="BL522" s="40"/>
      <c r="BM522" s="40"/>
      <c r="BN522" s="40"/>
      <c r="BO522" s="40"/>
      <c r="BP522" s="155"/>
      <c r="BQ522" s="314"/>
      <c r="BR522" s="314"/>
      <c r="BS522" s="314"/>
      <c r="BT522" s="314"/>
      <c r="BU522" s="314"/>
      <c r="BV522" s="314"/>
      <c r="BW522" s="314"/>
      <c r="BX522" s="155"/>
    </row>
    <row r="523" spans="1:76" ht="15.75" customHeight="1">
      <c r="A523" s="25"/>
      <c r="B523" s="39"/>
      <c r="C523" s="155"/>
      <c r="D523" s="155"/>
      <c r="E523" s="40"/>
      <c r="F523" s="314"/>
      <c r="H523" s="315"/>
      <c r="I523" s="315"/>
      <c r="BA523" s="30"/>
      <c r="BB523" s="155"/>
      <c r="BC523" s="314"/>
      <c r="BD523" s="314"/>
      <c r="BE523" s="314"/>
      <c r="BF523" s="314"/>
      <c r="BG523" s="314"/>
      <c r="BH523" s="314"/>
      <c r="BI523" s="314"/>
      <c r="BJ523" s="314"/>
      <c r="BK523" s="40"/>
      <c r="BL523" s="40"/>
      <c r="BM523" s="40"/>
      <c r="BN523" s="40"/>
      <c r="BO523" s="40"/>
      <c r="BP523" s="155"/>
      <c r="BQ523" s="314"/>
      <c r="BR523" s="314"/>
      <c r="BS523" s="314"/>
      <c r="BT523" s="314"/>
      <c r="BU523" s="314"/>
      <c r="BV523" s="314"/>
      <c r="BW523" s="314"/>
      <c r="BX523" s="155"/>
    </row>
    <row r="524" spans="1:76" ht="15.75" customHeight="1">
      <c r="A524" s="25"/>
      <c r="B524" s="39"/>
      <c r="C524" s="155"/>
      <c r="D524" s="155"/>
      <c r="E524" s="40"/>
      <c r="F524" s="314"/>
      <c r="H524" s="315"/>
      <c r="I524" s="315"/>
      <c r="BA524" s="30"/>
      <c r="BB524" s="155"/>
      <c r="BC524" s="314"/>
      <c r="BD524" s="314"/>
      <c r="BE524" s="314"/>
      <c r="BF524" s="314"/>
      <c r="BG524" s="314"/>
      <c r="BH524" s="314"/>
      <c r="BI524" s="314"/>
      <c r="BJ524" s="314"/>
      <c r="BK524" s="40"/>
      <c r="BL524" s="40"/>
      <c r="BM524" s="40"/>
      <c r="BN524" s="40"/>
      <c r="BO524" s="40"/>
      <c r="BP524" s="155"/>
      <c r="BQ524" s="314"/>
      <c r="BR524" s="314"/>
      <c r="BS524" s="314"/>
      <c r="BT524" s="314"/>
      <c r="BU524" s="314"/>
      <c r="BV524" s="314"/>
      <c r="BW524" s="314"/>
      <c r="BX524" s="155"/>
    </row>
    <row r="525" spans="1:76" ht="15.75" customHeight="1">
      <c r="A525" s="25"/>
      <c r="B525" s="39"/>
      <c r="C525" s="155"/>
      <c r="D525" s="155"/>
      <c r="E525" s="40"/>
      <c r="F525" s="314"/>
      <c r="H525" s="315"/>
      <c r="I525" s="315"/>
      <c r="BA525" s="30"/>
      <c r="BB525" s="155"/>
      <c r="BC525" s="314"/>
      <c r="BD525" s="314"/>
      <c r="BE525" s="314"/>
      <c r="BF525" s="314"/>
      <c r="BG525" s="314"/>
      <c r="BH525" s="314"/>
      <c r="BI525" s="314"/>
      <c r="BJ525" s="314"/>
      <c r="BK525" s="40"/>
      <c r="BL525" s="40"/>
      <c r="BM525" s="40"/>
      <c r="BN525" s="40"/>
      <c r="BO525" s="40"/>
      <c r="BP525" s="155"/>
      <c r="BQ525" s="314"/>
      <c r="BR525" s="314"/>
      <c r="BS525" s="314"/>
      <c r="BT525" s="314"/>
      <c r="BU525" s="314"/>
      <c r="BV525" s="314"/>
      <c r="BW525" s="314"/>
      <c r="BX525" s="155"/>
    </row>
    <row r="526" spans="1:76" ht="15.75" customHeight="1">
      <c r="A526" s="25"/>
      <c r="B526" s="39"/>
      <c r="C526" s="155"/>
      <c r="D526" s="155"/>
      <c r="E526" s="341"/>
      <c r="F526" s="314"/>
      <c r="H526" s="315"/>
      <c r="I526" s="315"/>
      <c r="BA526" s="30"/>
      <c r="BB526" s="321"/>
      <c r="BC526" s="314"/>
      <c r="BD526" s="314"/>
      <c r="BE526" s="314"/>
      <c r="BF526" s="314"/>
      <c r="BG526" s="314"/>
      <c r="BH526" s="314"/>
      <c r="BI526" s="314"/>
      <c r="BJ526" s="314"/>
      <c r="BK526" s="40"/>
      <c r="BL526" s="40"/>
      <c r="BM526" s="40"/>
      <c r="BN526" s="40"/>
      <c r="BO526" s="40"/>
      <c r="BP526" s="155"/>
      <c r="BQ526" s="314"/>
      <c r="BR526" s="314"/>
      <c r="BS526" s="314"/>
      <c r="BT526" s="314"/>
      <c r="BU526" s="314"/>
      <c r="BV526" s="314"/>
      <c r="BW526" s="314"/>
      <c r="BX526" s="155"/>
    </row>
    <row r="527" spans="1:76" ht="15.75" customHeight="1">
      <c r="A527" s="25"/>
      <c r="B527" s="39"/>
      <c r="C527" s="155"/>
      <c r="D527" s="155"/>
      <c r="E527" s="40"/>
      <c r="F527" s="314"/>
      <c r="H527" s="315"/>
      <c r="I527" s="315"/>
      <c r="BA527" s="30"/>
      <c r="BB527" s="155"/>
      <c r="BC527" s="314"/>
      <c r="BD527" s="314"/>
      <c r="BE527" s="314"/>
      <c r="BF527" s="314"/>
      <c r="BG527" s="314"/>
      <c r="BH527" s="314"/>
      <c r="BI527" s="314"/>
      <c r="BJ527" s="314"/>
      <c r="BK527" s="40"/>
      <c r="BL527" s="40"/>
      <c r="BM527" s="40"/>
      <c r="BN527" s="40"/>
      <c r="BO527" s="40"/>
      <c r="BP527" s="155"/>
      <c r="BQ527" s="314"/>
      <c r="BR527" s="314"/>
      <c r="BS527" s="314"/>
      <c r="BT527" s="314"/>
      <c r="BU527" s="314"/>
      <c r="BV527" s="314"/>
      <c r="BW527" s="314"/>
      <c r="BX527" s="155"/>
    </row>
    <row r="528" spans="1:76" ht="15.75" customHeight="1">
      <c r="A528" s="25"/>
      <c r="B528" s="39"/>
      <c r="C528" s="155"/>
      <c r="D528" s="155"/>
      <c r="E528" s="40"/>
      <c r="F528" s="314"/>
      <c r="H528" s="315"/>
      <c r="I528" s="315"/>
      <c r="BA528" s="30"/>
      <c r="BB528" s="155"/>
      <c r="BC528" s="314"/>
      <c r="BD528" s="314"/>
      <c r="BE528" s="314"/>
      <c r="BF528" s="314"/>
      <c r="BG528" s="314"/>
      <c r="BH528" s="314"/>
      <c r="BI528" s="314"/>
      <c r="BJ528" s="314"/>
      <c r="BK528" s="40"/>
      <c r="BL528" s="40"/>
      <c r="BM528" s="40"/>
      <c r="BN528" s="40"/>
      <c r="BO528" s="40"/>
      <c r="BP528" s="155"/>
      <c r="BQ528" s="314"/>
      <c r="BR528" s="314"/>
      <c r="BS528" s="314"/>
      <c r="BT528" s="314"/>
      <c r="BU528" s="314"/>
      <c r="BV528" s="314"/>
      <c r="BW528" s="314"/>
      <c r="BX528" s="155"/>
    </row>
    <row r="529" spans="1:76" ht="15.75" customHeight="1">
      <c r="A529" s="25"/>
      <c r="B529" s="39"/>
      <c r="C529" s="155"/>
      <c r="D529" s="155"/>
      <c r="E529" s="40"/>
      <c r="F529" s="314"/>
      <c r="H529" s="315"/>
      <c r="I529" s="315"/>
      <c r="BA529" s="30"/>
      <c r="BB529" s="155"/>
      <c r="BC529" s="314"/>
      <c r="BD529" s="314"/>
      <c r="BE529" s="314"/>
      <c r="BF529" s="314"/>
      <c r="BG529" s="314"/>
      <c r="BH529" s="314"/>
      <c r="BI529" s="314"/>
      <c r="BJ529" s="314"/>
      <c r="BK529" s="40"/>
      <c r="BL529" s="40"/>
      <c r="BM529" s="40"/>
      <c r="BN529" s="40"/>
      <c r="BO529" s="40"/>
      <c r="BP529" s="155"/>
      <c r="BQ529" s="314"/>
      <c r="BR529" s="314"/>
      <c r="BS529" s="314"/>
      <c r="BT529" s="314"/>
      <c r="BU529" s="314"/>
      <c r="BV529" s="314"/>
      <c r="BW529" s="314"/>
      <c r="BX529" s="155"/>
    </row>
    <row r="530" spans="1:76" ht="15.75" customHeight="1">
      <c r="A530" s="25"/>
      <c r="B530" s="39"/>
      <c r="C530" s="155"/>
      <c r="D530" s="155"/>
      <c r="E530" s="40"/>
      <c r="F530" s="314"/>
      <c r="H530" s="315"/>
      <c r="I530" s="315"/>
      <c r="BA530" s="30"/>
      <c r="BB530" s="155"/>
      <c r="BC530" s="314"/>
      <c r="BD530" s="314"/>
      <c r="BE530" s="314"/>
      <c r="BF530" s="314"/>
      <c r="BG530" s="314"/>
      <c r="BH530" s="314"/>
      <c r="BI530" s="314"/>
      <c r="BJ530" s="314"/>
      <c r="BK530" s="40"/>
      <c r="BL530" s="40"/>
      <c r="BM530" s="40"/>
      <c r="BN530" s="40"/>
      <c r="BO530" s="40"/>
      <c r="BP530" s="155"/>
      <c r="BQ530" s="314"/>
      <c r="BR530" s="314"/>
      <c r="BS530" s="314"/>
      <c r="BT530" s="314"/>
      <c r="BU530" s="314"/>
      <c r="BV530" s="314"/>
      <c r="BW530" s="314"/>
      <c r="BX530" s="155"/>
    </row>
    <row r="531" spans="1:76" ht="15.75" customHeight="1">
      <c r="A531" s="25"/>
      <c r="B531" s="39"/>
      <c r="C531" s="155"/>
      <c r="D531" s="155"/>
      <c r="E531" s="40"/>
      <c r="F531" s="314"/>
      <c r="H531" s="315"/>
      <c r="I531" s="315"/>
      <c r="BA531" s="30"/>
      <c r="BB531" s="155"/>
      <c r="BC531" s="314"/>
      <c r="BD531" s="314"/>
      <c r="BE531" s="314"/>
      <c r="BF531" s="314"/>
      <c r="BG531" s="314"/>
      <c r="BH531" s="314"/>
      <c r="BI531" s="314"/>
      <c r="BJ531" s="314"/>
      <c r="BK531" s="40"/>
      <c r="BL531" s="40"/>
      <c r="BM531" s="40"/>
      <c r="BN531" s="40"/>
      <c r="BO531" s="40"/>
      <c r="BP531" s="155"/>
      <c r="BQ531" s="314"/>
      <c r="BR531" s="314"/>
      <c r="BS531" s="314"/>
      <c r="BT531" s="314"/>
      <c r="BU531" s="314"/>
      <c r="BV531" s="314"/>
      <c r="BW531" s="314"/>
      <c r="BX531" s="155"/>
    </row>
    <row r="532" spans="1:76" ht="15.75" customHeight="1">
      <c r="A532" s="25"/>
      <c r="B532" s="39"/>
      <c r="C532" s="155"/>
      <c r="D532" s="155"/>
      <c r="E532" s="40"/>
      <c r="F532" s="314"/>
      <c r="H532" s="315"/>
      <c r="I532" s="315"/>
      <c r="BA532" s="30"/>
      <c r="BB532" s="155"/>
      <c r="BC532" s="314"/>
      <c r="BD532" s="314"/>
      <c r="BE532" s="314"/>
      <c r="BF532" s="314"/>
      <c r="BG532" s="314"/>
      <c r="BH532" s="314"/>
      <c r="BI532" s="314"/>
      <c r="BJ532" s="314"/>
      <c r="BK532" s="40"/>
      <c r="BL532" s="40"/>
      <c r="BM532" s="40"/>
      <c r="BN532" s="40"/>
      <c r="BO532" s="40"/>
      <c r="BP532" s="155"/>
      <c r="BQ532" s="314"/>
      <c r="BR532" s="314"/>
      <c r="BS532" s="314"/>
      <c r="BT532" s="314"/>
      <c r="BU532" s="314"/>
      <c r="BV532" s="314"/>
      <c r="BW532" s="314"/>
      <c r="BX532" s="155"/>
    </row>
    <row r="533" spans="1:76" ht="15.75" customHeight="1">
      <c r="A533" s="25"/>
      <c r="B533" s="39"/>
      <c r="C533" s="155"/>
      <c r="D533" s="155"/>
      <c r="E533" s="40"/>
      <c r="F533" s="314"/>
      <c r="H533" s="315"/>
      <c r="I533" s="315"/>
      <c r="BA533" s="30"/>
      <c r="BB533" s="155"/>
      <c r="BC533" s="314"/>
      <c r="BD533" s="314"/>
      <c r="BE533" s="314"/>
      <c r="BF533" s="314"/>
      <c r="BG533" s="314"/>
      <c r="BH533" s="314"/>
      <c r="BI533" s="314"/>
      <c r="BJ533" s="314"/>
      <c r="BK533" s="40"/>
      <c r="BL533" s="40"/>
      <c r="BM533" s="40"/>
      <c r="BN533" s="40"/>
      <c r="BO533" s="40"/>
      <c r="BP533" s="155"/>
      <c r="BQ533" s="314"/>
      <c r="BR533" s="314"/>
      <c r="BS533" s="314"/>
      <c r="BT533" s="314"/>
      <c r="BU533" s="314"/>
      <c r="BV533" s="314"/>
      <c r="BW533" s="314"/>
      <c r="BX533" s="155"/>
    </row>
    <row r="534" spans="1:76" ht="15.75" customHeight="1">
      <c r="A534" s="25"/>
      <c r="B534" s="39"/>
      <c r="C534" s="155"/>
      <c r="D534" s="155"/>
      <c r="E534" s="341"/>
      <c r="F534" s="314"/>
      <c r="H534" s="315"/>
      <c r="I534" s="315"/>
      <c r="BA534" s="30"/>
      <c r="BB534" s="321"/>
      <c r="BC534" s="314"/>
      <c r="BD534" s="314"/>
      <c r="BE534" s="314"/>
      <c r="BF534" s="314"/>
      <c r="BG534" s="314"/>
      <c r="BH534" s="314"/>
      <c r="BI534" s="314"/>
      <c r="BJ534" s="314"/>
      <c r="BK534" s="40"/>
      <c r="BL534" s="40"/>
      <c r="BM534" s="40"/>
      <c r="BN534" s="40"/>
      <c r="BO534" s="40"/>
      <c r="BP534" s="155"/>
      <c r="BQ534" s="314"/>
      <c r="BR534" s="314"/>
      <c r="BS534" s="314"/>
      <c r="BT534" s="314"/>
      <c r="BU534" s="314"/>
      <c r="BV534" s="314"/>
      <c r="BW534" s="314"/>
      <c r="BX534" s="155"/>
    </row>
    <row r="535" spans="1:76" ht="15.75" customHeight="1">
      <c r="A535" s="25"/>
      <c r="B535" s="39"/>
      <c r="C535" s="155"/>
      <c r="D535" s="155"/>
      <c r="E535" s="40"/>
      <c r="F535" s="314"/>
      <c r="H535" s="315"/>
      <c r="I535" s="315"/>
      <c r="BA535" s="30"/>
      <c r="BB535" s="155"/>
      <c r="BC535" s="314"/>
      <c r="BD535" s="314"/>
      <c r="BE535" s="314"/>
      <c r="BF535" s="314"/>
      <c r="BG535" s="314"/>
      <c r="BH535" s="314"/>
      <c r="BI535" s="314"/>
      <c r="BJ535" s="314"/>
      <c r="BK535" s="40"/>
      <c r="BL535" s="40"/>
      <c r="BM535" s="40"/>
      <c r="BN535" s="40"/>
      <c r="BO535" s="40"/>
      <c r="BP535" s="155"/>
      <c r="BQ535" s="314"/>
      <c r="BR535" s="314"/>
      <c r="BS535" s="314"/>
      <c r="BT535" s="314"/>
      <c r="BU535" s="314"/>
      <c r="BV535" s="314"/>
      <c r="BW535" s="314"/>
      <c r="BX535" s="155"/>
    </row>
    <row r="536" spans="1:76" ht="15.75" customHeight="1">
      <c r="A536" s="25"/>
      <c r="B536" s="39"/>
      <c r="C536" s="155"/>
      <c r="D536" s="155"/>
      <c r="E536" s="40"/>
      <c r="F536" s="314"/>
      <c r="H536" s="315"/>
      <c r="I536" s="315"/>
      <c r="BA536" s="30"/>
      <c r="BB536" s="155"/>
      <c r="BC536" s="314"/>
      <c r="BD536" s="314"/>
      <c r="BE536" s="314"/>
      <c r="BF536" s="314"/>
      <c r="BG536" s="314"/>
      <c r="BH536" s="314"/>
      <c r="BI536" s="314"/>
      <c r="BJ536" s="314"/>
      <c r="BK536" s="40"/>
      <c r="BL536" s="40"/>
      <c r="BM536" s="40"/>
      <c r="BN536" s="40"/>
      <c r="BO536" s="40"/>
      <c r="BP536" s="155"/>
      <c r="BQ536" s="314"/>
      <c r="BR536" s="314"/>
      <c r="BS536" s="314"/>
      <c r="BT536" s="314"/>
      <c r="BU536" s="314"/>
      <c r="BV536" s="314"/>
      <c r="BW536" s="314"/>
      <c r="BX536" s="155"/>
    </row>
    <row r="537" spans="1:76" ht="15.75" customHeight="1">
      <c r="A537" s="25"/>
      <c r="B537" s="39"/>
      <c r="C537" s="155"/>
      <c r="D537" s="155"/>
      <c r="E537" s="40"/>
      <c r="F537" s="314"/>
      <c r="H537" s="315"/>
      <c r="I537" s="315"/>
      <c r="BA537" s="30"/>
      <c r="BB537" s="155"/>
      <c r="BC537" s="314"/>
      <c r="BD537" s="314"/>
      <c r="BE537" s="314"/>
      <c r="BF537" s="314"/>
      <c r="BG537" s="314"/>
      <c r="BH537" s="314"/>
      <c r="BI537" s="314"/>
      <c r="BJ537" s="314"/>
      <c r="BK537" s="40"/>
      <c r="BL537" s="40"/>
      <c r="BM537" s="40"/>
      <c r="BN537" s="40"/>
      <c r="BO537" s="40"/>
      <c r="BP537" s="155"/>
      <c r="BQ537" s="314"/>
      <c r="BR537" s="314"/>
      <c r="BS537" s="314"/>
      <c r="BT537" s="314"/>
      <c r="BU537" s="314"/>
      <c r="BV537" s="314"/>
      <c r="BW537" s="314"/>
      <c r="BX537" s="155"/>
    </row>
    <row r="538" spans="1:76" ht="15.75" customHeight="1">
      <c r="A538" s="25"/>
      <c r="B538" s="39"/>
      <c r="C538" s="155"/>
      <c r="D538" s="155"/>
      <c r="E538" s="40"/>
      <c r="F538" s="314"/>
      <c r="H538" s="315"/>
      <c r="I538" s="315"/>
      <c r="BA538" s="30"/>
      <c r="BB538" s="155"/>
      <c r="BC538" s="314"/>
      <c r="BD538" s="314"/>
      <c r="BE538" s="314"/>
      <c r="BF538" s="314"/>
      <c r="BG538" s="314"/>
      <c r="BH538" s="314"/>
      <c r="BI538" s="314"/>
      <c r="BJ538" s="314"/>
      <c r="BK538" s="40"/>
      <c r="BL538" s="40"/>
      <c r="BM538" s="40"/>
      <c r="BN538" s="40"/>
      <c r="BO538" s="40"/>
      <c r="BP538" s="155"/>
      <c r="BQ538" s="314"/>
      <c r="BR538" s="314"/>
      <c r="BS538" s="314"/>
      <c r="BT538" s="314"/>
      <c r="BU538" s="314"/>
      <c r="BV538" s="314"/>
      <c r="BW538" s="314"/>
      <c r="BX538" s="155"/>
    </row>
    <row r="539" spans="1:76" ht="15.75" customHeight="1">
      <c r="A539" s="25"/>
      <c r="B539" s="39"/>
      <c r="C539" s="155"/>
      <c r="D539" s="155"/>
      <c r="E539" s="40"/>
      <c r="F539" s="314"/>
      <c r="H539" s="315"/>
      <c r="I539" s="315"/>
      <c r="BA539" s="30"/>
      <c r="BB539" s="155"/>
      <c r="BC539" s="314"/>
      <c r="BD539" s="314"/>
      <c r="BE539" s="314"/>
      <c r="BF539" s="314"/>
      <c r="BG539" s="314"/>
      <c r="BH539" s="314"/>
      <c r="BI539" s="314"/>
      <c r="BJ539" s="314"/>
      <c r="BK539" s="40"/>
      <c r="BL539" s="40"/>
      <c r="BM539" s="40"/>
      <c r="BN539" s="40"/>
      <c r="BO539" s="40"/>
      <c r="BP539" s="155"/>
      <c r="BQ539" s="314"/>
      <c r="BR539" s="314"/>
      <c r="BS539" s="314"/>
      <c r="BT539" s="314"/>
      <c r="BU539" s="314"/>
      <c r="BV539" s="314"/>
      <c r="BW539" s="314"/>
      <c r="BX539" s="155"/>
    </row>
    <row r="540" spans="1:76" ht="15.75" customHeight="1">
      <c r="A540" s="25"/>
      <c r="B540" s="39"/>
      <c r="C540" s="155"/>
      <c r="D540" s="155"/>
      <c r="E540" s="40"/>
      <c r="F540" s="314"/>
      <c r="H540" s="315"/>
      <c r="I540" s="315"/>
      <c r="BA540" s="30"/>
      <c r="BB540" s="155"/>
      <c r="BC540" s="314"/>
      <c r="BD540" s="314"/>
      <c r="BE540" s="314"/>
      <c r="BF540" s="314"/>
      <c r="BG540" s="314"/>
      <c r="BH540" s="314"/>
      <c r="BI540" s="314"/>
      <c r="BJ540" s="314"/>
      <c r="BK540" s="40"/>
      <c r="BL540" s="40"/>
      <c r="BM540" s="40"/>
      <c r="BN540" s="40"/>
      <c r="BO540" s="40"/>
      <c r="BP540" s="155"/>
      <c r="BQ540" s="314"/>
      <c r="BR540" s="314"/>
      <c r="BS540" s="314"/>
      <c r="BT540" s="314"/>
      <c r="BU540" s="314"/>
      <c r="BV540" s="314"/>
      <c r="BW540" s="314"/>
      <c r="BX540" s="155"/>
    </row>
    <row r="541" spans="1:76" ht="15.75" customHeight="1">
      <c r="A541" s="25"/>
      <c r="B541" s="39"/>
      <c r="C541" s="155"/>
      <c r="D541" s="155"/>
      <c r="E541" s="40"/>
      <c r="F541" s="314"/>
      <c r="H541" s="315"/>
      <c r="I541" s="315"/>
      <c r="BA541" s="30"/>
      <c r="BB541" s="155"/>
      <c r="BC541" s="314"/>
      <c r="BD541" s="314"/>
      <c r="BE541" s="314"/>
      <c r="BF541" s="314"/>
      <c r="BG541" s="314"/>
      <c r="BH541" s="314"/>
      <c r="BI541" s="314"/>
      <c r="BJ541" s="314"/>
      <c r="BK541" s="40"/>
      <c r="BL541" s="40"/>
      <c r="BM541" s="40"/>
      <c r="BN541" s="40"/>
      <c r="BO541" s="40"/>
      <c r="BP541" s="155"/>
      <c r="BQ541" s="314"/>
      <c r="BR541" s="314"/>
      <c r="BS541" s="314"/>
      <c r="BT541" s="314"/>
      <c r="BU541" s="314"/>
      <c r="BV541" s="314"/>
      <c r="BW541" s="314"/>
      <c r="BX541" s="155"/>
    </row>
    <row r="542" spans="1:76" ht="15.75" customHeight="1">
      <c r="A542" s="25"/>
      <c r="B542" s="39"/>
      <c r="C542" s="155"/>
      <c r="D542" s="155"/>
      <c r="E542" s="341"/>
      <c r="F542" s="314"/>
      <c r="H542" s="315"/>
      <c r="I542" s="315"/>
      <c r="BA542" s="30"/>
      <c r="BB542" s="321"/>
      <c r="BC542" s="314"/>
      <c r="BD542" s="314"/>
      <c r="BE542" s="314"/>
      <c r="BF542" s="314"/>
      <c r="BG542" s="314"/>
      <c r="BH542" s="314"/>
      <c r="BI542" s="314"/>
      <c r="BJ542" s="314"/>
      <c r="BK542" s="40"/>
      <c r="BL542" s="40"/>
      <c r="BM542" s="40"/>
      <c r="BN542" s="40"/>
      <c r="BO542" s="40"/>
      <c r="BP542" s="155"/>
      <c r="BQ542" s="314"/>
      <c r="BR542" s="314"/>
      <c r="BS542" s="314"/>
      <c r="BT542" s="314"/>
      <c r="BU542" s="314"/>
      <c r="BV542" s="314"/>
      <c r="BW542" s="314"/>
      <c r="BX542" s="155"/>
    </row>
    <row r="543" spans="1:76" ht="15.75" customHeight="1">
      <c r="A543" s="25"/>
      <c r="B543" s="39"/>
      <c r="C543" s="155"/>
      <c r="D543" s="155"/>
      <c r="E543" s="40"/>
      <c r="F543" s="314"/>
      <c r="H543" s="315"/>
      <c r="I543" s="315"/>
      <c r="BA543" s="30"/>
      <c r="BB543" s="155"/>
      <c r="BC543" s="314"/>
      <c r="BD543" s="314"/>
      <c r="BE543" s="314"/>
      <c r="BF543" s="314"/>
      <c r="BG543" s="314"/>
      <c r="BH543" s="314"/>
      <c r="BI543" s="314"/>
      <c r="BJ543" s="314"/>
      <c r="BK543" s="40"/>
      <c r="BL543" s="40"/>
      <c r="BM543" s="40"/>
      <c r="BN543" s="40"/>
      <c r="BO543" s="40"/>
      <c r="BP543" s="155"/>
      <c r="BQ543" s="314"/>
      <c r="BR543" s="314"/>
      <c r="BS543" s="314"/>
      <c r="BT543" s="314"/>
      <c r="BU543" s="314"/>
      <c r="BV543" s="314"/>
      <c r="BW543" s="314"/>
      <c r="BX543" s="155"/>
    </row>
    <row r="544" spans="1:76" ht="15.75" customHeight="1">
      <c r="A544" s="25"/>
      <c r="B544" s="39"/>
      <c r="C544" s="155"/>
      <c r="D544" s="155"/>
      <c r="E544" s="40"/>
      <c r="F544" s="314"/>
      <c r="H544" s="315"/>
      <c r="I544" s="315"/>
      <c r="BA544" s="30"/>
      <c r="BB544" s="155"/>
      <c r="BC544" s="314"/>
      <c r="BD544" s="314"/>
      <c r="BE544" s="314"/>
      <c r="BF544" s="314"/>
      <c r="BG544" s="314"/>
      <c r="BH544" s="314"/>
      <c r="BI544" s="314"/>
      <c r="BJ544" s="314"/>
      <c r="BK544" s="40"/>
      <c r="BL544" s="40"/>
      <c r="BM544" s="40"/>
      <c r="BN544" s="40"/>
      <c r="BO544" s="40"/>
      <c r="BP544" s="155"/>
      <c r="BQ544" s="314"/>
      <c r="BR544" s="314"/>
      <c r="BS544" s="314"/>
      <c r="BT544" s="314"/>
      <c r="BU544" s="314"/>
      <c r="BV544" s="314"/>
      <c r="BW544" s="314"/>
      <c r="BX544" s="155"/>
    </row>
    <row r="545" spans="1:76" ht="15.75" customHeight="1">
      <c r="A545" s="25"/>
      <c r="B545" s="39"/>
      <c r="C545" s="155"/>
      <c r="D545" s="155"/>
      <c r="E545" s="40"/>
      <c r="F545" s="314"/>
      <c r="H545" s="315"/>
      <c r="I545" s="315"/>
      <c r="BA545" s="30"/>
      <c r="BB545" s="155"/>
      <c r="BC545" s="314"/>
      <c r="BD545" s="314"/>
      <c r="BE545" s="314"/>
      <c r="BF545" s="314"/>
      <c r="BG545" s="314"/>
      <c r="BH545" s="314"/>
      <c r="BI545" s="314"/>
      <c r="BJ545" s="314"/>
      <c r="BK545" s="40"/>
      <c r="BL545" s="40"/>
      <c r="BM545" s="40"/>
      <c r="BN545" s="40"/>
      <c r="BO545" s="40"/>
      <c r="BP545" s="155"/>
      <c r="BQ545" s="314"/>
      <c r="BR545" s="314"/>
      <c r="BS545" s="314"/>
      <c r="BT545" s="314"/>
      <c r="BU545" s="314"/>
      <c r="BV545" s="314"/>
      <c r="BW545" s="314"/>
      <c r="BX545" s="155"/>
    </row>
    <row r="546" spans="1:76" ht="15.75" customHeight="1">
      <c r="A546" s="25"/>
      <c r="B546" s="39"/>
      <c r="C546" s="155"/>
      <c r="D546" s="155"/>
      <c r="E546" s="40"/>
      <c r="F546" s="314"/>
      <c r="H546" s="315"/>
      <c r="I546" s="315"/>
      <c r="BA546" s="30"/>
      <c r="BB546" s="155"/>
      <c r="BC546" s="314"/>
      <c r="BD546" s="314"/>
      <c r="BE546" s="314"/>
      <c r="BF546" s="314"/>
      <c r="BG546" s="314"/>
      <c r="BH546" s="314"/>
      <c r="BI546" s="314"/>
      <c r="BJ546" s="314"/>
      <c r="BK546" s="40"/>
      <c r="BL546" s="40"/>
      <c r="BM546" s="40"/>
      <c r="BN546" s="40"/>
      <c r="BO546" s="40"/>
      <c r="BP546" s="155"/>
      <c r="BQ546" s="314"/>
      <c r="BR546" s="314"/>
      <c r="BS546" s="314"/>
      <c r="BT546" s="314"/>
      <c r="BU546" s="314"/>
      <c r="BV546" s="314"/>
      <c r="BW546" s="314"/>
      <c r="BX546" s="155"/>
    </row>
    <row r="547" spans="1:76" ht="15.75" customHeight="1">
      <c r="A547" s="25"/>
      <c r="B547" s="39"/>
      <c r="C547" s="155"/>
      <c r="D547" s="155"/>
      <c r="E547" s="40"/>
      <c r="F547" s="314"/>
      <c r="H547" s="315"/>
      <c r="I547" s="315"/>
      <c r="BA547" s="30"/>
      <c r="BB547" s="155"/>
      <c r="BC547" s="314"/>
      <c r="BD547" s="314"/>
      <c r="BE547" s="314"/>
      <c r="BF547" s="314"/>
      <c r="BG547" s="314"/>
      <c r="BH547" s="314"/>
      <c r="BI547" s="314"/>
      <c r="BJ547" s="314"/>
      <c r="BK547" s="40"/>
      <c r="BL547" s="40"/>
      <c r="BM547" s="40"/>
      <c r="BN547" s="40"/>
      <c r="BO547" s="40"/>
      <c r="BP547" s="155"/>
      <c r="BQ547" s="314"/>
      <c r="BR547" s="314"/>
      <c r="BS547" s="314"/>
      <c r="BT547" s="314"/>
      <c r="BU547" s="314"/>
      <c r="BV547" s="314"/>
      <c r="BW547" s="314"/>
      <c r="BX547" s="155"/>
    </row>
    <row r="548" spans="1:76" ht="15.75" customHeight="1">
      <c r="A548" s="25"/>
      <c r="B548" s="39"/>
      <c r="C548" s="155"/>
      <c r="D548" s="155"/>
      <c r="E548" s="40"/>
      <c r="F548" s="314"/>
      <c r="H548" s="315"/>
      <c r="I548" s="315"/>
      <c r="BA548" s="30"/>
      <c r="BB548" s="155"/>
      <c r="BC548" s="314"/>
      <c r="BD548" s="314"/>
      <c r="BE548" s="314"/>
      <c r="BF548" s="314"/>
      <c r="BG548" s="314"/>
      <c r="BH548" s="314"/>
      <c r="BI548" s="314"/>
      <c r="BJ548" s="314"/>
      <c r="BK548" s="40"/>
      <c r="BL548" s="40"/>
      <c r="BM548" s="40"/>
      <c r="BN548" s="40"/>
      <c r="BO548" s="40"/>
      <c r="BP548" s="155"/>
      <c r="BQ548" s="314"/>
      <c r="BR548" s="314"/>
      <c r="BS548" s="314"/>
      <c r="BT548" s="314"/>
      <c r="BU548" s="314"/>
      <c r="BV548" s="314"/>
      <c r="BW548" s="314"/>
      <c r="BX548" s="155"/>
    </row>
    <row r="549" spans="1:76" ht="15.75" customHeight="1">
      <c r="A549" s="25"/>
      <c r="B549" s="39"/>
      <c r="C549" s="155"/>
      <c r="D549" s="155"/>
      <c r="E549" s="40"/>
      <c r="F549" s="314"/>
      <c r="H549" s="315"/>
      <c r="I549" s="315"/>
      <c r="BA549" s="30"/>
      <c r="BB549" s="155"/>
      <c r="BC549" s="314"/>
      <c r="BD549" s="314"/>
      <c r="BE549" s="314"/>
      <c r="BF549" s="314"/>
      <c r="BG549" s="314"/>
      <c r="BH549" s="314"/>
      <c r="BI549" s="314"/>
      <c r="BJ549" s="314"/>
      <c r="BK549" s="40"/>
      <c r="BL549" s="40"/>
      <c r="BM549" s="40"/>
      <c r="BN549" s="40"/>
      <c r="BO549" s="40"/>
      <c r="BP549" s="155"/>
      <c r="BQ549" s="314"/>
      <c r="BR549" s="314"/>
      <c r="BS549" s="314"/>
      <c r="BT549" s="314"/>
      <c r="BU549" s="314"/>
      <c r="BV549" s="314"/>
      <c r="BW549" s="314"/>
      <c r="BX549" s="155"/>
    </row>
    <row r="550" spans="1:76" ht="15.75" customHeight="1">
      <c r="A550" s="25"/>
      <c r="B550" s="39"/>
      <c r="C550" s="155"/>
      <c r="D550" s="155"/>
      <c r="E550" s="341"/>
      <c r="F550" s="314"/>
      <c r="H550" s="315"/>
      <c r="I550" s="315"/>
      <c r="BA550" s="30"/>
      <c r="BB550" s="321"/>
      <c r="BC550" s="314"/>
      <c r="BD550" s="314"/>
      <c r="BE550" s="314"/>
      <c r="BF550" s="314"/>
      <c r="BG550" s="314"/>
      <c r="BH550" s="314"/>
      <c r="BI550" s="314"/>
      <c r="BJ550" s="314"/>
      <c r="BK550" s="40"/>
      <c r="BL550" s="40"/>
      <c r="BM550" s="40"/>
      <c r="BN550" s="40"/>
      <c r="BO550" s="40"/>
      <c r="BP550" s="155"/>
      <c r="BQ550" s="314"/>
      <c r="BR550" s="314"/>
      <c r="BS550" s="314"/>
      <c r="BT550" s="314"/>
      <c r="BU550" s="314"/>
      <c r="BV550" s="314"/>
      <c r="BW550" s="314"/>
      <c r="BX550" s="155"/>
    </row>
    <row r="551" spans="1:76" ht="15.75" customHeight="1">
      <c r="A551" s="25"/>
      <c r="B551" s="39"/>
      <c r="C551" s="155"/>
      <c r="D551" s="155"/>
      <c r="E551" s="40"/>
      <c r="F551" s="314"/>
      <c r="H551" s="315"/>
      <c r="I551" s="315"/>
      <c r="BA551" s="30"/>
      <c r="BB551" s="155"/>
      <c r="BC551" s="314"/>
      <c r="BD551" s="314"/>
      <c r="BE551" s="314"/>
      <c r="BF551" s="314"/>
      <c r="BG551" s="314"/>
      <c r="BH551" s="314"/>
      <c r="BI551" s="314"/>
      <c r="BJ551" s="314"/>
      <c r="BK551" s="40"/>
      <c r="BL551" s="40"/>
      <c r="BM551" s="40"/>
      <c r="BN551" s="40"/>
      <c r="BO551" s="40"/>
      <c r="BP551" s="155"/>
      <c r="BQ551" s="314"/>
      <c r="BR551" s="314"/>
      <c r="BS551" s="314"/>
      <c r="BT551" s="314"/>
      <c r="BU551" s="314"/>
      <c r="BV551" s="314"/>
      <c r="BW551" s="314"/>
      <c r="BX551" s="155"/>
    </row>
    <row r="552" spans="1:76" ht="15.75" customHeight="1">
      <c r="A552" s="25"/>
      <c r="B552" s="39"/>
      <c r="C552" s="155"/>
      <c r="D552" s="155"/>
      <c r="E552" s="40"/>
      <c r="F552" s="314"/>
      <c r="H552" s="315"/>
      <c r="I552" s="315"/>
      <c r="BA552" s="30"/>
      <c r="BB552" s="155"/>
      <c r="BC552" s="314"/>
      <c r="BD552" s="314"/>
      <c r="BE552" s="314"/>
      <c r="BF552" s="314"/>
      <c r="BG552" s="314"/>
      <c r="BH552" s="314"/>
      <c r="BI552" s="314"/>
      <c r="BJ552" s="314"/>
      <c r="BK552" s="40"/>
      <c r="BL552" s="40"/>
      <c r="BM552" s="40"/>
      <c r="BN552" s="40"/>
      <c r="BO552" s="40"/>
      <c r="BP552" s="155"/>
      <c r="BQ552" s="314"/>
      <c r="BR552" s="314"/>
      <c r="BS552" s="314"/>
      <c r="BT552" s="314"/>
      <c r="BU552" s="314"/>
      <c r="BV552" s="314"/>
      <c r="BW552" s="314"/>
      <c r="BX552" s="155"/>
    </row>
    <row r="553" spans="1:76" ht="15.75" customHeight="1">
      <c r="A553" s="25"/>
      <c r="B553" s="39"/>
      <c r="C553" s="155"/>
      <c r="D553" s="155"/>
      <c r="E553" s="40"/>
      <c r="F553" s="314"/>
      <c r="H553" s="315"/>
      <c r="I553" s="315"/>
      <c r="BA553" s="30"/>
      <c r="BB553" s="155"/>
      <c r="BC553" s="314"/>
      <c r="BD553" s="314"/>
      <c r="BE553" s="314"/>
      <c r="BF553" s="314"/>
      <c r="BG553" s="314"/>
      <c r="BH553" s="314"/>
      <c r="BI553" s="314"/>
      <c r="BJ553" s="314"/>
      <c r="BK553" s="40"/>
      <c r="BL553" s="40"/>
      <c r="BM553" s="40"/>
      <c r="BN553" s="40"/>
      <c r="BO553" s="40"/>
      <c r="BP553" s="155"/>
      <c r="BQ553" s="314"/>
      <c r="BR553" s="314"/>
      <c r="BS553" s="314"/>
      <c r="BT553" s="314"/>
      <c r="BU553" s="314"/>
      <c r="BV553" s="314"/>
      <c r="BW553" s="314"/>
      <c r="BX553" s="155"/>
    </row>
    <row r="554" spans="1:76" ht="15.75" customHeight="1">
      <c r="A554" s="25"/>
      <c r="B554" s="39"/>
      <c r="C554" s="155"/>
      <c r="D554" s="155"/>
      <c r="E554" s="40"/>
      <c r="F554" s="314"/>
      <c r="H554" s="315"/>
      <c r="I554" s="315"/>
      <c r="BA554" s="30"/>
      <c r="BB554" s="155"/>
      <c r="BC554" s="314"/>
      <c r="BD554" s="314"/>
      <c r="BE554" s="314"/>
      <c r="BF554" s="314"/>
      <c r="BG554" s="314"/>
      <c r="BH554" s="314"/>
      <c r="BI554" s="314"/>
      <c r="BJ554" s="314"/>
      <c r="BK554" s="40"/>
      <c r="BL554" s="40"/>
      <c r="BM554" s="40"/>
      <c r="BN554" s="40"/>
      <c r="BO554" s="40"/>
      <c r="BP554" s="155"/>
      <c r="BQ554" s="314"/>
      <c r="BR554" s="314"/>
      <c r="BS554" s="314"/>
      <c r="BT554" s="314"/>
      <c r="BU554" s="314"/>
      <c r="BV554" s="314"/>
      <c r="BW554" s="314"/>
      <c r="BX554" s="155"/>
    </row>
    <row r="555" spans="1:76" ht="15.75" customHeight="1">
      <c r="A555" s="25"/>
      <c r="B555" s="39"/>
      <c r="C555" s="155"/>
      <c r="D555" s="155"/>
      <c r="E555" s="40"/>
      <c r="F555" s="314"/>
      <c r="H555" s="315"/>
      <c r="I555" s="315"/>
      <c r="BA555" s="30"/>
      <c r="BB555" s="155"/>
      <c r="BC555" s="314"/>
      <c r="BD555" s="314"/>
      <c r="BE555" s="314"/>
      <c r="BF555" s="314"/>
      <c r="BG555" s="314"/>
      <c r="BH555" s="314"/>
      <c r="BI555" s="314"/>
      <c r="BJ555" s="314"/>
      <c r="BK555" s="40"/>
      <c r="BL555" s="40"/>
      <c r="BM555" s="40"/>
      <c r="BN555" s="40"/>
      <c r="BO555" s="40"/>
      <c r="BP555" s="155"/>
      <c r="BQ555" s="314"/>
      <c r="BR555" s="314"/>
      <c r="BS555" s="314"/>
      <c r="BT555" s="314"/>
      <c r="BU555" s="314"/>
      <c r="BV555" s="314"/>
      <c r="BW555" s="314"/>
      <c r="BX555" s="155"/>
    </row>
    <row r="556" spans="1:76" ht="15.75" customHeight="1">
      <c r="A556" s="25"/>
      <c r="B556" s="39"/>
      <c r="C556" s="155"/>
      <c r="D556" s="155"/>
      <c r="E556" s="40"/>
      <c r="F556" s="314"/>
      <c r="H556" s="315"/>
      <c r="I556" s="315"/>
      <c r="BA556" s="30"/>
      <c r="BB556" s="155"/>
      <c r="BC556" s="314"/>
      <c r="BD556" s="314"/>
      <c r="BE556" s="314"/>
      <c r="BF556" s="314"/>
      <c r="BG556" s="314"/>
      <c r="BH556" s="314"/>
      <c r="BI556" s="314"/>
      <c r="BJ556" s="314"/>
      <c r="BK556" s="40"/>
      <c r="BL556" s="40"/>
      <c r="BM556" s="40"/>
      <c r="BN556" s="40"/>
      <c r="BO556" s="40"/>
      <c r="BP556" s="155"/>
      <c r="BQ556" s="314"/>
      <c r="BR556" s="314"/>
      <c r="BS556" s="314"/>
      <c r="BT556" s="314"/>
      <c r="BU556" s="314"/>
      <c r="BV556" s="314"/>
      <c r="BW556" s="314"/>
      <c r="BX556" s="155"/>
    </row>
    <row r="557" spans="1:76" ht="15.75" customHeight="1">
      <c r="A557" s="25"/>
      <c r="B557" s="39"/>
      <c r="C557" s="155"/>
      <c r="D557" s="155"/>
      <c r="E557" s="40"/>
      <c r="F557" s="314"/>
      <c r="H557" s="315"/>
      <c r="I557" s="315"/>
      <c r="BA557" s="30"/>
      <c r="BB557" s="155"/>
      <c r="BC557" s="314"/>
      <c r="BD557" s="314"/>
      <c r="BE557" s="314"/>
      <c r="BF557" s="314"/>
      <c r="BG557" s="314"/>
      <c r="BH557" s="314"/>
      <c r="BI557" s="314"/>
      <c r="BJ557" s="314"/>
      <c r="BK557" s="40"/>
      <c r="BL557" s="40"/>
      <c r="BM557" s="40"/>
      <c r="BN557" s="40"/>
      <c r="BO557" s="40"/>
      <c r="BP557" s="155"/>
      <c r="BQ557" s="314"/>
      <c r="BR557" s="314"/>
      <c r="BS557" s="314"/>
      <c r="BT557" s="314"/>
      <c r="BU557" s="314"/>
      <c r="BV557" s="314"/>
      <c r="BW557" s="314"/>
      <c r="BX557" s="155"/>
    </row>
    <row r="558" spans="1:76" ht="15.75" customHeight="1">
      <c r="A558" s="25"/>
      <c r="B558" s="39"/>
      <c r="C558" s="155"/>
      <c r="D558" s="155"/>
      <c r="E558" s="341"/>
      <c r="F558" s="314"/>
      <c r="H558" s="315"/>
      <c r="I558" s="315"/>
      <c r="BA558" s="30"/>
      <c r="BB558" s="321"/>
      <c r="BC558" s="314"/>
      <c r="BD558" s="314"/>
      <c r="BE558" s="314"/>
      <c r="BF558" s="314"/>
      <c r="BG558" s="314"/>
      <c r="BH558" s="314"/>
      <c r="BI558" s="314"/>
      <c r="BJ558" s="314"/>
      <c r="BK558" s="40"/>
      <c r="BL558" s="40"/>
      <c r="BM558" s="40"/>
      <c r="BN558" s="40"/>
      <c r="BO558" s="40"/>
      <c r="BP558" s="155"/>
      <c r="BQ558" s="314"/>
      <c r="BR558" s="314"/>
      <c r="BS558" s="314"/>
      <c r="BT558" s="314"/>
      <c r="BU558" s="314"/>
      <c r="BV558" s="314"/>
      <c r="BW558" s="314"/>
      <c r="BX558" s="155"/>
    </row>
    <row r="559" spans="1:76" ht="15.75" customHeight="1">
      <c r="A559" s="25"/>
      <c r="B559" s="39"/>
      <c r="C559" s="155"/>
      <c r="D559" s="155"/>
      <c r="E559" s="40"/>
      <c r="F559" s="314"/>
      <c r="H559" s="315"/>
      <c r="I559" s="315"/>
      <c r="BA559" s="30"/>
      <c r="BB559" s="155"/>
      <c r="BC559" s="314"/>
      <c r="BD559" s="314"/>
      <c r="BE559" s="314"/>
      <c r="BF559" s="314"/>
      <c r="BG559" s="314"/>
      <c r="BH559" s="314"/>
      <c r="BI559" s="314"/>
      <c r="BJ559" s="314"/>
      <c r="BK559" s="40"/>
      <c r="BL559" s="40"/>
      <c r="BM559" s="40"/>
      <c r="BN559" s="40"/>
      <c r="BO559" s="40"/>
      <c r="BP559" s="155"/>
      <c r="BQ559" s="314"/>
      <c r="BR559" s="314"/>
      <c r="BS559" s="314"/>
      <c r="BT559" s="314"/>
      <c r="BU559" s="314"/>
      <c r="BV559" s="314"/>
      <c r="BW559" s="314"/>
      <c r="BX559" s="155"/>
    </row>
    <row r="560" spans="1:76" ht="15.75" customHeight="1">
      <c r="A560" s="25"/>
      <c r="B560" s="39"/>
      <c r="C560" s="155"/>
      <c r="D560" s="155"/>
      <c r="E560" s="40"/>
      <c r="F560" s="314"/>
      <c r="H560" s="315"/>
      <c r="I560" s="315"/>
      <c r="BA560" s="30"/>
      <c r="BB560" s="155"/>
      <c r="BC560" s="314"/>
      <c r="BD560" s="314"/>
      <c r="BE560" s="314"/>
      <c r="BF560" s="314"/>
      <c r="BG560" s="314"/>
      <c r="BH560" s="314"/>
      <c r="BI560" s="314"/>
      <c r="BJ560" s="314"/>
      <c r="BK560" s="40"/>
      <c r="BL560" s="40"/>
      <c r="BM560" s="40"/>
      <c r="BN560" s="40"/>
      <c r="BO560" s="40"/>
      <c r="BP560" s="155"/>
      <c r="BQ560" s="314"/>
      <c r="BR560" s="314"/>
      <c r="BS560" s="314"/>
      <c r="BT560" s="314"/>
      <c r="BU560" s="314"/>
      <c r="BV560" s="314"/>
      <c r="BW560" s="314"/>
      <c r="BX560" s="155"/>
    </row>
    <row r="561" spans="1:76" ht="15.75" customHeight="1">
      <c r="A561" s="25"/>
      <c r="B561" s="39"/>
      <c r="C561" s="155"/>
      <c r="D561" s="155"/>
      <c r="E561" s="40"/>
      <c r="F561" s="314"/>
      <c r="H561" s="315"/>
      <c r="I561" s="315"/>
      <c r="BA561" s="30"/>
      <c r="BB561" s="155"/>
      <c r="BC561" s="314"/>
      <c r="BD561" s="314"/>
      <c r="BE561" s="314"/>
      <c r="BF561" s="314"/>
      <c r="BG561" s="314"/>
      <c r="BH561" s="314"/>
      <c r="BI561" s="314"/>
      <c r="BJ561" s="314"/>
      <c r="BK561" s="40"/>
      <c r="BL561" s="40"/>
      <c r="BM561" s="40"/>
      <c r="BN561" s="40"/>
      <c r="BO561" s="40"/>
      <c r="BP561" s="155"/>
      <c r="BQ561" s="314"/>
      <c r="BR561" s="314"/>
      <c r="BS561" s="314"/>
      <c r="BT561" s="314"/>
      <c r="BU561" s="314"/>
      <c r="BV561" s="314"/>
      <c r="BW561" s="314"/>
      <c r="BX561" s="155"/>
    </row>
    <row r="562" spans="1:76" ht="15.75" customHeight="1">
      <c r="A562" s="25"/>
      <c r="B562" s="39"/>
      <c r="C562" s="155"/>
      <c r="D562" s="155"/>
      <c r="E562" s="40"/>
      <c r="F562" s="314"/>
      <c r="H562" s="315"/>
      <c r="I562" s="315"/>
      <c r="BA562" s="30"/>
      <c r="BB562" s="155"/>
      <c r="BC562" s="314"/>
      <c r="BD562" s="314"/>
      <c r="BE562" s="314"/>
      <c r="BF562" s="314"/>
      <c r="BG562" s="314"/>
      <c r="BH562" s="314"/>
      <c r="BI562" s="314"/>
      <c r="BJ562" s="314"/>
      <c r="BK562" s="40"/>
      <c r="BL562" s="40"/>
      <c r="BM562" s="40"/>
      <c r="BN562" s="40"/>
      <c r="BO562" s="40"/>
      <c r="BP562" s="155"/>
      <c r="BQ562" s="314"/>
      <c r="BR562" s="314"/>
      <c r="BS562" s="314"/>
      <c r="BT562" s="314"/>
      <c r="BU562" s="314"/>
      <c r="BV562" s="314"/>
      <c r="BW562" s="314"/>
      <c r="BX562" s="155"/>
    </row>
    <row r="563" spans="1:76" ht="15.75" customHeight="1">
      <c r="A563" s="25"/>
      <c r="B563" s="39"/>
      <c r="C563" s="155"/>
      <c r="D563" s="155"/>
      <c r="E563" s="40"/>
      <c r="F563" s="314"/>
      <c r="H563" s="315"/>
      <c r="I563" s="315"/>
      <c r="BA563" s="30"/>
      <c r="BB563" s="155"/>
      <c r="BC563" s="314"/>
      <c r="BD563" s="314"/>
      <c r="BE563" s="314"/>
      <c r="BF563" s="314"/>
      <c r="BG563" s="314"/>
      <c r="BH563" s="314"/>
      <c r="BI563" s="314"/>
      <c r="BJ563" s="314"/>
      <c r="BK563" s="40"/>
      <c r="BL563" s="40"/>
      <c r="BM563" s="40"/>
      <c r="BN563" s="40"/>
      <c r="BO563" s="40"/>
      <c r="BP563" s="155"/>
      <c r="BQ563" s="314"/>
      <c r="BR563" s="314"/>
      <c r="BS563" s="314"/>
      <c r="BT563" s="314"/>
      <c r="BU563" s="314"/>
      <c r="BV563" s="314"/>
      <c r="BW563" s="314"/>
      <c r="BX563" s="155"/>
    </row>
    <row r="564" spans="1:76" ht="15.75" customHeight="1">
      <c r="A564" s="25"/>
      <c r="B564" s="39"/>
      <c r="C564" s="155"/>
      <c r="D564" s="155"/>
      <c r="E564" s="40"/>
      <c r="F564" s="314"/>
      <c r="H564" s="315"/>
      <c r="I564" s="315"/>
      <c r="BA564" s="30"/>
      <c r="BB564" s="155"/>
      <c r="BC564" s="314"/>
      <c r="BD564" s="314"/>
      <c r="BE564" s="314"/>
      <c r="BF564" s="314"/>
      <c r="BG564" s="314"/>
      <c r="BH564" s="314"/>
      <c r="BI564" s="314"/>
      <c r="BJ564" s="314"/>
      <c r="BK564" s="40"/>
      <c r="BL564" s="40"/>
      <c r="BM564" s="40"/>
      <c r="BN564" s="40"/>
      <c r="BO564" s="40"/>
      <c r="BP564" s="155"/>
      <c r="BQ564" s="314"/>
      <c r="BR564" s="314"/>
      <c r="BS564" s="314"/>
      <c r="BT564" s="314"/>
      <c r="BU564" s="314"/>
      <c r="BV564" s="314"/>
      <c r="BW564" s="314"/>
      <c r="BX564" s="155"/>
    </row>
    <row r="565" spans="1:76" ht="15.75" customHeight="1">
      <c r="A565" s="25"/>
      <c r="B565" s="39"/>
      <c r="C565" s="155"/>
      <c r="D565" s="155"/>
      <c r="E565" s="40"/>
      <c r="F565" s="314"/>
      <c r="H565" s="315"/>
      <c r="I565" s="315"/>
      <c r="BA565" s="30"/>
      <c r="BB565" s="155"/>
      <c r="BC565" s="314"/>
      <c r="BD565" s="314"/>
      <c r="BE565" s="314"/>
      <c r="BF565" s="314"/>
      <c r="BG565" s="314"/>
      <c r="BH565" s="314"/>
      <c r="BI565" s="314"/>
      <c r="BJ565" s="314"/>
      <c r="BK565" s="40"/>
      <c r="BL565" s="40"/>
      <c r="BM565" s="40"/>
      <c r="BN565" s="40"/>
      <c r="BO565" s="40"/>
      <c r="BP565" s="155"/>
      <c r="BQ565" s="314"/>
      <c r="BR565" s="314"/>
      <c r="BS565" s="314"/>
      <c r="BT565" s="314"/>
      <c r="BU565" s="314"/>
      <c r="BV565" s="314"/>
      <c r="BW565" s="314"/>
      <c r="BX565" s="155"/>
    </row>
    <row r="566" spans="1:76" ht="15.75" customHeight="1">
      <c r="A566" s="25"/>
      <c r="B566" s="39"/>
      <c r="C566" s="155"/>
      <c r="D566" s="155"/>
      <c r="E566" s="341"/>
      <c r="F566" s="314"/>
      <c r="H566" s="315"/>
      <c r="I566" s="315"/>
      <c r="BA566" s="30"/>
      <c r="BB566" s="321"/>
      <c r="BC566" s="314"/>
      <c r="BD566" s="314"/>
      <c r="BE566" s="314"/>
      <c r="BF566" s="314"/>
      <c r="BG566" s="314"/>
      <c r="BH566" s="314"/>
      <c r="BI566" s="314"/>
      <c r="BJ566" s="314"/>
      <c r="BK566" s="40"/>
      <c r="BL566" s="40"/>
      <c r="BM566" s="40"/>
      <c r="BN566" s="40"/>
      <c r="BO566" s="40"/>
      <c r="BP566" s="155"/>
      <c r="BQ566" s="314"/>
      <c r="BR566" s="314"/>
      <c r="BS566" s="314"/>
      <c r="BT566" s="314"/>
      <c r="BU566" s="314"/>
      <c r="BV566" s="314"/>
      <c r="BW566" s="314"/>
      <c r="BX566" s="155"/>
    </row>
    <row r="567" spans="1:76" ht="15.75" customHeight="1">
      <c r="A567" s="25"/>
      <c r="B567" s="39"/>
      <c r="C567" s="155"/>
      <c r="D567" s="155"/>
      <c r="E567" s="40"/>
      <c r="F567" s="314"/>
      <c r="H567" s="315"/>
      <c r="I567" s="315"/>
      <c r="BA567" s="30"/>
      <c r="BB567" s="155"/>
      <c r="BC567" s="314"/>
      <c r="BD567" s="314"/>
      <c r="BE567" s="314"/>
      <c r="BF567" s="314"/>
      <c r="BG567" s="314"/>
      <c r="BH567" s="314"/>
      <c r="BI567" s="314"/>
      <c r="BJ567" s="314"/>
      <c r="BK567" s="40"/>
      <c r="BL567" s="40"/>
      <c r="BM567" s="40"/>
      <c r="BN567" s="40"/>
      <c r="BO567" s="40"/>
      <c r="BP567" s="155"/>
      <c r="BQ567" s="314"/>
      <c r="BR567" s="314"/>
      <c r="BS567" s="314"/>
      <c r="BT567" s="314"/>
      <c r="BU567" s="314"/>
      <c r="BV567" s="314"/>
      <c r="BW567" s="314"/>
      <c r="BX567" s="155"/>
    </row>
    <row r="568" spans="1:76" ht="15.75" customHeight="1">
      <c r="A568" s="25"/>
      <c r="B568" s="39"/>
      <c r="C568" s="155"/>
      <c r="D568" s="155"/>
      <c r="E568" s="40"/>
      <c r="F568" s="314"/>
      <c r="H568" s="315"/>
      <c r="I568" s="315"/>
      <c r="BA568" s="30"/>
      <c r="BB568" s="155"/>
      <c r="BC568" s="314"/>
      <c r="BD568" s="314"/>
      <c r="BE568" s="314"/>
      <c r="BF568" s="314"/>
      <c r="BG568" s="314"/>
      <c r="BH568" s="314"/>
      <c r="BI568" s="314"/>
      <c r="BJ568" s="314"/>
      <c r="BK568" s="40"/>
      <c r="BL568" s="40"/>
      <c r="BM568" s="40"/>
      <c r="BN568" s="40"/>
      <c r="BO568" s="40"/>
      <c r="BP568" s="155"/>
      <c r="BQ568" s="314"/>
      <c r="BR568" s="314"/>
      <c r="BS568" s="314"/>
      <c r="BT568" s="314"/>
      <c r="BU568" s="314"/>
      <c r="BV568" s="314"/>
      <c r="BW568" s="314"/>
      <c r="BX568" s="155"/>
    </row>
    <row r="569" spans="1:76" ht="15.75" customHeight="1">
      <c r="A569" s="25"/>
      <c r="B569" s="39"/>
      <c r="C569" s="155"/>
      <c r="D569" s="155"/>
      <c r="E569" s="40"/>
      <c r="F569" s="314"/>
      <c r="H569" s="315"/>
      <c r="I569" s="315"/>
      <c r="BA569" s="30"/>
      <c r="BB569" s="155"/>
      <c r="BC569" s="322"/>
      <c r="BD569" s="322"/>
      <c r="BE569" s="322"/>
      <c r="BF569" s="322"/>
      <c r="BG569" s="322"/>
      <c r="BH569" s="322"/>
      <c r="BI569" s="322"/>
      <c r="BJ569" s="322"/>
      <c r="BK569" s="341"/>
      <c r="BL569" s="40"/>
      <c r="BM569" s="40"/>
      <c r="BN569" s="40"/>
      <c r="BO569" s="40"/>
      <c r="BP569" s="155"/>
      <c r="BQ569" s="314"/>
      <c r="BR569" s="314"/>
      <c r="BS569" s="314"/>
      <c r="BT569" s="314"/>
      <c r="BU569" s="314"/>
      <c r="BV569" s="314"/>
      <c r="BW569" s="314"/>
      <c r="BX569" s="155"/>
    </row>
    <row r="570" spans="1:76" ht="15.75" customHeight="1">
      <c r="A570" s="25"/>
      <c r="B570" s="39"/>
      <c r="C570" s="155"/>
      <c r="D570" s="155"/>
      <c r="E570" s="40"/>
      <c r="F570" s="314"/>
      <c r="H570" s="315"/>
      <c r="I570" s="315"/>
      <c r="BA570" s="30"/>
      <c r="BB570" s="155"/>
      <c r="BC570" s="314"/>
      <c r="BD570" s="314"/>
      <c r="BE570" s="314"/>
      <c r="BF570" s="314"/>
      <c r="BG570" s="314"/>
      <c r="BH570" s="314"/>
      <c r="BI570" s="314"/>
      <c r="BJ570" s="314"/>
      <c r="BK570" s="40"/>
      <c r="BL570" s="40"/>
      <c r="BM570" s="40"/>
      <c r="BN570" s="40"/>
      <c r="BO570" s="40"/>
      <c r="BP570" s="155"/>
      <c r="BQ570" s="314"/>
      <c r="BR570" s="314"/>
      <c r="BS570" s="314"/>
      <c r="BT570" s="314"/>
      <c r="BU570" s="314"/>
      <c r="BV570" s="314"/>
      <c r="BW570" s="314"/>
      <c r="BX570" s="155"/>
    </row>
    <row r="571" spans="1:76" ht="15.75" customHeight="1">
      <c r="A571" s="25"/>
      <c r="B571" s="39"/>
      <c r="C571" s="155"/>
      <c r="D571" s="155"/>
      <c r="E571" s="40"/>
      <c r="F571" s="314"/>
      <c r="H571" s="315"/>
      <c r="I571" s="315"/>
      <c r="BA571" s="30"/>
      <c r="BB571" s="155"/>
      <c r="BC571" s="314"/>
      <c r="BD571" s="314"/>
      <c r="BE571" s="314"/>
      <c r="BF571" s="314"/>
      <c r="BG571" s="314"/>
      <c r="BH571" s="314"/>
      <c r="BI571" s="314"/>
      <c r="BJ571" s="314"/>
      <c r="BK571" s="40"/>
      <c r="BL571" s="40"/>
      <c r="BM571" s="40"/>
      <c r="BN571" s="40"/>
      <c r="BO571" s="40"/>
      <c r="BP571" s="155"/>
      <c r="BQ571" s="314"/>
      <c r="BR571" s="314"/>
      <c r="BS571" s="314"/>
      <c r="BT571" s="314"/>
      <c r="BU571" s="314"/>
      <c r="BV571" s="314"/>
      <c r="BW571" s="314"/>
      <c r="BX571" s="155"/>
    </row>
    <row r="572" spans="1:76" ht="15.75" customHeight="1">
      <c r="A572" s="25"/>
      <c r="B572" s="39"/>
      <c r="C572" s="155"/>
      <c r="D572" s="155"/>
      <c r="E572" s="40"/>
      <c r="F572" s="314"/>
      <c r="H572" s="315"/>
      <c r="I572" s="315"/>
      <c r="BA572" s="30"/>
      <c r="BB572" s="155"/>
      <c r="BC572" s="314"/>
      <c r="BD572" s="314"/>
      <c r="BE572" s="314"/>
      <c r="BF572" s="314"/>
      <c r="BG572" s="314"/>
      <c r="BH572" s="314"/>
      <c r="BI572" s="314"/>
      <c r="BJ572" s="314"/>
      <c r="BK572" s="40"/>
      <c r="BL572" s="40"/>
      <c r="BM572" s="40"/>
      <c r="BN572" s="40"/>
      <c r="BO572" s="40"/>
      <c r="BP572" s="155"/>
      <c r="BQ572" s="314"/>
      <c r="BR572" s="314"/>
      <c r="BS572" s="314"/>
      <c r="BT572" s="314"/>
      <c r="BU572" s="314"/>
      <c r="BV572" s="314"/>
      <c r="BW572" s="314"/>
      <c r="BX572" s="155"/>
    </row>
    <row r="573" spans="1:76" ht="15.75" customHeight="1">
      <c r="A573" s="25"/>
      <c r="B573" s="39"/>
      <c r="C573" s="155"/>
      <c r="D573" s="155"/>
      <c r="E573" s="40"/>
      <c r="F573" s="314"/>
      <c r="H573" s="315"/>
      <c r="I573" s="315"/>
      <c r="BA573" s="30"/>
      <c r="BB573" s="155"/>
      <c r="BC573" s="314"/>
      <c r="BD573" s="314"/>
      <c r="BE573" s="314"/>
      <c r="BF573" s="314"/>
      <c r="BG573" s="314"/>
      <c r="BH573" s="314"/>
      <c r="BI573" s="314"/>
      <c r="BJ573" s="314"/>
      <c r="BK573" s="40"/>
      <c r="BL573" s="40"/>
      <c r="BM573" s="40"/>
      <c r="BN573" s="40"/>
      <c r="BO573" s="40"/>
      <c r="BP573" s="155"/>
      <c r="BQ573" s="314"/>
      <c r="BR573" s="314"/>
      <c r="BS573" s="314"/>
      <c r="BT573" s="314"/>
      <c r="BU573" s="314"/>
      <c r="BV573" s="314"/>
      <c r="BW573" s="314"/>
      <c r="BX573" s="155"/>
    </row>
    <row r="574" spans="1:76" ht="15.75" customHeight="1">
      <c r="A574" s="25"/>
      <c r="B574" s="39"/>
      <c r="C574" s="155"/>
      <c r="D574" s="155"/>
      <c r="E574" s="341"/>
      <c r="F574" s="314"/>
      <c r="H574" s="315"/>
      <c r="I574" s="315"/>
      <c r="BA574" s="30"/>
      <c r="BB574" s="321"/>
      <c r="BC574" s="314"/>
      <c r="BD574" s="314"/>
      <c r="BE574" s="314"/>
      <c r="BF574" s="314"/>
      <c r="BG574" s="314"/>
      <c r="BH574" s="314"/>
      <c r="BI574" s="314"/>
      <c r="BJ574" s="314"/>
      <c r="BK574" s="40"/>
      <c r="BL574" s="40"/>
      <c r="BM574" s="40"/>
      <c r="BN574" s="40"/>
      <c r="BO574" s="40"/>
      <c r="BP574" s="155"/>
      <c r="BQ574" s="314"/>
      <c r="BR574" s="314"/>
      <c r="BS574" s="314"/>
      <c r="BT574" s="314"/>
      <c r="BU574" s="314"/>
      <c r="BV574" s="314"/>
      <c r="BW574" s="314"/>
      <c r="BX574" s="155"/>
    </row>
    <row r="575" spans="1:76" ht="15.75" customHeight="1">
      <c r="A575" s="25"/>
      <c r="B575" s="39"/>
      <c r="C575" s="155"/>
      <c r="D575" s="155"/>
      <c r="E575" s="40"/>
      <c r="F575" s="314"/>
      <c r="H575" s="315"/>
      <c r="I575" s="315"/>
      <c r="BA575" s="30"/>
      <c r="BB575" s="155"/>
      <c r="BC575" s="314"/>
      <c r="BD575" s="314"/>
      <c r="BE575" s="314"/>
      <c r="BF575" s="314"/>
      <c r="BG575" s="314"/>
      <c r="BH575" s="314"/>
      <c r="BI575" s="314"/>
      <c r="BJ575" s="314"/>
      <c r="BK575" s="40"/>
      <c r="BL575" s="40"/>
      <c r="BM575" s="40"/>
      <c r="BN575" s="40"/>
      <c r="BO575" s="40"/>
      <c r="BP575" s="155"/>
      <c r="BQ575" s="314"/>
      <c r="BR575" s="314"/>
      <c r="BS575" s="314"/>
      <c r="BT575" s="314"/>
      <c r="BU575" s="314"/>
      <c r="BV575" s="314"/>
      <c r="BW575" s="314"/>
      <c r="BX575" s="155"/>
    </row>
    <row r="576" spans="1:76" ht="15.75" customHeight="1">
      <c r="A576" s="25"/>
      <c r="B576" s="39"/>
      <c r="C576" s="155"/>
      <c r="D576" s="155"/>
      <c r="E576" s="40"/>
      <c r="F576" s="314"/>
      <c r="H576" s="315"/>
      <c r="I576" s="315"/>
      <c r="BA576" s="30"/>
      <c r="BB576" s="155"/>
      <c r="BC576" s="314"/>
      <c r="BD576" s="314"/>
      <c r="BE576" s="314"/>
      <c r="BF576" s="314"/>
      <c r="BG576" s="314"/>
      <c r="BH576" s="314"/>
      <c r="BI576" s="314"/>
      <c r="BJ576" s="314"/>
      <c r="BK576" s="40"/>
      <c r="BL576" s="40"/>
      <c r="BM576" s="40"/>
      <c r="BN576" s="40"/>
      <c r="BO576" s="40"/>
      <c r="BP576" s="155"/>
      <c r="BQ576" s="314"/>
      <c r="BR576" s="314"/>
      <c r="BS576" s="314"/>
      <c r="BT576" s="314"/>
      <c r="BU576" s="314"/>
      <c r="BV576" s="314"/>
      <c r="BW576" s="314"/>
      <c r="BX576" s="155"/>
    </row>
    <row r="577" spans="1:76" ht="15.75" customHeight="1">
      <c r="A577" s="25"/>
      <c r="B577" s="39"/>
      <c r="C577" s="155"/>
      <c r="D577" s="155"/>
      <c r="E577" s="40"/>
      <c r="F577" s="314"/>
      <c r="H577" s="315"/>
      <c r="I577" s="315"/>
      <c r="BA577" s="30"/>
      <c r="BB577" s="155"/>
      <c r="BC577" s="314"/>
      <c r="BD577" s="314"/>
      <c r="BE577" s="314"/>
      <c r="BF577" s="314"/>
      <c r="BG577" s="314"/>
      <c r="BH577" s="314"/>
      <c r="BI577" s="314"/>
      <c r="BJ577" s="314"/>
      <c r="BK577" s="40"/>
      <c r="BL577" s="40"/>
      <c r="BM577" s="40"/>
      <c r="BN577" s="40"/>
      <c r="BO577" s="40"/>
      <c r="BP577" s="155"/>
      <c r="BQ577" s="314"/>
      <c r="BR577" s="314"/>
      <c r="BS577" s="314"/>
      <c r="BT577" s="314"/>
      <c r="BU577" s="314"/>
      <c r="BV577" s="314"/>
      <c r="BW577" s="314"/>
      <c r="BX577" s="155"/>
    </row>
    <row r="578" spans="1:76" ht="15.75" customHeight="1">
      <c r="A578" s="25"/>
      <c r="B578" s="39"/>
      <c r="C578" s="155"/>
      <c r="D578" s="155"/>
      <c r="E578" s="40"/>
      <c r="F578" s="314"/>
      <c r="H578" s="315"/>
      <c r="I578" s="315"/>
      <c r="BA578" s="30"/>
      <c r="BB578" s="155"/>
      <c r="BC578" s="314"/>
      <c r="BD578" s="314"/>
      <c r="BE578" s="314"/>
      <c r="BF578" s="314"/>
      <c r="BG578" s="314"/>
      <c r="BH578" s="314"/>
      <c r="BI578" s="314"/>
      <c r="BJ578" s="314"/>
      <c r="BK578" s="40"/>
      <c r="BL578" s="40"/>
      <c r="BM578" s="40"/>
      <c r="BN578" s="40"/>
      <c r="BO578" s="40"/>
      <c r="BP578" s="155"/>
      <c r="BQ578" s="314"/>
      <c r="BR578" s="314"/>
      <c r="BS578" s="314"/>
      <c r="BT578" s="314"/>
      <c r="BU578" s="314"/>
      <c r="BV578" s="314"/>
      <c r="BW578" s="314"/>
      <c r="BX578" s="155"/>
    </row>
    <row r="579" spans="1:76" ht="15.75" customHeight="1">
      <c r="A579" s="25"/>
      <c r="B579" s="39"/>
      <c r="C579" s="155"/>
      <c r="D579" s="155"/>
      <c r="E579" s="40"/>
      <c r="F579" s="314"/>
      <c r="H579" s="315"/>
      <c r="I579" s="315"/>
      <c r="BA579" s="30"/>
      <c r="BB579" s="155"/>
      <c r="BC579" s="314"/>
      <c r="BD579" s="314"/>
      <c r="BE579" s="314"/>
      <c r="BF579" s="314"/>
      <c r="BG579" s="314"/>
      <c r="BH579" s="314"/>
      <c r="BI579" s="314"/>
      <c r="BJ579" s="314"/>
      <c r="BK579" s="40"/>
      <c r="BL579" s="40"/>
      <c r="BM579" s="40"/>
      <c r="BN579" s="40"/>
      <c r="BO579" s="40"/>
      <c r="BP579" s="155"/>
      <c r="BQ579" s="314"/>
      <c r="BR579" s="314"/>
      <c r="BS579" s="314"/>
      <c r="BT579" s="314"/>
      <c r="BU579" s="314"/>
      <c r="BV579" s="314"/>
      <c r="BW579" s="314"/>
      <c r="BX579" s="155"/>
    </row>
    <row r="580" spans="1:76" ht="15.75" customHeight="1">
      <c r="A580" s="25"/>
      <c r="B580" s="39"/>
      <c r="C580" s="155"/>
      <c r="D580" s="155"/>
      <c r="E580" s="40"/>
      <c r="F580" s="314"/>
      <c r="H580" s="315"/>
      <c r="I580" s="315"/>
      <c r="BA580" s="30"/>
      <c r="BB580" s="155"/>
      <c r="BC580" s="314"/>
      <c r="BD580" s="314"/>
      <c r="BE580" s="314"/>
      <c r="BF580" s="314"/>
      <c r="BG580" s="314"/>
      <c r="BH580" s="314"/>
      <c r="BI580" s="314"/>
      <c r="BJ580" s="314"/>
      <c r="BK580" s="40"/>
      <c r="BL580" s="40"/>
      <c r="BM580" s="40"/>
      <c r="BN580" s="40"/>
      <c r="BO580" s="40"/>
      <c r="BP580" s="155"/>
      <c r="BQ580" s="314"/>
      <c r="BR580" s="314"/>
      <c r="BS580" s="314"/>
      <c r="BT580" s="314"/>
      <c r="BU580" s="314"/>
      <c r="BV580" s="314"/>
      <c r="BW580" s="314"/>
      <c r="BX580" s="155"/>
    </row>
    <row r="581" spans="1:76" ht="15.75" customHeight="1">
      <c r="A581" s="25"/>
      <c r="B581" s="39"/>
      <c r="C581" s="155"/>
      <c r="D581" s="155"/>
      <c r="E581" s="40"/>
      <c r="F581" s="314"/>
      <c r="H581" s="315"/>
      <c r="I581" s="315"/>
      <c r="BA581" s="30"/>
      <c r="BB581" s="155"/>
      <c r="BC581" s="314"/>
      <c r="BD581" s="314"/>
      <c r="BE581" s="314"/>
      <c r="BF581" s="314"/>
      <c r="BG581" s="314"/>
      <c r="BH581" s="314"/>
      <c r="BI581" s="314"/>
      <c r="BJ581" s="314"/>
      <c r="BK581" s="40"/>
      <c r="BL581" s="40"/>
      <c r="BM581" s="40"/>
      <c r="BN581" s="40"/>
      <c r="BO581" s="40"/>
      <c r="BP581" s="155"/>
      <c r="BQ581" s="314"/>
      <c r="BR581" s="314"/>
      <c r="BS581" s="314"/>
      <c r="BT581" s="314"/>
      <c r="BU581" s="314"/>
      <c r="BV581" s="314"/>
      <c r="BW581" s="314"/>
      <c r="BX581" s="155"/>
    </row>
    <row r="582" spans="1:76" ht="15.75" customHeight="1">
      <c r="A582" s="25"/>
      <c r="B582" s="39"/>
      <c r="C582" s="155"/>
      <c r="D582" s="155"/>
      <c r="E582" s="341"/>
      <c r="F582" s="314"/>
      <c r="H582" s="315"/>
      <c r="I582" s="315"/>
      <c r="BA582" s="30"/>
      <c r="BB582" s="321"/>
      <c r="BC582" s="314"/>
      <c r="BD582" s="314"/>
      <c r="BE582" s="314"/>
      <c r="BF582" s="314"/>
      <c r="BG582" s="314"/>
      <c r="BH582" s="314"/>
      <c r="BI582" s="314"/>
      <c r="BJ582" s="314"/>
      <c r="BK582" s="40"/>
      <c r="BL582" s="40"/>
      <c r="BM582" s="40"/>
      <c r="BN582" s="40"/>
      <c r="BO582" s="40"/>
      <c r="BP582" s="155"/>
      <c r="BQ582" s="314"/>
      <c r="BR582" s="314"/>
      <c r="BS582" s="314"/>
      <c r="BT582" s="314"/>
      <c r="BU582" s="314"/>
      <c r="BV582" s="314"/>
      <c r="BW582" s="314"/>
      <c r="BX582" s="155"/>
    </row>
    <row r="583" spans="1:76" ht="15.75" customHeight="1">
      <c r="A583" s="25"/>
      <c r="B583" s="39"/>
      <c r="C583" s="155"/>
      <c r="D583" s="155"/>
      <c r="E583" s="40"/>
      <c r="F583" s="314"/>
      <c r="H583" s="315"/>
      <c r="I583" s="315"/>
      <c r="BA583" s="30"/>
      <c r="BB583" s="155"/>
      <c r="BC583" s="314"/>
      <c r="BD583" s="314"/>
      <c r="BE583" s="314"/>
      <c r="BF583" s="314"/>
      <c r="BG583" s="314"/>
      <c r="BH583" s="314"/>
      <c r="BI583" s="314"/>
      <c r="BJ583" s="314"/>
      <c r="BK583" s="40"/>
      <c r="BL583" s="40"/>
      <c r="BM583" s="40"/>
      <c r="BN583" s="40"/>
      <c r="BO583" s="40"/>
      <c r="BP583" s="155"/>
      <c r="BQ583" s="314"/>
      <c r="BR583" s="314"/>
      <c r="BS583" s="314"/>
      <c r="BT583" s="314"/>
      <c r="BU583" s="314"/>
      <c r="BV583" s="314"/>
      <c r="BW583" s="314"/>
      <c r="BX583" s="155"/>
    </row>
    <row r="584" spans="1:76" ht="15.75" customHeight="1">
      <c r="A584" s="25"/>
      <c r="B584" s="39"/>
      <c r="C584" s="155"/>
      <c r="D584" s="155"/>
      <c r="E584" s="40"/>
      <c r="F584" s="314"/>
      <c r="H584" s="315"/>
      <c r="I584" s="315"/>
      <c r="BA584" s="30"/>
      <c r="BB584" s="155"/>
      <c r="BC584" s="314"/>
      <c r="BD584" s="314"/>
      <c r="BE584" s="314"/>
      <c r="BF584" s="314"/>
      <c r="BG584" s="314"/>
      <c r="BH584" s="314"/>
      <c r="BI584" s="314"/>
      <c r="BJ584" s="314"/>
      <c r="BK584" s="40"/>
      <c r="BL584" s="40"/>
      <c r="BM584" s="40"/>
      <c r="BN584" s="40"/>
      <c r="BO584" s="40"/>
      <c r="BP584" s="155"/>
      <c r="BQ584" s="314"/>
      <c r="BR584" s="314"/>
      <c r="BS584" s="314"/>
      <c r="BT584" s="314"/>
      <c r="BU584" s="314"/>
      <c r="BV584" s="314"/>
      <c r="BW584" s="314"/>
      <c r="BX584" s="155"/>
    </row>
    <row r="585" spans="1:76" ht="15.75" customHeight="1">
      <c r="A585" s="25"/>
      <c r="B585" s="39"/>
      <c r="C585" s="155"/>
      <c r="D585" s="155"/>
      <c r="E585" s="40"/>
      <c r="F585" s="314"/>
      <c r="H585" s="315"/>
      <c r="I585" s="315"/>
      <c r="BA585" s="30"/>
      <c r="BB585" s="155"/>
      <c r="BC585" s="314"/>
      <c r="BD585" s="314"/>
      <c r="BE585" s="314"/>
      <c r="BF585" s="314"/>
      <c r="BG585" s="314"/>
      <c r="BH585" s="314"/>
      <c r="BI585" s="314"/>
      <c r="BJ585" s="314"/>
      <c r="BK585" s="40"/>
      <c r="BL585" s="40"/>
      <c r="BM585" s="40"/>
      <c r="BN585" s="40"/>
      <c r="BO585" s="40"/>
      <c r="BP585" s="155"/>
      <c r="BQ585" s="314"/>
      <c r="BR585" s="314"/>
      <c r="BS585" s="314"/>
      <c r="BT585" s="314"/>
      <c r="BU585" s="314"/>
      <c r="BV585" s="314"/>
      <c r="BW585" s="314"/>
      <c r="BX585" s="155"/>
    </row>
    <row r="586" spans="1:76" ht="15.75" customHeight="1">
      <c r="A586" s="25"/>
      <c r="B586" s="39"/>
      <c r="C586" s="155"/>
      <c r="D586" s="155"/>
      <c r="E586" s="40"/>
      <c r="F586" s="314"/>
      <c r="H586" s="315"/>
      <c r="I586" s="315"/>
      <c r="BA586" s="30"/>
      <c r="BB586" s="155"/>
      <c r="BC586" s="314"/>
      <c r="BD586" s="314"/>
      <c r="BE586" s="314"/>
      <c r="BF586" s="314"/>
      <c r="BG586" s="314"/>
      <c r="BH586" s="314"/>
      <c r="BI586" s="314"/>
      <c r="BJ586" s="314"/>
      <c r="BK586" s="40"/>
      <c r="BL586" s="40"/>
      <c r="BM586" s="40"/>
      <c r="BN586" s="40"/>
      <c r="BO586" s="40"/>
      <c r="BP586" s="155"/>
      <c r="BQ586" s="314"/>
      <c r="BR586" s="314"/>
      <c r="BS586" s="314"/>
      <c r="BT586" s="314"/>
      <c r="BU586" s="314"/>
      <c r="BV586" s="314"/>
      <c r="BW586" s="314"/>
      <c r="BX586" s="155"/>
    </row>
    <row r="587" spans="1:76" ht="15.75" customHeight="1">
      <c r="A587" s="25"/>
      <c r="B587" s="39"/>
      <c r="C587" s="155"/>
      <c r="D587" s="155"/>
      <c r="E587" s="40"/>
      <c r="F587" s="314"/>
      <c r="H587" s="315"/>
      <c r="I587" s="315"/>
      <c r="BA587" s="30"/>
      <c r="BB587" s="155"/>
      <c r="BC587" s="314"/>
      <c r="BD587" s="314"/>
      <c r="BE587" s="314"/>
      <c r="BF587" s="314"/>
      <c r="BG587" s="314"/>
      <c r="BH587" s="314"/>
      <c r="BI587" s="314"/>
      <c r="BJ587" s="314"/>
      <c r="BK587" s="40"/>
      <c r="BL587" s="40"/>
      <c r="BM587" s="40"/>
      <c r="BN587" s="40"/>
      <c r="BO587" s="40"/>
      <c r="BP587" s="155"/>
      <c r="BQ587" s="314"/>
      <c r="BR587" s="314"/>
      <c r="BS587" s="314"/>
      <c r="BT587" s="314"/>
      <c r="BU587" s="314"/>
      <c r="BV587" s="314"/>
      <c r="BW587" s="314"/>
      <c r="BX587" s="155"/>
    </row>
    <row r="588" spans="1:76" ht="15.75" customHeight="1">
      <c r="A588" s="25"/>
      <c r="B588" s="39"/>
      <c r="C588" s="155"/>
      <c r="D588" s="155"/>
      <c r="E588" s="40"/>
      <c r="F588" s="314"/>
      <c r="H588" s="315"/>
      <c r="I588" s="315"/>
      <c r="BA588" s="30"/>
      <c r="BB588" s="155"/>
      <c r="BC588" s="314"/>
      <c r="BD588" s="314"/>
      <c r="BE588" s="314"/>
      <c r="BF588" s="314"/>
      <c r="BG588" s="314"/>
      <c r="BH588" s="314"/>
      <c r="BI588" s="314"/>
      <c r="BJ588" s="314"/>
      <c r="BK588" s="40"/>
      <c r="BL588" s="40"/>
      <c r="BM588" s="40"/>
      <c r="BN588" s="40"/>
      <c r="BO588" s="40"/>
      <c r="BP588" s="155"/>
      <c r="BQ588" s="314"/>
      <c r="BR588" s="314"/>
      <c r="BS588" s="314"/>
      <c r="BT588" s="314"/>
      <c r="BU588" s="314"/>
      <c r="BV588" s="314"/>
      <c r="BW588" s="314"/>
      <c r="BX588" s="155"/>
    </row>
    <row r="589" spans="1:76" ht="15.75" customHeight="1">
      <c r="A589" s="25"/>
      <c r="B589" s="39"/>
      <c r="C589" s="155"/>
      <c r="D589" s="155"/>
      <c r="E589" s="40"/>
      <c r="F589" s="314"/>
      <c r="H589" s="315"/>
      <c r="I589" s="315"/>
      <c r="BA589" s="30"/>
      <c r="BB589" s="155"/>
      <c r="BC589" s="314"/>
      <c r="BD589" s="314"/>
      <c r="BE589" s="314"/>
      <c r="BF589" s="314"/>
      <c r="BG589" s="314"/>
      <c r="BH589" s="314"/>
      <c r="BI589" s="314"/>
      <c r="BJ589" s="314"/>
      <c r="BK589" s="40"/>
      <c r="BL589" s="40"/>
      <c r="BM589" s="40"/>
      <c r="BN589" s="40"/>
      <c r="BO589" s="40"/>
      <c r="BP589" s="155"/>
      <c r="BQ589" s="314"/>
      <c r="BR589" s="314"/>
      <c r="BS589" s="314"/>
      <c r="BT589" s="314"/>
      <c r="BU589" s="314"/>
      <c r="BV589" s="314"/>
      <c r="BW589" s="314"/>
      <c r="BX589" s="155"/>
    </row>
    <row r="590" spans="1:76" ht="15.75" customHeight="1">
      <c r="A590" s="25"/>
      <c r="B590" s="39"/>
      <c r="C590" s="155"/>
      <c r="D590" s="155"/>
      <c r="E590" s="341"/>
      <c r="F590" s="314"/>
      <c r="H590" s="315"/>
      <c r="I590" s="315"/>
      <c r="BA590" s="30"/>
      <c r="BB590" s="321"/>
      <c r="BC590" s="314"/>
      <c r="BD590" s="314"/>
      <c r="BE590" s="314"/>
      <c r="BF590" s="314"/>
      <c r="BG590" s="314"/>
      <c r="BH590" s="314"/>
      <c r="BI590" s="314"/>
      <c r="BJ590" s="314"/>
      <c r="BK590" s="40"/>
      <c r="BL590" s="40"/>
      <c r="BM590" s="40"/>
      <c r="BN590" s="40"/>
      <c r="BO590" s="40"/>
      <c r="BP590" s="155"/>
      <c r="BQ590" s="314"/>
      <c r="BR590" s="314"/>
      <c r="BS590" s="314"/>
      <c r="BT590" s="314"/>
      <c r="BU590" s="314"/>
      <c r="BV590" s="314"/>
      <c r="BW590" s="314"/>
      <c r="BX590" s="155"/>
    </row>
    <row r="591" spans="1:76" ht="15.75" customHeight="1">
      <c r="A591" s="25"/>
      <c r="B591" s="39"/>
      <c r="C591" s="155"/>
      <c r="D591" s="155"/>
      <c r="E591" s="40"/>
      <c r="F591" s="314"/>
      <c r="H591" s="315"/>
      <c r="I591" s="315"/>
      <c r="BA591" s="30"/>
      <c r="BB591" s="155"/>
      <c r="BC591" s="314"/>
      <c r="BD591" s="314"/>
      <c r="BE591" s="314"/>
      <c r="BF591" s="314"/>
      <c r="BG591" s="314"/>
      <c r="BH591" s="314"/>
      <c r="BI591" s="314"/>
      <c r="BJ591" s="314"/>
      <c r="BK591" s="40"/>
      <c r="BL591" s="40"/>
      <c r="BM591" s="40"/>
      <c r="BN591" s="40"/>
      <c r="BO591" s="40"/>
      <c r="BP591" s="155"/>
      <c r="BQ591" s="314"/>
      <c r="BR591" s="314"/>
      <c r="BS591" s="314"/>
      <c r="BT591" s="314"/>
      <c r="BU591" s="314"/>
      <c r="BV591" s="314"/>
      <c r="BW591" s="314"/>
      <c r="BX591" s="155"/>
    </row>
    <row r="592" spans="1:76" ht="15.75" customHeight="1">
      <c r="A592" s="25"/>
      <c r="B592" s="39"/>
      <c r="C592" s="155"/>
      <c r="D592" s="155"/>
      <c r="E592" s="40"/>
      <c r="F592" s="314"/>
      <c r="H592" s="315"/>
      <c r="I592" s="315"/>
      <c r="BA592" s="30"/>
      <c r="BB592" s="155"/>
      <c r="BC592" s="314"/>
      <c r="BD592" s="314"/>
      <c r="BE592" s="314"/>
      <c r="BF592" s="314"/>
      <c r="BG592" s="314"/>
      <c r="BH592" s="314"/>
      <c r="BI592" s="314"/>
      <c r="BJ592" s="314"/>
      <c r="BK592" s="40"/>
      <c r="BL592" s="40"/>
      <c r="BM592" s="40"/>
      <c r="BN592" s="40"/>
      <c r="BO592" s="40"/>
      <c r="BP592" s="155"/>
      <c r="BQ592" s="314"/>
      <c r="BR592" s="314"/>
      <c r="BS592" s="314"/>
      <c r="BT592" s="314"/>
      <c r="BU592" s="314"/>
      <c r="BV592" s="314"/>
      <c r="BW592" s="314"/>
      <c r="BX592" s="155"/>
    </row>
    <row r="593" spans="1:76" ht="15.75" customHeight="1">
      <c r="A593" s="25"/>
      <c r="B593" s="39"/>
      <c r="C593" s="155"/>
      <c r="D593" s="155"/>
      <c r="E593" s="40"/>
      <c r="F593" s="314"/>
      <c r="H593" s="315"/>
      <c r="I593" s="315"/>
      <c r="BA593" s="30"/>
      <c r="BB593" s="155"/>
      <c r="BC593" s="314"/>
      <c r="BD593" s="314"/>
      <c r="BE593" s="314"/>
      <c r="BF593" s="314"/>
      <c r="BG593" s="314"/>
      <c r="BH593" s="314"/>
      <c r="BI593" s="314"/>
      <c r="BJ593" s="314"/>
      <c r="BK593" s="40"/>
      <c r="BL593" s="40"/>
      <c r="BM593" s="40"/>
      <c r="BN593" s="40"/>
      <c r="BO593" s="40"/>
      <c r="BP593" s="155"/>
      <c r="BQ593" s="314"/>
      <c r="BR593" s="314"/>
      <c r="BS593" s="314"/>
      <c r="BT593" s="314"/>
      <c r="BU593" s="314"/>
      <c r="BV593" s="314"/>
      <c r="BW593" s="314"/>
      <c r="BX593" s="155"/>
    </row>
    <row r="594" spans="1:76" ht="15.75" customHeight="1">
      <c r="A594" s="25"/>
      <c r="B594" s="39"/>
      <c r="C594" s="155"/>
      <c r="D594" s="155"/>
      <c r="E594" s="40"/>
      <c r="F594" s="314"/>
      <c r="H594" s="315"/>
      <c r="I594" s="315"/>
      <c r="BA594" s="30"/>
      <c r="BB594" s="155"/>
      <c r="BC594" s="314"/>
      <c r="BD594" s="314"/>
      <c r="BE594" s="314"/>
      <c r="BF594" s="314"/>
      <c r="BG594" s="314"/>
      <c r="BH594" s="314"/>
      <c r="BI594" s="314"/>
      <c r="BJ594" s="314"/>
      <c r="BK594" s="40"/>
      <c r="BL594" s="40"/>
      <c r="BM594" s="40"/>
      <c r="BN594" s="40"/>
      <c r="BO594" s="40"/>
      <c r="BP594" s="155"/>
      <c r="BQ594" s="314"/>
      <c r="BR594" s="314"/>
      <c r="BS594" s="314"/>
      <c r="BT594" s="314"/>
      <c r="BU594" s="314"/>
      <c r="BV594" s="314"/>
      <c r="BW594" s="314"/>
      <c r="BX594" s="155"/>
    </row>
    <row r="595" spans="1:76" ht="15.75" customHeight="1">
      <c r="A595" s="25"/>
      <c r="B595" s="39"/>
      <c r="C595" s="155"/>
      <c r="D595" s="155"/>
      <c r="E595" s="40"/>
      <c r="F595" s="314"/>
      <c r="H595" s="315"/>
      <c r="I595" s="315"/>
      <c r="BA595" s="30"/>
      <c r="BB595" s="155"/>
      <c r="BC595" s="314"/>
      <c r="BD595" s="314"/>
      <c r="BE595" s="314"/>
      <c r="BF595" s="314"/>
      <c r="BG595" s="314"/>
      <c r="BH595" s="314"/>
      <c r="BI595" s="314"/>
      <c r="BJ595" s="314"/>
      <c r="BK595" s="40"/>
      <c r="BL595" s="40"/>
      <c r="BM595" s="40"/>
      <c r="BN595" s="40"/>
      <c r="BO595" s="40"/>
      <c r="BP595" s="155"/>
      <c r="BQ595" s="314"/>
      <c r="BR595" s="314"/>
      <c r="BS595" s="314"/>
      <c r="BT595" s="314"/>
      <c r="BU595" s="314"/>
      <c r="BV595" s="314"/>
      <c r="BW595" s="314"/>
      <c r="BX595" s="155"/>
    </row>
    <row r="596" spans="1:76" ht="15.75" customHeight="1">
      <c r="A596" s="25"/>
      <c r="B596" s="39"/>
      <c r="C596" s="155"/>
      <c r="D596" s="155"/>
      <c r="E596" s="40"/>
      <c r="F596" s="314"/>
      <c r="H596" s="315"/>
      <c r="I596" s="315"/>
      <c r="BA596" s="30"/>
      <c r="BB596" s="155"/>
      <c r="BC596" s="314"/>
      <c r="BD596" s="314"/>
      <c r="BE596" s="314"/>
      <c r="BF596" s="314"/>
      <c r="BG596" s="314"/>
      <c r="BH596" s="314"/>
      <c r="BI596" s="314"/>
      <c r="BJ596" s="314"/>
      <c r="BK596" s="40"/>
      <c r="BL596" s="40"/>
      <c r="BM596" s="40"/>
      <c r="BN596" s="40"/>
      <c r="BO596" s="40"/>
      <c r="BP596" s="155"/>
      <c r="BQ596" s="314"/>
      <c r="BR596" s="314"/>
      <c r="BS596" s="314"/>
      <c r="BT596" s="314"/>
      <c r="BU596" s="314"/>
      <c r="BV596" s="314"/>
      <c r="BW596" s="314"/>
      <c r="BX596" s="155"/>
    </row>
    <row r="597" spans="1:76" ht="15.75" customHeight="1">
      <c r="A597" s="25"/>
      <c r="B597" s="39"/>
      <c r="C597" s="155"/>
      <c r="D597" s="155"/>
      <c r="E597" s="40"/>
      <c r="F597" s="314"/>
      <c r="H597" s="315"/>
      <c r="I597" s="315"/>
      <c r="BA597" s="30"/>
      <c r="BB597" s="155"/>
      <c r="BC597" s="314"/>
      <c r="BD597" s="314"/>
      <c r="BE597" s="314"/>
      <c r="BF597" s="314"/>
      <c r="BG597" s="314"/>
      <c r="BH597" s="314"/>
      <c r="BI597" s="314"/>
      <c r="BJ597" s="314"/>
      <c r="BK597" s="40"/>
      <c r="BL597" s="40"/>
      <c r="BM597" s="40"/>
      <c r="BN597" s="40"/>
      <c r="BO597" s="40"/>
      <c r="BP597" s="155"/>
      <c r="BQ597" s="314"/>
      <c r="BR597" s="314"/>
      <c r="BS597" s="314"/>
      <c r="BT597" s="314"/>
      <c r="BU597" s="314"/>
      <c r="BV597" s="314"/>
      <c r="BW597" s="314"/>
      <c r="BX597" s="155"/>
    </row>
    <row r="598" spans="1:76" ht="15.75" customHeight="1">
      <c r="A598" s="25"/>
      <c r="B598" s="39"/>
      <c r="C598" s="155"/>
      <c r="D598" s="155"/>
      <c r="E598" s="341"/>
      <c r="F598" s="314"/>
      <c r="H598" s="315"/>
      <c r="I598" s="315"/>
      <c r="BA598" s="30"/>
      <c r="BB598" s="321"/>
      <c r="BC598" s="314"/>
      <c r="BD598" s="314"/>
      <c r="BE598" s="314"/>
      <c r="BF598" s="314"/>
      <c r="BG598" s="314"/>
      <c r="BH598" s="314"/>
      <c r="BI598" s="314"/>
      <c r="BJ598" s="314"/>
      <c r="BK598" s="40"/>
      <c r="BL598" s="40"/>
      <c r="BM598" s="40"/>
      <c r="BN598" s="40"/>
      <c r="BO598" s="40"/>
      <c r="BP598" s="155"/>
      <c r="BQ598" s="314"/>
      <c r="BR598" s="314"/>
      <c r="BS598" s="314"/>
      <c r="BT598" s="314"/>
      <c r="BU598" s="314"/>
      <c r="BV598" s="314"/>
      <c r="BW598" s="314"/>
      <c r="BX598" s="155"/>
    </row>
    <row r="599" spans="1:76" ht="15.75" customHeight="1">
      <c r="A599" s="25"/>
      <c r="B599" s="39"/>
      <c r="C599" s="155"/>
      <c r="D599" s="155"/>
      <c r="E599" s="40"/>
      <c r="F599" s="314"/>
      <c r="H599" s="315"/>
      <c r="I599" s="315"/>
      <c r="BA599" s="30"/>
      <c r="BB599" s="155"/>
      <c r="BC599" s="314"/>
      <c r="BD599" s="314"/>
      <c r="BE599" s="314"/>
      <c r="BF599" s="314"/>
      <c r="BG599" s="314"/>
      <c r="BH599" s="314"/>
      <c r="BI599" s="314"/>
      <c r="BJ599" s="314"/>
      <c r="BK599" s="40"/>
      <c r="BL599" s="40"/>
      <c r="BM599" s="40"/>
      <c r="BN599" s="40"/>
      <c r="BO599" s="40"/>
      <c r="BP599" s="155"/>
      <c r="BQ599" s="314"/>
      <c r="BR599" s="314"/>
      <c r="BS599" s="314"/>
      <c r="BT599" s="314"/>
      <c r="BU599" s="314"/>
      <c r="BV599" s="314"/>
      <c r="BW599" s="314"/>
      <c r="BX599" s="155"/>
    </row>
    <row r="600" spans="1:76" ht="15.75" customHeight="1">
      <c r="A600" s="25"/>
      <c r="B600" s="39"/>
      <c r="C600" s="155"/>
      <c r="D600" s="155"/>
      <c r="E600" s="40"/>
      <c r="F600" s="314"/>
      <c r="H600" s="315"/>
      <c r="I600" s="315"/>
      <c r="BA600" s="30"/>
      <c r="BB600" s="155"/>
      <c r="BC600" s="314"/>
      <c r="BD600" s="314"/>
      <c r="BE600" s="314"/>
      <c r="BF600" s="314"/>
      <c r="BG600" s="314"/>
      <c r="BH600" s="314"/>
      <c r="BI600" s="314"/>
      <c r="BJ600" s="314"/>
      <c r="BK600" s="40"/>
      <c r="BL600" s="40"/>
      <c r="BM600" s="40"/>
      <c r="BN600" s="40"/>
      <c r="BO600" s="40"/>
      <c r="BP600" s="155"/>
      <c r="BQ600" s="314"/>
      <c r="BR600" s="314"/>
      <c r="BS600" s="314"/>
      <c r="BT600" s="314"/>
      <c r="BU600" s="314"/>
      <c r="BV600" s="314"/>
      <c r="BW600" s="314"/>
      <c r="BX600" s="155"/>
    </row>
    <row r="601" spans="1:76" ht="15.75" customHeight="1">
      <c r="A601" s="25"/>
      <c r="B601" s="39"/>
      <c r="C601" s="155"/>
      <c r="D601" s="155"/>
      <c r="E601" s="40"/>
      <c r="F601" s="314"/>
      <c r="H601" s="315"/>
      <c r="I601" s="315"/>
      <c r="BA601" s="30"/>
      <c r="BB601" s="155"/>
      <c r="BC601" s="314"/>
      <c r="BD601" s="314"/>
      <c r="BE601" s="314"/>
      <c r="BF601" s="314"/>
      <c r="BG601" s="314"/>
      <c r="BH601" s="314"/>
      <c r="BI601" s="314"/>
      <c r="BJ601" s="314"/>
      <c r="BK601" s="40"/>
      <c r="BL601" s="40"/>
      <c r="BM601" s="40"/>
      <c r="BN601" s="40"/>
      <c r="BO601" s="40"/>
      <c r="BP601" s="155"/>
      <c r="BQ601" s="314"/>
      <c r="BR601" s="314"/>
      <c r="BS601" s="314"/>
      <c r="BT601" s="314"/>
      <c r="BU601" s="314"/>
      <c r="BV601" s="314"/>
      <c r="BW601" s="314"/>
      <c r="BX601" s="155"/>
    </row>
    <row r="602" spans="1:76" ht="15.75" customHeight="1">
      <c r="A602" s="25"/>
      <c r="B602" s="39"/>
      <c r="C602" s="155"/>
      <c r="D602" s="155"/>
      <c r="E602" s="40"/>
      <c r="F602" s="314"/>
      <c r="H602" s="315"/>
      <c r="I602" s="315"/>
      <c r="BA602" s="30"/>
      <c r="BB602" s="155"/>
      <c r="BC602" s="314"/>
      <c r="BD602" s="314"/>
      <c r="BE602" s="314"/>
      <c r="BF602" s="314"/>
      <c r="BG602" s="314"/>
      <c r="BH602" s="314"/>
      <c r="BI602" s="314"/>
      <c r="BJ602" s="314"/>
      <c r="BK602" s="40"/>
      <c r="BL602" s="40"/>
      <c r="BM602" s="40"/>
      <c r="BN602" s="40"/>
      <c r="BO602" s="40"/>
      <c r="BP602" s="155"/>
      <c r="BQ602" s="314"/>
      <c r="BR602" s="314"/>
      <c r="BS602" s="314"/>
      <c r="BT602" s="314"/>
      <c r="BU602" s="314"/>
      <c r="BV602" s="314"/>
      <c r="BW602" s="314"/>
      <c r="BX602" s="155"/>
    </row>
    <row r="603" spans="1:76" ht="15.75" customHeight="1">
      <c r="A603" s="25"/>
      <c r="B603" s="39"/>
      <c r="C603" s="155"/>
      <c r="D603" s="155"/>
      <c r="E603" s="40"/>
      <c r="F603" s="314"/>
      <c r="H603" s="315"/>
      <c r="I603" s="315"/>
      <c r="BA603" s="30"/>
      <c r="BB603" s="155"/>
      <c r="BC603" s="314"/>
      <c r="BD603" s="314"/>
      <c r="BE603" s="314"/>
      <c r="BF603" s="314"/>
      <c r="BG603" s="314"/>
      <c r="BH603" s="314"/>
      <c r="BI603" s="314"/>
      <c r="BJ603" s="314"/>
      <c r="BK603" s="40"/>
      <c r="BL603" s="40"/>
      <c r="BM603" s="40"/>
      <c r="BN603" s="40"/>
      <c r="BO603" s="40"/>
      <c r="BP603" s="155"/>
      <c r="BQ603" s="314"/>
      <c r="BR603" s="314"/>
      <c r="BS603" s="314"/>
      <c r="BT603" s="314"/>
      <c r="BU603" s="314"/>
      <c r="BV603" s="314"/>
      <c r="BW603" s="314"/>
      <c r="BX603" s="155"/>
    </row>
    <row r="604" spans="1:76" ht="15.75" customHeight="1">
      <c r="A604" s="25"/>
      <c r="B604" s="39"/>
      <c r="C604" s="155"/>
      <c r="D604" s="155"/>
      <c r="E604" s="40"/>
      <c r="F604" s="314"/>
      <c r="H604" s="315"/>
      <c r="I604" s="315"/>
      <c r="BA604" s="30"/>
      <c r="BB604" s="155"/>
      <c r="BC604" s="314"/>
      <c r="BD604" s="314"/>
      <c r="BE604" s="314"/>
      <c r="BF604" s="314"/>
      <c r="BG604" s="314"/>
      <c r="BH604" s="314"/>
      <c r="BI604" s="314"/>
      <c r="BJ604" s="314"/>
      <c r="BK604" s="40"/>
      <c r="BL604" s="40"/>
      <c r="BM604" s="40"/>
      <c r="BN604" s="40"/>
      <c r="BO604" s="40"/>
      <c r="BP604" s="155"/>
      <c r="BQ604" s="314"/>
      <c r="BR604" s="314"/>
      <c r="BS604" s="314"/>
      <c r="BT604" s="314"/>
      <c r="BU604" s="314"/>
      <c r="BV604" s="314"/>
      <c r="BW604" s="314"/>
      <c r="BX604" s="155"/>
    </row>
    <row r="605" spans="1:76" ht="15.75" customHeight="1">
      <c r="A605" s="25"/>
      <c r="B605" s="39"/>
      <c r="C605" s="155"/>
      <c r="D605" s="155"/>
      <c r="E605" s="40"/>
      <c r="F605" s="314"/>
      <c r="H605" s="315"/>
      <c r="I605" s="315"/>
      <c r="BA605" s="30"/>
      <c r="BB605" s="155"/>
      <c r="BC605" s="314"/>
      <c r="BD605" s="314"/>
      <c r="BE605" s="314"/>
      <c r="BF605" s="314"/>
      <c r="BG605" s="314"/>
      <c r="BH605" s="314"/>
      <c r="BI605" s="314"/>
      <c r="BJ605" s="314"/>
      <c r="BK605" s="40"/>
      <c r="BL605" s="40"/>
      <c r="BM605" s="40"/>
      <c r="BN605" s="40"/>
      <c r="BO605" s="40"/>
      <c r="BP605" s="155"/>
      <c r="BQ605" s="314"/>
      <c r="BR605" s="314"/>
      <c r="BS605" s="314"/>
      <c r="BT605" s="314"/>
      <c r="BU605" s="314"/>
      <c r="BV605" s="314"/>
      <c r="BW605" s="314"/>
      <c r="BX605" s="155"/>
    </row>
    <row r="606" spans="1:76" ht="15.75" customHeight="1">
      <c r="A606" s="25"/>
      <c r="B606" s="39"/>
      <c r="C606" s="155"/>
      <c r="D606" s="155"/>
      <c r="E606" s="341"/>
      <c r="F606" s="314"/>
      <c r="H606" s="315"/>
      <c r="I606" s="315"/>
      <c r="BA606" s="30"/>
      <c r="BB606" s="321"/>
      <c r="BC606" s="314"/>
      <c r="BD606" s="314"/>
      <c r="BE606" s="314"/>
      <c r="BF606" s="314"/>
      <c r="BG606" s="314"/>
      <c r="BH606" s="314"/>
      <c r="BI606" s="314"/>
      <c r="BJ606" s="314"/>
      <c r="BK606" s="40"/>
      <c r="BL606" s="40"/>
      <c r="BM606" s="40"/>
      <c r="BN606" s="40"/>
      <c r="BO606" s="40"/>
      <c r="BP606" s="155"/>
      <c r="BQ606" s="314"/>
      <c r="BR606" s="314"/>
      <c r="BS606" s="314"/>
      <c r="BT606" s="314"/>
      <c r="BU606" s="314"/>
      <c r="BV606" s="314"/>
      <c r="BW606" s="314"/>
      <c r="BX606" s="155"/>
    </row>
    <row r="607" spans="1:76" ht="15.75" customHeight="1">
      <c r="A607" s="25"/>
      <c r="B607" s="39"/>
      <c r="C607" s="155"/>
      <c r="D607" s="155"/>
      <c r="E607" s="40"/>
      <c r="F607" s="314"/>
      <c r="H607" s="315"/>
      <c r="I607" s="315"/>
      <c r="BA607" s="30"/>
      <c r="BB607" s="155"/>
      <c r="BC607" s="314"/>
      <c r="BD607" s="314"/>
      <c r="BE607" s="314"/>
      <c r="BF607" s="314"/>
      <c r="BG607" s="314"/>
      <c r="BH607" s="314"/>
      <c r="BI607" s="314"/>
      <c r="BJ607" s="314"/>
      <c r="BK607" s="40"/>
      <c r="BL607" s="40"/>
      <c r="BM607" s="40"/>
      <c r="BN607" s="40"/>
      <c r="BO607" s="40"/>
      <c r="BP607" s="155"/>
      <c r="BQ607" s="314"/>
      <c r="BR607" s="314"/>
      <c r="BS607" s="314"/>
      <c r="BT607" s="314"/>
      <c r="BU607" s="314"/>
      <c r="BV607" s="314"/>
      <c r="BW607" s="314"/>
      <c r="BX607" s="155"/>
    </row>
    <row r="608" spans="1:76" ht="15.75" customHeight="1">
      <c r="A608" s="25"/>
      <c r="B608" s="39"/>
      <c r="C608" s="155"/>
      <c r="D608" s="155"/>
      <c r="E608" s="40"/>
      <c r="F608" s="314"/>
      <c r="H608" s="315"/>
      <c r="I608" s="315"/>
      <c r="BA608" s="30"/>
      <c r="BB608" s="155"/>
      <c r="BC608" s="314"/>
      <c r="BD608" s="314"/>
      <c r="BE608" s="314"/>
      <c r="BF608" s="314"/>
      <c r="BG608" s="314"/>
      <c r="BH608" s="314"/>
      <c r="BI608" s="314"/>
      <c r="BJ608" s="314"/>
      <c r="BK608" s="40"/>
      <c r="BL608" s="40"/>
      <c r="BM608" s="40"/>
      <c r="BN608" s="40"/>
      <c r="BO608" s="40"/>
      <c r="BP608" s="155"/>
      <c r="BQ608" s="314"/>
      <c r="BR608" s="314"/>
      <c r="BS608" s="314"/>
      <c r="BT608" s="314"/>
      <c r="BU608" s="314"/>
      <c r="BV608" s="314"/>
      <c r="BW608" s="314"/>
      <c r="BX608" s="155"/>
    </row>
    <row r="609" spans="1:76" ht="15.75" customHeight="1">
      <c r="A609" s="25"/>
      <c r="B609" s="39"/>
      <c r="C609" s="155"/>
      <c r="D609" s="155"/>
      <c r="E609" s="40"/>
      <c r="F609" s="314"/>
      <c r="H609" s="315"/>
      <c r="I609" s="315"/>
      <c r="BA609" s="30"/>
      <c r="BB609" s="155"/>
      <c r="BC609" s="314"/>
      <c r="BD609" s="314"/>
      <c r="BE609" s="314"/>
      <c r="BF609" s="314"/>
      <c r="BG609" s="314"/>
      <c r="BH609" s="314"/>
      <c r="BI609" s="314"/>
      <c r="BJ609" s="314"/>
      <c r="BK609" s="40"/>
      <c r="BL609" s="40"/>
      <c r="BM609" s="40"/>
      <c r="BN609" s="40"/>
      <c r="BO609" s="40"/>
      <c r="BP609" s="155"/>
      <c r="BQ609" s="314"/>
      <c r="BR609" s="314"/>
      <c r="BS609" s="314"/>
      <c r="BT609" s="314"/>
      <c r="BU609" s="314"/>
      <c r="BV609" s="314"/>
      <c r="BW609" s="314"/>
      <c r="BX609" s="155"/>
    </row>
    <row r="610" spans="1:76" ht="15.75" customHeight="1">
      <c r="A610" s="25"/>
      <c r="B610" s="39"/>
      <c r="C610" s="155"/>
      <c r="D610" s="155"/>
      <c r="E610" s="40"/>
      <c r="F610" s="314"/>
      <c r="H610" s="315"/>
      <c r="I610" s="315"/>
      <c r="BA610" s="30"/>
      <c r="BB610" s="155"/>
      <c r="BC610" s="314"/>
      <c r="BD610" s="314"/>
      <c r="BE610" s="314"/>
      <c r="BF610" s="314"/>
      <c r="BG610" s="314"/>
      <c r="BH610" s="314"/>
      <c r="BI610" s="314"/>
      <c r="BJ610" s="314"/>
      <c r="BK610" s="40"/>
      <c r="BL610" s="40"/>
      <c r="BM610" s="40"/>
      <c r="BN610" s="40"/>
      <c r="BO610" s="40"/>
      <c r="BP610" s="155"/>
      <c r="BQ610" s="314"/>
      <c r="BR610" s="314"/>
      <c r="BS610" s="314"/>
      <c r="BT610" s="314"/>
      <c r="BU610" s="314"/>
      <c r="BV610" s="314"/>
      <c r="BW610" s="314"/>
      <c r="BX610" s="155"/>
    </row>
    <row r="611" spans="1:76" ht="15.75" customHeight="1">
      <c r="A611" s="25"/>
      <c r="B611" s="39"/>
      <c r="C611" s="155"/>
      <c r="D611" s="155"/>
      <c r="E611" s="40"/>
      <c r="F611" s="314"/>
      <c r="H611" s="315"/>
      <c r="I611" s="315"/>
      <c r="BA611" s="30"/>
      <c r="BB611" s="155"/>
      <c r="BC611" s="314"/>
      <c r="BD611" s="314"/>
      <c r="BE611" s="314"/>
      <c r="BF611" s="314"/>
      <c r="BG611" s="314"/>
      <c r="BH611" s="314"/>
      <c r="BI611" s="314"/>
      <c r="BJ611" s="314"/>
      <c r="BK611" s="40"/>
      <c r="BL611" s="40"/>
      <c r="BM611" s="40"/>
      <c r="BN611" s="40"/>
      <c r="BO611" s="40"/>
      <c r="BP611" s="155"/>
      <c r="BQ611" s="314"/>
      <c r="BR611" s="314"/>
      <c r="BS611" s="314"/>
      <c r="BT611" s="314"/>
      <c r="BU611" s="314"/>
      <c r="BV611" s="314"/>
      <c r="BW611" s="314"/>
      <c r="BX611" s="155"/>
    </row>
    <row r="612" spans="1:76" ht="15.75" customHeight="1">
      <c r="A612" s="25"/>
      <c r="B612" s="39"/>
      <c r="C612" s="155"/>
      <c r="D612" s="155"/>
      <c r="E612" s="40"/>
      <c r="F612" s="314"/>
      <c r="H612" s="315"/>
      <c r="I612" s="315"/>
      <c r="BA612" s="30"/>
      <c r="BB612" s="155"/>
      <c r="BC612" s="314"/>
      <c r="BD612" s="314"/>
      <c r="BE612" s="314"/>
      <c r="BF612" s="314"/>
      <c r="BG612" s="314"/>
      <c r="BH612" s="314"/>
      <c r="BI612" s="314"/>
      <c r="BJ612" s="314"/>
      <c r="BK612" s="40"/>
      <c r="BL612" s="40"/>
      <c r="BM612" s="40"/>
      <c r="BN612" s="40"/>
      <c r="BO612" s="40"/>
      <c r="BP612" s="155"/>
      <c r="BQ612" s="314"/>
      <c r="BR612" s="314"/>
      <c r="BS612" s="314"/>
      <c r="BT612" s="314"/>
      <c r="BU612" s="314"/>
      <c r="BV612" s="314"/>
      <c r="BW612" s="314"/>
      <c r="BX612" s="155"/>
    </row>
    <row r="613" spans="1:76" ht="15.75" customHeight="1">
      <c r="A613" s="25"/>
      <c r="B613" s="39"/>
      <c r="C613" s="155"/>
      <c r="D613" s="155"/>
      <c r="E613" s="40"/>
      <c r="F613" s="314"/>
      <c r="H613" s="315"/>
      <c r="I613" s="315"/>
      <c r="BA613" s="30"/>
      <c r="BB613" s="155"/>
      <c r="BC613" s="314"/>
      <c r="BD613" s="314"/>
      <c r="BE613" s="314"/>
      <c r="BF613" s="314"/>
      <c r="BG613" s="314"/>
      <c r="BH613" s="314"/>
      <c r="BI613" s="314"/>
      <c r="BJ613" s="314"/>
      <c r="BK613" s="40"/>
      <c r="BL613" s="40"/>
      <c r="BM613" s="40"/>
      <c r="BN613" s="40"/>
      <c r="BO613" s="40"/>
      <c r="BP613" s="155"/>
      <c r="BQ613" s="314"/>
      <c r="BR613" s="314"/>
      <c r="BS613" s="314"/>
      <c r="BT613" s="314"/>
      <c r="BU613" s="314"/>
      <c r="BV613" s="314"/>
      <c r="BW613" s="314"/>
      <c r="BX613" s="155"/>
    </row>
    <row r="614" spans="1:76" ht="15.75" customHeight="1">
      <c r="A614" s="25"/>
      <c r="B614" s="39"/>
      <c r="C614" s="155"/>
      <c r="D614" s="155"/>
      <c r="E614" s="341"/>
      <c r="F614" s="314"/>
      <c r="H614" s="315"/>
      <c r="I614" s="315"/>
      <c r="BA614" s="30"/>
      <c r="BB614" s="321"/>
      <c r="BC614" s="314"/>
      <c r="BD614" s="314"/>
      <c r="BE614" s="314"/>
      <c r="BF614" s="314"/>
      <c r="BG614" s="314"/>
      <c r="BH614" s="314"/>
      <c r="BI614" s="314"/>
      <c r="BJ614" s="314"/>
      <c r="BK614" s="40"/>
      <c r="BL614" s="40"/>
      <c r="BM614" s="40"/>
      <c r="BN614" s="40"/>
      <c r="BO614" s="40"/>
      <c r="BP614" s="155"/>
      <c r="BQ614" s="314"/>
      <c r="BR614" s="314"/>
      <c r="BS614" s="314"/>
      <c r="BT614" s="314"/>
      <c r="BU614" s="314"/>
      <c r="BV614" s="314"/>
      <c r="BW614" s="314"/>
      <c r="BX614" s="155"/>
    </row>
    <row r="615" spans="1:76" ht="15.75" customHeight="1">
      <c r="A615" s="25"/>
      <c r="B615" s="39"/>
      <c r="C615" s="155"/>
      <c r="D615" s="155"/>
      <c r="E615" s="40"/>
      <c r="F615" s="314"/>
      <c r="H615" s="315"/>
      <c r="I615" s="315"/>
      <c r="BA615" s="30"/>
      <c r="BB615" s="155"/>
      <c r="BC615" s="314"/>
      <c r="BD615" s="314"/>
      <c r="BE615" s="314"/>
      <c r="BF615" s="314"/>
      <c r="BG615" s="314"/>
      <c r="BH615" s="314"/>
      <c r="BI615" s="314"/>
      <c r="BJ615" s="314"/>
      <c r="BK615" s="40"/>
      <c r="BL615" s="40"/>
      <c r="BM615" s="40"/>
      <c r="BN615" s="40"/>
      <c r="BO615" s="40"/>
      <c r="BP615" s="155"/>
      <c r="BQ615" s="314"/>
      <c r="BR615" s="314"/>
      <c r="BS615" s="314"/>
      <c r="BT615" s="314"/>
      <c r="BU615" s="314"/>
      <c r="BV615" s="314"/>
      <c r="BW615" s="314"/>
      <c r="BX615" s="155"/>
    </row>
    <row r="616" spans="1:76" ht="15.75" customHeight="1">
      <c r="A616" s="25"/>
      <c r="B616" s="39"/>
      <c r="C616" s="155"/>
      <c r="D616" s="155"/>
      <c r="E616" s="40"/>
      <c r="F616" s="314"/>
      <c r="H616" s="315"/>
      <c r="I616" s="315"/>
      <c r="BA616" s="30"/>
      <c r="BB616" s="155"/>
      <c r="BC616" s="314"/>
      <c r="BD616" s="314"/>
      <c r="BE616" s="314"/>
      <c r="BF616" s="314"/>
      <c r="BG616" s="314"/>
      <c r="BH616" s="314"/>
      <c r="BI616" s="314"/>
      <c r="BJ616" s="314"/>
      <c r="BK616" s="40"/>
      <c r="BL616" s="40"/>
      <c r="BM616" s="40"/>
      <c r="BN616" s="40"/>
      <c r="BO616" s="40"/>
      <c r="BP616" s="155"/>
      <c r="BQ616" s="314"/>
      <c r="BR616" s="314"/>
      <c r="BS616" s="314"/>
      <c r="BT616" s="314"/>
      <c r="BU616" s="314"/>
      <c r="BV616" s="314"/>
      <c r="BW616" s="314"/>
      <c r="BX616" s="155"/>
    </row>
    <row r="617" spans="1:76" ht="15.75" customHeight="1">
      <c r="A617" s="25"/>
      <c r="B617" s="39"/>
      <c r="C617" s="155"/>
      <c r="D617" s="155"/>
      <c r="E617" s="40"/>
      <c r="F617" s="314"/>
      <c r="H617" s="315"/>
      <c r="I617" s="315"/>
      <c r="BA617" s="30"/>
      <c r="BB617" s="155"/>
      <c r="BC617" s="314"/>
      <c r="BD617" s="314"/>
      <c r="BE617" s="314"/>
      <c r="BF617" s="314"/>
      <c r="BG617" s="314"/>
      <c r="BH617" s="314"/>
      <c r="BI617" s="314"/>
      <c r="BJ617" s="314"/>
      <c r="BK617" s="40"/>
      <c r="BL617" s="40"/>
      <c r="BM617" s="40"/>
      <c r="BN617" s="40"/>
      <c r="BO617" s="40"/>
      <c r="BP617" s="155"/>
      <c r="BQ617" s="314"/>
      <c r="BR617" s="314"/>
      <c r="BS617" s="314"/>
      <c r="BT617" s="314"/>
      <c r="BU617" s="314"/>
      <c r="BV617" s="314"/>
      <c r="BW617" s="314"/>
      <c r="BX617" s="155"/>
    </row>
    <row r="618" spans="1:76" ht="15.75" customHeight="1">
      <c r="A618" s="25"/>
      <c r="B618" s="39"/>
      <c r="C618" s="155"/>
      <c r="D618" s="155"/>
      <c r="E618" s="40"/>
      <c r="F618" s="314"/>
      <c r="H618" s="315"/>
      <c r="I618" s="315"/>
      <c r="BA618" s="30"/>
      <c r="BB618" s="155"/>
      <c r="BC618" s="314"/>
      <c r="BD618" s="314"/>
      <c r="BE618" s="314"/>
      <c r="BF618" s="314"/>
      <c r="BG618" s="314"/>
      <c r="BH618" s="314"/>
      <c r="BI618" s="314"/>
      <c r="BJ618" s="314"/>
      <c r="BK618" s="40"/>
      <c r="BL618" s="40"/>
      <c r="BM618" s="40"/>
      <c r="BN618" s="40"/>
      <c r="BO618" s="40"/>
      <c r="BP618" s="155"/>
      <c r="BQ618" s="314"/>
      <c r="BR618" s="314"/>
      <c r="BS618" s="314"/>
      <c r="BT618" s="314"/>
      <c r="BU618" s="314"/>
      <c r="BV618" s="314"/>
      <c r="BW618" s="314"/>
      <c r="BX618" s="155"/>
    </row>
    <row r="619" spans="1:76" ht="15.75" customHeight="1">
      <c r="A619" s="25"/>
      <c r="B619" s="39"/>
      <c r="C619" s="155"/>
      <c r="D619" s="155"/>
      <c r="E619" s="40"/>
      <c r="F619" s="314"/>
      <c r="H619" s="315"/>
      <c r="I619" s="315"/>
      <c r="BA619" s="30"/>
      <c r="BB619" s="155"/>
      <c r="BC619" s="314"/>
      <c r="BD619" s="314"/>
      <c r="BE619" s="314"/>
      <c r="BF619" s="314"/>
      <c r="BG619" s="314"/>
      <c r="BH619" s="314"/>
      <c r="BI619" s="314"/>
      <c r="BJ619" s="314"/>
      <c r="BK619" s="40"/>
      <c r="BL619" s="40"/>
      <c r="BM619" s="40"/>
      <c r="BN619" s="40"/>
      <c r="BO619" s="40"/>
      <c r="BP619" s="155"/>
      <c r="BQ619" s="314"/>
      <c r="BR619" s="314"/>
      <c r="BS619" s="314"/>
      <c r="BT619" s="314"/>
      <c r="BU619" s="314"/>
      <c r="BV619" s="314"/>
      <c r="BW619" s="314"/>
      <c r="BX619" s="155"/>
    </row>
    <row r="620" spans="1:76" ht="15.75" customHeight="1">
      <c r="A620" s="25"/>
      <c r="B620" s="39"/>
      <c r="C620" s="155"/>
      <c r="D620" s="155"/>
      <c r="E620" s="40"/>
      <c r="F620" s="314"/>
      <c r="H620" s="315"/>
      <c r="I620" s="315"/>
      <c r="BA620" s="30"/>
      <c r="BB620" s="155"/>
      <c r="BC620" s="314"/>
      <c r="BD620" s="314"/>
      <c r="BE620" s="314"/>
      <c r="BF620" s="314"/>
      <c r="BG620" s="314"/>
      <c r="BH620" s="314"/>
      <c r="BI620" s="314"/>
      <c r="BJ620" s="314"/>
      <c r="BK620" s="40"/>
      <c r="BL620" s="40"/>
      <c r="BM620" s="40"/>
      <c r="BN620" s="40"/>
      <c r="BO620" s="40"/>
      <c r="BP620" s="155"/>
      <c r="BQ620" s="314"/>
      <c r="BR620" s="314"/>
      <c r="BS620" s="314"/>
      <c r="BT620" s="314"/>
      <c r="BU620" s="314"/>
      <c r="BV620" s="314"/>
      <c r="BW620" s="314"/>
      <c r="BX620" s="155"/>
    </row>
    <row r="621" spans="1:76" ht="15.75" customHeight="1">
      <c r="A621" s="25"/>
      <c r="B621" s="39"/>
      <c r="C621" s="155"/>
      <c r="D621" s="155"/>
      <c r="E621" s="40"/>
      <c r="F621" s="314"/>
      <c r="H621" s="315"/>
      <c r="I621" s="315"/>
      <c r="BA621" s="30"/>
      <c r="BB621" s="155"/>
      <c r="BC621" s="314"/>
      <c r="BD621" s="314"/>
      <c r="BE621" s="314"/>
      <c r="BF621" s="314"/>
      <c r="BG621" s="314"/>
      <c r="BH621" s="314"/>
      <c r="BI621" s="314"/>
      <c r="BJ621" s="314"/>
      <c r="BK621" s="40"/>
      <c r="BL621" s="40"/>
      <c r="BM621" s="40"/>
      <c r="BN621" s="40"/>
      <c r="BO621" s="40"/>
      <c r="BP621" s="155"/>
      <c r="BQ621" s="314"/>
      <c r="BR621" s="314"/>
      <c r="BS621" s="314"/>
      <c r="BT621" s="314"/>
      <c r="BU621" s="314"/>
      <c r="BV621" s="314"/>
      <c r="BW621" s="314"/>
      <c r="BX621" s="155"/>
    </row>
    <row r="622" spans="1:76" ht="15.75" customHeight="1">
      <c r="A622" s="25"/>
      <c r="B622" s="39"/>
      <c r="C622" s="155"/>
      <c r="D622" s="155"/>
      <c r="E622" s="341"/>
      <c r="F622" s="314"/>
      <c r="H622" s="315"/>
      <c r="I622" s="315"/>
      <c r="BA622" s="30"/>
      <c r="BB622" s="321"/>
      <c r="BC622" s="314"/>
      <c r="BD622" s="314"/>
      <c r="BE622" s="314"/>
      <c r="BF622" s="314"/>
      <c r="BG622" s="314"/>
      <c r="BH622" s="314"/>
      <c r="BI622" s="314"/>
      <c r="BJ622" s="314"/>
      <c r="BK622" s="40"/>
      <c r="BL622" s="40"/>
      <c r="BM622" s="40"/>
      <c r="BN622" s="40"/>
      <c r="BO622" s="40"/>
      <c r="BP622" s="155"/>
      <c r="BQ622" s="314"/>
      <c r="BR622" s="314"/>
      <c r="BS622" s="314"/>
      <c r="BT622" s="314"/>
      <c r="BU622" s="314"/>
      <c r="BV622" s="314"/>
      <c r="BW622" s="314"/>
      <c r="BX622" s="155"/>
    </row>
    <row r="623" spans="1:76" ht="15.75" customHeight="1">
      <c r="A623" s="25"/>
      <c r="B623" s="39"/>
      <c r="C623" s="155"/>
      <c r="D623" s="155"/>
      <c r="E623" s="40"/>
      <c r="F623" s="314"/>
      <c r="H623" s="315"/>
      <c r="I623" s="315"/>
      <c r="BA623" s="30"/>
      <c r="BB623" s="155"/>
      <c r="BC623" s="314"/>
      <c r="BD623" s="314"/>
      <c r="BE623" s="314"/>
      <c r="BF623" s="314"/>
      <c r="BG623" s="314"/>
      <c r="BH623" s="314"/>
      <c r="BI623" s="314"/>
      <c r="BJ623" s="314"/>
      <c r="BK623" s="40"/>
      <c r="BL623" s="40"/>
      <c r="BM623" s="40"/>
      <c r="BN623" s="40"/>
      <c r="BO623" s="40"/>
      <c r="BP623" s="155"/>
      <c r="BQ623" s="314"/>
      <c r="BR623" s="314"/>
      <c r="BS623" s="314"/>
      <c r="BT623" s="314"/>
      <c r="BU623" s="314"/>
      <c r="BV623" s="314"/>
      <c r="BW623" s="314"/>
      <c r="BX623" s="155"/>
    </row>
    <row r="624" spans="1:76" ht="15.75" customHeight="1">
      <c r="A624" s="25"/>
      <c r="B624" s="39"/>
      <c r="C624" s="155"/>
      <c r="D624" s="155"/>
      <c r="E624" s="40"/>
      <c r="F624" s="314"/>
      <c r="H624" s="315"/>
      <c r="I624" s="315"/>
      <c r="BA624" s="30"/>
      <c r="BB624" s="155"/>
      <c r="BC624" s="314"/>
      <c r="BD624" s="314"/>
      <c r="BE624" s="314"/>
      <c r="BF624" s="314"/>
      <c r="BG624" s="314"/>
      <c r="BH624" s="314"/>
      <c r="BI624" s="314"/>
      <c r="BJ624" s="314"/>
      <c r="BK624" s="40"/>
      <c r="BL624" s="40"/>
      <c r="BM624" s="40"/>
      <c r="BN624" s="40"/>
      <c r="BO624" s="40"/>
      <c r="BP624" s="155"/>
      <c r="BQ624" s="314"/>
      <c r="BR624" s="314"/>
      <c r="BS624" s="314"/>
      <c r="BT624" s="314"/>
      <c r="BU624" s="314"/>
      <c r="BV624" s="314"/>
      <c r="BW624" s="314"/>
      <c r="BX624" s="155"/>
    </row>
    <row r="625" spans="1:76" ht="15.75" customHeight="1">
      <c r="A625" s="25"/>
      <c r="B625" s="39"/>
      <c r="C625" s="155"/>
      <c r="D625" s="155"/>
      <c r="E625" s="40"/>
      <c r="F625" s="314"/>
      <c r="H625" s="315"/>
      <c r="I625" s="315"/>
      <c r="BA625" s="30"/>
      <c r="BB625" s="155"/>
      <c r="BC625" s="314"/>
      <c r="BD625" s="314"/>
      <c r="BE625" s="314"/>
      <c r="BF625" s="314"/>
      <c r="BG625" s="314"/>
      <c r="BH625" s="314"/>
      <c r="BI625" s="314"/>
      <c r="BJ625" s="314"/>
      <c r="BK625" s="40"/>
      <c r="BL625" s="40"/>
      <c r="BM625" s="40"/>
      <c r="BN625" s="40"/>
      <c r="BO625" s="40"/>
      <c r="BP625" s="155"/>
      <c r="BQ625" s="314"/>
      <c r="BR625" s="314"/>
      <c r="BS625" s="314"/>
      <c r="BT625" s="314"/>
      <c r="BU625" s="314"/>
      <c r="BV625" s="314"/>
      <c r="BW625" s="314"/>
      <c r="BX625" s="155"/>
    </row>
    <row r="626" spans="1:76" ht="15.75" customHeight="1">
      <c r="A626" s="25"/>
      <c r="B626" s="39"/>
      <c r="C626" s="155"/>
      <c r="D626" s="155"/>
      <c r="E626" s="40"/>
      <c r="F626" s="314"/>
      <c r="H626" s="315"/>
      <c r="I626" s="315"/>
      <c r="BA626" s="30"/>
      <c r="BB626" s="155"/>
      <c r="BC626" s="314"/>
      <c r="BD626" s="314"/>
      <c r="BE626" s="314"/>
      <c r="BF626" s="314"/>
      <c r="BG626" s="314"/>
      <c r="BH626" s="314"/>
      <c r="BI626" s="314"/>
      <c r="BJ626" s="314"/>
      <c r="BK626" s="40"/>
      <c r="BL626" s="40"/>
      <c r="BM626" s="40"/>
      <c r="BN626" s="40"/>
      <c r="BO626" s="40"/>
      <c r="BP626" s="155"/>
      <c r="BQ626" s="314"/>
      <c r="BR626" s="314"/>
      <c r="BS626" s="314"/>
      <c r="BT626" s="314"/>
      <c r="BU626" s="314"/>
      <c r="BV626" s="314"/>
      <c r="BW626" s="314"/>
      <c r="BX626" s="155"/>
    </row>
    <row r="627" spans="1:76" ht="15.75" customHeight="1">
      <c r="A627" s="25"/>
      <c r="B627" s="39"/>
      <c r="C627" s="155"/>
      <c r="D627" s="155"/>
      <c r="E627" s="40"/>
      <c r="F627" s="314"/>
      <c r="H627" s="315"/>
      <c r="I627" s="315"/>
      <c r="BA627" s="30"/>
      <c r="BB627" s="155"/>
      <c r="BC627" s="314"/>
      <c r="BD627" s="314"/>
      <c r="BE627" s="314"/>
      <c r="BF627" s="314"/>
      <c r="BG627" s="314"/>
      <c r="BH627" s="314"/>
      <c r="BI627" s="314"/>
      <c r="BJ627" s="314"/>
      <c r="BK627" s="40"/>
      <c r="BL627" s="40"/>
      <c r="BM627" s="40"/>
      <c r="BN627" s="40"/>
      <c r="BO627" s="40"/>
      <c r="BP627" s="155"/>
      <c r="BQ627" s="314"/>
      <c r="BR627" s="314"/>
      <c r="BS627" s="314"/>
      <c r="BT627" s="314"/>
      <c r="BU627" s="314"/>
      <c r="BV627" s="314"/>
      <c r="BW627" s="314"/>
      <c r="BX627" s="155"/>
    </row>
    <row r="628" spans="1:76" ht="15.75" customHeight="1">
      <c r="A628" s="25"/>
      <c r="B628" s="39"/>
      <c r="C628" s="155"/>
      <c r="D628" s="155"/>
      <c r="E628" s="40"/>
      <c r="F628" s="314"/>
      <c r="H628" s="315"/>
      <c r="I628" s="315"/>
      <c r="BA628" s="30"/>
      <c r="BB628" s="155"/>
      <c r="BC628" s="314"/>
      <c r="BD628" s="314"/>
      <c r="BE628" s="314"/>
      <c r="BF628" s="314"/>
      <c r="BG628" s="314"/>
      <c r="BH628" s="314"/>
      <c r="BI628" s="314"/>
      <c r="BJ628" s="314"/>
      <c r="BK628" s="40"/>
      <c r="BL628" s="40"/>
      <c r="BM628" s="40"/>
      <c r="BN628" s="40"/>
      <c r="BO628" s="40"/>
      <c r="BP628" s="155"/>
      <c r="BQ628" s="314"/>
      <c r="BR628" s="314"/>
      <c r="BS628" s="314"/>
      <c r="BT628" s="314"/>
      <c r="BU628" s="314"/>
      <c r="BV628" s="314"/>
      <c r="BW628" s="314"/>
      <c r="BX628" s="155"/>
    </row>
    <row r="629" spans="1:76" ht="15.75" customHeight="1">
      <c r="A629" s="25"/>
      <c r="B629" s="39"/>
      <c r="C629" s="155"/>
      <c r="D629" s="155"/>
      <c r="E629" s="341"/>
      <c r="F629" s="314"/>
      <c r="H629" s="315"/>
      <c r="I629" s="315"/>
      <c r="BA629" s="30"/>
      <c r="BB629" s="321"/>
      <c r="BC629" s="314"/>
      <c r="BD629" s="314"/>
      <c r="BE629" s="314"/>
      <c r="BF629" s="314"/>
      <c r="BG629" s="314"/>
      <c r="BH629" s="314"/>
      <c r="BI629" s="314"/>
      <c r="BJ629" s="314"/>
      <c r="BK629" s="40"/>
      <c r="BL629" s="40"/>
      <c r="BM629" s="40"/>
      <c r="BN629" s="40"/>
      <c r="BO629" s="40"/>
      <c r="BP629" s="155"/>
      <c r="BQ629" s="314"/>
      <c r="BR629" s="314"/>
      <c r="BS629" s="314"/>
      <c r="BT629" s="314"/>
      <c r="BU629" s="314"/>
      <c r="BV629" s="314"/>
      <c r="BW629" s="314"/>
      <c r="BX629" s="155"/>
    </row>
    <row r="630" spans="1:76" ht="15.75" customHeight="1">
      <c r="A630" s="25"/>
      <c r="B630" s="39"/>
      <c r="C630" s="155"/>
      <c r="D630" s="155"/>
      <c r="E630" s="40"/>
      <c r="F630" s="314"/>
      <c r="H630" s="315"/>
      <c r="I630" s="315"/>
      <c r="BA630" s="30"/>
      <c r="BB630" s="155"/>
      <c r="BC630" s="314"/>
      <c r="BD630" s="314"/>
      <c r="BE630" s="314"/>
      <c r="BF630" s="314"/>
      <c r="BG630" s="314"/>
      <c r="BH630" s="314"/>
      <c r="BI630" s="314"/>
      <c r="BJ630" s="314"/>
      <c r="BK630" s="40"/>
      <c r="BL630" s="40"/>
      <c r="BM630" s="40"/>
      <c r="BN630" s="40"/>
      <c r="BO630" s="40"/>
      <c r="BP630" s="155"/>
      <c r="BQ630" s="314"/>
      <c r="BR630" s="314"/>
      <c r="BS630" s="314"/>
      <c r="BT630" s="314"/>
      <c r="BU630" s="314"/>
      <c r="BV630" s="314"/>
      <c r="BW630" s="314"/>
      <c r="BX630" s="155"/>
    </row>
    <row r="631" spans="1:76" ht="15.75" customHeight="1">
      <c r="A631" s="25"/>
      <c r="B631" s="39"/>
      <c r="C631" s="155"/>
      <c r="D631" s="155"/>
      <c r="E631" s="40"/>
      <c r="F631" s="314"/>
      <c r="H631" s="315"/>
      <c r="I631" s="315"/>
      <c r="BA631" s="30"/>
      <c r="BB631" s="155"/>
      <c r="BC631" s="314"/>
      <c r="BD631" s="314"/>
      <c r="BE631" s="314"/>
      <c r="BF631" s="314"/>
      <c r="BG631" s="314"/>
      <c r="BH631" s="314"/>
      <c r="BI631" s="314"/>
      <c r="BJ631" s="314"/>
      <c r="BK631" s="40"/>
      <c r="BL631" s="40"/>
      <c r="BM631" s="40"/>
      <c r="BN631" s="40"/>
      <c r="BO631" s="40"/>
      <c r="BP631" s="155"/>
      <c r="BQ631" s="314"/>
      <c r="BR631" s="314"/>
      <c r="BS631" s="314"/>
      <c r="BT631" s="314"/>
      <c r="BU631" s="314"/>
      <c r="BV631" s="314"/>
      <c r="BW631" s="314"/>
      <c r="BX631" s="155"/>
    </row>
    <row r="632" spans="1:76" ht="15.75" customHeight="1">
      <c r="A632" s="25"/>
      <c r="B632" s="39"/>
      <c r="C632" s="155"/>
      <c r="D632" s="155"/>
      <c r="E632" s="40"/>
      <c r="F632" s="314"/>
      <c r="H632" s="315"/>
      <c r="I632" s="315"/>
      <c r="BA632" s="30"/>
      <c r="BB632" s="155"/>
      <c r="BC632" s="314"/>
      <c r="BD632" s="314"/>
      <c r="BE632" s="314"/>
      <c r="BF632" s="314"/>
      <c r="BG632" s="314"/>
      <c r="BH632" s="314"/>
      <c r="BI632" s="314"/>
      <c r="BJ632" s="314"/>
      <c r="BK632" s="40"/>
      <c r="BL632" s="40"/>
      <c r="BM632" s="40"/>
      <c r="BN632" s="40"/>
      <c r="BO632" s="40"/>
      <c r="BP632" s="155"/>
      <c r="BQ632" s="314"/>
      <c r="BR632" s="314"/>
      <c r="BS632" s="314"/>
      <c r="BT632" s="314"/>
      <c r="BU632" s="314"/>
      <c r="BV632" s="314"/>
      <c r="BW632" s="314"/>
      <c r="BX632" s="155"/>
    </row>
    <row r="633" spans="1:76" ht="15.75" customHeight="1">
      <c r="A633" s="25"/>
      <c r="B633" s="39"/>
      <c r="C633" s="155"/>
      <c r="D633" s="155"/>
      <c r="E633" s="40"/>
      <c r="F633" s="314"/>
      <c r="H633" s="315"/>
      <c r="I633" s="315"/>
      <c r="BA633" s="30"/>
      <c r="BB633" s="155"/>
      <c r="BC633" s="314"/>
      <c r="BD633" s="314"/>
      <c r="BE633" s="314"/>
      <c r="BF633" s="314"/>
      <c r="BG633" s="314"/>
      <c r="BH633" s="314"/>
      <c r="BI633" s="314"/>
      <c r="BJ633" s="314"/>
      <c r="BK633" s="40"/>
      <c r="BL633" s="40"/>
      <c r="BM633" s="40"/>
      <c r="BN633" s="40"/>
      <c r="BO633" s="40"/>
      <c r="BP633" s="155"/>
      <c r="BQ633" s="314"/>
      <c r="BR633" s="314"/>
      <c r="BS633" s="314"/>
      <c r="BT633" s="314"/>
      <c r="BU633" s="314"/>
      <c r="BV633" s="314"/>
      <c r="BW633" s="314"/>
      <c r="BX633" s="155"/>
    </row>
    <row r="634" spans="1:76" ht="15.75" customHeight="1">
      <c r="A634" s="25"/>
      <c r="B634" s="39"/>
      <c r="C634" s="155"/>
      <c r="D634" s="155"/>
      <c r="E634" s="40"/>
      <c r="F634" s="314"/>
      <c r="H634" s="315"/>
      <c r="I634" s="315"/>
      <c r="BA634" s="30"/>
      <c r="BB634" s="155"/>
      <c r="BC634" s="314"/>
      <c r="BD634" s="314"/>
      <c r="BE634" s="314"/>
      <c r="BF634" s="314"/>
      <c r="BG634" s="314"/>
      <c r="BH634" s="314"/>
      <c r="BI634" s="314"/>
      <c r="BJ634" s="314"/>
      <c r="BK634" s="40"/>
      <c r="BL634" s="40"/>
      <c r="BM634" s="40"/>
      <c r="BN634" s="40"/>
      <c r="BO634" s="40"/>
      <c r="BP634" s="155"/>
      <c r="BQ634" s="314"/>
      <c r="BR634" s="314"/>
      <c r="BS634" s="314"/>
      <c r="BT634" s="314"/>
      <c r="BU634" s="314"/>
      <c r="BV634" s="314"/>
      <c r="BW634" s="314"/>
      <c r="BX634" s="155"/>
    </row>
    <row r="635" spans="1:76" ht="15.75" customHeight="1">
      <c r="A635" s="25"/>
      <c r="B635" s="39"/>
      <c r="C635" s="155"/>
      <c r="D635" s="155"/>
      <c r="E635" s="40"/>
      <c r="F635" s="314"/>
      <c r="H635" s="315"/>
      <c r="I635" s="315"/>
      <c r="BA635" s="30"/>
      <c r="BB635" s="155"/>
      <c r="BC635" s="314"/>
      <c r="BD635" s="314"/>
      <c r="BE635" s="314"/>
      <c r="BF635" s="314"/>
      <c r="BG635" s="314"/>
      <c r="BH635" s="314"/>
      <c r="BI635" s="314"/>
      <c r="BJ635" s="314"/>
      <c r="BK635" s="40"/>
      <c r="BL635" s="40"/>
      <c r="BM635" s="40"/>
      <c r="BN635" s="40"/>
      <c r="BO635" s="40"/>
      <c r="BP635" s="155"/>
      <c r="BQ635" s="314"/>
      <c r="BR635" s="314"/>
      <c r="BS635" s="314"/>
      <c r="BT635" s="314"/>
      <c r="BU635" s="314"/>
      <c r="BV635" s="314"/>
      <c r="BW635" s="314"/>
      <c r="BX635" s="155"/>
    </row>
    <row r="636" spans="1:76" ht="15.75" customHeight="1">
      <c r="A636" s="25"/>
      <c r="B636" s="39"/>
      <c r="C636" s="155"/>
      <c r="D636" s="155"/>
      <c r="E636" s="40"/>
      <c r="F636" s="314"/>
      <c r="H636" s="315"/>
      <c r="I636" s="315"/>
      <c r="BA636" s="30"/>
      <c r="BB636" s="155"/>
      <c r="BC636" s="314"/>
      <c r="BD636" s="314"/>
      <c r="BE636" s="314"/>
      <c r="BF636" s="314"/>
      <c r="BG636" s="314"/>
      <c r="BH636" s="314"/>
      <c r="BI636" s="314"/>
      <c r="BJ636" s="314"/>
      <c r="BK636" s="40"/>
      <c r="BL636" s="40"/>
      <c r="BM636" s="40"/>
      <c r="BN636" s="40"/>
      <c r="BO636" s="40"/>
      <c r="BP636" s="155"/>
      <c r="BQ636" s="314"/>
      <c r="BR636" s="314"/>
      <c r="BS636" s="314"/>
      <c r="BT636" s="314"/>
      <c r="BU636" s="314"/>
      <c r="BV636" s="314"/>
      <c r="BW636" s="314"/>
      <c r="BX636" s="155"/>
    </row>
    <row r="637" spans="1:76" ht="15.75" customHeight="1">
      <c r="A637" s="25"/>
      <c r="B637" s="39"/>
      <c r="C637" s="155"/>
      <c r="D637" s="155"/>
      <c r="E637" s="341"/>
      <c r="F637" s="314"/>
      <c r="H637" s="315"/>
      <c r="I637" s="315"/>
      <c r="BA637" s="30"/>
      <c r="BB637" s="321"/>
      <c r="BC637" s="314"/>
      <c r="BD637" s="314"/>
      <c r="BE637" s="314"/>
      <c r="BF637" s="314"/>
      <c r="BG637" s="314"/>
      <c r="BH637" s="314"/>
      <c r="BI637" s="314"/>
      <c r="BJ637" s="314"/>
      <c r="BK637" s="40"/>
      <c r="BL637" s="40"/>
      <c r="BM637" s="40"/>
      <c r="BN637" s="40"/>
      <c r="BO637" s="40"/>
      <c r="BP637" s="155"/>
      <c r="BQ637" s="314"/>
      <c r="BR637" s="314"/>
      <c r="BS637" s="314"/>
      <c r="BT637" s="314"/>
      <c r="BU637" s="314"/>
      <c r="BV637" s="314"/>
      <c r="BW637" s="314"/>
      <c r="BX637" s="155"/>
    </row>
    <row r="638" spans="1:76" ht="15.75" customHeight="1">
      <c r="A638" s="25"/>
      <c r="B638" s="39"/>
      <c r="C638" s="155"/>
      <c r="D638" s="155"/>
      <c r="E638" s="40"/>
      <c r="F638" s="314"/>
      <c r="H638" s="315"/>
      <c r="I638" s="315"/>
      <c r="BA638" s="30"/>
      <c r="BB638" s="155"/>
      <c r="BC638" s="314"/>
      <c r="BD638" s="314"/>
      <c r="BE638" s="314"/>
      <c r="BF638" s="314"/>
      <c r="BG638" s="314"/>
      <c r="BH638" s="314"/>
      <c r="BI638" s="314"/>
      <c r="BJ638" s="314"/>
      <c r="BK638" s="40"/>
      <c r="BL638" s="40"/>
      <c r="BM638" s="40"/>
      <c r="BN638" s="40"/>
      <c r="BO638" s="40"/>
      <c r="BP638" s="155"/>
      <c r="BQ638" s="314"/>
      <c r="BR638" s="314"/>
      <c r="BS638" s="314"/>
      <c r="BT638" s="314"/>
      <c r="BU638" s="314"/>
      <c r="BV638" s="314"/>
      <c r="BW638" s="314"/>
      <c r="BX638" s="155"/>
    </row>
    <row r="639" spans="1:76" ht="15.75" customHeight="1">
      <c r="A639" s="25"/>
      <c r="B639" s="39"/>
      <c r="C639" s="155"/>
      <c r="D639" s="155"/>
      <c r="E639" s="40"/>
      <c r="F639" s="314"/>
      <c r="H639" s="315"/>
      <c r="I639" s="315"/>
      <c r="BA639" s="30"/>
      <c r="BB639" s="155"/>
      <c r="BC639" s="314"/>
      <c r="BD639" s="314"/>
      <c r="BE639" s="314"/>
      <c r="BF639" s="314"/>
      <c r="BG639" s="314"/>
      <c r="BH639" s="314"/>
      <c r="BI639" s="314"/>
      <c r="BJ639" s="314"/>
      <c r="BK639" s="40"/>
      <c r="BL639" s="40"/>
      <c r="BM639" s="40"/>
      <c r="BN639" s="40"/>
      <c r="BO639" s="40"/>
      <c r="BP639" s="155"/>
      <c r="BQ639" s="314"/>
      <c r="BR639" s="314"/>
      <c r="BS639" s="314"/>
      <c r="BT639" s="314"/>
      <c r="BU639" s="314"/>
      <c r="BV639" s="314"/>
      <c r="BW639" s="314"/>
      <c r="BX639" s="155"/>
    </row>
    <row r="640" spans="1:76" ht="15.75" customHeight="1">
      <c r="A640" s="25"/>
      <c r="B640" s="39"/>
      <c r="C640" s="155"/>
      <c r="D640" s="155"/>
      <c r="E640" s="40"/>
      <c r="F640" s="314"/>
      <c r="H640" s="315"/>
      <c r="I640" s="315"/>
      <c r="BA640" s="30"/>
      <c r="BB640" s="155"/>
      <c r="BC640" s="314"/>
      <c r="BD640" s="314"/>
      <c r="BE640" s="314"/>
      <c r="BF640" s="314"/>
      <c r="BG640" s="314"/>
      <c r="BH640" s="314"/>
      <c r="BI640" s="314"/>
      <c r="BJ640" s="314"/>
      <c r="BK640" s="40"/>
      <c r="BL640" s="40"/>
      <c r="BM640" s="40"/>
      <c r="BN640" s="40"/>
      <c r="BO640" s="40"/>
      <c r="BP640" s="155"/>
      <c r="BQ640" s="314"/>
      <c r="BR640" s="314"/>
      <c r="BS640" s="314"/>
      <c r="BT640" s="314"/>
      <c r="BU640" s="314"/>
      <c r="BV640" s="314"/>
      <c r="BW640" s="314"/>
      <c r="BX640" s="155"/>
    </row>
    <row r="641" spans="1:76" ht="15.75" customHeight="1">
      <c r="A641" s="25"/>
      <c r="B641" s="39"/>
      <c r="C641" s="155"/>
      <c r="D641" s="155"/>
      <c r="E641" s="40"/>
      <c r="F641" s="314"/>
      <c r="H641" s="315"/>
      <c r="I641" s="315"/>
      <c r="BA641" s="30"/>
      <c r="BB641" s="155"/>
      <c r="BC641" s="322"/>
      <c r="BD641" s="322"/>
      <c r="BE641" s="322"/>
      <c r="BF641" s="322"/>
      <c r="BG641" s="322"/>
      <c r="BH641" s="322"/>
      <c r="BI641" s="322"/>
      <c r="BJ641" s="322"/>
      <c r="BK641" s="341"/>
      <c r="BL641" s="40"/>
      <c r="BM641" s="40"/>
      <c r="BN641" s="40"/>
      <c r="BO641" s="40"/>
      <c r="BP641" s="155"/>
      <c r="BQ641" s="314"/>
      <c r="BR641" s="314"/>
      <c r="BS641" s="314"/>
      <c r="BT641" s="314"/>
      <c r="BU641" s="314"/>
      <c r="BV641" s="314"/>
      <c r="BW641" s="314"/>
      <c r="BX641" s="155"/>
    </row>
    <row r="642" spans="1:76" ht="15.75" customHeight="1">
      <c r="A642" s="25"/>
      <c r="B642" s="39"/>
      <c r="C642" s="155"/>
      <c r="D642" s="155"/>
      <c r="E642" s="40"/>
      <c r="F642" s="314"/>
      <c r="H642" s="315"/>
      <c r="I642" s="315"/>
      <c r="BA642" s="30"/>
      <c r="BB642" s="155"/>
      <c r="BC642" s="314"/>
      <c r="BD642" s="314"/>
      <c r="BE642" s="314"/>
      <c r="BF642" s="314"/>
      <c r="BG642" s="314"/>
      <c r="BH642" s="314"/>
      <c r="BI642" s="314"/>
      <c r="BJ642" s="314"/>
      <c r="BK642" s="40"/>
      <c r="BL642" s="40"/>
      <c r="BM642" s="40"/>
      <c r="BN642" s="40"/>
      <c r="BO642" s="40"/>
      <c r="BP642" s="155"/>
      <c r="BQ642" s="314"/>
      <c r="BR642" s="314"/>
      <c r="BS642" s="314"/>
      <c r="BT642" s="314"/>
      <c r="BU642" s="314"/>
      <c r="BV642" s="314"/>
      <c r="BW642" s="314"/>
      <c r="BX642" s="155"/>
    </row>
    <row r="643" spans="1:76" ht="15.75" customHeight="1">
      <c r="A643" s="25"/>
      <c r="B643" s="39"/>
      <c r="C643" s="155"/>
      <c r="D643" s="155"/>
      <c r="E643" s="40"/>
      <c r="F643" s="314"/>
      <c r="H643" s="315"/>
      <c r="I643" s="315"/>
      <c r="BA643" s="30"/>
      <c r="BB643" s="155"/>
      <c r="BC643" s="314"/>
      <c r="BD643" s="314"/>
      <c r="BE643" s="314"/>
      <c r="BF643" s="314"/>
      <c r="BG643" s="314"/>
      <c r="BH643" s="314"/>
      <c r="BI643" s="314"/>
      <c r="BJ643" s="314"/>
      <c r="BK643" s="40"/>
      <c r="BL643" s="40"/>
      <c r="BM643" s="40"/>
      <c r="BN643" s="40"/>
      <c r="BO643" s="40"/>
      <c r="BP643" s="155"/>
      <c r="BQ643" s="314"/>
      <c r="BR643" s="314"/>
      <c r="BS643" s="314"/>
      <c r="BT643" s="314"/>
      <c r="BU643" s="314"/>
      <c r="BV643" s="314"/>
      <c r="BW643" s="314"/>
      <c r="BX643" s="155"/>
    </row>
    <row r="644" spans="1:76" ht="15.75" customHeight="1">
      <c r="A644" s="25"/>
      <c r="B644" s="39"/>
      <c r="C644" s="155"/>
      <c r="D644" s="155"/>
      <c r="E644" s="40"/>
      <c r="F644" s="314"/>
      <c r="H644" s="315"/>
      <c r="I644" s="315"/>
      <c r="BA644" s="30"/>
      <c r="BB644" s="155"/>
      <c r="BC644" s="314"/>
      <c r="BD644" s="314"/>
      <c r="BE644" s="314"/>
      <c r="BF644" s="314"/>
      <c r="BG644" s="314"/>
      <c r="BH644" s="314"/>
      <c r="BI644" s="314"/>
      <c r="BJ644" s="314"/>
      <c r="BK644" s="40"/>
      <c r="BL644" s="40"/>
      <c r="BM644" s="40"/>
      <c r="BN644" s="40"/>
      <c r="BO644" s="40"/>
      <c r="BP644" s="155"/>
      <c r="BQ644" s="314"/>
      <c r="BR644" s="314"/>
      <c r="BS644" s="314"/>
      <c r="BT644" s="314"/>
      <c r="BU644" s="314"/>
      <c r="BV644" s="314"/>
      <c r="BW644" s="314"/>
      <c r="BX644" s="155"/>
    </row>
    <row r="645" spans="1:76" ht="15.75" customHeight="1">
      <c r="A645" s="25"/>
      <c r="B645" s="39"/>
      <c r="C645" s="155"/>
      <c r="D645" s="155"/>
      <c r="E645" s="341"/>
      <c r="F645" s="314"/>
      <c r="H645" s="315"/>
      <c r="I645" s="315"/>
      <c r="BA645" s="30"/>
      <c r="BB645" s="321"/>
      <c r="BC645" s="314"/>
      <c r="BD645" s="314"/>
      <c r="BE645" s="314"/>
      <c r="BF645" s="314"/>
      <c r="BG645" s="314"/>
      <c r="BH645" s="314"/>
      <c r="BI645" s="314"/>
      <c r="BJ645" s="314"/>
      <c r="BK645" s="40"/>
      <c r="BL645" s="40"/>
      <c r="BM645" s="40"/>
      <c r="BN645" s="40"/>
      <c r="BO645" s="40"/>
      <c r="BP645" s="155"/>
      <c r="BQ645" s="314"/>
      <c r="BR645" s="314"/>
      <c r="BS645" s="314"/>
      <c r="BT645" s="314"/>
      <c r="BU645" s="314"/>
      <c r="BV645" s="314"/>
      <c r="BW645" s="314"/>
      <c r="BX645" s="155"/>
    </row>
    <row r="646" spans="1:76" ht="15.75" customHeight="1">
      <c r="A646" s="25"/>
      <c r="B646" s="39"/>
      <c r="C646" s="155"/>
      <c r="D646" s="155"/>
      <c r="E646" s="40"/>
      <c r="F646" s="314"/>
      <c r="H646" s="315"/>
      <c r="I646" s="315"/>
      <c r="BA646" s="30"/>
      <c r="BB646" s="155"/>
      <c r="BC646" s="314"/>
      <c r="BD646" s="314"/>
      <c r="BE646" s="314"/>
      <c r="BF646" s="314"/>
      <c r="BG646" s="314"/>
      <c r="BH646" s="314"/>
      <c r="BI646" s="314"/>
      <c r="BJ646" s="314"/>
      <c r="BK646" s="40"/>
      <c r="BL646" s="40"/>
      <c r="BM646" s="40"/>
      <c r="BN646" s="40"/>
      <c r="BO646" s="40"/>
      <c r="BP646" s="155"/>
      <c r="BQ646" s="314"/>
      <c r="BR646" s="314"/>
      <c r="BS646" s="314"/>
      <c r="BT646" s="314"/>
      <c r="BU646" s="314"/>
      <c r="BV646" s="314"/>
      <c r="BW646" s="314"/>
      <c r="BX646" s="155"/>
    </row>
    <row r="647" spans="1:76" ht="15.75" customHeight="1">
      <c r="A647" s="25"/>
      <c r="B647" s="39"/>
      <c r="C647" s="155"/>
      <c r="D647" s="155"/>
      <c r="E647" s="40"/>
      <c r="F647" s="314"/>
      <c r="H647" s="315"/>
      <c r="I647" s="315"/>
      <c r="BA647" s="30"/>
      <c r="BB647" s="155"/>
      <c r="BC647" s="314"/>
      <c r="BD647" s="314"/>
      <c r="BE647" s="314"/>
      <c r="BF647" s="314"/>
      <c r="BG647" s="314"/>
      <c r="BH647" s="314"/>
      <c r="BI647" s="314"/>
      <c r="BJ647" s="314"/>
      <c r="BK647" s="40"/>
      <c r="BL647" s="40"/>
      <c r="BM647" s="40"/>
      <c r="BN647" s="40"/>
      <c r="BO647" s="40"/>
      <c r="BP647" s="155"/>
      <c r="BQ647" s="314"/>
      <c r="BR647" s="314"/>
      <c r="BS647" s="314"/>
      <c r="BT647" s="314"/>
      <c r="BU647" s="314"/>
      <c r="BV647" s="314"/>
      <c r="BW647" s="314"/>
      <c r="BX647" s="155"/>
    </row>
    <row r="648" spans="1:76" ht="15.75" customHeight="1">
      <c r="A648" s="25"/>
      <c r="B648" s="39"/>
      <c r="C648" s="155"/>
      <c r="D648" s="155"/>
      <c r="E648" s="40"/>
      <c r="F648" s="314"/>
      <c r="H648" s="315"/>
      <c r="I648" s="315"/>
      <c r="BA648" s="30"/>
      <c r="BB648" s="155"/>
      <c r="BC648" s="314"/>
      <c r="BD648" s="314"/>
      <c r="BE648" s="314"/>
      <c r="BF648" s="314"/>
      <c r="BG648" s="314"/>
      <c r="BH648" s="314"/>
      <c r="BI648" s="314"/>
      <c r="BJ648" s="314"/>
      <c r="BK648" s="40"/>
      <c r="BL648" s="40"/>
      <c r="BM648" s="40"/>
      <c r="BN648" s="40"/>
      <c r="BO648" s="40"/>
      <c r="BP648" s="155"/>
      <c r="BQ648" s="314"/>
      <c r="BR648" s="314"/>
      <c r="BS648" s="314"/>
      <c r="BT648" s="314"/>
      <c r="BU648" s="314"/>
      <c r="BV648" s="314"/>
      <c r="BW648" s="314"/>
      <c r="BX648" s="155"/>
    </row>
    <row r="649" spans="1:76" ht="15.75" customHeight="1">
      <c r="A649" s="25"/>
      <c r="B649" s="39"/>
      <c r="C649" s="155"/>
      <c r="D649" s="155"/>
      <c r="E649" s="40"/>
      <c r="F649" s="314"/>
      <c r="H649" s="315"/>
      <c r="I649" s="315"/>
      <c r="BA649" s="30"/>
      <c r="BB649" s="155"/>
      <c r="BC649" s="314"/>
      <c r="BD649" s="314"/>
      <c r="BE649" s="314"/>
      <c r="BF649" s="314"/>
      <c r="BG649" s="314"/>
      <c r="BH649" s="314"/>
      <c r="BI649" s="314"/>
      <c r="BJ649" s="314"/>
      <c r="BK649" s="40"/>
      <c r="BL649" s="40"/>
      <c r="BM649" s="40"/>
      <c r="BN649" s="40"/>
      <c r="BO649" s="40"/>
      <c r="BP649" s="155"/>
      <c r="BQ649" s="314"/>
      <c r="BR649" s="314"/>
      <c r="BS649" s="314"/>
      <c r="BT649" s="314"/>
      <c r="BU649" s="314"/>
      <c r="BV649" s="314"/>
      <c r="BW649" s="314"/>
      <c r="BX649" s="155"/>
    </row>
    <row r="650" spans="1:76" ht="15.75" customHeight="1">
      <c r="A650" s="25"/>
      <c r="B650" s="39"/>
      <c r="C650" s="155"/>
      <c r="D650" s="155"/>
      <c r="E650" s="40"/>
      <c r="F650" s="314"/>
      <c r="H650" s="315"/>
      <c r="I650" s="315"/>
      <c r="BA650" s="30"/>
      <c r="BB650" s="155"/>
      <c r="BC650" s="314"/>
      <c r="BD650" s="314"/>
      <c r="BE650" s="314"/>
      <c r="BF650" s="314"/>
      <c r="BG650" s="314"/>
      <c r="BH650" s="314"/>
      <c r="BI650" s="314"/>
      <c r="BJ650" s="314"/>
      <c r="BK650" s="40"/>
      <c r="BL650" s="40"/>
      <c r="BM650" s="40"/>
      <c r="BN650" s="40"/>
      <c r="BO650" s="40"/>
      <c r="BP650" s="155"/>
      <c r="BQ650" s="314"/>
      <c r="BR650" s="314"/>
      <c r="BS650" s="314"/>
      <c r="BT650" s="314"/>
      <c r="BU650" s="314"/>
      <c r="BV650" s="314"/>
      <c r="BW650" s="314"/>
      <c r="BX650" s="155"/>
    </row>
    <row r="651" spans="1:76" ht="15.75" customHeight="1">
      <c r="A651" s="25"/>
      <c r="B651" s="39"/>
      <c r="C651" s="155"/>
      <c r="D651" s="155"/>
      <c r="E651" s="40"/>
      <c r="F651" s="314"/>
      <c r="H651" s="315"/>
      <c r="I651" s="315"/>
      <c r="BA651" s="30"/>
      <c r="BB651" s="155"/>
      <c r="BC651" s="314"/>
      <c r="BD651" s="314"/>
      <c r="BE651" s="314"/>
      <c r="BF651" s="314"/>
      <c r="BG651" s="314"/>
      <c r="BH651" s="314"/>
      <c r="BI651" s="314"/>
      <c r="BJ651" s="314"/>
      <c r="BK651" s="40"/>
      <c r="BL651" s="40"/>
      <c r="BM651" s="40"/>
      <c r="BN651" s="40"/>
      <c r="BO651" s="40"/>
      <c r="BP651" s="155"/>
      <c r="BQ651" s="314"/>
      <c r="BR651" s="314"/>
      <c r="BS651" s="314"/>
      <c r="BT651" s="314"/>
      <c r="BU651" s="314"/>
      <c r="BV651" s="314"/>
      <c r="BW651" s="314"/>
      <c r="BX651" s="155"/>
    </row>
    <row r="652" spans="1:76" ht="15.75" customHeight="1">
      <c r="A652" s="25"/>
      <c r="B652" s="39"/>
      <c r="C652" s="155"/>
      <c r="D652" s="155"/>
      <c r="E652" s="40"/>
      <c r="F652" s="314"/>
      <c r="H652" s="315"/>
      <c r="I652" s="315"/>
      <c r="BA652" s="30"/>
      <c r="BB652" s="155"/>
      <c r="BC652" s="314"/>
      <c r="BD652" s="314"/>
      <c r="BE652" s="314"/>
      <c r="BF652" s="314"/>
      <c r="BG652" s="314"/>
      <c r="BH652" s="314"/>
      <c r="BI652" s="314"/>
      <c r="BJ652" s="314"/>
      <c r="BK652" s="40"/>
      <c r="BL652" s="40"/>
      <c r="BM652" s="40"/>
      <c r="BN652" s="40"/>
      <c r="BO652" s="40"/>
      <c r="BP652" s="155"/>
      <c r="BQ652" s="314"/>
      <c r="BR652" s="314"/>
      <c r="BS652" s="314"/>
      <c r="BT652" s="314"/>
      <c r="BU652" s="314"/>
      <c r="BV652" s="314"/>
      <c r="BW652" s="314"/>
      <c r="BX652" s="155"/>
    </row>
    <row r="653" spans="1:76" ht="15.75" customHeight="1">
      <c r="A653" s="25"/>
      <c r="B653" s="39"/>
      <c r="C653" s="155"/>
      <c r="D653" s="155"/>
      <c r="E653" s="341"/>
      <c r="F653" s="314"/>
      <c r="H653" s="315"/>
      <c r="I653" s="315"/>
      <c r="BA653" s="30"/>
      <c r="BB653" s="321"/>
      <c r="BC653" s="314"/>
      <c r="BD653" s="314"/>
      <c r="BE653" s="314"/>
      <c r="BF653" s="314"/>
      <c r="BG653" s="314"/>
      <c r="BH653" s="314"/>
      <c r="BI653" s="314"/>
      <c r="BJ653" s="314"/>
      <c r="BK653" s="40"/>
      <c r="BL653" s="40"/>
      <c r="BM653" s="40"/>
      <c r="BN653" s="40"/>
      <c r="BO653" s="40"/>
      <c r="BP653" s="155"/>
      <c r="BQ653" s="314"/>
      <c r="BR653" s="314"/>
      <c r="BS653" s="314"/>
      <c r="BT653" s="314"/>
      <c r="BU653" s="314"/>
      <c r="BV653" s="314"/>
      <c r="BW653" s="314"/>
      <c r="BX653" s="155"/>
    </row>
    <row r="654" spans="1:76" ht="15.75" customHeight="1">
      <c r="A654" s="25"/>
      <c r="B654" s="39"/>
      <c r="C654" s="155"/>
      <c r="D654" s="155"/>
      <c r="E654" s="40"/>
      <c r="F654" s="314"/>
      <c r="H654" s="315"/>
      <c r="I654" s="315"/>
      <c r="BA654" s="30"/>
      <c r="BB654" s="155"/>
      <c r="BC654" s="314"/>
      <c r="BD654" s="314"/>
      <c r="BE654" s="314"/>
      <c r="BF654" s="314"/>
      <c r="BG654" s="314"/>
      <c r="BH654" s="314"/>
      <c r="BI654" s="314"/>
      <c r="BJ654" s="314"/>
      <c r="BK654" s="40"/>
      <c r="BL654" s="40"/>
      <c r="BM654" s="40"/>
      <c r="BN654" s="40"/>
      <c r="BO654" s="40"/>
      <c r="BP654" s="155"/>
      <c r="BQ654" s="314"/>
      <c r="BR654" s="314"/>
      <c r="BS654" s="314"/>
      <c r="BT654" s="314"/>
      <c r="BU654" s="314"/>
      <c r="BV654" s="314"/>
      <c r="BW654" s="314"/>
      <c r="BX654" s="155"/>
    </row>
    <row r="655" spans="1:76" ht="15.75" customHeight="1">
      <c r="A655" s="25"/>
      <c r="B655" s="39"/>
      <c r="C655" s="155"/>
      <c r="D655" s="155"/>
      <c r="E655" s="40"/>
      <c r="F655" s="314"/>
      <c r="H655" s="315"/>
      <c r="I655" s="315"/>
      <c r="BA655" s="30"/>
      <c r="BB655" s="155"/>
      <c r="BC655" s="314"/>
      <c r="BD655" s="314"/>
      <c r="BE655" s="314"/>
      <c r="BF655" s="314"/>
      <c r="BG655" s="314"/>
      <c r="BH655" s="314"/>
      <c r="BI655" s="314"/>
      <c r="BJ655" s="314"/>
      <c r="BK655" s="40"/>
      <c r="BL655" s="40"/>
      <c r="BM655" s="40"/>
      <c r="BN655" s="40"/>
      <c r="BO655" s="40"/>
      <c r="BP655" s="155"/>
      <c r="BQ655" s="314"/>
      <c r="BR655" s="314"/>
      <c r="BS655" s="314"/>
      <c r="BT655" s="314"/>
      <c r="BU655" s="314"/>
      <c r="BV655" s="314"/>
      <c r="BW655" s="314"/>
      <c r="BX655" s="155"/>
    </row>
    <row r="656" spans="1:76" ht="15.75" customHeight="1">
      <c r="A656" s="25"/>
      <c r="B656" s="39"/>
      <c r="C656" s="155"/>
      <c r="D656" s="155"/>
      <c r="E656" s="40"/>
      <c r="F656" s="314"/>
      <c r="H656" s="315"/>
      <c r="I656" s="315"/>
      <c r="BA656" s="30"/>
      <c r="BB656" s="155"/>
      <c r="BC656" s="314"/>
      <c r="BD656" s="314"/>
      <c r="BE656" s="314"/>
      <c r="BF656" s="314"/>
      <c r="BG656" s="314"/>
      <c r="BH656" s="314"/>
      <c r="BI656" s="314"/>
      <c r="BJ656" s="314"/>
      <c r="BK656" s="40"/>
      <c r="BL656" s="40"/>
      <c r="BM656" s="40"/>
      <c r="BN656" s="40"/>
      <c r="BO656" s="40"/>
      <c r="BP656" s="155"/>
      <c r="BQ656" s="314"/>
      <c r="BR656" s="314"/>
      <c r="BS656" s="314"/>
      <c r="BT656" s="314"/>
      <c r="BU656" s="314"/>
      <c r="BV656" s="314"/>
      <c r="BW656" s="314"/>
      <c r="BX656" s="155"/>
    </row>
    <row r="657" spans="1:76" ht="15.75" customHeight="1">
      <c r="A657" s="25"/>
      <c r="B657" s="39"/>
      <c r="C657" s="155"/>
      <c r="D657" s="155"/>
      <c r="E657" s="40"/>
      <c r="F657" s="314"/>
      <c r="H657" s="315"/>
      <c r="I657" s="315"/>
      <c r="BA657" s="30"/>
      <c r="BB657" s="155"/>
      <c r="BC657" s="314"/>
      <c r="BD657" s="314"/>
      <c r="BE657" s="314"/>
      <c r="BF657" s="314"/>
      <c r="BG657" s="314"/>
      <c r="BH657" s="314"/>
      <c r="BI657" s="314"/>
      <c r="BJ657" s="314"/>
      <c r="BK657" s="40"/>
      <c r="BL657" s="40"/>
      <c r="BM657" s="40"/>
      <c r="BN657" s="40"/>
      <c r="BO657" s="40"/>
      <c r="BP657" s="155"/>
      <c r="BQ657" s="314"/>
      <c r="BR657" s="314"/>
      <c r="BS657" s="314"/>
      <c r="BT657" s="314"/>
      <c r="BU657" s="314"/>
      <c r="BV657" s="314"/>
      <c r="BW657" s="314"/>
      <c r="BX657" s="155"/>
    </row>
    <row r="658" spans="1:76" ht="15.75" customHeight="1">
      <c r="A658" s="25"/>
      <c r="B658" s="39"/>
      <c r="C658" s="155"/>
      <c r="D658" s="155"/>
      <c r="E658" s="40"/>
      <c r="F658" s="314"/>
      <c r="H658" s="315"/>
      <c r="I658" s="315"/>
      <c r="BA658" s="30"/>
      <c r="BB658" s="155"/>
      <c r="BC658" s="314"/>
      <c r="BD658" s="314"/>
      <c r="BE658" s="314"/>
      <c r="BF658" s="314"/>
      <c r="BG658" s="314"/>
      <c r="BH658" s="314"/>
      <c r="BI658" s="314"/>
      <c r="BJ658" s="314"/>
      <c r="BK658" s="40"/>
      <c r="BL658" s="40"/>
      <c r="BM658" s="40"/>
      <c r="BN658" s="40"/>
      <c r="BO658" s="40"/>
      <c r="BP658" s="155"/>
      <c r="BQ658" s="314"/>
      <c r="BR658" s="314"/>
      <c r="BS658" s="314"/>
      <c r="BT658" s="314"/>
      <c r="BU658" s="314"/>
      <c r="BV658" s="314"/>
      <c r="BW658" s="314"/>
      <c r="BX658" s="155"/>
    </row>
    <row r="659" spans="1:76" ht="15.75" customHeight="1">
      <c r="A659" s="25"/>
      <c r="B659" s="39"/>
      <c r="C659" s="155"/>
      <c r="D659" s="155"/>
      <c r="E659" s="40"/>
      <c r="F659" s="314"/>
      <c r="H659" s="315"/>
      <c r="I659" s="315"/>
      <c r="BA659" s="30"/>
      <c r="BB659" s="155"/>
      <c r="BC659" s="314"/>
      <c r="BD659" s="314"/>
      <c r="BE659" s="314"/>
      <c r="BF659" s="314"/>
      <c r="BG659" s="314"/>
      <c r="BH659" s="314"/>
      <c r="BI659" s="314"/>
      <c r="BJ659" s="314"/>
      <c r="BK659" s="40"/>
      <c r="BL659" s="40"/>
      <c r="BM659" s="40"/>
      <c r="BN659" s="40"/>
      <c r="BO659" s="40"/>
      <c r="BP659" s="155"/>
      <c r="BQ659" s="314"/>
      <c r="BR659" s="314"/>
      <c r="BS659" s="314"/>
      <c r="BT659" s="314"/>
      <c r="BU659" s="314"/>
      <c r="BV659" s="314"/>
      <c r="BW659" s="314"/>
      <c r="BX659" s="155"/>
    </row>
    <row r="660" spans="1:76" ht="15.75" customHeight="1">
      <c r="A660" s="25"/>
      <c r="B660" s="39"/>
      <c r="C660" s="155"/>
      <c r="D660" s="155"/>
      <c r="E660" s="40"/>
      <c r="F660" s="314"/>
      <c r="H660" s="315"/>
      <c r="I660" s="315"/>
      <c r="BA660" s="30"/>
      <c r="BB660" s="155"/>
      <c r="BC660" s="314"/>
      <c r="BD660" s="314"/>
      <c r="BE660" s="314"/>
      <c r="BF660" s="314"/>
      <c r="BG660" s="314"/>
      <c r="BH660" s="314"/>
      <c r="BI660" s="314"/>
      <c r="BJ660" s="314"/>
      <c r="BK660" s="40"/>
      <c r="BL660" s="40"/>
      <c r="BM660" s="40"/>
      <c r="BN660" s="40"/>
      <c r="BO660" s="40"/>
      <c r="BP660" s="155"/>
      <c r="BQ660" s="314"/>
      <c r="BR660" s="314"/>
      <c r="BS660" s="314"/>
      <c r="BT660" s="314"/>
      <c r="BU660" s="314"/>
      <c r="BV660" s="314"/>
      <c r="BW660" s="314"/>
      <c r="BX660" s="155"/>
    </row>
    <row r="661" spans="1:76" ht="15.75" customHeight="1">
      <c r="A661" s="25"/>
      <c r="B661" s="39"/>
      <c r="C661" s="155"/>
      <c r="D661" s="155"/>
      <c r="E661" s="341"/>
      <c r="F661" s="314"/>
      <c r="H661" s="315"/>
      <c r="I661" s="315"/>
      <c r="BA661" s="30"/>
      <c r="BB661" s="321"/>
      <c r="BC661" s="314"/>
      <c r="BD661" s="314"/>
      <c r="BE661" s="314"/>
      <c r="BF661" s="314"/>
      <c r="BG661" s="314"/>
      <c r="BH661" s="314"/>
      <c r="BI661" s="314"/>
      <c r="BJ661" s="314"/>
      <c r="BK661" s="40"/>
      <c r="BL661" s="40"/>
      <c r="BM661" s="40"/>
      <c r="BN661" s="40"/>
      <c r="BO661" s="40"/>
      <c r="BP661" s="155"/>
      <c r="BQ661" s="314"/>
      <c r="BR661" s="314"/>
      <c r="BS661" s="314"/>
      <c r="BT661" s="314"/>
      <c r="BU661" s="314"/>
      <c r="BV661" s="314"/>
      <c r="BW661" s="314"/>
      <c r="BX661" s="155"/>
    </row>
    <row r="662" spans="1:76" ht="15.75" customHeight="1">
      <c r="A662" s="25"/>
      <c r="B662" s="39"/>
      <c r="C662" s="155"/>
      <c r="D662" s="155"/>
      <c r="E662" s="40"/>
      <c r="F662" s="314"/>
      <c r="H662" s="315"/>
      <c r="I662" s="315"/>
      <c r="BA662" s="30"/>
      <c r="BB662" s="155"/>
      <c r="BC662" s="314"/>
      <c r="BD662" s="314"/>
      <c r="BE662" s="314"/>
      <c r="BF662" s="314"/>
      <c r="BG662" s="314"/>
      <c r="BH662" s="314"/>
      <c r="BI662" s="314"/>
      <c r="BJ662" s="314"/>
      <c r="BK662" s="40"/>
      <c r="BL662" s="40"/>
      <c r="BM662" s="40"/>
      <c r="BN662" s="40"/>
      <c r="BO662" s="40"/>
      <c r="BP662" s="155"/>
      <c r="BQ662" s="314"/>
      <c r="BR662" s="314"/>
      <c r="BS662" s="314"/>
      <c r="BT662" s="314"/>
      <c r="BU662" s="314"/>
      <c r="BV662" s="314"/>
      <c r="BW662" s="314"/>
      <c r="BX662" s="155"/>
    </row>
    <row r="663" spans="1:76" ht="15.75" customHeight="1">
      <c r="A663" s="25"/>
      <c r="B663" s="39"/>
      <c r="C663" s="155"/>
      <c r="D663" s="155"/>
      <c r="E663" s="40"/>
      <c r="F663" s="314"/>
      <c r="H663" s="315"/>
      <c r="I663" s="315"/>
      <c r="BA663" s="30"/>
      <c r="BB663" s="155"/>
      <c r="BC663" s="314"/>
      <c r="BD663" s="314"/>
      <c r="BE663" s="314"/>
      <c r="BF663" s="314"/>
      <c r="BG663" s="314"/>
      <c r="BH663" s="314"/>
      <c r="BI663" s="314"/>
      <c r="BJ663" s="314"/>
      <c r="BK663" s="40"/>
      <c r="BL663" s="40"/>
      <c r="BM663" s="40"/>
      <c r="BN663" s="40"/>
      <c r="BO663" s="40"/>
      <c r="BP663" s="155"/>
      <c r="BQ663" s="314"/>
      <c r="BR663" s="314"/>
      <c r="BS663" s="314"/>
      <c r="BT663" s="314"/>
      <c r="BU663" s="314"/>
      <c r="BV663" s="314"/>
      <c r="BW663" s="314"/>
      <c r="BX663" s="155"/>
    </row>
    <row r="664" spans="1:76" ht="15.75" customHeight="1">
      <c r="A664" s="25"/>
      <c r="B664" s="39"/>
      <c r="C664" s="155"/>
      <c r="D664" s="155"/>
      <c r="E664" s="40"/>
      <c r="F664" s="314"/>
      <c r="H664" s="315"/>
      <c r="I664" s="315"/>
      <c r="BA664" s="30"/>
      <c r="BB664" s="155"/>
      <c r="BC664" s="314"/>
      <c r="BD664" s="314"/>
      <c r="BE664" s="314"/>
      <c r="BF664" s="314"/>
      <c r="BG664" s="314"/>
      <c r="BH664" s="314"/>
      <c r="BI664" s="314"/>
      <c r="BJ664" s="314"/>
      <c r="BK664" s="40"/>
      <c r="BL664" s="40"/>
      <c r="BM664" s="40"/>
      <c r="BN664" s="40"/>
      <c r="BO664" s="40"/>
      <c r="BP664" s="155"/>
      <c r="BQ664" s="314"/>
      <c r="BR664" s="314"/>
      <c r="BS664" s="314"/>
      <c r="BT664" s="314"/>
      <c r="BU664" s="314"/>
      <c r="BV664" s="314"/>
      <c r="BW664" s="314"/>
      <c r="BX664" s="155"/>
    </row>
    <row r="665" spans="1:76" ht="15.75" customHeight="1">
      <c r="A665" s="25"/>
      <c r="B665" s="39"/>
      <c r="C665" s="155"/>
      <c r="D665" s="155"/>
      <c r="E665" s="40"/>
      <c r="F665" s="314"/>
      <c r="H665" s="315"/>
      <c r="I665" s="315"/>
      <c r="BA665" s="30"/>
      <c r="BB665" s="155"/>
      <c r="BC665" s="314"/>
      <c r="BD665" s="314"/>
      <c r="BE665" s="314"/>
      <c r="BF665" s="314"/>
      <c r="BG665" s="314"/>
      <c r="BH665" s="314"/>
      <c r="BI665" s="314"/>
      <c r="BJ665" s="314"/>
      <c r="BK665" s="40"/>
      <c r="BL665" s="40"/>
      <c r="BM665" s="40"/>
      <c r="BN665" s="40"/>
      <c r="BO665" s="40"/>
      <c r="BP665" s="155"/>
      <c r="BQ665" s="314"/>
      <c r="BR665" s="314"/>
      <c r="BS665" s="314"/>
      <c r="BT665" s="314"/>
      <c r="BU665" s="314"/>
      <c r="BV665" s="314"/>
      <c r="BW665" s="314"/>
      <c r="BX665" s="155"/>
    </row>
    <row r="666" spans="1:76" ht="15.75" customHeight="1">
      <c r="A666" s="25"/>
      <c r="B666" s="39"/>
      <c r="C666" s="155"/>
      <c r="D666" s="155"/>
      <c r="E666" s="40"/>
      <c r="F666" s="314"/>
      <c r="H666" s="315"/>
      <c r="I666" s="315"/>
      <c r="BA666" s="30"/>
      <c r="BB666" s="155"/>
      <c r="BC666" s="314"/>
      <c r="BD666" s="314"/>
      <c r="BE666" s="314"/>
      <c r="BF666" s="314"/>
      <c r="BG666" s="314"/>
      <c r="BH666" s="314"/>
      <c r="BI666" s="314"/>
      <c r="BJ666" s="314"/>
      <c r="BK666" s="40"/>
      <c r="BL666" s="40"/>
      <c r="BM666" s="40"/>
      <c r="BN666" s="40"/>
      <c r="BO666" s="40"/>
      <c r="BP666" s="155"/>
      <c r="BQ666" s="314"/>
      <c r="BR666" s="314"/>
      <c r="BS666" s="314"/>
      <c r="BT666" s="314"/>
      <c r="BU666" s="314"/>
      <c r="BV666" s="314"/>
      <c r="BW666" s="314"/>
      <c r="BX666" s="155"/>
    </row>
    <row r="667" spans="1:76" ht="15.75" customHeight="1">
      <c r="A667" s="25"/>
      <c r="B667" s="39"/>
      <c r="C667" s="155"/>
      <c r="D667" s="155"/>
      <c r="E667" s="40"/>
      <c r="F667" s="314"/>
      <c r="H667" s="315"/>
      <c r="I667" s="315"/>
      <c r="BA667" s="30"/>
      <c r="BB667" s="155"/>
      <c r="BC667" s="314"/>
      <c r="BD667" s="314"/>
      <c r="BE667" s="314"/>
      <c r="BF667" s="314"/>
      <c r="BG667" s="314"/>
      <c r="BH667" s="314"/>
      <c r="BI667" s="314"/>
      <c r="BJ667" s="314"/>
      <c r="BK667" s="40"/>
      <c r="BL667" s="40"/>
      <c r="BM667" s="40"/>
      <c r="BN667" s="40"/>
      <c r="BO667" s="40"/>
      <c r="BP667" s="155"/>
      <c r="BQ667" s="314"/>
      <c r="BR667" s="314"/>
      <c r="BS667" s="314"/>
      <c r="BT667" s="314"/>
      <c r="BU667" s="314"/>
      <c r="BV667" s="314"/>
      <c r="BW667" s="314"/>
      <c r="BX667" s="155"/>
    </row>
    <row r="668" spans="1:76" ht="15.75" customHeight="1">
      <c r="A668" s="25"/>
      <c r="B668" s="39"/>
      <c r="C668" s="155"/>
      <c r="D668" s="155"/>
      <c r="E668" s="40"/>
      <c r="F668" s="314"/>
      <c r="H668" s="315"/>
      <c r="I668" s="315"/>
      <c r="BA668" s="30"/>
      <c r="BB668" s="155"/>
      <c r="BC668" s="314"/>
      <c r="BD668" s="314"/>
      <c r="BE668" s="314"/>
      <c r="BF668" s="314"/>
      <c r="BG668" s="314"/>
      <c r="BH668" s="314"/>
      <c r="BI668" s="314"/>
      <c r="BJ668" s="314"/>
      <c r="BK668" s="40"/>
      <c r="BL668" s="40"/>
      <c r="BM668" s="40"/>
      <c r="BN668" s="40"/>
      <c r="BO668" s="40"/>
      <c r="BP668" s="155"/>
      <c r="BQ668" s="314"/>
      <c r="BR668" s="314"/>
      <c r="BS668" s="314"/>
      <c r="BT668" s="314"/>
      <c r="BU668" s="314"/>
      <c r="BV668" s="314"/>
      <c r="BW668" s="314"/>
      <c r="BX668" s="155"/>
    </row>
    <row r="669" spans="1:76" ht="15.75" customHeight="1">
      <c r="A669" s="25"/>
      <c r="B669" s="39"/>
      <c r="C669" s="155"/>
      <c r="D669" s="155"/>
      <c r="E669" s="341"/>
      <c r="F669" s="314"/>
      <c r="H669" s="315"/>
      <c r="I669" s="315"/>
      <c r="BA669" s="30"/>
      <c r="BB669" s="321"/>
      <c r="BC669" s="314"/>
      <c r="BD669" s="314"/>
      <c r="BE669" s="314"/>
      <c r="BF669" s="314"/>
      <c r="BG669" s="314"/>
      <c r="BH669" s="314"/>
      <c r="BI669" s="314"/>
      <c r="BJ669" s="314"/>
      <c r="BK669" s="40"/>
      <c r="BL669" s="40"/>
      <c r="BM669" s="40"/>
      <c r="BN669" s="40"/>
      <c r="BO669" s="40"/>
      <c r="BP669" s="155"/>
      <c r="BQ669" s="314"/>
      <c r="BR669" s="314"/>
      <c r="BS669" s="314"/>
      <c r="BT669" s="314"/>
      <c r="BU669" s="314"/>
      <c r="BV669" s="314"/>
      <c r="BW669" s="314"/>
      <c r="BX669" s="155"/>
    </row>
    <row r="670" spans="1:76" ht="15.75" customHeight="1">
      <c r="A670" s="25"/>
      <c r="B670" s="39"/>
      <c r="C670" s="155"/>
      <c r="D670" s="155"/>
      <c r="E670" s="40"/>
      <c r="F670" s="314"/>
      <c r="H670" s="315"/>
      <c r="I670" s="315"/>
      <c r="BA670" s="30"/>
      <c r="BB670" s="155"/>
      <c r="BC670" s="314"/>
      <c r="BD670" s="314"/>
      <c r="BE670" s="314"/>
      <c r="BF670" s="314"/>
      <c r="BG670" s="314"/>
      <c r="BH670" s="314"/>
      <c r="BI670" s="314"/>
      <c r="BJ670" s="314"/>
      <c r="BK670" s="40"/>
      <c r="BL670" s="40"/>
      <c r="BM670" s="40"/>
      <c r="BN670" s="40"/>
      <c r="BO670" s="40"/>
      <c r="BP670" s="155"/>
      <c r="BQ670" s="314"/>
      <c r="BR670" s="314"/>
      <c r="BS670" s="314"/>
      <c r="BT670" s="314"/>
      <c r="BU670" s="314"/>
      <c r="BV670" s="314"/>
      <c r="BW670" s="314"/>
      <c r="BX670" s="155"/>
    </row>
    <row r="671" spans="1:76" ht="15.75" customHeight="1">
      <c r="A671" s="25"/>
      <c r="B671" s="39"/>
      <c r="C671" s="155"/>
      <c r="D671" s="155"/>
      <c r="E671" s="40"/>
      <c r="F671" s="314"/>
      <c r="H671" s="315"/>
      <c r="I671" s="315"/>
      <c r="BA671" s="30"/>
      <c r="BB671" s="155"/>
      <c r="BC671" s="314"/>
      <c r="BD671" s="314"/>
      <c r="BE671" s="314"/>
      <c r="BF671" s="314"/>
      <c r="BG671" s="314"/>
      <c r="BH671" s="314"/>
      <c r="BI671" s="314"/>
      <c r="BJ671" s="314"/>
      <c r="BK671" s="40"/>
      <c r="BL671" s="40"/>
      <c r="BM671" s="40"/>
      <c r="BN671" s="40"/>
      <c r="BO671" s="40"/>
      <c r="BP671" s="155"/>
      <c r="BQ671" s="314"/>
      <c r="BR671" s="314"/>
      <c r="BS671" s="314"/>
      <c r="BT671" s="314"/>
      <c r="BU671" s="314"/>
      <c r="BV671" s="314"/>
      <c r="BW671" s="314"/>
      <c r="BX671" s="155"/>
    </row>
    <row r="672" spans="1:76" ht="15.75" customHeight="1">
      <c r="A672" s="25"/>
      <c r="B672" s="39"/>
      <c r="C672" s="155"/>
      <c r="D672" s="155"/>
      <c r="E672" s="40"/>
      <c r="F672" s="314"/>
      <c r="H672" s="315"/>
      <c r="I672" s="315"/>
      <c r="BA672" s="30"/>
      <c r="BB672" s="155"/>
      <c r="BC672" s="314"/>
      <c r="BD672" s="314"/>
      <c r="BE672" s="314"/>
      <c r="BF672" s="314"/>
      <c r="BG672" s="314"/>
      <c r="BH672" s="314"/>
      <c r="BI672" s="314"/>
      <c r="BJ672" s="314"/>
      <c r="BK672" s="40"/>
      <c r="BL672" s="40"/>
      <c r="BM672" s="40"/>
      <c r="BN672" s="40"/>
      <c r="BO672" s="40"/>
      <c r="BP672" s="155"/>
      <c r="BQ672" s="314"/>
      <c r="BR672" s="314"/>
      <c r="BS672" s="314"/>
      <c r="BT672" s="314"/>
      <c r="BU672" s="314"/>
      <c r="BV672" s="314"/>
      <c r="BW672" s="314"/>
      <c r="BX672" s="155"/>
    </row>
    <row r="673" spans="1:76" ht="15.75" customHeight="1">
      <c r="A673" s="25"/>
      <c r="B673" s="39"/>
      <c r="C673" s="155"/>
      <c r="D673" s="155"/>
      <c r="E673" s="40"/>
      <c r="F673" s="314"/>
      <c r="H673" s="315"/>
      <c r="I673" s="315"/>
      <c r="BA673" s="30"/>
      <c r="BB673" s="155"/>
      <c r="BC673" s="314"/>
      <c r="BD673" s="314"/>
      <c r="BE673" s="314"/>
      <c r="BF673" s="314"/>
      <c r="BG673" s="314"/>
      <c r="BH673" s="314"/>
      <c r="BI673" s="314"/>
      <c r="BJ673" s="314"/>
      <c r="BK673" s="40"/>
      <c r="BL673" s="40"/>
      <c r="BM673" s="40"/>
      <c r="BN673" s="40"/>
      <c r="BO673" s="40"/>
      <c r="BP673" s="155"/>
      <c r="BQ673" s="314"/>
      <c r="BR673" s="314"/>
      <c r="BS673" s="314"/>
      <c r="BT673" s="314"/>
      <c r="BU673" s="314"/>
      <c r="BV673" s="314"/>
      <c r="BW673" s="314"/>
      <c r="BX673" s="155"/>
    </row>
    <row r="674" spans="1:76" ht="15.75" customHeight="1">
      <c r="A674" s="25"/>
      <c r="B674" s="39"/>
      <c r="C674" s="155"/>
      <c r="D674" s="155"/>
      <c r="E674" s="40"/>
      <c r="F674" s="314"/>
      <c r="H674" s="315"/>
      <c r="I674" s="315"/>
      <c r="BA674" s="30"/>
      <c r="BB674" s="155"/>
      <c r="BC674" s="314"/>
      <c r="BD674" s="314"/>
      <c r="BE674" s="314"/>
      <c r="BF674" s="314"/>
      <c r="BG674" s="314"/>
      <c r="BH674" s="314"/>
      <c r="BI674" s="314"/>
      <c r="BJ674" s="314"/>
      <c r="BK674" s="40"/>
      <c r="BL674" s="40"/>
      <c r="BM674" s="40"/>
      <c r="BN674" s="40"/>
      <c r="BO674" s="40"/>
      <c r="BP674" s="155"/>
      <c r="BQ674" s="314"/>
      <c r="BR674" s="314"/>
      <c r="BS674" s="314"/>
      <c r="BT674" s="314"/>
      <c r="BU674" s="314"/>
      <c r="BV674" s="314"/>
      <c r="BW674" s="314"/>
      <c r="BX674" s="155"/>
    </row>
    <row r="675" spans="1:76" ht="15.75" customHeight="1">
      <c r="A675" s="25"/>
      <c r="B675" s="39"/>
      <c r="C675" s="155"/>
      <c r="D675" s="155"/>
      <c r="E675" s="40"/>
      <c r="F675" s="314"/>
      <c r="H675" s="315"/>
      <c r="I675" s="315"/>
      <c r="BA675" s="30"/>
      <c r="BB675" s="155"/>
      <c r="BC675" s="314"/>
      <c r="BD675" s="314"/>
      <c r="BE675" s="314"/>
      <c r="BF675" s="314"/>
      <c r="BG675" s="314"/>
      <c r="BH675" s="314"/>
      <c r="BI675" s="314"/>
      <c r="BJ675" s="314"/>
      <c r="BK675" s="40"/>
      <c r="BL675" s="40"/>
      <c r="BM675" s="40"/>
      <c r="BN675" s="40"/>
      <c r="BO675" s="40"/>
      <c r="BP675" s="155"/>
      <c r="BQ675" s="314"/>
      <c r="BR675" s="314"/>
      <c r="BS675" s="314"/>
      <c r="BT675" s="314"/>
      <c r="BU675" s="314"/>
      <c r="BV675" s="314"/>
      <c r="BW675" s="314"/>
      <c r="BX675" s="155"/>
    </row>
    <row r="676" spans="1:76" ht="15.75" customHeight="1">
      <c r="A676" s="25"/>
      <c r="B676" s="39"/>
      <c r="C676" s="155"/>
      <c r="D676" s="155"/>
      <c r="E676" s="40"/>
      <c r="F676" s="314"/>
      <c r="H676" s="315"/>
      <c r="I676" s="315"/>
      <c r="BA676" s="30"/>
      <c r="BB676" s="155"/>
      <c r="BC676" s="314"/>
      <c r="BD676" s="314"/>
      <c r="BE676" s="314"/>
      <c r="BF676" s="314"/>
      <c r="BG676" s="314"/>
      <c r="BH676" s="314"/>
      <c r="BI676" s="314"/>
      <c r="BJ676" s="314"/>
      <c r="BK676" s="40"/>
      <c r="BL676" s="40"/>
      <c r="BM676" s="40"/>
      <c r="BN676" s="40"/>
      <c r="BO676" s="40"/>
      <c r="BP676" s="155"/>
      <c r="BQ676" s="314"/>
      <c r="BR676" s="314"/>
      <c r="BS676" s="314"/>
      <c r="BT676" s="314"/>
      <c r="BU676" s="314"/>
      <c r="BV676" s="314"/>
      <c r="BW676" s="314"/>
      <c r="BX676" s="155"/>
    </row>
    <row r="677" spans="1:76" ht="15.75" customHeight="1">
      <c r="A677" s="25"/>
      <c r="B677" s="39"/>
      <c r="C677" s="155"/>
      <c r="D677" s="155"/>
      <c r="E677" s="341"/>
      <c r="F677" s="314"/>
      <c r="H677" s="315"/>
      <c r="I677" s="315"/>
      <c r="BA677" s="30"/>
      <c r="BB677" s="321"/>
      <c r="BC677" s="314"/>
      <c r="BD677" s="314"/>
      <c r="BE677" s="314"/>
      <c r="BF677" s="314"/>
      <c r="BG677" s="314"/>
      <c r="BH677" s="314"/>
      <c r="BI677" s="314"/>
      <c r="BJ677" s="314"/>
      <c r="BK677" s="40"/>
      <c r="BL677" s="40"/>
      <c r="BM677" s="40"/>
      <c r="BN677" s="40"/>
      <c r="BO677" s="40"/>
      <c r="BP677" s="155"/>
      <c r="BQ677" s="314"/>
      <c r="BR677" s="314"/>
      <c r="BS677" s="314"/>
      <c r="BT677" s="314"/>
      <c r="BU677" s="314"/>
      <c r="BV677" s="314"/>
      <c r="BW677" s="314"/>
      <c r="BX677" s="155"/>
    </row>
    <row r="678" spans="1:76" ht="15.75" customHeight="1">
      <c r="A678" s="25"/>
      <c r="B678" s="39"/>
      <c r="C678" s="155"/>
      <c r="D678" s="155"/>
      <c r="E678" s="40"/>
      <c r="F678" s="314"/>
      <c r="H678" s="315"/>
      <c r="I678" s="315"/>
      <c r="BA678" s="30"/>
      <c r="BB678" s="155"/>
      <c r="BC678" s="314"/>
      <c r="BD678" s="314"/>
      <c r="BE678" s="314"/>
      <c r="BF678" s="314"/>
      <c r="BG678" s="314"/>
      <c r="BH678" s="314"/>
      <c r="BI678" s="314"/>
      <c r="BJ678" s="314"/>
      <c r="BK678" s="40"/>
      <c r="BL678" s="40"/>
      <c r="BM678" s="40"/>
      <c r="BN678" s="40"/>
      <c r="BO678" s="40"/>
      <c r="BP678" s="155"/>
      <c r="BQ678" s="314"/>
      <c r="BR678" s="314"/>
      <c r="BS678" s="314"/>
      <c r="BT678" s="314"/>
      <c r="BU678" s="314"/>
      <c r="BV678" s="314"/>
      <c r="BW678" s="314"/>
      <c r="BX678" s="155"/>
    </row>
    <row r="679" spans="1:76" ht="15.75" customHeight="1">
      <c r="A679" s="25"/>
      <c r="B679" s="39"/>
      <c r="C679" s="155"/>
      <c r="D679" s="155"/>
      <c r="E679" s="40"/>
      <c r="F679" s="314"/>
      <c r="H679" s="315"/>
      <c r="I679" s="315"/>
      <c r="BA679" s="30"/>
      <c r="BB679" s="155"/>
      <c r="BC679" s="314"/>
      <c r="BD679" s="314"/>
      <c r="BE679" s="314"/>
      <c r="BF679" s="314"/>
      <c r="BG679" s="314"/>
      <c r="BH679" s="314"/>
      <c r="BI679" s="314"/>
      <c r="BJ679" s="314"/>
      <c r="BK679" s="40"/>
      <c r="BL679" s="40"/>
      <c r="BM679" s="40"/>
      <c r="BN679" s="40"/>
      <c r="BO679" s="40"/>
      <c r="BP679" s="155"/>
      <c r="BQ679" s="314"/>
      <c r="BR679" s="314"/>
      <c r="BS679" s="314"/>
      <c r="BT679" s="314"/>
      <c r="BU679" s="314"/>
      <c r="BV679" s="314"/>
      <c r="BW679" s="314"/>
      <c r="BX679" s="155"/>
    </row>
    <row r="680" spans="1:76" ht="15.75" customHeight="1">
      <c r="A680" s="25"/>
      <c r="B680" s="39"/>
      <c r="C680" s="155"/>
      <c r="D680" s="155"/>
      <c r="E680" s="40"/>
      <c r="F680" s="314"/>
      <c r="H680" s="315"/>
      <c r="I680" s="315"/>
      <c r="BA680" s="30"/>
      <c r="BB680" s="155"/>
      <c r="BC680" s="314"/>
      <c r="BD680" s="314"/>
      <c r="BE680" s="314"/>
      <c r="BF680" s="314"/>
      <c r="BG680" s="314"/>
      <c r="BH680" s="314"/>
      <c r="BI680" s="314"/>
      <c r="BJ680" s="314"/>
      <c r="BK680" s="40"/>
      <c r="BL680" s="40"/>
      <c r="BM680" s="40"/>
      <c r="BN680" s="40"/>
      <c r="BO680" s="40"/>
      <c r="BP680" s="155"/>
      <c r="BQ680" s="314"/>
      <c r="BR680" s="314"/>
      <c r="BS680" s="314"/>
      <c r="BT680" s="314"/>
      <c r="BU680" s="314"/>
      <c r="BV680" s="314"/>
      <c r="BW680" s="314"/>
      <c r="BX680" s="155"/>
    </row>
    <row r="681" spans="1:76" ht="15.75" customHeight="1">
      <c r="A681" s="25"/>
      <c r="B681" s="39"/>
      <c r="C681" s="155"/>
      <c r="D681" s="155"/>
      <c r="E681" s="40"/>
      <c r="F681" s="314"/>
      <c r="H681" s="315"/>
      <c r="I681" s="315"/>
      <c r="BA681" s="30"/>
      <c r="BB681" s="155"/>
      <c r="BC681" s="322"/>
      <c r="BD681" s="322"/>
      <c r="BE681" s="322"/>
      <c r="BF681" s="322"/>
      <c r="BG681" s="322"/>
      <c r="BH681" s="322"/>
      <c r="BI681" s="322"/>
      <c r="BJ681" s="322"/>
      <c r="BK681" s="341"/>
      <c r="BL681" s="40"/>
      <c r="BM681" s="40"/>
      <c r="BN681" s="40"/>
      <c r="BO681" s="40"/>
      <c r="BP681" s="155"/>
      <c r="BQ681" s="314"/>
      <c r="BR681" s="314"/>
      <c r="BS681" s="314"/>
      <c r="BT681" s="314"/>
      <c r="BU681" s="314"/>
      <c r="BV681" s="314"/>
      <c r="BW681" s="314"/>
      <c r="BX681" s="155"/>
    </row>
    <row r="682" spans="1:76" ht="15.75" customHeight="1">
      <c r="A682" s="25"/>
      <c r="B682" s="39"/>
      <c r="C682" s="155"/>
      <c r="D682" s="155"/>
      <c r="E682" s="40"/>
      <c r="F682" s="314"/>
      <c r="H682" s="315"/>
      <c r="I682" s="315"/>
      <c r="BA682" s="30"/>
      <c r="BB682" s="155"/>
      <c r="BC682" s="314"/>
      <c r="BD682" s="314"/>
      <c r="BE682" s="314"/>
      <c r="BF682" s="314"/>
      <c r="BG682" s="314"/>
      <c r="BH682" s="314"/>
      <c r="BI682" s="314"/>
      <c r="BJ682" s="314"/>
      <c r="BK682" s="40"/>
      <c r="BL682" s="40"/>
      <c r="BM682" s="40"/>
      <c r="BN682" s="40"/>
      <c r="BO682" s="40"/>
      <c r="BP682" s="155"/>
      <c r="BQ682" s="314"/>
      <c r="BR682" s="314"/>
      <c r="BS682" s="314"/>
      <c r="BT682" s="314"/>
      <c r="BU682" s="314"/>
      <c r="BV682" s="314"/>
      <c r="BW682" s="314"/>
      <c r="BX682" s="155"/>
    </row>
    <row r="683" spans="1:76" ht="15.75" customHeight="1">
      <c r="A683" s="25"/>
      <c r="B683" s="39"/>
      <c r="C683" s="155"/>
      <c r="D683" s="155"/>
      <c r="E683" s="40"/>
      <c r="F683" s="314"/>
      <c r="H683" s="315"/>
      <c r="I683" s="315"/>
      <c r="BA683" s="30"/>
      <c r="BB683" s="155"/>
      <c r="BC683" s="314"/>
      <c r="BD683" s="314"/>
      <c r="BE683" s="314"/>
      <c r="BF683" s="314"/>
      <c r="BG683" s="314"/>
      <c r="BH683" s="314"/>
      <c r="BI683" s="314"/>
      <c r="BJ683" s="314"/>
      <c r="BK683" s="40"/>
      <c r="BL683" s="40"/>
      <c r="BM683" s="40"/>
      <c r="BN683" s="40"/>
      <c r="BO683" s="40"/>
      <c r="BP683" s="155"/>
      <c r="BQ683" s="314"/>
      <c r="BR683" s="314"/>
      <c r="BS683" s="314"/>
      <c r="BT683" s="314"/>
      <c r="BU683" s="314"/>
      <c r="BV683" s="314"/>
      <c r="BW683" s="314"/>
      <c r="BX683" s="155"/>
    </row>
    <row r="684" spans="1:76" ht="15.75" customHeight="1">
      <c r="A684" s="25"/>
      <c r="B684" s="39"/>
      <c r="C684" s="155"/>
      <c r="D684" s="155"/>
      <c r="E684" s="40"/>
      <c r="F684" s="314"/>
      <c r="H684" s="315"/>
      <c r="I684" s="315"/>
      <c r="BA684" s="30"/>
      <c r="BB684" s="155"/>
      <c r="BC684" s="314"/>
      <c r="BD684" s="314"/>
      <c r="BE684" s="314"/>
      <c r="BF684" s="314"/>
      <c r="BG684" s="314"/>
      <c r="BH684" s="314"/>
      <c r="BI684" s="314"/>
      <c r="BJ684" s="314"/>
      <c r="BK684" s="40"/>
      <c r="BL684" s="40"/>
      <c r="BM684" s="40"/>
      <c r="BN684" s="40"/>
      <c r="BO684" s="40"/>
      <c r="BP684" s="155"/>
      <c r="BQ684" s="314"/>
      <c r="BR684" s="314"/>
      <c r="BS684" s="314"/>
      <c r="BT684" s="314"/>
      <c r="BU684" s="314"/>
      <c r="BV684" s="314"/>
      <c r="BW684" s="314"/>
      <c r="BX684" s="155"/>
    </row>
    <row r="685" spans="1:76" ht="15.75" customHeight="1">
      <c r="A685" s="25"/>
      <c r="B685" s="39"/>
      <c r="C685" s="155"/>
      <c r="D685" s="155"/>
      <c r="E685" s="341"/>
      <c r="F685" s="314"/>
      <c r="H685" s="315"/>
      <c r="I685" s="315"/>
      <c r="BA685" s="30"/>
      <c r="BB685" s="321"/>
      <c r="BC685" s="314"/>
      <c r="BD685" s="314"/>
      <c r="BE685" s="314"/>
      <c r="BF685" s="314"/>
      <c r="BG685" s="314"/>
      <c r="BH685" s="314"/>
      <c r="BI685" s="314"/>
      <c r="BJ685" s="314"/>
      <c r="BK685" s="40"/>
      <c r="BL685" s="40"/>
      <c r="BM685" s="40"/>
      <c r="BN685" s="40"/>
      <c r="BO685" s="40"/>
      <c r="BP685" s="155"/>
      <c r="BQ685" s="314"/>
      <c r="BR685" s="314"/>
      <c r="BS685" s="314"/>
      <c r="BT685" s="314"/>
      <c r="BU685" s="314"/>
      <c r="BV685" s="314"/>
      <c r="BW685" s="314"/>
      <c r="BX685" s="155"/>
    </row>
    <row r="686" spans="1:76" ht="15.75" customHeight="1">
      <c r="A686" s="25"/>
      <c r="B686" s="39"/>
      <c r="C686" s="155"/>
      <c r="D686" s="155"/>
      <c r="E686" s="40"/>
      <c r="F686" s="314"/>
      <c r="H686" s="315"/>
      <c r="I686" s="315"/>
      <c r="BA686" s="30"/>
      <c r="BB686" s="155"/>
      <c r="BC686" s="314"/>
      <c r="BD686" s="314"/>
      <c r="BE686" s="314"/>
      <c r="BF686" s="314"/>
      <c r="BG686" s="314"/>
      <c r="BH686" s="314"/>
      <c r="BI686" s="314"/>
      <c r="BJ686" s="314"/>
      <c r="BK686" s="40"/>
      <c r="BL686" s="40"/>
      <c r="BM686" s="40"/>
      <c r="BN686" s="40"/>
      <c r="BO686" s="40"/>
      <c r="BP686" s="155"/>
      <c r="BQ686" s="314"/>
      <c r="BR686" s="314"/>
      <c r="BS686" s="314"/>
      <c r="BT686" s="314"/>
      <c r="BU686" s="314"/>
      <c r="BV686" s="314"/>
      <c r="BW686" s="314"/>
      <c r="BX686" s="155"/>
    </row>
    <row r="687" spans="1:76" ht="15.75" customHeight="1">
      <c r="A687" s="25"/>
      <c r="B687" s="39"/>
      <c r="C687" s="155"/>
      <c r="D687" s="155"/>
      <c r="E687" s="40"/>
      <c r="F687" s="314"/>
      <c r="H687" s="315"/>
      <c r="I687" s="315"/>
      <c r="BA687" s="30"/>
      <c r="BB687" s="155"/>
      <c r="BC687" s="314"/>
      <c r="BD687" s="314"/>
      <c r="BE687" s="314"/>
      <c r="BF687" s="314"/>
      <c r="BG687" s="314"/>
      <c r="BH687" s="314"/>
      <c r="BI687" s="314"/>
      <c r="BJ687" s="314"/>
      <c r="BK687" s="40"/>
      <c r="BL687" s="40"/>
      <c r="BM687" s="40"/>
      <c r="BN687" s="40"/>
      <c r="BO687" s="40"/>
      <c r="BP687" s="155"/>
      <c r="BQ687" s="314"/>
      <c r="BR687" s="314"/>
      <c r="BS687" s="314"/>
      <c r="BT687" s="314"/>
      <c r="BU687" s="314"/>
      <c r="BV687" s="314"/>
      <c r="BW687" s="314"/>
      <c r="BX687" s="155"/>
    </row>
    <row r="688" spans="1:76" ht="15.75" customHeight="1">
      <c r="A688" s="25"/>
      <c r="B688" s="39"/>
      <c r="C688" s="155"/>
      <c r="D688" s="155"/>
      <c r="E688" s="40"/>
      <c r="F688" s="314"/>
      <c r="H688" s="315"/>
      <c r="I688" s="315"/>
      <c r="BA688" s="30"/>
      <c r="BB688" s="155"/>
      <c r="BC688" s="314"/>
      <c r="BD688" s="314"/>
      <c r="BE688" s="314"/>
      <c r="BF688" s="314"/>
      <c r="BG688" s="314"/>
      <c r="BH688" s="314"/>
      <c r="BI688" s="314"/>
      <c r="BJ688" s="314"/>
      <c r="BK688" s="40"/>
      <c r="BL688" s="40"/>
      <c r="BM688" s="40"/>
      <c r="BN688" s="40"/>
      <c r="BO688" s="40"/>
      <c r="BP688" s="155"/>
      <c r="BQ688" s="314"/>
      <c r="BR688" s="314"/>
      <c r="BS688" s="314"/>
      <c r="BT688" s="314"/>
      <c r="BU688" s="314"/>
      <c r="BV688" s="314"/>
      <c r="BW688" s="314"/>
      <c r="BX688" s="155"/>
    </row>
    <row r="689" spans="1:76" ht="15.75" customHeight="1">
      <c r="A689" s="25"/>
      <c r="B689" s="39"/>
      <c r="C689" s="155"/>
      <c r="D689" s="155"/>
      <c r="E689" s="40"/>
      <c r="F689" s="314"/>
      <c r="H689" s="315"/>
      <c r="I689" s="315"/>
      <c r="BA689" s="30"/>
      <c r="BB689" s="155"/>
      <c r="BC689" s="314"/>
      <c r="BD689" s="314"/>
      <c r="BE689" s="314"/>
      <c r="BF689" s="314"/>
      <c r="BG689" s="314"/>
      <c r="BH689" s="314"/>
      <c r="BI689" s="314"/>
      <c r="BJ689" s="314"/>
      <c r="BK689" s="40"/>
      <c r="BL689" s="40"/>
      <c r="BM689" s="40"/>
      <c r="BN689" s="40"/>
      <c r="BO689" s="40"/>
      <c r="BP689" s="155"/>
      <c r="BQ689" s="314"/>
      <c r="BR689" s="314"/>
      <c r="BS689" s="314"/>
      <c r="BT689" s="314"/>
      <c r="BU689" s="314"/>
      <c r="BV689" s="314"/>
      <c r="BW689" s="314"/>
      <c r="BX689" s="155"/>
    </row>
    <row r="690" spans="1:76" ht="15.75" customHeight="1">
      <c r="A690" s="25"/>
      <c r="B690" s="39"/>
      <c r="C690" s="155"/>
      <c r="D690" s="155"/>
      <c r="E690" s="40"/>
      <c r="F690" s="314"/>
      <c r="H690" s="315"/>
      <c r="I690" s="315"/>
      <c r="BA690" s="30"/>
      <c r="BB690" s="155"/>
      <c r="BC690" s="314"/>
      <c r="BD690" s="314"/>
      <c r="BE690" s="314"/>
      <c r="BF690" s="314"/>
      <c r="BG690" s="314"/>
      <c r="BH690" s="314"/>
      <c r="BI690" s="314"/>
      <c r="BJ690" s="314"/>
      <c r="BK690" s="40"/>
      <c r="BL690" s="40"/>
      <c r="BM690" s="40"/>
      <c r="BN690" s="40"/>
      <c r="BO690" s="40"/>
      <c r="BP690" s="155"/>
      <c r="BQ690" s="314"/>
      <c r="BR690" s="314"/>
      <c r="BS690" s="314"/>
      <c r="BT690" s="314"/>
      <c r="BU690" s="314"/>
      <c r="BV690" s="314"/>
      <c r="BW690" s="314"/>
      <c r="BX690" s="155"/>
    </row>
    <row r="691" spans="1:76" ht="15.75" customHeight="1">
      <c r="A691" s="25"/>
      <c r="B691" s="39"/>
      <c r="C691" s="155"/>
      <c r="D691" s="155"/>
      <c r="E691" s="40"/>
      <c r="F691" s="314"/>
      <c r="H691" s="315"/>
      <c r="I691" s="315"/>
      <c r="BA691" s="30"/>
      <c r="BB691" s="155"/>
      <c r="BC691" s="314"/>
      <c r="BD691" s="314"/>
      <c r="BE691" s="314"/>
      <c r="BF691" s="314"/>
      <c r="BG691" s="314"/>
      <c r="BH691" s="314"/>
      <c r="BI691" s="314"/>
      <c r="BJ691" s="314"/>
      <c r="BK691" s="40"/>
      <c r="BL691" s="40"/>
      <c r="BM691" s="40"/>
      <c r="BN691" s="40"/>
      <c r="BO691" s="40"/>
      <c r="BP691" s="155"/>
      <c r="BQ691" s="314"/>
      <c r="BR691" s="314"/>
      <c r="BS691" s="314"/>
      <c r="BT691" s="314"/>
      <c r="BU691" s="314"/>
      <c r="BV691" s="314"/>
      <c r="BW691" s="314"/>
      <c r="BX691" s="155"/>
    </row>
    <row r="692" spans="1:76" ht="15.75" customHeight="1">
      <c r="A692" s="25"/>
      <c r="B692" s="39"/>
      <c r="C692" s="155"/>
      <c r="D692" s="155"/>
      <c r="E692" s="40"/>
      <c r="F692" s="314"/>
      <c r="H692" s="315"/>
      <c r="I692" s="315"/>
      <c r="BA692" s="30"/>
      <c r="BB692" s="155"/>
      <c r="BC692" s="314"/>
      <c r="BD692" s="314"/>
      <c r="BE692" s="314"/>
      <c r="BF692" s="314"/>
      <c r="BG692" s="314"/>
      <c r="BH692" s="314"/>
      <c r="BI692" s="314"/>
      <c r="BJ692" s="314"/>
      <c r="BK692" s="40"/>
      <c r="BL692" s="40"/>
      <c r="BM692" s="40"/>
      <c r="BN692" s="40"/>
      <c r="BO692" s="40"/>
      <c r="BP692" s="155"/>
      <c r="BQ692" s="314"/>
      <c r="BR692" s="314"/>
      <c r="BS692" s="314"/>
      <c r="BT692" s="314"/>
      <c r="BU692" s="314"/>
      <c r="BV692" s="314"/>
      <c r="BW692" s="314"/>
      <c r="BX692" s="155"/>
    </row>
    <row r="693" spans="1:76" ht="15.75" customHeight="1">
      <c r="A693" s="25"/>
      <c r="B693" s="39"/>
      <c r="C693" s="155"/>
      <c r="D693" s="155"/>
      <c r="E693" s="341"/>
      <c r="F693" s="314"/>
      <c r="H693" s="315"/>
      <c r="I693" s="315"/>
      <c r="BA693" s="30"/>
      <c r="BB693" s="321"/>
      <c r="BC693" s="314"/>
      <c r="BD693" s="314"/>
      <c r="BE693" s="314"/>
      <c r="BF693" s="314"/>
      <c r="BG693" s="314"/>
      <c r="BH693" s="314"/>
      <c r="BI693" s="314"/>
      <c r="BJ693" s="314"/>
      <c r="BK693" s="40"/>
      <c r="BL693" s="40"/>
      <c r="BM693" s="40"/>
      <c r="BN693" s="40"/>
      <c r="BO693" s="40"/>
      <c r="BP693" s="155"/>
      <c r="BQ693" s="314"/>
      <c r="BR693" s="314"/>
      <c r="BS693" s="314"/>
      <c r="BT693" s="314"/>
      <c r="BU693" s="314"/>
      <c r="BV693" s="314"/>
      <c r="BW693" s="314"/>
      <c r="BX693" s="155"/>
    </row>
    <row r="694" spans="1:76" ht="15.75" customHeight="1">
      <c r="A694" s="25"/>
      <c r="B694" s="39"/>
      <c r="C694" s="155"/>
      <c r="D694" s="155"/>
      <c r="E694" s="40"/>
      <c r="F694" s="314"/>
      <c r="H694" s="315"/>
      <c r="I694" s="315"/>
      <c r="BA694" s="30"/>
      <c r="BB694" s="155"/>
      <c r="BC694" s="314"/>
      <c r="BD694" s="314"/>
      <c r="BE694" s="314"/>
      <c r="BF694" s="314"/>
      <c r="BG694" s="314"/>
      <c r="BH694" s="314"/>
      <c r="BI694" s="314"/>
      <c r="BJ694" s="314"/>
      <c r="BK694" s="40"/>
      <c r="BL694" s="40"/>
      <c r="BM694" s="40"/>
      <c r="BN694" s="40"/>
      <c r="BO694" s="40"/>
      <c r="BP694" s="155"/>
      <c r="BQ694" s="314"/>
      <c r="BR694" s="314"/>
      <c r="BS694" s="314"/>
      <c r="BT694" s="314"/>
      <c r="BU694" s="314"/>
      <c r="BV694" s="314"/>
      <c r="BW694" s="314"/>
      <c r="BX694" s="155"/>
    </row>
    <row r="695" spans="1:76" ht="15.75" customHeight="1">
      <c r="A695" s="25"/>
      <c r="B695" s="39"/>
      <c r="C695" s="155"/>
      <c r="D695" s="155"/>
      <c r="E695" s="40"/>
      <c r="F695" s="314"/>
      <c r="H695" s="315"/>
      <c r="I695" s="315"/>
      <c r="BA695" s="30"/>
      <c r="BB695" s="155"/>
      <c r="BC695" s="314"/>
      <c r="BD695" s="314"/>
      <c r="BE695" s="314"/>
      <c r="BF695" s="314"/>
      <c r="BG695" s="314"/>
      <c r="BH695" s="314"/>
      <c r="BI695" s="314"/>
      <c r="BJ695" s="314"/>
      <c r="BK695" s="40"/>
      <c r="BL695" s="40"/>
      <c r="BM695" s="40"/>
      <c r="BN695" s="40"/>
      <c r="BO695" s="40"/>
      <c r="BP695" s="155"/>
      <c r="BQ695" s="314"/>
      <c r="BR695" s="314"/>
      <c r="BS695" s="314"/>
      <c r="BT695" s="314"/>
      <c r="BU695" s="314"/>
      <c r="BV695" s="314"/>
      <c r="BW695" s="314"/>
      <c r="BX695" s="155"/>
    </row>
    <row r="696" spans="1:76" ht="15.75" customHeight="1">
      <c r="A696" s="25"/>
      <c r="B696" s="39"/>
      <c r="C696" s="155"/>
      <c r="D696" s="155"/>
      <c r="E696" s="40"/>
      <c r="F696" s="314"/>
      <c r="H696" s="315"/>
      <c r="I696" s="315"/>
      <c r="BA696" s="30"/>
      <c r="BB696" s="155"/>
      <c r="BC696" s="314"/>
      <c r="BD696" s="314"/>
      <c r="BE696" s="314"/>
      <c r="BF696" s="314"/>
      <c r="BG696" s="314"/>
      <c r="BH696" s="314"/>
      <c r="BI696" s="314"/>
      <c r="BJ696" s="314"/>
      <c r="BK696" s="40"/>
      <c r="BL696" s="40"/>
      <c r="BM696" s="40"/>
      <c r="BN696" s="40"/>
      <c r="BO696" s="40"/>
      <c r="BP696" s="155"/>
      <c r="BQ696" s="314"/>
      <c r="BR696" s="314"/>
      <c r="BS696" s="314"/>
      <c r="BT696" s="314"/>
      <c r="BU696" s="314"/>
      <c r="BV696" s="314"/>
      <c r="BW696" s="314"/>
      <c r="BX696" s="155"/>
    </row>
    <row r="697" spans="1:76" ht="15.75" customHeight="1">
      <c r="A697" s="25"/>
      <c r="B697" s="39"/>
      <c r="C697" s="155"/>
      <c r="D697" s="155"/>
      <c r="E697" s="40"/>
      <c r="F697" s="314"/>
      <c r="H697" s="315"/>
      <c r="I697" s="315"/>
      <c r="BA697" s="30"/>
      <c r="BB697" s="155"/>
      <c r="BC697" s="314"/>
      <c r="BD697" s="314"/>
      <c r="BE697" s="314"/>
      <c r="BF697" s="314"/>
      <c r="BG697" s="314"/>
      <c r="BH697" s="314"/>
      <c r="BI697" s="314"/>
      <c r="BJ697" s="314"/>
      <c r="BK697" s="40"/>
      <c r="BL697" s="40"/>
      <c r="BM697" s="40"/>
      <c r="BN697" s="40"/>
      <c r="BO697" s="40"/>
      <c r="BP697" s="155"/>
      <c r="BQ697" s="314"/>
      <c r="BR697" s="314"/>
      <c r="BS697" s="314"/>
      <c r="BT697" s="314"/>
      <c r="BU697" s="314"/>
      <c r="BV697" s="314"/>
      <c r="BW697" s="314"/>
      <c r="BX697" s="155"/>
    </row>
    <row r="698" spans="1:76" ht="15.75" customHeight="1">
      <c r="A698" s="25"/>
      <c r="B698" s="39"/>
      <c r="C698" s="155"/>
      <c r="D698" s="155"/>
      <c r="E698" s="40"/>
      <c r="F698" s="314"/>
      <c r="H698" s="315"/>
      <c r="I698" s="315"/>
      <c r="BA698" s="30"/>
      <c r="BB698" s="155"/>
      <c r="BC698" s="314"/>
      <c r="BD698" s="314"/>
      <c r="BE698" s="314"/>
      <c r="BF698" s="314"/>
      <c r="BG698" s="314"/>
      <c r="BH698" s="314"/>
      <c r="BI698" s="314"/>
      <c r="BJ698" s="314"/>
      <c r="BK698" s="40"/>
      <c r="BL698" s="40"/>
      <c r="BM698" s="40"/>
      <c r="BN698" s="40"/>
      <c r="BO698" s="40"/>
      <c r="BP698" s="155"/>
      <c r="BQ698" s="314"/>
      <c r="BR698" s="314"/>
      <c r="BS698" s="314"/>
      <c r="BT698" s="314"/>
      <c r="BU698" s="314"/>
      <c r="BV698" s="314"/>
      <c r="BW698" s="314"/>
      <c r="BX698" s="155"/>
    </row>
    <row r="699" spans="1:76" ht="15.75" customHeight="1">
      <c r="A699" s="25"/>
      <c r="B699" s="39"/>
      <c r="C699" s="155"/>
      <c r="D699" s="155"/>
      <c r="E699" s="40"/>
      <c r="F699" s="314"/>
      <c r="H699" s="315"/>
      <c r="I699" s="315"/>
      <c r="BA699" s="30"/>
      <c r="BB699" s="155"/>
      <c r="BC699" s="314"/>
      <c r="BD699" s="314"/>
      <c r="BE699" s="314"/>
      <c r="BF699" s="314"/>
      <c r="BG699" s="314"/>
      <c r="BH699" s="314"/>
      <c r="BI699" s="314"/>
      <c r="BJ699" s="314"/>
      <c r="BK699" s="40"/>
      <c r="BL699" s="40"/>
      <c r="BM699" s="40"/>
      <c r="BN699" s="40"/>
      <c r="BO699" s="40"/>
      <c r="BP699" s="155"/>
      <c r="BQ699" s="314"/>
      <c r="BR699" s="314"/>
      <c r="BS699" s="314"/>
      <c r="BT699" s="314"/>
      <c r="BU699" s="314"/>
      <c r="BV699" s="314"/>
      <c r="BW699" s="314"/>
      <c r="BX699" s="155"/>
    </row>
    <row r="700" spans="1:76" ht="15.75" customHeight="1">
      <c r="A700" s="25"/>
      <c r="B700" s="39"/>
      <c r="C700" s="155"/>
      <c r="D700" s="155"/>
      <c r="E700" s="40"/>
      <c r="F700" s="314"/>
      <c r="H700" s="315"/>
      <c r="I700" s="315"/>
      <c r="BA700" s="30"/>
      <c r="BB700" s="155"/>
      <c r="BC700" s="314"/>
      <c r="BD700" s="314"/>
      <c r="BE700" s="314"/>
      <c r="BF700" s="314"/>
      <c r="BG700" s="314"/>
      <c r="BH700" s="314"/>
      <c r="BI700" s="314"/>
      <c r="BJ700" s="314"/>
      <c r="BK700" s="40"/>
      <c r="BL700" s="40"/>
      <c r="BM700" s="40"/>
      <c r="BN700" s="40"/>
      <c r="BO700" s="40"/>
      <c r="BP700" s="155"/>
      <c r="BQ700" s="314"/>
      <c r="BR700" s="314"/>
      <c r="BS700" s="314"/>
      <c r="BT700" s="314"/>
      <c r="BU700" s="314"/>
      <c r="BV700" s="314"/>
      <c r="BW700" s="314"/>
      <c r="BX700" s="155"/>
    </row>
    <row r="701" spans="1:76" ht="15.75" customHeight="1">
      <c r="A701" s="25"/>
      <c r="B701" s="39"/>
      <c r="C701" s="155"/>
      <c r="D701" s="155"/>
      <c r="E701" s="341"/>
      <c r="F701" s="314"/>
      <c r="H701" s="315"/>
      <c r="I701" s="315"/>
      <c r="BA701" s="30"/>
      <c r="BB701" s="321"/>
      <c r="BC701" s="314"/>
      <c r="BD701" s="314"/>
      <c r="BE701" s="314"/>
      <c r="BF701" s="314"/>
      <c r="BG701" s="314"/>
      <c r="BH701" s="314"/>
      <c r="BI701" s="314"/>
      <c r="BJ701" s="314"/>
      <c r="BK701" s="40"/>
      <c r="BL701" s="40"/>
      <c r="BM701" s="40"/>
      <c r="BN701" s="40"/>
      <c r="BO701" s="40"/>
      <c r="BP701" s="155"/>
      <c r="BQ701" s="314"/>
      <c r="BR701" s="314"/>
      <c r="BS701" s="314"/>
      <c r="BT701" s="314"/>
      <c r="BU701" s="314"/>
      <c r="BV701" s="314"/>
      <c r="BW701" s="314"/>
      <c r="BX701" s="155"/>
    </row>
    <row r="702" spans="1:76" ht="15.75" customHeight="1">
      <c r="A702" s="25"/>
      <c r="B702" s="39"/>
      <c r="C702" s="155"/>
      <c r="D702" s="155"/>
      <c r="E702" s="40"/>
      <c r="F702" s="314"/>
      <c r="H702" s="315"/>
      <c r="I702" s="315"/>
      <c r="BA702" s="30"/>
      <c r="BB702" s="155"/>
      <c r="BC702" s="314"/>
      <c r="BD702" s="314"/>
      <c r="BE702" s="314"/>
      <c r="BF702" s="314"/>
      <c r="BG702" s="314"/>
      <c r="BH702" s="314"/>
      <c r="BI702" s="314"/>
      <c r="BJ702" s="314"/>
      <c r="BK702" s="40"/>
      <c r="BL702" s="40"/>
      <c r="BM702" s="40"/>
      <c r="BN702" s="40"/>
      <c r="BO702" s="40"/>
      <c r="BP702" s="155"/>
      <c r="BQ702" s="314"/>
      <c r="BR702" s="314"/>
      <c r="BS702" s="314"/>
      <c r="BT702" s="314"/>
      <c r="BU702" s="314"/>
      <c r="BV702" s="314"/>
      <c r="BW702" s="314"/>
      <c r="BX702" s="155"/>
    </row>
    <row r="703" spans="1:76" ht="15.75" customHeight="1">
      <c r="A703" s="25"/>
      <c r="B703" s="39"/>
      <c r="C703" s="155"/>
      <c r="D703" s="155"/>
      <c r="E703" s="40"/>
      <c r="F703" s="314"/>
      <c r="H703" s="315"/>
      <c r="I703" s="315"/>
      <c r="BA703" s="30"/>
      <c r="BB703" s="155"/>
      <c r="BC703" s="314"/>
      <c r="BD703" s="314"/>
      <c r="BE703" s="314"/>
      <c r="BF703" s="314"/>
      <c r="BG703" s="314"/>
      <c r="BH703" s="314"/>
      <c r="BI703" s="314"/>
      <c r="BJ703" s="314"/>
      <c r="BK703" s="40"/>
      <c r="BL703" s="40"/>
      <c r="BM703" s="40"/>
      <c r="BN703" s="40"/>
      <c r="BO703" s="40"/>
      <c r="BP703" s="155"/>
      <c r="BQ703" s="314"/>
      <c r="BR703" s="314"/>
      <c r="BS703" s="314"/>
      <c r="BT703" s="314"/>
      <c r="BU703" s="314"/>
      <c r="BV703" s="314"/>
      <c r="BW703" s="314"/>
      <c r="BX703" s="155"/>
    </row>
    <row r="704" spans="1:76" ht="15.75" customHeight="1">
      <c r="A704" s="25"/>
      <c r="B704" s="39"/>
      <c r="C704" s="155"/>
      <c r="D704" s="155"/>
      <c r="E704" s="40"/>
      <c r="F704" s="314"/>
      <c r="H704" s="315"/>
      <c r="I704" s="315"/>
      <c r="BA704" s="30"/>
      <c r="BB704" s="155"/>
      <c r="BC704" s="314"/>
      <c r="BD704" s="314"/>
      <c r="BE704" s="314"/>
      <c r="BF704" s="314"/>
      <c r="BG704" s="314"/>
      <c r="BH704" s="314"/>
      <c r="BI704" s="314"/>
      <c r="BJ704" s="314"/>
      <c r="BK704" s="40"/>
      <c r="BL704" s="40"/>
      <c r="BM704" s="40"/>
      <c r="BN704" s="40"/>
      <c r="BO704" s="40"/>
      <c r="BP704" s="155"/>
      <c r="BQ704" s="314"/>
      <c r="BR704" s="314"/>
      <c r="BS704" s="314"/>
      <c r="BT704" s="314"/>
      <c r="BU704" s="314"/>
      <c r="BV704" s="314"/>
      <c r="BW704" s="314"/>
      <c r="BX704" s="155"/>
    </row>
    <row r="705" spans="1:76" ht="15.75" customHeight="1">
      <c r="A705" s="25"/>
      <c r="B705" s="39"/>
      <c r="C705" s="155"/>
      <c r="D705" s="155"/>
      <c r="E705" s="40"/>
      <c r="F705" s="314"/>
      <c r="H705" s="315"/>
      <c r="I705" s="315"/>
      <c r="BA705" s="30"/>
      <c r="BB705" s="155"/>
      <c r="BC705" s="314"/>
      <c r="BD705" s="314"/>
      <c r="BE705" s="314"/>
      <c r="BF705" s="314"/>
      <c r="BG705" s="314"/>
      <c r="BH705" s="314"/>
      <c r="BI705" s="314"/>
      <c r="BJ705" s="314"/>
      <c r="BK705" s="40"/>
      <c r="BL705" s="40"/>
      <c r="BM705" s="40"/>
      <c r="BN705" s="40"/>
      <c r="BO705" s="40"/>
      <c r="BP705" s="155"/>
      <c r="BQ705" s="314"/>
      <c r="BR705" s="314"/>
      <c r="BS705" s="314"/>
      <c r="BT705" s="314"/>
      <c r="BU705" s="314"/>
      <c r="BV705" s="314"/>
      <c r="BW705" s="314"/>
      <c r="BX705" s="155"/>
    </row>
    <row r="706" spans="1:76" ht="15.75" customHeight="1">
      <c r="A706" s="25"/>
      <c r="B706" s="39"/>
      <c r="C706" s="155"/>
      <c r="D706" s="155"/>
      <c r="E706" s="40"/>
      <c r="F706" s="314"/>
      <c r="H706" s="315"/>
      <c r="I706" s="315"/>
      <c r="BA706" s="30"/>
      <c r="BB706" s="155"/>
      <c r="BC706" s="314"/>
      <c r="BD706" s="314"/>
      <c r="BE706" s="314"/>
      <c r="BF706" s="314"/>
      <c r="BG706" s="314"/>
      <c r="BH706" s="314"/>
      <c r="BI706" s="314"/>
      <c r="BJ706" s="314"/>
      <c r="BK706" s="40"/>
      <c r="BL706" s="40"/>
      <c r="BM706" s="40"/>
      <c r="BN706" s="40"/>
      <c r="BO706" s="40"/>
      <c r="BP706" s="155"/>
      <c r="BQ706" s="314"/>
      <c r="BR706" s="314"/>
      <c r="BS706" s="314"/>
      <c r="BT706" s="314"/>
      <c r="BU706" s="314"/>
      <c r="BV706" s="314"/>
      <c r="BW706" s="314"/>
      <c r="BX706" s="155"/>
    </row>
    <row r="707" spans="1:76" ht="15.75" customHeight="1">
      <c r="A707" s="25"/>
      <c r="B707" s="39"/>
      <c r="C707" s="155"/>
      <c r="D707" s="155"/>
      <c r="E707" s="40"/>
      <c r="F707" s="314"/>
      <c r="H707" s="315"/>
      <c r="I707" s="315"/>
      <c r="BA707" s="30"/>
      <c r="BB707" s="155"/>
      <c r="BC707" s="314"/>
      <c r="BD707" s="314"/>
      <c r="BE707" s="314"/>
      <c r="BF707" s="314"/>
      <c r="BG707" s="314"/>
      <c r="BH707" s="314"/>
      <c r="BI707" s="314"/>
      <c r="BJ707" s="314"/>
      <c r="BK707" s="40"/>
      <c r="BL707" s="40"/>
      <c r="BM707" s="40"/>
      <c r="BN707" s="40"/>
      <c r="BO707" s="40"/>
      <c r="BP707" s="155"/>
      <c r="BQ707" s="314"/>
      <c r="BR707" s="314"/>
      <c r="BS707" s="314"/>
      <c r="BT707" s="314"/>
      <c r="BU707" s="314"/>
      <c r="BV707" s="314"/>
      <c r="BW707" s="314"/>
      <c r="BX707" s="155"/>
    </row>
    <row r="708" spans="1:76" ht="15.75" customHeight="1">
      <c r="A708" s="25"/>
      <c r="B708" s="39"/>
      <c r="C708" s="155"/>
      <c r="D708" s="155"/>
      <c r="E708" s="40"/>
      <c r="F708" s="314"/>
      <c r="H708" s="315"/>
      <c r="I708" s="315"/>
      <c r="BA708" s="30"/>
      <c r="BB708" s="155"/>
      <c r="BC708" s="314"/>
      <c r="BD708" s="314"/>
      <c r="BE708" s="314"/>
      <c r="BF708" s="314"/>
      <c r="BG708" s="314"/>
      <c r="BH708" s="314"/>
      <c r="BI708" s="314"/>
      <c r="BJ708" s="314"/>
      <c r="BK708" s="40"/>
      <c r="BL708" s="40"/>
      <c r="BM708" s="40"/>
      <c r="BN708" s="40"/>
      <c r="BO708" s="40"/>
      <c r="BP708" s="155"/>
      <c r="BQ708" s="314"/>
      <c r="BR708" s="314"/>
      <c r="BS708" s="314"/>
      <c r="BT708" s="314"/>
      <c r="BU708" s="314"/>
      <c r="BV708" s="314"/>
      <c r="BW708" s="314"/>
      <c r="BX708" s="155"/>
    </row>
    <row r="709" spans="1:76" ht="15.75" customHeight="1">
      <c r="A709" s="25"/>
      <c r="B709" s="39"/>
      <c r="C709" s="155"/>
      <c r="D709" s="155"/>
      <c r="E709" s="341"/>
      <c r="F709" s="314"/>
      <c r="H709" s="315"/>
      <c r="I709" s="315"/>
      <c r="BA709" s="30"/>
      <c r="BB709" s="321"/>
      <c r="BC709" s="314"/>
      <c r="BD709" s="314"/>
      <c r="BE709" s="314"/>
      <c r="BF709" s="314"/>
      <c r="BG709" s="314"/>
      <c r="BH709" s="314"/>
      <c r="BI709" s="314"/>
      <c r="BJ709" s="314"/>
      <c r="BK709" s="40"/>
      <c r="BL709" s="40"/>
      <c r="BM709" s="40"/>
      <c r="BN709" s="40"/>
      <c r="BO709" s="40"/>
      <c r="BP709" s="155"/>
      <c r="BQ709" s="314"/>
      <c r="BR709" s="314"/>
      <c r="BS709" s="314"/>
      <c r="BT709" s="314"/>
      <c r="BU709" s="314"/>
      <c r="BV709" s="314"/>
      <c r="BW709" s="314"/>
      <c r="BX709" s="155"/>
    </row>
    <row r="710" spans="1:76" ht="15.75" customHeight="1">
      <c r="A710" s="25"/>
      <c r="B710" s="39"/>
      <c r="C710" s="155"/>
      <c r="D710" s="155"/>
      <c r="E710" s="40"/>
      <c r="F710" s="314"/>
      <c r="H710" s="315"/>
      <c r="I710" s="315"/>
      <c r="BA710" s="30"/>
      <c r="BB710" s="155"/>
      <c r="BC710" s="314"/>
      <c r="BD710" s="314"/>
      <c r="BE710" s="314"/>
      <c r="BF710" s="314"/>
      <c r="BG710" s="314"/>
      <c r="BH710" s="314"/>
      <c r="BI710" s="314"/>
      <c r="BJ710" s="314"/>
      <c r="BK710" s="40"/>
      <c r="BL710" s="40"/>
      <c r="BM710" s="40"/>
      <c r="BN710" s="40"/>
      <c r="BO710" s="40"/>
      <c r="BP710" s="155"/>
      <c r="BQ710" s="314"/>
      <c r="BR710" s="314"/>
      <c r="BS710" s="314"/>
      <c r="BT710" s="314"/>
      <c r="BU710" s="314"/>
      <c r="BV710" s="314"/>
      <c r="BW710" s="314"/>
      <c r="BX710" s="155"/>
    </row>
    <row r="711" spans="1:76" ht="15.75" customHeight="1">
      <c r="A711" s="25"/>
      <c r="B711" s="39"/>
      <c r="C711" s="155"/>
      <c r="D711" s="155"/>
      <c r="E711" s="40"/>
      <c r="F711" s="314"/>
      <c r="H711" s="315"/>
      <c r="I711" s="315"/>
      <c r="BA711" s="30"/>
      <c r="BB711" s="155"/>
      <c r="BC711" s="314"/>
      <c r="BD711" s="314"/>
      <c r="BE711" s="314"/>
      <c r="BF711" s="314"/>
      <c r="BG711" s="314"/>
      <c r="BH711" s="314"/>
      <c r="BI711" s="314"/>
      <c r="BJ711" s="314"/>
      <c r="BK711" s="40"/>
      <c r="BL711" s="40"/>
      <c r="BM711" s="40"/>
      <c r="BN711" s="40"/>
      <c r="BO711" s="40"/>
      <c r="BP711" s="155"/>
      <c r="BQ711" s="314"/>
      <c r="BR711" s="314"/>
      <c r="BS711" s="314"/>
      <c r="BT711" s="314"/>
      <c r="BU711" s="314"/>
      <c r="BV711" s="314"/>
      <c r="BW711" s="314"/>
      <c r="BX711" s="155"/>
    </row>
    <row r="712" spans="1:76" ht="15.75" customHeight="1">
      <c r="A712" s="25"/>
      <c r="B712" s="39"/>
      <c r="C712" s="155"/>
      <c r="D712" s="155"/>
      <c r="E712" s="40"/>
      <c r="F712" s="314"/>
      <c r="H712" s="315"/>
      <c r="I712" s="315"/>
      <c r="BA712" s="30"/>
      <c r="BB712" s="155"/>
      <c r="BC712" s="314"/>
      <c r="BD712" s="314"/>
      <c r="BE712" s="314"/>
      <c r="BF712" s="314"/>
      <c r="BG712" s="314"/>
      <c r="BH712" s="314"/>
      <c r="BI712" s="314"/>
      <c r="BJ712" s="314"/>
      <c r="BK712" s="40"/>
      <c r="BL712" s="40"/>
      <c r="BM712" s="40"/>
      <c r="BN712" s="40"/>
      <c r="BO712" s="40"/>
      <c r="BP712" s="155"/>
      <c r="BQ712" s="314"/>
      <c r="BR712" s="314"/>
      <c r="BS712" s="314"/>
      <c r="BT712" s="314"/>
      <c r="BU712" s="314"/>
      <c r="BV712" s="314"/>
      <c r="BW712" s="314"/>
      <c r="BX712" s="155"/>
    </row>
    <row r="713" spans="1:76" ht="15.75" customHeight="1">
      <c r="A713" s="25"/>
      <c r="B713" s="39"/>
      <c r="C713" s="155"/>
      <c r="D713" s="155"/>
      <c r="E713" s="40"/>
      <c r="F713" s="314"/>
      <c r="H713" s="315"/>
      <c r="I713" s="315"/>
      <c r="BA713" s="30"/>
      <c r="BB713" s="155"/>
      <c r="BC713" s="314"/>
      <c r="BD713" s="314"/>
      <c r="BE713" s="314"/>
      <c r="BF713" s="314"/>
      <c r="BG713" s="314"/>
      <c r="BH713" s="314"/>
      <c r="BI713" s="314"/>
      <c r="BJ713" s="314"/>
      <c r="BK713" s="40"/>
      <c r="BL713" s="40"/>
      <c r="BM713" s="40"/>
      <c r="BN713" s="40"/>
      <c r="BO713" s="40"/>
      <c r="BP713" s="155"/>
      <c r="BQ713" s="314"/>
      <c r="BR713" s="314"/>
      <c r="BS713" s="314"/>
      <c r="BT713" s="314"/>
      <c r="BU713" s="314"/>
      <c r="BV713" s="314"/>
      <c r="BW713" s="314"/>
      <c r="BX713" s="155"/>
    </row>
    <row r="714" spans="1:76" ht="15.75" customHeight="1">
      <c r="A714" s="25"/>
      <c r="B714" s="39"/>
      <c r="C714" s="155"/>
      <c r="D714" s="155"/>
      <c r="E714" s="40"/>
      <c r="F714" s="314"/>
      <c r="H714" s="315"/>
      <c r="I714" s="315"/>
      <c r="BA714" s="30"/>
      <c r="BB714" s="155"/>
      <c r="BC714" s="314"/>
      <c r="BD714" s="314"/>
      <c r="BE714" s="314"/>
      <c r="BF714" s="314"/>
      <c r="BG714" s="314"/>
      <c r="BH714" s="314"/>
      <c r="BI714" s="314"/>
      <c r="BJ714" s="314"/>
      <c r="BK714" s="40"/>
      <c r="BL714" s="40"/>
      <c r="BM714" s="40"/>
      <c r="BN714" s="40"/>
      <c r="BO714" s="40"/>
      <c r="BP714" s="155"/>
      <c r="BQ714" s="314"/>
      <c r="BR714" s="314"/>
      <c r="BS714" s="314"/>
      <c r="BT714" s="314"/>
      <c r="BU714" s="314"/>
      <c r="BV714" s="314"/>
      <c r="BW714" s="314"/>
      <c r="BX714" s="155"/>
    </row>
    <row r="715" spans="1:76" ht="15.75" customHeight="1">
      <c r="A715" s="25"/>
      <c r="B715" s="39"/>
      <c r="C715" s="155"/>
      <c r="D715" s="155"/>
      <c r="E715" s="40"/>
      <c r="F715" s="314"/>
      <c r="H715" s="315"/>
      <c r="I715" s="315"/>
      <c r="BA715" s="30"/>
      <c r="BB715" s="155"/>
      <c r="BC715" s="314"/>
      <c r="BD715" s="314"/>
      <c r="BE715" s="314"/>
      <c r="BF715" s="314"/>
      <c r="BG715" s="314"/>
      <c r="BH715" s="314"/>
      <c r="BI715" s="314"/>
      <c r="BJ715" s="314"/>
      <c r="BK715" s="40"/>
      <c r="BL715" s="40"/>
      <c r="BM715" s="40"/>
      <c r="BN715" s="40"/>
      <c r="BO715" s="40"/>
      <c r="BP715" s="155"/>
      <c r="BQ715" s="314"/>
      <c r="BR715" s="314"/>
      <c r="BS715" s="314"/>
      <c r="BT715" s="314"/>
      <c r="BU715" s="314"/>
      <c r="BV715" s="314"/>
      <c r="BW715" s="314"/>
      <c r="BX715" s="155"/>
    </row>
    <row r="716" spans="1:76" ht="15.75" customHeight="1">
      <c r="A716" s="25"/>
      <c r="B716" s="39"/>
      <c r="C716" s="155"/>
      <c r="D716" s="155"/>
      <c r="E716" s="40"/>
      <c r="F716" s="314"/>
      <c r="H716" s="315"/>
      <c r="I716" s="315"/>
      <c r="BA716" s="30"/>
      <c r="BB716" s="155"/>
      <c r="BC716" s="314"/>
      <c r="BD716" s="314"/>
      <c r="BE716" s="314"/>
      <c r="BF716" s="314"/>
      <c r="BG716" s="314"/>
      <c r="BH716" s="314"/>
      <c r="BI716" s="314"/>
      <c r="BJ716" s="314"/>
      <c r="BK716" s="40"/>
      <c r="BL716" s="40"/>
      <c r="BM716" s="40"/>
      <c r="BN716" s="40"/>
      <c r="BO716" s="40"/>
      <c r="BP716" s="155"/>
      <c r="BQ716" s="314"/>
      <c r="BR716" s="314"/>
      <c r="BS716" s="314"/>
      <c r="BT716" s="314"/>
      <c r="BU716" s="314"/>
      <c r="BV716" s="314"/>
      <c r="BW716" s="314"/>
      <c r="BX716" s="155"/>
    </row>
    <row r="717" spans="1:76" ht="15.75" customHeight="1">
      <c r="A717" s="25"/>
      <c r="B717" s="39"/>
      <c r="C717" s="155"/>
      <c r="D717" s="155"/>
      <c r="E717" s="341"/>
      <c r="F717" s="314"/>
      <c r="H717" s="315"/>
      <c r="I717" s="315"/>
      <c r="BA717" s="30"/>
      <c r="BB717" s="321"/>
      <c r="BC717" s="314"/>
      <c r="BD717" s="314"/>
      <c r="BE717" s="314"/>
      <c r="BF717" s="314"/>
      <c r="BG717" s="314"/>
      <c r="BH717" s="314"/>
      <c r="BI717" s="314"/>
      <c r="BJ717" s="314"/>
      <c r="BK717" s="40"/>
      <c r="BL717" s="40"/>
      <c r="BM717" s="40"/>
      <c r="BN717" s="40"/>
      <c r="BO717" s="40"/>
      <c r="BP717" s="155"/>
      <c r="BQ717" s="314"/>
      <c r="BR717" s="314"/>
      <c r="BS717" s="314"/>
      <c r="BT717" s="314"/>
      <c r="BU717" s="314"/>
      <c r="BV717" s="314"/>
      <c r="BW717" s="314"/>
      <c r="BX717" s="155"/>
    </row>
    <row r="718" spans="1:76" ht="15.75" customHeight="1">
      <c r="A718" s="25"/>
      <c r="B718" s="39"/>
      <c r="C718" s="155"/>
      <c r="D718" s="155"/>
      <c r="E718" s="40"/>
      <c r="F718" s="314"/>
      <c r="H718" s="315"/>
      <c r="I718" s="315"/>
      <c r="BA718" s="30"/>
      <c r="BB718" s="155"/>
      <c r="BC718" s="314"/>
      <c r="BD718" s="314"/>
      <c r="BE718" s="314"/>
      <c r="BF718" s="314"/>
      <c r="BG718" s="314"/>
      <c r="BH718" s="314"/>
      <c r="BI718" s="314"/>
      <c r="BJ718" s="314"/>
      <c r="BK718" s="40"/>
      <c r="BL718" s="40"/>
      <c r="BM718" s="40"/>
      <c r="BN718" s="40"/>
      <c r="BO718" s="40"/>
      <c r="BP718" s="155"/>
      <c r="BQ718" s="314"/>
      <c r="BR718" s="314"/>
      <c r="BS718" s="314"/>
      <c r="BT718" s="314"/>
      <c r="BU718" s="314"/>
      <c r="BV718" s="314"/>
      <c r="BW718" s="314"/>
      <c r="BX718" s="155"/>
    </row>
    <row r="719" spans="1:76" ht="15.75" customHeight="1">
      <c r="A719" s="25"/>
      <c r="B719" s="39"/>
      <c r="C719" s="155"/>
      <c r="D719" s="155"/>
      <c r="E719" s="40"/>
      <c r="F719" s="314"/>
      <c r="H719" s="315"/>
      <c r="I719" s="315"/>
      <c r="BA719" s="30"/>
      <c r="BB719" s="155"/>
      <c r="BC719" s="314"/>
      <c r="BD719" s="314"/>
      <c r="BE719" s="314"/>
      <c r="BF719" s="314"/>
      <c r="BG719" s="314"/>
      <c r="BH719" s="314"/>
      <c r="BI719" s="314"/>
      <c r="BJ719" s="314"/>
      <c r="BK719" s="40"/>
      <c r="BL719" s="40"/>
      <c r="BM719" s="40"/>
      <c r="BN719" s="40"/>
      <c r="BO719" s="40"/>
      <c r="BP719" s="155"/>
      <c r="BQ719" s="314"/>
      <c r="BR719" s="314"/>
      <c r="BS719" s="314"/>
      <c r="BT719" s="314"/>
      <c r="BU719" s="314"/>
      <c r="BV719" s="314"/>
      <c r="BW719" s="314"/>
      <c r="BX719" s="155"/>
    </row>
    <row r="720" spans="1:76" ht="15.75" customHeight="1">
      <c r="A720" s="25"/>
      <c r="B720" s="39"/>
      <c r="C720" s="155"/>
      <c r="D720" s="155"/>
      <c r="E720" s="40"/>
      <c r="F720" s="314"/>
      <c r="H720" s="315"/>
      <c r="I720" s="315"/>
      <c r="BA720" s="30"/>
      <c r="BB720" s="155"/>
      <c r="BC720" s="314"/>
      <c r="BD720" s="314"/>
      <c r="BE720" s="314"/>
      <c r="BF720" s="314"/>
      <c r="BG720" s="314"/>
      <c r="BH720" s="314"/>
      <c r="BI720" s="314"/>
      <c r="BJ720" s="314"/>
      <c r="BK720" s="40"/>
      <c r="BL720" s="40"/>
      <c r="BM720" s="40"/>
      <c r="BN720" s="40"/>
      <c r="BO720" s="40"/>
      <c r="BP720" s="155"/>
      <c r="BQ720" s="314"/>
      <c r="BR720" s="314"/>
      <c r="BS720" s="314"/>
      <c r="BT720" s="314"/>
      <c r="BU720" s="314"/>
      <c r="BV720" s="314"/>
      <c r="BW720" s="314"/>
      <c r="BX720" s="155"/>
    </row>
    <row r="721" spans="1:76" ht="15.75" customHeight="1">
      <c r="A721" s="25"/>
      <c r="B721" s="39"/>
      <c r="C721" s="155"/>
      <c r="D721" s="155"/>
      <c r="E721" s="40"/>
      <c r="F721" s="314"/>
      <c r="H721" s="315"/>
      <c r="I721" s="315"/>
      <c r="BA721" s="30"/>
      <c r="BB721" s="155"/>
      <c r="BC721" s="314"/>
      <c r="BD721" s="314"/>
      <c r="BE721" s="314"/>
      <c r="BF721" s="314"/>
      <c r="BG721" s="314"/>
      <c r="BH721" s="314"/>
      <c r="BI721" s="314"/>
      <c r="BJ721" s="314"/>
      <c r="BK721" s="40"/>
      <c r="BL721" s="40"/>
      <c r="BM721" s="40"/>
      <c r="BN721" s="40"/>
      <c r="BO721" s="40"/>
      <c r="BP721" s="155"/>
      <c r="BQ721" s="314"/>
      <c r="BR721" s="314"/>
      <c r="BS721" s="314"/>
      <c r="BT721" s="314"/>
      <c r="BU721" s="314"/>
      <c r="BV721" s="314"/>
      <c r="BW721" s="314"/>
      <c r="BX721" s="155"/>
    </row>
    <row r="722" spans="1:76" ht="15.75" customHeight="1">
      <c r="A722" s="25"/>
      <c r="B722" s="39"/>
      <c r="C722" s="155"/>
      <c r="D722" s="155"/>
      <c r="E722" s="40"/>
      <c r="F722" s="314"/>
      <c r="H722" s="315"/>
      <c r="I722" s="315"/>
      <c r="BA722" s="30"/>
      <c r="BB722" s="155"/>
      <c r="BC722" s="314"/>
      <c r="BD722" s="314"/>
      <c r="BE722" s="314"/>
      <c r="BF722" s="314"/>
      <c r="BG722" s="314"/>
      <c r="BH722" s="314"/>
      <c r="BI722" s="314"/>
      <c r="BJ722" s="314"/>
      <c r="BK722" s="40"/>
      <c r="BL722" s="40"/>
      <c r="BM722" s="40"/>
      <c r="BN722" s="40"/>
      <c r="BO722" s="40"/>
      <c r="BP722" s="155"/>
      <c r="BQ722" s="314"/>
      <c r="BR722" s="314"/>
      <c r="BS722" s="314"/>
      <c r="BT722" s="314"/>
      <c r="BU722" s="314"/>
      <c r="BV722" s="314"/>
      <c r="BW722" s="314"/>
      <c r="BX722" s="155"/>
    </row>
    <row r="723" spans="1:76" ht="15.75" customHeight="1">
      <c r="A723" s="25"/>
      <c r="B723" s="39"/>
      <c r="C723" s="155"/>
      <c r="D723" s="155"/>
      <c r="E723" s="40"/>
      <c r="F723" s="314"/>
      <c r="H723" s="315"/>
      <c r="I723" s="315"/>
      <c r="BA723" s="30"/>
      <c r="BB723" s="155"/>
      <c r="BC723" s="314"/>
      <c r="BD723" s="314"/>
      <c r="BE723" s="314"/>
      <c r="BF723" s="314"/>
      <c r="BG723" s="314"/>
      <c r="BH723" s="314"/>
      <c r="BI723" s="314"/>
      <c r="BJ723" s="314"/>
      <c r="BK723" s="40"/>
      <c r="BL723" s="40"/>
      <c r="BM723" s="40"/>
      <c r="BN723" s="40"/>
      <c r="BO723" s="40"/>
      <c r="BP723" s="155"/>
      <c r="BQ723" s="314"/>
      <c r="BR723" s="314"/>
      <c r="BS723" s="314"/>
      <c r="BT723" s="314"/>
      <c r="BU723" s="314"/>
      <c r="BV723" s="314"/>
      <c r="BW723" s="314"/>
      <c r="BX723" s="155"/>
    </row>
    <row r="724" spans="1:76" ht="15.75" customHeight="1">
      <c r="A724" s="25"/>
      <c r="B724" s="39"/>
      <c r="C724" s="155"/>
      <c r="D724" s="155"/>
      <c r="E724" s="40"/>
      <c r="F724" s="314"/>
      <c r="H724" s="315"/>
      <c r="I724" s="315"/>
      <c r="BA724" s="30"/>
      <c r="BB724" s="155"/>
      <c r="BC724" s="314"/>
      <c r="BD724" s="314"/>
      <c r="BE724" s="314"/>
      <c r="BF724" s="314"/>
      <c r="BG724" s="314"/>
      <c r="BH724" s="314"/>
      <c r="BI724" s="314"/>
      <c r="BJ724" s="314"/>
      <c r="BK724" s="40"/>
      <c r="BL724" s="40"/>
      <c r="BM724" s="40"/>
      <c r="BN724" s="40"/>
      <c r="BO724" s="40"/>
      <c r="BP724" s="155"/>
      <c r="BQ724" s="314"/>
      <c r="BR724" s="314"/>
      <c r="BS724" s="314"/>
      <c r="BT724" s="314"/>
      <c r="BU724" s="314"/>
      <c r="BV724" s="314"/>
      <c r="BW724" s="314"/>
      <c r="BX724" s="155"/>
    </row>
    <row r="725" spans="1:76" ht="15.75" customHeight="1">
      <c r="A725" s="25"/>
      <c r="B725" s="39"/>
      <c r="C725" s="155"/>
      <c r="D725" s="155"/>
      <c r="E725" s="341"/>
      <c r="F725" s="314"/>
      <c r="H725" s="315"/>
      <c r="I725" s="315"/>
      <c r="BA725" s="30"/>
      <c r="BB725" s="321"/>
      <c r="BC725" s="314"/>
      <c r="BD725" s="314"/>
      <c r="BE725" s="314"/>
      <c r="BF725" s="314"/>
      <c r="BG725" s="314"/>
      <c r="BH725" s="314"/>
      <c r="BI725" s="314"/>
      <c r="BJ725" s="314"/>
      <c r="BK725" s="40"/>
      <c r="BL725" s="40"/>
      <c r="BM725" s="40"/>
      <c r="BN725" s="40"/>
      <c r="BO725" s="40"/>
      <c r="BP725" s="155"/>
      <c r="BQ725" s="314"/>
      <c r="BR725" s="314"/>
      <c r="BS725" s="314"/>
      <c r="BT725" s="314"/>
      <c r="BU725" s="314"/>
      <c r="BV725" s="314"/>
      <c r="BW725" s="314"/>
      <c r="BX725" s="155"/>
    </row>
    <row r="726" spans="1:76" ht="15.75" customHeight="1">
      <c r="A726" s="25"/>
      <c r="B726" s="39"/>
      <c r="C726" s="155"/>
      <c r="D726" s="155"/>
      <c r="E726" s="40"/>
      <c r="F726" s="314"/>
      <c r="H726" s="315"/>
      <c r="I726" s="315"/>
      <c r="BA726" s="30"/>
      <c r="BB726" s="155"/>
      <c r="BC726" s="314"/>
      <c r="BD726" s="314"/>
      <c r="BE726" s="314"/>
      <c r="BF726" s="314"/>
      <c r="BG726" s="314"/>
      <c r="BH726" s="314"/>
      <c r="BI726" s="314"/>
      <c r="BJ726" s="314"/>
      <c r="BK726" s="40"/>
      <c r="BL726" s="40"/>
      <c r="BM726" s="40"/>
      <c r="BN726" s="40"/>
      <c r="BO726" s="40"/>
      <c r="BP726" s="155"/>
      <c r="BQ726" s="314"/>
      <c r="BR726" s="314"/>
      <c r="BS726" s="314"/>
      <c r="BT726" s="314"/>
      <c r="BU726" s="314"/>
      <c r="BV726" s="314"/>
      <c r="BW726" s="314"/>
      <c r="BX726" s="155"/>
    </row>
    <row r="727" spans="1:76" ht="15.75" customHeight="1">
      <c r="A727" s="25"/>
      <c r="B727" s="39"/>
      <c r="C727" s="155"/>
      <c r="D727" s="155"/>
      <c r="E727" s="40"/>
      <c r="F727" s="314"/>
      <c r="H727" s="315"/>
      <c r="I727" s="315"/>
      <c r="BA727" s="30"/>
      <c r="BB727" s="155"/>
      <c r="BC727" s="314"/>
      <c r="BD727" s="314"/>
      <c r="BE727" s="314"/>
      <c r="BF727" s="314"/>
      <c r="BG727" s="314"/>
      <c r="BH727" s="314"/>
      <c r="BI727" s="314"/>
      <c r="BJ727" s="314"/>
      <c r="BK727" s="40"/>
      <c r="BL727" s="40"/>
      <c r="BM727" s="40"/>
      <c r="BN727" s="40"/>
      <c r="BO727" s="40"/>
      <c r="BP727" s="155"/>
      <c r="BQ727" s="314"/>
      <c r="BR727" s="314"/>
      <c r="BS727" s="314"/>
      <c r="BT727" s="314"/>
      <c r="BU727" s="314"/>
      <c r="BV727" s="314"/>
      <c r="BW727" s="314"/>
      <c r="BX727" s="155"/>
    </row>
    <row r="728" spans="1:76" ht="15.75" customHeight="1">
      <c r="A728" s="25"/>
      <c r="B728" s="39"/>
      <c r="C728" s="155"/>
      <c r="D728" s="155"/>
      <c r="E728" s="40"/>
      <c r="F728" s="314"/>
      <c r="H728" s="315"/>
      <c r="I728" s="315"/>
      <c r="BA728" s="30"/>
      <c r="BB728" s="155"/>
      <c r="BC728" s="314"/>
      <c r="BD728" s="314"/>
      <c r="BE728" s="314"/>
      <c r="BF728" s="314"/>
      <c r="BG728" s="314"/>
      <c r="BH728" s="314"/>
      <c r="BI728" s="314"/>
      <c r="BJ728" s="314"/>
      <c r="BK728" s="40"/>
      <c r="BL728" s="40"/>
      <c r="BM728" s="40"/>
      <c r="BN728" s="40"/>
      <c r="BO728" s="40"/>
      <c r="BP728" s="155"/>
      <c r="BQ728" s="314"/>
      <c r="BR728" s="314"/>
      <c r="BS728" s="314"/>
      <c r="BT728" s="314"/>
      <c r="BU728" s="314"/>
      <c r="BV728" s="314"/>
      <c r="BW728" s="314"/>
      <c r="BX728" s="155"/>
    </row>
    <row r="729" spans="1:76" ht="15.75" customHeight="1">
      <c r="A729" s="25"/>
      <c r="B729" s="39"/>
      <c r="C729" s="155"/>
      <c r="D729" s="155"/>
      <c r="E729" s="40"/>
      <c r="F729" s="314"/>
      <c r="H729" s="315"/>
      <c r="I729" s="315"/>
      <c r="BA729" s="30"/>
      <c r="BB729" s="155"/>
      <c r="BC729" s="314"/>
      <c r="BD729" s="314"/>
      <c r="BE729" s="314"/>
      <c r="BF729" s="314"/>
      <c r="BG729" s="314"/>
      <c r="BH729" s="314"/>
      <c r="BI729" s="314"/>
      <c r="BJ729" s="314"/>
      <c r="BK729" s="40"/>
      <c r="BL729" s="40"/>
      <c r="BM729" s="40"/>
      <c r="BN729" s="40"/>
      <c r="BO729" s="40"/>
      <c r="BP729" s="155"/>
      <c r="BQ729" s="314"/>
      <c r="BR729" s="314"/>
      <c r="BS729" s="314"/>
      <c r="BT729" s="314"/>
      <c r="BU729" s="314"/>
      <c r="BV729" s="314"/>
      <c r="BW729" s="314"/>
      <c r="BX729" s="155"/>
    </row>
    <row r="730" spans="1:76" ht="15.75" customHeight="1">
      <c r="A730" s="25"/>
      <c r="B730" s="39"/>
      <c r="C730" s="155"/>
      <c r="D730" s="155"/>
      <c r="E730" s="40"/>
      <c r="F730" s="314"/>
      <c r="H730" s="315"/>
      <c r="I730" s="315"/>
      <c r="BA730" s="30"/>
      <c r="BB730" s="155"/>
      <c r="BC730" s="314"/>
      <c r="BD730" s="314"/>
      <c r="BE730" s="314"/>
      <c r="BF730" s="314"/>
      <c r="BG730" s="314"/>
      <c r="BH730" s="314"/>
      <c r="BI730" s="314"/>
      <c r="BJ730" s="314"/>
      <c r="BK730" s="40"/>
      <c r="BL730" s="40"/>
      <c r="BM730" s="40"/>
      <c r="BN730" s="40"/>
      <c r="BO730" s="40"/>
      <c r="BP730" s="155"/>
      <c r="BQ730" s="314"/>
      <c r="BR730" s="314"/>
      <c r="BS730" s="314"/>
      <c r="BT730" s="314"/>
      <c r="BU730" s="314"/>
      <c r="BV730" s="314"/>
      <c r="BW730" s="314"/>
      <c r="BX730" s="155"/>
    </row>
    <row r="731" spans="1:76" ht="15.75" customHeight="1">
      <c r="A731" s="25"/>
      <c r="B731" s="39"/>
      <c r="C731" s="155"/>
      <c r="D731" s="155"/>
      <c r="E731" s="40"/>
      <c r="F731" s="314"/>
      <c r="H731" s="315"/>
      <c r="I731" s="315"/>
      <c r="BA731" s="30"/>
      <c r="BB731" s="155"/>
      <c r="BC731" s="314"/>
      <c r="BD731" s="314"/>
      <c r="BE731" s="314"/>
      <c r="BF731" s="314"/>
      <c r="BG731" s="314"/>
      <c r="BH731" s="314"/>
      <c r="BI731" s="314"/>
      <c r="BJ731" s="314"/>
      <c r="BK731" s="40"/>
      <c r="BL731" s="40"/>
      <c r="BM731" s="40"/>
      <c r="BN731" s="40"/>
      <c r="BO731" s="40"/>
      <c r="BP731" s="155"/>
      <c r="BQ731" s="314"/>
      <c r="BR731" s="314"/>
      <c r="BS731" s="314"/>
      <c r="BT731" s="314"/>
      <c r="BU731" s="314"/>
      <c r="BV731" s="314"/>
      <c r="BW731" s="314"/>
      <c r="BX731" s="155"/>
    </row>
    <row r="732" spans="1:76" ht="15.75" customHeight="1">
      <c r="A732" s="25"/>
      <c r="B732" s="39"/>
      <c r="C732" s="155"/>
      <c r="D732" s="155"/>
      <c r="E732" s="40"/>
      <c r="F732" s="314"/>
      <c r="H732" s="315"/>
      <c r="I732" s="315"/>
      <c r="BA732" s="30"/>
      <c r="BB732" s="155"/>
      <c r="BC732" s="314"/>
      <c r="BD732" s="314"/>
      <c r="BE732" s="314"/>
      <c r="BF732" s="314"/>
      <c r="BG732" s="314"/>
      <c r="BH732" s="314"/>
      <c r="BI732" s="314"/>
      <c r="BJ732" s="314"/>
      <c r="BK732" s="40"/>
      <c r="BL732" s="40"/>
      <c r="BM732" s="40"/>
      <c r="BN732" s="40"/>
      <c r="BO732" s="40"/>
      <c r="BP732" s="155"/>
      <c r="BQ732" s="314"/>
      <c r="BR732" s="314"/>
      <c r="BS732" s="314"/>
      <c r="BT732" s="314"/>
      <c r="BU732" s="314"/>
      <c r="BV732" s="314"/>
      <c r="BW732" s="314"/>
      <c r="BX732" s="155"/>
    </row>
    <row r="733" spans="1:76" ht="15.75" customHeight="1">
      <c r="A733" s="25"/>
      <c r="B733" s="39"/>
      <c r="C733" s="155"/>
      <c r="D733" s="155"/>
      <c r="E733" s="341"/>
      <c r="F733" s="314"/>
      <c r="H733" s="315"/>
      <c r="I733" s="315"/>
      <c r="BA733" s="30"/>
      <c r="BB733" s="321"/>
      <c r="BC733" s="314"/>
      <c r="BD733" s="314"/>
      <c r="BE733" s="314"/>
      <c r="BF733" s="314"/>
      <c r="BG733" s="314"/>
      <c r="BH733" s="314"/>
      <c r="BI733" s="314"/>
      <c r="BJ733" s="314"/>
      <c r="BK733" s="40"/>
      <c r="BL733" s="40"/>
      <c r="BM733" s="40"/>
      <c r="BN733" s="40"/>
      <c r="BO733" s="40"/>
      <c r="BP733" s="155"/>
      <c r="BQ733" s="314"/>
      <c r="BR733" s="314"/>
      <c r="BS733" s="314"/>
      <c r="BT733" s="314"/>
      <c r="BU733" s="314"/>
      <c r="BV733" s="314"/>
      <c r="BW733" s="314"/>
      <c r="BX733" s="155"/>
    </row>
    <row r="734" spans="1:76" ht="15.75" customHeight="1">
      <c r="A734" s="25"/>
      <c r="B734" s="39"/>
      <c r="C734" s="155"/>
      <c r="D734" s="155"/>
      <c r="E734" s="40"/>
      <c r="F734" s="314"/>
      <c r="H734" s="315"/>
      <c r="I734" s="315"/>
      <c r="BA734" s="30"/>
      <c r="BB734" s="155"/>
      <c r="BC734" s="314"/>
      <c r="BD734" s="314"/>
      <c r="BE734" s="314"/>
      <c r="BF734" s="314"/>
      <c r="BG734" s="314"/>
      <c r="BH734" s="314"/>
      <c r="BI734" s="314"/>
      <c r="BJ734" s="314"/>
      <c r="BK734" s="40"/>
      <c r="BL734" s="40"/>
      <c r="BM734" s="40"/>
      <c r="BN734" s="40"/>
      <c r="BO734" s="40"/>
      <c r="BP734" s="155"/>
      <c r="BQ734" s="314"/>
      <c r="BR734" s="314"/>
      <c r="BS734" s="314"/>
      <c r="BT734" s="314"/>
      <c r="BU734" s="314"/>
      <c r="BV734" s="314"/>
      <c r="BW734" s="314"/>
      <c r="BX734" s="155"/>
    </row>
    <row r="735" spans="1:76" ht="15.75" customHeight="1">
      <c r="A735" s="25"/>
      <c r="B735" s="39"/>
      <c r="C735" s="155"/>
      <c r="D735" s="155"/>
      <c r="E735" s="40"/>
      <c r="F735" s="314"/>
      <c r="H735" s="315"/>
      <c r="I735" s="315"/>
      <c r="BA735" s="30"/>
      <c r="BB735" s="155"/>
      <c r="BC735" s="314"/>
      <c r="BD735" s="314"/>
      <c r="BE735" s="314"/>
      <c r="BF735" s="314"/>
      <c r="BG735" s="314"/>
      <c r="BH735" s="314"/>
      <c r="BI735" s="314"/>
      <c r="BJ735" s="314"/>
      <c r="BK735" s="40"/>
      <c r="BL735" s="40"/>
      <c r="BM735" s="40"/>
      <c r="BN735" s="40"/>
      <c r="BO735" s="40"/>
      <c r="BP735" s="155"/>
      <c r="BQ735" s="314"/>
      <c r="BR735" s="314"/>
      <c r="BS735" s="314"/>
      <c r="BT735" s="314"/>
      <c r="BU735" s="314"/>
      <c r="BV735" s="314"/>
      <c r="BW735" s="314"/>
      <c r="BX735" s="155"/>
    </row>
    <row r="736" spans="1:76" ht="15.75" customHeight="1">
      <c r="A736" s="25"/>
      <c r="B736" s="39"/>
      <c r="C736" s="155"/>
      <c r="D736" s="155"/>
      <c r="E736" s="40"/>
      <c r="F736" s="314"/>
      <c r="H736" s="315"/>
      <c r="I736" s="315"/>
      <c r="BA736" s="30"/>
      <c r="BB736" s="155"/>
      <c r="BC736" s="314"/>
      <c r="BD736" s="314"/>
      <c r="BE736" s="314"/>
      <c r="BF736" s="314"/>
      <c r="BG736" s="314"/>
      <c r="BH736" s="314"/>
      <c r="BI736" s="314"/>
      <c r="BJ736" s="314"/>
      <c r="BK736" s="40"/>
      <c r="BL736" s="40"/>
      <c r="BM736" s="40"/>
      <c r="BN736" s="40"/>
      <c r="BO736" s="40"/>
      <c r="BP736" s="155"/>
      <c r="BQ736" s="314"/>
      <c r="BR736" s="314"/>
      <c r="BS736" s="314"/>
      <c r="BT736" s="314"/>
      <c r="BU736" s="314"/>
      <c r="BV736" s="314"/>
      <c r="BW736" s="314"/>
      <c r="BX736" s="155"/>
    </row>
    <row r="737" spans="1:76" ht="15.75" customHeight="1">
      <c r="A737" s="25"/>
      <c r="B737" s="39"/>
      <c r="C737" s="155"/>
      <c r="D737" s="155"/>
      <c r="E737" s="40"/>
      <c r="F737" s="314"/>
      <c r="H737" s="315"/>
      <c r="I737" s="315"/>
      <c r="BA737" s="30"/>
      <c r="BB737" s="155"/>
      <c r="BC737" s="314"/>
      <c r="BD737" s="314"/>
      <c r="BE737" s="314"/>
      <c r="BF737" s="314"/>
      <c r="BG737" s="314"/>
      <c r="BH737" s="314"/>
      <c r="BI737" s="314"/>
      <c r="BJ737" s="314"/>
      <c r="BK737" s="40"/>
      <c r="BL737" s="40"/>
      <c r="BM737" s="40"/>
      <c r="BN737" s="40"/>
      <c r="BO737" s="40"/>
      <c r="BP737" s="155"/>
      <c r="BQ737" s="314"/>
      <c r="BR737" s="314"/>
      <c r="BS737" s="314"/>
      <c r="BT737" s="314"/>
      <c r="BU737" s="314"/>
      <c r="BV737" s="314"/>
      <c r="BW737" s="314"/>
      <c r="BX737" s="155"/>
    </row>
    <row r="738" spans="1:76" ht="15.75" customHeight="1">
      <c r="A738" s="25"/>
      <c r="B738" s="39"/>
      <c r="C738" s="155"/>
      <c r="D738" s="155"/>
      <c r="E738" s="40"/>
      <c r="F738" s="314"/>
      <c r="H738" s="315"/>
      <c r="I738" s="315"/>
      <c r="BA738" s="30"/>
      <c r="BB738" s="155"/>
      <c r="BC738" s="314"/>
      <c r="BD738" s="314"/>
      <c r="BE738" s="314"/>
      <c r="BF738" s="314"/>
      <c r="BG738" s="314"/>
      <c r="BH738" s="314"/>
      <c r="BI738" s="314"/>
      <c r="BJ738" s="314"/>
      <c r="BK738" s="40"/>
      <c r="BL738" s="40"/>
      <c r="BM738" s="40"/>
      <c r="BN738" s="40"/>
      <c r="BO738" s="40"/>
      <c r="BP738" s="155"/>
      <c r="BQ738" s="314"/>
      <c r="BR738" s="314"/>
      <c r="BS738" s="314"/>
      <c r="BT738" s="314"/>
      <c r="BU738" s="314"/>
      <c r="BV738" s="314"/>
      <c r="BW738" s="314"/>
      <c r="BX738" s="155"/>
    </row>
    <row r="739" spans="1:76" ht="15.75" customHeight="1">
      <c r="A739" s="25"/>
      <c r="B739" s="39"/>
      <c r="C739" s="155"/>
      <c r="D739" s="155"/>
      <c r="E739" s="40"/>
      <c r="F739" s="314"/>
      <c r="H739" s="315"/>
      <c r="I739" s="315"/>
      <c r="BA739" s="30"/>
      <c r="BB739" s="155"/>
      <c r="BC739" s="314"/>
      <c r="BD739" s="314"/>
      <c r="BE739" s="314"/>
      <c r="BF739" s="314"/>
      <c r="BG739" s="314"/>
      <c r="BH739" s="314"/>
      <c r="BI739" s="314"/>
      <c r="BJ739" s="314"/>
      <c r="BK739" s="40"/>
      <c r="BL739" s="40"/>
      <c r="BM739" s="40"/>
      <c r="BN739" s="40"/>
      <c r="BO739" s="40"/>
      <c r="BP739" s="155"/>
      <c r="BQ739" s="314"/>
      <c r="BR739" s="314"/>
      <c r="BS739" s="314"/>
      <c r="BT739" s="314"/>
      <c r="BU739" s="314"/>
      <c r="BV739" s="314"/>
      <c r="BW739" s="314"/>
      <c r="BX739" s="155"/>
    </row>
    <row r="740" spans="1:76" ht="15.75" customHeight="1">
      <c r="A740" s="25"/>
      <c r="B740" s="39"/>
      <c r="C740" s="155"/>
      <c r="D740" s="155"/>
      <c r="E740" s="40"/>
      <c r="F740" s="314"/>
      <c r="H740" s="315"/>
      <c r="I740" s="315"/>
      <c r="BA740" s="30"/>
      <c r="BB740" s="155"/>
      <c r="BC740" s="314"/>
      <c r="BD740" s="314"/>
      <c r="BE740" s="314"/>
      <c r="BF740" s="314"/>
      <c r="BG740" s="314"/>
      <c r="BH740" s="314"/>
      <c r="BI740" s="314"/>
      <c r="BJ740" s="314"/>
      <c r="BK740" s="40"/>
      <c r="BL740" s="40"/>
      <c r="BM740" s="40"/>
      <c r="BN740" s="40"/>
      <c r="BO740" s="40"/>
      <c r="BP740" s="155"/>
      <c r="BQ740" s="314"/>
      <c r="BR740" s="314"/>
      <c r="BS740" s="314"/>
      <c r="BT740" s="314"/>
      <c r="BU740" s="314"/>
      <c r="BV740" s="314"/>
      <c r="BW740" s="314"/>
      <c r="BX740" s="155"/>
    </row>
    <row r="741" spans="1:76" ht="15.75" customHeight="1">
      <c r="A741" s="25"/>
      <c r="B741" s="39"/>
      <c r="C741" s="155"/>
      <c r="D741" s="155"/>
      <c r="E741" s="341"/>
      <c r="F741" s="314"/>
      <c r="H741" s="315"/>
      <c r="I741" s="315"/>
      <c r="BA741" s="30"/>
      <c r="BB741" s="321"/>
      <c r="BC741" s="314"/>
      <c r="BD741" s="314"/>
      <c r="BE741" s="314"/>
      <c r="BF741" s="314"/>
      <c r="BG741" s="314"/>
      <c r="BH741" s="314"/>
      <c r="BI741" s="314"/>
      <c r="BJ741" s="314"/>
      <c r="BK741" s="40"/>
      <c r="BL741" s="40"/>
      <c r="BM741" s="40"/>
      <c r="BN741" s="40"/>
      <c r="BO741" s="40"/>
      <c r="BP741" s="155"/>
      <c r="BQ741" s="314"/>
      <c r="BR741" s="314"/>
      <c r="BS741" s="314"/>
      <c r="BT741" s="314"/>
      <c r="BU741" s="314"/>
      <c r="BV741" s="314"/>
      <c r="BW741" s="314"/>
      <c r="BX741" s="155"/>
    </row>
    <row r="742" spans="1:76" ht="15.75" customHeight="1">
      <c r="A742" s="25"/>
      <c r="B742" s="39"/>
      <c r="C742" s="155"/>
      <c r="D742" s="155"/>
      <c r="E742" s="40"/>
      <c r="F742" s="314"/>
      <c r="H742" s="315"/>
      <c r="I742" s="315"/>
      <c r="BA742" s="30"/>
      <c r="BB742" s="155"/>
      <c r="BC742" s="314"/>
      <c r="BD742" s="314"/>
      <c r="BE742" s="314"/>
      <c r="BF742" s="314"/>
      <c r="BG742" s="314"/>
      <c r="BH742" s="314"/>
      <c r="BI742" s="314"/>
      <c r="BJ742" s="314"/>
      <c r="BK742" s="40"/>
      <c r="BL742" s="40"/>
      <c r="BM742" s="40"/>
      <c r="BN742" s="40"/>
      <c r="BO742" s="40"/>
      <c r="BP742" s="155"/>
      <c r="BQ742" s="314"/>
      <c r="BR742" s="314"/>
      <c r="BS742" s="314"/>
      <c r="BT742" s="314"/>
      <c r="BU742" s="314"/>
      <c r="BV742" s="314"/>
      <c r="BW742" s="314"/>
      <c r="BX742" s="155"/>
    </row>
    <row r="743" spans="1:76" ht="15.75" customHeight="1">
      <c r="A743" s="25"/>
      <c r="B743" s="39"/>
      <c r="C743" s="155"/>
      <c r="D743" s="155"/>
      <c r="E743" s="40"/>
      <c r="F743" s="314"/>
      <c r="H743" s="315"/>
      <c r="I743" s="315"/>
      <c r="BA743" s="30"/>
      <c r="BB743" s="155"/>
      <c r="BC743" s="314"/>
      <c r="BD743" s="314"/>
      <c r="BE743" s="314"/>
      <c r="BF743" s="314"/>
      <c r="BG743" s="314"/>
      <c r="BH743" s="314"/>
      <c r="BI743" s="314"/>
      <c r="BJ743" s="314"/>
      <c r="BK743" s="40"/>
      <c r="BL743" s="40"/>
      <c r="BM743" s="40"/>
      <c r="BN743" s="40"/>
      <c r="BO743" s="40"/>
      <c r="BP743" s="155"/>
      <c r="BQ743" s="314"/>
      <c r="BR743" s="314"/>
      <c r="BS743" s="314"/>
      <c r="BT743" s="314"/>
      <c r="BU743" s="314"/>
      <c r="BV743" s="314"/>
      <c r="BW743" s="314"/>
      <c r="BX743" s="155"/>
    </row>
    <row r="744" spans="1:76" ht="15.75" customHeight="1">
      <c r="A744" s="25"/>
      <c r="B744" s="39"/>
      <c r="C744" s="155"/>
      <c r="D744" s="155"/>
      <c r="E744" s="40"/>
      <c r="F744" s="314"/>
      <c r="H744" s="315"/>
      <c r="I744" s="315"/>
      <c r="BA744" s="30"/>
      <c r="BB744" s="155"/>
      <c r="BC744" s="314"/>
      <c r="BD744" s="314"/>
      <c r="BE744" s="314"/>
      <c r="BF744" s="314"/>
      <c r="BG744" s="314"/>
      <c r="BH744" s="314"/>
      <c r="BI744" s="314"/>
      <c r="BJ744" s="314"/>
      <c r="BK744" s="40"/>
      <c r="BL744" s="40"/>
      <c r="BM744" s="40"/>
      <c r="BN744" s="40"/>
      <c r="BO744" s="40"/>
      <c r="BP744" s="155"/>
      <c r="BQ744" s="314"/>
      <c r="BR744" s="314"/>
      <c r="BS744" s="314"/>
      <c r="BT744" s="314"/>
      <c r="BU744" s="314"/>
      <c r="BV744" s="314"/>
      <c r="BW744" s="314"/>
      <c r="BX744" s="155"/>
    </row>
    <row r="745" spans="1:76" ht="15.75" customHeight="1">
      <c r="A745" s="25"/>
      <c r="B745" s="39"/>
      <c r="C745" s="155"/>
      <c r="D745" s="155"/>
      <c r="E745" s="40"/>
      <c r="F745" s="314"/>
      <c r="H745" s="315"/>
      <c r="I745" s="315"/>
      <c r="BA745" s="30"/>
      <c r="BB745" s="155"/>
      <c r="BC745" s="314"/>
      <c r="BD745" s="314"/>
      <c r="BE745" s="314"/>
      <c r="BF745" s="314"/>
      <c r="BG745" s="314"/>
      <c r="BH745" s="314"/>
      <c r="BI745" s="314"/>
      <c r="BJ745" s="314"/>
      <c r="BK745" s="40"/>
      <c r="BL745" s="40"/>
      <c r="BM745" s="40"/>
      <c r="BN745" s="40"/>
      <c r="BO745" s="40"/>
      <c r="BP745" s="155"/>
      <c r="BQ745" s="314"/>
      <c r="BR745" s="314"/>
      <c r="BS745" s="314"/>
      <c r="BT745" s="314"/>
      <c r="BU745" s="314"/>
      <c r="BV745" s="314"/>
      <c r="BW745" s="314"/>
      <c r="BX745" s="155"/>
    </row>
    <row r="746" spans="1:76" ht="15.75" customHeight="1">
      <c r="A746" s="25"/>
      <c r="B746" s="39"/>
      <c r="C746" s="155"/>
      <c r="D746" s="155"/>
      <c r="E746" s="40"/>
      <c r="F746" s="314"/>
      <c r="H746" s="315"/>
      <c r="I746" s="315"/>
      <c r="BA746" s="30"/>
      <c r="BB746" s="155"/>
      <c r="BC746" s="314"/>
      <c r="BD746" s="314"/>
      <c r="BE746" s="314"/>
      <c r="BF746" s="314"/>
      <c r="BG746" s="314"/>
      <c r="BH746" s="314"/>
      <c r="BI746" s="314"/>
      <c r="BJ746" s="314"/>
      <c r="BK746" s="40"/>
      <c r="BL746" s="40"/>
      <c r="BM746" s="40"/>
      <c r="BN746" s="40"/>
      <c r="BO746" s="40"/>
      <c r="BP746" s="155"/>
      <c r="BQ746" s="314"/>
      <c r="BR746" s="314"/>
      <c r="BS746" s="314"/>
      <c r="BT746" s="314"/>
      <c r="BU746" s="314"/>
      <c r="BV746" s="314"/>
      <c r="BW746" s="314"/>
      <c r="BX746" s="155"/>
    </row>
    <row r="747" spans="1:76" ht="15.75" customHeight="1">
      <c r="A747" s="25"/>
      <c r="B747" s="39"/>
      <c r="C747" s="155"/>
      <c r="D747" s="155"/>
      <c r="E747" s="40"/>
      <c r="F747" s="314"/>
      <c r="H747" s="315"/>
      <c r="I747" s="315"/>
      <c r="BA747" s="30"/>
      <c r="BB747" s="155"/>
      <c r="BC747" s="322"/>
      <c r="BD747" s="322"/>
      <c r="BE747" s="322"/>
      <c r="BF747" s="322"/>
      <c r="BG747" s="322"/>
      <c r="BH747" s="322"/>
      <c r="BI747" s="322"/>
      <c r="BJ747" s="322"/>
      <c r="BK747" s="341"/>
      <c r="BL747" s="40"/>
      <c r="BM747" s="40"/>
      <c r="BN747" s="40"/>
      <c r="BO747" s="40"/>
      <c r="BP747" s="155"/>
      <c r="BQ747" s="314"/>
      <c r="BR747" s="314"/>
      <c r="BS747" s="314"/>
      <c r="BT747" s="314"/>
      <c r="BU747" s="314"/>
      <c r="BV747" s="314"/>
      <c r="BW747" s="314"/>
      <c r="BX747" s="155"/>
    </row>
    <row r="748" spans="1:76" ht="15.75" customHeight="1">
      <c r="A748" s="25"/>
      <c r="B748" s="39"/>
      <c r="C748" s="155"/>
      <c r="D748" s="155"/>
      <c r="E748" s="40"/>
      <c r="F748" s="314"/>
      <c r="H748" s="315"/>
      <c r="I748" s="315"/>
      <c r="BA748" s="30"/>
      <c r="BB748" s="155"/>
      <c r="BC748" s="314"/>
      <c r="BD748" s="314"/>
      <c r="BE748" s="314"/>
      <c r="BF748" s="314"/>
      <c r="BG748" s="314"/>
      <c r="BH748" s="314"/>
      <c r="BI748" s="314"/>
      <c r="BJ748" s="314"/>
      <c r="BK748" s="40"/>
      <c r="BL748" s="40"/>
      <c r="BM748" s="40"/>
      <c r="BN748" s="40"/>
      <c r="BO748" s="40"/>
      <c r="BP748" s="155"/>
      <c r="BQ748" s="314"/>
      <c r="BR748" s="314"/>
      <c r="BS748" s="314"/>
      <c r="BT748" s="314"/>
      <c r="BU748" s="314"/>
      <c r="BV748" s="314"/>
      <c r="BW748" s="314"/>
      <c r="BX748" s="155"/>
    </row>
    <row r="749" spans="1:76" ht="15.75" customHeight="1">
      <c r="A749" s="25"/>
      <c r="B749" s="39"/>
      <c r="C749" s="155"/>
      <c r="D749" s="155"/>
      <c r="E749" s="341"/>
      <c r="F749" s="314"/>
      <c r="H749" s="315"/>
      <c r="I749" s="315"/>
      <c r="BA749" s="30"/>
      <c r="BB749" s="321"/>
      <c r="BC749" s="314"/>
      <c r="BD749" s="314"/>
      <c r="BE749" s="314"/>
      <c r="BF749" s="314"/>
      <c r="BG749" s="314"/>
      <c r="BH749" s="314"/>
      <c r="BI749" s="314"/>
      <c r="BJ749" s="314"/>
      <c r="BK749" s="40"/>
      <c r="BL749" s="40"/>
      <c r="BM749" s="40"/>
      <c r="BN749" s="40"/>
      <c r="BO749" s="40"/>
      <c r="BP749" s="155"/>
      <c r="BQ749" s="314"/>
      <c r="BR749" s="314"/>
      <c r="BS749" s="314"/>
      <c r="BT749" s="314"/>
      <c r="BU749" s="314"/>
      <c r="BV749" s="314"/>
      <c r="BW749" s="314"/>
      <c r="BX749" s="155"/>
    </row>
    <row r="750" spans="1:76" ht="15.75" customHeight="1">
      <c r="A750" s="25"/>
      <c r="B750" s="39"/>
      <c r="C750" s="155"/>
      <c r="D750" s="155"/>
      <c r="E750" s="40"/>
      <c r="F750" s="314"/>
      <c r="H750" s="315"/>
      <c r="I750" s="315"/>
      <c r="BA750" s="30"/>
      <c r="BB750" s="155"/>
      <c r="BC750" s="314"/>
      <c r="BD750" s="314"/>
      <c r="BE750" s="314"/>
      <c r="BF750" s="314"/>
      <c r="BG750" s="314"/>
      <c r="BH750" s="314"/>
      <c r="BI750" s="314"/>
      <c r="BJ750" s="314"/>
      <c r="BK750" s="40"/>
      <c r="BL750" s="40"/>
      <c r="BM750" s="40"/>
      <c r="BN750" s="40"/>
      <c r="BO750" s="40"/>
      <c r="BP750" s="155"/>
      <c r="BQ750" s="314"/>
      <c r="BR750" s="314"/>
      <c r="BS750" s="314"/>
      <c r="BT750" s="314"/>
      <c r="BU750" s="314"/>
      <c r="BV750" s="314"/>
      <c r="BW750" s="314"/>
      <c r="BX750" s="155"/>
    </row>
    <row r="751" spans="1:76" ht="15.75" customHeight="1">
      <c r="A751" s="25"/>
      <c r="B751" s="39"/>
      <c r="C751" s="155"/>
      <c r="D751" s="155"/>
      <c r="E751" s="40"/>
      <c r="F751" s="314"/>
      <c r="H751" s="315"/>
      <c r="I751" s="315"/>
      <c r="BA751" s="30"/>
      <c r="BB751" s="155"/>
      <c r="BC751" s="314"/>
      <c r="BD751" s="314"/>
      <c r="BE751" s="314"/>
      <c r="BF751" s="314"/>
      <c r="BG751" s="314"/>
      <c r="BH751" s="314"/>
      <c r="BI751" s="314"/>
      <c r="BJ751" s="314"/>
      <c r="BK751" s="40"/>
      <c r="BL751" s="40"/>
      <c r="BM751" s="40"/>
      <c r="BN751" s="40"/>
      <c r="BO751" s="40"/>
      <c r="BP751" s="155"/>
      <c r="BQ751" s="314"/>
      <c r="BR751" s="314"/>
      <c r="BS751" s="314"/>
      <c r="BT751" s="314"/>
      <c r="BU751" s="314"/>
      <c r="BV751" s="314"/>
      <c r="BW751" s="314"/>
      <c r="BX751" s="155"/>
    </row>
    <row r="752" spans="1:76" ht="15.75" customHeight="1">
      <c r="A752" s="25"/>
      <c r="B752" s="39"/>
      <c r="C752" s="155"/>
      <c r="D752" s="155"/>
      <c r="E752" s="40"/>
      <c r="F752" s="314"/>
      <c r="H752" s="315"/>
      <c r="I752" s="315"/>
      <c r="BA752" s="30"/>
      <c r="BB752" s="155"/>
      <c r="BC752" s="314"/>
      <c r="BD752" s="314"/>
      <c r="BE752" s="314"/>
      <c r="BF752" s="314"/>
      <c r="BG752" s="314"/>
      <c r="BH752" s="314"/>
      <c r="BI752" s="314"/>
      <c r="BJ752" s="314"/>
      <c r="BK752" s="40"/>
      <c r="BL752" s="40"/>
      <c r="BM752" s="40"/>
      <c r="BN752" s="40"/>
      <c r="BO752" s="40"/>
      <c r="BP752" s="155"/>
      <c r="BQ752" s="314"/>
      <c r="BR752" s="314"/>
      <c r="BS752" s="314"/>
      <c r="BT752" s="314"/>
      <c r="BU752" s="314"/>
      <c r="BV752" s="314"/>
      <c r="BW752" s="314"/>
      <c r="BX752" s="155"/>
    </row>
    <row r="753" spans="1:76" ht="15.75" customHeight="1">
      <c r="A753" s="25"/>
      <c r="B753" s="39"/>
      <c r="C753" s="155"/>
      <c r="D753" s="155"/>
      <c r="E753" s="40"/>
      <c r="F753" s="314"/>
      <c r="H753" s="315"/>
      <c r="I753" s="315"/>
      <c r="BA753" s="30"/>
      <c r="BB753" s="155"/>
      <c r="BC753" s="314"/>
      <c r="BD753" s="314"/>
      <c r="BE753" s="314"/>
      <c r="BF753" s="314"/>
      <c r="BG753" s="314"/>
      <c r="BH753" s="314"/>
      <c r="BI753" s="314"/>
      <c r="BJ753" s="314"/>
      <c r="BK753" s="40"/>
      <c r="BL753" s="40"/>
      <c r="BM753" s="40"/>
      <c r="BN753" s="40"/>
      <c r="BO753" s="40"/>
      <c r="BP753" s="155"/>
      <c r="BQ753" s="314"/>
      <c r="BR753" s="314"/>
      <c r="BS753" s="314"/>
      <c r="BT753" s="314"/>
      <c r="BU753" s="314"/>
      <c r="BV753" s="314"/>
      <c r="BW753" s="314"/>
      <c r="BX753" s="155"/>
    </row>
    <row r="754" spans="1:76" ht="15.75" customHeight="1">
      <c r="A754" s="25"/>
      <c r="B754" s="39"/>
      <c r="C754" s="155"/>
      <c r="D754" s="155"/>
      <c r="E754" s="40"/>
      <c r="F754" s="314"/>
      <c r="H754" s="315"/>
      <c r="I754" s="315"/>
      <c r="BA754" s="30"/>
      <c r="BB754" s="155"/>
      <c r="BC754" s="314"/>
      <c r="BD754" s="314"/>
      <c r="BE754" s="314"/>
      <c r="BF754" s="314"/>
      <c r="BG754" s="314"/>
      <c r="BH754" s="314"/>
      <c r="BI754" s="314"/>
      <c r="BJ754" s="314"/>
      <c r="BK754" s="40"/>
      <c r="BL754" s="40"/>
      <c r="BM754" s="40"/>
      <c r="BN754" s="40"/>
      <c r="BO754" s="40"/>
      <c r="BP754" s="155"/>
      <c r="BQ754" s="314"/>
      <c r="BR754" s="314"/>
      <c r="BS754" s="314"/>
      <c r="BT754" s="314"/>
      <c r="BU754" s="314"/>
      <c r="BV754" s="314"/>
      <c r="BW754" s="314"/>
      <c r="BX754" s="155"/>
    </row>
    <row r="755" spans="1:76" ht="15.75" customHeight="1">
      <c r="A755" s="25"/>
      <c r="B755" s="39"/>
      <c r="C755" s="155"/>
      <c r="D755" s="155"/>
      <c r="E755" s="40"/>
      <c r="F755" s="314"/>
      <c r="H755" s="315"/>
      <c r="I755" s="315"/>
      <c r="BA755" s="30"/>
      <c r="BB755" s="155"/>
      <c r="BC755" s="314"/>
      <c r="BD755" s="314"/>
      <c r="BE755" s="314"/>
      <c r="BF755" s="314"/>
      <c r="BG755" s="314"/>
      <c r="BH755" s="314"/>
      <c r="BI755" s="314"/>
      <c r="BJ755" s="314"/>
      <c r="BK755" s="40"/>
      <c r="BL755" s="40"/>
      <c r="BM755" s="40"/>
      <c r="BN755" s="40"/>
      <c r="BO755" s="40"/>
      <c r="BP755" s="155"/>
      <c r="BQ755" s="314"/>
      <c r="BR755" s="314"/>
      <c r="BS755" s="314"/>
      <c r="BT755" s="314"/>
      <c r="BU755" s="314"/>
      <c r="BV755" s="314"/>
      <c r="BW755" s="314"/>
      <c r="BX755" s="155"/>
    </row>
    <row r="756" spans="1:76" ht="15.75" customHeight="1">
      <c r="A756" s="25"/>
      <c r="B756" s="39"/>
      <c r="C756" s="155"/>
      <c r="D756" s="155"/>
      <c r="E756" s="40"/>
      <c r="F756" s="314"/>
      <c r="H756" s="315"/>
      <c r="I756" s="315"/>
      <c r="BA756" s="30"/>
      <c r="BB756" s="155"/>
      <c r="BC756" s="314"/>
      <c r="BD756" s="314"/>
      <c r="BE756" s="314"/>
      <c r="BF756" s="314"/>
      <c r="BG756" s="314"/>
      <c r="BH756" s="314"/>
      <c r="BI756" s="314"/>
      <c r="BJ756" s="314"/>
      <c r="BK756" s="40"/>
      <c r="BL756" s="40"/>
      <c r="BM756" s="40"/>
      <c r="BN756" s="40"/>
      <c r="BO756" s="40"/>
      <c r="BP756" s="155"/>
      <c r="BQ756" s="314"/>
      <c r="BR756" s="314"/>
      <c r="BS756" s="314"/>
      <c r="BT756" s="314"/>
      <c r="BU756" s="314"/>
      <c r="BV756" s="314"/>
      <c r="BW756" s="314"/>
      <c r="BX756" s="155"/>
    </row>
    <row r="757" spans="1:76" ht="15.75" customHeight="1">
      <c r="A757" s="25"/>
      <c r="B757" s="39"/>
      <c r="C757" s="155"/>
      <c r="D757" s="155"/>
      <c r="E757" s="341"/>
      <c r="F757" s="314"/>
      <c r="H757" s="315"/>
      <c r="I757" s="315"/>
      <c r="BA757" s="30"/>
      <c r="BB757" s="321"/>
      <c r="BC757" s="314"/>
      <c r="BD757" s="314"/>
      <c r="BE757" s="314"/>
      <c r="BF757" s="314"/>
      <c r="BG757" s="314"/>
      <c r="BH757" s="314"/>
      <c r="BI757" s="314"/>
      <c r="BJ757" s="314"/>
      <c r="BK757" s="40"/>
      <c r="BL757" s="40"/>
      <c r="BM757" s="40"/>
      <c r="BN757" s="40"/>
      <c r="BO757" s="40"/>
      <c r="BP757" s="155"/>
      <c r="BQ757" s="314"/>
      <c r="BR757" s="314"/>
      <c r="BS757" s="314"/>
      <c r="BT757" s="314"/>
      <c r="BU757" s="314"/>
      <c r="BV757" s="314"/>
      <c r="BW757" s="314"/>
      <c r="BX757" s="155"/>
    </row>
    <row r="758" spans="1:76" ht="15.75" customHeight="1">
      <c r="A758" s="25"/>
      <c r="B758" s="39"/>
      <c r="C758" s="155"/>
      <c r="D758" s="155"/>
      <c r="E758" s="40"/>
      <c r="F758" s="314"/>
      <c r="H758" s="315"/>
      <c r="I758" s="315"/>
      <c r="BA758" s="30"/>
      <c r="BB758" s="155"/>
      <c r="BC758" s="314"/>
      <c r="BD758" s="314"/>
      <c r="BE758" s="314"/>
      <c r="BF758" s="314"/>
      <c r="BG758" s="314"/>
      <c r="BH758" s="314"/>
      <c r="BI758" s="314"/>
      <c r="BJ758" s="314"/>
      <c r="BK758" s="40"/>
      <c r="BL758" s="40"/>
      <c r="BM758" s="40"/>
      <c r="BN758" s="40"/>
      <c r="BO758" s="40"/>
      <c r="BP758" s="155"/>
      <c r="BQ758" s="314"/>
      <c r="BR758" s="314"/>
      <c r="BS758" s="314"/>
      <c r="BT758" s="314"/>
      <c r="BU758" s="314"/>
      <c r="BV758" s="314"/>
      <c r="BW758" s="314"/>
      <c r="BX758" s="155"/>
    </row>
    <row r="759" spans="1:76" ht="15.75" customHeight="1">
      <c r="A759" s="25"/>
      <c r="B759" s="39"/>
      <c r="C759" s="155"/>
      <c r="D759" s="155"/>
      <c r="E759" s="40"/>
      <c r="F759" s="314"/>
      <c r="H759" s="315"/>
      <c r="I759" s="315"/>
      <c r="BA759" s="30"/>
      <c r="BB759" s="155"/>
      <c r="BC759" s="314"/>
      <c r="BD759" s="314"/>
      <c r="BE759" s="314"/>
      <c r="BF759" s="314"/>
      <c r="BG759" s="314"/>
      <c r="BH759" s="314"/>
      <c r="BI759" s="314"/>
      <c r="BJ759" s="314"/>
      <c r="BK759" s="40"/>
      <c r="BL759" s="40"/>
      <c r="BM759" s="40"/>
      <c r="BN759" s="40"/>
      <c r="BO759" s="40"/>
      <c r="BP759" s="155"/>
      <c r="BQ759" s="314"/>
      <c r="BR759" s="314"/>
      <c r="BS759" s="314"/>
      <c r="BT759" s="314"/>
      <c r="BU759" s="314"/>
      <c r="BV759" s="314"/>
      <c r="BW759" s="314"/>
      <c r="BX759" s="155"/>
    </row>
    <row r="760" spans="1:76" ht="15.75" customHeight="1">
      <c r="A760" s="25"/>
      <c r="B760" s="39"/>
      <c r="C760" s="155"/>
      <c r="D760" s="155"/>
      <c r="E760" s="40"/>
      <c r="F760" s="314"/>
      <c r="H760" s="315"/>
      <c r="I760" s="315"/>
      <c r="BA760" s="30"/>
      <c r="BB760" s="155"/>
      <c r="BC760" s="314"/>
      <c r="BD760" s="314"/>
      <c r="BE760" s="314"/>
      <c r="BF760" s="314"/>
      <c r="BG760" s="314"/>
      <c r="BH760" s="314"/>
      <c r="BI760" s="314"/>
      <c r="BJ760" s="314"/>
      <c r="BK760" s="40"/>
      <c r="BL760" s="40"/>
      <c r="BM760" s="40"/>
      <c r="BN760" s="40"/>
      <c r="BO760" s="40"/>
      <c r="BP760" s="155"/>
      <c r="BQ760" s="314"/>
      <c r="BR760" s="314"/>
      <c r="BS760" s="314"/>
      <c r="BT760" s="314"/>
      <c r="BU760" s="314"/>
      <c r="BV760" s="314"/>
      <c r="BW760" s="314"/>
      <c r="BX760" s="155"/>
    </row>
    <row r="761" spans="1:76" ht="15.75" customHeight="1">
      <c r="A761" s="25"/>
      <c r="B761" s="39"/>
      <c r="C761" s="155"/>
      <c r="D761" s="155"/>
      <c r="E761" s="40"/>
      <c r="F761" s="314"/>
      <c r="H761" s="315"/>
      <c r="I761" s="315"/>
      <c r="BA761" s="30"/>
      <c r="BB761" s="155"/>
      <c r="BC761" s="314"/>
      <c r="BD761" s="314"/>
      <c r="BE761" s="314"/>
      <c r="BF761" s="314"/>
      <c r="BG761" s="314"/>
      <c r="BH761" s="314"/>
      <c r="BI761" s="314"/>
      <c r="BJ761" s="314"/>
      <c r="BK761" s="40"/>
      <c r="BL761" s="40"/>
      <c r="BM761" s="40"/>
      <c r="BN761" s="40"/>
      <c r="BO761" s="40"/>
      <c r="BP761" s="155"/>
      <c r="BQ761" s="314"/>
      <c r="BR761" s="314"/>
      <c r="BS761" s="314"/>
      <c r="BT761" s="314"/>
      <c r="BU761" s="314"/>
      <c r="BV761" s="314"/>
      <c r="BW761" s="314"/>
      <c r="BX761" s="155"/>
    </row>
    <row r="762" spans="1:76" ht="15.75" customHeight="1">
      <c r="A762" s="25"/>
      <c r="B762" s="39"/>
      <c r="C762" s="155"/>
      <c r="D762" s="155"/>
      <c r="E762" s="40"/>
      <c r="F762" s="314"/>
      <c r="H762" s="315"/>
      <c r="I762" s="315"/>
      <c r="BA762" s="30"/>
      <c r="BB762" s="155"/>
      <c r="BC762" s="314"/>
      <c r="BD762" s="314"/>
      <c r="BE762" s="314"/>
      <c r="BF762" s="314"/>
      <c r="BG762" s="314"/>
      <c r="BH762" s="314"/>
      <c r="BI762" s="314"/>
      <c r="BJ762" s="314"/>
      <c r="BK762" s="40"/>
      <c r="BL762" s="40"/>
      <c r="BM762" s="40"/>
      <c r="BN762" s="40"/>
      <c r="BO762" s="40"/>
      <c r="BP762" s="155"/>
      <c r="BQ762" s="314"/>
      <c r="BR762" s="314"/>
      <c r="BS762" s="314"/>
      <c r="BT762" s="314"/>
      <c r="BU762" s="314"/>
      <c r="BV762" s="314"/>
      <c r="BW762" s="314"/>
      <c r="BX762" s="155"/>
    </row>
    <row r="763" spans="1:76" ht="15.75" customHeight="1">
      <c r="A763" s="25"/>
      <c r="B763" s="39"/>
      <c r="C763" s="155"/>
      <c r="D763" s="155"/>
      <c r="E763" s="40"/>
      <c r="F763" s="314"/>
      <c r="H763" s="315"/>
      <c r="I763" s="315"/>
      <c r="BA763" s="30"/>
      <c r="BB763" s="155"/>
      <c r="BC763" s="314"/>
      <c r="BD763" s="314"/>
      <c r="BE763" s="314"/>
      <c r="BF763" s="314"/>
      <c r="BG763" s="314"/>
      <c r="BH763" s="314"/>
      <c r="BI763" s="314"/>
      <c r="BJ763" s="314"/>
      <c r="BK763" s="40"/>
      <c r="BL763" s="40"/>
      <c r="BM763" s="40"/>
      <c r="BN763" s="40"/>
      <c r="BO763" s="40"/>
      <c r="BP763" s="155"/>
      <c r="BQ763" s="314"/>
      <c r="BR763" s="314"/>
      <c r="BS763" s="314"/>
      <c r="BT763" s="314"/>
      <c r="BU763" s="314"/>
      <c r="BV763" s="314"/>
      <c r="BW763" s="314"/>
      <c r="BX763" s="155"/>
    </row>
    <row r="764" spans="1:76" ht="15.75" customHeight="1">
      <c r="A764" s="25"/>
      <c r="B764" s="39"/>
      <c r="C764" s="155"/>
      <c r="D764" s="155"/>
      <c r="E764" s="40"/>
      <c r="F764" s="314"/>
      <c r="H764" s="315"/>
      <c r="I764" s="315"/>
      <c r="BA764" s="30"/>
      <c r="BB764" s="155"/>
      <c r="BC764" s="314"/>
      <c r="BD764" s="314"/>
      <c r="BE764" s="314"/>
      <c r="BF764" s="314"/>
      <c r="BG764" s="314"/>
      <c r="BH764" s="314"/>
      <c r="BI764" s="314"/>
      <c r="BJ764" s="314"/>
      <c r="BK764" s="40"/>
      <c r="BL764" s="40"/>
      <c r="BM764" s="40"/>
      <c r="BN764" s="40"/>
      <c r="BO764" s="40"/>
      <c r="BP764" s="155"/>
      <c r="BQ764" s="314"/>
      <c r="BR764" s="314"/>
      <c r="BS764" s="314"/>
      <c r="BT764" s="314"/>
      <c r="BU764" s="314"/>
      <c r="BV764" s="314"/>
      <c r="BW764" s="314"/>
      <c r="BX764" s="155"/>
    </row>
    <row r="765" spans="1:76" ht="15.75" customHeight="1">
      <c r="A765" s="25"/>
      <c r="B765" s="39"/>
      <c r="C765" s="155"/>
      <c r="D765" s="155"/>
      <c r="E765" s="341"/>
      <c r="F765" s="314"/>
      <c r="H765" s="315"/>
      <c r="I765" s="315"/>
      <c r="BA765" s="30"/>
      <c r="BB765" s="321"/>
      <c r="BC765" s="314"/>
      <c r="BD765" s="314"/>
      <c r="BE765" s="314"/>
      <c r="BF765" s="314"/>
      <c r="BG765" s="314"/>
      <c r="BH765" s="314"/>
      <c r="BI765" s="314"/>
      <c r="BJ765" s="314"/>
      <c r="BK765" s="40"/>
      <c r="BL765" s="40"/>
      <c r="BM765" s="40"/>
      <c r="BN765" s="40"/>
      <c r="BO765" s="40"/>
      <c r="BP765" s="155"/>
      <c r="BQ765" s="314"/>
      <c r="BR765" s="314"/>
      <c r="BS765" s="314"/>
      <c r="BT765" s="314"/>
      <c r="BU765" s="314"/>
      <c r="BV765" s="314"/>
      <c r="BW765" s="314"/>
      <c r="BX765" s="155"/>
    </row>
    <row r="766" spans="1:76" ht="15.75" customHeight="1">
      <c r="A766" s="25"/>
      <c r="B766" s="39"/>
      <c r="C766" s="155"/>
      <c r="D766" s="155"/>
      <c r="E766" s="40"/>
      <c r="F766" s="314"/>
      <c r="H766" s="315"/>
      <c r="I766" s="315"/>
      <c r="BA766" s="30"/>
      <c r="BB766" s="155"/>
      <c r="BC766" s="314"/>
      <c r="BD766" s="314"/>
      <c r="BE766" s="314"/>
      <c r="BF766" s="314"/>
      <c r="BG766" s="314"/>
      <c r="BH766" s="314"/>
      <c r="BI766" s="314"/>
      <c r="BJ766" s="314"/>
      <c r="BK766" s="40"/>
      <c r="BL766" s="40"/>
      <c r="BM766" s="40"/>
      <c r="BN766" s="40"/>
      <c r="BO766" s="40"/>
      <c r="BP766" s="155"/>
      <c r="BQ766" s="314"/>
      <c r="BR766" s="314"/>
      <c r="BS766" s="314"/>
      <c r="BT766" s="314"/>
      <c r="BU766" s="314"/>
      <c r="BV766" s="314"/>
      <c r="BW766" s="314"/>
      <c r="BX766" s="155"/>
    </row>
    <row r="767" spans="1:76" ht="15.75" customHeight="1">
      <c r="A767" s="25"/>
      <c r="B767" s="39"/>
      <c r="C767" s="155"/>
      <c r="D767" s="155"/>
      <c r="E767" s="40"/>
      <c r="F767" s="314"/>
      <c r="H767" s="315"/>
      <c r="I767" s="315"/>
      <c r="BA767" s="30"/>
      <c r="BB767" s="155"/>
      <c r="BC767" s="314"/>
      <c r="BD767" s="314"/>
      <c r="BE767" s="314"/>
      <c r="BF767" s="314"/>
      <c r="BG767" s="314"/>
      <c r="BH767" s="314"/>
      <c r="BI767" s="314"/>
      <c r="BJ767" s="314"/>
      <c r="BK767" s="40"/>
      <c r="BL767" s="40"/>
      <c r="BM767" s="40"/>
      <c r="BN767" s="40"/>
      <c r="BO767" s="40"/>
      <c r="BP767" s="155"/>
      <c r="BQ767" s="314"/>
      <c r="BR767" s="314"/>
      <c r="BS767" s="314"/>
      <c r="BT767" s="314"/>
      <c r="BU767" s="314"/>
      <c r="BV767" s="314"/>
      <c r="BW767" s="314"/>
      <c r="BX767" s="155"/>
    </row>
    <row r="768" spans="1:76" ht="15.75" customHeight="1">
      <c r="A768" s="25"/>
      <c r="B768" s="39"/>
      <c r="C768" s="155"/>
      <c r="D768" s="155"/>
      <c r="E768" s="40"/>
      <c r="F768" s="314"/>
      <c r="H768" s="315"/>
      <c r="I768" s="315"/>
      <c r="BA768" s="30"/>
      <c r="BB768" s="155"/>
      <c r="BC768" s="314"/>
      <c r="BD768" s="314"/>
      <c r="BE768" s="314"/>
      <c r="BF768" s="314"/>
      <c r="BG768" s="314"/>
      <c r="BH768" s="314"/>
      <c r="BI768" s="314"/>
      <c r="BJ768" s="314"/>
      <c r="BK768" s="40"/>
      <c r="BL768" s="40"/>
      <c r="BM768" s="40"/>
      <c r="BN768" s="40"/>
      <c r="BO768" s="40"/>
      <c r="BP768" s="155"/>
      <c r="BQ768" s="314"/>
      <c r="BR768" s="314"/>
      <c r="BS768" s="314"/>
      <c r="BT768" s="314"/>
      <c r="BU768" s="314"/>
      <c r="BV768" s="314"/>
      <c r="BW768" s="314"/>
      <c r="BX768" s="155"/>
    </row>
    <row r="769" spans="1:76" ht="15.75" customHeight="1">
      <c r="A769" s="25"/>
      <c r="B769" s="39"/>
      <c r="C769" s="155"/>
      <c r="D769" s="155"/>
      <c r="E769" s="40"/>
      <c r="F769" s="314"/>
      <c r="H769" s="315"/>
      <c r="I769" s="315"/>
      <c r="BA769" s="30"/>
      <c r="BB769" s="155"/>
      <c r="BC769" s="314"/>
      <c r="BD769" s="314"/>
      <c r="BE769" s="314"/>
      <c r="BF769" s="314"/>
      <c r="BG769" s="314"/>
      <c r="BH769" s="314"/>
      <c r="BI769" s="314"/>
      <c r="BJ769" s="314"/>
      <c r="BK769" s="40"/>
      <c r="BL769" s="40"/>
      <c r="BM769" s="40"/>
      <c r="BN769" s="40"/>
      <c r="BO769" s="40"/>
      <c r="BP769" s="155"/>
      <c r="BQ769" s="314"/>
      <c r="BR769" s="314"/>
      <c r="BS769" s="314"/>
      <c r="BT769" s="314"/>
      <c r="BU769" s="314"/>
      <c r="BV769" s="314"/>
      <c r="BW769" s="314"/>
      <c r="BX769" s="155"/>
    </row>
    <row r="770" spans="1:76" ht="15.75" customHeight="1">
      <c r="A770" s="25"/>
      <c r="B770" s="39"/>
      <c r="C770" s="155"/>
      <c r="D770" s="155"/>
      <c r="E770" s="40"/>
      <c r="F770" s="314"/>
      <c r="H770" s="315"/>
      <c r="I770" s="315"/>
      <c r="BA770" s="30"/>
      <c r="BB770" s="155"/>
      <c r="BC770" s="314"/>
      <c r="BD770" s="314"/>
      <c r="BE770" s="314"/>
      <c r="BF770" s="314"/>
      <c r="BG770" s="314"/>
      <c r="BH770" s="314"/>
      <c r="BI770" s="314"/>
      <c r="BJ770" s="314"/>
      <c r="BK770" s="40"/>
      <c r="BL770" s="40"/>
      <c r="BM770" s="40"/>
      <c r="BN770" s="40"/>
      <c r="BO770" s="40"/>
      <c r="BP770" s="155"/>
      <c r="BQ770" s="314"/>
      <c r="BR770" s="314"/>
      <c r="BS770" s="314"/>
      <c r="BT770" s="314"/>
      <c r="BU770" s="314"/>
      <c r="BV770" s="314"/>
      <c r="BW770" s="314"/>
      <c r="BX770" s="155"/>
    </row>
    <row r="771" spans="1:76" ht="15.75" customHeight="1">
      <c r="A771" s="25"/>
      <c r="B771" s="39"/>
      <c r="C771" s="155"/>
      <c r="D771" s="155"/>
      <c r="E771" s="40"/>
      <c r="F771" s="314"/>
      <c r="H771" s="315"/>
      <c r="I771" s="315"/>
      <c r="BA771" s="30"/>
      <c r="BB771" s="155"/>
      <c r="BC771" s="314"/>
      <c r="BD771" s="314"/>
      <c r="BE771" s="314"/>
      <c r="BF771" s="314"/>
      <c r="BG771" s="314"/>
      <c r="BH771" s="314"/>
      <c r="BI771" s="314"/>
      <c r="BJ771" s="314"/>
      <c r="BK771" s="40"/>
      <c r="BL771" s="40"/>
      <c r="BM771" s="40"/>
      <c r="BN771" s="40"/>
      <c r="BO771" s="40"/>
      <c r="BP771" s="155"/>
      <c r="BQ771" s="314"/>
      <c r="BR771" s="314"/>
      <c r="BS771" s="314"/>
      <c r="BT771" s="314"/>
      <c r="BU771" s="314"/>
      <c r="BV771" s="314"/>
      <c r="BW771" s="314"/>
      <c r="BX771" s="155"/>
    </row>
    <row r="772" spans="1:76" ht="15.75" customHeight="1">
      <c r="A772" s="25"/>
      <c r="B772" s="39"/>
      <c r="C772" s="155"/>
      <c r="D772" s="155"/>
      <c r="E772" s="40"/>
      <c r="F772" s="314"/>
      <c r="H772" s="315"/>
      <c r="I772" s="315"/>
      <c r="BA772" s="30"/>
      <c r="BB772" s="155"/>
      <c r="BC772" s="314"/>
      <c r="BD772" s="314"/>
      <c r="BE772" s="314"/>
      <c r="BF772" s="314"/>
      <c r="BG772" s="314"/>
      <c r="BH772" s="314"/>
      <c r="BI772" s="314"/>
      <c r="BJ772" s="314"/>
      <c r="BK772" s="40"/>
      <c r="BL772" s="40"/>
      <c r="BM772" s="40"/>
      <c r="BN772" s="40"/>
      <c r="BO772" s="40"/>
      <c r="BP772" s="155"/>
      <c r="BQ772" s="314"/>
      <c r="BR772" s="314"/>
      <c r="BS772" s="314"/>
      <c r="BT772" s="314"/>
      <c r="BU772" s="314"/>
      <c r="BV772" s="314"/>
      <c r="BW772" s="314"/>
      <c r="BX772" s="155"/>
    </row>
    <row r="773" spans="1:76" ht="15.75" customHeight="1">
      <c r="A773" s="25"/>
      <c r="B773" s="39"/>
      <c r="C773" s="155"/>
      <c r="D773" s="155"/>
      <c r="E773" s="341"/>
      <c r="F773" s="314"/>
      <c r="H773" s="315"/>
      <c r="I773" s="315"/>
      <c r="BA773" s="30"/>
      <c r="BB773" s="321"/>
      <c r="BC773" s="314"/>
      <c r="BD773" s="314"/>
      <c r="BE773" s="314"/>
      <c r="BF773" s="314"/>
      <c r="BG773" s="314"/>
      <c r="BH773" s="314"/>
      <c r="BI773" s="314"/>
      <c r="BJ773" s="314"/>
      <c r="BK773" s="40"/>
      <c r="BL773" s="40"/>
      <c r="BM773" s="40"/>
      <c r="BN773" s="40"/>
      <c r="BO773" s="40"/>
      <c r="BP773" s="155"/>
      <c r="BQ773" s="314"/>
      <c r="BR773" s="314"/>
      <c r="BS773" s="314"/>
      <c r="BT773" s="314"/>
      <c r="BU773" s="314"/>
      <c r="BV773" s="314"/>
      <c r="BW773" s="314"/>
      <c r="BX773" s="155"/>
    </row>
    <row r="774" spans="1:76" ht="15.75" customHeight="1">
      <c r="A774" s="25"/>
      <c r="B774" s="39"/>
      <c r="C774" s="155"/>
      <c r="D774" s="155"/>
      <c r="E774" s="40"/>
      <c r="F774" s="314"/>
      <c r="H774" s="315"/>
      <c r="I774" s="315"/>
      <c r="BA774" s="30"/>
      <c r="BB774" s="155"/>
      <c r="BC774" s="314"/>
      <c r="BD774" s="314"/>
      <c r="BE774" s="314"/>
      <c r="BF774" s="314"/>
      <c r="BG774" s="314"/>
      <c r="BH774" s="314"/>
      <c r="BI774" s="314"/>
      <c r="BJ774" s="314"/>
      <c r="BK774" s="40"/>
      <c r="BL774" s="40"/>
      <c r="BM774" s="40"/>
      <c r="BN774" s="40"/>
      <c r="BO774" s="40"/>
      <c r="BP774" s="155"/>
      <c r="BQ774" s="314"/>
      <c r="BR774" s="314"/>
      <c r="BS774" s="314"/>
      <c r="BT774" s="314"/>
      <c r="BU774" s="314"/>
      <c r="BV774" s="314"/>
      <c r="BW774" s="314"/>
      <c r="BX774" s="155"/>
    </row>
    <row r="775" spans="1:76" ht="15.75" customHeight="1">
      <c r="A775" s="25"/>
      <c r="B775" s="39"/>
      <c r="C775" s="155"/>
      <c r="D775" s="155"/>
      <c r="E775" s="40"/>
      <c r="F775" s="314"/>
      <c r="H775" s="315"/>
      <c r="I775" s="315"/>
      <c r="BA775" s="30"/>
      <c r="BB775" s="155"/>
      <c r="BC775" s="314"/>
      <c r="BD775" s="314"/>
      <c r="BE775" s="314"/>
      <c r="BF775" s="314"/>
      <c r="BG775" s="314"/>
      <c r="BH775" s="314"/>
      <c r="BI775" s="314"/>
      <c r="BJ775" s="314"/>
      <c r="BK775" s="40"/>
      <c r="BL775" s="40"/>
      <c r="BM775" s="40"/>
      <c r="BN775" s="40"/>
      <c r="BO775" s="40"/>
      <c r="BP775" s="155"/>
      <c r="BQ775" s="314"/>
      <c r="BR775" s="314"/>
      <c r="BS775" s="314"/>
      <c r="BT775" s="314"/>
      <c r="BU775" s="314"/>
      <c r="BV775" s="314"/>
      <c r="BW775" s="314"/>
      <c r="BX775" s="155"/>
    </row>
    <row r="776" spans="1:76" ht="15.75" customHeight="1">
      <c r="A776" s="25"/>
      <c r="B776" s="39"/>
      <c r="C776" s="155"/>
      <c r="D776" s="155"/>
      <c r="E776" s="40"/>
      <c r="F776" s="314"/>
      <c r="H776" s="315"/>
      <c r="I776" s="315"/>
      <c r="BA776" s="30"/>
      <c r="BB776" s="155"/>
      <c r="BC776" s="314"/>
      <c r="BD776" s="314"/>
      <c r="BE776" s="314"/>
      <c r="BF776" s="314"/>
      <c r="BG776" s="314"/>
      <c r="BH776" s="314"/>
      <c r="BI776" s="314"/>
      <c r="BJ776" s="314"/>
      <c r="BK776" s="40"/>
      <c r="BL776" s="40"/>
      <c r="BM776" s="40"/>
      <c r="BN776" s="40"/>
      <c r="BO776" s="40"/>
      <c r="BP776" s="155"/>
      <c r="BQ776" s="314"/>
      <c r="BR776" s="314"/>
      <c r="BS776" s="314"/>
      <c r="BT776" s="314"/>
      <c r="BU776" s="314"/>
      <c r="BV776" s="314"/>
      <c r="BW776" s="314"/>
      <c r="BX776" s="155"/>
    </row>
    <row r="777" spans="1:76" ht="15.75" customHeight="1">
      <c r="A777" s="25"/>
      <c r="B777" s="39"/>
      <c r="C777" s="155"/>
      <c r="D777" s="155"/>
      <c r="E777" s="40"/>
      <c r="F777" s="314"/>
      <c r="H777" s="315"/>
      <c r="I777" s="315"/>
      <c r="BA777" s="30"/>
      <c r="BB777" s="155"/>
      <c r="BC777" s="314"/>
      <c r="BD777" s="314"/>
      <c r="BE777" s="314"/>
      <c r="BF777" s="314"/>
      <c r="BG777" s="314"/>
      <c r="BH777" s="314"/>
      <c r="BI777" s="314"/>
      <c r="BJ777" s="314"/>
      <c r="BK777" s="40"/>
      <c r="BL777" s="40"/>
      <c r="BM777" s="40"/>
      <c r="BN777" s="40"/>
      <c r="BO777" s="40"/>
      <c r="BP777" s="155"/>
      <c r="BQ777" s="314"/>
      <c r="BR777" s="314"/>
      <c r="BS777" s="314"/>
      <c r="BT777" s="314"/>
      <c r="BU777" s="314"/>
      <c r="BV777" s="314"/>
      <c r="BW777" s="314"/>
      <c r="BX777" s="155"/>
    </row>
    <row r="778" spans="1:76" ht="15.75" customHeight="1">
      <c r="A778" s="25"/>
      <c r="B778" s="39"/>
      <c r="C778" s="155"/>
      <c r="D778" s="155"/>
      <c r="E778" s="40"/>
      <c r="F778" s="314"/>
      <c r="H778" s="315"/>
      <c r="I778" s="315"/>
      <c r="BA778" s="30"/>
      <c r="BB778" s="155"/>
      <c r="BC778" s="314"/>
      <c r="BD778" s="314"/>
      <c r="BE778" s="314"/>
      <c r="BF778" s="314"/>
      <c r="BG778" s="314"/>
      <c r="BH778" s="314"/>
      <c r="BI778" s="314"/>
      <c r="BJ778" s="314"/>
      <c r="BK778" s="40"/>
      <c r="BL778" s="40"/>
      <c r="BM778" s="40"/>
      <c r="BN778" s="40"/>
      <c r="BO778" s="40"/>
      <c r="BP778" s="155"/>
      <c r="BQ778" s="314"/>
      <c r="BR778" s="314"/>
      <c r="BS778" s="314"/>
      <c r="BT778" s="314"/>
      <c r="BU778" s="314"/>
      <c r="BV778" s="314"/>
      <c r="BW778" s="314"/>
      <c r="BX778" s="155"/>
    </row>
    <row r="779" spans="1:76" ht="15.75" customHeight="1">
      <c r="A779" s="25"/>
      <c r="B779" s="39"/>
      <c r="C779" s="155"/>
      <c r="D779" s="155"/>
      <c r="E779" s="40"/>
      <c r="F779" s="314"/>
      <c r="H779" s="315"/>
      <c r="I779" s="315"/>
      <c r="BA779" s="30"/>
      <c r="BB779" s="155"/>
      <c r="BC779" s="314"/>
      <c r="BD779" s="314"/>
      <c r="BE779" s="314"/>
      <c r="BF779" s="314"/>
      <c r="BG779" s="314"/>
      <c r="BH779" s="314"/>
      <c r="BI779" s="314"/>
      <c r="BJ779" s="314"/>
      <c r="BK779" s="40"/>
      <c r="BL779" s="40"/>
      <c r="BM779" s="40"/>
      <c r="BN779" s="40"/>
      <c r="BO779" s="40"/>
      <c r="BP779" s="155"/>
      <c r="BQ779" s="314"/>
      <c r="BR779" s="314"/>
      <c r="BS779" s="314"/>
      <c r="BT779" s="314"/>
      <c r="BU779" s="314"/>
      <c r="BV779" s="314"/>
      <c r="BW779" s="314"/>
      <c r="BX779" s="155"/>
    </row>
    <row r="780" spans="1:76" ht="15.75" customHeight="1">
      <c r="A780" s="25"/>
      <c r="B780" s="39"/>
      <c r="C780" s="155"/>
      <c r="D780" s="155"/>
      <c r="E780" s="40"/>
      <c r="F780" s="314"/>
      <c r="H780" s="315"/>
      <c r="I780" s="315"/>
      <c r="BA780" s="30"/>
      <c r="BB780" s="155"/>
      <c r="BC780" s="314"/>
      <c r="BD780" s="314"/>
      <c r="BE780" s="314"/>
      <c r="BF780" s="314"/>
      <c r="BG780" s="314"/>
      <c r="BH780" s="314"/>
      <c r="BI780" s="314"/>
      <c r="BJ780" s="314"/>
      <c r="BK780" s="40"/>
      <c r="BL780" s="40"/>
      <c r="BM780" s="40"/>
      <c r="BN780" s="40"/>
      <c r="BO780" s="40"/>
      <c r="BP780" s="155"/>
      <c r="BQ780" s="314"/>
      <c r="BR780" s="314"/>
      <c r="BS780" s="314"/>
      <c r="BT780" s="314"/>
      <c r="BU780" s="314"/>
      <c r="BV780" s="314"/>
      <c r="BW780" s="314"/>
      <c r="BX780" s="155"/>
    </row>
    <row r="781" spans="1:76" ht="15.75" customHeight="1">
      <c r="A781" s="25"/>
      <c r="B781" s="39"/>
      <c r="C781" s="155"/>
      <c r="D781" s="155"/>
      <c r="E781" s="341"/>
      <c r="F781" s="314"/>
      <c r="H781" s="315"/>
      <c r="I781" s="315"/>
      <c r="BA781" s="30"/>
      <c r="BB781" s="321"/>
      <c r="BC781" s="314"/>
      <c r="BD781" s="314"/>
      <c r="BE781" s="314"/>
      <c r="BF781" s="314"/>
      <c r="BG781" s="314"/>
      <c r="BH781" s="314"/>
      <c r="BI781" s="314"/>
      <c r="BJ781" s="314"/>
      <c r="BK781" s="40"/>
      <c r="BL781" s="40"/>
      <c r="BM781" s="40"/>
      <c r="BN781" s="40"/>
      <c r="BO781" s="40"/>
      <c r="BP781" s="155"/>
      <c r="BQ781" s="314"/>
      <c r="BR781" s="314"/>
      <c r="BS781" s="314"/>
      <c r="BT781" s="314"/>
      <c r="BU781" s="314"/>
      <c r="BV781" s="314"/>
      <c r="BW781" s="314"/>
      <c r="BX781" s="155"/>
    </row>
    <row r="782" spans="1:76" ht="15.75" customHeight="1">
      <c r="A782" s="25"/>
      <c r="B782" s="39"/>
      <c r="C782" s="155"/>
      <c r="D782" s="155"/>
      <c r="E782" s="40"/>
      <c r="F782" s="314"/>
      <c r="H782" s="315"/>
      <c r="I782" s="315"/>
      <c r="BA782" s="30"/>
      <c r="BB782" s="155"/>
      <c r="BC782" s="314"/>
      <c r="BD782" s="314"/>
      <c r="BE782" s="314"/>
      <c r="BF782" s="314"/>
      <c r="BG782" s="314"/>
      <c r="BH782" s="314"/>
      <c r="BI782" s="314"/>
      <c r="BJ782" s="314"/>
      <c r="BK782" s="40"/>
      <c r="BL782" s="40"/>
      <c r="BM782" s="40"/>
      <c r="BN782" s="40"/>
      <c r="BO782" s="40"/>
      <c r="BP782" s="155"/>
      <c r="BQ782" s="314"/>
      <c r="BR782" s="314"/>
      <c r="BS782" s="314"/>
      <c r="BT782" s="314"/>
      <c r="BU782" s="314"/>
      <c r="BV782" s="314"/>
      <c r="BW782" s="314"/>
      <c r="BX782" s="155"/>
    </row>
    <row r="783" spans="1:76" ht="15.75" customHeight="1">
      <c r="A783" s="25"/>
      <c r="B783" s="39"/>
      <c r="C783" s="155"/>
      <c r="D783" s="155"/>
      <c r="E783" s="40"/>
      <c r="F783" s="314"/>
      <c r="H783" s="315"/>
      <c r="I783" s="315"/>
      <c r="BA783" s="30"/>
      <c r="BB783" s="155"/>
      <c r="BC783" s="314"/>
      <c r="BD783" s="314"/>
      <c r="BE783" s="314"/>
      <c r="BF783" s="314"/>
      <c r="BG783" s="314"/>
      <c r="BH783" s="314"/>
      <c r="BI783" s="314"/>
      <c r="BJ783" s="314"/>
      <c r="BK783" s="40"/>
      <c r="BL783" s="40"/>
      <c r="BM783" s="40"/>
      <c r="BN783" s="40"/>
      <c r="BO783" s="40"/>
      <c r="BP783" s="155"/>
      <c r="BQ783" s="314"/>
      <c r="BR783" s="314"/>
      <c r="BS783" s="314"/>
      <c r="BT783" s="314"/>
      <c r="BU783" s="314"/>
      <c r="BV783" s="314"/>
      <c r="BW783" s="314"/>
      <c r="BX783" s="155"/>
    </row>
    <row r="784" spans="1:76" ht="15.75" customHeight="1">
      <c r="A784" s="25"/>
      <c r="B784" s="39"/>
      <c r="C784" s="155"/>
      <c r="D784" s="155"/>
      <c r="E784" s="40"/>
      <c r="F784" s="314"/>
      <c r="H784" s="315"/>
      <c r="I784" s="315"/>
      <c r="BA784" s="30"/>
      <c r="BB784" s="155"/>
      <c r="BC784" s="314"/>
      <c r="BD784" s="314"/>
      <c r="BE784" s="314"/>
      <c r="BF784" s="314"/>
      <c r="BG784" s="314"/>
      <c r="BH784" s="314"/>
      <c r="BI784" s="314"/>
      <c r="BJ784" s="314"/>
      <c r="BK784" s="40"/>
      <c r="BL784" s="40"/>
      <c r="BM784" s="40"/>
      <c r="BN784" s="40"/>
      <c r="BO784" s="40"/>
      <c r="BP784" s="155"/>
      <c r="BQ784" s="314"/>
      <c r="BR784" s="314"/>
      <c r="BS784" s="314"/>
      <c r="BT784" s="314"/>
      <c r="BU784" s="314"/>
      <c r="BV784" s="314"/>
      <c r="BW784" s="314"/>
      <c r="BX784" s="155"/>
    </row>
    <row r="785" spans="1:76" ht="15.75" customHeight="1">
      <c r="A785" s="25"/>
      <c r="B785" s="39"/>
      <c r="C785" s="155"/>
      <c r="D785" s="155"/>
      <c r="E785" s="40"/>
      <c r="F785" s="314"/>
      <c r="H785" s="315"/>
      <c r="I785" s="315"/>
      <c r="BA785" s="30"/>
      <c r="BB785" s="155"/>
      <c r="BC785" s="314"/>
      <c r="BD785" s="314"/>
      <c r="BE785" s="314"/>
      <c r="BF785" s="314"/>
      <c r="BG785" s="314"/>
      <c r="BH785" s="314"/>
      <c r="BI785" s="314"/>
      <c r="BJ785" s="314"/>
      <c r="BK785" s="40"/>
      <c r="BL785" s="40"/>
      <c r="BM785" s="40"/>
      <c r="BN785" s="40"/>
      <c r="BO785" s="40"/>
      <c r="BP785" s="155"/>
      <c r="BQ785" s="314"/>
      <c r="BR785" s="314"/>
      <c r="BS785" s="314"/>
      <c r="BT785" s="314"/>
      <c r="BU785" s="314"/>
      <c r="BV785" s="314"/>
      <c r="BW785" s="314"/>
      <c r="BX785" s="155"/>
    </row>
    <row r="786" spans="1:76" ht="15.75" customHeight="1">
      <c r="A786" s="25"/>
      <c r="B786" s="39"/>
      <c r="C786" s="155"/>
      <c r="D786" s="155"/>
      <c r="E786" s="40"/>
      <c r="F786" s="314"/>
      <c r="H786" s="315"/>
      <c r="I786" s="315"/>
      <c r="BA786" s="30"/>
      <c r="BB786" s="155"/>
      <c r="BC786" s="314"/>
      <c r="BD786" s="314"/>
      <c r="BE786" s="314"/>
      <c r="BF786" s="314"/>
      <c r="BG786" s="314"/>
      <c r="BH786" s="314"/>
      <c r="BI786" s="314"/>
      <c r="BJ786" s="314"/>
      <c r="BK786" s="40"/>
      <c r="BL786" s="40"/>
      <c r="BM786" s="40"/>
      <c r="BN786" s="40"/>
      <c r="BO786" s="40"/>
      <c r="BP786" s="155"/>
      <c r="BQ786" s="314"/>
      <c r="BR786" s="314"/>
      <c r="BS786" s="314"/>
      <c r="BT786" s="314"/>
      <c r="BU786" s="314"/>
      <c r="BV786" s="314"/>
      <c r="BW786" s="314"/>
      <c r="BX786" s="155"/>
    </row>
    <row r="787" spans="1:76" ht="15.75" customHeight="1">
      <c r="A787" s="25"/>
      <c r="B787" s="39"/>
      <c r="C787" s="155"/>
      <c r="D787" s="155"/>
      <c r="E787" s="40"/>
      <c r="F787" s="314"/>
      <c r="H787" s="315"/>
      <c r="I787" s="315"/>
      <c r="BA787" s="30"/>
      <c r="BB787" s="155"/>
      <c r="BC787" s="314"/>
      <c r="BD787" s="314"/>
      <c r="BE787" s="314"/>
      <c r="BF787" s="314"/>
      <c r="BG787" s="314"/>
      <c r="BH787" s="314"/>
      <c r="BI787" s="314"/>
      <c r="BJ787" s="314"/>
      <c r="BK787" s="40"/>
      <c r="BL787" s="40"/>
      <c r="BM787" s="40"/>
      <c r="BN787" s="40"/>
      <c r="BO787" s="40"/>
      <c r="BP787" s="155"/>
      <c r="BQ787" s="314"/>
      <c r="BR787" s="314"/>
      <c r="BS787" s="314"/>
      <c r="BT787" s="314"/>
      <c r="BU787" s="314"/>
      <c r="BV787" s="314"/>
      <c r="BW787" s="314"/>
      <c r="BX787" s="155"/>
    </row>
    <row r="788" spans="1:76" ht="15.75" customHeight="1">
      <c r="A788" s="25"/>
      <c r="B788" s="39"/>
      <c r="C788" s="155"/>
      <c r="D788" s="155"/>
      <c r="E788" s="40"/>
      <c r="F788" s="314"/>
      <c r="H788" s="315"/>
      <c r="I788" s="315"/>
      <c r="BA788" s="30"/>
      <c r="BB788" s="155"/>
      <c r="BC788" s="314"/>
      <c r="BD788" s="314"/>
      <c r="BE788" s="314"/>
      <c r="BF788" s="314"/>
      <c r="BG788" s="314"/>
      <c r="BH788" s="314"/>
      <c r="BI788" s="314"/>
      <c r="BJ788" s="314"/>
      <c r="BK788" s="40"/>
      <c r="BL788" s="40"/>
      <c r="BM788" s="40"/>
      <c r="BN788" s="40"/>
      <c r="BO788" s="40"/>
      <c r="BP788" s="155"/>
      <c r="BQ788" s="314"/>
      <c r="BR788" s="314"/>
      <c r="BS788" s="314"/>
      <c r="BT788" s="314"/>
      <c r="BU788" s="314"/>
      <c r="BV788" s="314"/>
      <c r="BW788" s="314"/>
      <c r="BX788" s="155"/>
    </row>
    <row r="789" spans="1:76" ht="15.75" customHeight="1">
      <c r="A789" s="25"/>
      <c r="B789" s="39"/>
      <c r="C789" s="155"/>
      <c r="D789" s="155"/>
      <c r="E789" s="341"/>
      <c r="F789" s="314"/>
      <c r="H789" s="315"/>
      <c r="I789" s="315"/>
      <c r="BA789" s="30"/>
      <c r="BB789" s="321"/>
      <c r="BC789" s="314"/>
      <c r="BD789" s="314"/>
      <c r="BE789" s="314"/>
      <c r="BF789" s="314"/>
      <c r="BG789" s="314"/>
      <c r="BH789" s="314"/>
      <c r="BI789" s="314"/>
      <c r="BJ789" s="314"/>
      <c r="BK789" s="40"/>
      <c r="BL789" s="40"/>
      <c r="BM789" s="40"/>
      <c r="BN789" s="40"/>
      <c r="BO789" s="40"/>
      <c r="BP789" s="155"/>
      <c r="BQ789" s="314"/>
      <c r="BR789" s="314"/>
      <c r="BS789" s="314"/>
      <c r="BT789" s="314"/>
      <c r="BU789" s="314"/>
      <c r="BV789" s="314"/>
      <c r="BW789" s="314"/>
      <c r="BX789" s="155"/>
    </row>
    <row r="790" spans="1:76" ht="15.75" customHeight="1">
      <c r="A790" s="25"/>
      <c r="B790" s="39"/>
      <c r="C790" s="155"/>
      <c r="D790" s="155"/>
      <c r="E790" s="40"/>
      <c r="F790" s="314"/>
      <c r="H790" s="315"/>
      <c r="I790" s="315"/>
      <c r="BA790" s="30"/>
      <c r="BB790" s="155"/>
      <c r="BC790" s="314"/>
      <c r="BD790" s="314"/>
      <c r="BE790" s="314"/>
      <c r="BF790" s="314"/>
      <c r="BG790" s="314"/>
      <c r="BH790" s="314"/>
      <c r="BI790" s="314"/>
      <c r="BJ790" s="314"/>
      <c r="BK790" s="40"/>
      <c r="BL790" s="40"/>
      <c r="BM790" s="40"/>
      <c r="BN790" s="40"/>
      <c r="BO790" s="40"/>
      <c r="BP790" s="155"/>
      <c r="BQ790" s="314"/>
      <c r="BR790" s="314"/>
      <c r="BS790" s="314"/>
      <c r="BT790" s="314"/>
      <c r="BU790" s="314"/>
      <c r="BV790" s="314"/>
      <c r="BW790" s="314"/>
      <c r="BX790" s="155"/>
    </row>
    <row r="791" spans="1:76" ht="15.75" customHeight="1">
      <c r="A791" s="25"/>
      <c r="B791" s="39"/>
      <c r="C791" s="155"/>
      <c r="D791" s="155"/>
      <c r="E791" s="40"/>
      <c r="F791" s="314"/>
      <c r="H791" s="315"/>
      <c r="I791" s="315"/>
      <c r="BA791" s="30"/>
      <c r="BB791" s="155"/>
      <c r="BC791" s="314"/>
      <c r="BD791" s="314"/>
      <c r="BE791" s="314"/>
      <c r="BF791" s="314"/>
      <c r="BG791" s="314"/>
      <c r="BH791" s="314"/>
      <c r="BI791" s="314"/>
      <c r="BJ791" s="314"/>
      <c r="BK791" s="40"/>
      <c r="BL791" s="40"/>
      <c r="BM791" s="40"/>
      <c r="BN791" s="40"/>
      <c r="BO791" s="40"/>
      <c r="BP791" s="155"/>
      <c r="BQ791" s="314"/>
      <c r="BR791" s="314"/>
      <c r="BS791" s="314"/>
      <c r="BT791" s="314"/>
      <c r="BU791" s="314"/>
      <c r="BV791" s="314"/>
      <c r="BW791" s="314"/>
      <c r="BX791" s="155"/>
    </row>
    <row r="792" spans="1:76" ht="15.75" customHeight="1">
      <c r="A792" s="25"/>
      <c r="B792" s="39"/>
      <c r="C792" s="155"/>
      <c r="D792" s="155"/>
      <c r="E792" s="40"/>
      <c r="F792" s="314"/>
      <c r="H792" s="315"/>
      <c r="I792" s="315"/>
      <c r="BA792" s="30"/>
      <c r="BB792" s="155"/>
      <c r="BC792" s="314"/>
      <c r="BD792" s="314"/>
      <c r="BE792" s="314"/>
      <c r="BF792" s="314"/>
      <c r="BG792" s="314"/>
      <c r="BH792" s="314"/>
      <c r="BI792" s="314"/>
      <c r="BJ792" s="314"/>
      <c r="BK792" s="40"/>
      <c r="BL792" s="40"/>
      <c r="BM792" s="40"/>
      <c r="BN792" s="40"/>
      <c r="BO792" s="40"/>
      <c r="BP792" s="155"/>
      <c r="BQ792" s="314"/>
      <c r="BR792" s="314"/>
      <c r="BS792" s="314"/>
      <c r="BT792" s="314"/>
      <c r="BU792" s="314"/>
      <c r="BV792" s="314"/>
      <c r="BW792" s="314"/>
      <c r="BX792" s="155"/>
    </row>
    <row r="793" spans="1:76" ht="15.75" customHeight="1">
      <c r="A793" s="25"/>
      <c r="B793" s="39"/>
      <c r="C793" s="155"/>
      <c r="D793" s="155"/>
      <c r="E793" s="40"/>
      <c r="F793" s="314"/>
      <c r="H793" s="315"/>
      <c r="I793" s="315"/>
      <c r="BA793" s="30"/>
      <c r="BB793" s="155"/>
      <c r="BC793" s="314"/>
      <c r="BD793" s="314"/>
      <c r="BE793" s="314"/>
      <c r="BF793" s="314"/>
      <c r="BG793" s="314"/>
      <c r="BH793" s="314"/>
      <c r="BI793" s="314"/>
      <c r="BJ793" s="314"/>
      <c r="BK793" s="40"/>
      <c r="BL793" s="40"/>
      <c r="BM793" s="40"/>
      <c r="BN793" s="40"/>
      <c r="BO793" s="40"/>
      <c r="BP793" s="155"/>
      <c r="BQ793" s="314"/>
      <c r="BR793" s="314"/>
      <c r="BS793" s="314"/>
      <c r="BT793" s="314"/>
      <c r="BU793" s="314"/>
      <c r="BV793" s="314"/>
      <c r="BW793" s="314"/>
      <c r="BX793" s="155"/>
    </row>
    <row r="794" spans="1:76" ht="15.75" customHeight="1">
      <c r="A794" s="25"/>
      <c r="B794" s="39"/>
      <c r="C794" s="155"/>
      <c r="D794" s="155"/>
      <c r="E794" s="40"/>
      <c r="F794" s="314"/>
      <c r="H794" s="315"/>
      <c r="I794" s="315"/>
      <c r="BA794" s="30"/>
      <c r="BB794" s="155"/>
      <c r="BC794" s="322"/>
      <c r="BD794" s="322"/>
      <c r="BE794" s="322"/>
      <c r="BF794" s="322"/>
      <c r="BG794" s="322"/>
      <c r="BH794" s="322"/>
      <c r="BI794" s="322"/>
      <c r="BJ794" s="322"/>
      <c r="BK794" s="341"/>
      <c r="BL794" s="40"/>
      <c r="BM794" s="40"/>
      <c r="BN794" s="40"/>
      <c r="BO794" s="40"/>
      <c r="BP794" s="155"/>
      <c r="BQ794" s="314"/>
      <c r="BR794" s="314"/>
      <c r="BS794" s="314"/>
      <c r="BT794" s="314"/>
      <c r="BU794" s="314"/>
      <c r="BV794" s="314"/>
      <c r="BW794" s="314"/>
      <c r="BX794" s="155"/>
    </row>
    <row r="795" spans="1:76" ht="15.75" customHeight="1">
      <c r="A795" s="25"/>
      <c r="B795" s="39"/>
      <c r="C795" s="155"/>
      <c r="D795" s="155"/>
      <c r="E795" s="40"/>
      <c r="F795" s="314"/>
      <c r="H795" s="315"/>
      <c r="I795" s="315"/>
      <c r="BA795" s="30"/>
      <c r="BB795" s="155"/>
      <c r="BC795" s="314"/>
      <c r="BD795" s="314"/>
      <c r="BE795" s="314"/>
      <c r="BF795" s="314"/>
      <c r="BG795" s="314"/>
      <c r="BH795" s="314"/>
      <c r="BI795" s="314"/>
      <c r="BJ795" s="314"/>
      <c r="BK795" s="40"/>
      <c r="BL795" s="40"/>
      <c r="BM795" s="40"/>
      <c r="BN795" s="40"/>
      <c r="BO795" s="40"/>
      <c r="BP795" s="155"/>
      <c r="BQ795" s="314"/>
      <c r="BR795" s="314"/>
      <c r="BS795" s="314"/>
      <c r="BT795" s="314"/>
      <c r="BU795" s="314"/>
      <c r="BV795" s="314"/>
      <c r="BW795" s="314"/>
      <c r="BX795" s="155"/>
    </row>
    <row r="796" spans="1:76" ht="15.75" customHeight="1">
      <c r="A796" s="25"/>
      <c r="B796" s="39"/>
      <c r="C796" s="155"/>
      <c r="D796" s="155"/>
      <c r="E796" s="40"/>
      <c r="F796" s="314"/>
      <c r="H796" s="315"/>
      <c r="I796" s="315"/>
      <c r="BA796" s="30"/>
      <c r="BB796" s="155"/>
      <c r="BC796" s="314"/>
      <c r="BD796" s="314"/>
      <c r="BE796" s="314"/>
      <c r="BF796" s="314"/>
      <c r="BG796" s="314"/>
      <c r="BH796" s="314"/>
      <c r="BI796" s="314"/>
      <c r="BJ796" s="314"/>
      <c r="BK796" s="40"/>
      <c r="BL796" s="40"/>
      <c r="BM796" s="40"/>
      <c r="BN796" s="40"/>
      <c r="BO796" s="40"/>
      <c r="BP796" s="155"/>
      <c r="BQ796" s="314"/>
      <c r="BR796" s="314"/>
      <c r="BS796" s="314"/>
      <c r="BT796" s="314"/>
      <c r="BU796" s="314"/>
      <c r="BV796" s="314"/>
      <c r="BW796" s="314"/>
      <c r="BX796" s="155"/>
    </row>
    <row r="797" spans="1:76" ht="15.75" customHeight="1">
      <c r="A797" s="25"/>
      <c r="B797" s="39"/>
      <c r="C797" s="155"/>
      <c r="D797" s="155"/>
      <c r="E797" s="341"/>
      <c r="F797" s="314"/>
      <c r="H797" s="315"/>
      <c r="I797" s="315"/>
      <c r="BA797" s="30"/>
      <c r="BB797" s="321"/>
      <c r="BC797" s="314"/>
      <c r="BD797" s="314"/>
      <c r="BE797" s="314"/>
      <c r="BF797" s="314"/>
      <c r="BG797" s="314"/>
      <c r="BH797" s="314"/>
      <c r="BI797" s="314"/>
      <c r="BJ797" s="314"/>
      <c r="BK797" s="40"/>
      <c r="BL797" s="40"/>
      <c r="BM797" s="40"/>
      <c r="BN797" s="40"/>
      <c r="BO797" s="40"/>
      <c r="BP797" s="155"/>
      <c r="BQ797" s="314"/>
      <c r="BR797" s="314"/>
      <c r="BS797" s="314"/>
      <c r="BT797" s="314"/>
      <c r="BU797" s="314"/>
      <c r="BV797" s="314"/>
      <c r="BW797" s="314"/>
      <c r="BX797" s="155"/>
    </row>
    <row r="798" spans="1:76" ht="15.75" customHeight="1">
      <c r="A798" s="25"/>
      <c r="B798" s="39"/>
      <c r="C798" s="155"/>
      <c r="D798" s="155"/>
      <c r="E798" s="40"/>
      <c r="F798" s="314"/>
      <c r="H798" s="315"/>
      <c r="I798" s="315"/>
      <c r="BA798" s="30"/>
      <c r="BB798" s="155"/>
      <c r="BC798" s="314"/>
      <c r="BD798" s="314"/>
      <c r="BE798" s="314"/>
      <c r="BF798" s="314"/>
      <c r="BG798" s="314"/>
      <c r="BH798" s="314"/>
      <c r="BI798" s="314"/>
      <c r="BJ798" s="314"/>
      <c r="BK798" s="40"/>
      <c r="BL798" s="40"/>
      <c r="BM798" s="40"/>
      <c r="BN798" s="40"/>
      <c r="BO798" s="40"/>
      <c r="BP798" s="155"/>
      <c r="BQ798" s="314"/>
      <c r="BR798" s="314"/>
      <c r="BS798" s="314"/>
      <c r="BT798" s="314"/>
      <c r="BU798" s="314"/>
      <c r="BV798" s="314"/>
      <c r="BW798" s="314"/>
      <c r="BX798" s="155"/>
    </row>
    <row r="799" spans="1:76" ht="15.75" customHeight="1">
      <c r="A799" s="25"/>
      <c r="B799" s="39"/>
      <c r="C799" s="155"/>
      <c r="D799" s="155"/>
      <c r="E799" s="40"/>
      <c r="F799" s="314"/>
      <c r="H799" s="315"/>
      <c r="I799" s="315"/>
      <c r="BA799" s="30"/>
      <c r="BB799" s="155"/>
      <c r="BC799" s="314"/>
      <c r="BD799" s="314"/>
      <c r="BE799" s="314"/>
      <c r="BF799" s="314"/>
      <c r="BG799" s="314"/>
      <c r="BH799" s="314"/>
      <c r="BI799" s="314"/>
      <c r="BJ799" s="314"/>
      <c r="BK799" s="40"/>
      <c r="BL799" s="40"/>
      <c r="BM799" s="40"/>
      <c r="BN799" s="40"/>
      <c r="BO799" s="40"/>
      <c r="BP799" s="155"/>
      <c r="BQ799" s="314"/>
      <c r="BR799" s="314"/>
      <c r="BS799" s="314"/>
      <c r="BT799" s="314"/>
      <c r="BU799" s="314"/>
      <c r="BV799" s="314"/>
      <c r="BW799" s="314"/>
      <c r="BX799" s="155"/>
    </row>
    <row r="800" spans="1:76" ht="15.75" customHeight="1">
      <c r="A800" s="25"/>
      <c r="B800" s="39"/>
      <c r="C800" s="155"/>
      <c r="D800" s="155"/>
      <c r="E800" s="40"/>
      <c r="F800" s="314"/>
      <c r="H800" s="315"/>
      <c r="I800" s="315"/>
      <c r="BA800" s="30"/>
      <c r="BB800" s="155"/>
      <c r="BC800" s="314"/>
      <c r="BD800" s="314"/>
      <c r="BE800" s="314"/>
      <c r="BF800" s="314"/>
      <c r="BG800" s="314"/>
      <c r="BH800" s="314"/>
      <c r="BI800" s="314"/>
      <c r="BJ800" s="314"/>
      <c r="BK800" s="40"/>
      <c r="BL800" s="40"/>
      <c r="BM800" s="40"/>
      <c r="BN800" s="40"/>
      <c r="BO800" s="40"/>
      <c r="BP800" s="155"/>
      <c r="BQ800" s="314"/>
      <c r="BR800" s="314"/>
      <c r="BS800" s="314"/>
      <c r="BT800" s="314"/>
      <c r="BU800" s="314"/>
      <c r="BV800" s="314"/>
      <c r="BW800" s="314"/>
      <c r="BX800" s="155"/>
    </row>
    <row r="801" spans="1:76" ht="15.75" customHeight="1">
      <c r="A801" s="25"/>
      <c r="B801" s="39"/>
      <c r="C801" s="155"/>
      <c r="D801" s="155"/>
      <c r="E801" s="40"/>
      <c r="F801" s="314"/>
      <c r="H801" s="315"/>
      <c r="I801" s="315"/>
      <c r="BA801" s="30"/>
      <c r="BB801" s="155"/>
      <c r="BC801" s="314"/>
      <c r="BD801" s="314"/>
      <c r="BE801" s="314"/>
      <c r="BF801" s="314"/>
      <c r="BG801" s="314"/>
      <c r="BH801" s="314"/>
      <c r="BI801" s="314"/>
      <c r="BJ801" s="314"/>
      <c r="BK801" s="40"/>
      <c r="BL801" s="40"/>
      <c r="BM801" s="40"/>
      <c r="BN801" s="40"/>
      <c r="BO801" s="40"/>
      <c r="BP801" s="155"/>
      <c r="BQ801" s="314"/>
      <c r="BR801" s="314"/>
      <c r="BS801" s="314"/>
      <c r="BT801" s="314"/>
      <c r="BU801" s="314"/>
      <c r="BV801" s="314"/>
      <c r="BW801" s="314"/>
      <c r="BX801" s="155"/>
    </row>
    <row r="802" spans="1:76" ht="15.75" customHeight="1">
      <c r="A802" s="25"/>
      <c r="B802" s="39"/>
      <c r="C802" s="155"/>
      <c r="D802" s="155"/>
      <c r="E802" s="40"/>
      <c r="F802" s="314"/>
      <c r="H802" s="315"/>
      <c r="I802" s="315"/>
      <c r="BA802" s="30"/>
      <c r="BB802" s="155"/>
      <c r="BC802" s="314"/>
      <c r="BD802" s="314"/>
      <c r="BE802" s="314"/>
      <c r="BF802" s="314"/>
      <c r="BG802" s="314"/>
      <c r="BH802" s="314"/>
      <c r="BI802" s="314"/>
      <c r="BJ802" s="314"/>
      <c r="BK802" s="40"/>
      <c r="BL802" s="40"/>
      <c r="BM802" s="40"/>
      <c r="BN802" s="40"/>
      <c r="BO802" s="40"/>
      <c r="BP802" s="155"/>
      <c r="BQ802" s="314"/>
      <c r="BR802" s="314"/>
      <c r="BS802" s="314"/>
      <c r="BT802" s="314"/>
      <c r="BU802" s="314"/>
      <c r="BV802" s="314"/>
      <c r="BW802" s="314"/>
      <c r="BX802" s="155"/>
    </row>
    <row r="803" spans="1:76" ht="15.75" customHeight="1">
      <c r="A803" s="25"/>
      <c r="B803" s="39"/>
      <c r="C803" s="155"/>
      <c r="D803" s="155"/>
      <c r="E803" s="40"/>
      <c r="F803" s="314"/>
      <c r="H803" s="315"/>
      <c r="I803" s="315"/>
      <c r="BA803" s="30"/>
      <c r="BB803" s="155"/>
      <c r="BC803" s="314"/>
      <c r="BD803" s="314"/>
      <c r="BE803" s="314"/>
      <c r="BF803" s="314"/>
      <c r="BG803" s="314"/>
      <c r="BH803" s="314"/>
      <c r="BI803" s="314"/>
      <c r="BJ803" s="314"/>
      <c r="BK803" s="40"/>
      <c r="BL803" s="40"/>
      <c r="BM803" s="40"/>
      <c r="BN803" s="40"/>
      <c r="BO803" s="40"/>
      <c r="BP803" s="155"/>
      <c r="BQ803" s="314"/>
      <c r="BR803" s="314"/>
      <c r="BS803" s="314"/>
      <c r="BT803" s="314"/>
      <c r="BU803" s="314"/>
      <c r="BV803" s="314"/>
      <c r="BW803" s="314"/>
      <c r="BX803" s="155"/>
    </row>
    <row r="804" spans="1:76" ht="15.75" customHeight="1">
      <c r="A804" s="25"/>
      <c r="B804" s="39"/>
      <c r="C804" s="155"/>
      <c r="D804" s="155"/>
      <c r="E804" s="40"/>
      <c r="F804" s="314"/>
      <c r="H804" s="315"/>
      <c r="I804" s="315"/>
      <c r="BA804" s="30"/>
      <c r="BB804" s="155"/>
      <c r="BC804" s="314"/>
      <c r="BD804" s="314"/>
      <c r="BE804" s="314"/>
      <c r="BF804" s="314"/>
      <c r="BG804" s="314"/>
      <c r="BH804" s="314"/>
      <c r="BI804" s="314"/>
      <c r="BJ804" s="314"/>
      <c r="BK804" s="40"/>
      <c r="BL804" s="40"/>
      <c r="BM804" s="40"/>
      <c r="BN804" s="40"/>
      <c r="BO804" s="40"/>
      <c r="BP804" s="155"/>
      <c r="BQ804" s="314"/>
      <c r="BR804" s="314"/>
      <c r="BS804" s="314"/>
      <c r="BT804" s="314"/>
      <c r="BU804" s="314"/>
      <c r="BV804" s="314"/>
      <c r="BW804" s="314"/>
      <c r="BX804" s="155"/>
    </row>
    <row r="805" spans="1:76" ht="15.75" customHeight="1">
      <c r="A805" s="25"/>
      <c r="B805" s="39"/>
      <c r="C805" s="155"/>
      <c r="D805" s="155"/>
      <c r="E805" s="341"/>
      <c r="F805" s="314"/>
      <c r="H805" s="315"/>
      <c r="I805" s="315"/>
      <c r="BA805" s="30"/>
      <c r="BB805" s="321"/>
      <c r="BC805" s="314"/>
      <c r="BD805" s="314"/>
      <c r="BE805" s="314"/>
      <c r="BF805" s="314"/>
      <c r="BG805" s="314"/>
      <c r="BH805" s="314"/>
      <c r="BI805" s="314"/>
      <c r="BJ805" s="314"/>
      <c r="BK805" s="40"/>
      <c r="BL805" s="40"/>
      <c r="BM805" s="40"/>
      <c r="BN805" s="40"/>
      <c r="BO805" s="40"/>
      <c r="BP805" s="155"/>
      <c r="BQ805" s="314"/>
      <c r="BR805" s="314"/>
      <c r="BS805" s="314"/>
      <c r="BT805" s="314"/>
      <c r="BU805" s="314"/>
      <c r="BV805" s="314"/>
      <c r="BW805" s="314"/>
      <c r="BX805" s="155"/>
    </row>
    <row r="806" spans="1:76" ht="15.75" customHeight="1">
      <c r="A806" s="25"/>
      <c r="B806" s="39"/>
      <c r="C806" s="155"/>
      <c r="D806" s="155"/>
      <c r="E806" s="40"/>
      <c r="F806" s="314"/>
      <c r="H806" s="315"/>
      <c r="I806" s="315"/>
      <c r="BA806" s="30"/>
      <c r="BB806" s="155"/>
      <c r="BC806" s="314"/>
      <c r="BD806" s="314"/>
      <c r="BE806" s="314"/>
      <c r="BF806" s="314"/>
      <c r="BG806" s="314"/>
      <c r="BH806" s="314"/>
      <c r="BI806" s="314"/>
      <c r="BJ806" s="314"/>
      <c r="BK806" s="40"/>
      <c r="BL806" s="40"/>
      <c r="BM806" s="40"/>
      <c r="BN806" s="40"/>
      <c r="BO806" s="40"/>
      <c r="BP806" s="155"/>
      <c r="BQ806" s="314"/>
      <c r="BR806" s="314"/>
      <c r="BS806" s="314"/>
      <c r="BT806" s="314"/>
      <c r="BU806" s="314"/>
      <c r="BV806" s="314"/>
      <c r="BW806" s="314"/>
      <c r="BX806" s="155"/>
    </row>
    <row r="807" spans="1:76" ht="15.75" customHeight="1">
      <c r="A807" s="25"/>
      <c r="B807" s="39"/>
      <c r="C807" s="155"/>
      <c r="D807" s="155"/>
      <c r="E807" s="40"/>
      <c r="F807" s="314"/>
      <c r="H807" s="315"/>
      <c r="I807" s="315"/>
      <c r="BA807" s="30"/>
      <c r="BB807" s="155"/>
      <c r="BC807" s="314"/>
      <c r="BD807" s="314"/>
      <c r="BE807" s="314"/>
      <c r="BF807" s="314"/>
      <c r="BG807" s="314"/>
      <c r="BH807" s="314"/>
      <c r="BI807" s="314"/>
      <c r="BJ807" s="314"/>
      <c r="BK807" s="40"/>
      <c r="BL807" s="40"/>
      <c r="BM807" s="40"/>
      <c r="BN807" s="40"/>
      <c r="BO807" s="40"/>
      <c r="BP807" s="155"/>
      <c r="BQ807" s="314"/>
      <c r="BR807" s="314"/>
      <c r="BS807" s="314"/>
      <c r="BT807" s="314"/>
      <c r="BU807" s="314"/>
      <c r="BV807" s="314"/>
      <c r="BW807" s="314"/>
      <c r="BX807" s="155"/>
    </row>
    <row r="808" spans="1:76" ht="15.75" customHeight="1">
      <c r="A808" s="25"/>
      <c r="B808" s="39"/>
      <c r="C808" s="155"/>
      <c r="D808" s="155"/>
      <c r="E808" s="40"/>
      <c r="F808" s="314"/>
      <c r="H808" s="315"/>
      <c r="I808" s="315"/>
      <c r="BA808" s="30"/>
      <c r="BB808" s="155"/>
      <c r="BC808" s="314"/>
      <c r="BD808" s="314"/>
      <c r="BE808" s="314"/>
      <c r="BF808" s="314"/>
      <c r="BG808" s="314"/>
      <c r="BH808" s="314"/>
      <c r="BI808" s="314"/>
      <c r="BJ808" s="314"/>
      <c r="BK808" s="40"/>
      <c r="BL808" s="40"/>
      <c r="BM808" s="40"/>
      <c r="BN808" s="40"/>
      <c r="BO808" s="40"/>
      <c r="BP808" s="155"/>
      <c r="BQ808" s="314"/>
      <c r="BR808" s="314"/>
      <c r="BS808" s="314"/>
      <c r="BT808" s="314"/>
      <c r="BU808" s="314"/>
      <c r="BV808" s="314"/>
      <c r="BW808" s="314"/>
      <c r="BX808" s="155"/>
    </row>
    <row r="809" spans="1:76" ht="15.75" customHeight="1">
      <c r="A809" s="25"/>
      <c r="B809" s="39"/>
      <c r="C809" s="155"/>
      <c r="D809" s="155"/>
      <c r="E809" s="40"/>
      <c r="F809" s="314"/>
      <c r="H809" s="315"/>
      <c r="I809" s="315"/>
      <c r="BA809" s="30"/>
      <c r="BB809" s="155"/>
      <c r="BC809" s="314"/>
      <c r="BD809" s="314"/>
      <c r="BE809" s="314"/>
      <c r="BF809" s="314"/>
      <c r="BG809" s="314"/>
      <c r="BH809" s="314"/>
      <c r="BI809" s="314"/>
      <c r="BJ809" s="314"/>
      <c r="BK809" s="40"/>
      <c r="BL809" s="40"/>
      <c r="BM809" s="40"/>
      <c r="BN809" s="40"/>
      <c r="BO809" s="40"/>
      <c r="BP809" s="155"/>
      <c r="BQ809" s="314"/>
      <c r="BR809" s="314"/>
      <c r="BS809" s="314"/>
      <c r="BT809" s="314"/>
      <c r="BU809" s="314"/>
      <c r="BV809" s="314"/>
      <c r="BW809" s="314"/>
      <c r="BX809" s="155"/>
    </row>
    <row r="810" spans="1:76" ht="15.75" customHeight="1">
      <c r="A810" s="25"/>
      <c r="B810" s="39"/>
      <c r="C810" s="155"/>
      <c r="D810" s="155"/>
      <c r="E810" s="40"/>
      <c r="F810" s="314"/>
      <c r="H810" s="315"/>
      <c r="I810" s="315"/>
      <c r="BA810" s="30"/>
      <c r="BB810" s="155"/>
      <c r="BC810" s="314"/>
      <c r="BD810" s="314"/>
      <c r="BE810" s="314"/>
      <c r="BF810" s="314"/>
      <c r="BG810" s="314"/>
      <c r="BH810" s="314"/>
      <c r="BI810" s="314"/>
      <c r="BJ810" s="314"/>
      <c r="BK810" s="40"/>
      <c r="BL810" s="40"/>
      <c r="BM810" s="40"/>
      <c r="BN810" s="40"/>
      <c r="BO810" s="40"/>
      <c r="BP810" s="155"/>
      <c r="BQ810" s="314"/>
      <c r="BR810" s="314"/>
      <c r="BS810" s="314"/>
      <c r="BT810" s="314"/>
      <c r="BU810" s="314"/>
      <c r="BV810" s="314"/>
      <c r="BW810" s="314"/>
      <c r="BX810" s="155"/>
    </row>
    <row r="811" spans="1:76" ht="15.75" customHeight="1">
      <c r="A811" s="25"/>
      <c r="B811" s="39"/>
      <c r="C811" s="155"/>
      <c r="D811" s="155"/>
      <c r="E811" s="40"/>
      <c r="F811" s="314"/>
      <c r="H811" s="315"/>
      <c r="I811" s="315"/>
      <c r="BA811" s="30"/>
      <c r="BB811" s="155"/>
      <c r="BC811" s="314"/>
      <c r="BD811" s="314"/>
      <c r="BE811" s="314"/>
      <c r="BF811" s="314"/>
      <c r="BG811" s="314"/>
      <c r="BH811" s="314"/>
      <c r="BI811" s="314"/>
      <c r="BJ811" s="314"/>
      <c r="BK811" s="40"/>
      <c r="BL811" s="40"/>
      <c r="BM811" s="40"/>
      <c r="BN811" s="40"/>
      <c r="BO811" s="40"/>
      <c r="BP811" s="155"/>
      <c r="BQ811" s="314"/>
      <c r="BR811" s="314"/>
      <c r="BS811" s="314"/>
      <c r="BT811" s="314"/>
      <c r="BU811" s="314"/>
      <c r="BV811" s="314"/>
      <c r="BW811" s="314"/>
      <c r="BX811" s="155"/>
    </row>
    <row r="812" spans="1:76" ht="15.75" customHeight="1">
      <c r="A812" s="25"/>
      <c r="B812" s="39"/>
      <c r="C812" s="155"/>
      <c r="D812" s="155"/>
      <c r="E812" s="40"/>
      <c r="F812" s="314"/>
      <c r="H812" s="315"/>
      <c r="I812" s="315"/>
      <c r="BA812" s="30"/>
      <c r="BB812" s="155"/>
      <c r="BC812" s="314"/>
      <c r="BD812" s="314"/>
      <c r="BE812" s="314"/>
      <c r="BF812" s="314"/>
      <c r="BG812" s="314"/>
      <c r="BH812" s="314"/>
      <c r="BI812" s="314"/>
      <c r="BJ812" s="314"/>
      <c r="BK812" s="40"/>
      <c r="BL812" s="40"/>
      <c r="BM812" s="40"/>
      <c r="BN812" s="40"/>
      <c r="BO812" s="40"/>
      <c r="BP812" s="155"/>
      <c r="BQ812" s="314"/>
      <c r="BR812" s="314"/>
      <c r="BS812" s="314"/>
      <c r="BT812" s="314"/>
      <c r="BU812" s="314"/>
      <c r="BV812" s="314"/>
      <c r="BW812" s="314"/>
      <c r="BX812" s="155"/>
    </row>
    <row r="813" spans="1:76" ht="15.75" customHeight="1">
      <c r="A813" s="25"/>
      <c r="B813" s="39"/>
      <c r="C813" s="155"/>
      <c r="D813" s="155"/>
      <c r="E813" s="341"/>
      <c r="F813" s="314"/>
      <c r="H813" s="315"/>
      <c r="I813" s="315"/>
      <c r="BA813" s="30"/>
      <c r="BB813" s="321"/>
      <c r="BC813" s="314"/>
      <c r="BD813" s="314"/>
      <c r="BE813" s="314"/>
      <c r="BF813" s="314"/>
      <c r="BG813" s="314"/>
      <c r="BH813" s="314"/>
      <c r="BI813" s="314"/>
      <c r="BJ813" s="314"/>
      <c r="BK813" s="40"/>
      <c r="BL813" s="40"/>
      <c r="BM813" s="40"/>
      <c r="BN813" s="40"/>
      <c r="BO813" s="40"/>
      <c r="BP813" s="155"/>
      <c r="BQ813" s="314"/>
      <c r="BR813" s="314"/>
      <c r="BS813" s="314"/>
      <c r="BT813" s="314"/>
      <c r="BU813" s="314"/>
      <c r="BV813" s="314"/>
      <c r="BW813" s="314"/>
      <c r="BX813" s="155"/>
    </row>
    <row r="814" spans="1:76" ht="15.75" customHeight="1">
      <c r="A814" s="25"/>
      <c r="B814" s="39"/>
      <c r="C814" s="155"/>
      <c r="D814" s="155"/>
      <c r="E814" s="40"/>
      <c r="F814" s="314"/>
      <c r="H814" s="315"/>
      <c r="I814" s="315"/>
      <c r="BA814" s="30"/>
      <c r="BB814" s="155"/>
      <c r="BC814" s="314"/>
      <c r="BD814" s="314"/>
      <c r="BE814" s="314"/>
      <c r="BF814" s="314"/>
      <c r="BG814" s="314"/>
      <c r="BH814" s="314"/>
      <c r="BI814" s="314"/>
      <c r="BJ814" s="314"/>
      <c r="BK814" s="40"/>
      <c r="BL814" s="40"/>
      <c r="BM814" s="40"/>
      <c r="BN814" s="40"/>
      <c r="BO814" s="40"/>
      <c r="BP814" s="155"/>
      <c r="BQ814" s="314"/>
      <c r="BR814" s="314"/>
      <c r="BS814" s="314"/>
      <c r="BT814" s="314"/>
      <c r="BU814" s="314"/>
      <c r="BV814" s="314"/>
      <c r="BW814" s="314"/>
      <c r="BX814" s="155"/>
    </row>
    <row r="815" spans="1:76" ht="15.75" customHeight="1">
      <c r="A815" s="25"/>
      <c r="B815" s="39"/>
      <c r="C815" s="155"/>
      <c r="D815" s="155"/>
      <c r="E815" s="40"/>
      <c r="F815" s="314"/>
      <c r="H815" s="315"/>
      <c r="I815" s="315"/>
      <c r="BA815" s="30"/>
      <c r="BB815" s="155"/>
      <c r="BC815" s="314"/>
      <c r="BD815" s="314"/>
      <c r="BE815" s="314"/>
      <c r="BF815" s="314"/>
      <c r="BG815" s="314"/>
      <c r="BH815" s="314"/>
      <c r="BI815" s="314"/>
      <c r="BJ815" s="314"/>
      <c r="BK815" s="40"/>
      <c r="BL815" s="40"/>
      <c r="BM815" s="40"/>
      <c r="BN815" s="40"/>
      <c r="BO815" s="40"/>
      <c r="BP815" s="155"/>
      <c r="BQ815" s="314"/>
      <c r="BR815" s="314"/>
      <c r="BS815" s="314"/>
      <c r="BT815" s="314"/>
      <c r="BU815" s="314"/>
      <c r="BV815" s="314"/>
      <c r="BW815" s="314"/>
      <c r="BX815" s="155"/>
    </row>
    <row r="816" spans="1:76" ht="15.75" customHeight="1">
      <c r="A816" s="25"/>
      <c r="B816" s="39"/>
      <c r="C816" s="155"/>
      <c r="D816" s="155"/>
      <c r="E816" s="40"/>
      <c r="F816" s="314"/>
      <c r="H816" s="315"/>
      <c r="I816" s="315"/>
      <c r="BA816" s="30"/>
      <c r="BB816" s="155"/>
      <c r="BC816" s="314"/>
      <c r="BD816" s="314"/>
      <c r="BE816" s="314"/>
      <c r="BF816" s="314"/>
      <c r="BG816" s="314"/>
      <c r="BH816" s="314"/>
      <c r="BI816" s="314"/>
      <c r="BJ816" s="314"/>
      <c r="BK816" s="40"/>
      <c r="BL816" s="40"/>
      <c r="BM816" s="40"/>
      <c r="BN816" s="40"/>
      <c r="BO816" s="40"/>
      <c r="BP816" s="155"/>
      <c r="BQ816" s="314"/>
      <c r="BR816" s="314"/>
      <c r="BS816" s="314"/>
      <c r="BT816" s="314"/>
      <c r="BU816" s="314"/>
      <c r="BV816" s="314"/>
      <c r="BW816" s="314"/>
      <c r="BX816" s="155"/>
    </row>
    <row r="817" spans="1:76" ht="15.75" customHeight="1">
      <c r="A817" s="25"/>
      <c r="B817" s="39"/>
      <c r="C817" s="155"/>
      <c r="D817" s="155"/>
      <c r="E817" s="40"/>
      <c r="F817" s="314"/>
      <c r="H817" s="315"/>
      <c r="I817" s="315"/>
      <c r="BA817" s="30"/>
      <c r="BB817" s="155"/>
      <c r="BC817" s="314"/>
      <c r="BD817" s="314"/>
      <c r="BE817" s="314"/>
      <c r="BF817" s="314"/>
      <c r="BG817" s="314"/>
      <c r="BH817" s="314"/>
      <c r="BI817" s="314"/>
      <c r="BJ817" s="314"/>
      <c r="BK817" s="40"/>
      <c r="BL817" s="40"/>
      <c r="BM817" s="40"/>
      <c r="BN817" s="40"/>
      <c r="BO817" s="40"/>
      <c r="BP817" s="155"/>
      <c r="BQ817" s="314"/>
      <c r="BR817" s="314"/>
      <c r="BS817" s="314"/>
      <c r="BT817" s="314"/>
      <c r="BU817" s="314"/>
      <c r="BV817" s="314"/>
      <c r="BW817" s="314"/>
      <c r="BX817" s="155"/>
    </row>
    <row r="818" spans="1:76" ht="15.75" customHeight="1">
      <c r="A818" s="25"/>
      <c r="B818" s="39"/>
      <c r="C818" s="155"/>
      <c r="D818" s="155"/>
      <c r="E818" s="40"/>
      <c r="F818" s="314"/>
      <c r="H818" s="315"/>
      <c r="I818" s="315"/>
      <c r="BA818" s="30"/>
      <c r="BB818" s="155"/>
      <c r="BC818" s="314"/>
      <c r="BD818" s="314"/>
      <c r="BE818" s="314"/>
      <c r="BF818" s="314"/>
      <c r="BG818" s="314"/>
      <c r="BH818" s="314"/>
      <c r="BI818" s="314"/>
      <c r="BJ818" s="314"/>
      <c r="BK818" s="40"/>
      <c r="BL818" s="40"/>
      <c r="BM818" s="40"/>
      <c r="BN818" s="40"/>
      <c r="BO818" s="40"/>
      <c r="BP818" s="155"/>
      <c r="BQ818" s="314"/>
      <c r="BR818" s="314"/>
      <c r="BS818" s="314"/>
      <c r="BT818" s="314"/>
      <c r="BU818" s="314"/>
      <c r="BV818" s="314"/>
      <c r="BW818" s="314"/>
      <c r="BX818" s="155"/>
    </row>
    <row r="819" spans="1:76" ht="15.75" customHeight="1">
      <c r="A819" s="25"/>
      <c r="B819" s="39"/>
      <c r="C819" s="155"/>
      <c r="D819" s="155"/>
      <c r="E819" s="40"/>
      <c r="F819" s="314"/>
      <c r="H819" s="315"/>
      <c r="I819" s="315"/>
      <c r="BA819" s="30"/>
      <c r="BB819" s="155"/>
      <c r="BC819" s="314"/>
      <c r="BD819" s="314"/>
      <c r="BE819" s="314"/>
      <c r="BF819" s="314"/>
      <c r="BG819" s="314"/>
      <c r="BH819" s="314"/>
      <c r="BI819" s="314"/>
      <c r="BJ819" s="314"/>
      <c r="BK819" s="40"/>
      <c r="BL819" s="40"/>
      <c r="BM819" s="40"/>
      <c r="BN819" s="40"/>
      <c r="BO819" s="40"/>
      <c r="BP819" s="155"/>
      <c r="BQ819" s="314"/>
      <c r="BR819" s="314"/>
      <c r="BS819" s="314"/>
      <c r="BT819" s="314"/>
      <c r="BU819" s="314"/>
      <c r="BV819" s="314"/>
      <c r="BW819" s="314"/>
      <c r="BX819" s="155"/>
    </row>
    <row r="820" spans="1:76" ht="15.75" customHeight="1">
      <c r="A820" s="25"/>
      <c r="B820" s="39"/>
      <c r="C820" s="155"/>
      <c r="D820" s="155"/>
      <c r="E820" s="40"/>
      <c r="F820" s="314"/>
      <c r="H820" s="315"/>
      <c r="I820" s="315"/>
      <c r="BA820" s="30"/>
      <c r="BB820" s="155"/>
      <c r="BC820" s="314"/>
      <c r="BD820" s="314"/>
      <c r="BE820" s="314"/>
      <c r="BF820" s="314"/>
      <c r="BG820" s="314"/>
      <c r="BH820" s="314"/>
      <c r="BI820" s="314"/>
      <c r="BJ820" s="314"/>
      <c r="BK820" s="40"/>
      <c r="BL820" s="40"/>
      <c r="BM820" s="40"/>
      <c r="BN820" s="40"/>
      <c r="BO820" s="40"/>
      <c r="BP820" s="155"/>
      <c r="BQ820" s="314"/>
      <c r="BR820" s="314"/>
      <c r="BS820" s="314"/>
      <c r="BT820" s="314"/>
      <c r="BU820" s="314"/>
      <c r="BV820" s="314"/>
      <c r="BW820" s="314"/>
      <c r="BX820" s="155"/>
    </row>
    <row r="821" spans="1:76" ht="15.75" customHeight="1">
      <c r="A821" s="25"/>
      <c r="B821" s="39"/>
      <c r="C821" s="155"/>
      <c r="D821" s="155"/>
      <c r="E821" s="341"/>
      <c r="F821" s="314"/>
      <c r="H821" s="315"/>
      <c r="I821" s="315"/>
      <c r="BA821" s="30"/>
      <c r="BB821" s="321"/>
      <c r="BC821" s="314"/>
      <c r="BD821" s="314"/>
      <c r="BE821" s="314"/>
      <c r="BF821" s="314"/>
      <c r="BG821" s="314"/>
      <c r="BH821" s="314"/>
      <c r="BI821" s="314"/>
      <c r="BJ821" s="314"/>
      <c r="BK821" s="40"/>
      <c r="BL821" s="40"/>
      <c r="BM821" s="40"/>
      <c r="BN821" s="40"/>
      <c r="BO821" s="40"/>
      <c r="BP821" s="155"/>
      <c r="BQ821" s="314"/>
      <c r="BR821" s="314"/>
      <c r="BS821" s="314"/>
      <c r="BT821" s="314"/>
      <c r="BU821" s="314"/>
      <c r="BV821" s="314"/>
      <c r="BW821" s="314"/>
      <c r="BX821" s="155"/>
    </row>
    <row r="822" spans="1:76" ht="15.75" customHeight="1">
      <c r="A822" s="25"/>
      <c r="B822" s="39"/>
      <c r="C822" s="155"/>
      <c r="D822" s="155"/>
      <c r="E822" s="40"/>
      <c r="F822" s="314"/>
      <c r="H822" s="315"/>
      <c r="I822" s="315"/>
      <c r="BA822" s="30"/>
      <c r="BB822" s="155"/>
      <c r="BC822" s="314"/>
      <c r="BD822" s="314"/>
      <c r="BE822" s="314"/>
      <c r="BF822" s="314"/>
      <c r="BG822" s="314"/>
      <c r="BH822" s="314"/>
      <c r="BI822" s="314"/>
      <c r="BJ822" s="314"/>
      <c r="BK822" s="40"/>
      <c r="BL822" s="40"/>
      <c r="BM822" s="40"/>
      <c r="BN822" s="40"/>
      <c r="BO822" s="40"/>
      <c r="BP822" s="155"/>
      <c r="BQ822" s="314"/>
      <c r="BR822" s="314"/>
      <c r="BS822" s="314"/>
      <c r="BT822" s="314"/>
      <c r="BU822" s="314"/>
      <c r="BV822" s="314"/>
      <c r="BW822" s="314"/>
      <c r="BX822" s="155"/>
    </row>
    <row r="823" spans="1:76" ht="15.75" customHeight="1">
      <c r="A823" s="25"/>
      <c r="B823" s="39"/>
      <c r="C823" s="155"/>
      <c r="D823" s="155"/>
      <c r="E823" s="40"/>
      <c r="F823" s="314"/>
      <c r="H823" s="315"/>
      <c r="I823" s="315"/>
      <c r="BA823" s="30"/>
      <c r="BB823" s="155"/>
      <c r="BC823" s="314"/>
      <c r="BD823" s="314"/>
      <c r="BE823" s="314"/>
      <c r="BF823" s="314"/>
      <c r="BG823" s="314"/>
      <c r="BH823" s="314"/>
      <c r="BI823" s="314"/>
      <c r="BJ823" s="314"/>
      <c r="BK823" s="40"/>
      <c r="BL823" s="40"/>
      <c r="BM823" s="40"/>
      <c r="BN823" s="40"/>
      <c r="BO823" s="40"/>
      <c r="BP823" s="155"/>
      <c r="BQ823" s="314"/>
      <c r="BR823" s="314"/>
      <c r="BS823" s="314"/>
      <c r="BT823" s="314"/>
      <c r="BU823" s="314"/>
      <c r="BV823" s="314"/>
      <c r="BW823" s="314"/>
      <c r="BX823" s="155"/>
    </row>
    <row r="824" spans="1:76" ht="15.75" customHeight="1">
      <c r="A824" s="25"/>
      <c r="B824" s="39"/>
      <c r="C824" s="155"/>
      <c r="D824" s="155"/>
      <c r="E824" s="40"/>
      <c r="F824" s="314"/>
      <c r="H824" s="315"/>
      <c r="I824" s="315"/>
      <c r="BA824" s="30"/>
      <c r="BB824" s="155"/>
      <c r="BC824" s="322"/>
      <c r="BD824" s="322"/>
      <c r="BE824" s="322"/>
      <c r="BF824" s="322"/>
      <c r="BG824" s="322"/>
      <c r="BH824" s="322"/>
      <c r="BI824" s="322"/>
      <c r="BJ824" s="322"/>
      <c r="BK824" s="341"/>
      <c r="BL824" s="40"/>
      <c r="BM824" s="40"/>
      <c r="BN824" s="40"/>
      <c r="BO824" s="40"/>
      <c r="BP824" s="155"/>
      <c r="BQ824" s="314"/>
      <c r="BR824" s="314"/>
      <c r="BS824" s="314"/>
      <c r="BT824" s="314"/>
      <c r="BU824" s="314"/>
      <c r="BV824" s="314"/>
      <c r="BW824" s="314"/>
      <c r="BX824" s="155"/>
    </row>
    <row r="825" spans="1:76" ht="15.75" customHeight="1">
      <c r="A825" s="25"/>
      <c r="B825" s="39"/>
      <c r="C825" s="155"/>
      <c r="D825" s="155"/>
      <c r="E825" s="40"/>
      <c r="F825" s="314"/>
      <c r="H825" s="315"/>
      <c r="I825" s="315"/>
      <c r="BA825" s="30"/>
      <c r="BB825" s="155"/>
      <c r="BC825" s="314"/>
      <c r="BD825" s="314"/>
      <c r="BE825" s="314"/>
      <c r="BF825" s="314"/>
      <c r="BG825" s="314"/>
      <c r="BH825" s="314"/>
      <c r="BI825" s="314"/>
      <c r="BJ825" s="314"/>
      <c r="BK825" s="40"/>
      <c r="BL825" s="40"/>
      <c r="BM825" s="40"/>
      <c r="BN825" s="40"/>
      <c r="BO825" s="40"/>
      <c r="BP825" s="155"/>
      <c r="BQ825" s="314"/>
      <c r="BR825" s="314"/>
      <c r="BS825" s="314"/>
      <c r="BT825" s="314"/>
      <c r="BU825" s="314"/>
      <c r="BV825" s="314"/>
      <c r="BW825" s="314"/>
      <c r="BX825" s="155"/>
    </row>
    <row r="826" spans="1:76" ht="15.75" customHeight="1">
      <c r="A826" s="25"/>
      <c r="B826" s="39"/>
      <c r="C826" s="155"/>
      <c r="D826" s="155"/>
      <c r="E826" s="40"/>
      <c r="F826" s="314"/>
      <c r="H826" s="315"/>
      <c r="I826" s="315"/>
      <c r="BA826" s="30"/>
      <c r="BB826" s="155"/>
      <c r="BC826" s="314"/>
      <c r="BD826" s="314"/>
      <c r="BE826" s="314"/>
      <c r="BF826" s="314"/>
      <c r="BG826" s="314"/>
      <c r="BH826" s="314"/>
      <c r="BI826" s="314"/>
      <c r="BJ826" s="314"/>
      <c r="BK826" s="40"/>
      <c r="BL826" s="40"/>
      <c r="BM826" s="40"/>
      <c r="BN826" s="40"/>
      <c r="BO826" s="40"/>
      <c r="BP826" s="155"/>
      <c r="BQ826" s="314"/>
      <c r="BR826" s="314"/>
      <c r="BS826" s="314"/>
      <c r="BT826" s="314"/>
      <c r="BU826" s="314"/>
      <c r="BV826" s="314"/>
      <c r="BW826" s="314"/>
      <c r="BX826" s="155"/>
    </row>
    <row r="827" spans="1:76" ht="15.75" customHeight="1">
      <c r="A827" s="25"/>
      <c r="B827" s="39"/>
      <c r="C827" s="155"/>
      <c r="D827" s="155"/>
      <c r="E827" s="40"/>
      <c r="F827" s="314"/>
      <c r="H827" s="315"/>
      <c r="I827" s="315"/>
      <c r="BA827" s="30"/>
      <c r="BB827" s="155"/>
      <c r="BC827" s="314"/>
      <c r="BD827" s="314"/>
      <c r="BE827" s="314"/>
      <c r="BF827" s="314"/>
      <c r="BG827" s="314"/>
      <c r="BH827" s="314"/>
      <c r="BI827" s="314"/>
      <c r="BJ827" s="314"/>
      <c r="BK827" s="40"/>
      <c r="BL827" s="40"/>
      <c r="BM827" s="40"/>
      <c r="BN827" s="40"/>
      <c r="BO827" s="40"/>
      <c r="BP827" s="155"/>
      <c r="BQ827" s="314"/>
      <c r="BR827" s="314"/>
      <c r="BS827" s="314"/>
      <c r="BT827" s="314"/>
      <c r="BU827" s="314"/>
      <c r="BV827" s="314"/>
      <c r="BW827" s="314"/>
      <c r="BX827" s="155"/>
    </row>
    <row r="828" spans="1:76" ht="15.75" customHeight="1">
      <c r="A828" s="25"/>
      <c r="B828" s="39"/>
      <c r="C828" s="155"/>
      <c r="D828" s="155"/>
      <c r="E828" s="40"/>
      <c r="F828" s="314"/>
      <c r="H828" s="315"/>
      <c r="I828" s="315"/>
      <c r="BA828" s="30"/>
      <c r="BB828" s="155"/>
      <c r="BC828" s="314"/>
      <c r="BD828" s="314"/>
      <c r="BE828" s="314"/>
      <c r="BF828" s="314"/>
      <c r="BG828" s="314"/>
      <c r="BH828" s="314"/>
      <c r="BI828" s="314"/>
      <c r="BJ828" s="314"/>
      <c r="BK828" s="40"/>
      <c r="BL828" s="40"/>
      <c r="BM828" s="40"/>
      <c r="BN828" s="40"/>
      <c r="BO828" s="40"/>
      <c r="BP828" s="155"/>
      <c r="BQ828" s="314"/>
      <c r="BR828" s="314"/>
      <c r="BS828" s="314"/>
      <c r="BT828" s="314"/>
      <c r="BU828" s="314"/>
      <c r="BV828" s="314"/>
      <c r="BW828" s="314"/>
      <c r="BX828" s="155"/>
    </row>
    <row r="829" spans="1:76" ht="15.75" customHeight="1">
      <c r="A829" s="25"/>
      <c r="B829" s="39"/>
      <c r="C829" s="155"/>
      <c r="D829" s="155"/>
      <c r="E829" s="341"/>
      <c r="F829" s="314"/>
      <c r="H829" s="315"/>
      <c r="I829" s="315"/>
      <c r="BA829" s="30"/>
      <c r="BB829" s="321"/>
      <c r="BC829" s="314"/>
      <c r="BD829" s="314"/>
      <c r="BE829" s="314"/>
      <c r="BF829" s="314"/>
      <c r="BG829" s="314"/>
      <c r="BH829" s="314"/>
      <c r="BI829" s="314"/>
      <c r="BJ829" s="314"/>
      <c r="BK829" s="40"/>
      <c r="BL829" s="40"/>
      <c r="BM829" s="40"/>
      <c r="BN829" s="40"/>
      <c r="BO829" s="40"/>
      <c r="BP829" s="155"/>
      <c r="BQ829" s="314"/>
      <c r="BR829" s="314"/>
      <c r="BS829" s="314"/>
      <c r="BT829" s="314"/>
      <c r="BU829" s="314"/>
      <c r="BV829" s="314"/>
      <c r="BW829" s="314"/>
      <c r="BX829" s="155"/>
    </row>
    <row r="830" spans="1:76" ht="15.75" customHeight="1">
      <c r="A830" s="25"/>
      <c r="B830" s="39"/>
      <c r="C830" s="155"/>
      <c r="D830" s="155"/>
      <c r="E830" s="40"/>
      <c r="F830" s="314"/>
      <c r="H830" s="315"/>
      <c r="I830" s="315"/>
      <c r="BA830" s="30"/>
      <c r="BB830" s="155"/>
      <c r="BC830" s="314"/>
      <c r="BD830" s="314"/>
      <c r="BE830" s="314"/>
      <c r="BF830" s="314"/>
      <c r="BG830" s="314"/>
      <c r="BH830" s="314"/>
      <c r="BI830" s="314"/>
      <c r="BJ830" s="314"/>
      <c r="BK830" s="40"/>
      <c r="BL830" s="40"/>
      <c r="BM830" s="40"/>
      <c r="BN830" s="40"/>
      <c r="BO830" s="40"/>
      <c r="BP830" s="155"/>
      <c r="BQ830" s="314"/>
      <c r="BR830" s="314"/>
      <c r="BS830" s="314"/>
      <c r="BT830" s="314"/>
      <c r="BU830" s="314"/>
      <c r="BV830" s="314"/>
      <c r="BW830" s="314"/>
      <c r="BX830" s="155"/>
    </row>
    <row r="831" spans="1:76" ht="15.75" customHeight="1">
      <c r="A831" s="25"/>
      <c r="B831" s="39"/>
      <c r="C831" s="155"/>
      <c r="D831" s="155"/>
      <c r="E831" s="40"/>
      <c r="F831" s="314"/>
      <c r="H831" s="315"/>
      <c r="I831" s="315"/>
      <c r="BA831" s="30"/>
      <c r="BB831" s="155"/>
      <c r="BC831" s="314"/>
      <c r="BD831" s="314"/>
      <c r="BE831" s="314"/>
      <c r="BF831" s="314"/>
      <c r="BG831" s="314"/>
      <c r="BH831" s="314"/>
      <c r="BI831" s="314"/>
      <c r="BJ831" s="314"/>
      <c r="BK831" s="40"/>
      <c r="BL831" s="40"/>
      <c r="BM831" s="40"/>
      <c r="BN831" s="40"/>
      <c r="BO831" s="40"/>
      <c r="BP831" s="155"/>
      <c r="BQ831" s="314"/>
      <c r="BR831" s="314"/>
      <c r="BS831" s="314"/>
      <c r="BT831" s="314"/>
      <c r="BU831" s="314"/>
      <c r="BV831" s="314"/>
      <c r="BW831" s="314"/>
      <c r="BX831" s="155"/>
    </row>
    <row r="832" spans="1:76" ht="15.75" customHeight="1">
      <c r="A832" s="25"/>
      <c r="B832" s="39"/>
      <c r="C832" s="155"/>
      <c r="D832" s="155"/>
      <c r="E832" s="40"/>
      <c r="F832" s="314"/>
      <c r="H832" s="315"/>
      <c r="I832" s="315"/>
      <c r="BA832" s="30"/>
      <c r="BB832" s="155"/>
      <c r="BC832" s="314"/>
      <c r="BD832" s="314"/>
      <c r="BE832" s="314"/>
      <c r="BF832" s="314"/>
      <c r="BG832" s="314"/>
      <c r="BH832" s="314"/>
      <c r="BI832" s="314"/>
      <c r="BJ832" s="314"/>
      <c r="BK832" s="40"/>
      <c r="BL832" s="40"/>
      <c r="BM832" s="40"/>
      <c r="BN832" s="40"/>
      <c r="BO832" s="40"/>
      <c r="BP832" s="155"/>
      <c r="BQ832" s="314"/>
      <c r="BR832" s="314"/>
      <c r="BS832" s="314"/>
      <c r="BT832" s="314"/>
      <c r="BU832" s="314"/>
      <c r="BV832" s="314"/>
      <c r="BW832" s="314"/>
      <c r="BX832" s="155"/>
    </row>
    <row r="833" spans="1:76" ht="15.75" customHeight="1">
      <c r="A833" s="25"/>
      <c r="B833" s="39"/>
      <c r="C833" s="155"/>
      <c r="D833" s="155"/>
      <c r="E833" s="40"/>
      <c r="F833" s="314"/>
      <c r="H833" s="315"/>
      <c r="I833" s="315"/>
      <c r="BA833" s="30"/>
      <c r="BB833" s="155"/>
      <c r="BC833" s="314"/>
      <c r="BD833" s="314"/>
      <c r="BE833" s="314"/>
      <c r="BF833" s="314"/>
      <c r="BG833" s="314"/>
      <c r="BH833" s="314"/>
      <c r="BI833" s="314"/>
      <c r="BJ833" s="314"/>
      <c r="BK833" s="40"/>
      <c r="BL833" s="40"/>
      <c r="BM833" s="40"/>
      <c r="BN833" s="40"/>
      <c r="BO833" s="40"/>
      <c r="BP833" s="155"/>
      <c r="BQ833" s="314"/>
      <c r="BR833" s="314"/>
      <c r="BS833" s="314"/>
      <c r="BT833" s="314"/>
      <c r="BU833" s="314"/>
      <c r="BV833" s="314"/>
      <c r="BW833" s="314"/>
      <c r="BX833" s="155"/>
    </row>
    <row r="834" spans="1:76" ht="15.75" customHeight="1">
      <c r="A834" s="25"/>
      <c r="B834" s="39"/>
      <c r="C834" s="155"/>
      <c r="D834" s="155"/>
      <c r="E834" s="40"/>
      <c r="F834" s="314"/>
      <c r="H834" s="315"/>
      <c r="I834" s="315"/>
      <c r="BA834" s="30"/>
      <c r="BB834" s="155"/>
      <c r="BC834" s="314"/>
      <c r="BD834" s="314"/>
      <c r="BE834" s="314"/>
      <c r="BF834" s="314"/>
      <c r="BG834" s="314"/>
      <c r="BH834" s="314"/>
      <c r="BI834" s="314"/>
      <c r="BJ834" s="314"/>
      <c r="BK834" s="40"/>
      <c r="BL834" s="40"/>
      <c r="BM834" s="40"/>
      <c r="BN834" s="40"/>
      <c r="BO834" s="40"/>
      <c r="BP834" s="155"/>
      <c r="BQ834" s="314"/>
      <c r="BR834" s="314"/>
      <c r="BS834" s="314"/>
      <c r="BT834" s="314"/>
      <c r="BU834" s="314"/>
      <c r="BV834" s="314"/>
      <c r="BW834" s="314"/>
      <c r="BX834" s="155"/>
    </row>
    <row r="835" spans="1:76" ht="15.75" customHeight="1">
      <c r="A835" s="25"/>
      <c r="B835" s="39"/>
      <c r="C835" s="155"/>
      <c r="D835" s="155"/>
      <c r="E835" s="40"/>
      <c r="F835" s="314"/>
      <c r="H835" s="315"/>
      <c r="I835" s="315"/>
      <c r="BA835" s="30"/>
      <c r="BB835" s="155"/>
      <c r="BC835" s="314"/>
      <c r="BD835" s="314"/>
      <c r="BE835" s="314"/>
      <c r="BF835" s="314"/>
      <c r="BG835" s="314"/>
      <c r="BH835" s="314"/>
      <c r="BI835" s="314"/>
      <c r="BJ835" s="314"/>
      <c r="BK835" s="40"/>
      <c r="BL835" s="40"/>
      <c r="BM835" s="40"/>
      <c r="BN835" s="40"/>
      <c r="BO835" s="40"/>
      <c r="BP835" s="155"/>
      <c r="BQ835" s="314"/>
      <c r="BR835" s="314"/>
      <c r="BS835" s="314"/>
      <c r="BT835" s="314"/>
      <c r="BU835" s="314"/>
      <c r="BV835" s="314"/>
      <c r="BW835" s="314"/>
      <c r="BX835" s="155"/>
    </row>
    <row r="836" spans="1:76" ht="15.75" customHeight="1">
      <c r="A836" s="25"/>
      <c r="B836" s="39"/>
      <c r="C836" s="155"/>
      <c r="D836" s="155"/>
      <c r="E836" s="40"/>
      <c r="F836" s="314"/>
      <c r="H836" s="315"/>
      <c r="I836" s="315"/>
      <c r="BA836" s="30"/>
      <c r="BB836" s="155"/>
      <c r="BC836" s="314"/>
      <c r="BD836" s="314"/>
      <c r="BE836" s="314"/>
      <c r="BF836" s="314"/>
      <c r="BG836" s="314"/>
      <c r="BH836" s="314"/>
      <c r="BI836" s="314"/>
      <c r="BJ836" s="314"/>
      <c r="BK836" s="40"/>
      <c r="BL836" s="40"/>
      <c r="BM836" s="40"/>
      <c r="BN836" s="40"/>
      <c r="BO836" s="40"/>
      <c r="BP836" s="155"/>
      <c r="BQ836" s="314"/>
      <c r="BR836" s="314"/>
      <c r="BS836" s="314"/>
      <c r="BT836" s="314"/>
      <c r="BU836" s="314"/>
      <c r="BV836" s="314"/>
      <c r="BW836" s="314"/>
      <c r="BX836" s="155"/>
    </row>
    <row r="837" spans="1:76" ht="15.75" customHeight="1">
      <c r="A837" s="25"/>
      <c r="B837" s="39"/>
      <c r="C837" s="155"/>
      <c r="D837" s="155"/>
      <c r="E837" s="341"/>
      <c r="F837" s="314"/>
      <c r="H837" s="315"/>
      <c r="I837" s="315"/>
      <c r="BA837" s="30"/>
      <c r="BB837" s="321"/>
      <c r="BC837" s="314"/>
      <c r="BD837" s="314"/>
      <c r="BE837" s="314"/>
      <c r="BF837" s="314"/>
      <c r="BG837" s="314"/>
      <c r="BH837" s="314"/>
      <c r="BI837" s="314"/>
      <c r="BJ837" s="314"/>
      <c r="BK837" s="40"/>
      <c r="BL837" s="40"/>
      <c r="BM837" s="40"/>
      <c r="BN837" s="40"/>
      <c r="BO837" s="40"/>
      <c r="BP837" s="155"/>
      <c r="BQ837" s="314"/>
      <c r="BR837" s="314"/>
      <c r="BS837" s="314"/>
      <c r="BT837" s="314"/>
      <c r="BU837" s="314"/>
      <c r="BV837" s="314"/>
      <c r="BW837" s="314"/>
      <c r="BX837" s="155"/>
    </row>
    <row r="838" spans="1:76" ht="15.75" customHeight="1">
      <c r="A838" s="25"/>
      <c r="B838" s="39"/>
      <c r="C838" s="155"/>
      <c r="D838" s="155"/>
      <c r="E838" s="40"/>
      <c r="F838" s="314"/>
      <c r="H838" s="315"/>
      <c r="I838" s="315"/>
      <c r="BA838" s="30"/>
      <c r="BB838" s="155"/>
      <c r="BC838" s="314"/>
      <c r="BD838" s="314"/>
      <c r="BE838" s="314"/>
      <c r="BF838" s="314"/>
      <c r="BG838" s="314"/>
      <c r="BH838" s="314"/>
      <c r="BI838" s="314"/>
      <c r="BJ838" s="314"/>
      <c r="BK838" s="40"/>
      <c r="BL838" s="40"/>
      <c r="BM838" s="40"/>
      <c r="BN838" s="40"/>
      <c r="BO838" s="40"/>
      <c r="BP838" s="155"/>
      <c r="BQ838" s="314"/>
      <c r="BR838" s="314"/>
      <c r="BS838" s="314"/>
      <c r="BT838" s="314"/>
      <c r="BU838" s="314"/>
      <c r="BV838" s="314"/>
      <c r="BW838" s="314"/>
      <c r="BX838" s="155"/>
    </row>
    <row r="839" spans="1:76" ht="15.75" customHeight="1">
      <c r="A839" s="25"/>
      <c r="B839" s="39"/>
      <c r="C839" s="155"/>
      <c r="D839" s="155"/>
      <c r="E839" s="40"/>
      <c r="F839" s="314"/>
      <c r="H839" s="315"/>
      <c r="I839" s="315"/>
      <c r="BA839" s="30"/>
      <c r="BB839" s="155"/>
      <c r="BC839" s="314"/>
      <c r="BD839" s="314"/>
      <c r="BE839" s="314"/>
      <c r="BF839" s="314"/>
      <c r="BG839" s="314"/>
      <c r="BH839" s="314"/>
      <c r="BI839" s="314"/>
      <c r="BJ839" s="314"/>
      <c r="BK839" s="40"/>
      <c r="BL839" s="40"/>
      <c r="BM839" s="40"/>
      <c r="BN839" s="40"/>
      <c r="BO839" s="40"/>
      <c r="BP839" s="155"/>
      <c r="BQ839" s="314"/>
      <c r="BR839" s="314"/>
      <c r="BS839" s="314"/>
      <c r="BT839" s="314"/>
      <c r="BU839" s="314"/>
      <c r="BV839" s="314"/>
      <c r="BW839" s="314"/>
      <c r="BX839" s="155"/>
    </row>
    <row r="840" spans="1:76" ht="15.75" customHeight="1">
      <c r="A840" s="25"/>
      <c r="B840" s="39"/>
      <c r="C840" s="155"/>
      <c r="D840" s="155"/>
      <c r="E840" s="40"/>
      <c r="F840" s="314"/>
      <c r="H840" s="315"/>
      <c r="I840" s="315"/>
      <c r="BA840" s="30"/>
      <c r="BB840" s="155"/>
      <c r="BC840" s="314"/>
      <c r="BD840" s="314"/>
      <c r="BE840" s="314"/>
      <c r="BF840" s="314"/>
      <c r="BG840" s="314"/>
      <c r="BH840" s="314"/>
      <c r="BI840" s="314"/>
      <c r="BJ840" s="314"/>
      <c r="BK840" s="40"/>
      <c r="BL840" s="40"/>
      <c r="BM840" s="40"/>
      <c r="BN840" s="40"/>
      <c r="BO840" s="40"/>
      <c r="BP840" s="155"/>
      <c r="BQ840" s="314"/>
      <c r="BR840" s="314"/>
      <c r="BS840" s="314"/>
      <c r="BT840" s="314"/>
      <c r="BU840" s="314"/>
      <c r="BV840" s="314"/>
      <c r="BW840" s="314"/>
      <c r="BX840" s="155"/>
    </row>
    <row r="841" spans="1:76" ht="15.75" customHeight="1">
      <c r="A841" s="25"/>
      <c r="B841" s="39"/>
      <c r="C841" s="155"/>
      <c r="D841" s="155"/>
      <c r="E841" s="40"/>
      <c r="F841" s="314"/>
      <c r="H841" s="315"/>
      <c r="I841" s="315"/>
      <c r="BA841" s="30"/>
      <c r="BB841" s="155"/>
      <c r="BC841" s="314"/>
      <c r="BD841" s="314"/>
      <c r="BE841" s="314"/>
      <c r="BF841" s="314"/>
      <c r="BG841" s="314"/>
      <c r="BH841" s="314"/>
      <c r="BI841" s="314"/>
      <c r="BJ841" s="314"/>
      <c r="BK841" s="40"/>
      <c r="BL841" s="40"/>
      <c r="BM841" s="40"/>
      <c r="BN841" s="40"/>
      <c r="BO841" s="40"/>
      <c r="BP841" s="155"/>
      <c r="BQ841" s="314"/>
      <c r="BR841" s="314"/>
      <c r="BS841" s="314"/>
      <c r="BT841" s="314"/>
      <c r="BU841" s="314"/>
      <c r="BV841" s="314"/>
      <c r="BW841" s="314"/>
      <c r="BX841" s="155"/>
    </row>
    <row r="842" spans="1:76" ht="15.75" customHeight="1">
      <c r="A842" s="25"/>
      <c r="B842" s="39"/>
      <c r="C842" s="155"/>
      <c r="D842" s="155"/>
      <c r="E842" s="40"/>
      <c r="F842" s="314"/>
      <c r="H842" s="315"/>
      <c r="I842" s="315"/>
      <c r="BA842" s="30"/>
      <c r="BB842" s="155"/>
      <c r="BC842" s="314"/>
      <c r="BD842" s="314"/>
      <c r="BE842" s="314"/>
      <c r="BF842" s="314"/>
      <c r="BG842" s="314"/>
      <c r="BH842" s="314"/>
      <c r="BI842" s="314"/>
      <c r="BJ842" s="314"/>
      <c r="BK842" s="40"/>
      <c r="BL842" s="40"/>
      <c r="BM842" s="40"/>
      <c r="BN842" s="40"/>
      <c r="BO842" s="40"/>
      <c r="BP842" s="155"/>
      <c r="BQ842" s="314"/>
      <c r="BR842" s="314"/>
      <c r="BS842" s="314"/>
      <c r="BT842" s="314"/>
      <c r="BU842" s="314"/>
      <c r="BV842" s="314"/>
      <c r="BW842" s="314"/>
      <c r="BX842" s="155"/>
    </row>
    <row r="843" spans="1:76" ht="15.75" customHeight="1">
      <c r="A843" s="25"/>
      <c r="B843" s="39"/>
      <c r="C843" s="155"/>
      <c r="D843" s="155"/>
      <c r="E843" s="40"/>
      <c r="F843" s="314"/>
      <c r="H843" s="315"/>
      <c r="I843" s="315"/>
      <c r="BA843" s="30"/>
      <c r="BB843" s="155"/>
      <c r="BC843" s="314"/>
      <c r="BD843" s="314"/>
      <c r="BE843" s="314"/>
      <c r="BF843" s="314"/>
      <c r="BG843" s="314"/>
      <c r="BH843" s="314"/>
      <c r="BI843" s="314"/>
      <c r="BJ843" s="314"/>
      <c r="BK843" s="40"/>
      <c r="BL843" s="40"/>
      <c r="BM843" s="40"/>
      <c r="BN843" s="40"/>
      <c r="BO843" s="40"/>
      <c r="BP843" s="155"/>
      <c r="BQ843" s="314"/>
      <c r="BR843" s="314"/>
      <c r="BS843" s="314"/>
      <c r="BT843" s="314"/>
      <c r="BU843" s="314"/>
      <c r="BV843" s="314"/>
      <c r="BW843" s="314"/>
      <c r="BX843" s="155"/>
    </row>
    <row r="844" spans="1:76" ht="15.75" customHeight="1">
      <c r="A844" s="25"/>
      <c r="B844" s="39"/>
      <c r="C844" s="155"/>
      <c r="D844" s="155"/>
      <c r="E844" s="40"/>
      <c r="F844" s="314"/>
      <c r="H844" s="315"/>
      <c r="I844" s="315"/>
      <c r="BA844" s="30"/>
      <c r="BB844" s="155"/>
      <c r="BC844" s="314"/>
      <c r="BD844" s="314"/>
      <c r="BE844" s="314"/>
      <c r="BF844" s="314"/>
      <c r="BG844" s="314"/>
      <c r="BH844" s="314"/>
      <c r="BI844" s="314"/>
      <c r="BJ844" s="314"/>
      <c r="BK844" s="40"/>
      <c r="BL844" s="40"/>
      <c r="BM844" s="40"/>
      <c r="BN844" s="40"/>
      <c r="BO844" s="40"/>
      <c r="BP844" s="155"/>
      <c r="BQ844" s="314"/>
      <c r="BR844" s="314"/>
      <c r="BS844" s="314"/>
      <c r="BT844" s="314"/>
      <c r="BU844" s="314"/>
      <c r="BV844" s="314"/>
      <c r="BW844" s="314"/>
      <c r="BX844" s="155"/>
    </row>
    <row r="845" spans="1:76" ht="15.75" customHeight="1">
      <c r="A845" s="25"/>
      <c r="B845" s="39"/>
      <c r="C845" s="155"/>
      <c r="D845" s="155"/>
      <c r="E845" s="341"/>
      <c r="F845" s="314"/>
      <c r="H845" s="315"/>
      <c r="I845" s="315"/>
      <c r="BA845" s="30"/>
      <c r="BB845" s="321"/>
      <c r="BC845" s="314"/>
      <c r="BD845" s="314"/>
      <c r="BE845" s="314"/>
      <c r="BF845" s="314"/>
      <c r="BG845" s="314"/>
      <c r="BH845" s="314"/>
      <c r="BI845" s="314"/>
      <c r="BJ845" s="314"/>
      <c r="BK845" s="40"/>
      <c r="BL845" s="40"/>
      <c r="BM845" s="40"/>
      <c r="BN845" s="40"/>
      <c r="BO845" s="40"/>
      <c r="BP845" s="155"/>
      <c r="BQ845" s="314"/>
      <c r="BR845" s="314"/>
      <c r="BS845" s="314"/>
      <c r="BT845" s="314"/>
      <c r="BU845" s="314"/>
      <c r="BV845" s="314"/>
      <c r="BW845" s="314"/>
      <c r="BX845" s="155"/>
    </row>
    <row r="846" spans="1:76" ht="15.75" customHeight="1">
      <c r="A846" s="25"/>
      <c r="B846" s="39"/>
      <c r="C846" s="155"/>
      <c r="D846" s="155"/>
      <c r="E846" s="40"/>
      <c r="F846" s="314"/>
      <c r="H846" s="315"/>
      <c r="I846" s="315"/>
      <c r="BA846" s="30"/>
      <c r="BB846" s="155"/>
      <c r="BC846" s="314"/>
      <c r="BD846" s="314"/>
      <c r="BE846" s="314"/>
      <c r="BF846" s="314"/>
      <c r="BG846" s="314"/>
      <c r="BH846" s="314"/>
      <c r="BI846" s="314"/>
      <c r="BJ846" s="314"/>
      <c r="BK846" s="40"/>
      <c r="BL846" s="40"/>
      <c r="BM846" s="40"/>
      <c r="BN846" s="40"/>
      <c r="BO846" s="40"/>
      <c r="BP846" s="155"/>
      <c r="BQ846" s="314"/>
      <c r="BR846" s="314"/>
      <c r="BS846" s="314"/>
      <c r="BT846" s="314"/>
      <c r="BU846" s="314"/>
      <c r="BV846" s="314"/>
      <c r="BW846" s="314"/>
      <c r="BX846" s="155"/>
    </row>
    <row r="847" spans="1:76" ht="15.75" customHeight="1">
      <c r="A847" s="25"/>
      <c r="B847" s="39"/>
      <c r="C847" s="155"/>
      <c r="D847" s="155"/>
      <c r="E847" s="40"/>
      <c r="F847" s="314"/>
      <c r="H847" s="315"/>
      <c r="I847" s="315"/>
      <c r="BA847" s="30"/>
      <c r="BB847" s="155"/>
      <c r="BC847" s="314"/>
      <c r="BD847" s="314"/>
      <c r="BE847" s="314"/>
      <c r="BF847" s="314"/>
      <c r="BG847" s="314"/>
      <c r="BH847" s="314"/>
      <c r="BI847" s="314"/>
      <c r="BJ847" s="314"/>
      <c r="BK847" s="40"/>
      <c r="BL847" s="40"/>
      <c r="BM847" s="40"/>
      <c r="BN847" s="40"/>
      <c r="BO847" s="40"/>
      <c r="BP847" s="155"/>
      <c r="BQ847" s="314"/>
      <c r="BR847" s="314"/>
      <c r="BS847" s="314"/>
      <c r="BT847" s="314"/>
      <c r="BU847" s="314"/>
      <c r="BV847" s="314"/>
      <c r="BW847" s="314"/>
      <c r="BX847" s="155"/>
    </row>
    <row r="848" spans="1:76" ht="15.75" customHeight="1">
      <c r="A848" s="25"/>
      <c r="B848" s="39"/>
      <c r="C848" s="155"/>
      <c r="D848" s="155"/>
      <c r="E848" s="40"/>
      <c r="F848" s="314"/>
      <c r="H848" s="315"/>
      <c r="I848" s="315"/>
      <c r="BA848" s="30"/>
      <c r="BB848" s="155"/>
      <c r="BC848" s="314"/>
      <c r="BD848" s="314"/>
      <c r="BE848" s="314"/>
      <c r="BF848" s="314"/>
      <c r="BG848" s="314"/>
      <c r="BH848" s="314"/>
      <c r="BI848" s="314"/>
      <c r="BJ848" s="314"/>
      <c r="BK848" s="40"/>
      <c r="BL848" s="40"/>
      <c r="BM848" s="40"/>
      <c r="BN848" s="40"/>
      <c r="BO848" s="40"/>
      <c r="BP848" s="155"/>
      <c r="BQ848" s="314"/>
      <c r="BR848" s="314"/>
      <c r="BS848" s="314"/>
      <c r="BT848" s="314"/>
      <c r="BU848" s="314"/>
      <c r="BV848" s="314"/>
      <c r="BW848" s="314"/>
      <c r="BX848" s="155"/>
    </row>
    <row r="849" spans="1:76" ht="15.75" customHeight="1">
      <c r="A849" s="25"/>
      <c r="B849" s="39"/>
      <c r="C849" s="155"/>
      <c r="D849" s="155"/>
      <c r="E849" s="40"/>
      <c r="F849" s="314"/>
      <c r="H849" s="315"/>
      <c r="I849" s="315"/>
      <c r="BA849" s="30"/>
      <c r="BB849" s="155"/>
      <c r="BC849" s="314"/>
      <c r="BD849" s="314"/>
      <c r="BE849" s="314"/>
      <c r="BF849" s="314"/>
      <c r="BG849" s="314"/>
      <c r="BH849" s="314"/>
      <c r="BI849" s="314"/>
      <c r="BJ849" s="314"/>
      <c r="BK849" s="40"/>
      <c r="BL849" s="40"/>
      <c r="BM849" s="40"/>
      <c r="BN849" s="40"/>
      <c r="BO849" s="40"/>
      <c r="BP849" s="155"/>
      <c r="BQ849" s="314"/>
      <c r="BR849" s="314"/>
      <c r="BS849" s="314"/>
      <c r="BT849" s="314"/>
      <c r="BU849" s="314"/>
      <c r="BV849" s="314"/>
      <c r="BW849" s="314"/>
      <c r="BX849" s="155"/>
    </row>
    <row r="850" spans="1:76" ht="15.75" customHeight="1">
      <c r="A850" s="25"/>
      <c r="B850" s="39"/>
      <c r="C850" s="155"/>
      <c r="D850" s="155"/>
      <c r="E850" s="40"/>
      <c r="F850" s="314"/>
      <c r="H850" s="315"/>
      <c r="I850" s="315"/>
      <c r="BA850" s="30"/>
      <c r="BB850" s="155"/>
      <c r="BC850" s="314"/>
      <c r="BD850" s="314"/>
      <c r="BE850" s="314"/>
      <c r="BF850" s="314"/>
      <c r="BG850" s="314"/>
      <c r="BH850" s="314"/>
      <c r="BI850" s="314"/>
      <c r="BJ850" s="314"/>
      <c r="BK850" s="40"/>
      <c r="BL850" s="40"/>
      <c r="BM850" s="40"/>
      <c r="BN850" s="40"/>
      <c r="BO850" s="40"/>
      <c r="BP850" s="155"/>
      <c r="BQ850" s="314"/>
      <c r="BR850" s="314"/>
      <c r="BS850" s="314"/>
      <c r="BT850" s="314"/>
      <c r="BU850" s="314"/>
      <c r="BV850" s="314"/>
      <c r="BW850" s="314"/>
      <c r="BX850" s="155"/>
    </row>
    <row r="851" spans="1:76" ht="15.75" customHeight="1">
      <c r="A851" s="25"/>
      <c r="B851" s="39"/>
      <c r="C851" s="155"/>
      <c r="D851" s="155"/>
      <c r="E851" s="40"/>
      <c r="F851" s="314"/>
      <c r="H851" s="315"/>
      <c r="I851" s="315"/>
      <c r="BA851" s="30"/>
      <c r="BB851" s="155"/>
      <c r="BC851" s="314"/>
      <c r="BD851" s="314"/>
      <c r="BE851" s="314"/>
      <c r="BF851" s="314"/>
      <c r="BG851" s="314"/>
      <c r="BH851" s="314"/>
      <c r="BI851" s="314"/>
      <c r="BJ851" s="314"/>
      <c r="BK851" s="40"/>
      <c r="BL851" s="40"/>
      <c r="BM851" s="40"/>
      <c r="BN851" s="40"/>
      <c r="BO851" s="40"/>
      <c r="BP851" s="155"/>
      <c r="BQ851" s="314"/>
      <c r="BR851" s="314"/>
      <c r="BS851" s="314"/>
      <c r="BT851" s="314"/>
      <c r="BU851" s="314"/>
      <c r="BV851" s="314"/>
      <c r="BW851" s="314"/>
      <c r="BX851" s="155"/>
    </row>
    <row r="852" spans="1:76" ht="15.75" customHeight="1">
      <c r="A852" s="25"/>
      <c r="B852" s="39"/>
      <c r="C852" s="155"/>
      <c r="D852" s="155"/>
      <c r="E852" s="40"/>
      <c r="F852" s="314"/>
      <c r="H852" s="315"/>
      <c r="I852" s="315"/>
      <c r="BA852" s="30"/>
      <c r="BB852" s="155"/>
      <c r="BC852" s="314"/>
      <c r="BD852" s="314"/>
      <c r="BE852" s="314"/>
      <c r="BF852" s="314"/>
      <c r="BG852" s="314"/>
      <c r="BH852" s="314"/>
      <c r="BI852" s="314"/>
      <c r="BJ852" s="314"/>
      <c r="BK852" s="40"/>
      <c r="BL852" s="40"/>
      <c r="BM852" s="40"/>
      <c r="BN852" s="40"/>
      <c r="BO852" s="40"/>
      <c r="BP852" s="155"/>
      <c r="BQ852" s="314"/>
      <c r="BR852" s="314"/>
      <c r="BS852" s="314"/>
      <c r="BT852" s="314"/>
      <c r="BU852" s="314"/>
      <c r="BV852" s="314"/>
      <c r="BW852" s="314"/>
      <c r="BX852" s="155"/>
    </row>
    <row r="853" spans="1:76" ht="15.75" customHeight="1">
      <c r="A853" s="25"/>
      <c r="B853" s="39"/>
      <c r="C853" s="155"/>
      <c r="D853" s="155"/>
      <c r="E853" s="341"/>
      <c r="F853" s="314"/>
      <c r="H853" s="315"/>
      <c r="I853" s="315"/>
      <c r="BA853" s="30"/>
      <c r="BB853" s="321"/>
      <c r="BC853" s="314"/>
      <c r="BD853" s="314"/>
      <c r="BE853" s="314"/>
      <c r="BF853" s="314"/>
      <c r="BG853" s="314"/>
      <c r="BH853" s="314"/>
      <c r="BI853" s="314"/>
      <c r="BJ853" s="314"/>
      <c r="BK853" s="40"/>
      <c r="BL853" s="40"/>
      <c r="BM853" s="40"/>
      <c r="BN853" s="40"/>
      <c r="BO853" s="40"/>
      <c r="BP853" s="155"/>
      <c r="BQ853" s="314"/>
      <c r="BR853" s="314"/>
      <c r="BS853" s="314"/>
      <c r="BT853" s="314"/>
      <c r="BU853" s="314"/>
      <c r="BV853" s="314"/>
      <c r="BW853" s="314"/>
      <c r="BX853" s="155"/>
    </row>
    <row r="854" spans="1:76" ht="15.75" customHeight="1">
      <c r="A854" s="25"/>
      <c r="B854" s="39"/>
      <c r="C854" s="155"/>
      <c r="D854" s="155"/>
      <c r="E854" s="40"/>
      <c r="F854" s="314"/>
      <c r="H854" s="315"/>
      <c r="I854" s="315"/>
      <c r="BA854" s="30"/>
      <c r="BB854" s="155"/>
      <c r="BC854" s="314"/>
      <c r="BD854" s="314"/>
      <c r="BE854" s="314"/>
      <c r="BF854" s="314"/>
      <c r="BG854" s="314"/>
      <c r="BH854" s="314"/>
      <c r="BI854" s="314"/>
      <c r="BJ854" s="314"/>
      <c r="BK854" s="40"/>
      <c r="BL854" s="40"/>
      <c r="BM854" s="40"/>
      <c r="BN854" s="40"/>
      <c r="BO854" s="40"/>
      <c r="BP854" s="155"/>
      <c r="BQ854" s="314"/>
      <c r="BR854" s="314"/>
      <c r="BS854" s="314"/>
      <c r="BT854" s="314"/>
      <c r="BU854" s="314"/>
      <c r="BV854" s="314"/>
      <c r="BW854" s="314"/>
      <c r="BX854" s="155"/>
    </row>
    <row r="855" spans="1:76" ht="15.75" customHeight="1">
      <c r="A855" s="25"/>
      <c r="B855" s="39"/>
      <c r="C855" s="155"/>
      <c r="D855" s="155"/>
      <c r="E855" s="40"/>
      <c r="F855" s="314"/>
      <c r="H855" s="315"/>
      <c r="I855" s="315"/>
      <c r="BA855" s="30"/>
      <c r="BB855" s="155"/>
      <c r="BC855" s="314"/>
      <c r="BD855" s="314"/>
      <c r="BE855" s="314"/>
      <c r="BF855" s="314"/>
      <c r="BG855" s="314"/>
      <c r="BH855" s="314"/>
      <c r="BI855" s="314"/>
      <c r="BJ855" s="314"/>
      <c r="BK855" s="40"/>
      <c r="BL855" s="40"/>
      <c r="BM855" s="40"/>
      <c r="BN855" s="40"/>
      <c r="BO855" s="40"/>
      <c r="BP855" s="155"/>
      <c r="BQ855" s="314"/>
      <c r="BR855" s="314"/>
      <c r="BS855" s="314"/>
      <c r="BT855" s="314"/>
      <c r="BU855" s="314"/>
      <c r="BV855" s="314"/>
      <c r="BW855" s="314"/>
      <c r="BX855" s="155"/>
    </row>
    <row r="856" spans="1:76" ht="15.75" customHeight="1">
      <c r="A856" s="25"/>
      <c r="B856" s="39"/>
      <c r="C856" s="155"/>
      <c r="D856" s="155"/>
      <c r="E856" s="40"/>
      <c r="F856" s="314"/>
      <c r="H856" s="315"/>
      <c r="I856" s="315"/>
      <c r="BA856" s="30"/>
      <c r="BB856" s="155"/>
      <c r="BC856" s="314"/>
      <c r="BD856" s="314"/>
      <c r="BE856" s="314"/>
      <c r="BF856" s="314"/>
      <c r="BG856" s="314"/>
      <c r="BH856" s="314"/>
      <c r="BI856" s="314"/>
      <c r="BJ856" s="314"/>
      <c r="BK856" s="40"/>
      <c r="BL856" s="40"/>
      <c r="BM856" s="40"/>
      <c r="BN856" s="40"/>
      <c r="BO856" s="40"/>
      <c r="BP856" s="155"/>
      <c r="BQ856" s="314"/>
      <c r="BR856" s="314"/>
      <c r="BS856" s="314"/>
      <c r="BT856" s="314"/>
      <c r="BU856" s="314"/>
      <c r="BV856" s="314"/>
      <c r="BW856" s="314"/>
      <c r="BX856" s="155"/>
    </row>
    <row r="857" spans="1:76" ht="15.75" customHeight="1">
      <c r="A857" s="25"/>
      <c r="B857" s="39"/>
      <c r="C857" s="155"/>
      <c r="D857" s="155"/>
      <c r="E857" s="40"/>
      <c r="F857" s="314"/>
      <c r="H857" s="315"/>
      <c r="I857" s="315"/>
      <c r="BA857" s="30"/>
      <c r="BB857" s="155"/>
      <c r="BC857" s="314"/>
      <c r="BD857" s="314"/>
      <c r="BE857" s="314"/>
      <c r="BF857" s="314"/>
      <c r="BG857" s="314"/>
      <c r="BH857" s="314"/>
      <c r="BI857" s="314"/>
      <c r="BJ857" s="314"/>
      <c r="BK857" s="40"/>
      <c r="BL857" s="40"/>
      <c r="BM857" s="40"/>
      <c r="BN857" s="40"/>
      <c r="BO857" s="40"/>
      <c r="BP857" s="155"/>
      <c r="BQ857" s="314"/>
      <c r="BR857" s="314"/>
      <c r="BS857" s="314"/>
      <c r="BT857" s="314"/>
      <c r="BU857" s="314"/>
      <c r="BV857" s="314"/>
      <c r="BW857" s="314"/>
      <c r="BX857" s="155"/>
    </row>
    <row r="858" spans="1:76" ht="15.75" customHeight="1">
      <c r="A858" s="25"/>
      <c r="B858" s="39"/>
      <c r="C858" s="155"/>
      <c r="D858" s="155"/>
      <c r="E858" s="40"/>
      <c r="F858" s="314"/>
      <c r="H858" s="315"/>
      <c r="I858" s="315"/>
      <c r="BA858" s="30"/>
      <c r="BB858" s="155"/>
      <c r="BC858" s="314"/>
      <c r="BD858" s="314"/>
      <c r="BE858" s="314"/>
      <c r="BF858" s="314"/>
      <c r="BG858" s="314"/>
      <c r="BH858" s="314"/>
      <c r="BI858" s="314"/>
      <c r="BJ858" s="314"/>
      <c r="BK858" s="40"/>
      <c r="BL858" s="40"/>
      <c r="BM858" s="40"/>
      <c r="BN858" s="40"/>
      <c r="BO858" s="40"/>
      <c r="BP858" s="155"/>
      <c r="BQ858" s="314"/>
      <c r="BR858" s="314"/>
      <c r="BS858" s="314"/>
      <c r="BT858" s="314"/>
      <c r="BU858" s="314"/>
      <c r="BV858" s="314"/>
      <c r="BW858" s="314"/>
      <c r="BX858" s="155"/>
    </row>
    <row r="859" spans="1:76" ht="15.75" customHeight="1">
      <c r="A859" s="25"/>
      <c r="B859" s="39"/>
      <c r="C859" s="155"/>
      <c r="D859" s="155"/>
      <c r="E859" s="40"/>
      <c r="F859" s="314"/>
      <c r="H859" s="315"/>
      <c r="I859" s="315"/>
      <c r="BA859" s="30"/>
      <c r="BB859" s="155"/>
      <c r="BC859" s="314"/>
      <c r="BD859" s="314"/>
      <c r="BE859" s="314"/>
      <c r="BF859" s="314"/>
      <c r="BG859" s="314"/>
      <c r="BH859" s="314"/>
      <c r="BI859" s="314"/>
      <c r="BJ859" s="314"/>
      <c r="BK859" s="40"/>
      <c r="BL859" s="40"/>
      <c r="BM859" s="40"/>
      <c r="BN859" s="40"/>
      <c r="BO859" s="40"/>
      <c r="BP859" s="155"/>
      <c r="BQ859" s="314"/>
      <c r="BR859" s="314"/>
      <c r="BS859" s="314"/>
      <c r="BT859" s="314"/>
      <c r="BU859" s="314"/>
      <c r="BV859" s="314"/>
      <c r="BW859" s="314"/>
      <c r="BX859" s="155"/>
    </row>
    <row r="860" spans="1:76" ht="15.75" customHeight="1">
      <c r="A860" s="25"/>
      <c r="B860" s="39"/>
      <c r="C860" s="155"/>
      <c r="D860" s="155"/>
      <c r="E860" s="40"/>
      <c r="F860" s="314"/>
      <c r="H860" s="315"/>
      <c r="I860" s="315"/>
      <c r="BA860" s="30"/>
      <c r="BB860" s="155"/>
      <c r="BC860" s="314"/>
      <c r="BD860" s="314"/>
      <c r="BE860" s="314"/>
      <c r="BF860" s="314"/>
      <c r="BG860" s="314"/>
      <c r="BH860" s="314"/>
      <c r="BI860" s="314"/>
      <c r="BJ860" s="314"/>
      <c r="BK860" s="40"/>
      <c r="BL860" s="40"/>
      <c r="BM860" s="40"/>
      <c r="BN860" s="40"/>
      <c r="BO860" s="40"/>
      <c r="BP860" s="155"/>
      <c r="BQ860" s="314"/>
      <c r="BR860" s="314"/>
      <c r="BS860" s="314"/>
      <c r="BT860" s="314"/>
      <c r="BU860" s="314"/>
      <c r="BV860" s="314"/>
      <c r="BW860" s="314"/>
      <c r="BX860" s="155"/>
    </row>
    <row r="861" spans="1:76" ht="15.75" customHeight="1">
      <c r="A861" s="25"/>
      <c r="B861" s="39"/>
      <c r="C861" s="155"/>
      <c r="D861" s="155"/>
      <c r="E861" s="341"/>
      <c r="F861" s="314"/>
      <c r="H861" s="315"/>
      <c r="I861" s="315"/>
      <c r="BA861" s="30"/>
      <c r="BB861" s="321"/>
      <c r="BC861" s="314"/>
      <c r="BD861" s="314"/>
      <c r="BE861" s="314"/>
      <c r="BF861" s="314"/>
      <c r="BG861" s="314"/>
      <c r="BH861" s="314"/>
      <c r="BI861" s="314"/>
      <c r="BJ861" s="314"/>
      <c r="BK861" s="40"/>
      <c r="BL861" s="40"/>
      <c r="BM861" s="40"/>
      <c r="BN861" s="40"/>
      <c r="BO861" s="40"/>
      <c r="BP861" s="155"/>
      <c r="BQ861" s="314"/>
      <c r="BR861" s="314"/>
      <c r="BS861" s="314"/>
      <c r="BT861" s="314"/>
      <c r="BU861" s="314"/>
      <c r="BV861" s="314"/>
      <c r="BW861" s="314"/>
      <c r="BX861" s="155"/>
    </row>
    <row r="862" spans="1:76" ht="15.75" customHeight="1">
      <c r="A862" s="25"/>
      <c r="B862" s="39"/>
      <c r="C862" s="155"/>
      <c r="D862" s="155"/>
      <c r="E862" s="40"/>
      <c r="F862" s="314"/>
      <c r="H862" s="315"/>
      <c r="I862" s="315"/>
      <c r="BA862" s="30"/>
      <c r="BB862" s="155"/>
      <c r="BC862" s="314"/>
      <c r="BD862" s="314"/>
      <c r="BE862" s="314"/>
      <c r="BF862" s="314"/>
      <c r="BG862" s="314"/>
      <c r="BH862" s="314"/>
      <c r="BI862" s="314"/>
      <c r="BJ862" s="314"/>
      <c r="BK862" s="40"/>
      <c r="BL862" s="40"/>
      <c r="BM862" s="40"/>
      <c r="BN862" s="40"/>
      <c r="BO862" s="40"/>
      <c r="BP862" s="155"/>
      <c r="BQ862" s="314"/>
      <c r="BR862" s="314"/>
      <c r="BS862" s="314"/>
      <c r="BT862" s="314"/>
      <c r="BU862" s="314"/>
      <c r="BV862" s="314"/>
      <c r="BW862" s="314"/>
      <c r="BX862" s="155"/>
    </row>
    <row r="863" spans="1:76" ht="15.75" customHeight="1">
      <c r="A863" s="25"/>
      <c r="B863" s="39"/>
      <c r="C863" s="155"/>
      <c r="D863" s="155"/>
      <c r="E863" s="40"/>
      <c r="F863" s="314"/>
      <c r="H863" s="315"/>
      <c r="I863" s="315"/>
      <c r="BA863" s="30"/>
      <c r="BB863" s="155"/>
      <c r="BC863" s="314"/>
      <c r="BD863" s="314"/>
      <c r="BE863" s="314"/>
      <c r="BF863" s="314"/>
      <c r="BG863" s="314"/>
      <c r="BH863" s="314"/>
      <c r="BI863" s="314"/>
      <c r="BJ863" s="314"/>
      <c r="BK863" s="40"/>
      <c r="BL863" s="40"/>
      <c r="BM863" s="40"/>
      <c r="BN863" s="40"/>
      <c r="BO863" s="40"/>
      <c r="BP863" s="155"/>
      <c r="BQ863" s="314"/>
      <c r="BR863" s="314"/>
      <c r="BS863" s="314"/>
      <c r="BT863" s="314"/>
      <c r="BU863" s="314"/>
      <c r="BV863" s="314"/>
      <c r="BW863" s="314"/>
      <c r="BX863" s="155"/>
    </row>
    <row r="864" spans="1:76" ht="15.75" customHeight="1">
      <c r="A864" s="25"/>
      <c r="B864" s="39"/>
      <c r="C864" s="155"/>
      <c r="D864" s="155"/>
      <c r="E864" s="40"/>
      <c r="F864" s="314"/>
      <c r="H864" s="315"/>
      <c r="I864" s="315"/>
      <c r="BA864" s="30"/>
      <c r="BB864" s="155"/>
      <c r="BC864" s="314"/>
      <c r="BD864" s="314"/>
      <c r="BE864" s="314"/>
      <c r="BF864" s="314"/>
      <c r="BG864" s="314"/>
      <c r="BH864" s="314"/>
      <c r="BI864" s="314"/>
      <c r="BJ864" s="314"/>
      <c r="BK864" s="40"/>
      <c r="BL864" s="40"/>
      <c r="BM864" s="40"/>
      <c r="BN864" s="40"/>
      <c r="BO864" s="40"/>
      <c r="BP864" s="155"/>
      <c r="BQ864" s="314"/>
      <c r="BR864" s="314"/>
      <c r="BS864" s="314"/>
      <c r="BT864" s="314"/>
      <c r="BU864" s="314"/>
      <c r="BV864" s="314"/>
      <c r="BW864" s="314"/>
      <c r="BX864" s="155"/>
    </row>
    <row r="865" spans="1:76" ht="15.75" customHeight="1">
      <c r="A865" s="25"/>
      <c r="B865" s="39"/>
      <c r="C865" s="155"/>
      <c r="D865" s="155"/>
      <c r="E865" s="40"/>
      <c r="F865" s="314"/>
      <c r="H865" s="315"/>
      <c r="I865" s="315"/>
      <c r="BA865" s="30"/>
      <c r="BB865" s="155"/>
      <c r="BC865" s="314"/>
      <c r="BD865" s="314"/>
      <c r="BE865" s="314"/>
      <c r="BF865" s="314"/>
      <c r="BG865" s="314"/>
      <c r="BH865" s="314"/>
      <c r="BI865" s="314"/>
      <c r="BJ865" s="314"/>
      <c r="BK865" s="40"/>
      <c r="BL865" s="40"/>
      <c r="BM865" s="40"/>
      <c r="BN865" s="40"/>
      <c r="BO865" s="40"/>
      <c r="BP865" s="155"/>
      <c r="BQ865" s="314"/>
      <c r="BR865" s="314"/>
      <c r="BS865" s="314"/>
      <c r="BT865" s="314"/>
      <c r="BU865" s="314"/>
      <c r="BV865" s="314"/>
      <c r="BW865" s="314"/>
      <c r="BX865" s="155"/>
    </row>
    <row r="866" spans="1:76" ht="15.75" customHeight="1">
      <c r="A866" s="25"/>
      <c r="B866" s="39"/>
      <c r="C866" s="155"/>
      <c r="D866" s="155"/>
      <c r="E866" s="40"/>
      <c r="F866" s="314"/>
      <c r="H866" s="315"/>
      <c r="I866" s="315"/>
      <c r="BA866" s="30"/>
      <c r="BB866" s="155"/>
      <c r="BC866" s="314"/>
      <c r="BD866" s="314"/>
      <c r="BE866" s="314"/>
      <c r="BF866" s="314"/>
      <c r="BG866" s="314"/>
      <c r="BH866" s="314"/>
      <c r="BI866" s="314"/>
      <c r="BJ866" s="314"/>
      <c r="BK866" s="40"/>
      <c r="BL866" s="40"/>
      <c r="BM866" s="40"/>
      <c r="BN866" s="40"/>
      <c r="BO866" s="40"/>
      <c r="BP866" s="155"/>
      <c r="BQ866" s="314"/>
      <c r="BR866" s="314"/>
      <c r="BS866" s="314"/>
      <c r="BT866" s="314"/>
      <c r="BU866" s="314"/>
      <c r="BV866" s="314"/>
      <c r="BW866" s="314"/>
      <c r="BX866" s="155"/>
    </row>
    <row r="867" spans="1:76" ht="15.75" customHeight="1">
      <c r="A867" s="25"/>
      <c r="B867" s="39"/>
      <c r="C867" s="155"/>
      <c r="D867" s="155"/>
      <c r="E867" s="40"/>
      <c r="F867" s="314"/>
      <c r="H867" s="315"/>
      <c r="I867" s="315"/>
      <c r="BA867" s="30"/>
      <c r="BB867" s="155"/>
      <c r="BC867" s="314"/>
      <c r="BD867" s="314"/>
      <c r="BE867" s="314"/>
      <c r="BF867" s="314"/>
      <c r="BG867" s="314"/>
      <c r="BH867" s="314"/>
      <c r="BI867" s="314"/>
      <c r="BJ867" s="314"/>
      <c r="BK867" s="40"/>
      <c r="BL867" s="40"/>
      <c r="BM867" s="40"/>
      <c r="BN867" s="40"/>
      <c r="BO867" s="40"/>
      <c r="BP867" s="155"/>
      <c r="BQ867" s="314"/>
      <c r="BR867" s="314"/>
      <c r="BS867" s="314"/>
      <c r="BT867" s="314"/>
      <c r="BU867" s="314"/>
      <c r="BV867" s="314"/>
      <c r="BW867" s="314"/>
      <c r="BX867" s="155"/>
    </row>
    <row r="868" spans="1:76" ht="15.75" customHeight="1">
      <c r="A868" s="25"/>
      <c r="B868" s="39"/>
      <c r="C868" s="155"/>
      <c r="D868" s="155"/>
      <c r="E868" s="40"/>
      <c r="F868" s="314"/>
      <c r="H868" s="315"/>
      <c r="I868" s="315"/>
      <c r="BA868" s="30"/>
      <c r="BB868" s="155"/>
      <c r="BC868" s="314"/>
      <c r="BD868" s="314"/>
      <c r="BE868" s="314"/>
      <c r="BF868" s="314"/>
      <c r="BG868" s="314"/>
      <c r="BH868" s="314"/>
      <c r="BI868" s="314"/>
      <c r="BJ868" s="314"/>
      <c r="BK868" s="40"/>
      <c r="BL868" s="40"/>
      <c r="BM868" s="40"/>
      <c r="BN868" s="40"/>
      <c r="BO868" s="40"/>
      <c r="BP868" s="155"/>
      <c r="BQ868" s="314"/>
      <c r="BR868" s="314"/>
      <c r="BS868" s="314"/>
      <c r="BT868" s="314"/>
      <c r="BU868" s="314"/>
      <c r="BV868" s="314"/>
      <c r="BW868" s="314"/>
      <c r="BX868" s="155"/>
    </row>
    <row r="869" spans="1:76" ht="15.75" customHeight="1">
      <c r="A869" s="25"/>
      <c r="B869" s="39"/>
      <c r="C869" s="155"/>
      <c r="D869" s="155"/>
      <c r="E869" s="341"/>
      <c r="F869" s="314"/>
      <c r="H869" s="315"/>
      <c r="I869" s="315"/>
      <c r="BA869" s="30"/>
      <c r="BB869" s="321"/>
      <c r="BC869" s="314"/>
      <c r="BD869" s="314"/>
      <c r="BE869" s="314"/>
      <c r="BF869" s="314"/>
      <c r="BG869" s="314"/>
      <c r="BH869" s="314"/>
      <c r="BI869" s="314"/>
      <c r="BJ869" s="314"/>
      <c r="BK869" s="40"/>
      <c r="BL869" s="40"/>
      <c r="BM869" s="40"/>
      <c r="BN869" s="40"/>
      <c r="BO869" s="40"/>
      <c r="BP869" s="155"/>
      <c r="BQ869" s="314"/>
      <c r="BR869" s="314"/>
      <c r="BS869" s="314"/>
      <c r="BT869" s="314"/>
      <c r="BU869" s="314"/>
      <c r="BV869" s="314"/>
      <c r="BW869" s="314"/>
      <c r="BX869" s="155"/>
    </row>
    <row r="870" spans="1:76" ht="15.75" customHeight="1">
      <c r="A870" s="25"/>
      <c r="B870" s="39"/>
      <c r="C870" s="155"/>
      <c r="D870" s="155"/>
      <c r="E870" s="40"/>
      <c r="F870" s="314"/>
      <c r="H870" s="315"/>
      <c r="I870" s="315"/>
      <c r="BA870" s="30"/>
      <c r="BB870" s="155"/>
      <c r="BC870" s="314"/>
      <c r="BD870" s="314"/>
      <c r="BE870" s="314"/>
      <c r="BF870" s="314"/>
      <c r="BG870" s="314"/>
      <c r="BH870" s="314"/>
      <c r="BI870" s="314"/>
      <c r="BJ870" s="314"/>
      <c r="BK870" s="40"/>
      <c r="BL870" s="40"/>
      <c r="BM870" s="40"/>
      <c r="BN870" s="40"/>
      <c r="BO870" s="40"/>
      <c r="BP870" s="155"/>
      <c r="BQ870" s="314"/>
      <c r="BR870" s="314"/>
      <c r="BS870" s="314"/>
      <c r="BT870" s="314"/>
      <c r="BU870" s="314"/>
      <c r="BV870" s="314"/>
      <c r="BW870" s="314"/>
      <c r="BX870" s="155"/>
    </row>
    <row r="871" spans="1:76" ht="15.75" customHeight="1">
      <c r="A871" s="25"/>
      <c r="B871" s="39"/>
      <c r="C871" s="155"/>
      <c r="D871" s="155"/>
      <c r="E871" s="40"/>
      <c r="F871" s="314"/>
      <c r="H871" s="315"/>
      <c r="I871" s="315"/>
      <c r="BA871" s="30"/>
      <c r="BB871" s="155"/>
      <c r="BC871" s="314"/>
      <c r="BD871" s="314"/>
      <c r="BE871" s="314"/>
      <c r="BF871" s="314"/>
      <c r="BG871" s="314"/>
      <c r="BH871" s="314"/>
      <c r="BI871" s="314"/>
      <c r="BJ871" s="314"/>
      <c r="BK871" s="40"/>
      <c r="BL871" s="40"/>
      <c r="BM871" s="40"/>
      <c r="BN871" s="40"/>
      <c r="BO871" s="40"/>
      <c r="BP871" s="155"/>
      <c r="BQ871" s="314"/>
      <c r="BR871" s="314"/>
      <c r="BS871" s="314"/>
      <c r="BT871" s="314"/>
      <c r="BU871" s="314"/>
      <c r="BV871" s="314"/>
      <c r="BW871" s="314"/>
      <c r="BX871" s="155"/>
    </row>
    <row r="872" spans="1:76" ht="15.75" customHeight="1">
      <c r="A872" s="25"/>
      <c r="B872" s="39"/>
      <c r="C872" s="155"/>
      <c r="D872" s="155"/>
      <c r="E872" s="40"/>
      <c r="F872" s="314"/>
      <c r="H872" s="315"/>
      <c r="I872" s="315"/>
      <c r="BA872" s="30"/>
      <c r="BB872" s="155"/>
      <c r="BC872" s="314"/>
      <c r="BD872" s="314"/>
      <c r="BE872" s="314"/>
      <c r="BF872" s="314"/>
      <c r="BG872" s="314"/>
      <c r="BH872" s="314"/>
      <c r="BI872" s="314"/>
      <c r="BJ872" s="314"/>
      <c r="BK872" s="40"/>
      <c r="BL872" s="40"/>
      <c r="BM872" s="40"/>
      <c r="BN872" s="40"/>
      <c r="BO872" s="40"/>
      <c r="BP872" s="155"/>
      <c r="BQ872" s="314"/>
      <c r="BR872" s="314"/>
      <c r="BS872" s="314"/>
      <c r="BT872" s="314"/>
      <c r="BU872" s="314"/>
      <c r="BV872" s="314"/>
      <c r="BW872" s="314"/>
      <c r="BX872" s="155"/>
    </row>
    <row r="873" spans="1:76" ht="15.75" customHeight="1">
      <c r="A873" s="25"/>
      <c r="B873" s="39"/>
      <c r="C873" s="155"/>
      <c r="D873" s="155"/>
      <c r="E873" s="40"/>
      <c r="F873" s="314"/>
      <c r="H873" s="315"/>
      <c r="I873" s="315"/>
      <c r="BA873" s="30"/>
      <c r="BB873" s="155"/>
      <c r="BC873" s="314"/>
      <c r="BD873" s="314"/>
      <c r="BE873" s="314"/>
      <c r="BF873" s="314"/>
      <c r="BG873" s="314"/>
      <c r="BH873" s="314"/>
      <c r="BI873" s="314"/>
      <c r="BJ873" s="314"/>
      <c r="BK873" s="40"/>
      <c r="BL873" s="40"/>
      <c r="BM873" s="40"/>
      <c r="BN873" s="40"/>
      <c r="BO873" s="40"/>
      <c r="BP873" s="155"/>
      <c r="BQ873" s="314"/>
      <c r="BR873" s="314"/>
      <c r="BS873" s="314"/>
      <c r="BT873" s="314"/>
      <c r="BU873" s="314"/>
      <c r="BV873" s="314"/>
      <c r="BW873" s="314"/>
      <c r="BX873" s="155"/>
    </row>
    <row r="874" spans="1:76" ht="15.75" customHeight="1">
      <c r="A874" s="25"/>
      <c r="B874" s="39"/>
      <c r="C874" s="155"/>
      <c r="D874" s="155"/>
      <c r="E874" s="40"/>
      <c r="F874" s="314"/>
      <c r="H874" s="315"/>
      <c r="I874" s="315"/>
      <c r="BA874" s="30"/>
      <c r="BB874" s="155"/>
      <c r="BC874" s="314"/>
      <c r="BD874" s="314"/>
      <c r="BE874" s="314"/>
      <c r="BF874" s="314"/>
      <c r="BG874" s="314"/>
      <c r="BH874" s="314"/>
      <c r="BI874" s="314"/>
      <c r="BJ874" s="314"/>
      <c r="BK874" s="40"/>
      <c r="BL874" s="40"/>
      <c r="BM874" s="40"/>
      <c r="BN874" s="40"/>
      <c r="BO874" s="40"/>
      <c r="BP874" s="155"/>
      <c r="BQ874" s="314"/>
      <c r="BR874" s="314"/>
      <c r="BS874" s="314"/>
      <c r="BT874" s="314"/>
      <c r="BU874" s="314"/>
      <c r="BV874" s="314"/>
      <c r="BW874" s="314"/>
      <c r="BX874" s="155"/>
    </row>
    <row r="875" spans="1:76" ht="15.75" customHeight="1">
      <c r="A875" s="25"/>
      <c r="B875" s="39"/>
      <c r="C875" s="155"/>
      <c r="D875" s="155"/>
      <c r="E875" s="40"/>
      <c r="F875" s="314"/>
      <c r="H875" s="315"/>
      <c r="I875" s="315"/>
      <c r="BA875" s="30"/>
      <c r="BB875" s="155"/>
      <c r="BC875" s="314"/>
      <c r="BD875" s="314"/>
      <c r="BE875" s="314"/>
      <c r="BF875" s="314"/>
      <c r="BG875" s="314"/>
      <c r="BH875" s="314"/>
      <c r="BI875" s="314"/>
      <c r="BJ875" s="314"/>
      <c r="BK875" s="40"/>
      <c r="BL875" s="40"/>
      <c r="BM875" s="40"/>
      <c r="BN875" s="40"/>
      <c r="BO875" s="40"/>
      <c r="BP875" s="155"/>
      <c r="BQ875" s="314"/>
      <c r="BR875" s="314"/>
      <c r="BS875" s="314"/>
      <c r="BT875" s="314"/>
      <c r="BU875" s="314"/>
      <c r="BV875" s="314"/>
      <c r="BW875" s="314"/>
      <c r="BX875" s="155"/>
    </row>
    <row r="876" spans="1:76" ht="15.75" customHeight="1">
      <c r="A876" s="25"/>
      <c r="B876" s="39"/>
      <c r="C876" s="155"/>
      <c r="D876" s="155"/>
      <c r="E876" s="40"/>
      <c r="F876" s="314"/>
      <c r="H876" s="315"/>
      <c r="I876" s="315"/>
      <c r="BA876" s="30"/>
      <c r="BB876" s="155"/>
      <c r="BC876" s="314"/>
      <c r="BD876" s="314"/>
      <c r="BE876" s="314"/>
      <c r="BF876" s="314"/>
      <c r="BG876" s="314"/>
      <c r="BH876" s="314"/>
      <c r="BI876" s="314"/>
      <c r="BJ876" s="314"/>
      <c r="BK876" s="40"/>
      <c r="BL876" s="40"/>
      <c r="BM876" s="40"/>
      <c r="BN876" s="40"/>
      <c r="BO876" s="40"/>
      <c r="BP876" s="155"/>
      <c r="BQ876" s="314"/>
      <c r="BR876" s="314"/>
      <c r="BS876" s="314"/>
      <c r="BT876" s="314"/>
      <c r="BU876" s="314"/>
      <c r="BV876" s="314"/>
      <c r="BW876" s="314"/>
      <c r="BX876" s="155"/>
    </row>
    <row r="877" spans="1:76" ht="15.75" customHeight="1">
      <c r="A877" s="25"/>
      <c r="B877" s="39"/>
      <c r="C877" s="155"/>
      <c r="D877" s="155"/>
      <c r="E877" s="341"/>
      <c r="F877" s="314"/>
      <c r="H877" s="315"/>
      <c r="I877" s="315"/>
      <c r="BA877" s="30"/>
      <c r="BB877" s="321"/>
      <c r="BC877" s="314"/>
      <c r="BD877" s="314"/>
      <c r="BE877" s="314"/>
      <c r="BF877" s="314"/>
      <c r="BG877" s="314"/>
      <c r="BH877" s="314"/>
      <c r="BI877" s="314"/>
      <c r="BJ877" s="314"/>
      <c r="BK877" s="40"/>
      <c r="BL877" s="40"/>
      <c r="BM877" s="40"/>
      <c r="BN877" s="40"/>
      <c r="BO877" s="40"/>
      <c r="BP877" s="155"/>
      <c r="BQ877" s="314"/>
      <c r="BR877" s="314"/>
      <c r="BS877" s="314"/>
      <c r="BT877" s="314"/>
      <c r="BU877" s="314"/>
      <c r="BV877" s="314"/>
      <c r="BW877" s="314"/>
      <c r="BX877" s="155"/>
    </row>
    <row r="878" spans="1:76" ht="15.75" customHeight="1">
      <c r="A878" s="25"/>
      <c r="B878" s="39"/>
      <c r="C878" s="155"/>
      <c r="D878" s="155"/>
      <c r="E878" s="40"/>
      <c r="F878" s="314"/>
      <c r="H878" s="315"/>
      <c r="I878" s="315"/>
      <c r="BA878" s="30"/>
      <c r="BB878" s="155"/>
      <c r="BC878" s="314"/>
      <c r="BD878" s="314"/>
      <c r="BE878" s="314"/>
      <c r="BF878" s="314"/>
      <c r="BG878" s="314"/>
      <c r="BH878" s="314"/>
      <c r="BI878" s="314"/>
      <c r="BJ878" s="314"/>
      <c r="BK878" s="40"/>
      <c r="BL878" s="40"/>
      <c r="BM878" s="40"/>
      <c r="BN878" s="40"/>
      <c r="BO878" s="40"/>
      <c r="BP878" s="155"/>
      <c r="BQ878" s="314"/>
      <c r="BR878" s="314"/>
      <c r="BS878" s="314"/>
      <c r="BT878" s="314"/>
      <c r="BU878" s="314"/>
      <c r="BV878" s="314"/>
      <c r="BW878" s="314"/>
      <c r="BX878" s="155"/>
    </row>
    <row r="879" spans="1:76" ht="15.75" customHeight="1">
      <c r="A879" s="25"/>
      <c r="B879" s="39"/>
      <c r="C879" s="155"/>
      <c r="D879" s="155"/>
      <c r="E879" s="40"/>
      <c r="F879" s="314"/>
      <c r="H879" s="315"/>
      <c r="I879" s="315"/>
      <c r="BA879" s="30"/>
      <c r="BB879" s="155"/>
      <c r="BC879" s="314"/>
      <c r="BD879" s="314"/>
      <c r="BE879" s="314"/>
      <c r="BF879" s="314"/>
      <c r="BG879" s="314"/>
      <c r="BH879" s="314"/>
      <c r="BI879" s="314"/>
      <c r="BJ879" s="314"/>
      <c r="BK879" s="40"/>
      <c r="BL879" s="40"/>
      <c r="BM879" s="40"/>
      <c r="BN879" s="40"/>
      <c r="BO879" s="40"/>
      <c r="BP879" s="155"/>
      <c r="BQ879" s="314"/>
      <c r="BR879" s="314"/>
      <c r="BS879" s="314"/>
      <c r="BT879" s="314"/>
      <c r="BU879" s="314"/>
      <c r="BV879" s="314"/>
      <c r="BW879" s="314"/>
      <c r="BX879" s="155"/>
    </row>
    <row r="880" spans="1:76" ht="15.75" customHeight="1">
      <c r="A880" s="25"/>
      <c r="B880" s="39"/>
      <c r="C880" s="155"/>
      <c r="D880" s="155"/>
      <c r="E880" s="40"/>
      <c r="F880" s="314"/>
      <c r="H880" s="315"/>
      <c r="I880" s="315"/>
      <c r="BA880" s="30"/>
      <c r="BB880" s="155"/>
      <c r="BC880" s="314"/>
      <c r="BD880" s="314"/>
      <c r="BE880" s="314"/>
      <c r="BF880" s="314"/>
      <c r="BG880" s="314"/>
      <c r="BH880" s="314"/>
      <c r="BI880" s="314"/>
      <c r="BJ880" s="314"/>
      <c r="BK880" s="40"/>
      <c r="BL880" s="40"/>
      <c r="BM880" s="40"/>
      <c r="BN880" s="40"/>
      <c r="BO880" s="40"/>
      <c r="BP880" s="155"/>
      <c r="BQ880" s="314"/>
      <c r="BR880" s="314"/>
      <c r="BS880" s="314"/>
      <c r="BT880" s="314"/>
      <c r="BU880" s="314"/>
      <c r="BV880" s="314"/>
      <c r="BW880" s="314"/>
      <c r="BX880" s="155"/>
    </row>
    <row r="881" spans="1:76" ht="15.75" customHeight="1">
      <c r="A881" s="25"/>
      <c r="B881" s="39"/>
      <c r="C881" s="155"/>
      <c r="D881" s="155"/>
      <c r="E881" s="40"/>
      <c r="F881" s="314"/>
      <c r="H881" s="315"/>
      <c r="I881" s="315"/>
      <c r="BA881" s="30"/>
      <c r="BB881" s="155"/>
      <c r="BC881" s="314"/>
      <c r="BD881" s="314"/>
      <c r="BE881" s="314"/>
      <c r="BF881" s="314"/>
      <c r="BG881" s="314"/>
      <c r="BH881" s="314"/>
      <c r="BI881" s="314"/>
      <c r="BJ881" s="314"/>
      <c r="BK881" s="40"/>
      <c r="BL881" s="40"/>
      <c r="BM881" s="40"/>
      <c r="BN881" s="40"/>
      <c r="BO881" s="40"/>
      <c r="BP881" s="155"/>
      <c r="BQ881" s="314"/>
      <c r="BR881" s="314"/>
      <c r="BS881" s="314"/>
      <c r="BT881" s="314"/>
      <c r="BU881" s="314"/>
      <c r="BV881" s="314"/>
      <c r="BW881" s="314"/>
      <c r="BX881" s="155"/>
    </row>
    <row r="882" spans="1:76" ht="15.75" customHeight="1">
      <c r="A882" s="25"/>
      <c r="B882" s="39"/>
      <c r="C882" s="155"/>
      <c r="D882" s="155"/>
      <c r="E882" s="40"/>
      <c r="F882" s="314"/>
      <c r="H882" s="315"/>
      <c r="I882" s="315"/>
      <c r="BA882" s="30"/>
      <c r="BB882" s="155"/>
      <c r="BC882" s="314"/>
      <c r="BD882" s="314"/>
      <c r="BE882" s="314"/>
      <c r="BF882" s="314"/>
      <c r="BG882" s="314"/>
      <c r="BH882" s="314"/>
      <c r="BI882" s="314"/>
      <c r="BJ882" s="314"/>
      <c r="BK882" s="40"/>
      <c r="BL882" s="40"/>
      <c r="BM882" s="40"/>
      <c r="BN882" s="40"/>
      <c r="BO882" s="40"/>
      <c r="BP882" s="155"/>
      <c r="BQ882" s="314"/>
      <c r="BR882" s="314"/>
      <c r="BS882" s="314"/>
      <c r="BT882" s="314"/>
      <c r="BU882" s="314"/>
      <c r="BV882" s="314"/>
      <c r="BW882" s="314"/>
      <c r="BX882" s="155"/>
    </row>
    <row r="883" spans="1:76" ht="15.75" customHeight="1">
      <c r="A883" s="25"/>
      <c r="B883" s="39"/>
      <c r="C883" s="155"/>
      <c r="D883" s="155"/>
      <c r="E883" s="40"/>
      <c r="F883" s="314"/>
      <c r="H883" s="315"/>
      <c r="I883" s="315"/>
      <c r="BA883" s="30"/>
      <c r="BB883" s="155"/>
      <c r="BC883" s="314"/>
      <c r="BD883" s="314"/>
      <c r="BE883" s="314"/>
      <c r="BF883" s="314"/>
      <c r="BG883" s="314"/>
      <c r="BH883" s="314"/>
      <c r="BI883" s="314"/>
      <c r="BJ883" s="314"/>
      <c r="BK883" s="40"/>
      <c r="BL883" s="40"/>
      <c r="BM883" s="40"/>
      <c r="BN883" s="40"/>
      <c r="BO883" s="40"/>
      <c r="BP883" s="155"/>
      <c r="BQ883" s="314"/>
      <c r="BR883" s="314"/>
      <c r="BS883" s="314"/>
      <c r="BT883" s="314"/>
      <c r="BU883" s="314"/>
      <c r="BV883" s="314"/>
      <c r="BW883" s="314"/>
      <c r="BX883" s="155"/>
    </row>
    <row r="884" spans="1:76" ht="15.75" customHeight="1">
      <c r="A884" s="25"/>
      <c r="B884" s="39"/>
      <c r="C884" s="155"/>
      <c r="D884" s="155"/>
      <c r="E884" s="40"/>
      <c r="F884" s="314"/>
      <c r="H884" s="315"/>
      <c r="I884" s="315"/>
      <c r="BA884" s="30"/>
      <c r="BB884" s="155"/>
      <c r="BC884" s="314"/>
      <c r="BD884" s="314"/>
      <c r="BE884" s="314"/>
      <c r="BF884" s="314"/>
      <c r="BG884" s="314"/>
      <c r="BH884" s="314"/>
      <c r="BI884" s="314"/>
      <c r="BJ884" s="314"/>
      <c r="BK884" s="40"/>
      <c r="BL884" s="40"/>
      <c r="BM884" s="40"/>
      <c r="BN884" s="40"/>
      <c r="BO884" s="40"/>
      <c r="BP884" s="155"/>
      <c r="BQ884" s="314"/>
      <c r="BR884" s="314"/>
      <c r="BS884" s="314"/>
      <c r="BT884" s="314"/>
      <c r="BU884" s="314"/>
      <c r="BV884" s="314"/>
      <c r="BW884" s="314"/>
      <c r="BX884" s="155"/>
    </row>
    <row r="885" spans="1:76" ht="15.75" customHeight="1">
      <c r="A885" s="25"/>
      <c r="B885" s="39"/>
      <c r="C885" s="155"/>
      <c r="D885" s="155"/>
      <c r="E885" s="341"/>
      <c r="F885" s="314"/>
      <c r="H885" s="315"/>
      <c r="I885" s="315"/>
      <c r="BA885" s="30"/>
      <c r="BB885" s="321"/>
      <c r="BC885" s="314"/>
      <c r="BD885" s="314"/>
      <c r="BE885" s="314"/>
      <c r="BF885" s="314"/>
      <c r="BG885" s="314"/>
      <c r="BH885" s="314"/>
      <c r="BI885" s="314"/>
      <c r="BJ885" s="314"/>
      <c r="BK885" s="40"/>
      <c r="BL885" s="40"/>
      <c r="BM885" s="40"/>
      <c r="BN885" s="40"/>
      <c r="BO885" s="40"/>
      <c r="BP885" s="155"/>
      <c r="BQ885" s="314"/>
      <c r="BR885" s="314"/>
      <c r="BS885" s="314"/>
      <c r="BT885" s="314"/>
      <c r="BU885" s="314"/>
      <c r="BV885" s="314"/>
      <c r="BW885" s="314"/>
      <c r="BX885" s="155"/>
    </row>
    <row r="886" spans="1:76" ht="15.75" customHeight="1">
      <c r="A886" s="25"/>
      <c r="B886" s="39"/>
      <c r="C886" s="155"/>
      <c r="D886" s="155"/>
      <c r="E886" s="40"/>
      <c r="F886" s="314"/>
      <c r="H886" s="315"/>
      <c r="I886" s="315"/>
      <c r="BA886" s="30"/>
      <c r="BB886" s="155"/>
      <c r="BC886" s="314"/>
      <c r="BD886" s="314"/>
      <c r="BE886" s="314"/>
      <c r="BF886" s="314"/>
      <c r="BG886" s="314"/>
      <c r="BH886" s="314"/>
      <c r="BI886" s="314"/>
      <c r="BJ886" s="314"/>
      <c r="BK886" s="40"/>
      <c r="BL886" s="40"/>
      <c r="BM886" s="40"/>
      <c r="BN886" s="40"/>
      <c r="BO886" s="40"/>
      <c r="BP886" s="155"/>
      <c r="BQ886" s="314"/>
      <c r="BR886" s="314"/>
      <c r="BS886" s="314"/>
      <c r="BT886" s="314"/>
      <c r="BU886" s="314"/>
      <c r="BV886" s="314"/>
      <c r="BW886" s="314"/>
      <c r="BX886" s="155"/>
    </row>
    <row r="887" spans="1:76" ht="15.75" customHeight="1">
      <c r="A887" s="25"/>
      <c r="B887" s="39"/>
      <c r="C887" s="155"/>
      <c r="D887" s="155"/>
      <c r="E887" s="40"/>
      <c r="F887" s="314"/>
      <c r="H887" s="315"/>
      <c r="I887" s="315"/>
      <c r="BA887" s="30"/>
      <c r="BB887" s="155"/>
      <c r="BC887" s="314"/>
      <c r="BD887" s="314"/>
      <c r="BE887" s="314"/>
      <c r="BF887" s="314"/>
      <c r="BG887" s="314"/>
      <c r="BH887" s="314"/>
      <c r="BI887" s="314"/>
      <c r="BJ887" s="314"/>
      <c r="BK887" s="40"/>
      <c r="BL887" s="40"/>
      <c r="BM887" s="40"/>
      <c r="BN887" s="40"/>
      <c r="BO887" s="40"/>
      <c r="BP887" s="155"/>
      <c r="BQ887" s="314"/>
      <c r="BR887" s="314"/>
      <c r="BS887" s="314"/>
      <c r="BT887" s="314"/>
      <c r="BU887" s="314"/>
      <c r="BV887" s="314"/>
      <c r="BW887" s="314"/>
      <c r="BX887" s="155"/>
    </row>
    <row r="888" spans="1:76" ht="15.75" customHeight="1">
      <c r="A888" s="25"/>
      <c r="B888" s="39"/>
      <c r="C888" s="155"/>
      <c r="D888" s="155"/>
      <c r="E888" s="40"/>
      <c r="F888" s="314"/>
      <c r="H888" s="315"/>
      <c r="I888" s="315"/>
      <c r="BA888" s="30"/>
      <c r="BB888" s="155"/>
      <c r="BC888" s="314"/>
      <c r="BD888" s="314"/>
      <c r="BE888" s="314"/>
      <c r="BF888" s="314"/>
      <c r="BG888" s="314"/>
      <c r="BH888" s="314"/>
      <c r="BI888" s="314"/>
      <c r="BJ888" s="314"/>
      <c r="BK888" s="40"/>
      <c r="BL888" s="40"/>
      <c r="BM888" s="40"/>
      <c r="BN888" s="40"/>
      <c r="BO888" s="40"/>
      <c r="BP888" s="155"/>
      <c r="BQ888" s="314"/>
      <c r="BR888" s="314"/>
      <c r="BS888" s="314"/>
      <c r="BT888" s="314"/>
      <c r="BU888" s="314"/>
      <c r="BV888" s="314"/>
      <c r="BW888" s="314"/>
      <c r="BX888" s="155"/>
    </row>
    <row r="889" spans="1:76" ht="15.75" customHeight="1">
      <c r="A889" s="25"/>
      <c r="B889" s="39"/>
      <c r="C889" s="155"/>
      <c r="D889" s="155"/>
      <c r="E889" s="40"/>
      <c r="F889" s="314"/>
      <c r="H889" s="315"/>
      <c r="I889" s="315"/>
      <c r="BA889" s="30"/>
      <c r="BB889" s="155"/>
      <c r="BC889" s="314"/>
      <c r="BD889" s="314"/>
      <c r="BE889" s="314"/>
      <c r="BF889" s="314"/>
      <c r="BG889" s="314"/>
      <c r="BH889" s="314"/>
      <c r="BI889" s="314"/>
      <c r="BJ889" s="314"/>
      <c r="BK889" s="40"/>
      <c r="BL889" s="40"/>
      <c r="BM889" s="40"/>
      <c r="BN889" s="40"/>
      <c r="BO889" s="40"/>
      <c r="BP889" s="155"/>
      <c r="BQ889" s="314"/>
      <c r="BR889" s="314"/>
      <c r="BS889" s="314"/>
      <c r="BT889" s="314"/>
      <c r="BU889" s="314"/>
      <c r="BV889" s="314"/>
      <c r="BW889" s="314"/>
      <c r="BX889" s="155"/>
    </row>
    <row r="890" spans="1:76" ht="15.75" customHeight="1">
      <c r="A890" s="25"/>
      <c r="B890" s="39"/>
      <c r="C890" s="155"/>
      <c r="D890" s="155"/>
      <c r="E890" s="40"/>
      <c r="F890" s="314"/>
      <c r="H890" s="315"/>
      <c r="I890" s="315"/>
      <c r="BA890" s="30"/>
      <c r="BB890" s="155"/>
      <c r="BC890" s="314"/>
      <c r="BD890" s="314"/>
      <c r="BE890" s="314"/>
      <c r="BF890" s="314"/>
      <c r="BG890" s="314"/>
      <c r="BH890" s="314"/>
      <c r="BI890" s="314"/>
      <c r="BJ890" s="314"/>
      <c r="BK890" s="40"/>
      <c r="BL890" s="40"/>
      <c r="BM890" s="40"/>
      <c r="BN890" s="40"/>
      <c r="BO890" s="40"/>
      <c r="BP890" s="155"/>
      <c r="BQ890" s="314"/>
      <c r="BR890" s="314"/>
      <c r="BS890" s="314"/>
      <c r="BT890" s="314"/>
      <c r="BU890" s="314"/>
      <c r="BV890" s="314"/>
      <c r="BW890" s="314"/>
      <c r="BX890" s="155"/>
    </row>
    <row r="891" spans="1:76" ht="15.75" customHeight="1">
      <c r="A891" s="25"/>
      <c r="B891" s="39"/>
      <c r="C891" s="155"/>
      <c r="D891" s="155"/>
      <c r="E891" s="40"/>
      <c r="F891" s="314"/>
      <c r="H891" s="315"/>
      <c r="I891" s="315"/>
      <c r="BA891" s="30"/>
      <c r="BB891" s="155"/>
      <c r="BC891" s="314"/>
      <c r="BD891" s="314"/>
      <c r="BE891" s="314"/>
      <c r="BF891" s="314"/>
      <c r="BG891" s="314"/>
      <c r="BH891" s="314"/>
      <c r="BI891" s="314"/>
      <c r="BJ891" s="314"/>
      <c r="BK891" s="40"/>
      <c r="BL891" s="40"/>
      <c r="BM891" s="40"/>
      <c r="BN891" s="40"/>
      <c r="BO891" s="40"/>
      <c r="BP891" s="155"/>
      <c r="BQ891" s="314"/>
      <c r="BR891" s="314"/>
      <c r="BS891" s="314"/>
      <c r="BT891" s="314"/>
      <c r="BU891" s="314"/>
      <c r="BV891" s="314"/>
      <c r="BW891" s="314"/>
      <c r="BX891" s="155"/>
    </row>
    <row r="892" spans="1:76" ht="15.75" customHeight="1">
      <c r="A892" s="25"/>
      <c r="B892" s="39"/>
      <c r="C892" s="155"/>
      <c r="D892" s="155"/>
      <c r="E892" s="341"/>
      <c r="F892" s="314"/>
      <c r="H892" s="315"/>
      <c r="I892" s="315"/>
      <c r="BA892" s="30"/>
      <c r="BB892" s="321"/>
      <c r="BC892" s="314"/>
      <c r="BD892" s="314"/>
      <c r="BE892" s="314"/>
      <c r="BF892" s="314"/>
      <c r="BG892" s="314"/>
      <c r="BH892" s="314"/>
      <c r="BI892" s="314"/>
      <c r="BJ892" s="314"/>
      <c r="BK892" s="40"/>
      <c r="BL892" s="40"/>
      <c r="BM892" s="40"/>
      <c r="BN892" s="40"/>
      <c r="BO892" s="40"/>
      <c r="BP892" s="155"/>
      <c r="BQ892" s="314"/>
      <c r="BR892" s="314"/>
      <c r="BS892" s="314"/>
      <c r="BT892" s="314"/>
      <c r="BU892" s="314"/>
      <c r="BV892" s="314"/>
      <c r="BW892" s="314"/>
      <c r="BX892" s="155"/>
    </row>
    <row r="893" spans="1:76" ht="15.75" customHeight="1">
      <c r="A893" s="25"/>
      <c r="B893" s="39"/>
      <c r="C893" s="155"/>
      <c r="D893" s="155"/>
      <c r="E893" s="40"/>
      <c r="F893" s="314"/>
      <c r="H893" s="315"/>
      <c r="I893" s="315"/>
      <c r="BA893" s="30"/>
      <c r="BB893" s="155"/>
      <c r="BC893" s="314"/>
      <c r="BD893" s="314"/>
      <c r="BE893" s="314"/>
      <c r="BF893" s="314"/>
      <c r="BG893" s="314"/>
      <c r="BH893" s="314"/>
      <c r="BI893" s="314"/>
      <c r="BJ893" s="314"/>
      <c r="BK893" s="40"/>
      <c r="BL893" s="40"/>
      <c r="BM893" s="40"/>
      <c r="BN893" s="40"/>
      <c r="BO893" s="40"/>
      <c r="BP893" s="155"/>
      <c r="BQ893" s="314"/>
      <c r="BR893" s="314"/>
      <c r="BS893" s="314"/>
      <c r="BT893" s="314"/>
      <c r="BU893" s="314"/>
      <c r="BV893" s="314"/>
      <c r="BW893" s="314"/>
      <c r="BX893" s="155"/>
    </row>
    <row r="894" spans="1:76" ht="15.75" customHeight="1">
      <c r="A894" s="25"/>
      <c r="B894" s="39"/>
      <c r="C894" s="155"/>
      <c r="D894" s="155"/>
      <c r="E894" s="40"/>
      <c r="F894" s="314"/>
      <c r="H894" s="315"/>
      <c r="I894" s="315"/>
      <c r="BA894" s="30"/>
      <c r="BB894" s="155"/>
      <c r="BC894" s="314"/>
      <c r="BD894" s="314"/>
      <c r="BE894" s="314"/>
      <c r="BF894" s="314"/>
      <c r="BG894" s="314"/>
      <c r="BH894" s="314"/>
      <c r="BI894" s="314"/>
      <c r="BJ894" s="314"/>
      <c r="BK894" s="40"/>
      <c r="BL894" s="40"/>
      <c r="BM894" s="40"/>
      <c r="BN894" s="40"/>
      <c r="BO894" s="40"/>
      <c r="BP894" s="155"/>
      <c r="BQ894" s="314"/>
      <c r="BR894" s="314"/>
      <c r="BS894" s="314"/>
      <c r="BT894" s="314"/>
      <c r="BU894" s="314"/>
      <c r="BV894" s="314"/>
      <c r="BW894" s="314"/>
      <c r="BX894" s="155"/>
    </row>
    <row r="895" spans="1:76" ht="15.75" customHeight="1">
      <c r="A895" s="25"/>
      <c r="B895" s="39"/>
      <c r="C895" s="155"/>
      <c r="D895" s="155"/>
      <c r="E895" s="40"/>
      <c r="F895" s="314"/>
      <c r="H895" s="315"/>
      <c r="I895" s="315"/>
      <c r="BA895" s="30"/>
      <c r="BB895" s="155"/>
      <c r="BC895" s="314"/>
      <c r="BD895" s="314"/>
      <c r="BE895" s="314"/>
      <c r="BF895" s="314"/>
      <c r="BG895" s="314"/>
      <c r="BH895" s="314"/>
      <c r="BI895" s="314"/>
      <c r="BJ895" s="314"/>
      <c r="BK895" s="40"/>
      <c r="BL895" s="40"/>
      <c r="BM895" s="40"/>
      <c r="BN895" s="40"/>
      <c r="BO895" s="40"/>
      <c r="BP895" s="155"/>
      <c r="BQ895" s="314"/>
      <c r="BR895" s="314"/>
      <c r="BS895" s="314"/>
      <c r="BT895" s="314"/>
      <c r="BU895" s="314"/>
      <c r="BV895" s="314"/>
      <c r="BW895" s="314"/>
      <c r="BX895" s="155"/>
    </row>
    <row r="896" spans="1:76" ht="15.75" customHeight="1">
      <c r="A896" s="25"/>
      <c r="B896" s="39"/>
      <c r="C896" s="155"/>
      <c r="D896" s="155"/>
      <c r="E896" s="40"/>
      <c r="F896" s="314"/>
      <c r="H896" s="315"/>
      <c r="I896" s="315"/>
      <c r="BA896" s="30"/>
      <c r="BB896" s="155"/>
      <c r="BC896" s="314"/>
      <c r="BD896" s="314"/>
      <c r="BE896" s="314"/>
      <c r="BF896" s="314"/>
      <c r="BG896" s="314"/>
      <c r="BH896" s="314"/>
      <c r="BI896" s="314"/>
      <c r="BJ896" s="314"/>
      <c r="BK896" s="40"/>
      <c r="BL896" s="40"/>
      <c r="BM896" s="40"/>
      <c r="BN896" s="40"/>
      <c r="BO896" s="40"/>
      <c r="BP896" s="155"/>
      <c r="BQ896" s="314"/>
      <c r="BR896" s="314"/>
      <c r="BS896" s="314"/>
      <c r="BT896" s="314"/>
      <c r="BU896" s="314"/>
      <c r="BV896" s="314"/>
      <c r="BW896" s="314"/>
      <c r="BX896" s="155"/>
    </row>
    <row r="897" spans="1:76" ht="15.75" customHeight="1">
      <c r="A897" s="25"/>
      <c r="B897" s="39"/>
      <c r="C897" s="155"/>
      <c r="D897" s="155"/>
      <c r="E897" s="40"/>
      <c r="F897" s="314"/>
      <c r="H897" s="315"/>
      <c r="I897" s="315"/>
      <c r="BA897" s="30"/>
      <c r="BB897" s="155"/>
      <c r="BC897" s="314"/>
      <c r="BD897" s="314"/>
      <c r="BE897" s="314"/>
      <c r="BF897" s="314"/>
      <c r="BG897" s="314"/>
      <c r="BH897" s="314"/>
      <c r="BI897" s="314"/>
      <c r="BJ897" s="314"/>
      <c r="BK897" s="40"/>
      <c r="BL897" s="40"/>
      <c r="BM897" s="40"/>
      <c r="BN897" s="40"/>
      <c r="BO897" s="40"/>
      <c r="BP897" s="155"/>
      <c r="BQ897" s="314"/>
      <c r="BR897" s="314"/>
      <c r="BS897" s="314"/>
      <c r="BT897" s="314"/>
      <c r="BU897" s="314"/>
      <c r="BV897" s="314"/>
      <c r="BW897" s="314"/>
      <c r="BX897" s="155"/>
    </row>
    <row r="898" spans="1:76" ht="15.75" customHeight="1">
      <c r="A898" s="25"/>
      <c r="B898" s="39"/>
      <c r="C898" s="155"/>
      <c r="D898" s="155"/>
      <c r="E898" s="40"/>
      <c r="F898" s="314"/>
      <c r="H898" s="315"/>
      <c r="I898" s="315"/>
      <c r="BA898" s="30"/>
      <c r="BB898" s="155"/>
      <c r="BC898" s="314"/>
      <c r="BD898" s="314"/>
      <c r="BE898" s="314"/>
      <c r="BF898" s="314"/>
      <c r="BG898" s="314"/>
      <c r="BH898" s="314"/>
      <c r="BI898" s="314"/>
      <c r="BJ898" s="314"/>
      <c r="BK898" s="40"/>
      <c r="BL898" s="40"/>
      <c r="BM898" s="40"/>
      <c r="BN898" s="40"/>
      <c r="BO898" s="40"/>
      <c r="BP898" s="155"/>
      <c r="BQ898" s="314"/>
      <c r="BR898" s="314"/>
      <c r="BS898" s="314"/>
      <c r="BT898" s="314"/>
      <c r="BU898" s="314"/>
      <c r="BV898" s="314"/>
      <c r="BW898" s="314"/>
      <c r="BX898" s="155"/>
    </row>
    <row r="899" spans="1:76" ht="15.75" customHeight="1">
      <c r="A899" s="25"/>
      <c r="B899" s="39"/>
      <c r="C899" s="155"/>
      <c r="D899" s="155"/>
      <c r="E899" s="40"/>
      <c r="F899" s="314"/>
      <c r="H899" s="315"/>
      <c r="I899" s="315"/>
      <c r="BA899" s="30"/>
      <c r="BB899" s="155"/>
      <c r="BC899" s="314"/>
      <c r="BD899" s="314"/>
      <c r="BE899" s="314"/>
      <c r="BF899" s="314"/>
      <c r="BG899" s="314"/>
      <c r="BH899" s="314"/>
      <c r="BI899" s="314"/>
      <c r="BJ899" s="314"/>
      <c r="BK899" s="40"/>
      <c r="BL899" s="40"/>
      <c r="BM899" s="40"/>
      <c r="BN899" s="40"/>
      <c r="BO899" s="40"/>
      <c r="BP899" s="155"/>
      <c r="BQ899" s="314"/>
      <c r="BR899" s="314"/>
      <c r="BS899" s="314"/>
      <c r="BT899" s="314"/>
      <c r="BU899" s="314"/>
      <c r="BV899" s="314"/>
      <c r="BW899" s="314"/>
      <c r="BX899" s="155"/>
    </row>
    <row r="900" spans="1:76" ht="15.75" customHeight="1">
      <c r="A900" s="25"/>
      <c r="B900" s="39"/>
      <c r="C900" s="155"/>
      <c r="D900" s="155"/>
      <c r="E900" s="40"/>
      <c r="F900" s="314"/>
      <c r="H900" s="315"/>
      <c r="I900" s="315"/>
      <c r="BA900" s="30"/>
      <c r="BB900" s="155"/>
      <c r="BC900" s="314"/>
      <c r="BD900" s="314"/>
      <c r="BE900" s="314"/>
      <c r="BF900" s="314"/>
      <c r="BG900" s="314"/>
      <c r="BH900" s="314"/>
      <c r="BI900" s="314"/>
      <c r="BJ900" s="314"/>
      <c r="BK900" s="40"/>
      <c r="BL900" s="40"/>
      <c r="BM900" s="40"/>
      <c r="BN900" s="40"/>
      <c r="BO900" s="40"/>
      <c r="BP900" s="155"/>
      <c r="BQ900" s="314"/>
      <c r="BR900" s="314"/>
      <c r="BS900" s="314"/>
      <c r="BT900" s="314"/>
      <c r="BU900" s="314"/>
      <c r="BV900" s="314"/>
      <c r="BW900" s="314"/>
      <c r="BX900" s="155"/>
    </row>
    <row r="901" spans="1:76" ht="15.75" customHeight="1">
      <c r="A901" s="25"/>
      <c r="B901" s="39"/>
      <c r="C901" s="155"/>
      <c r="D901" s="155"/>
      <c r="E901" s="341"/>
      <c r="F901" s="314"/>
      <c r="H901" s="315"/>
      <c r="I901" s="315"/>
      <c r="BA901" s="30"/>
      <c r="BB901" s="321"/>
      <c r="BC901" s="314"/>
      <c r="BD901" s="314"/>
      <c r="BE901" s="314"/>
      <c r="BF901" s="314"/>
      <c r="BG901" s="314"/>
      <c r="BH901" s="314"/>
      <c r="BI901" s="314"/>
      <c r="BJ901" s="314"/>
      <c r="BK901" s="40"/>
      <c r="BL901" s="40"/>
      <c r="BM901" s="40"/>
      <c r="BN901" s="40"/>
      <c r="BO901" s="40"/>
      <c r="BP901" s="155"/>
      <c r="BQ901" s="314"/>
      <c r="BR901" s="314"/>
      <c r="BS901" s="314"/>
      <c r="BT901" s="314"/>
      <c r="BU901" s="314"/>
      <c r="BV901" s="314"/>
      <c r="BW901" s="314"/>
      <c r="BX901" s="155"/>
    </row>
    <row r="902" spans="1:76" ht="15.75" customHeight="1">
      <c r="A902" s="25"/>
      <c r="B902" s="39"/>
      <c r="C902" s="155"/>
      <c r="D902" s="155"/>
      <c r="E902" s="40"/>
      <c r="F902" s="314"/>
      <c r="H902" s="315"/>
      <c r="I902" s="315"/>
      <c r="BA902" s="30"/>
      <c r="BB902" s="155"/>
      <c r="BC902" s="314"/>
      <c r="BD902" s="314"/>
      <c r="BE902" s="314"/>
      <c r="BF902" s="314"/>
      <c r="BG902" s="314"/>
      <c r="BH902" s="314"/>
      <c r="BI902" s="314"/>
      <c r="BJ902" s="314"/>
      <c r="BK902" s="40"/>
      <c r="BL902" s="40"/>
      <c r="BM902" s="40"/>
      <c r="BN902" s="40"/>
      <c r="BO902" s="40"/>
      <c r="BP902" s="155"/>
      <c r="BQ902" s="314"/>
      <c r="BR902" s="314"/>
      <c r="BS902" s="314"/>
      <c r="BT902" s="314"/>
      <c r="BU902" s="314"/>
      <c r="BV902" s="314"/>
      <c r="BW902" s="314"/>
      <c r="BX902" s="155"/>
    </row>
    <row r="903" spans="1:76" ht="15.75" customHeight="1">
      <c r="A903" s="25"/>
      <c r="B903" s="39"/>
      <c r="C903" s="155"/>
      <c r="D903" s="155"/>
      <c r="E903" s="40"/>
      <c r="F903" s="314"/>
      <c r="H903" s="315"/>
      <c r="I903" s="315"/>
      <c r="BA903" s="30"/>
      <c r="BB903" s="155"/>
      <c r="BC903" s="314"/>
      <c r="BD903" s="314"/>
      <c r="BE903" s="314"/>
      <c r="BF903" s="314"/>
      <c r="BG903" s="314"/>
      <c r="BH903" s="314"/>
      <c r="BI903" s="314"/>
      <c r="BJ903" s="314"/>
      <c r="BK903" s="40"/>
      <c r="BL903" s="40"/>
      <c r="BM903" s="40"/>
      <c r="BN903" s="40"/>
      <c r="BO903" s="40"/>
      <c r="BP903" s="155"/>
      <c r="BQ903" s="314"/>
      <c r="BR903" s="314"/>
      <c r="BS903" s="314"/>
      <c r="BT903" s="314"/>
      <c r="BU903" s="314"/>
      <c r="BV903" s="314"/>
      <c r="BW903" s="314"/>
      <c r="BX903" s="155"/>
    </row>
    <row r="904" spans="1:76" ht="15.75" customHeight="1">
      <c r="A904" s="25"/>
      <c r="B904" s="39"/>
      <c r="C904" s="155"/>
      <c r="D904" s="155"/>
      <c r="E904" s="40"/>
      <c r="F904" s="314"/>
      <c r="H904" s="315"/>
      <c r="I904" s="315"/>
      <c r="BA904" s="30"/>
      <c r="BB904" s="155"/>
      <c r="BC904" s="314"/>
      <c r="BD904" s="314"/>
      <c r="BE904" s="314"/>
      <c r="BF904" s="314"/>
      <c r="BG904" s="314"/>
      <c r="BH904" s="314"/>
      <c r="BI904" s="314"/>
      <c r="BJ904" s="314"/>
      <c r="BK904" s="40"/>
      <c r="BL904" s="40"/>
      <c r="BM904" s="40"/>
      <c r="BN904" s="40"/>
      <c r="BO904" s="40"/>
      <c r="BP904" s="155"/>
      <c r="BQ904" s="314"/>
      <c r="BR904" s="314"/>
      <c r="BS904" s="314"/>
      <c r="BT904" s="314"/>
      <c r="BU904" s="314"/>
      <c r="BV904" s="314"/>
      <c r="BW904" s="314"/>
      <c r="BX904" s="155"/>
    </row>
    <row r="905" spans="1:76" ht="15.75" customHeight="1">
      <c r="A905" s="25"/>
      <c r="B905" s="39"/>
      <c r="C905" s="155"/>
      <c r="D905" s="155"/>
      <c r="E905" s="40"/>
      <c r="F905" s="314"/>
      <c r="H905" s="315"/>
      <c r="I905" s="315"/>
      <c r="BA905" s="30"/>
      <c r="BB905" s="155"/>
      <c r="BC905" s="314"/>
      <c r="BD905" s="314"/>
      <c r="BE905" s="314"/>
      <c r="BF905" s="314"/>
      <c r="BG905" s="314"/>
      <c r="BH905" s="314"/>
      <c r="BI905" s="314"/>
      <c r="BJ905" s="314"/>
      <c r="BK905" s="40"/>
      <c r="BL905" s="40"/>
      <c r="BM905" s="40"/>
      <c r="BN905" s="40"/>
      <c r="BO905" s="40"/>
      <c r="BP905" s="155"/>
      <c r="BQ905" s="314"/>
      <c r="BR905" s="314"/>
      <c r="BS905" s="314"/>
      <c r="BT905" s="314"/>
      <c r="BU905" s="314"/>
      <c r="BV905" s="314"/>
      <c r="BW905" s="314"/>
      <c r="BX905" s="155"/>
    </row>
    <row r="906" spans="1:76" ht="15.75" customHeight="1">
      <c r="A906" s="25"/>
      <c r="B906" s="39"/>
      <c r="C906" s="155"/>
      <c r="D906" s="155"/>
      <c r="E906" s="40"/>
      <c r="F906" s="314"/>
      <c r="H906" s="315"/>
      <c r="I906" s="315"/>
      <c r="BA906" s="30"/>
      <c r="BB906" s="155"/>
      <c r="BC906" s="314"/>
      <c r="BD906" s="314"/>
      <c r="BE906" s="314"/>
      <c r="BF906" s="314"/>
      <c r="BG906" s="314"/>
      <c r="BH906" s="314"/>
      <c r="BI906" s="314"/>
      <c r="BJ906" s="314"/>
      <c r="BK906" s="40"/>
      <c r="BL906" s="40"/>
      <c r="BM906" s="40"/>
      <c r="BN906" s="40"/>
      <c r="BO906" s="40"/>
      <c r="BP906" s="155"/>
      <c r="BQ906" s="314"/>
      <c r="BR906" s="314"/>
      <c r="BS906" s="314"/>
      <c r="BT906" s="314"/>
      <c r="BU906" s="314"/>
      <c r="BV906" s="314"/>
      <c r="BW906" s="314"/>
      <c r="BX906" s="155"/>
    </row>
    <row r="907" spans="1:76" ht="15.75" customHeight="1">
      <c r="A907" s="25"/>
      <c r="B907" s="39"/>
      <c r="C907" s="155"/>
      <c r="D907" s="155"/>
      <c r="E907" s="40"/>
      <c r="F907" s="314"/>
      <c r="H907" s="315"/>
      <c r="I907" s="315"/>
      <c r="BA907" s="30"/>
      <c r="BB907" s="155"/>
      <c r="BC907" s="314"/>
      <c r="BD907" s="314"/>
      <c r="BE907" s="314"/>
      <c r="BF907" s="314"/>
      <c r="BG907" s="314"/>
      <c r="BH907" s="314"/>
      <c r="BI907" s="314"/>
      <c r="BJ907" s="314"/>
      <c r="BK907" s="40"/>
      <c r="BL907" s="40"/>
      <c r="BM907" s="40"/>
      <c r="BN907" s="40"/>
      <c r="BO907" s="40"/>
      <c r="BP907" s="155"/>
      <c r="BQ907" s="314"/>
      <c r="BR907" s="314"/>
      <c r="BS907" s="314"/>
      <c r="BT907" s="314"/>
      <c r="BU907" s="314"/>
      <c r="BV907" s="314"/>
      <c r="BW907" s="314"/>
      <c r="BX907" s="155"/>
    </row>
    <row r="908" spans="1:76" ht="15.75" customHeight="1">
      <c r="A908" s="25"/>
      <c r="B908" s="39"/>
      <c r="C908" s="155"/>
      <c r="D908" s="155"/>
      <c r="E908" s="40"/>
      <c r="F908" s="314"/>
      <c r="H908" s="315"/>
      <c r="I908" s="315"/>
      <c r="BA908" s="30"/>
      <c r="BB908" s="155"/>
      <c r="BC908" s="314"/>
      <c r="BD908" s="314"/>
      <c r="BE908" s="314"/>
      <c r="BF908" s="314"/>
      <c r="BG908" s="314"/>
      <c r="BH908" s="314"/>
      <c r="BI908" s="314"/>
      <c r="BJ908" s="314"/>
      <c r="BK908" s="40"/>
      <c r="BL908" s="40"/>
      <c r="BM908" s="40"/>
      <c r="BN908" s="40"/>
      <c r="BO908" s="40"/>
      <c r="BP908" s="155"/>
      <c r="BQ908" s="314"/>
      <c r="BR908" s="314"/>
      <c r="BS908" s="314"/>
      <c r="BT908" s="314"/>
      <c r="BU908" s="314"/>
      <c r="BV908" s="314"/>
      <c r="BW908" s="314"/>
      <c r="BX908" s="155"/>
    </row>
    <row r="909" spans="1:76" ht="15.75" customHeight="1">
      <c r="A909" s="25"/>
      <c r="B909" s="39"/>
      <c r="C909" s="155"/>
      <c r="D909" s="155"/>
      <c r="E909" s="341"/>
      <c r="F909" s="314"/>
      <c r="H909" s="315"/>
      <c r="I909" s="315"/>
      <c r="BA909" s="30"/>
      <c r="BB909" s="321"/>
      <c r="BC909" s="314"/>
      <c r="BD909" s="314"/>
      <c r="BE909" s="314"/>
      <c r="BF909" s="314"/>
      <c r="BG909" s="314"/>
      <c r="BH909" s="314"/>
      <c r="BI909" s="314"/>
      <c r="BJ909" s="314"/>
      <c r="BK909" s="40"/>
      <c r="BL909" s="40"/>
      <c r="BM909" s="40"/>
      <c r="BN909" s="40"/>
      <c r="BO909" s="40"/>
      <c r="BP909" s="155"/>
      <c r="BQ909" s="314"/>
      <c r="BR909" s="314"/>
      <c r="BS909" s="314"/>
      <c r="BT909" s="314"/>
      <c r="BU909" s="314"/>
      <c r="BV909" s="314"/>
      <c r="BW909" s="314"/>
      <c r="BX909" s="155"/>
    </row>
    <row r="910" spans="1:76" ht="15.75" customHeight="1">
      <c r="A910" s="25"/>
      <c r="B910" s="39"/>
      <c r="C910" s="155"/>
      <c r="D910" s="155"/>
      <c r="E910" s="40"/>
      <c r="F910" s="314"/>
      <c r="H910" s="315"/>
      <c r="I910" s="315"/>
      <c r="BA910" s="30"/>
      <c r="BB910" s="155"/>
      <c r="BC910" s="314"/>
      <c r="BD910" s="314"/>
      <c r="BE910" s="314"/>
      <c r="BF910" s="314"/>
      <c r="BG910" s="314"/>
      <c r="BH910" s="314"/>
      <c r="BI910" s="314"/>
      <c r="BJ910" s="314"/>
      <c r="BK910" s="40"/>
      <c r="BL910" s="40"/>
      <c r="BM910" s="40"/>
      <c r="BN910" s="40"/>
      <c r="BO910" s="40"/>
      <c r="BP910" s="155"/>
      <c r="BQ910" s="314"/>
      <c r="BR910" s="314"/>
      <c r="BS910" s="314"/>
      <c r="BT910" s="314"/>
      <c r="BU910" s="314"/>
      <c r="BV910" s="314"/>
      <c r="BW910" s="314"/>
      <c r="BX910" s="155"/>
    </row>
    <row r="911" spans="1:76" ht="15.75" customHeight="1">
      <c r="A911" s="25"/>
      <c r="B911" s="39"/>
      <c r="C911" s="155"/>
      <c r="D911" s="155"/>
      <c r="E911" s="40"/>
      <c r="F911" s="314"/>
      <c r="H911" s="315"/>
      <c r="I911" s="315"/>
      <c r="BA911" s="30"/>
      <c r="BB911" s="155"/>
      <c r="BC911" s="314"/>
      <c r="BD911" s="314"/>
      <c r="BE911" s="314"/>
      <c r="BF911" s="314"/>
      <c r="BG911" s="314"/>
      <c r="BH911" s="314"/>
      <c r="BI911" s="314"/>
      <c r="BJ911" s="314"/>
      <c r="BK911" s="40"/>
      <c r="BL911" s="40"/>
      <c r="BM911" s="40"/>
      <c r="BN911" s="40"/>
      <c r="BO911" s="40"/>
      <c r="BP911" s="155"/>
      <c r="BQ911" s="314"/>
      <c r="BR911" s="314"/>
      <c r="BS911" s="314"/>
      <c r="BT911" s="314"/>
      <c r="BU911" s="314"/>
      <c r="BV911" s="314"/>
      <c r="BW911" s="314"/>
      <c r="BX911" s="155"/>
    </row>
    <row r="912" spans="1:76" ht="15.75" customHeight="1">
      <c r="A912" s="25"/>
      <c r="B912" s="39"/>
      <c r="C912" s="155"/>
      <c r="D912" s="155"/>
      <c r="E912" s="40"/>
      <c r="F912" s="314"/>
      <c r="H912" s="315"/>
      <c r="I912" s="315"/>
      <c r="BA912" s="30"/>
      <c r="BB912" s="155"/>
      <c r="BC912" s="314"/>
      <c r="BD912" s="314"/>
      <c r="BE912" s="314"/>
      <c r="BF912" s="314"/>
      <c r="BG912" s="314"/>
      <c r="BH912" s="314"/>
      <c r="BI912" s="314"/>
      <c r="BJ912" s="314"/>
      <c r="BK912" s="40"/>
      <c r="BL912" s="40"/>
      <c r="BM912" s="40"/>
      <c r="BN912" s="40"/>
      <c r="BO912" s="40"/>
      <c r="BP912" s="155"/>
      <c r="BQ912" s="314"/>
      <c r="BR912" s="314"/>
      <c r="BS912" s="314"/>
      <c r="BT912" s="314"/>
      <c r="BU912" s="314"/>
      <c r="BV912" s="314"/>
      <c r="BW912" s="314"/>
      <c r="BX912" s="155"/>
    </row>
    <row r="913" spans="1:76" ht="15.75" customHeight="1">
      <c r="A913" s="25"/>
      <c r="B913" s="39"/>
      <c r="C913" s="155"/>
      <c r="D913" s="155"/>
      <c r="E913" s="40"/>
      <c r="F913" s="314"/>
      <c r="H913" s="315"/>
      <c r="I913" s="315"/>
      <c r="BA913" s="30"/>
      <c r="BB913" s="155"/>
      <c r="BC913" s="314"/>
      <c r="BD913" s="314"/>
      <c r="BE913" s="314"/>
      <c r="BF913" s="314"/>
      <c r="BG913" s="314"/>
      <c r="BH913" s="314"/>
      <c r="BI913" s="314"/>
      <c r="BJ913" s="314"/>
      <c r="BK913" s="40"/>
      <c r="BL913" s="40"/>
      <c r="BM913" s="40"/>
      <c r="BN913" s="40"/>
      <c r="BO913" s="40"/>
      <c r="BP913" s="155"/>
      <c r="BQ913" s="314"/>
      <c r="BR913" s="314"/>
      <c r="BS913" s="314"/>
      <c r="BT913" s="314"/>
      <c r="BU913" s="314"/>
      <c r="BV913" s="314"/>
      <c r="BW913" s="314"/>
      <c r="BX913" s="155"/>
    </row>
    <row r="914" spans="1:76" ht="15.75" customHeight="1">
      <c r="A914" s="25"/>
      <c r="B914" s="39"/>
      <c r="C914" s="155"/>
      <c r="D914" s="155"/>
      <c r="E914" s="40"/>
      <c r="F914" s="314"/>
      <c r="H914" s="315"/>
      <c r="I914" s="315"/>
      <c r="BA914" s="30"/>
      <c r="BB914" s="155"/>
      <c r="BC914" s="314"/>
      <c r="BD914" s="314"/>
      <c r="BE914" s="314"/>
      <c r="BF914" s="314"/>
      <c r="BG914" s="314"/>
      <c r="BH914" s="314"/>
      <c r="BI914" s="314"/>
      <c r="BJ914" s="314"/>
      <c r="BK914" s="40"/>
      <c r="BL914" s="40"/>
      <c r="BM914" s="40"/>
      <c r="BN914" s="40"/>
      <c r="BO914" s="40"/>
      <c r="BP914" s="155"/>
      <c r="BQ914" s="314"/>
      <c r="BR914" s="314"/>
      <c r="BS914" s="314"/>
      <c r="BT914" s="314"/>
      <c r="BU914" s="314"/>
      <c r="BV914" s="314"/>
      <c r="BW914" s="314"/>
      <c r="BX914" s="155"/>
    </row>
    <row r="915" spans="1:76" ht="15.75" customHeight="1">
      <c r="A915" s="25"/>
      <c r="B915" s="39"/>
      <c r="C915" s="155"/>
      <c r="D915" s="155"/>
      <c r="E915" s="40"/>
      <c r="F915" s="314"/>
      <c r="H915" s="315"/>
      <c r="I915" s="315"/>
      <c r="BA915" s="30"/>
      <c r="BB915" s="155"/>
      <c r="BC915" s="314"/>
      <c r="BD915" s="314"/>
      <c r="BE915" s="314"/>
      <c r="BF915" s="314"/>
      <c r="BG915" s="314"/>
      <c r="BH915" s="314"/>
      <c r="BI915" s="314"/>
      <c r="BJ915" s="314"/>
      <c r="BK915" s="40"/>
      <c r="BL915" s="40"/>
      <c r="BM915" s="40"/>
      <c r="BN915" s="40"/>
      <c r="BO915" s="40"/>
      <c r="BP915" s="155"/>
      <c r="BQ915" s="314"/>
      <c r="BR915" s="314"/>
      <c r="BS915" s="314"/>
      <c r="BT915" s="314"/>
      <c r="BU915" s="314"/>
      <c r="BV915" s="314"/>
      <c r="BW915" s="314"/>
      <c r="BX915" s="155"/>
    </row>
    <row r="916" spans="1:76" ht="15.75" customHeight="1">
      <c r="A916" s="25"/>
      <c r="B916" s="39"/>
      <c r="C916" s="155"/>
      <c r="D916" s="155"/>
      <c r="E916" s="40"/>
      <c r="F916" s="314"/>
      <c r="H916" s="315"/>
      <c r="I916" s="315"/>
      <c r="BA916" s="30"/>
      <c r="BB916" s="155"/>
      <c r="BC916" s="314"/>
      <c r="BD916" s="314"/>
      <c r="BE916" s="314"/>
      <c r="BF916" s="314"/>
      <c r="BG916" s="314"/>
      <c r="BH916" s="314"/>
      <c r="BI916" s="314"/>
      <c r="BJ916" s="314"/>
      <c r="BK916" s="40"/>
      <c r="BL916" s="40"/>
      <c r="BM916" s="40"/>
      <c r="BN916" s="40"/>
      <c r="BO916" s="40"/>
      <c r="BP916" s="155"/>
      <c r="BQ916" s="314"/>
      <c r="BR916" s="314"/>
      <c r="BS916" s="314"/>
      <c r="BT916" s="314"/>
      <c r="BU916" s="314"/>
      <c r="BV916" s="314"/>
      <c r="BW916" s="314"/>
      <c r="BX916" s="155"/>
    </row>
    <row r="917" spans="1:76" ht="15.75" customHeight="1">
      <c r="A917" s="25"/>
      <c r="B917" s="39"/>
      <c r="C917" s="155"/>
      <c r="D917" s="155"/>
      <c r="E917" s="341"/>
      <c r="F917" s="314"/>
      <c r="H917" s="315"/>
      <c r="I917" s="315"/>
      <c r="BA917" s="30"/>
      <c r="BB917" s="321"/>
      <c r="BC917" s="314"/>
      <c r="BD917" s="314"/>
      <c r="BE917" s="314"/>
      <c r="BF917" s="314"/>
      <c r="BG917" s="314"/>
      <c r="BH917" s="314"/>
      <c r="BI917" s="314"/>
      <c r="BJ917" s="314"/>
      <c r="BK917" s="40"/>
      <c r="BL917" s="40"/>
      <c r="BM917" s="40"/>
      <c r="BN917" s="40"/>
      <c r="BO917" s="40"/>
      <c r="BP917" s="155"/>
      <c r="BQ917" s="314"/>
      <c r="BR917" s="314"/>
      <c r="BS917" s="314"/>
      <c r="BT917" s="314"/>
      <c r="BU917" s="314"/>
      <c r="BV917" s="314"/>
      <c r="BW917" s="314"/>
      <c r="BX917" s="155"/>
    </row>
    <row r="918" spans="1:76" ht="15.75" customHeight="1">
      <c r="A918" s="25"/>
      <c r="B918" s="39"/>
      <c r="C918" s="155"/>
      <c r="D918" s="155"/>
      <c r="E918" s="40"/>
      <c r="F918" s="314"/>
      <c r="H918" s="315"/>
      <c r="I918" s="315"/>
      <c r="BA918" s="30"/>
      <c r="BB918" s="155"/>
      <c r="BC918" s="314"/>
      <c r="BD918" s="314"/>
      <c r="BE918" s="314"/>
      <c r="BF918" s="314"/>
      <c r="BG918" s="314"/>
      <c r="BH918" s="314"/>
      <c r="BI918" s="314"/>
      <c r="BJ918" s="314"/>
      <c r="BK918" s="40"/>
      <c r="BL918" s="40"/>
      <c r="BM918" s="40"/>
      <c r="BN918" s="40"/>
      <c r="BO918" s="40"/>
      <c r="BP918" s="155"/>
      <c r="BQ918" s="314"/>
      <c r="BR918" s="314"/>
      <c r="BS918" s="314"/>
      <c r="BT918" s="314"/>
      <c r="BU918" s="314"/>
      <c r="BV918" s="314"/>
      <c r="BW918" s="314"/>
      <c r="BX918" s="155"/>
    </row>
    <row r="919" spans="1:76" ht="15.75" customHeight="1">
      <c r="A919" s="25"/>
      <c r="B919" s="39"/>
      <c r="C919" s="155"/>
      <c r="D919" s="155"/>
      <c r="E919" s="40"/>
      <c r="F919" s="314"/>
      <c r="H919" s="315"/>
      <c r="I919" s="315"/>
      <c r="BA919" s="30"/>
      <c r="BB919" s="155"/>
      <c r="BC919" s="314"/>
      <c r="BD919" s="314"/>
      <c r="BE919" s="314"/>
      <c r="BF919" s="314"/>
      <c r="BG919" s="314"/>
      <c r="BH919" s="314"/>
      <c r="BI919" s="314"/>
      <c r="BJ919" s="314"/>
      <c r="BK919" s="40"/>
      <c r="BL919" s="40"/>
      <c r="BM919" s="40"/>
      <c r="BN919" s="40"/>
      <c r="BO919" s="40"/>
      <c r="BP919" s="155"/>
      <c r="BQ919" s="314"/>
      <c r="BR919" s="314"/>
      <c r="BS919" s="314"/>
      <c r="BT919" s="314"/>
      <c r="BU919" s="314"/>
      <c r="BV919" s="314"/>
      <c r="BW919" s="314"/>
      <c r="BX919" s="155"/>
    </row>
    <row r="920" spans="1:76" ht="15.75" customHeight="1">
      <c r="A920" s="25"/>
      <c r="B920" s="39"/>
      <c r="C920" s="155"/>
      <c r="D920" s="155"/>
      <c r="E920" s="40"/>
      <c r="F920" s="314"/>
      <c r="H920" s="315"/>
      <c r="I920" s="315"/>
      <c r="BA920" s="30"/>
      <c r="BB920" s="155"/>
      <c r="BC920" s="314"/>
      <c r="BD920" s="314"/>
      <c r="BE920" s="314"/>
      <c r="BF920" s="314"/>
      <c r="BG920" s="314"/>
      <c r="BH920" s="314"/>
      <c r="BI920" s="314"/>
      <c r="BJ920" s="314"/>
      <c r="BK920" s="40"/>
      <c r="BL920" s="40"/>
      <c r="BM920" s="40"/>
      <c r="BN920" s="40"/>
      <c r="BO920" s="40"/>
      <c r="BP920" s="155"/>
      <c r="BQ920" s="314"/>
      <c r="BR920" s="314"/>
      <c r="BS920" s="314"/>
      <c r="BT920" s="314"/>
      <c r="BU920" s="314"/>
      <c r="BV920" s="314"/>
      <c r="BW920" s="314"/>
      <c r="BX920" s="155"/>
    </row>
    <row r="921" spans="1:76" ht="15.75" customHeight="1">
      <c r="A921" s="25"/>
      <c r="B921" s="39"/>
      <c r="C921" s="155"/>
      <c r="D921" s="155"/>
      <c r="E921" s="40"/>
      <c r="F921" s="314"/>
      <c r="H921" s="315"/>
      <c r="I921" s="315"/>
      <c r="BA921" s="30"/>
      <c r="BB921" s="155"/>
      <c r="BC921" s="314"/>
      <c r="BD921" s="314"/>
      <c r="BE921" s="314"/>
      <c r="BF921" s="314"/>
      <c r="BG921" s="314"/>
      <c r="BH921" s="314"/>
      <c r="BI921" s="314"/>
      <c r="BJ921" s="314"/>
      <c r="BK921" s="40"/>
      <c r="BL921" s="40"/>
      <c r="BM921" s="40"/>
      <c r="BN921" s="40"/>
      <c r="BO921" s="40"/>
      <c r="BP921" s="155"/>
      <c r="BQ921" s="314"/>
      <c r="BR921" s="314"/>
      <c r="BS921" s="314"/>
      <c r="BT921" s="314"/>
      <c r="BU921" s="314"/>
      <c r="BV921" s="314"/>
      <c r="BW921" s="314"/>
      <c r="BX921" s="155"/>
    </row>
    <row r="922" spans="1:76" ht="15.75" customHeight="1">
      <c r="A922" s="25"/>
      <c r="B922" s="39"/>
      <c r="C922" s="155"/>
      <c r="D922" s="155"/>
      <c r="E922" s="40"/>
      <c r="F922" s="314"/>
      <c r="H922" s="315"/>
      <c r="I922" s="315"/>
      <c r="BA922" s="30"/>
      <c r="BB922" s="155"/>
      <c r="BC922" s="322"/>
      <c r="BD922" s="322"/>
      <c r="BE922" s="322"/>
      <c r="BF922" s="322"/>
      <c r="BG922" s="322"/>
      <c r="BH922" s="322"/>
      <c r="BI922" s="322"/>
      <c r="BJ922" s="322"/>
      <c r="BK922" s="341"/>
      <c r="BL922" s="40"/>
      <c r="BM922" s="40"/>
      <c r="BN922" s="40"/>
      <c r="BO922" s="40"/>
      <c r="BP922" s="155"/>
      <c r="BQ922" s="314"/>
      <c r="BR922" s="314"/>
      <c r="BS922" s="314"/>
      <c r="BT922" s="314"/>
      <c r="BU922" s="314"/>
      <c r="BV922" s="314"/>
      <c r="BW922" s="314"/>
      <c r="BX922" s="155"/>
    </row>
    <row r="923" spans="1:76" ht="15.75" customHeight="1">
      <c r="A923" s="25"/>
      <c r="B923" s="39"/>
      <c r="C923" s="155"/>
      <c r="D923" s="155"/>
      <c r="E923" s="40"/>
      <c r="F923" s="314"/>
      <c r="H923" s="315"/>
      <c r="I923" s="315"/>
      <c r="BA923" s="30"/>
      <c r="BB923" s="155"/>
      <c r="BC923" s="314"/>
      <c r="BD923" s="314"/>
      <c r="BE923" s="314"/>
      <c r="BF923" s="314"/>
      <c r="BG923" s="314"/>
      <c r="BH923" s="314"/>
      <c r="BI923" s="314"/>
      <c r="BJ923" s="314"/>
      <c r="BK923" s="40"/>
      <c r="BL923" s="40"/>
      <c r="BM923" s="40"/>
      <c r="BN923" s="40"/>
      <c r="BO923" s="40"/>
      <c r="BP923" s="155"/>
      <c r="BQ923" s="314"/>
      <c r="BR923" s="314"/>
      <c r="BS923" s="314"/>
      <c r="BT923" s="314"/>
      <c r="BU923" s="314"/>
      <c r="BV923" s="314"/>
      <c r="BW923" s="314"/>
      <c r="BX923" s="155"/>
    </row>
    <row r="924" spans="1:76" ht="15.75" customHeight="1">
      <c r="A924" s="25"/>
      <c r="B924" s="39"/>
      <c r="C924" s="155"/>
      <c r="D924" s="155"/>
      <c r="E924" s="40"/>
      <c r="F924" s="314"/>
      <c r="H924" s="315"/>
      <c r="I924" s="315"/>
      <c r="BA924" s="30"/>
      <c r="BB924" s="155"/>
      <c r="BC924" s="314"/>
      <c r="BD924" s="314"/>
      <c r="BE924" s="314"/>
      <c r="BF924" s="314"/>
      <c r="BG924" s="314"/>
      <c r="BH924" s="314"/>
      <c r="BI924" s="314"/>
      <c r="BJ924" s="314"/>
      <c r="BK924" s="40"/>
      <c r="BL924" s="40"/>
      <c r="BM924" s="40"/>
      <c r="BN924" s="40"/>
      <c r="BO924" s="40"/>
      <c r="BP924" s="155"/>
      <c r="BQ924" s="314"/>
      <c r="BR924" s="314"/>
      <c r="BS924" s="314"/>
      <c r="BT924" s="314"/>
      <c r="BU924" s="314"/>
      <c r="BV924" s="314"/>
      <c r="BW924" s="314"/>
      <c r="BX924" s="155"/>
    </row>
    <row r="925" spans="1:76" ht="15.75" customHeight="1">
      <c r="A925" s="25"/>
      <c r="B925" s="39"/>
      <c r="C925" s="155"/>
      <c r="D925" s="155"/>
      <c r="E925" s="341"/>
      <c r="F925" s="314"/>
      <c r="H925" s="315"/>
      <c r="I925" s="315"/>
      <c r="BA925" s="30"/>
      <c r="BB925" s="321"/>
      <c r="BC925" s="314"/>
      <c r="BD925" s="314"/>
      <c r="BE925" s="314"/>
      <c r="BF925" s="314"/>
      <c r="BG925" s="314"/>
      <c r="BH925" s="314"/>
      <c r="BI925" s="314"/>
      <c r="BJ925" s="314"/>
      <c r="BK925" s="40"/>
      <c r="BL925" s="40"/>
      <c r="BM925" s="40"/>
      <c r="BN925" s="40"/>
      <c r="BO925" s="40"/>
      <c r="BP925" s="155"/>
      <c r="BQ925" s="314"/>
      <c r="BR925" s="314"/>
      <c r="BS925" s="314"/>
      <c r="BT925" s="314"/>
      <c r="BU925" s="314"/>
      <c r="BV925" s="314"/>
      <c r="BW925" s="314"/>
      <c r="BX925" s="155"/>
    </row>
    <row r="926" spans="1:76" ht="15.75" customHeight="1">
      <c r="A926" s="25"/>
      <c r="B926" s="39"/>
      <c r="C926" s="155"/>
      <c r="D926" s="155"/>
      <c r="E926" s="40"/>
      <c r="F926" s="314"/>
      <c r="H926" s="315"/>
      <c r="I926" s="315"/>
      <c r="BA926" s="30"/>
      <c r="BB926" s="155"/>
      <c r="BC926" s="314"/>
      <c r="BD926" s="314"/>
      <c r="BE926" s="314"/>
      <c r="BF926" s="314"/>
      <c r="BG926" s="314"/>
      <c r="BH926" s="314"/>
      <c r="BI926" s="314"/>
      <c r="BJ926" s="314"/>
      <c r="BK926" s="40"/>
      <c r="BL926" s="40"/>
      <c r="BM926" s="40"/>
      <c r="BN926" s="40"/>
      <c r="BO926" s="40"/>
      <c r="BP926" s="155"/>
      <c r="BQ926" s="314"/>
      <c r="BR926" s="314"/>
      <c r="BS926" s="314"/>
      <c r="BT926" s="314"/>
      <c r="BU926" s="314"/>
      <c r="BV926" s="314"/>
      <c r="BW926" s="314"/>
      <c r="BX926" s="155"/>
    </row>
    <row r="927" spans="1:76" ht="15.75" customHeight="1">
      <c r="A927" s="25"/>
      <c r="B927" s="39"/>
      <c r="C927" s="155"/>
      <c r="D927" s="155"/>
      <c r="E927" s="40"/>
      <c r="F927" s="314"/>
      <c r="H927" s="315"/>
      <c r="I927" s="315"/>
      <c r="BA927" s="30"/>
      <c r="BB927" s="155"/>
      <c r="BC927" s="314"/>
      <c r="BD927" s="314"/>
      <c r="BE927" s="314"/>
      <c r="BF927" s="314"/>
      <c r="BG927" s="314"/>
      <c r="BH927" s="314"/>
      <c r="BI927" s="314"/>
      <c r="BJ927" s="314"/>
      <c r="BK927" s="40"/>
      <c r="BL927" s="40"/>
      <c r="BM927" s="40"/>
      <c r="BN927" s="40"/>
      <c r="BO927" s="40"/>
      <c r="BP927" s="155"/>
      <c r="BQ927" s="314"/>
      <c r="BR927" s="314"/>
      <c r="BS927" s="314"/>
      <c r="BT927" s="314"/>
      <c r="BU927" s="314"/>
      <c r="BV927" s="314"/>
      <c r="BW927" s="314"/>
      <c r="BX927" s="155"/>
    </row>
    <row r="928" spans="1:76" ht="15.75" customHeight="1">
      <c r="A928" s="25"/>
      <c r="B928" s="39"/>
      <c r="C928" s="155"/>
      <c r="D928" s="155"/>
      <c r="E928" s="40"/>
      <c r="F928" s="314"/>
      <c r="H928" s="315"/>
      <c r="I928" s="315"/>
      <c r="BA928" s="30"/>
      <c r="BB928" s="155"/>
      <c r="BC928" s="314"/>
      <c r="BD928" s="314"/>
      <c r="BE928" s="314"/>
      <c r="BF928" s="314"/>
      <c r="BG928" s="314"/>
      <c r="BH928" s="314"/>
      <c r="BI928" s="314"/>
      <c r="BJ928" s="314"/>
      <c r="BK928" s="40"/>
      <c r="BL928" s="40"/>
      <c r="BM928" s="40"/>
      <c r="BN928" s="40"/>
      <c r="BO928" s="40"/>
      <c r="BP928" s="155"/>
      <c r="BQ928" s="314"/>
      <c r="BR928" s="314"/>
      <c r="BS928" s="314"/>
      <c r="BT928" s="314"/>
      <c r="BU928" s="314"/>
      <c r="BV928" s="314"/>
      <c r="BW928" s="314"/>
      <c r="BX928" s="155"/>
    </row>
    <row r="929" spans="1:76" ht="15.75" customHeight="1">
      <c r="A929" s="25"/>
      <c r="B929" s="39"/>
      <c r="C929" s="155"/>
      <c r="D929" s="155"/>
      <c r="E929" s="40"/>
      <c r="F929" s="314"/>
      <c r="H929" s="315"/>
      <c r="I929" s="315"/>
      <c r="BA929" s="30"/>
      <c r="BB929" s="155"/>
      <c r="BC929" s="314"/>
      <c r="BD929" s="314"/>
      <c r="BE929" s="314"/>
      <c r="BF929" s="314"/>
      <c r="BG929" s="314"/>
      <c r="BH929" s="314"/>
      <c r="BI929" s="314"/>
      <c r="BJ929" s="314"/>
      <c r="BK929" s="40"/>
      <c r="BL929" s="40"/>
      <c r="BM929" s="40"/>
      <c r="BN929" s="40"/>
      <c r="BO929" s="40"/>
      <c r="BP929" s="155"/>
      <c r="BQ929" s="314"/>
      <c r="BR929" s="314"/>
      <c r="BS929" s="314"/>
      <c r="BT929" s="314"/>
      <c r="BU929" s="314"/>
      <c r="BV929" s="314"/>
      <c r="BW929" s="314"/>
      <c r="BX929" s="155"/>
    </row>
    <row r="930" spans="1:76" ht="15.75" customHeight="1">
      <c r="A930" s="25"/>
      <c r="B930" s="39"/>
      <c r="C930" s="155"/>
      <c r="D930" s="155"/>
      <c r="E930" s="40"/>
      <c r="F930" s="314"/>
      <c r="H930" s="315"/>
      <c r="I930" s="315"/>
      <c r="BA930" s="30"/>
      <c r="BB930" s="155"/>
      <c r="BC930" s="314"/>
      <c r="BD930" s="314"/>
      <c r="BE930" s="314"/>
      <c r="BF930" s="314"/>
      <c r="BG930" s="314"/>
      <c r="BH930" s="314"/>
      <c r="BI930" s="314"/>
      <c r="BJ930" s="314"/>
      <c r="BK930" s="40"/>
      <c r="BL930" s="40"/>
      <c r="BM930" s="40"/>
      <c r="BN930" s="40"/>
      <c r="BO930" s="40"/>
      <c r="BP930" s="155"/>
      <c r="BQ930" s="314"/>
      <c r="BR930" s="314"/>
      <c r="BS930" s="314"/>
      <c r="BT930" s="314"/>
      <c r="BU930" s="314"/>
      <c r="BV930" s="314"/>
      <c r="BW930" s="314"/>
      <c r="BX930" s="155"/>
    </row>
    <row r="931" spans="1:76" ht="15.75" customHeight="1">
      <c r="A931" s="25"/>
      <c r="B931" s="39"/>
      <c r="C931" s="155"/>
      <c r="D931" s="155"/>
      <c r="E931" s="40"/>
      <c r="F931" s="314"/>
      <c r="H931" s="315"/>
      <c r="I931" s="315"/>
      <c r="BA931" s="30"/>
      <c r="BB931" s="155"/>
      <c r="BC931" s="314"/>
      <c r="BD931" s="314"/>
      <c r="BE931" s="314"/>
      <c r="BF931" s="314"/>
      <c r="BG931" s="314"/>
      <c r="BH931" s="314"/>
      <c r="BI931" s="314"/>
      <c r="BJ931" s="314"/>
      <c r="BK931" s="40"/>
      <c r="BL931" s="40"/>
      <c r="BM931" s="40"/>
      <c r="BN931" s="40"/>
      <c r="BO931" s="40"/>
      <c r="BP931" s="155"/>
      <c r="BQ931" s="314"/>
      <c r="BR931" s="314"/>
      <c r="BS931" s="314"/>
      <c r="BT931" s="314"/>
      <c r="BU931" s="314"/>
      <c r="BV931" s="314"/>
      <c r="BW931" s="314"/>
      <c r="BX931" s="155"/>
    </row>
    <row r="932" spans="1:76" ht="15.75" customHeight="1">
      <c r="A932" s="25"/>
      <c r="B932" s="39"/>
      <c r="C932" s="155"/>
      <c r="D932" s="155"/>
      <c r="E932" s="40"/>
      <c r="F932" s="314"/>
      <c r="H932" s="315"/>
      <c r="I932" s="315"/>
      <c r="BA932" s="30"/>
      <c r="BB932" s="155"/>
      <c r="BC932" s="314"/>
      <c r="BD932" s="314"/>
      <c r="BE932" s="314"/>
      <c r="BF932" s="314"/>
      <c r="BG932" s="314"/>
      <c r="BH932" s="314"/>
      <c r="BI932" s="314"/>
      <c r="BJ932" s="314"/>
      <c r="BK932" s="40"/>
      <c r="BL932" s="40"/>
      <c r="BM932" s="40"/>
      <c r="BN932" s="40"/>
      <c r="BO932" s="40"/>
      <c r="BP932" s="155"/>
      <c r="BQ932" s="314"/>
      <c r="BR932" s="314"/>
      <c r="BS932" s="314"/>
      <c r="BT932" s="314"/>
      <c r="BU932" s="314"/>
      <c r="BV932" s="314"/>
      <c r="BW932" s="314"/>
      <c r="BX932" s="155"/>
    </row>
    <row r="933" spans="1:76" ht="15.75" customHeight="1">
      <c r="A933" s="25"/>
      <c r="B933" s="39"/>
      <c r="C933" s="155"/>
      <c r="D933" s="155"/>
      <c r="E933" s="341"/>
      <c r="F933" s="314"/>
      <c r="H933" s="315"/>
      <c r="I933" s="315"/>
      <c r="BA933" s="30"/>
      <c r="BB933" s="321"/>
      <c r="BC933" s="314"/>
      <c r="BD933" s="314"/>
      <c r="BE933" s="314"/>
      <c r="BF933" s="314"/>
      <c r="BG933" s="314"/>
      <c r="BH933" s="314"/>
      <c r="BI933" s="314"/>
      <c r="BJ933" s="314"/>
      <c r="BK933" s="40"/>
      <c r="BL933" s="40"/>
      <c r="BM933" s="40"/>
      <c r="BN933" s="40"/>
      <c r="BO933" s="40"/>
      <c r="BP933" s="155"/>
      <c r="BQ933" s="314"/>
      <c r="BR933" s="314"/>
      <c r="BS933" s="314"/>
      <c r="BT933" s="314"/>
      <c r="BU933" s="314"/>
      <c r="BV933" s="314"/>
      <c r="BW933" s="314"/>
      <c r="BX933" s="155"/>
    </row>
    <row r="934" spans="1:76" ht="15.75" customHeight="1">
      <c r="A934" s="25"/>
      <c r="B934" s="39"/>
      <c r="C934" s="155"/>
      <c r="D934" s="155"/>
      <c r="E934" s="40"/>
      <c r="F934" s="314"/>
      <c r="H934" s="315"/>
      <c r="I934" s="315"/>
      <c r="BA934" s="30"/>
      <c r="BB934" s="155"/>
      <c r="BC934" s="314"/>
      <c r="BD934" s="314"/>
      <c r="BE934" s="314"/>
      <c r="BF934" s="314"/>
      <c r="BG934" s="314"/>
      <c r="BH934" s="314"/>
      <c r="BI934" s="314"/>
      <c r="BJ934" s="314"/>
      <c r="BK934" s="40"/>
      <c r="BL934" s="40"/>
      <c r="BM934" s="40"/>
      <c r="BN934" s="40"/>
      <c r="BO934" s="40"/>
      <c r="BP934" s="155"/>
      <c r="BQ934" s="314"/>
      <c r="BR934" s="314"/>
      <c r="BS934" s="314"/>
      <c r="BT934" s="314"/>
      <c r="BU934" s="314"/>
      <c r="BV934" s="314"/>
      <c r="BW934" s="314"/>
      <c r="BX934" s="155"/>
    </row>
    <row r="935" spans="1:76" ht="15.75" customHeight="1">
      <c r="A935" s="25"/>
      <c r="B935" s="39"/>
      <c r="C935" s="155"/>
      <c r="D935" s="155"/>
      <c r="E935" s="40"/>
      <c r="F935" s="314"/>
      <c r="H935" s="315"/>
      <c r="I935" s="315"/>
      <c r="BA935" s="30"/>
      <c r="BB935" s="155"/>
      <c r="BC935" s="314"/>
      <c r="BD935" s="314"/>
      <c r="BE935" s="314"/>
      <c r="BF935" s="314"/>
      <c r="BG935" s="314"/>
      <c r="BH935" s="314"/>
      <c r="BI935" s="314"/>
      <c r="BJ935" s="314"/>
      <c r="BK935" s="40"/>
      <c r="BL935" s="40"/>
      <c r="BM935" s="40"/>
      <c r="BN935" s="40"/>
      <c r="BO935" s="40"/>
      <c r="BP935" s="155"/>
      <c r="BQ935" s="314"/>
      <c r="BR935" s="314"/>
      <c r="BS935" s="314"/>
      <c r="BT935" s="314"/>
      <c r="BU935" s="314"/>
      <c r="BV935" s="314"/>
      <c r="BW935" s="314"/>
      <c r="BX935" s="155"/>
    </row>
    <row r="936" spans="1:76" ht="15.75" customHeight="1">
      <c r="A936" s="25"/>
      <c r="B936" s="39"/>
      <c r="C936" s="155"/>
      <c r="D936" s="155"/>
      <c r="E936" s="40"/>
      <c r="F936" s="314"/>
      <c r="H936" s="315"/>
      <c r="I936" s="315"/>
      <c r="BA936" s="30"/>
      <c r="BB936" s="155"/>
      <c r="BC936" s="314"/>
      <c r="BD936" s="314"/>
      <c r="BE936" s="314"/>
      <c r="BF936" s="314"/>
      <c r="BG936" s="314"/>
      <c r="BH936" s="314"/>
      <c r="BI936" s="314"/>
      <c r="BJ936" s="314"/>
      <c r="BK936" s="40"/>
      <c r="BL936" s="40"/>
      <c r="BM936" s="40"/>
      <c r="BN936" s="40"/>
      <c r="BO936" s="40"/>
      <c r="BP936" s="155"/>
      <c r="BQ936" s="314"/>
      <c r="BR936" s="314"/>
      <c r="BS936" s="314"/>
      <c r="BT936" s="314"/>
      <c r="BU936" s="314"/>
      <c r="BV936" s="314"/>
      <c r="BW936" s="314"/>
      <c r="BX936" s="155"/>
    </row>
    <row r="937" spans="1:76" ht="15.75" customHeight="1">
      <c r="A937" s="25"/>
      <c r="B937" s="39"/>
      <c r="C937" s="155"/>
      <c r="D937" s="155"/>
      <c r="E937" s="40"/>
      <c r="F937" s="314"/>
      <c r="H937" s="315"/>
      <c r="I937" s="315"/>
      <c r="BA937" s="30"/>
      <c r="BB937" s="155"/>
      <c r="BC937" s="314"/>
      <c r="BD937" s="314"/>
      <c r="BE937" s="314"/>
      <c r="BF937" s="314"/>
      <c r="BG937" s="314"/>
      <c r="BH937" s="314"/>
      <c r="BI937" s="314"/>
      <c r="BJ937" s="314"/>
      <c r="BK937" s="40"/>
      <c r="BL937" s="40"/>
      <c r="BM937" s="40"/>
      <c r="BN937" s="40"/>
      <c r="BO937" s="40"/>
      <c r="BP937" s="155"/>
      <c r="BQ937" s="314"/>
      <c r="BR937" s="314"/>
      <c r="BS937" s="314"/>
      <c r="BT937" s="314"/>
      <c r="BU937" s="314"/>
      <c r="BV937" s="314"/>
      <c r="BW937" s="314"/>
      <c r="BX937" s="155"/>
    </row>
    <row r="938" spans="1:76" ht="15.75" customHeight="1">
      <c r="A938" s="25"/>
      <c r="B938" s="39"/>
      <c r="C938" s="155"/>
      <c r="D938" s="155"/>
      <c r="E938" s="40"/>
      <c r="F938" s="314"/>
      <c r="H938" s="315"/>
      <c r="I938" s="315"/>
      <c r="BA938" s="30"/>
      <c r="BB938" s="155"/>
      <c r="BC938" s="314"/>
      <c r="BD938" s="314"/>
      <c r="BE938" s="314"/>
      <c r="BF938" s="314"/>
      <c r="BG938" s="314"/>
      <c r="BH938" s="314"/>
      <c r="BI938" s="314"/>
      <c r="BJ938" s="314"/>
      <c r="BK938" s="40"/>
      <c r="BL938" s="40"/>
      <c r="BM938" s="40"/>
      <c r="BN938" s="40"/>
      <c r="BO938" s="40"/>
      <c r="BP938" s="155"/>
      <c r="BQ938" s="314"/>
      <c r="BR938" s="314"/>
      <c r="BS938" s="314"/>
      <c r="BT938" s="314"/>
      <c r="BU938" s="314"/>
      <c r="BV938" s="314"/>
      <c r="BW938" s="314"/>
      <c r="BX938" s="155"/>
    </row>
    <row r="939" spans="1:76" ht="15.75" customHeight="1">
      <c r="A939" s="25"/>
      <c r="B939" s="39"/>
      <c r="C939" s="155"/>
      <c r="D939" s="155"/>
      <c r="E939" s="40"/>
      <c r="F939" s="314"/>
      <c r="H939" s="315"/>
      <c r="I939" s="315"/>
      <c r="BA939" s="30"/>
      <c r="BB939" s="155"/>
      <c r="BC939" s="314"/>
      <c r="BD939" s="314"/>
      <c r="BE939" s="314"/>
      <c r="BF939" s="314"/>
      <c r="BG939" s="314"/>
      <c r="BH939" s="314"/>
      <c r="BI939" s="314"/>
      <c r="BJ939" s="314"/>
      <c r="BK939" s="40"/>
      <c r="BL939" s="40"/>
      <c r="BM939" s="40"/>
      <c r="BN939" s="40"/>
      <c r="BO939" s="40"/>
      <c r="BP939" s="155"/>
      <c r="BQ939" s="314"/>
      <c r="BR939" s="314"/>
      <c r="BS939" s="314"/>
      <c r="BT939" s="314"/>
      <c r="BU939" s="314"/>
      <c r="BV939" s="314"/>
      <c r="BW939" s="314"/>
      <c r="BX939" s="155"/>
    </row>
    <row r="940" spans="1:76" ht="15.75" customHeight="1">
      <c r="A940" s="25"/>
      <c r="B940" s="39"/>
      <c r="C940" s="155"/>
      <c r="D940" s="155"/>
      <c r="E940" s="40"/>
      <c r="F940" s="314"/>
      <c r="H940" s="315"/>
      <c r="I940" s="315"/>
      <c r="BA940" s="30"/>
      <c r="BB940" s="155"/>
      <c r="BC940" s="314"/>
      <c r="BD940" s="314"/>
      <c r="BE940" s="314"/>
      <c r="BF940" s="314"/>
      <c r="BG940" s="314"/>
      <c r="BH940" s="314"/>
      <c r="BI940" s="314"/>
      <c r="BJ940" s="314"/>
      <c r="BK940" s="40"/>
      <c r="BL940" s="40"/>
      <c r="BM940" s="40"/>
      <c r="BN940" s="40"/>
      <c r="BO940" s="40"/>
      <c r="BP940" s="155"/>
      <c r="BQ940" s="314"/>
      <c r="BR940" s="314"/>
      <c r="BS940" s="314"/>
      <c r="BT940" s="314"/>
      <c r="BU940" s="314"/>
      <c r="BV940" s="314"/>
      <c r="BW940" s="314"/>
      <c r="BX940" s="155"/>
    </row>
    <row r="941" spans="1:76" ht="15.75" customHeight="1">
      <c r="A941" s="25"/>
      <c r="B941" s="39"/>
      <c r="C941" s="155"/>
      <c r="D941" s="155"/>
      <c r="E941" s="341"/>
      <c r="F941" s="314"/>
      <c r="H941" s="315"/>
      <c r="I941" s="315"/>
      <c r="BA941" s="30"/>
      <c r="BB941" s="321"/>
      <c r="BC941" s="314"/>
      <c r="BD941" s="314"/>
      <c r="BE941" s="314"/>
      <c r="BF941" s="314"/>
      <c r="BG941" s="314"/>
      <c r="BH941" s="314"/>
      <c r="BI941" s="314"/>
      <c r="BJ941" s="314"/>
      <c r="BK941" s="40"/>
      <c r="BL941" s="40"/>
      <c r="BM941" s="40"/>
      <c r="BN941" s="40"/>
      <c r="BO941" s="40"/>
      <c r="BP941" s="155"/>
      <c r="BQ941" s="314"/>
      <c r="BR941" s="314"/>
      <c r="BS941" s="314"/>
      <c r="BT941" s="314"/>
      <c r="BU941" s="314"/>
      <c r="BV941" s="314"/>
      <c r="BW941" s="314"/>
      <c r="BX941" s="155"/>
    </row>
    <row r="942" spans="1:76" ht="15.75" customHeight="1">
      <c r="A942" s="25"/>
      <c r="B942" s="39"/>
      <c r="C942" s="155"/>
      <c r="D942" s="155"/>
      <c r="E942" s="40"/>
      <c r="F942" s="314"/>
      <c r="H942" s="315"/>
      <c r="I942" s="315"/>
      <c r="BA942" s="30"/>
      <c r="BB942" s="155"/>
      <c r="BC942" s="314"/>
      <c r="BD942" s="314"/>
      <c r="BE942" s="314"/>
      <c r="BF942" s="314"/>
      <c r="BG942" s="314"/>
      <c r="BH942" s="314"/>
      <c r="BI942" s="314"/>
      <c r="BJ942" s="314"/>
      <c r="BK942" s="40"/>
      <c r="BL942" s="40"/>
      <c r="BM942" s="40"/>
      <c r="BN942" s="40"/>
      <c r="BO942" s="40"/>
      <c r="BP942" s="155"/>
      <c r="BQ942" s="314"/>
      <c r="BR942" s="314"/>
      <c r="BS942" s="314"/>
      <c r="BT942" s="314"/>
      <c r="BU942" s="314"/>
      <c r="BV942" s="314"/>
      <c r="BW942" s="314"/>
      <c r="BX942" s="155"/>
    </row>
    <row r="943" spans="1:76" ht="15.75" customHeight="1">
      <c r="A943" s="25"/>
      <c r="B943" s="39"/>
      <c r="C943" s="155"/>
      <c r="D943" s="155"/>
      <c r="E943" s="40"/>
      <c r="F943" s="314"/>
      <c r="H943" s="315"/>
      <c r="I943" s="315"/>
      <c r="BA943" s="30"/>
      <c r="BB943" s="155"/>
      <c r="BC943" s="314"/>
      <c r="BD943" s="314"/>
      <c r="BE943" s="314"/>
      <c r="BF943" s="314"/>
      <c r="BG943" s="314"/>
      <c r="BH943" s="314"/>
      <c r="BI943" s="314"/>
      <c r="BJ943" s="314"/>
      <c r="BK943" s="40"/>
      <c r="BL943" s="40"/>
      <c r="BM943" s="40"/>
      <c r="BN943" s="40"/>
      <c r="BO943" s="40"/>
      <c r="BP943" s="155"/>
      <c r="BQ943" s="314"/>
      <c r="BR943" s="314"/>
      <c r="BS943" s="314"/>
      <c r="BT943" s="314"/>
      <c r="BU943" s="314"/>
      <c r="BV943" s="314"/>
      <c r="BW943" s="314"/>
      <c r="BX943" s="155"/>
    </row>
    <row r="944" spans="1:76" ht="15.75" customHeight="1">
      <c r="A944" s="25"/>
      <c r="B944" s="39"/>
      <c r="C944" s="155"/>
      <c r="D944" s="155"/>
      <c r="E944" s="40"/>
      <c r="F944" s="314"/>
      <c r="H944" s="315"/>
      <c r="I944" s="315"/>
      <c r="BA944" s="30"/>
      <c r="BB944" s="155"/>
      <c r="BC944" s="314"/>
      <c r="BD944" s="314"/>
      <c r="BE944" s="314"/>
      <c r="BF944" s="314"/>
      <c r="BG944" s="314"/>
      <c r="BH944" s="314"/>
      <c r="BI944" s="314"/>
      <c r="BJ944" s="314"/>
      <c r="BK944" s="40"/>
      <c r="BL944" s="40"/>
      <c r="BM944" s="40"/>
      <c r="BN944" s="40"/>
      <c r="BO944" s="40"/>
      <c r="BP944" s="155"/>
      <c r="BQ944" s="314"/>
      <c r="BR944" s="314"/>
      <c r="BS944" s="314"/>
      <c r="BT944" s="314"/>
      <c r="BU944" s="314"/>
      <c r="BV944" s="314"/>
      <c r="BW944" s="314"/>
      <c r="BX944" s="155"/>
    </row>
    <row r="945" spans="1:76" ht="15.75" customHeight="1">
      <c r="A945" s="25"/>
      <c r="B945" s="39"/>
      <c r="C945" s="155"/>
      <c r="D945" s="155"/>
      <c r="E945" s="40"/>
      <c r="F945" s="314"/>
      <c r="H945" s="315"/>
      <c r="I945" s="315"/>
      <c r="BA945" s="30"/>
      <c r="BB945" s="155"/>
      <c r="BC945" s="314"/>
      <c r="BD945" s="314"/>
      <c r="BE945" s="314"/>
      <c r="BF945" s="314"/>
      <c r="BG945" s="314"/>
      <c r="BH945" s="314"/>
      <c r="BI945" s="314"/>
      <c r="BJ945" s="314"/>
      <c r="BK945" s="40"/>
      <c r="BL945" s="40"/>
      <c r="BM945" s="40"/>
      <c r="BN945" s="40"/>
      <c r="BO945" s="40"/>
      <c r="BP945" s="155"/>
      <c r="BQ945" s="314"/>
      <c r="BR945" s="314"/>
      <c r="BS945" s="314"/>
      <c r="BT945" s="314"/>
      <c r="BU945" s="314"/>
      <c r="BV945" s="314"/>
      <c r="BW945" s="314"/>
      <c r="BX945" s="155"/>
    </row>
    <row r="946" spans="1:76" ht="15.75" customHeight="1">
      <c r="A946" s="25"/>
      <c r="B946" s="39"/>
      <c r="C946" s="155"/>
      <c r="D946" s="155"/>
      <c r="E946" s="40"/>
      <c r="F946" s="314"/>
      <c r="H946" s="315"/>
      <c r="I946" s="315"/>
      <c r="BA946" s="30"/>
      <c r="BB946" s="155"/>
      <c r="BC946" s="314"/>
      <c r="BD946" s="314"/>
      <c r="BE946" s="314"/>
      <c r="BF946" s="314"/>
      <c r="BG946" s="314"/>
      <c r="BH946" s="314"/>
      <c r="BI946" s="314"/>
      <c r="BJ946" s="314"/>
      <c r="BK946" s="40"/>
      <c r="BL946" s="40"/>
      <c r="BM946" s="40"/>
      <c r="BN946" s="40"/>
      <c r="BO946" s="40"/>
      <c r="BP946" s="155"/>
      <c r="BQ946" s="314"/>
      <c r="BR946" s="314"/>
      <c r="BS946" s="314"/>
      <c r="BT946" s="314"/>
      <c r="BU946" s="314"/>
      <c r="BV946" s="314"/>
      <c r="BW946" s="314"/>
      <c r="BX946" s="155"/>
    </row>
    <row r="947" spans="1:76" ht="15.75" customHeight="1">
      <c r="A947" s="25"/>
      <c r="B947" s="39"/>
      <c r="C947" s="155"/>
      <c r="D947" s="155"/>
      <c r="E947" s="40"/>
      <c r="F947" s="314"/>
      <c r="H947" s="315"/>
      <c r="I947" s="315"/>
      <c r="BA947" s="30"/>
      <c r="BB947" s="155"/>
      <c r="BC947" s="314"/>
      <c r="BD947" s="314"/>
      <c r="BE947" s="314"/>
      <c r="BF947" s="314"/>
      <c r="BG947" s="314"/>
      <c r="BH947" s="314"/>
      <c r="BI947" s="314"/>
      <c r="BJ947" s="314"/>
      <c r="BK947" s="40"/>
      <c r="BL947" s="40"/>
      <c r="BM947" s="40"/>
      <c r="BN947" s="40"/>
      <c r="BO947" s="40"/>
      <c r="BP947" s="155"/>
      <c r="BQ947" s="314"/>
      <c r="BR947" s="314"/>
      <c r="BS947" s="314"/>
      <c r="BT947" s="314"/>
      <c r="BU947" s="314"/>
      <c r="BV947" s="314"/>
      <c r="BW947" s="314"/>
      <c r="BX947" s="155"/>
    </row>
    <row r="948" spans="1:76" ht="15.75" customHeight="1">
      <c r="A948" s="25"/>
      <c r="B948" s="39"/>
      <c r="C948" s="155"/>
      <c r="D948" s="155"/>
      <c r="E948" s="40"/>
      <c r="F948" s="314"/>
      <c r="H948" s="315"/>
      <c r="I948" s="315"/>
      <c r="BA948" s="30"/>
      <c r="BB948" s="155"/>
      <c r="BC948" s="314"/>
      <c r="BD948" s="314"/>
      <c r="BE948" s="314"/>
      <c r="BF948" s="314"/>
      <c r="BG948" s="314"/>
      <c r="BH948" s="314"/>
      <c r="BI948" s="314"/>
      <c r="BJ948" s="314"/>
      <c r="BK948" s="40"/>
      <c r="BL948" s="40"/>
      <c r="BM948" s="40"/>
      <c r="BN948" s="40"/>
      <c r="BO948" s="40"/>
      <c r="BP948" s="155"/>
      <c r="BQ948" s="314"/>
      <c r="BR948" s="314"/>
      <c r="BS948" s="314"/>
      <c r="BT948" s="314"/>
      <c r="BU948" s="314"/>
      <c r="BV948" s="314"/>
      <c r="BW948" s="314"/>
      <c r="BX948" s="155"/>
    </row>
    <row r="949" spans="1:76" ht="15.75" customHeight="1">
      <c r="A949" s="25"/>
      <c r="B949" s="39"/>
      <c r="C949" s="155"/>
      <c r="D949" s="155"/>
      <c r="E949" s="341"/>
      <c r="F949" s="314"/>
      <c r="H949" s="315"/>
      <c r="I949" s="315"/>
      <c r="BA949" s="30"/>
      <c r="BB949" s="321"/>
      <c r="BC949" s="314"/>
      <c r="BD949" s="314"/>
      <c r="BE949" s="314"/>
      <c r="BF949" s="314"/>
      <c r="BG949" s="314"/>
      <c r="BH949" s="314"/>
      <c r="BI949" s="314"/>
      <c r="BJ949" s="314"/>
      <c r="BK949" s="40"/>
      <c r="BL949" s="40"/>
      <c r="BM949" s="40"/>
      <c r="BN949" s="40"/>
      <c r="BO949" s="40"/>
      <c r="BP949" s="155"/>
      <c r="BQ949" s="314"/>
      <c r="BR949" s="314"/>
      <c r="BS949" s="314"/>
      <c r="BT949" s="314"/>
      <c r="BU949" s="314"/>
      <c r="BV949" s="314"/>
      <c r="BW949" s="314"/>
      <c r="BX949" s="155"/>
    </row>
    <row r="950" spans="1:76" ht="15.75" customHeight="1">
      <c r="A950" s="25"/>
      <c r="B950" s="39"/>
      <c r="C950" s="155"/>
      <c r="D950" s="155"/>
      <c r="E950" s="40"/>
      <c r="F950" s="314"/>
      <c r="H950" s="315"/>
      <c r="I950" s="315"/>
      <c r="BA950" s="30"/>
      <c r="BB950" s="155"/>
      <c r="BC950" s="314"/>
      <c r="BD950" s="314"/>
      <c r="BE950" s="314"/>
      <c r="BF950" s="314"/>
      <c r="BG950" s="314"/>
      <c r="BH950" s="314"/>
      <c r="BI950" s="314"/>
      <c r="BJ950" s="314"/>
      <c r="BK950" s="40"/>
      <c r="BL950" s="40"/>
      <c r="BM950" s="40"/>
      <c r="BN950" s="40"/>
      <c r="BO950" s="40"/>
      <c r="BP950" s="155"/>
      <c r="BQ950" s="314"/>
      <c r="BR950" s="314"/>
      <c r="BS950" s="314"/>
      <c r="BT950" s="314"/>
      <c r="BU950" s="314"/>
      <c r="BV950" s="314"/>
      <c r="BW950" s="314"/>
      <c r="BX950" s="155"/>
    </row>
    <row r="951" spans="1:76" ht="15.75" customHeight="1">
      <c r="A951" s="25"/>
      <c r="B951" s="39"/>
      <c r="C951" s="155"/>
      <c r="D951" s="155"/>
      <c r="E951" s="40"/>
      <c r="F951" s="314"/>
      <c r="H951" s="315"/>
      <c r="I951" s="315"/>
      <c r="BA951" s="30"/>
      <c r="BB951" s="155"/>
      <c r="BC951" s="314"/>
      <c r="BD951" s="314"/>
      <c r="BE951" s="314"/>
      <c r="BF951" s="314"/>
      <c r="BG951" s="314"/>
      <c r="BH951" s="314"/>
      <c r="BI951" s="314"/>
      <c r="BJ951" s="314"/>
      <c r="BK951" s="40"/>
      <c r="BL951" s="40"/>
      <c r="BM951" s="40"/>
      <c r="BN951" s="40"/>
      <c r="BO951" s="40"/>
      <c r="BP951" s="155"/>
      <c r="BQ951" s="314"/>
      <c r="BR951" s="314"/>
      <c r="BS951" s="314"/>
      <c r="BT951" s="314"/>
      <c r="BU951" s="314"/>
      <c r="BV951" s="314"/>
      <c r="BW951" s="314"/>
      <c r="BX951" s="155"/>
    </row>
    <row r="952" spans="1:76" ht="15.75" customHeight="1">
      <c r="A952" s="25"/>
      <c r="B952" s="39"/>
      <c r="C952" s="155"/>
      <c r="D952" s="155"/>
      <c r="E952" s="40"/>
      <c r="F952" s="314"/>
      <c r="H952" s="315"/>
      <c r="I952" s="315"/>
      <c r="BA952" s="30"/>
      <c r="BB952" s="155"/>
      <c r="BC952" s="314"/>
      <c r="BD952" s="314"/>
      <c r="BE952" s="314"/>
      <c r="BF952" s="314"/>
      <c r="BG952" s="314"/>
      <c r="BH952" s="314"/>
      <c r="BI952" s="314"/>
      <c r="BJ952" s="314"/>
      <c r="BK952" s="40"/>
      <c r="BL952" s="40"/>
      <c r="BM952" s="40"/>
      <c r="BN952" s="40"/>
      <c r="BO952" s="40"/>
      <c r="BP952" s="155"/>
      <c r="BQ952" s="314"/>
      <c r="BR952" s="314"/>
      <c r="BS952" s="314"/>
      <c r="BT952" s="314"/>
      <c r="BU952" s="314"/>
      <c r="BV952" s="314"/>
      <c r="BW952" s="314"/>
      <c r="BX952" s="155"/>
    </row>
    <row r="953" spans="1:76" ht="15.75" customHeight="1">
      <c r="A953" s="25"/>
      <c r="B953" s="39"/>
      <c r="C953" s="155"/>
      <c r="D953" s="155"/>
      <c r="E953" s="40"/>
      <c r="F953" s="314"/>
      <c r="H953" s="315"/>
      <c r="I953" s="315"/>
      <c r="BA953" s="30"/>
      <c r="BB953" s="155"/>
      <c r="BC953" s="314"/>
      <c r="BD953" s="314"/>
      <c r="BE953" s="314"/>
      <c r="BF953" s="314"/>
      <c r="BG953" s="314"/>
      <c r="BH953" s="314"/>
      <c r="BI953" s="314"/>
      <c r="BJ953" s="314"/>
      <c r="BK953" s="40"/>
      <c r="BL953" s="40"/>
      <c r="BM953" s="40"/>
      <c r="BN953" s="40"/>
      <c r="BO953" s="40"/>
      <c r="BP953" s="155"/>
      <c r="BQ953" s="314"/>
      <c r="BR953" s="314"/>
      <c r="BS953" s="314"/>
      <c r="BT953" s="314"/>
      <c r="BU953" s="314"/>
      <c r="BV953" s="314"/>
      <c r="BW953" s="314"/>
      <c r="BX953" s="155"/>
    </row>
    <row r="954" spans="1:76" ht="15.75" customHeight="1">
      <c r="A954" s="25"/>
      <c r="B954" s="39"/>
      <c r="C954" s="155"/>
      <c r="D954" s="155"/>
      <c r="E954" s="40"/>
      <c r="F954" s="314"/>
      <c r="H954" s="315"/>
      <c r="I954" s="315"/>
      <c r="BA954" s="30"/>
      <c r="BB954" s="155"/>
      <c r="BC954" s="314"/>
      <c r="BD954" s="314"/>
      <c r="BE954" s="314"/>
      <c r="BF954" s="314"/>
      <c r="BG954" s="314"/>
      <c r="BH954" s="314"/>
      <c r="BI954" s="314"/>
      <c r="BJ954" s="314"/>
      <c r="BK954" s="40"/>
      <c r="BL954" s="40"/>
      <c r="BM954" s="40"/>
      <c r="BN954" s="40"/>
      <c r="BO954" s="40"/>
      <c r="BP954" s="155"/>
      <c r="BQ954" s="314"/>
      <c r="BR954" s="314"/>
      <c r="BS954" s="314"/>
      <c r="BT954" s="314"/>
      <c r="BU954" s="314"/>
      <c r="BV954" s="314"/>
      <c r="BW954" s="314"/>
      <c r="BX954" s="155"/>
    </row>
    <row r="955" spans="1:76" ht="15.75" customHeight="1">
      <c r="A955" s="25"/>
      <c r="B955" s="39"/>
      <c r="C955" s="155"/>
      <c r="D955" s="155"/>
      <c r="E955" s="40"/>
      <c r="F955" s="314"/>
      <c r="H955" s="315"/>
      <c r="I955" s="315"/>
      <c r="BA955" s="30"/>
      <c r="BB955" s="155"/>
      <c r="BC955" s="314"/>
      <c r="BD955" s="314"/>
      <c r="BE955" s="314"/>
      <c r="BF955" s="314"/>
      <c r="BG955" s="314"/>
      <c r="BH955" s="314"/>
      <c r="BI955" s="314"/>
      <c r="BJ955" s="314"/>
      <c r="BK955" s="40"/>
      <c r="BL955" s="40"/>
      <c r="BM955" s="40"/>
      <c r="BN955" s="40"/>
      <c r="BO955" s="40"/>
      <c r="BP955" s="155"/>
      <c r="BQ955" s="314"/>
      <c r="BR955" s="314"/>
      <c r="BS955" s="314"/>
      <c r="BT955" s="314"/>
      <c r="BU955" s="314"/>
      <c r="BV955" s="314"/>
      <c r="BW955" s="314"/>
      <c r="BX955" s="155"/>
    </row>
    <row r="956" spans="1:76" ht="15.75" customHeight="1">
      <c r="A956" s="25"/>
      <c r="B956" s="39"/>
      <c r="C956" s="155"/>
      <c r="D956" s="155"/>
      <c r="E956" s="40"/>
      <c r="F956" s="314"/>
      <c r="H956" s="315"/>
      <c r="I956" s="315"/>
      <c r="BA956" s="30"/>
      <c r="BB956" s="155"/>
      <c r="BC956" s="314"/>
      <c r="BD956" s="314"/>
      <c r="BE956" s="314"/>
      <c r="BF956" s="314"/>
      <c r="BG956" s="314"/>
      <c r="BH956" s="314"/>
      <c r="BI956" s="314"/>
      <c r="BJ956" s="314"/>
      <c r="BK956" s="40"/>
      <c r="BL956" s="40"/>
      <c r="BM956" s="40"/>
      <c r="BN956" s="40"/>
      <c r="BO956" s="40"/>
      <c r="BP956" s="155"/>
      <c r="BQ956" s="314"/>
      <c r="BR956" s="314"/>
      <c r="BS956" s="314"/>
      <c r="BT956" s="314"/>
      <c r="BU956" s="314"/>
      <c r="BV956" s="314"/>
      <c r="BW956" s="314"/>
      <c r="BX956" s="155"/>
    </row>
    <row r="957" spans="1:76" ht="15.75" customHeight="1">
      <c r="A957" s="25"/>
      <c r="B957" s="39"/>
      <c r="C957" s="155"/>
      <c r="D957" s="155"/>
      <c r="E957" s="40"/>
      <c r="F957" s="314"/>
      <c r="H957" s="315"/>
      <c r="I957" s="315"/>
      <c r="BA957" s="30"/>
      <c r="BB957" s="155"/>
      <c r="BC957" s="314"/>
      <c r="BD957" s="314"/>
      <c r="BE957" s="314"/>
      <c r="BF957" s="314"/>
      <c r="BG957" s="314"/>
      <c r="BH957" s="314"/>
      <c r="BI957" s="314"/>
      <c r="BJ957" s="314"/>
      <c r="BK957" s="40"/>
      <c r="BL957" s="40"/>
      <c r="BM957" s="40"/>
      <c r="BN957" s="40"/>
      <c r="BO957" s="40"/>
      <c r="BP957" s="155"/>
      <c r="BQ957" s="314"/>
      <c r="BR957" s="314"/>
      <c r="BS957" s="314"/>
      <c r="BT957" s="314"/>
      <c r="BU957" s="314"/>
      <c r="BV957" s="314"/>
      <c r="BW957" s="314"/>
      <c r="BX957" s="155"/>
    </row>
    <row r="958" spans="1:76" ht="15.75" customHeight="1">
      <c r="A958" s="25"/>
      <c r="B958" s="39"/>
      <c r="C958" s="155"/>
      <c r="D958" s="155"/>
      <c r="E958" s="40"/>
      <c r="F958" s="314"/>
      <c r="H958" s="315"/>
      <c r="I958" s="315"/>
      <c r="BA958" s="30"/>
      <c r="BB958" s="155"/>
      <c r="BC958" s="314"/>
      <c r="BD958" s="314"/>
      <c r="BE958" s="314"/>
      <c r="BF958" s="314"/>
      <c r="BG958" s="314"/>
      <c r="BH958" s="314"/>
      <c r="BI958" s="314"/>
      <c r="BJ958" s="314"/>
      <c r="BK958" s="40"/>
      <c r="BL958" s="40"/>
      <c r="BM958" s="40"/>
      <c r="BN958" s="40"/>
      <c r="BO958" s="40"/>
      <c r="BP958" s="155"/>
      <c r="BQ958" s="314"/>
      <c r="BR958" s="314"/>
      <c r="BS958" s="314"/>
      <c r="BT958" s="314"/>
      <c r="BU958" s="314"/>
      <c r="BV958" s="314"/>
      <c r="BW958" s="314"/>
      <c r="BX958" s="155"/>
    </row>
    <row r="959" spans="1:76" ht="15.75" customHeight="1">
      <c r="A959" s="25"/>
      <c r="B959" s="39"/>
      <c r="C959" s="155"/>
      <c r="D959" s="155"/>
      <c r="E959" s="40"/>
      <c r="F959" s="314"/>
      <c r="H959" s="315"/>
      <c r="I959" s="315"/>
      <c r="BA959" s="30"/>
      <c r="BB959" s="155"/>
      <c r="BC959" s="322"/>
      <c r="BD959" s="322"/>
      <c r="BE959" s="322"/>
      <c r="BF959" s="322"/>
      <c r="BG959" s="322"/>
      <c r="BH959" s="322"/>
      <c r="BI959" s="322"/>
      <c r="BJ959" s="322"/>
      <c r="BK959" s="341"/>
      <c r="BL959" s="40"/>
      <c r="BM959" s="40"/>
      <c r="BN959" s="40"/>
      <c r="BO959" s="40"/>
      <c r="BP959" s="155"/>
      <c r="BQ959" s="314"/>
      <c r="BR959" s="314"/>
      <c r="BS959" s="314"/>
      <c r="BT959" s="314"/>
      <c r="BU959" s="314"/>
      <c r="BV959" s="314"/>
      <c r="BW959" s="314"/>
      <c r="BX959" s="155"/>
    </row>
    <row r="960" spans="1:76" ht="15.75" customHeight="1">
      <c r="A960" s="25"/>
      <c r="B960" s="39"/>
      <c r="C960" s="155"/>
      <c r="D960" s="155"/>
      <c r="E960" s="40"/>
      <c r="F960" s="314"/>
      <c r="H960" s="315"/>
      <c r="I960" s="315"/>
      <c r="BA960" s="30"/>
      <c r="BB960" s="155"/>
      <c r="BC960" s="314"/>
      <c r="BD960" s="314"/>
      <c r="BE960" s="314"/>
      <c r="BF960" s="314"/>
      <c r="BG960" s="314"/>
      <c r="BH960" s="314"/>
      <c r="BI960" s="314"/>
      <c r="BJ960" s="314"/>
      <c r="BK960" s="40"/>
      <c r="BL960" s="40"/>
      <c r="BM960" s="40"/>
      <c r="BN960" s="40"/>
      <c r="BO960" s="40"/>
      <c r="BP960" s="155"/>
      <c r="BQ960" s="314"/>
      <c r="BR960" s="314"/>
      <c r="BS960" s="314"/>
      <c r="BT960" s="314"/>
      <c r="BU960" s="314"/>
      <c r="BV960" s="314"/>
      <c r="BW960" s="314"/>
      <c r="BX960" s="155"/>
    </row>
    <row r="961" spans="1:76" ht="15.75" customHeight="1">
      <c r="A961" s="25"/>
      <c r="B961" s="39"/>
      <c r="C961" s="155"/>
      <c r="D961" s="155"/>
      <c r="E961" s="40"/>
      <c r="F961" s="314"/>
      <c r="H961" s="315"/>
      <c r="I961" s="315"/>
      <c r="BA961" s="30"/>
      <c r="BB961" s="155"/>
      <c r="BC961" s="314"/>
      <c r="BD961" s="314"/>
      <c r="BE961" s="314"/>
      <c r="BF961" s="314"/>
      <c r="BG961" s="314"/>
      <c r="BH961" s="314"/>
      <c r="BI961" s="314"/>
      <c r="BJ961" s="314"/>
      <c r="BK961" s="40"/>
      <c r="BL961" s="40"/>
      <c r="BM961" s="40"/>
      <c r="BN961" s="40"/>
      <c r="BO961" s="40"/>
      <c r="BP961" s="155"/>
      <c r="BQ961" s="314"/>
      <c r="BR961" s="314"/>
      <c r="BS961" s="314"/>
      <c r="BT961" s="314"/>
      <c r="BU961" s="314"/>
      <c r="BV961" s="314"/>
      <c r="BW961" s="314"/>
      <c r="BX961" s="155"/>
    </row>
    <row r="962" spans="1:76" ht="15.75" customHeight="1">
      <c r="A962" s="25"/>
      <c r="B962" s="39"/>
      <c r="C962" s="155"/>
      <c r="D962" s="155"/>
      <c r="E962" s="40"/>
      <c r="F962" s="314"/>
      <c r="H962" s="315"/>
      <c r="I962" s="315"/>
      <c r="BA962" s="30"/>
      <c r="BB962" s="155"/>
      <c r="BC962" s="314"/>
      <c r="BD962" s="314"/>
      <c r="BE962" s="314"/>
      <c r="BF962" s="314"/>
      <c r="BG962" s="314"/>
      <c r="BH962" s="314"/>
      <c r="BI962" s="314"/>
      <c r="BJ962" s="314"/>
      <c r="BK962" s="40"/>
      <c r="BL962" s="40"/>
      <c r="BM962" s="40"/>
      <c r="BN962" s="40"/>
      <c r="BO962" s="40"/>
      <c r="BP962" s="155"/>
      <c r="BQ962" s="314"/>
      <c r="BR962" s="314"/>
      <c r="BS962" s="314"/>
      <c r="BT962" s="314"/>
      <c r="BU962" s="314"/>
      <c r="BV962" s="314"/>
      <c r="BW962" s="314"/>
      <c r="BX962" s="155"/>
    </row>
    <row r="963" spans="1:76" ht="15.75" customHeight="1">
      <c r="A963" s="25"/>
      <c r="B963" s="39"/>
      <c r="C963" s="155"/>
      <c r="D963" s="155"/>
      <c r="E963" s="40"/>
      <c r="F963" s="314"/>
      <c r="H963" s="315"/>
      <c r="I963" s="315"/>
      <c r="BA963" s="30"/>
      <c r="BB963" s="155"/>
      <c r="BC963" s="314"/>
      <c r="BD963" s="314"/>
      <c r="BE963" s="314"/>
      <c r="BF963" s="314"/>
      <c r="BG963" s="314"/>
      <c r="BH963" s="314"/>
      <c r="BI963" s="314"/>
      <c r="BJ963" s="314"/>
      <c r="BK963" s="40"/>
      <c r="BL963" s="40"/>
      <c r="BM963" s="40"/>
      <c r="BN963" s="40"/>
      <c r="BO963" s="40"/>
      <c r="BP963" s="155"/>
      <c r="BQ963" s="314"/>
      <c r="BR963" s="314"/>
      <c r="BS963" s="314"/>
      <c r="BT963" s="314"/>
      <c r="BU963" s="314"/>
      <c r="BV963" s="314"/>
      <c r="BW963" s="314"/>
      <c r="BX963" s="155"/>
    </row>
    <row r="964" spans="1:76" ht="15.75" customHeight="1">
      <c r="A964" s="25"/>
      <c r="B964" s="39"/>
      <c r="C964" s="155"/>
      <c r="D964" s="155"/>
      <c r="E964" s="40"/>
      <c r="F964" s="314"/>
      <c r="H964" s="315"/>
      <c r="I964" s="315"/>
      <c r="BA964" s="30"/>
      <c r="BB964" s="155"/>
      <c r="BC964" s="314"/>
      <c r="BD964" s="314"/>
      <c r="BE964" s="314"/>
      <c r="BF964" s="314"/>
      <c r="BG964" s="314"/>
      <c r="BH964" s="314"/>
      <c r="BI964" s="314"/>
      <c r="BJ964" s="314"/>
      <c r="BK964" s="40"/>
      <c r="BL964" s="40"/>
      <c r="BM964" s="40"/>
      <c r="BN964" s="40"/>
      <c r="BO964" s="40"/>
      <c r="BP964" s="155"/>
      <c r="BQ964" s="314"/>
      <c r="BR964" s="314"/>
      <c r="BS964" s="314"/>
      <c r="BT964" s="314"/>
      <c r="BU964" s="314"/>
      <c r="BV964" s="314"/>
      <c r="BW964" s="314"/>
      <c r="BX964" s="155"/>
    </row>
    <row r="965" spans="1:76" ht="15.75" customHeight="1">
      <c r="A965" s="25"/>
      <c r="B965" s="39"/>
      <c r="C965" s="155"/>
      <c r="D965" s="155"/>
      <c r="E965" s="341"/>
      <c r="F965" s="314"/>
      <c r="H965" s="315"/>
      <c r="I965" s="315"/>
      <c r="BA965" s="30"/>
      <c r="BB965" s="321"/>
      <c r="BC965" s="314"/>
      <c r="BD965" s="314"/>
      <c r="BE965" s="314"/>
      <c r="BF965" s="314"/>
      <c r="BG965" s="314"/>
      <c r="BH965" s="314"/>
      <c r="BI965" s="314"/>
      <c r="BJ965" s="314"/>
      <c r="BK965" s="40"/>
      <c r="BL965" s="40"/>
      <c r="BM965" s="40"/>
      <c r="BN965" s="40"/>
      <c r="BO965" s="40"/>
      <c r="BP965" s="155"/>
      <c r="BQ965" s="314"/>
      <c r="BR965" s="314"/>
      <c r="BS965" s="314"/>
      <c r="BT965" s="314"/>
      <c r="BU965" s="314"/>
      <c r="BV965" s="314"/>
      <c r="BW965" s="314"/>
      <c r="BX965" s="155"/>
    </row>
    <row r="966" spans="1:76" ht="15.75" customHeight="1">
      <c r="A966" s="25"/>
      <c r="B966" s="39"/>
      <c r="C966" s="155"/>
      <c r="D966" s="155"/>
      <c r="E966" s="40"/>
      <c r="F966" s="314"/>
      <c r="H966" s="315"/>
      <c r="I966" s="315"/>
      <c r="BA966" s="30"/>
      <c r="BB966" s="155"/>
      <c r="BC966" s="314"/>
      <c r="BD966" s="314"/>
      <c r="BE966" s="314"/>
      <c r="BF966" s="314"/>
      <c r="BG966" s="314"/>
      <c r="BH966" s="314"/>
      <c r="BI966" s="314"/>
      <c r="BJ966" s="314"/>
      <c r="BK966" s="40"/>
      <c r="BL966" s="40"/>
      <c r="BM966" s="40"/>
      <c r="BN966" s="40"/>
      <c r="BO966" s="40"/>
      <c r="BP966" s="155"/>
      <c r="BQ966" s="314"/>
      <c r="BR966" s="314"/>
      <c r="BS966" s="314"/>
      <c r="BT966" s="314"/>
      <c r="BU966" s="314"/>
      <c r="BV966" s="314"/>
      <c r="BW966" s="314"/>
      <c r="BX966" s="155"/>
    </row>
    <row r="967" spans="1:76" ht="15.75" customHeight="1">
      <c r="A967" s="25"/>
      <c r="B967" s="39"/>
      <c r="C967" s="155"/>
      <c r="D967" s="155"/>
      <c r="E967" s="40"/>
      <c r="F967" s="314"/>
      <c r="H967" s="315"/>
      <c r="I967" s="315"/>
      <c r="BA967" s="30"/>
      <c r="BB967" s="155"/>
      <c r="BC967" s="314"/>
      <c r="BD967" s="314"/>
      <c r="BE967" s="314"/>
      <c r="BF967" s="314"/>
      <c r="BG967" s="314"/>
      <c r="BH967" s="314"/>
      <c r="BI967" s="314"/>
      <c r="BJ967" s="314"/>
      <c r="BK967" s="40"/>
      <c r="BL967" s="40"/>
      <c r="BM967" s="40"/>
      <c r="BN967" s="40"/>
      <c r="BO967" s="40"/>
      <c r="BP967" s="155"/>
      <c r="BQ967" s="314"/>
      <c r="BR967" s="314"/>
      <c r="BS967" s="314"/>
      <c r="BT967" s="314"/>
      <c r="BU967" s="314"/>
      <c r="BV967" s="314"/>
      <c r="BW967" s="314"/>
      <c r="BX967" s="155"/>
    </row>
    <row r="968" spans="1:76" ht="15.75" customHeight="1">
      <c r="A968" s="25"/>
      <c r="B968" s="39"/>
      <c r="C968" s="155"/>
      <c r="D968" s="155"/>
      <c r="E968" s="40"/>
      <c r="F968" s="314"/>
      <c r="H968" s="315"/>
      <c r="I968" s="315"/>
      <c r="BA968" s="30"/>
      <c r="BB968" s="155"/>
      <c r="BC968" s="314"/>
      <c r="BD968" s="314"/>
      <c r="BE968" s="314"/>
      <c r="BF968" s="314"/>
      <c r="BG968" s="314"/>
      <c r="BH968" s="314"/>
      <c r="BI968" s="314"/>
      <c r="BJ968" s="314"/>
      <c r="BK968" s="40"/>
      <c r="BL968" s="40"/>
      <c r="BM968" s="40"/>
      <c r="BN968" s="40"/>
      <c r="BO968" s="40"/>
      <c r="BP968" s="155"/>
      <c r="BQ968" s="314"/>
      <c r="BR968" s="314"/>
      <c r="BS968" s="314"/>
      <c r="BT968" s="314"/>
      <c r="BU968" s="314"/>
      <c r="BV968" s="314"/>
      <c r="BW968" s="314"/>
      <c r="BX968" s="155"/>
    </row>
    <row r="969" spans="1:76" ht="15.75" customHeight="1">
      <c r="A969" s="25"/>
      <c r="B969" s="39"/>
      <c r="C969" s="155"/>
      <c r="D969" s="155"/>
      <c r="E969" s="40"/>
      <c r="F969" s="314"/>
      <c r="H969" s="315"/>
      <c r="I969" s="315"/>
      <c r="BA969" s="30"/>
      <c r="BB969" s="155"/>
      <c r="BC969" s="314"/>
      <c r="BD969" s="314"/>
      <c r="BE969" s="314"/>
      <c r="BF969" s="314"/>
      <c r="BG969" s="314"/>
      <c r="BH969" s="314"/>
      <c r="BI969" s="314"/>
      <c r="BJ969" s="314"/>
      <c r="BK969" s="40"/>
      <c r="BL969" s="40"/>
      <c r="BM969" s="40"/>
      <c r="BN969" s="40"/>
      <c r="BO969" s="40"/>
      <c r="BP969" s="155"/>
      <c r="BQ969" s="314"/>
      <c r="BR969" s="314"/>
      <c r="BS969" s="314"/>
      <c r="BT969" s="314"/>
      <c r="BU969" s="314"/>
      <c r="BV969" s="314"/>
      <c r="BW969" s="314"/>
      <c r="BX969" s="155"/>
    </row>
    <row r="970" spans="1:76" ht="15.75" customHeight="1">
      <c r="A970" s="25"/>
      <c r="B970" s="39"/>
      <c r="C970" s="155"/>
      <c r="D970" s="155"/>
      <c r="E970" s="40"/>
      <c r="F970" s="314"/>
      <c r="H970" s="315"/>
      <c r="I970" s="315"/>
      <c r="BA970" s="30"/>
      <c r="BB970" s="155"/>
      <c r="BC970" s="314"/>
      <c r="BD970" s="314"/>
      <c r="BE970" s="314"/>
      <c r="BF970" s="314"/>
      <c r="BG970" s="314"/>
      <c r="BH970" s="314"/>
      <c r="BI970" s="314"/>
      <c r="BJ970" s="314"/>
      <c r="BK970" s="40"/>
      <c r="BL970" s="40"/>
      <c r="BM970" s="40"/>
      <c r="BN970" s="40"/>
      <c r="BO970" s="40"/>
      <c r="BP970" s="155"/>
      <c r="BQ970" s="314"/>
      <c r="BR970" s="314"/>
      <c r="BS970" s="314"/>
      <c r="BT970" s="314"/>
      <c r="BU970" s="314"/>
      <c r="BV970" s="314"/>
      <c r="BW970" s="314"/>
      <c r="BX970" s="155"/>
    </row>
    <row r="971" spans="1:76" ht="15.75" customHeight="1">
      <c r="A971" s="25"/>
      <c r="B971" s="39"/>
      <c r="C971" s="155"/>
      <c r="D971" s="155"/>
      <c r="E971" s="40"/>
      <c r="F971" s="314"/>
      <c r="H971" s="315"/>
      <c r="I971" s="315"/>
      <c r="BA971" s="30"/>
      <c r="BB971" s="155"/>
      <c r="BC971" s="314"/>
      <c r="BD971" s="314"/>
      <c r="BE971" s="314"/>
      <c r="BF971" s="314"/>
      <c r="BG971" s="314"/>
      <c r="BH971" s="314"/>
      <c r="BI971" s="314"/>
      <c r="BJ971" s="314"/>
      <c r="BK971" s="40"/>
      <c r="BL971" s="40"/>
      <c r="BM971" s="40"/>
      <c r="BN971" s="40"/>
      <c r="BO971" s="40"/>
      <c r="BP971" s="155"/>
      <c r="BQ971" s="314"/>
      <c r="BR971" s="314"/>
      <c r="BS971" s="314"/>
      <c r="BT971" s="314"/>
      <c r="BU971" s="314"/>
      <c r="BV971" s="314"/>
      <c r="BW971" s="314"/>
      <c r="BX971" s="155"/>
    </row>
    <row r="972" spans="1:76" ht="15.75" customHeight="1">
      <c r="A972" s="25"/>
      <c r="B972" s="39"/>
      <c r="C972" s="155"/>
      <c r="D972" s="155"/>
      <c r="E972" s="40"/>
      <c r="F972" s="314"/>
      <c r="H972" s="315"/>
      <c r="I972" s="315"/>
      <c r="BA972" s="30"/>
      <c r="BB972" s="155"/>
      <c r="BC972" s="314"/>
      <c r="BD972" s="314"/>
      <c r="BE972" s="314"/>
      <c r="BF972" s="314"/>
      <c r="BG972" s="314"/>
      <c r="BH972" s="314"/>
      <c r="BI972" s="314"/>
      <c r="BJ972" s="314"/>
      <c r="BK972" s="40"/>
      <c r="BL972" s="40"/>
      <c r="BM972" s="40"/>
      <c r="BN972" s="40"/>
      <c r="BO972" s="40"/>
      <c r="BP972" s="155"/>
      <c r="BQ972" s="314"/>
      <c r="BR972" s="314"/>
      <c r="BS972" s="314"/>
      <c r="BT972" s="314"/>
      <c r="BU972" s="314"/>
      <c r="BV972" s="314"/>
      <c r="BW972" s="314"/>
      <c r="BX972" s="155"/>
    </row>
    <row r="973" spans="1:76" ht="15.75" customHeight="1">
      <c r="A973" s="25"/>
      <c r="B973" s="39"/>
      <c r="C973" s="155"/>
      <c r="D973" s="155"/>
      <c r="E973" s="341"/>
      <c r="F973" s="314"/>
      <c r="H973" s="315"/>
      <c r="I973" s="315"/>
      <c r="BA973" s="30"/>
      <c r="BB973" s="321"/>
      <c r="BC973" s="314"/>
      <c r="BD973" s="314"/>
      <c r="BE973" s="314"/>
      <c r="BF973" s="314"/>
      <c r="BG973" s="314"/>
      <c r="BH973" s="314"/>
      <c r="BI973" s="314"/>
      <c r="BJ973" s="314"/>
      <c r="BK973" s="40"/>
      <c r="BL973" s="40"/>
      <c r="BM973" s="40"/>
      <c r="BN973" s="40"/>
      <c r="BO973" s="40"/>
      <c r="BP973" s="155"/>
      <c r="BQ973" s="314"/>
      <c r="BR973" s="314"/>
      <c r="BS973" s="314"/>
      <c r="BT973" s="314"/>
      <c r="BU973" s="314"/>
      <c r="BV973" s="314"/>
      <c r="BW973" s="314"/>
      <c r="BX973" s="155"/>
    </row>
    <row r="974" spans="1:76" ht="15.75" customHeight="1">
      <c r="A974" s="25"/>
      <c r="B974" s="39"/>
      <c r="C974" s="155"/>
      <c r="D974" s="155"/>
      <c r="E974" s="40"/>
      <c r="F974" s="314"/>
      <c r="H974" s="315"/>
      <c r="I974" s="315"/>
      <c r="BA974" s="30"/>
      <c r="BB974" s="155"/>
      <c r="BC974" s="314"/>
      <c r="BD974" s="314"/>
      <c r="BE974" s="314"/>
      <c r="BF974" s="314"/>
      <c r="BG974" s="314"/>
      <c r="BH974" s="314"/>
      <c r="BI974" s="314"/>
      <c r="BJ974" s="314"/>
      <c r="BK974" s="40"/>
      <c r="BL974" s="40"/>
      <c r="BM974" s="40"/>
      <c r="BN974" s="40"/>
      <c r="BO974" s="40"/>
      <c r="BP974" s="155"/>
      <c r="BQ974" s="314"/>
      <c r="BR974" s="314"/>
      <c r="BS974" s="314"/>
      <c r="BT974" s="314"/>
      <c r="BU974" s="314"/>
      <c r="BV974" s="314"/>
      <c r="BW974" s="314"/>
      <c r="BX974" s="155"/>
    </row>
    <row r="975" spans="1:76" ht="15.75" customHeight="1">
      <c r="A975" s="25"/>
      <c r="B975" s="39"/>
      <c r="C975" s="155"/>
      <c r="D975" s="155"/>
      <c r="E975" s="40"/>
      <c r="F975" s="314"/>
      <c r="H975" s="315"/>
      <c r="I975" s="315"/>
      <c r="BA975" s="30"/>
      <c r="BB975" s="155"/>
      <c r="BC975" s="314"/>
      <c r="BD975" s="314"/>
      <c r="BE975" s="314"/>
      <c r="BF975" s="314"/>
      <c r="BG975" s="314"/>
      <c r="BH975" s="314"/>
      <c r="BI975" s="314"/>
      <c r="BJ975" s="314"/>
      <c r="BK975" s="40"/>
      <c r="BL975" s="40"/>
      <c r="BM975" s="40"/>
      <c r="BN975" s="40"/>
      <c r="BO975" s="40"/>
      <c r="BP975" s="155"/>
      <c r="BQ975" s="314"/>
      <c r="BR975" s="314"/>
      <c r="BS975" s="314"/>
      <c r="BT975" s="314"/>
      <c r="BU975" s="314"/>
      <c r="BV975" s="314"/>
      <c r="BW975" s="314"/>
      <c r="BX975" s="155"/>
    </row>
    <row r="976" spans="1:76" ht="15.75" customHeight="1">
      <c r="A976" s="25"/>
      <c r="B976" s="39"/>
      <c r="C976" s="155"/>
      <c r="D976" s="155"/>
      <c r="E976" s="40"/>
      <c r="F976" s="314"/>
      <c r="H976" s="315"/>
      <c r="I976" s="315"/>
      <c r="BA976" s="30"/>
      <c r="BB976" s="155"/>
      <c r="BC976" s="314"/>
      <c r="BD976" s="314"/>
      <c r="BE976" s="314"/>
      <c r="BF976" s="314"/>
      <c r="BG976" s="314"/>
      <c r="BH976" s="314"/>
      <c r="BI976" s="314"/>
      <c r="BJ976" s="314"/>
      <c r="BK976" s="40"/>
      <c r="BL976" s="40"/>
      <c r="BM976" s="40"/>
      <c r="BN976" s="40"/>
      <c r="BO976" s="40"/>
      <c r="BP976" s="155"/>
      <c r="BQ976" s="314"/>
      <c r="BR976" s="314"/>
      <c r="BS976" s="314"/>
      <c r="BT976" s="314"/>
      <c r="BU976" s="314"/>
      <c r="BV976" s="314"/>
      <c r="BW976" s="314"/>
      <c r="BX976" s="155"/>
    </row>
    <row r="977" spans="1:76" ht="15.75" customHeight="1">
      <c r="A977" s="25"/>
      <c r="B977" s="39"/>
      <c r="C977" s="155"/>
      <c r="D977" s="155"/>
      <c r="E977" s="40"/>
      <c r="F977" s="314"/>
      <c r="H977" s="315"/>
      <c r="I977" s="315"/>
      <c r="BA977" s="30"/>
      <c r="BB977" s="155"/>
      <c r="BC977" s="314"/>
      <c r="BD977" s="314"/>
      <c r="BE977" s="314"/>
      <c r="BF977" s="314"/>
      <c r="BG977" s="314"/>
      <c r="BH977" s="314"/>
      <c r="BI977" s="314"/>
      <c r="BJ977" s="314"/>
      <c r="BK977" s="40"/>
      <c r="BL977" s="40"/>
      <c r="BM977" s="40"/>
      <c r="BN977" s="40"/>
      <c r="BO977" s="40"/>
      <c r="BP977" s="155"/>
      <c r="BQ977" s="314"/>
      <c r="BR977" s="314"/>
      <c r="BS977" s="314"/>
      <c r="BT977" s="314"/>
      <c r="BU977" s="314"/>
      <c r="BV977" s="314"/>
      <c r="BW977" s="314"/>
      <c r="BX977" s="155"/>
    </row>
    <row r="978" spans="1:76" ht="15.75" customHeight="1">
      <c r="A978" s="25"/>
      <c r="B978" s="39"/>
      <c r="C978" s="155"/>
      <c r="D978" s="155"/>
      <c r="E978" s="40"/>
      <c r="F978" s="314"/>
      <c r="H978" s="315"/>
      <c r="I978" s="315"/>
      <c r="BA978" s="30"/>
      <c r="BB978" s="155"/>
      <c r="BC978" s="314"/>
      <c r="BD978" s="314"/>
      <c r="BE978" s="314"/>
      <c r="BF978" s="314"/>
      <c r="BG978" s="314"/>
      <c r="BH978" s="314"/>
      <c r="BI978" s="314"/>
      <c r="BJ978" s="314"/>
      <c r="BK978" s="40"/>
      <c r="BL978" s="40"/>
      <c r="BM978" s="40"/>
      <c r="BN978" s="40"/>
      <c r="BO978" s="40"/>
      <c r="BP978" s="155"/>
      <c r="BQ978" s="314"/>
      <c r="BR978" s="314"/>
      <c r="BS978" s="314"/>
      <c r="BT978" s="314"/>
      <c r="BU978" s="314"/>
      <c r="BV978" s="314"/>
      <c r="BW978" s="314"/>
      <c r="BX978" s="155"/>
    </row>
    <row r="979" spans="1:76" ht="15.75" customHeight="1">
      <c r="A979" s="25"/>
      <c r="B979" s="39"/>
      <c r="C979" s="155"/>
      <c r="D979" s="155"/>
      <c r="E979" s="40"/>
      <c r="F979" s="314"/>
      <c r="H979" s="315"/>
      <c r="I979" s="315"/>
      <c r="BA979" s="30"/>
      <c r="BB979" s="155"/>
      <c r="BC979" s="314"/>
      <c r="BD979" s="314"/>
      <c r="BE979" s="314"/>
      <c r="BF979" s="314"/>
      <c r="BG979" s="314"/>
      <c r="BH979" s="314"/>
      <c r="BI979" s="314"/>
      <c r="BJ979" s="314"/>
      <c r="BK979" s="40"/>
      <c r="BL979" s="40"/>
      <c r="BM979" s="40"/>
      <c r="BN979" s="40"/>
      <c r="BO979" s="40"/>
      <c r="BP979" s="155"/>
      <c r="BQ979" s="314"/>
      <c r="BR979" s="314"/>
      <c r="BS979" s="314"/>
      <c r="BT979" s="314"/>
      <c r="BU979" s="314"/>
      <c r="BV979" s="314"/>
      <c r="BW979" s="314"/>
      <c r="BX979" s="155"/>
    </row>
    <row r="980" spans="1:76" ht="15.75" customHeight="1">
      <c r="A980" s="25"/>
      <c r="B980" s="39"/>
      <c r="C980" s="155"/>
      <c r="D980" s="155"/>
      <c r="E980" s="40"/>
      <c r="F980" s="314"/>
      <c r="H980" s="315"/>
      <c r="I980" s="315"/>
      <c r="BA980" s="30"/>
      <c r="BB980" s="155"/>
      <c r="BC980" s="314"/>
      <c r="BD980" s="314"/>
      <c r="BE980" s="314"/>
      <c r="BF980" s="314"/>
      <c r="BG980" s="314"/>
      <c r="BH980" s="314"/>
      <c r="BI980" s="314"/>
      <c r="BJ980" s="314"/>
      <c r="BK980" s="40"/>
      <c r="BL980" s="40"/>
      <c r="BM980" s="40"/>
      <c r="BN980" s="40"/>
      <c r="BO980" s="40"/>
      <c r="BP980" s="155"/>
      <c r="BQ980" s="314"/>
      <c r="BR980" s="314"/>
      <c r="BS980" s="314"/>
      <c r="BT980" s="314"/>
      <c r="BU980" s="314"/>
      <c r="BV980" s="314"/>
      <c r="BW980" s="314"/>
      <c r="BX980" s="155"/>
    </row>
    <row r="981" spans="1:76" ht="15.75" customHeight="1">
      <c r="A981" s="25"/>
      <c r="B981" s="39"/>
      <c r="C981" s="155"/>
      <c r="D981" s="155"/>
      <c r="E981" s="341"/>
      <c r="F981" s="314"/>
      <c r="H981" s="315"/>
      <c r="I981" s="315"/>
      <c r="BA981" s="30"/>
      <c r="BB981" s="321"/>
      <c r="BC981" s="314"/>
      <c r="BD981" s="314"/>
      <c r="BE981" s="314"/>
      <c r="BF981" s="314"/>
      <c r="BG981" s="314"/>
      <c r="BH981" s="314"/>
      <c r="BI981" s="314"/>
      <c r="BJ981" s="314"/>
      <c r="BK981" s="40"/>
      <c r="BL981" s="40"/>
      <c r="BM981" s="40"/>
      <c r="BN981" s="40"/>
      <c r="BO981" s="40"/>
      <c r="BP981" s="155"/>
      <c r="BQ981" s="314"/>
      <c r="BR981" s="314"/>
      <c r="BS981" s="314"/>
      <c r="BT981" s="314"/>
      <c r="BU981" s="314"/>
      <c r="BV981" s="314"/>
      <c r="BW981" s="314"/>
      <c r="BX981" s="155"/>
    </row>
    <row r="982" spans="1:76" ht="15.75" customHeight="1">
      <c r="A982" s="25"/>
      <c r="B982" s="39"/>
      <c r="C982" s="155"/>
      <c r="D982" s="155"/>
      <c r="E982" s="40"/>
      <c r="F982" s="314"/>
      <c r="H982" s="315"/>
      <c r="I982" s="315"/>
      <c r="BA982" s="30"/>
      <c r="BB982" s="155"/>
      <c r="BC982" s="314"/>
      <c r="BD982" s="314"/>
      <c r="BE982" s="314"/>
      <c r="BF982" s="314"/>
      <c r="BG982" s="314"/>
      <c r="BH982" s="314"/>
      <c r="BI982" s="314"/>
      <c r="BJ982" s="314"/>
      <c r="BK982" s="40"/>
      <c r="BL982" s="40"/>
      <c r="BM982" s="40"/>
      <c r="BN982" s="40"/>
      <c r="BO982" s="40"/>
      <c r="BP982" s="155"/>
      <c r="BQ982" s="314"/>
      <c r="BR982" s="314"/>
      <c r="BS982" s="314"/>
      <c r="BT982" s="314"/>
      <c r="BU982" s="314"/>
      <c r="BV982" s="314"/>
      <c r="BW982" s="314"/>
      <c r="BX982" s="155"/>
    </row>
    <row r="983" spans="1:76" ht="15.75" customHeight="1">
      <c r="A983" s="25"/>
      <c r="B983" s="39"/>
      <c r="C983" s="155"/>
      <c r="D983" s="155"/>
      <c r="E983" s="40"/>
      <c r="F983" s="314"/>
      <c r="H983" s="315"/>
      <c r="I983" s="315"/>
      <c r="BA983" s="30"/>
      <c r="BB983" s="155"/>
      <c r="BC983" s="314"/>
      <c r="BD983" s="314"/>
      <c r="BE983" s="314"/>
      <c r="BF983" s="314"/>
      <c r="BG983" s="314"/>
      <c r="BH983" s="314"/>
      <c r="BI983" s="314"/>
      <c r="BJ983" s="314"/>
      <c r="BK983" s="40"/>
      <c r="BL983" s="40"/>
      <c r="BM983" s="40"/>
      <c r="BN983" s="40"/>
      <c r="BO983" s="40"/>
      <c r="BP983" s="155"/>
      <c r="BQ983" s="314"/>
      <c r="BR983" s="314"/>
      <c r="BS983" s="314"/>
      <c r="BT983" s="314"/>
      <c r="BU983" s="314"/>
      <c r="BV983" s="314"/>
      <c r="BW983" s="314"/>
      <c r="BX983" s="155"/>
    </row>
    <row r="984" spans="1:76" ht="15.75" customHeight="1">
      <c r="A984" s="25"/>
      <c r="B984" s="39"/>
      <c r="C984" s="155"/>
      <c r="D984" s="155"/>
      <c r="E984" s="40"/>
      <c r="F984" s="314"/>
      <c r="H984" s="315"/>
      <c r="I984" s="315"/>
      <c r="BA984" s="30"/>
      <c r="BB984" s="155"/>
      <c r="BC984" s="314"/>
      <c r="BD984" s="314"/>
      <c r="BE984" s="314"/>
      <c r="BF984" s="314"/>
      <c r="BG984" s="314"/>
      <c r="BH984" s="314"/>
      <c r="BI984" s="314"/>
      <c r="BJ984" s="314"/>
      <c r="BK984" s="40"/>
      <c r="BL984" s="40"/>
      <c r="BM984" s="40"/>
      <c r="BN984" s="40"/>
      <c r="BO984" s="40"/>
      <c r="BP984" s="155"/>
      <c r="BQ984" s="314"/>
      <c r="BR984" s="314"/>
      <c r="BS984" s="314"/>
      <c r="BT984" s="314"/>
      <c r="BU984" s="314"/>
      <c r="BV984" s="314"/>
      <c r="BW984" s="314"/>
      <c r="BX984" s="155"/>
    </row>
    <row r="985" spans="1:76" ht="15.75" customHeight="1">
      <c r="A985" s="25"/>
      <c r="B985" s="39"/>
      <c r="C985" s="155"/>
      <c r="D985" s="155"/>
      <c r="E985" s="40"/>
      <c r="F985" s="314"/>
      <c r="H985" s="315"/>
      <c r="I985" s="315"/>
      <c r="BA985" s="30"/>
      <c r="BB985" s="155"/>
      <c r="BC985" s="314"/>
      <c r="BD985" s="314"/>
      <c r="BE985" s="314"/>
      <c r="BF985" s="314"/>
      <c r="BG985" s="314"/>
      <c r="BH985" s="314"/>
      <c r="BI985" s="314"/>
      <c r="BJ985" s="314"/>
      <c r="BK985" s="40"/>
      <c r="BL985" s="40"/>
      <c r="BM985" s="40"/>
      <c r="BN985" s="40"/>
      <c r="BO985" s="40"/>
      <c r="BP985" s="155"/>
      <c r="BQ985" s="314"/>
      <c r="BR985" s="314"/>
      <c r="BS985" s="314"/>
      <c r="BT985" s="314"/>
      <c r="BU985" s="314"/>
      <c r="BV985" s="314"/>
      <c r="BW985" s="314"/>
      <c r="BX985" s="155"/>
    </row>
    <row r="986" spans="1:76" ht="15.75" customHeight="1">
      <c r="A986" s="25"/>
      <c r="B986" s="39"/>
      <c r="C986" s="155"/>
      <c r="D986" s="155"/>
      <c r="E986" s="40"/>
      <c r="F986" s="314"/>
      <c r="H986" s="315"/>
      <c r="I986" s="315"/>
      <c r="BA986" s="30"/>
      <c r="BB986" s="155"/>
      <c r="BC986" s="314"/>
      <c r="BD986" s="314"/>
      <c r="BE986" s="314"/>
      <c r="BF986" s="314"/>
      <c r="BG986" s="314"/>
      <c r="BH986" s="314"/>
      <c r="BI986" s="314"/>
      <c r="BJ986" s="314"/>
      <c r="BK986" s="40"/>
      <c r="BL986" s="40"/>
      <c r="BM986" s="40"/>
      <c r="BN986" s="40"/>
      <c r="BO986" s="40"/>
      <c r="BP986" s="155"/>
      <c r="BQ986" s="314"/>
      <c r="BR986" s="314"/>
      <c r="BS986" s="314"/>
      <c r="BT986" s="314"/>
      <c r="BU986" s="314"/>
      <c r="BV986" s="314"/>
      <c r="BW986" s="314"/>
      <c r="BX986" s="155"/>
    </row>
    <row r="987" spans="1:76" ht="15.75" customHeight="1">
      <c r="A987" s="25"/>
      <c r="B987" s="39"/>
      <c r="C987" s="155"/>
      <c r="D987" s="155"/>
      <c r="E987" s="40"/>
      <c r="F987" s="314"/>
      <c r="H987" s="315"/>
      <c r="I987" s="315"/>
      <c r="BA987" s="30"/>
      <c r="BB987" s="155"/>
      <c r="BC987" s="314"/>
      <c r="BD987" s="314"/>
      <c r="BE987" s="314"/>
      <c r="BF987" s="314"/>
      <c r="BG987" s="314"/>
      <c r="BH987" s="314"/>
      <c r="BI987" s="314"/>
      <c r="BJ987" s="314"/>
      <c r="BK987" s="40"/>
      <c r="BL987" s="40"/>
      <c r="BM987" s="40"/>
      <c r="BN987" s="40"/>
      <c r="BO987" s="40"/>
      <c r="BP987" s="155"/>
      <c r="BQ987" s="314"/>
      <c r="BR987" s="314"/>
      <c r="BS987" s="314"/>
      <c r="BT987" s="314"/>
      <c r="BU987" s="314"/>
      <c r="BV987" s="314"/>
      <c r="BW987" s="314"/>
      <c r="BX987" s="155"/>
    </row>
    <row r="988" spans="1:76" ht="15.75" customHeight="1">
      <c r="A988" s="25"/>
      <c r="B988" s="39"/>
      <c r="C988" s="155"/>
      <c r="D988" s="155"/>
      <c r="E988" s="40"/>
      <c r="F988" s="314"/>
      <c r="H988" s="315"/>
      <c r="I988" s="315"/>
      <c r="BA988" s="30"/>
      <c r="BB988" s="155"/>
      <c r="BC988" s="314"/>
      <c r="BD988" s="314"/>
      <c r="BE988" s="314"/>
      <c r="BF988" s="314"/>
      <c r="BG988" s="314"/>
      <c r="BH988" s="314"/>
      <c r="BI988" s="314"/>
      <c r="BJ988" s="314"/>
      <c r="BK988" s="40"/>
      <c r="BL988" s="40"/>
      <c r="BM988" s="40"/>
      <c r="BN988" s="40"/>
      <c r="BO988" s="40"/>
      <c r="BP988" s="155"/>
      <c r="BQ988" s="314"/>
      <c r="BR988" s="314"/>
      <c r="BS988" s="314"/>
      <c r="BT988" s="314"/>
      <c r="BU988" s="314"/>
      <c r="BV988" s="314"/>
      <c r="BW988" s="314"/>
      <c r="BX988" s="155"/>
    </row>
    <row r="989" spans="1:76" ht="15.75" customHeight="1">
      <c r="A989" s="25"/>
      <c r="B989" s="39"/>
      <c r="C989" s="155"/>
      <c r="D989" s="155"/>
      <c r="E989" s="341"/>
      <c r="F989" s="314"/>
      <c r="H989" s="315"/>
      <c r="I989" s="315"/>
      <c r="BA989" s="30"/>
      <c r="BB989" s="321"/>
      <c r="BC989" s="314"/>
      <c r="BD989" s="314"/>
      <c r="BE989" s="314"/>
      <c r="BF989" s="314"/>
      <c r="BG989" s="314"/>
      <c r="BH989" s="314"/>
      <c r="BI989" s="314"/>
      <c r="BJ989" s="314"/>
      <c r="BK989" s="40"/>
      <c r="BL989" s="40"/>
      <c r="BM989" s="40"/>
      <c r="BN989" s="40"/>
      <c r="BO989" s="40"/>
      <c r="BP989" s="155"/>
      <c r="BQ989" s="314"/>
      <c r="BR989" s="314"/>
      <c r="BS989" s="314"/>
      <c r="BT989" s="314"/>
      <c r="BU989" s="314"/>
      <c r="BV989" s="314"/>
      <c r="BW989" s="314"/>
      <c r="BX989" s="155"/>
    </row>
    <row r="990" spans="1:76" ht="15.75" customHeight="1">
      <c r="A990" s="25"/>
      <c r="B990" s="39"/>
      <c r="C990" s="155"/>
      <c r="D990" s="155"/>
      <c r="E990" s="40"/>
      <c r="F990" s="314"/>
      <c r="H990" s="315"/>
      <c r="I990" s="315"/>
      <c r="BA990" s="30"/>
      <c r="BB990" s="155"/>
      <c r="BC990" s="314"/>
      <c r="BD990" s="314"/>
      <c r="BE990" s="314"/>
      <c r="BF990" s="314"/>
      <c r="BG990" s="314"/>
      <c r="BH990" s="314"/>
      <c r="BI990" s="314"/>
      <c r="BJ990" s="314"/>
      <c r="BK990" s="40"/>
      <c r="BL990" s="40"/>
      <c r="BM990" s="40"/>
      <c r="BN990" s="40"/>
      <c r="BO990" s="40"/>
      <c r="BP990" s="155"/>
      <c r="BQ990" s="314"/>
      <c r="BR990" s="314"/>
      <c r="BS990" s="314"/>
      <c r="BT990" s="314"/>
      <c r="BU990" s="314"/>
      <c r="BV990" s="314"/>
      <c r="BW990" s="314"/>
      <c r="BX990" s="155"/>
    </row>
    <row r="991" spans="1:76" ht="15.75" customHeight="1">
      <c r="A991" s="25"/>
      <c r="B991" s="39"/>
      <c r="C991" s="155"/>
      <c r="D991" s="155"/>
      <c r="E991" s="40"/>
      <c r="F991" s="314"/>
      <c r="H991" s="315"/>
      <c r="I991" s="315"/>
      <c r="BA991" s="30"/>
      <c r="BB991" s="155"/>
      <c r="BC991" s="314"/>
      <c r="BD991" s="314"/>
      <c r="BE991" s="314"/>
      <c r="BF991" s="314"/>
      <c r="BG991" s="314"/>
      <c r="BH991" s="314"/>
      <c r="BI991" s="314"/>
      <c r="BJ991" s="314"/>
      <c r="BK991" s="40"/>
      <c r="BL991" s="40"/>
      <c r="BM991" s="40"/>
      <c r="BN991" s="40"/>
      <c r="BO991" s="40"/>
      <c r="BP991" s="155"/>
      <c r="BQ991" s="314"/>
      <c r="BR991" s="314"/>
      <c r="BS991" s="314"/>
      <c r="BT991" s="314"/>
      <c r="BU991" s="314"/>
      <c r="BV991" s="314"/>
      <c r="BW991" s="314"/>
      <c r="BX991" s="155"/>
    </row>
    <row r="992" spans="1:76" ht="15.75" customHeight="1">
      <c r="A992" s="25"/>
      <c r="B992" s="39"/>
      <c r="C992" s="155"/>
      <c r="D992" s="155"/>
      <c r="E992" s="40"/>
      <c r="F992" s="314"/>
      <c r="H992" s="315"/>
      <c r="I992" s="315"/>
      <c r="BA992" s="30"/>
      <c r="BB992" s="155"/>
      <c r="BC992" s="314"/>
      <c r="BD992" s="314"/>
      <c r="BE992" s="314"/>
      <c r="BF992" s="314"/>
      <c r="BG992" s="314"/>
      <c r="BH992" s="314"/>
      <c r="BI992" s="314"/>
      <c r="BJ992" s="314"/>
      <c r="BK992" s="40"/>
      <c r="BL992" s="40"/>
      <c r="BM992" s="40"/>
      <c r="BN992" s="40"/>
      <c r="BO992" s="40"/>
      <c r="BP992" s="155"/>
      <c r="BQ992" s="314"/>
      <c r="BR992" s="314"/>
      <c r="BS992" s="314"/>
      <c r="BT992" s="314"/>
      <c r="BU992" s="314"/>
      <c r="BV992" s="314"/>
      <c r="BW992" s="314"/>
      <c r="BX992" s="155"/>
    </row>
    <row r="993" spans="1:76" ht="15.75" customHeight="1">
      <c r="A993" s="25"/>
      <c r="B993" s="39"/>
      <c r="C993" s="155"/>
      <c r="D993" s="155"/>
      <c r="E993" s="40"/>
      <c r="F993" s="314"/>
      <c r="H993" s="315"/>
      <c r="I993" s="315"/>
      <c r="BA993" s="30"/>
      <c r="BB993" s="155"/>
      <c r="BC993" s="314"/>
      <c r="BD993" s="314"/>
      <c r="BE993" s="314"/>
      <c r="BF993" s="314"/>
      <c r="BG993" s="314"/>
      <c r="BH993" s="314"/>
      <c r="BI993" s="314"/>
      <c r="BJ993" s="314"/>
      <c r="BK993" s="40"/>
      <c r="BL993" s="40"/>
      <c r="BM993" s="40"/>
      <c r="BN993" s="40"/>
      <c r="BO993" s="40"/>
      <c r="BP993" s="155"/>
      <c r="BQ993" s="314"/>
      <c r="BR993" s="314"/>
      <c r="BS993" s="314"/>
      <c r="BT993" s="314"/>
      <c r="BU993" s="314"/>
      <c r="BV993" s="314"/>
      <c r="BW993" s="314"/>
      <c r="BX993" s="155"/>
    </row>
    <row r="994" spans="1:76" ht="15.75" customHeight="1">
      <c r="A994" s="25"/>
      <c r="B994" s="39"/>
      <c r="C994" s="155"/>
      <c r="D994" s="155"/>
      <c r="E994" s="40"/>
      <c r="F994" s="314"/>
      <c r="H994" s="315"/>
      <c r="I994" s="315"/>
      <c r="BA994" s="30"/>
      <c r="BB994" s="155"/>
      <c r="BC994" s="314"/>
      <c r="BD994" s="314"/>
      <c r="BE994" s="314"/>
      <c r="BF994" s="314"/>
      <c r="BG994" s="314"/>
      <c r="BH994" s="314"/>
      <c r="BI994" s="314"/>
      <c r="BJ994" s="314"/>
      <c r="BK994" s="40"/>
      <c r="BL994" s="40"/>
      <c r="BM994" s="40"/>
      <c r="BN994" s="40"/>
      <c r="BO994" s="40"/>
      <c r="BP994" s="155"/>
      <c r="BQ994" s="314"/>
      <c r="BR994" s="314"/>
      <c r="BS994" s="314"/>
      <c r="BT994" s="314"/>
      <c r="BU994" s="314"/>
      <c r="BV994" s="314"/>
      <c r="BW994" s="314"/>
      <c r="BX994" s="155"/>
    </row>
    <row r="995" spans="1:76" ht="15.75" customHeight="1">
      <c r="A995" s="25"/>
      <c r="B995" s="39"/>
      <c r="C995" s="155"/>
      <c r="D995" s="155"/>
      <c r="E995" s="40"/>
      <c r="F995" s="314"/>
      <c r="H995" s="315"/>
      <c r="I995" s="315"/>
      <c r="BA995" s="30"/>
      <c r="BB995" s="155"/>
      <c r="BC995" s="314"/>
      <c r="BD995" s="314"/>
      <c r="BE995" s="314"/>
      <c r="BF995" s="314"/>
      <c r="BG995" s="314"/>
      <c r="BH995" s="314"/>
      <c r="BI995" s="314"/>
      <c r="BJ995" s="314"/>
      <c r="BK995" s="40"/>
      <c r="BL995" s="40"/>
      <c r="BM995" s="40"/>
      <c r="BN995" s="40"/>
      <c r="BO995" s="40"/>
      <c r="BP995" s="155"/>
      <c r="BQ995" s="314"/>
      <c r="BR995" s="314"/>
      <c r="BS995" s="314"/>
      <c r="BT995" s="314"/>
      <c r="BU995" s="314"/>
      <c r="BV995" s="314"/>
      <c r="BW995" s="314"/>
      <c r="BX995" s="155"/>
    </row>
    <row r="996" spans="1:76" ht="15.75" customHeight="1">
      <c r="A996" s="25"/>
      <c r="B996" s="39"/>
      <c r="C996" s="155"/>
      <c r="D996" s="155"/>
      <c r="E996" s="40"/>
      <c r="F996" s="314"/>
      <c r="H996" s="315"/>
      <c r="I996" s="315"/>
      <c r="BA996" s="30"/>
      <c r="BB996" s="155"/>
      <c r="BC996" s="314"/>
      <c r="BD996" s="314"/>
      <c r="BE996" s="314"/>
      <c r="BF996" s="314"/>
      <c r="BG996" s="314"/>
      <c r="BH996" s="314"/>
      <c r="BI996" s="314"/>
      <c r="BJ996" s="314"/>
      <c r="BK996" s="40"/>
      <c r="BL996" s="40"/>
      <c r="BM996" s="40"/>
      <c r="BN996" s="40"/>
      <c r="BO996" s="40"/>
      <c r="BP996" s="155"/>
      <c r="BQ996" s="314"/>
      <c r="BR996" s="314"/>
      <c r="BS996" s="314"/>
      <c r="BT996" s="314"/>
      <c r="BU996" s="314"/>
      <c r="BV996" s="314"/>
      <c r="BW996" s="314"/>
      <c r="BX996" s="155"/>
    </row>
    <row r="997" spans="1:76" ht="15.75" customHeight="1">
      <c r="A997" s="25"/>
      <c r="B997" s="39"/>
      <c r="C997" s="155"/>
      <c r="D997" s="155"/>
      <c r="E997" s="341"/>
      <c r="F997" s="314"/>
      <c r="H997" s="315"/>
      <c r="I997" s="315"/>
      <c r="BA997" s="30"/>
      <c r="BB997" s="321"/>
      <c r="BC997" s="314"/>
      <c r="BD997" s="314"/>
      <c r="BE997" s="314"/>
      <c r="BF997" s="314"/>
      <c r="BG997" s="314"/>
      <c r="BH997" s="314"/>
      <c r="BI997" s="314"/>
      <c r="BJ997" s="314"/>
      <c r="BK997" s="40"/>
      <c r="BL997" s="40"/>
      <c r="BM997" s="40"/>
      <c r="BN997" s="40"/>
      <c r="BO997" s="40"/>
      <c r="BP997" s="155"/>
      <c r="BQ997" s="314"/>
      <c r="BR997" s="314"/>
      <c r="BS997" s="314"/>
      <c r="BT997" s="314"/>
      <c r="BU997" s="314"/>
      <c r="BV997" s="314"/>
      <c r="BW997" s="314"/>
      <c r="BX997" s="155"/>
    </row>
    <row r="998" spans="1:76" ht="15.75" customHeight="1">
      <c r="A998" s="25"/>
      <c r="B998" s="39"/>
      <c r="C998" s="155"/>
      <c r="D998" s="155"/>
      <c r="E998" s="40"/>
      <c r="F998" s="314"/>
      <c r="H998" s="315"/>
      <c r="I998" s="315"/>
      <c r="BA998" s="30"/>
      <c r="BB998" s="155"/>
      <c r="BC998" s="314"/>
      <c r="BD998" s="314"/>
      <c r="BE998" s="314"/>
      <c r="BF998" s="314"/>
      <c r="BG998" s="314"/>
      <c r="BH998" s="314"/>
      <c r="BI998" s="314"/>
      <c r="BJ998" s="314"/>
      <c r="BK998" s="40"/>
      <c r="BL998" s="40"/>
      <c r="BM998" s="40"/>
      <c r="BN998" s="40"/>
      <c r="BO998" s="40"/>
      <c r="BP998" s="155"/>
      <c r="BQ998" s="314"/>
      <c r="BR998" s="314"/>
      <c r="BS998" s="314"/>
      <c r="BT998" s="314"/>
      <c r="BU998" s="314"/>
      <c r="BV998" s="314"/>
      <c r="BW998" s="314"/>
      <c r="BX998" s="155"/>
    </row>
    <row r="999" spans="1:76" ht="15.75" customHeight="1">
      <c r="A999" s="25"/>
      <c r="B999" s="39"/>
      <c r="C999" s="155"/>
      <c r="D999" s="155"/>
      <c r="E999" s="40"/>
      <c r="F999" s="314"/>
      <c r="H999" s="315"/>
      <c r="I999" s="315"/>
      <c r="BA999" s="30"/>
      <c r="BB999" s="155"/>
      <c r="BC999" s="314"/>
      <c r="BD999" s="314"/>
      <c r="BE999" s="314"/>
      <c r="BF999" s="314"/>
      <c r="BG999" s="314"/>
      <c r="BH999" s="314"/>
      <c r="BI999" s="314"/>
      <c r="BJ999" s="314"/>
      <c r="BK999" s="40"/>
      <c r="BL999" s="40"/>
      <c r="BM999" s="40"/>
      <c r="BN999" s="40"/>
      <c r="BO999" s="40"/>
      <c r="BP999" s="155"/>
      <c r="BQ999" s="314"/>
      <c r="BR999" s="314"/>
      <c r="BS999" s="314"/>
      <c r="BT999" s="314"/>
      <c r="BU999" s="314"/>
      <c r="BV999" s="314"/>
      <c r="BW999" s="314"/>
      <c r="BX999" s="155"/>
    </row>
    <row r="1000" spans="1:76" ht="15.75" customHeight="1">
      <c r="A1000" s="25"/>
      <c r="B1000" s="39"/>
      <c r="C1000" s="155"/>
      <c r="D1000" s="155"/>
      <c r="E1000" s="40"/>
      <c r="F1000" s="314"/>
      <c r="H1000" s="315"/>
      <c r="I1000" s="315"/>
      <c r="BA1000" s="30"/>
      <c r="BB1000" s="155"/>
      <c r="BC1000" s="314"/>
      <c r="BD1000" s="314"/>
      <c r="BE1000" s="314"/>
      <c r="BF1000" s="314"/>
      <c r="BG1000" s="314"/>
      <c r="BH1000" s="314"/>
      <c r="BI1000" s="314"/>
      <c r="BJ1000" s="314"/>
      <c r="BK1000" s="40"/>
      <c r="BL1000" s="40"/>
      <c r="BM1000" s="40"/>
      <c r="BN1000" s="40"/>
      <c r="BO1000" s="40"/>
      <c r="BP1000" s="155"/>
      <c r="BQ1000" s="314"/>
      <c r="BR1000" s="314"/>
      <c r="BS1000" s="314"/>
      <c r="BT1000" s="314"/>
      <c r="BU1000" s="314"/>
      <c r="BV1000" s="314"/>
      <c r="BW1000" s="314"/>
      <c r="BX1000" s="155"/>
    </row>
    <row r="1001" spans="1:76" ht="15.75" customHeight="1">
      <c r="A1001" s="25"/>
      <c r="B1001" s="39"/>
      <c r="C1001" s="155"/>
      <c r="D1001" s="155"/>
      <c r="E1001" s="40"/>
      <c r="F1001" s="314"/>
      <c r="H1001" s="315"/>
      <c r="I1001" s="315"/>
      <c r="BA1001" s="30"/>
      <c r="BB1001" s="155"/>
      <c r="BC1001" s="314"/>
      <c r="BD1001" s="314"/>
      <c r="BE1001" s="314"/>
      <c r="BF1001" s="314"/>
      <c r="BG1001" s="314"/>
      <c r="BH1001" s="314"/>
      <c r="BI1001" s="314"/>
      <c r="BJ1001" s="314"/>
      <c r="BK1001" s="40"/>
      <c r="BL1001" s="40"/>
      <c r="BM1001" s="40"/>
      <c r="BN1001" s="40"/>
      <c r="BO1001" s="40"/>
      <c r="BP1001" s="155"/>
      <c r="BQ1001" s="314"/>
      <c r="BR1001" s="314"/>
      <c r="BS1001" s="314"/>
      <c r="BT1001" s="314"/>
      <c r="BU1001" s="314"/>
      <c r="BV1001" s="314"/>
      <c r="BW1001" s="314"/>
      <c r="BX1001" s="155"/>
    </row>
    <row r="1002" spans="1:76" ht="15.75" customHeight="1">
      <c r="A1002" s="25"/>
      <c r="B1002" s="39"/>
      <c r="C1002" s="155"/>
      <c r="D1002" s="155"/>
      <c r="E1002" s="40"/>
      <c r="F1002" s="314"/>
      <c r="H1002" s="315"/>
      <c r="I1002" s="315"/>
      <c r="BA1002" s="30"/>
      <c r="BB1002" s="155"/>
      <c r="BC1002" s="314"/>
      <c r="BD1002" s="314"/>
      <c r="BE1002" s="314"/>
      <c r="BF1002" s="314"/>
      <c r="BG1002" s="314"/>
      <c r="BH1002" s="314"/>
      <c r="BI1002" s="314"/>
      <c r="BJ1002" s="314"/>
      <c r="BK1002" s="40"/>
      <c r="BL1002" s="40"/>
      <c r="BM1002" s="40"/>
      <c r="BN1002" s="40"/>
      <c r="BO1002" s="40"/>
      <c r="BP1002" s="155"/>
      <c r="BQ1002" s="314"/>
      <c r="BR1002" s="314"/>
      <c r="BS1002" s="314"/>
      <c r="BT1002" s="314"/>
      <c r="BU1002" s="314"/>
      <c r="BV1002" s="314"/>
      <c r="BW1002" s="314"/>
      <c r="BX1002" s="155"/>
    </row>
    <row r="1003" spans="1:76" ht="15.75" customHeight="1">
      <c r="A1003" s="25"/>
      <c r="B1003" s="39"/>
      <c r="C1003" s="155"/>
      <c r="D1003" s="155"/>
      <c r="E1003" s="40"/>
      <c r="F1003" s="314"/>
      <c r="H1003" s="315"/>
      <c r="I1003" s="315"/>
      <c r="BA1003" s="30"/>
      <c r="BB1003" s="155"/>
      <c r="BC1003" s="314"/>
      <c r="BD1003" s="314"/>
      <c r="BE1003" s="314"/>
      <c r="BF1003" s="314"/>
      <c r="BG1003" s="314"/>
      <c r="BH1003" s="314"/>
      <c r="BI1003" s="314"/>
      <c r="BJ1003" s="314"/>
      <c r="BK1003" s="40"/>
      <c r="BL1003" s="40"/>
      <c r="BM1003" s="40"/>
      <c r="BN1003" s="40"/>
      <c r="BO1003" s="40"/>
      <c r="BP1003" s="155"/>
      <c r="BQ1003" s="314"/>
      <c r="BR1003" s="314"/>
      <c r="BS1003" s="314"/>
      <c r="BT1003" s="314"/>
      <c r="BU1003" s="314"/>
      <c r="BV1003" s="314"/>
      <c r="BW1003" s="314"/>
      <c r="BX1003" s="155"/>
    </row>
    <row r="1004" spans="1:76" ht="15.75" customHeight="1">
      <c r="A1004" s="25"/>
      <c r="B1004" s="39"/>
      <c r="C1004" s="155"/>
      <c r="D1004" s="155"/>
      <c r="E1004" s="40"/>
      <c r="F1004" s="314"/>
      <c r="H1004" s="315"/>
      <c r="I1004" s="315"/>
      <c r="BA1004" s="30"/>
      <c r="BB1004" s="155"/>
      <c r="BC1004" s="314"/>
      <c r="BD1004" s="314"/>
      <c r="BE1004" s="314"/>
      <c r="BF1004" s="314"/>
      <c r="BG1004" s="314"/>
      <c r="BH1004" s="314"/>
      <c r="BI1004" s="314"/>
      <c r="BJ1004" s="314"/>
      <c r="BK1004" s="40"/>
      <c r="BL1004" s="40"/>
      <c r="BM1004" s="40"/>
      <c r="BN1004" s="40"/>
      <c r="BO1004" s="40"/>
      <c r="BP1004" s="155"/>
      <c r="BQ1004" s="314"/>
      <c r="BR1004" s="314"/>
      <c r="BS1004" s="314"/>
      <c r="BT1004" s="314"/>
      <c r="BU1004" s="314"/>
      <c r="BV1004" s="314"/>
      <c r="BW1004" s="314"/>
      <c r="BX1004" s="155"/>
    </row>
    <row r="1005" spans="1:76" ht="15.75" customHeight="1">
      <c r="A1005" s="25"/>
      <c r="B1005" s="39"/>
      <c r="C1005" s="155"/>
      <c r="D1005" s="155"/>
      <c r="E1005" s="341"/>
      <c r="F1005" s="314"/>
      <c r="H1005" s="315"/>
      <c r="I1005" s="315"/>
      <c r="BA1005" s="30"/>
      <c r="BB1005" s="321"/>
      <c r="BC1005" s="314"/>
      <c r="BD1005" s="314"/>
      <c r="BE1005" s="314"/>
      <c r="BF1005" s="314"/>
      <c r="BG1005" s="314"/>
      <c r="BH1005" s="314"/>
      <c r="BI1005" s="314"/>
      <c r="BJ1005" s="314"/>
      <c r="BK1005" s="40"/>
      <c r="BL1005" s="40"/>
      <c r="BM1005" s="40"/>
      <c r="BN1005" s="40"/>
      <c r="BO1005" s="40"/>
      <c r="BP1005" s="155"/>
      <c r="BQ1005" s="314"/>
      <c r="BR1005" s="314"/>
      <c r="BS1005" s="314"/>
      <c r="BT1005" s="314"/>
      <c r="BU1005" s="314"/>
      <c r="BV1005" s="314"/>
      <c r="BW1005" s="314"/>
      <c r="BX1005" s="155"/>
    </row>
    <row r="1006" spans="1:76" ht="15.75" customHeight="1">
      <c r="A1006" s="25"/>
      <c r="B1006" s="39"/>
      <c r="C1006" s="155"/>
      <c r="D1006" s="155"/>
      <c r="E1006" s="40"/>
      <c r="F1006" s="314"/>
      <c r="H1006" s="315"/>
      <c r="I1006" s="315"/>
      <c r="BA1006" s="30"/>
      <c r="BB1006" s="155"/>
      <c r="BC1006" s="314"/>
      <c r="BD1006" s="314"/>
      <c r="BE1006" s="314"/>
      <c r="BF1006" s="314"/>
      <c r="BG1006" s="314"/>
      <c r="BH1006" s="314"/>
      <c r="BI1006" s="314"/>
      <c r="BJ1006" s="314"/>
      <c r="BK1006" s="40"/>
      <c r="BL1006" s="40"/>
      <c r="BM1006" s="40"/>
      <c r="BN1006" s="40"/>
      <c r="BO1006" s="40"/>
      <c r="BP1006" s="155"/>
      <c r="BQ1006" s="314"/>
      <c r="BR1006" s="314"/>
      <c r="BS1006" s="314"/>
      <c r="BT1006" s="314"/>
      <c r="BU1006" s="314"/>
      <c r="BV1006" s="314"/>
      <c r="BW1006" s="314"/>
      <c r="BX1006" s="155"/>
    </row>
    <row r="1007" spans="1:76" ht="15.75" customHeight="1">
      <c r="A1007" s="25"/>
      <c r="B1007" s="39"/>
      <c r="C1007" s="155"/>
      <c r="D1007" s="155"/>
      <c r="E1007" s="40"/>
      <c r="F1007" s="314"/>
      <c r="H1007" s="315"/>
      <c r="I1007" s="315"/>
      <c r="BA1007" s="30"/>
      <c r="BB1007" s="155"/>
      <c r="BC1007" s="314"/>
      <c r="BD1007" s="314"/>
      <c r="BE1007" s="314"/>
      <c r="BF1007" s="314"/>
      <c r="BG1007" s="314"/>
      <c r="BH1007" s="314"/>
      <c r="BI1007" s="314"/>
      <c r="BJ1007" s="314"/>
      <c r="BK1007" s="40"/>
      <c r="BL1007" s="40"/>
      <c r="BM1007" s="40"/>
      <c r="BN1007" s="40"/>
      <c r="BO1007" s="40"/>
      <c r="BP1007" s="155"/>
      <c r="BQ1007" s="314"/>
      <c r="BR1007" s="314"/>
      <c r="BS1007" s="314"/>
      <c r="BT1007" s="314"/>
      <c r="BU1007" s="314"/>
      <c r="BV1007" s="314"/>
      <c r="BW1007" s="314"/>
      <c r="BX1007" s="155"/>
    </row>
    <row r="1008" spans="1:76" ht="15.75" customHeight="1">
      <c r="A1008" s="25"/>
      <c r="B1008" s="39"/>
      <c r="C1008" s="155"/>
      <c r="D1008" s="155"/>
      <c r="E1008" s="40"/>
      <c r="F1008" s="314"/>
      <c r="H1008" s="315"/>
      <c r="I1008" s="315"/>
      <c r="BA1008" s="30"/>
      <c r="BB1008" s="155"/>
      <c r="BC1008" s="314"/>
      <c r="BD1008" s="314"/>
      <c r="BE1008" s="314"/>
      <c r="BF1008" s="314"/>
      <c r="BG1008" s="314"/>
      <c r="BH1008" s="314"/>
      <c r="BI1008" s="314"/>
      <c r="BJ1008" s="314"/>
      <c r="BK1008" s="40"/>
      <c r="BL1008" s="40"/>
      <c r="BM1008" s="40"/>
      <c r="BN1008" s="40"/>
      <c r="BO1008" s="40"/>
      <c r="BP1008" s="155"/>
      <c r="BQ1008" s="314"/>
      <c r="BR1008" s="314"/>
      <c r="BS1008" s="314"/>
      <c r="BT1008" s="314"/>
      <c r="BU1008" s="314"/>
      <c r="BV1008" s="314"/>
      <c r="BW1008" s="314"/>
      <c r="BX1008" s="155"/>
    </row>
    <row r="1009" spans="1:76" ht="15.75" customHeight="1">
      <c r="A1009" s="25"/>
      <c r="B1009" s="39"/>
      <c r="C1009" s="155"/>
      <c r="D1009" s="155"/>
      <c r="E1009" s="40"/>
      <c r="F1009" s="314"/>
      <c r="H1009" s="315"/>
      <c r="I1009" s="315"/>
      <c r="BA1009" s="30"/>
      <c r="BB1009" s="155"/>
      <c r="BC1009" s="314"/>
      <c r="BD1009" s="314"/>
      <c r="BE1009" s="314"/>
      <c r="BF1009" s="314"/>
      <c r="BG1009" s="314"/>
      <c r="BH1009" s="314"/>
      <c r="BI1009" s="314"/>
      <c r="BJ1009" s="314"/>
      <c r="BK1009" s="40"/>
      <c r="BL1009" s="40"/>
      <c r="BM1009" s="40"/>
      <c r="BN1009" s="40"/>
      <c r="BO1009" s="40"/>
      <c r="BP1009" s="155"/>
      <c r="BQ1009" s="314"/>
      <c r="BR1009" s="314"/>
      <c r="BS1009" s="314"/>
      <c r="BT1009" s="314"/>
      <c r="BU1009" s="314"/>
      <c r="BV1009" s="314"/>
      <c r="BW1009" s="314"/>
      <c r="BX1009" s="155"/>
    </row>
    <row r="1010" spans="1:76" ht="15.75" customHeight="1">
      <c r="A1010" s="25"/>
      <c r="B1010" s="39"/>
      <c r="C1010" s="155"/>
      <c r="D1010" s="155"/>
      <c r="E1010" s="40"/>
      <c r="F1010" s="314"/>
      <c r="H1010" s="315"/>
      <c r="I1010" s="315"/>
      <c r="BA1010" s="30"/>
      <c r="BB1010" s="155"/>
      <c r="BC1010" s="314"/>
      <c r="BD1010" s="314"/>
      <c r="BE1010" s="314"/>
      <c r="BF1010" s="314"/>
      <c r="BG1010" s="314"/>
      <c r="BH1010" s="314"/>
      <c r="BI1010" s="314"/>
      <c r="BJ1010" s="314"/>
      <c r="BK1010" s="40"/>
      <c r="BL1010" s="40"/>
      <c r="BM1010" s="40"/>
      <c r="BN1010" s="40"/>
      <c r="BO1010" s="40"/>
      <c r="BP1010" s="155"/>
      <c r="BQ1010" s="314"/>
      <c r="BR1010" s="314"/>
      <c r="BS1010" s="314"/>
      <c r="BT1010" s="314"/>
      <c r="BU1010" s="314"/>
      <c r="BV1010" s="314"/>
      <c r="BW1010" s="314"/>
      <c r="BX1010" s="155"/>
    </row>
    <row r="1011" spans="1:76" ht="15.75" customHeight="1">
      <c r="A1011" s="25"/>
      <c r="B1011" s="39"/>
      <c r="C1011" s="155"/>
      <c r="D1011" s="155"/>
      <c r="E1011" s="40"/>
      <c r="F1011" s="314"/>
      <c r="H1011" s="315"/>
      <c r="I1011" s="315"/>
      <c r="BA1011" s="30"/>
      <c r="BB1011" s="155"/>
      <c r="BC1011" s="314"/>
      <c r="BD1011" s="314"/>
      <c r="BE1011" s="314"/>
      <c r="BF1011" s="314"/>
      <c r="BG1011" s="314"/>
      <c r="BH1011" s="314"/>
      <c r="BI1011" s="314"/>
      <c r="BJ1011" s="314"/>
      <c r="BK1011" s="40"/>
      <c r="BL1011" s="40"/>
      <c r="BM1011" s="40"/>
      <c r="BN1011" s="40"/>
      <c r="BO1011" s="40"/>
      <c r="BP1011" s="155"/>
      <c r="BQ1011" s="314"/>
      <c r="BR1011" s="314"/>
      <c r="BS1011" s="314"/>
      <c r="BT1011" s="314"/>
      <c r="BU1011" s="314"/>
      <c r="BV1011" s="314"/>
      <c r="BW1011" s="314"/>
      <c r="BX1011" s="155"/>
    </row>
    <row r="1012" spans="1:76" ht="15.75" customHeight="1">
      <c r="A1012" s="25"/>
      <c r="B1012" s="39"/>
      <c r="C1012" s="155"/>
      <c r="D1012" s="155"/>
      <c r="E1012" s="40"/>
      <c r="F1012" s="314"/>
      <c r="H1012" s="315"/>
      <c r="I1012" s="315"/>
      <c r="BA1012" s="30"/>
      <c r="BB1012" s="155"/>
      <c r="BC1012" s="314"/>
      <c r="BD1012" s="314"/>
      <c r="BE1012" s="314"/>
      <c r="BF1012" s="314"/>
      <c r="BG1012" s="314"/>
      <c r="BH1012" s="314"/>
      <c r="BI1012" s="314"/>
      <c r="BJ1012" s="314"/>
      <c r="BK1012" s="40"/>
      <c r="BL1012" s="40"/>
      <c r="BM1012" s="40"/>
      <c r="BN1012" s="40"/>
      <c r="BO1012" s="40"/>
      <c r="BP1012" s="155"/>
      <c r="BQ1012" s="314"/>
      <c r="BR1012" s="314"/>
      <c r="BS1012" s="314"/>
      <c r="BT1012" s="314"/>
      <c r="BU1012" s="314"/>
      <c r="BV1012" s="314"/>
      <c r="BW1012" s="314"/>
      <c r="BX1012" s="155"/>
    </row>
    <row r="1013" spans="1:76" ht="15.75" customHeight="1">
      <c r="A1013" s="25"/>
      <c r="B1013" s="39"/>
      <c r="C1013" s="155"/>
      <c r="D1013" s="155"/>
      <c r="E1013" s="341"/>
      <c r="F1013" s="314"/>
      <c r="H1013" s="315"/>
      <c r="I1013" s="315"/>
      <c r="BA1013" s="30"/>
      <c r="BB1013" s="321"/>
      <c r="BC1013" s="314"/>
      <c r="BD1013" s="314"/>
      <c r="BE1013" s="314"/>
      <c r="BF1013" s="314"/>
      <c r="BG1013" s="314"/>
      <c r="BH1013" s="314"/>
      <c r="BI1013" s="314"/>
      <c r="BJ1013" s="314"/>
      <c r="BK1013" s="40"/>
      <c r="BL1013" s="40"/>
      <c r="BM1013" s="40"/>
      <c r="BN1013" s="40"/>
      <c r="BO1013" s="40"/>
      <c r="BP1013" s="155"/>
      <c r="BQ1013" s="314"/>
      <c r="BR1013" s="314"/>
      <c r="BS1013" s="314"/>
      <c r="BT1013" s="314"/>
      <c r="BU1013" s="314"/>
      <c r="BV1013" s="314"/>
      <c r="BW1013" s="314"/>
      <c r="BX1013" s="155"/>
    </row>
    <row r="1014" spans="1:76" ht="15.75" customHeight="1">
      <c r="A1014" s="25"/>
      <c r="B1014" s="39"/>
      <c r="C1014" s="155"/>
      <c r="D1014" s="155"/>
      <c r="E1014" s="40"/>
      <c r="F1014" s="314"/>
      <c r="H1014" s="315"/>
      <c r="I1014" s="315"/>
      <c r="BA1014" s="30"/>
      <c r="BB1014" s="155"/>
      <c r="BC1014" s="314"/>
      <c r="BD1014" s="314"/>
      <c r="BE1014" s="314"/>
      <c r="BF1014" s="314"/>
      <c r="BG1014" s="314"/>
      <c r="BH1014" s="314"/>
      <c r="BI1014" s="314"/>
      <c r="BJ1014" s="314"/>
      <c r="BK1014" s="40"/>
      <c r="BL1014" s="40"/>
      <c r="BM1014" s="40"/>
      <c r="BN1014" s="40"/>
      <c r="BO1014" s="40"/>
      <c r="BP1014" s="155"/>
      <c r="BQ1014" s="314"/>
      <c r="BR1014" s="314"/>
      <c r="BS1014" s="314"/>
      <c r="BT1014" s="314"/>
      <c r="BU1014" s="314"/>
      <c r="BV1014" s="314"/>
      <c r="BW1014" s="314"/>
      <c r="BX1014" s="155"/>
    </row>
    <row r="1015" spans="1:76" ht="15.75" customHeight="1">
      <c r="A1015" s="25"/>
      <c r="B1015" s="39"/>
      <c r="C1015" s="155"/>
      <c r="D1015" s="155"/>
      <c r="E1015" s="40"/>
      <c r="F1015" s="314"/>
      <c r="H1015" s="315"/>
      <c r="I1015" s="315"/>
      <c r="BA1015" s="30"/>
      <c r="BB1015" s="155"/>
      <c r="BC1015" s="314"/>
      <c r="BD1015" s="314"/>
      <c r="BE1015" s="314"/>
      <c r="BF1015" s="314"/>
      <c r="BG1015" s="314"/>
      <c r="BH1015" s="314"/>
      <c r="BI1015" s="314"/>
      <c r="BJ1015" s="314"/>
      <c r="BK1015" s="40"/>
      <c r="BL1015" s="40"/>
      <c r="BM1015" s="40"/>
      <c r="BN1015" s="40"/>
      <c r="BO1015" s="40"/>
      <c r="BP1015" s="155"/>
      <c r="BQ1015" s="314"/>
      <c r="BR1015" s="314"/>
      <c r="BS1015" s="314"/>
      <c r="BT1015" s="314"/>
      <c r="BU1015" s="314"/>
      <c r="BV1015" s="314"/>
      <c r="BW1015" s="314"/>
      <c r="BX1015" s="155"/>
    </row>
    <row r="1016" spans="1:76" ht="15.75" customHeight="1">
      <c r="A1016" s="25"/>
      <c r="B1016" s="39"/>
      <c r="C1016" s="155"/>
      <c r="D1016" s="155"/>
      <c r="E1016" s="40"/>
      <c r="F1016" s="314"/>
      <c r="H1016" s="315"/>
      <c r="I1016" s="315"/>
      <c r="BA1016" s="30"/>
      <c r="BB1016" s="155"/>
      <c r="BC1016" s="322"/>
      <c r="BD1016" s="322"/>
      <c r="BE1016" s="322"/>
      <c r="BF1016" s="322"/>
      <c r="BG1016" s="322"/>
      <c r="BH1016" s="322"/>
      <c r="BI1016" s="322"/>
      <c r="BJ1016" s="322"/>
      <c r="BK1016" s="341"/>
      <c r="BL1016" s="40"/>
      <c r="BM1016" s="40"/>
      <c r="BN1016" s="40"/>
      <c r="BO1016" s="40"/>
      <c r="BP1016" s="155"/>
      <c r="BQ1016" s="314"/>
      <c r="BR1016" s="314"/>
      <c r="BS1016" s="314"/>
      <c r="BT1016" s="314"/>
      <c r="BU1016" s="314"/>
      <c r="BV1016" s="314"/>
      <c r="BW1016" s="314"/>
      <c r="BX1016" s="155"/>
    </row>
    <row r="1017" spans="1:76" ht="15.75" customHeight="1">
      <c r="A1017" s="25"/>
      <c r="B1017" s="39"/>
      <c r="C1017" s="155"/>
      <c r="D1017" s="155"/>
      <c r="E1017" s="40"/>
      <c r="F1017" s="314"/>
      <c r="H1017" s="315"/>
      <c r="I1017" s="315"/>
      <c r="BA1017" s="30"/>
      <c r="BB1017" s="155"/>
      <c r="BC1017" s="314"/>
      <c r="BD1017" s="314"/>
      <c r="BE1017" s="314"/>
      <c r="BF1017" s="314"/>
      <c r="BG1017" s="314"/>
      <c r="BH1017" s="314"/>
      <c r="BI1017" s="314"/>
      <c r="BJ1017" s="314"/>
      <c r="BK1017" s="40"/>
      <c r="BL1017" s="40"/>
      <c r="BM1017" s="40"/>
      <c r="BN1017" s="40"/>
      <c r="BO1017" s="40"/>
      <c r="BP1017" s="155"/>
      <c r="BQ1017" s="314"/>
      <c r="BR1017" s="314"/>
      <c r="BS1017" s="314"/>
      <c r="BT1017" s="314"/>
      <c r="BU1017" s="314"/>
      <c r="BV1017" s="314"/>
      <c r="BW1017" s="314"/>
      <c r="BX1017" s="155"/>
    </row>
    <row r="1018" spans="1:76" ht="15.75" customHeight="1">
      <c r="A1018" s="25"/>
      <c r="B1018" s="39"/>
      <c r="C1018" s="155"/>
      <c r="D1018" s="155"/>
      <c r="E1018" s="40"/>
      <c r="F1018" s="314"/>
      <c r="H1018" s="315"/>
      <c r="I1018" s="315"/>
      <c r="BA1018" s="30"/>
      <c r="BB1018" s="155"/>
      <c r="BC1018" s="314"/>
      <c r="BD1018" s="314"/>
      <c r="BE1018" s="314"/>
      <c r="BF1018" s="314"/>
      <c r="BG1018" s="314"/>
      <c r="BH1018" s="314"/>
      <c r="BI1018" s="314"/>
      <c r="BJ1018" s="314"/>
      <c r="BK1018" s="40"/>
      <c r="BL1018" s="40"/>
      <c r="BM1018" s="40"/>
      <c r="BN1018" s="40"/>
      <c r="BO1018" s="40"/>
      <c r="BP1018" s="155"/>
      <c r="BQ1018" s="314"/>
      <c r="BR1018" s="314"/>
      <c r="BS1018" s="314"/>
      <c r="BT1018" s="314"/>
      <c r="BU1018" s="314"/>
      <c r="BV1018" s="314"/>
      <c r="BW1018" s="314"/>
      <c r="BX1018" s="155"/>
    </row>
    <row r="1019" spans="1:76" ht="15.75" customHeight="1">
      <c r="A1019" s="25"/>
      <c r="B1019" s="39"/>
      <c r="C1019" s="155"/>
      <c r="D1019" s="155"/>
      <c r="E1019" s="40"/>
      <c r="F1019" s="314"/>
      <c r="H1019" s="315"/>
      <c r="I1019" s="315"/>
      <c r="BA1019" s="30"/>
      <c r="BB1019" s="155"/>
      <c r="BC1019" s="314"/>
      <c r="BD1019" s="314"/>
      <c r="BE1019" s="314"/>
      <c r="BF1019" s="314"/>
      <c r="BG1019" s="314"/>
      <c r="BH1019" s="314"/>
      <c r="BI1019" s="314"/>
      <c r="BJ1019" s="314"/>
      <c r="BK1019" s="40"/>
      <c r="BL1019" s="40"/>
      <c r="BM1019" s="40"/>
      <c r="BN1019" s="40"/>
      <c r="BO1019" s="40"/>
      <c r="BP1019" s="155"/>
      <c r="BQ1019" s="314"/>
      <c r="BR1019" s="314"/>
      <c r="BS1019" s="314"/>
      <c r="BT1019" s="314"/>
      <c r="BU1019" s="314"/>
      <c r="BV1019" s="314"/>
      <c r="BW1019" s="314"/>
      <c r="BX1019" s="155"/>
    </row>
    <row r="1020" spans="1:76" ht="15.75" customHeight="1">
      <c r="A1020" s="25"/>
      <c r="B1020" s="39"/>
      <c r="C1020" s="155"/>
      <c r="D1020" s="155"/>
      <c r="E1020" s="40"/>
      <c r="F1020" s="314"/>
      <c r="H1020" s="315"/>
      <c r="I1020" s="315"/>
      <c r="BA1020" s="30"/>
      <c r="BB1020" s="155"/>
      <c r="BC1020" s="314"/>
      <c r="BD1020" s="314"/>
      <c r="BE1020" s="314"/>
      <c r="BF1020" s="314"/>
      <c r="BG1020" s="314"/>
      <c r="BH1020" s="314"/>
      <c r="BI1020" s="314"/>
      <c r="BJ1020" s="314"/>
      <c r="BK1020" s="40"/>
      <c r="BL1020" s="40"/>
      <c r="BM1020" s="40"/>
      <c r="BN1020" s="40"/>
      <c r="BO1020" s="40"/>
      <c r="BP1020" s="155"/>
      <c r="BQ1020" s="314"/>
      <c r="BR1020" s="314"/>
      <c r="BS1020" s="314"/>
      <c r="BT1020" s="314"/>
      <c r="BU1020" s="314"/>
      <c r="BV1020" s="314"/>
      <c r="BW1020" s="314"/>
      <c r="BX1020" s="155"/>
    </row>
    <row r="1021" spans="1:76" ht="15.75" customHeight="1">
      <c r="A1021" s="25"/>
      <c r="B1021" s="39"/>
      <c r="C1021" s="155"/>
      <c r="D1021" s="155"/>
      <c r="E1021" s="341"/>
      <c r="F1021" s="314"/>
      <c r="H1021" s="315"/>
      <c r="I1021" s="315"/>
      <c r="BA1021" s="30"/>
      <c r="BB1021" s="321"/>
      <c r="BC1021" s="314"/>
      <c r="BD1021" s="314"/>
      <c r="BE1021" s="314"/>
      <c r="BF1021" s="314"/>
      <c r="BG1021" s="314"/>
      <c r="BH1021" s="314"/>
      <c r="BI1021" s="314"/>
      <c r="BJ1021" s="314"/>
      <c r="BK1021" s="40"/>
      <c r="BL1021" s="40"/>
      <c r="BM1021" s="40"/>
      <c r="BN1021" s="40"/>
      <c r="BO1021" s="40"/>
      <c r="BP1021" s="155"/>
      <c r="BQ1021" s="314"/>
      <c r="BR1021" s="314"/>
      <c r="BS1021" s="314"/>
      <c r="BT1021" s="314"/>
      <c r="BU1021" s="314"/>
      <c r="BV1021" s="314"/>
      <c r="BW1021" s="314"/>
      <c r="BX1021" s="155"/>
    </row>
    <row r="1022" spans="1:76" ht="15.75" customHeight="1">
      <c r="A1022" s="25"/>
      <c r="B1022" s="39"/>
      <c r="C1022" s="155"/>
      <c r="D1022" s="155"/>
      <c r="E1022" s="40"/>
      <c r="F1022" s="314"/>
      <c r="H1022" s="315"/>
      <c r="I1022" s="315"/>
      <c r="BA1022" s="30"/>
      <c r="BB1022" s="155"/>
      <c r="BC1022" s="314"/>
      <c r="BD1022" s="314"/>
      <c r="BE1022" s="314"/>
      <c r="BF1022" s="314"/>
      <c r="BG1022" s="314"/>
      <c r="BH1022" s="314"/>
      <c r="BI1022" s="314"/>
      <c r="BJ1022" s="314"/>
      <c r="BK1022" s="40"/>
      <c r="BL1022" s="40"/>
      <c r="BM1022" s="40"/>
      <c r="BN1022" s="40"/>
      <c r="BO1022" s="40"/>
      <c r="BP1022" s="155"/>
      <c r="BQ1022" s="314"/>
      <c r="BR1022" s="314"/>
      <c r="BS1022" s="314"/>
      <c r="BT1022" s="314"/>
      <c r="BU1022" s="314"/>
      <c r="BV1022" s="314"/>
      <c r="BW1022" s="314"/>
      <c r="BX1022" s="155"/>
    </row>
    <row r="1023" spans="1:76" ht="15.75" customHeight="1">
      <c r="A1023" s="25"/>
      <c r="B1023" s="39"/>
      <c r="C1023" s="155"/>
      <c r="D1023" s="155"/>
      <c r="E1023" s="40"/>
      <c r="F1023" s="314"/>
      <c r="H1023" s="315"/>
      <c r="I1023" s="315"/>
      <c r="BA1023" s="30"/>
      <c r="BB1023" s="155"/>
      <c r="BC1023" s="314"/>
      <c r="BD1023" s="314"/>
      <c r="BE1023" s="314"/>
      <c r="BF1023" s="314"/>
      <c r="BG1023" s="314"/>
      <c r="BH1023" s="314"/>
      <c r="BI1023" s="314"/>
      <c r="BJ1023" s="314"/>
      <c r="BK1023" s="40"/>
      <c r="BL1023" s="40"/>
      <c r="BM1023" s="40"/>
      <c r="BN1023" s="40"/>
      <c r="BO1023" s="40"/>
      <c r="BP1023" s="155"/>
      <c r="BQ1023" s="314"/>
      <c r="BR1023" s="314"/>
      <c r="BS1023" s="314"/>
      <c r="BT1023" s="314"/>
      <c r="BU1023" s="314"/>
      <c r="BV1023" s="314"/>
      <c r="BW1023" s="314"/>
      <c r="BX1023" s="155"/>
    </row>
    <row r="1024" spans="1:76" ht="15.75" customHeight="1">
      <c r="A1024" s="25"/>
      <c r="B1024" s="39"/>
      <c r="C1024" s="155"/>
      <c r="D1024" s="155"/>
      <c r="E1024" s="40"/>
      <c r="F1024" s="314"/>
      <c r="H1024" s="315"/>
      <c r="I1024" s="315"/>
      <c r="BA1024" s="30"/>
      <c r="BB1024" s="155"/>
      <c r="BC1024" s="314"/>
      <c r="BD1024" s="314"/>
      <c r="BE1024" s="314"/>
      <c r="BF1024" s="314"/>
      <c r="BG1024" s="314"/>
      <c r="BH1024" s="314"/>
      <c r="BI1024" s="314"/>
      <c r="BJ1024" s="314"/>
      <c r="BK1024" s="40"/>
      <c r="BL1024" s="40"/>
      <c r="BM1024" s="40"/>
      <c r="BN1024" s="40"/>
      <c r="BO1024" s="40"/>
      <c r="BP1024" s="155"/>
      <c r="BQ1024" s="314"/>
      <c r="BR1024" s="314"/>
      <c r="BS1024" s="314"/>
      <c r="BT1024" s="314"/>
      <c r="BU1024" s="314"/>
      <c r="BV1024" s="314"/>
      <c r="BW1024" s="314"/>
      <c r="BX1024" s="155"/>
    </row>
    <row r="1025" spans="1:76" ht="15.75" customHeight="1">
      <c r="A1025" s="25"/>
      <c r="B1025" s="39"/>
      <c r="C1025" s="155"/>
      <c r="D1025" s="155"/>
      <c r="E1025" s="40"/>
      <c r="F1025" s="314"/>
      <c r="H1025" s="315"/>
      <c r="I1025" s="315"/>
      <c r="BA1025" s="30"/>
      <c r="BB1025" s="155"/>
      <c r="BC1025" s="314"/>
      <c r="BD1025" s="314"/>
      <c r="BE1025" s="314"/>
      <c r="BF1025" s="314"/>
      <c r="BG1025" s="314"/>
      <c r="BH1025" s="314"/>
      <c r="BI1025" s="314"/>
      <c r="BJ1025" s="314"/>
      <c r="BK1025" s="40"/>
      <c r="BL1025" s="40"/>
      <c r="BM1025" s="40"/>
      <c r="BN1025" s="40"/>
      <c r="BO1025" s="40"/>
      <c r="BP1025" s="155"/>
      <c r="BQ1025" s="314"/>
      <c r="BR1025" s="314"/>
      <c r="BS1025" s="314"/>
      <c r="BT1025" s="314"/>
      <c r="BU1025" s="314"/>
      <c r="BV1025" s="314"/>
      <c r="BW1025" s="314"/>
      <c r="BX1025" s="155"/>
    </row>
    <row r="1026" spans="1:76" ht="15.75" customHeight="1">
      <c r="A1026" s="25"/>
      <c r="B1026" s="39"/>
      <c r="C1026" s="155"/>
      <c r="D1026" s="155"/>
      <c r="E1026" s="40"/>
      <c r="F1026" s="314"/>
      <c r="H1026" s="315"/>
      <c r="I1026" s="315"/>
      <c r="BA1026" s="30"/>
      <c r="BB1026" s="155"/>
      <c r="BC1026" s="314"/>
      <c r="BD1026" s="314"/>
      <c r="BE1026" s="314"/>
      <c r="BF1026" s="314"/>
      <c r="BG1026" s="314"/>
      <c r="BH1026" s="314"/>
      <c r="BI1026" s="314"/>
      <c r="BJ1026" s="314"/>
      <c r="BK1026" s="40"/>
      <c r="BL1026" s="40"/>
      <c r="BM1026" s="40"/>
      <c r="BN1026" s="40"/>
      <c r="BO1026" s="40"/>
      <c r="BP1026" s="155"/>
      <c r="BQ1026" s="314"/>
      <c r="BR1026" s="314"/>
      <c r="BS1026" s="314"/>
      <c r="BT1026" s="314"/>
      <c r="BU1026" s="314"/>
      <c r="BV1026" s="314"/>
      <c r="BW1026" s="314"/>
      <c r="BX1026" s="155"/>
    </row>
    <row r="1027" spans="1:76" ht="15.75" customHeight="1">
      <c r="A1027" s="25"/>
      <c r="B1027" s="39"/>
      <c r="C1027" s="155"/>
      <c r="D1027" s="155"/>
      <c r="E1027" s="40"/>
      <c r="F1027" s="314"/>
      <c r="H1027" s="315"/>
      <c r="I1027" s="315"/>
      <c r="BA1027" s="30"/>
      <c r="BB1027" s="155"/>
      <c r="BC1027" s="314"/>
      <c r="BD1027" s="314"/>
      <c r="BE1027" s="314"/>
      <c r="BF1027" s="314"/>
      <c r="BG1027" s="314"/>
      <c r="BH1027" s="314"/>
      <c r="BI1027" s="314"/>
      <c r="BJ1027" s="314"/>
      <c r="BK1027" s="40"/>
      <c r="BL1027" s="40"/>
      <c r="BM1027" s="40"/>
      <c r="BN1027" s="40"/>
      <c r="BO1027" s="40"/>
      <c r="BP1027" s="155"/>
      <c r="BQ1027" s="314"/>
      <c r="BR1027" s="314"/>
      <c r="BS1027" s="314"/>
      <c r="BT1027" s="314"/>
      <c r="BU1027" s="314"/>
      <c r="BV1027" s="314"/>
      <c r="BW1027" s="314"/>
      <c r="BX1027" s="155"/>
    </row>
    <row r="1028" spans="1:76" ht="15.75" customHeight="1">
      <c r="A1028" s="25"/>
      <c r="B1028" s="39"/>
      <c r="C1028" s="155"/>
      <c r="D1028" s="155"/>
      <c r="E1028" s="40"/>
      <c r="F1028" s="314"/>
      <c r="H1028" s="315"/>
      <c r="I1028" s="315"/>
      <c r="BA1028" s="30"/>
      <c r="BB1028" s="155"/>
      <c r="BC1028" s="314"/>
      <c r="BD1028" s="314"/>
      <c r="BE1028" s="314"/>
      <c r="BF1028" s="314"/>
      <c r="BG1028" s="314"/>
      <c r="BH1028" s="314"/>
      <c r="BI1028" s="314"/>
      <c r="BJ1028" s="314"/>
      <c r="BK1028" s="40"/>
      <c r="BL1028" s="40"/>
      <c r="BM1028" s="40"/>
      <c r="BN1028" s="40"/>
      <c r="BO1028" s="40"/>
      <c r="BP1028" s="155"/>
      <c r="BQ1028" s="314"/>
      <c r="BR1028" s="314"/>
      <c r="BS1028" s="314"/>
      <c r="BT1028" s="314"/>
      <c r="BU1028" s="314"/>
      <c r="BV1028" s="314"/>
      <c r="BW1028" s="314"/>
      <c r="BX1028" s="155"/>
    </row>
    <row r="1029" spans="1:76" ht="15.75" customHeight="1">
      <c r="A1029" s="25"/>
      <c r="B1029" s="39"/>
      <c r="C1029" s="155"/>
      <c r="D1029" s="155"/>
      <c r="E1029" s="40"/>
      <c r="F1029" s="314"/>
      <c r="H1029" s="315"/>
      <c r="I1029" s="315"/>
      <c r="BA1029" s="30"/>
      <c r="BB1029" s="155"/>
      <c r="BC1029" s="314"/>
      <c r="BD1029" s="314"/>
      <c r="BE1029" s="314"/>
      <c r="BF1029" s="314"/>
      <c r="BG1029" s="314"/>
      <c r="BH1029" s="314"/>
      <c r="BI1029" s="314"/>
      <c r="BJ1029" s="314"/>
      <c r="BK1029" s="40"/>
      <c r="BL1029" s="40"/>
      <c r="BM1029" s="40"/>
      <c r="BN1029" s="40"/>
      <c r="BO1029" s="40"/>
      <c r="BP1029" s="155"/>
      <c r="BQ1029" s="314"/>
      <c r="BR1029" s="314"/>
      <c r="BS1029" s="314"/>
      <c r="BT1029" s="314"/>
      <c r="BU1029" s="314"/>
      <c r="BV1029" s="314"/>
      <c r="BW1029" s="314"/>
      <c r="BX1029" s="155"/>
    </row>
    <row r="1030" spans="1:76" ht="15.75" customHeight="1">
      <c r="A1030" s="25"/>
      <c r="B1030" s="39"/>
      <c r="C1030" s="155"/>
      <c r="D1030" s="155"/>
      <c r="E1030" s="40"/>
      <c r="F1030" s="314"/>
      <c r="H1030" s="315"/>
      <c r="I1030" s="315"/>
      <c r="BA1030" s="30"/>
      <c r="BB1030" s="155"/>
      <c r="BC1030" s="314"/>
      <c r="BD1030" s="314"/>
      <c r="BE1030" s="314"/>
      <c r="BF1030" s="314"/>
      <c r="BG1030" s="314"/>
      <c r="BH1030" s="314"/>
      <c r="BI1030" s="314"/>
      <c r="BJ1030" s="314"/>
      <c r="BK1030" s="40"/>
      <c r="BL1030" s="40"/>
      <c r="BM1030" s="40"/>
      <c r="BN1030" s="40"/>
      <c r="BO1030" s="40"/>
      <c r="BP1030" s="155"/>
      <c r="BQ1030" s="314"/>
      <c r="BR1030" s="314"/>
      <c r="BS1030" s="314"/>
      <c r="BT1030" s="314"/>
      <c r="BU1030" s="314"/>
      <c r="BV1030" s="314"/>
      <c r="BW1030" s="314"/>
      <c r="BX1030" s="155"/>
    </row>
    <row r="1031" spans="1:76" ht="15.75" customHeight="1">
      <c r="A1031" s="25"/>
      <c r="B1031" s="39"/>
      <c r="C1031" s="155"/>
      <c r="D1031" s="155"/>
      <c r="E1031" s="40"/>
      <c r="F1031" s="314"/>
      <c r="H1031" s="315"/>
      <c r="I1031" s="315"/>
      <c r="BA1031" s="30"/>
      <c r="BB1031" s="155"/>
      <c r="BC1031" s="314"/>
      <c r="BD1031" s="314"/>
      <c r="BE1031" s="314"/>
      <c r="BF1031" s="314"/>
      <c r="BG1031" s="314"/>
      <c r="BH1031" s="314"/>
      <c r="BI1031" s="314"/>
      <c r="BJ1031" s="314"/>
      <c r="BK1031" s="40"/>
      <c r="BL1031" s="40"/>
      <c r="BM1031" s="40"/>
      <c r="BN1031" s="40"/>
      <c r="BO1031" s="40"/>
      <c r="BP1031" s="155"/>
      <c r="BQ1031" s="314"/>
      <c r="BR1031" s="314"/>
      <c r="BS1031" s="314"/>
      <c r="BT1031" s="314"/>
      <c r="BU1031" s="314"/>
      <c r="BV1031" s="314"/>
      <c r="BW1031" s="314"/>
      <c r="BX1031" s="155"/>
    </row>
    <row r="1032" spans="1:76" ht="15.75" customHeight="1">
      <c r="A1032" s="25"/>
      <c r="B1032" s="39"/>
      <c r="C1032" s="155"/>
      <c r="D1032" s="155"/>
      <c r="E1032" s="40"/>
      <c r="F1032" s="314"/>
      <c r="H1032" s="315"/>
      <c r="I1032" s="315"/>
      <c r="BA1032" s="30"/>
      <c r="BB1032" s="155"/>
      <c r="BC1032" s="314"/>
      <c r="BD1032" s="314"/>
      <c r="BE1032" s="314"/>
      <c r="BF1032" s="314"/>
      <c r="BG1032" s="314"/>
      <c r="BH1032" s="314"/>
      <c r="BI1032" s="314"/>
      <c r="BJ1032" s="314"/>
      <c r="BK1032" s="40"/>
      <c r="BL1032" s="40"/>
      <c r="BM1032" s="40"/>
      <c r="BN1032" s="40"/>
      <c r="BO1032" s="40"/>
      <c r="BP1032" s="155"/>
      <c r="BQ1032" s="314"/>
      <c r="BR1032" s="314"/>
      <c r="BS1032" s="314"/>
      <c r="BT1032" s="314"/>
      <c r="BU1032" s="314"/>
      <c r="BV1032" s="314"/>
      <c r="BW1032" s="314"/>
      <c r="BX1032" s="155"/>
    </row>
    <row r="1033" spans="1:76" ht="15.75" customHeight="1">
      <c r="A1033" s="25"/>
      <c r="B1033" s="39"/>
      <c r="C1033" s="155"/>
      <c r="D1033" s="155"/>
      <c r="E1033" s="40"/>
      <c r="F1033" s="314"/>
      <c r="H1033" s="315"/>
      <c r="I1033" s="315"/>
      <c r="BA1033" s="30"/>
      <c r="BB1033" s="155"/>
      <c r="BC1033" s="314"/>
      <c r="BD1033" s="314"/>
      <c r="BE1033" s="314"/>
      <c r="BF1033" s="314"/>
      <c r="BG1033" s="314"/>
      <c r="BH1033" s="314"/>
      <c r="BI1033" s="314"/>
      <c r="BJ1033" s="314"/>
      <c r="BK1033" s="40"/>
      <c r="BL1033" s="40"/>
      <c r="BM1033" s="40"/>
      <c r="BN1033" s="40"/>
      <c r="BO1033" s="40"/>
      <c r="BP1033" s="155"/>
      <c r="BQ1033" s="314"/>
      <c r="BR1033" s="314"/>
      <c r="BS1033" s="314"/>
      <c r="BT1033" s="314"/>
      <c r="BU1033" s="314"/>
      <c r="BV1033" s="314"/>
      <c r="BW1033" s="314"/>
      <c r="BX1033" s="155"/>
    </row>
    <row r="1034" spans="1:76" ht="15.75" customHeight="1">
      <c r="A1034" s="25"/>
      <c r="B1034" s="39"/>
      <c r="C1034" s="155"/>
      <c r="D1034" s="155"/>
      <c r="E1034" s="40"/>
      <c r="F1034" s="314"/>
      <c r="H1034" s="315"/>
      <c r="I1034" s="315"/>
      <c r="BA1034" s="30"/>
      <c r="BB1034" s="155"/>
      <c r="BC1034" s="314"/>
      <c r="BD1034" s="314"/>
      <c r="BE1034" s="314"/>
      <c r="BF1034" s="314"/>
      <c r="BG1034" s="314"/>
      <c r="BH1034" s="314"/>
      <c r="BI1034" s="314"/>
      <c r="BJ1034" s="314"/>
      <c r="BK1034" s="40"/>
      <c r="BL1034" s="40"/>
      <c r="BM1034" s="40"/>
      <c r="BN1034" s="40"/>
      <c r="BO1034" s="40"/>
      <c r="BP1034" s="155"/>
      <c r="BQ1034" s="314"/>
      <c r="BR1034" s="314"/>
      <c r="BS1034" s="314"/>
      <c r="BT1034" s="314"/>
      <c r="BU1034" s="314"/>
      <c r="BV1034" s="314"/>
      <c r="BW1034" s="314"/>
      <c r="BX1034" s="155"/>
    </row>
    <row r="1035" spans="1:76" ht="15.75" customHeight="1">
      <c r="A1035" s="25"/>
      <c r="B1035" s="39"/>
      <c r="C1035" s="155"/>
      <c r="D1035" s="155"/>
      <c r="E1035" s="40"/>
      <c r="F1035" s="314"/>
      <c r="H1035" s="315"/>
      <c r="I1035" s="315"/>
      <c r="BA1035" s="30"/>
      <c r="BB1035" s="155"/>
      <c r="BC1035" s="314"/>
      <c r="BD1035" s="314"/>
      <c r="BE1035" s="314"/>
      <c r="BF1035" s="314"/>
      <c r="BG1035" s="314"/>
      <c r="BH1035" s="314"/>
      <c r="BI1035" s="314"/>
      <c r="BJ1035" s="314"/>
      <c r="BK1035" s="40"/>
      <c r="BL1035" s="40"/>
      <c r="BM1035" s="40"/>
      <c r="BN1035" s="40"/>
      <c r="BO1035" s="40"/>
      <c r="BP1035" s="155"/>
      <c r="BQ1035" s="314"/>
      <c r="BR1035" s="314"/>
      <c r="BS1035" s="314"/>
      <c r="BT1035" s="314"/>
      <c r="BU1035" s="314"/>
      <c r="BV1035" s="314"/>
      <c r="BW1035" s="314"/>
      <c r="BX1035" s="155"/>
    </row>
    <row r="1036" spans="1:76" ht="15.75" customHeight="1">
      <c r="A1036" s="25"/>
      <c r="B1036" s="39"/>
      <c r="C1036" s="155"/>
      <c r="D1036" s="155"/>
      <c r="E1036" s="40"/>
      <c r="F1036" s="314"/>
      <c r="H1036" s="315"/>
      <c r="I1036" s="315"/>
      <c r="BA1036" s="30"/>
      <c r="BB1036" s="155"/>
      <c r="BC1036" s="314"/>
      <c r="BD1036" s="314"/>
      <c r="BE1036" s="314"/>
      <c r="BF1036" s="314"/>
      <c r="BG1036" s="314"/>
      <c r="BH1036" s="314"/>
      <c r="BI1036" s="314"/>
      <c r="BJ1036" s="314"/>
      <c r="BK1036" s="40"/>
      <c r="BL1036" s="40"/>
      <c r="BM1036" s="40"/>
      <c r="BN1036" s="40"/>
      <c r="BO1036" s="40"/>
      <c r="BP1036" s="155"/>
      <c r="BQ1036" s="314"/>
      <c r="BR1036" s="314"/>
      <c r="BS1036" s="314"/>
      <c r="BT1036" s="314"/>
      <c r="BU1036" s="314"/>
      <c r="BV1036" s="314"/>
      <c r="BW1036" s="314"/>
      <c r="BX1036" s="155"/>
    </row>
    <row r="1037" spans="1:76" ht="15.75" customHeight="1">
      <c r="A1037" s="25"/>
      <c r="B1037" s="39"/>
      <c r="C1037" s="155"/>
      <c r="D1037" s="155"/>
      <c r="E1037" s="341"/>
      <c r="F1037" s="314"/>
      <c r="H1037" s="315"/>
      <c r="I1037" s="315"/>
      <c r="BA1037" s="30"/>
      <c r="BB1037" s="321"/>
      <c r="BC1037" s="314"/>
      <c r="BD1037" s="314"/>
      <c r="BE1037" s="314"/>
      <c r="BF1037" s="314"/>
      <c r="BG1037" s="314"/>
      <c r="BH1037" s="314"/>
      <c r="BI1037" s="314"/>
      <c r="BJ1037" s="314"/>
      <c r="BK1037" s="40"/>
      <c r="BL1037" s="40"/>
      <c r="BM1037" s="40"/>
      <c r="BN1037" s="40"/>
      <c r="BO1037" s="40"/>
      <c r="BP1037" s="155"/>
      <c r="BQ1037" s="314"/>
      <c r="BR1037" s="314"/>
      <c r="BS1037" s="314"/>
      <c r="BT1037" s="314"/>
      <c r="BU1037" s="314"/>
      <c r="BV1037" s="314"/>
      <c r="BW1037" s="314"/>
      <c r="BX1037" s="155"/>
    </row>
    <row r="1038" spans="1:76" ht="15.75" customHeight="1">
      <c r="A1038" s="25"/>
      <c r="B1038" s="39"/>
      <c r="C1038" s="155"/>
      <c r="D1038" s="155"/>
      <c r="E1038" s="40"/>
      <c r="F1038" s="314"/>
      <c r="H1038" s="315"/>
      <c r="I1038" s="315"/>
      <c r="BA1038" s="30"/>
      <c r="BB1038" s="155"/>
      <c r="BC1038" s="314"/>
      <c r="BD1038" s="314"/>
      <c r="BE1038" s="314"/>
      <c r="BF1038" s="314"/>
      <c r="BG1038" s="314"/>
      <c r="BH1038" s="314"/>
      <c r="BI1038" s="314"/>
      <c r="BJ1038" s="314"/>
      <c r="BK1038" s="40"/>
      <c r="BL1038" s="40"/>
      <c r="BM1038" s="40"/>
      <c r="BN1038" s="40"/>
      <c r="BO1038" s="40"/>
      <c r="BP1038" s="155"/>
      <c r="BQ1038" s="314"/>
      <c r="BR1038" s="314"/>
      <c r="BS1038" s="314"/>
      <c r="BT1038" s="314"/>
      <c r="BU1038" s="314"/>
      <c r="BV1038" s="314"/>
      <c r="BW1038" s="314"/>
      <c r="BX1038" s="155"/>
    </row>
    <row r="1039" spans="1:76" ht="15.75" customHeight="1">
      <c r="A1039" s="25"/>
      <c r="B1039" s="39"/>
      <c r="C1039" s="155"/>
      <c r="D1039" s="155"/>
      <c r="E1039" s="40"/>
      <c r="F1039" s="314"/>
      <c r="H1039" s="315"/>
      <c r="I1039" s="315"/>
      <c r="BA1039" s="30"/>
      <c r="BB1039" s="155"/>
      <c r="BC1039" s="314"/>
      <c r="BD1039" s="314"/>
      <c r="BE1039" s="314"/>
      <c r="BF1039" s="314"/>
      <c r="BG1039" s="314"/>
      <c r="BH1039" s="314"/>
      <c r="BI1039" s="314"/>
      <c r="BJ1039" s="314"/>
      <c r="BK1039" s="40"/>
      <c r="BL1039" s="40"/>
      <c r="BM1039" s="40"/>
      <c r="BN1039" s="40"/>
      <c r="BO1039" s="40"/>
      <c r="BP1039" s="155"/>
      <c r="BQ1039" s="314"/>
      <c r="BR1039" s="314"/>
      <c r="BS1039" s="314"/>
      <c r="BT1039" s="314"/>
      <c r="BU1039" s="314"/>
      <c r="BV1039" s="314"/>
      <c r="BW1039" s="314"/>
      <c r="BX1039" s="155"/>
    </row>
    <row r="1040" spans="1:76" ht="15.75" customHeight="1">
      <c r="A1040" s="25"/>
      <c r="B1040" s="39"/>
      <c r="C1040" s="155"/>
      <c r="D1040" s="155"/>
      <c r="E1040" s="40"/>
      <c r="F1040" s="314"/>
      <c r="H1040" s="315"/>
      <c r="I1040" s="315"/>
      <c r="BA1040" s="30"/>
      <c r="BB1040" s="155"/>
      <c r="BC1040" s="314"/>
      <c r="BD1040" s="314"/>
      <c r="BE1040" s="314"/>
      <c r="BF1040" s="314"/>
      <c r="BG1040" s="314"/>
      <c r="BH1040" s="314"/>
      <c r="BI1040" s="314"/>
      <c r="BJ1040" s="314"/>
      <c r="BK1040" s="40"/>
      <c r="BL1040" s="40"/>
      <c r="BM1040" s="40"/>
      <c r="BN1040" s="40"/>
      <c r="BO1040" s="40"/>
      <c r="BP1040" s="155"/>
      <c r="BQ1040" s="314"/>
      <c r="BR1040" s="314"/>
      <c r="BS1040" s="314"/>
      <c r="BT1040" s="314"/>
      <c r="BU1040" s="314"/>
      <c r="BV1040" s="314"/>
      <c r="BW1040" s="314"/>
      <c r="BX1040" s="155"/>
    </row>
    <row r="1041" spans="1:76" ht="15.75" customHeight="1">
      <c r="A1041" s="25"/>
      <c r="B1041" s="39"/>
      <c r="C1041" s="155"/>
      <c r="D1041" s="155"/>
      <c r="E1041" s="40"/>
      <c r="F1041" s="314"/>
      <c r="H1041" s="315"/>
      <c r="I1041" s="315"/>
      <c r="BA1041" s="30"/>
      <c r="BB1041" s="155"/>
      <c r="BC1041" s="314"/>
      <c r="BD1041" s="314"/>
      <c r="BE1041" s="314"/>
      <c r="BF1041" s="314"/>
      <c r="BG1041" s="314"/>
      <c r="BH1041" s="314"/>
      <c r="BI1041" s="314"/>
      <c r="BJ1041" s="314"/>
      <c r="BK1041" s="40"/>
      <c r="BL1041" s="40"/>
      <c r="BM1041" s="40"/>
      <c r="BN1041" s="40"/>
      <c r="BO1041" s="40"/>
      <c r="BP1041" s="155"/>
      <c r="BQ1041" s="314"/>
      <c r="BR1041" s="314"/>
      <c r="BS1041" s="314"/>
      <c r="BT1041" s="314"/>
      <c r="BU1041" s="314"/>
      <c r="BV1041" s="314"/>
      <c r="BW1041" s="314"/>
      <c r="BX1041" s="155"/>
    </row>
    <row r="1042" spans="1:76" ht="15.75" customHeight="1">
      <c r="A1042" s="25"/>
      <c r="B1042" s="39"/>
      <c r="C1042" s="155"/>
      <c r="D1042" s="155"/>
      <c r="E1042" s="40"/>
      <c r="F1042" s="314"/>
      <c r="H1042" s="315"/>
      <c r="I1042" s="315"/>
      <c r="BA1042" s="30"/>
      <c r="BB1042" s="155"/>
      <c r="BC1042" s="314"/>
      <c r="BD1042" s="314"/>
      <c r="BE1042" s="314"/>
      <c r="BF1042" s="314"/>
      <c r="BG1042" s="314"/>
      <c r="BH1042" s="314"/>
      <c r="BI1042" s="314"/>
      <c r="BJ1042" s="314"/>
      <c r="BK1042" s="40"/>
      <c r="BL1042" s="40"/>
      <c r="BM1042" s="40"/>
      <c r="BN1042" s="40"/>
      <c r="BO1042" s="40"/>
      <c r="BP1042" s="155"/>
      <c r="BQ1042" s="314"/>
      <c r="BR1042" s="314"/>
      <c r="BS1042" s="314"/>
      <c r="BT1042" s="314"/>
      <c r="BU1042" s="314"/>
      <c r="BV1042" s="314"/>
      <c r="BW1042" s="314"/>
      <c r="BX1042" s="155"/>
    </row>
    <row r="1043" spans="1:76" ht="15.75" customHeight="1">
      <c r="A1043" s="25"/>
      <c r="B1043" s="39"/>
      <c r="C1043" s="155"/>
      <c r="D1043" s="155"/>
      <c r="E1043" s="40"/>
      <c r="F1043" s="314"/>
      <c r="H1043" s="315"/>
      <c r="I1043" s="315"/>
      <c r="BA1043" s="30"/>
      <c r="BB1043" s="155"/>
      <c r="BC1043" s="314"/>
      <c r="BD1043" s="314"/>
      <c r="BE1043" s="314"/>
      <c r="BF1043" s="314"/>
      <c r="BG1043" s="314"/>
      <c r="BH1043" s="314"/>
      <c r="BI1043" s="314"/>
      <c r="BJ1043" s="314"/>
      <c r="BK1043" s="40"/>
      <c r="BL1043" s="40"/>
      <c r="BM1043" s="40"/>
      <c r="BN1043" s="40"/>
      <c r="BO1043" s="40"/>
      <c r="BP1043" s="155"/>
      <c r="BQ1043" s="314"/>
      <c r="BR1043" s="314"/>
      <c r="BS1043" s="314"/>
      <c r="BT1043" s="314"/>
      <c r="BU1043" s="314"/>
      <c r="BV1043" s="314"/>
      <c r="BW1043" s="314"/>
      <c r="BX1043" s="155"/>
    </row>
    <row r="1044" spans="1:76" ht="15.75" customHeight="1">
      <c r="A1044" s="25"/>
      <c r="B1044" s="39"/>
      <c r="C1044" s="155"/>
      <c r="D1044" s="155"/>
      <c r="E1044" s="40"/>
      <c r="F1044" s="314"/>
      <c r="H1044" s="315"/>
      <c r="I1044" s="315"/>
      <c r="BA1044" s="30"/>
      <c r="BB1044" s="155"/>
      <c r="BC1044" s="314"/>
      <c r="BD1044" s="314"/>
      <c r="BE1044" s="314"/>
      <c r="BF1044" s="314"/>
      <c r="BG1044" s="314"/>
      <c r="BH1044" s="314"/>
      <c r="BI1044" s="314"/>
      <c r="BJ1044" s="314"/>
      <c r="BK1044" s="40"/>
      <c r="BL1044" s="40"/>
      <c r="BM1044" s="40"/>
      <c r="BN1044" s="40"/>
      <c r="BO1044" s="40"/>
      <c r="BP1044" s="155"/>
      <c r="BQ1044" s="314"/>
      <c r="BR1044" s="314"/>
      <c r="BS1044" s="314"/>
      <c r="BT1044" s="314"/>
      <c r="BU1044" s="314"/>
      <c r="BV1044" s="314"/>
      <c r="BW1044" s="314"/>
      <c r="BX1044" s="155"/>
    </row>
    <row r="1045" spans="1:76" ht="15.75" customHeight="1">
      <c r="A1045" s="25"/>
      <c r="B1045" s="39"/>
      <c r="C1045" s="155"/>
      <c r="D1045" s="155"/>
      <c r="E1045" s="341"/>
      <c r="F1045" s="314"/>
      <c r="H1045" s="315"/>
      <c r="I1045" s="315"/>
      <c r="BA1045" s="30"/>
      <c r="BB1045" s="321"/>
      <c r="BC1045" s="314"/>
      <c r="BD1045" s="314"/>
      <c r="BE1045" s="314"/>
      <c r="BF1045" s="314"/>
      <c r="BG1045" s="314"/>
      <c r="BH1045" s="314"/>
      <c r="BI1045" s="314"/>
      <c r="BJ1045" s="314"/>
      <c r="BK1045" s="40"/>
      <c r="BL1045" s="40"/>
      <c r="BM1045" s="40"/>
      <c r="BN1045" s="40"/>
      <c r="BO1045" s="40"/>
      <c r="BP1045" s="155"/>
      <c r="BQ1045" s="314"/>
      <c r="BR1045" s="314"/>
      <c r="BS1045" s="314"/>
      <c r="BT1045" s="314"/>
      <c r="BU1045" s="314"/>
      <c r="BV1045" s="314"/>
      <c r="BW1045" s="314"/>
      <c r="BX1045" s="155"/>
    </row>
    <row r="1046" spans="1:76" ht="15.75" customHeight="1">
      <c r="A1046" s="25"/>
      <c r="B1046" s="39"/>
      <c r="C1046" s="155"/>
      <c r="D1046" s="155"/>
      <c r="E1046" s="40"/>
      <c r="F1046" s="314"/>
      <c r="H1046" s="315"/>
      <c r="I1046" s="315"/>
      <c r="BA1046" s="30"/>
      <c r="BB1046" s="155"/>
      <c r="BC1046" s="314"/>
      <c r="BD1046" s="314"/>
      <c r="BE1046" s="314"/>
      <c r="BF1046" s="314"/>
      <c r="BG1046" s="314"/>
      <c r="BH1046" s="314"/>
      <c r="BI1046" s="314"/>
      <c r="BJ1046" s="314"/>
      <c r="BK1046" s="40"/>
      <c r="BL1046" s="40"/>
      <c r="BM1046" s="40"/>
      <c r="BN1046" s="40"/>
      <c r="BO1046" s="40"/>
      <c r="BP1046" s="155"/>
      <c r="BQ1046" s="314"/>
      <c r="BR1046" s="314"/>
      <c r="BS1046" s="314"/>
      <c r="BT1046" s="314"/>
      <c r="BU1046" s="314"/>
      <c r="BV1046" s="314"/>
      <c r="BW1046" s="314"/>
      <c r="BX1046" s="155"/>
    </row>
    <row r="1047" spans="1:76" ht="15.75" customHeight="1">
      <c r="A1047" s="25"/>
      <c r="B1047" s="39"/>
      <c r="C1047" s="155"/>
      <c r="D1047" s="155"/>
      <c r="E1047" s="40"/>
      <c r="F1047" s="314"/>
      <c r="H1047" s="315"/>
      <c r="I1047" s="315"/>
      <c r="BA1047" s="30"/>
      <c r="BB1047" s="155"/>
      <c r="BC1047" s="314"/>
      <c r="BD1047" s="314"/>
      <c r="BE1047" s="314"/>
      <c r="BF1047" s="314"/>
      <c r="BG1047" s="314"/>
      <c r="BH1047" s="314"/>
      <c r="BI1047" s="314"/>
      <c r="BJ1047" s="314"/>
      <c r="BK1047" s="40"/>
      <c r="BL1047" s="40"/>
      <c r="BM1047" s="40"/>
      <c r="BN1047" s="40"/>
      <c r="BO1047" s="40"/>
      <c r="BP1047" s="155"/>
      <c r="BQ1047" s="314"/>
      <c r="BR1047" s="314"/>
      <c r="BS1047" s="314"/>
      <c r="BT1047" s="314"/>
      <c r="BU1047" s="314"/>
      <c r="BV1047" s="314"/>
      <c r="BW1047" s="314"/>
      <c r="BX1047" s="155"/>
    </row>
    <row r="1048" spans="1:76" ht="15.75" customHeight="1">
      <c r="A1048" s="25"/>
      <c r="B1048" s="39"/>
      <c r="C1048" s="155"/>
      <c r="D1048" s="155"/>
      <c r="E1048" s="40"/>
      <c r="F1048" s="314"/>
      <c r="H1048" s="315"/>
      <c r="I1048" s="315"/>
      <c r="BA1048" s="30"/>
      <c r="BB1048" s="155"/>
      <c r="BC1048" s="314"/>
      <c r="BD1048" s="314"/>
      <c r="BE1048" s="314"/>
      <c r="BF1048" s="314"/>
      <c r="BG1048" s="314"/>
      <c r="BH1048" s="314"/>
      <c r="BI1048" s="314"/>
      <c r="BJ1048" s="314"/>
      <c r="BK1048" s="40"/>
      <c r="BL1048" s="40"/>
      <c r="BM1048" s="40"/>
      <c r="BN1048" s="40"/>
      <c r="BO1048" s="40"/>
      <c r="BP1048" s="155"/>
      <c r="BQ1048" s="314"/>
      <c r="BR1048" s="314"/>
      <c r="BS1048" s="314"/>
      <c r="BT1048" s="314"/>
      <c r="BU1048" s="314"/>
      <c r="BV1048" s="314"/>
      <c r="BW1048" s="314"/>
      <c r="BX1048" s="155"/>
    </row>
    <row r="1049" spans="1:76" ht="15.75" customHeight="1">
      <c r="A1049" s="25"/>
      <c r="B1049" s="39"/>
      <c r="C1049" s="155"/>
      <c r="D1049" s="155"/>
      <c r="E1049" s="40"/>
      <c r="F1049" s="314"/>
      <c r="H1049" s="315"/>
      <c r="I1049" s="315"/>
      <c r="BA1049" s="30"/>
      <c r="BB1049" s="155"/>
      <c r="BC1049" s="314"/>
      <c r="BD1049" s="314"/>
      <c r="BE1049" s="314"/>
      <c r="BF1049" s="314"/>
      <c r="BG1049" s="314"/>
      <c r="BH1049" s="314"/>
      <c r="BI1049" s="314"/>
      <c r="BJ1049" s="314"/>
      <c r="BK1049" s="40"/>
      <c r="BL1049" s="40"/>
      <c r="BM1049" s="40"/>
      <c r="BN1049" s="40"/>
      <c r="BO1049" s="40"/>
      <c r="BP1049" s="155"/>
      <c r="BQ1049" s="314"/>
      <c r="BR1049" s="314"/>
      <c r="BS1049" s="314"/>
      <c r="BT1049" s="314"/>
      <c r="BU1049" s="314"/>
      <c r="BV1049" s="314"/>
      <c r="BW1049" s="314"/>
      <c r="BX1049" s="155"/>
    </row>
    <row r="1050" spans="1:76" ht="15.75" customHeight="1">
      <c r="A1050" s="25"/>
      <c r="B1050" s="39"/>
      <c r="C1050" s="155"/>
      <c r="D1050" s="155"/>
      <c r="E1050" s="40"/>
      <c r="F1050" s="314"/>
      <c r="H1050" s="315"/>
      <c r="I1050" s="315"/>
      <c r="BA1050" s="30"/>
      <c r="BB1050" s="155"/>
      <c r="BC1050" s="314"/>
      <c r="BD1050" s="314"/>
      <c r="BE1050" s="314"/>
      <c r="BF1050" s="314"/>
      <c r="BG1050" s="314"/>
      <c r="BH1050" s="314"/>
      <c r="BI1050" s="314"/>
      <c r="BJ1050" s="314"/>
      <c r="BK1050" s="40"/>
      <c r="BL1050" s="40"/>
      <c r="BM1050" s="40"/>
      <c r="BN1050" s="40"/>
      <c r="BO1050" s="40"/>
      <c r="BP1050" s="155"/>
      <c r="BQ1050" s="314"/>
      <c r="BR1050" s="314"/>
      <c r="BS1050" s="314"/>
      <c r="BT1050" s="314"/>
      <c r="BU1050" s="314"/>
      <c r="BV1050" s="314"/>
      <c r="BW1050" s="314"/>
      <c r="BX1050" s="155"/>
    </row>
    <row r="1051" spans="1:76" ht="15.75" customHeight="1">
      <c r="A1051" s="25"/>
      <c r="B1051" s="39"/>
      <c r="C1051" s="155"/>
      <c r="D1051" s="155"/>
      <c r="E1051" s="40"/>
      <c r="F1051" s="314"/>
      <c r="H1051" s="315"/>
      <c r="I1051" s="315"/>
      <c r="BA1051" s="30"/>
      <c r="BB1051" s="155"/>
      <c r="BC1051" s="314"/>
      <c r="BD1051" s="314"/>
      <c r="BE1051" s="314"/>
      <c r="BF1051" s="314"/>
      <c r="BG1051" s="314"/>
      <c r="BH1051" s="314"/>
      <c r="BI1051" s="314"/>
      <c r="BJ1051" s="314"/>
      <c r="BK1051" s="40"/>
      <c r="BL1051" s="40"/>
      <c r="BM1051" s="40"/>
      <c r="BN1051" s="40"/>
      <c r="BO1051" s="40"/>
      <c r="BP1051" s="155"/>
      <c r="BQ1051" s="314"/>
      <c r="BR1051" s="314"/>
      <c r="BS1051" s="314"/>
      <c r="BT1051" s="314"/>
      <c r="BU1051" s="314"/>
      <c r="BV1051" s="314"/>
      <c r="BW1051" s="314"/>
      <c r="BX1051" s="155"/>
    </row>
    <row r="1052" spans="1:76" ht="15.75" customHeight="1">
      <c r="A1052" s="25"/>
      <c r="B1052" s="39"/>
      <c r="C1052" s="155"/>
      <c r="D1052" s="155"/>
      <c r="E1052" s="40"/>
      <c r="F1052" s="314"/>
      <c r="H1052" s="315"/>
      <c r="I1052" s="315"/>
      <c r="BA1052" s="30"/>
      <c r="BB1052" s="155"/>
      <c r="BC1052" s="314"/>
      <c r="BD1052" s="314"/>
      <c r="BE1052" s="314"/>
      <c r="BF1052" s="314"/>
      <c r="BG1052" s="314"/>
      <c r="BH1052" s="314"/>
      <c r="BI1052" s="314"/>
      <c r="BJ1052" s="314"/>
      <c r="BK1052" s="40"/>
      <c r="BL1052" s="40"/>
      <c r="BM1052" s="40"/>
      <c r="BN1052" s="40"/>
      <c r="BO1052" s="40"/>
      <c r="BP1052" s="155"/>
      <c r="BQ1052" s="314"/>
      <c r="BR1052" s="314"/>
      <c r="BS1052" s="314"/>
      <c r="BT1052" s="314"/>
      <c r="BU1052" s="314"/>
      <c r="BV1052" s="314"/>
      <c r="BW1052" s="314"/>
      <c r="BX1052" s="155"/>
    </row>
    <row r="1053" spans="1:76" ht="15.75" customHeight="1">
      <c r="A1053" s="25"/>
      <c r="B1053" s="39"/>
      <c r="C1053" s="155"/>
      <c r="D1053" s="155"/>
      <c r="E1053" s="341"/>
      <c r="F1053" s="314"/>
      <c r="H1053" s="315"/>
      <c r="I1053" s="315"/>
      <c r="BA1053" s="30"/>
      <c r="BB1053" s="321"/>
      <c r="BC1053" s="314"/>
      <c r="BD1053" s="314"/>
      <c r="BE1053" s="314"/>
      <c r="BF1053" s="314"/>
      <c r="BG1053" s="314"/>
      <c r="BH1053" s="314"/>
      <c r="BI1053" s="314"/>
      <c r="BJ1053" s="314"/>
      <c r="BK1053" s="40"/>
      <c r="BL1053" s="40"/>
      <c r="BM1053" s="40"/>
      <c r="BN1053" s="40"/>
      <c r="BO1053" s="40"/>
      <c r="BP1053" s="155"/>
      <c r="BQ1053" s="314"/>
      <c r="BR1053" s="314"/>
      <c r="BS1053" s="314"/>
      <c r="BT1053" s="314"/>
      <c r="BU1053" s="314"/>
      <c r="BV1053" s="314"/>
      <c r="BW1053" s="314"/>
      <c r="BX1053" s="155"/>
    </row>
    <row r="1054" spans="1:76" ht="15.75" customHeight="1">
      <c r="A1054" s="25"/>
      <c r="B1054" s="39"/>
      <c r="C1054" s="155"/>
      <c r="D1054" s="155"/>
      <c r="E1054" s="40"/>
      <c r="F1054" s="314"/>
      <c r="H1054" s="315"/>
      <c r="I1054" s="315"/>
      <c r="BA1054" s="30"/>
      <c r="BB1054" s="155"/>
      <c r="BC1054" s="314"/>
      <c r="BD1054" s="314"/>
      <c r="BE1054" s="314"/>
      <c r="BF1054" s="314"/>
      <c r="BG1054" s="314"/>
      <c r="BH1054" s="314"/>
      <c r="BI1054" s="314"/>
      <c r="BJ1054" s="314"/>
      <c r="BK1054" s="40"/>
      <c r="BL1054" s="40"/>
      <c r="BM1054" s="40"/>
      <c r="BN1054" s="40"/>
      <c r="BO1054" s="40"/>
      <c r="BP1054" s="155"/>
      <c r="BQ1054" s="314"/>
      <c r="BR1054" s="314"/>
      <c r="BS1054" s="314"/>
      <c r="BT1054" s="314"/>
      <c r="BU1054" s="314"/>
      <c r="BV1054" s="314"/>
      <c r="BW1054" s="314"/>
      <c r="BX1054" s="155"/>
    </row>
    <row r="1055" spans="1:76" ht="15.75" customHeight="1">
      <c r="A1055" s="25"/>
      <c r="B1055" s="39"/>
      <c r="C1055" s="155"/>
      <c r="D1055" s="155"/>
      <c r="E1055" s="40"/>
      <c r="F1055" s="314"/>
      <c r="H1055" s="315"/>
      <c r="I1055" s="315"/>
      <c r="BA1055" s="30"/>
      <c r="BB1055" s="155"/>
      <c r="BC1055" s="314"/>
      <c r="BD1055" s="314"/>
      <c r="BE1055" s="314"/>
      <c r="BF1055" s="314"/>
      <c r="BG1055" s="314"/>
      <c r="BH1055" s="314"/>
      <c r="BI1055" s="314"/>
      <c r="BJ1055" s="314"/>
      <c r="BK1055" s="40"/>
      <c r="BL1055" s="40"/>
      <c r="BM1055" s="40"/>
      <c r="BN1055" s="40"/>
      <c r="BO1055" s="40"/>
      <c r="BP1055" s="155"/>
      <c r="BQ1055" s="314"/>
      <c r="BR1055" s="314"/>
      <c r="BS1055" s="314"/>
      <c r="BT1055" s="314"/>
      <c r="BU1055" s="314"/>
      <c r="BV1055" s="314"/>
      <c r="BW1055" s="314"/>
      <c r="BX1055" s="155"/>
    </row>
    <row r="1056" spans="1:76" ht="15.75" customHeight="1">
      <c r="A1056" s="25"/>
      <c r="B1056" s="39"/>
      <c r="C1056" s="155"/>
      <c r="D1056" s="155"/>
      <c r="E1056" s="40"/>
      <c r="F1056" s="314"/>
      <c r="H1056" s="315"/>
      <c r="I1056" s="315"/>
      <c r="BA1056" s="30"/>
      <c r="BB1056" s="155"/>
      <c r="BC1056" s="314"/>
      <c r="BD1056" s="314"/>
      <c r="BE1056" s="314"/>
      <c r="BF1056" s="314"/>
      <c r="BG1056" s="314"/>
      <c r="BH1056" s="314"/>
      <c r="BI1056" s="314"/>
      <c r="BJ1056" s="314"/>
      <c r="BK1056" s="40"/>
      <c r="BL1056" s="40"/>
      <c r="BM1056" s="40"/>
      <c r="BN1056" s="40"/>
      <c r="BO1056" s="40"/>
      <c r="BP1056" s="155"/>
      <c r="BQ1056" s="314"/>
      <c r="BR1056" s="314"/>
      <c r="BS1056" s="314"/>
      <c r="BT1056" s="314"/>
      <c r="BU1056" s="314"/>
      <c r="BV1056" s="314"/>
      <c r="BW1056" s="314"/>
      <c r="BX1056" s="155"/>
    </row>
    <row r="1057" spans="1:76" ht="15.75" customHeight="1">
      <c r="A1057" s="25"/>
      <c r="B1057" s="39"/>
      <c r="C1057" s="155"/>
      <c r="D1057" s="155"/>
      <c r="E1057" s="40"/>
      <c r="F1057" s="314"/>
      <c r="H1057" s="315"/>
      <c r="I1057" s="315"/>
      <c r="BA1057" s="30"/>
      <c r="BB1057" s="155"/>
      <c r="BC1057" s="314"/>
      <c r="BD1057" s="314"/>
      <c r="BE1057" s="314"/>
      <c r="BF1057" s="314"/>
      <c r="BG1057" s="314"/>
      <c r="BH1057" s="314"/>
      <c r="BI1057" s="314"/>
      <c r="BJ1057" s="314"/>
      <c r="BK1057" s="40"/>
      <c r="BL1057" s="40"/>
      <c r="BM1057" s="40"/>
      <c r="BN1057" s="40"/>
      <c r="BO1057" s="40"/>
      <c r="BP1057" s="155"/>
      <c r="BQ1057" s="314"/>
      <c r="BR1057" s="314"/>
      <c r="BS1057" s="314"/>
      <c r="BT1057" s="314"/>
      <c r="BU1057" s="314"/>
      <c r="BV1057" s="314"/>
      <c r="BW1057" s="314"/>
      <c r="BX1057" s="155"/>
    </row>
    <row r="1058" spans="1:76" ht="15.75" customHeight="1">
      <c r="A1058" s="25"/>
      <c r="B1058" s="39"/>
      <c r="C1058" s="155"/>
      <c r="D1058" s="155"/>
      <c r="E1058" s="40"/>
      <c r="F1058" s="314"/>
      <c r="H1058" s="315"/>
      <c r="I1058" s="315"/>
      <c r="BA1058" s="30"/>
      <c r="BB1058" s="155"/>
      <c r="BC1058" s="314"/>
      <c r="BD1058" s="314"/>
      <c r="BE1058" s="314"/>
      <c r="BF1058" s="314"/>
      <c r="BG1058" s="314"/>
      <c r="BH1058" s="314"/>
      <c r="BI1058" s="314"/>
      <c r="BJ1058" s="314"/>
      <c r="BK1058" s="40"/>
      <c r="BL1058" s="40"/>
      <c r="BM1058" s="40"/>
      <c r="BN1058" s="40"/>
      <c r="BO1058" s="40"/>
      <c r="BP1058" s="155"/>
      <c r="BQ1058" s="314"/>
      <c r="BR1058" s="314"/>
      <c r="BS1058" s="314"/>
      <c r="BT1058" s="314"/>
      <c r="BU1058" s="314"/>
      <c r="BV1058" s="314"/>
      <c r="BW1058" s="314"/>
      <c r="BX1058" s="155"/>
    </row>
    <row r="1059" spans="1:76" ht="15.75" customHeight="1">
      <c r="A1059" s="25"/>
      <c r="B1059" s="39"/>
      <c r="C1059" s="155"/>
      <c r="D1059" s="155"/>
      <c r="E1059" s="40"/>
      <c r="F1059" s="314"/>
      <c r="H1059" s="315"/>
      <c r="I1059" s="315"/>
      <c r="BA1059" s="30"/>
      <c r="BB1059" s="155"/>
      <c r="BC1059" s="314"/>
      <c r="BD1059" s="314"/>
      <c r="BE1059" s="314"/>
      <c r="BF1059" s="314"/>
      <c r="BG1059" s="314"/>
      <c r="BH1059" s="314"/>
      <c r="BI1059" s="314"/>
      <c r="BJ1059" s="314"/>
      <c r="BK1059" s="40"/>
      <c r="BL1059" s="40"/>
      <c r="BM1059" s="40"/>
      <c r="BN1059" s="40"/>
      <c r="BO1059" s="40"/>
      <c r="BP1059" s="155"/>
      <c r="BQ1059" s="314"/>
      <c r="BR1059" s="314"/>
      <c r="BS1059" s="314"/>
      <c r="BT1059" s="314"/>
      <c r="BU1059" s="314"/>
      <c r="BV1059" s="314"/>
      <c r="BW1059" s="314"/>
      <c r="BX1059" s="155"/>
    </row>
    <row r="1060" spans="1:76" ht="15.75" customHeight="1">
      <c r="A1060" s="25"/>
      <c r="B1060" s="39"/>
      <c r="C1060" s="155"/>
      <c r="D1060" s="155"/>
      <c r="E1060" s="40"/>
      <c r="F1060" s="314"/>
      <c r="H1060" s="315"/>
      <c r="I1060" s="315"/>
      <c r="BA1060" s="30"/>
      <c r="BB1060" s="155"/>
      <c r="BC1060" s="314"/>
      <c r="BD1060" s="314"/>
      <c r="BE1060" s="314"/>
      <c r="BF1060" s="314"/>
      <c r="BG1060" s="314"/>
      <c r="BH1060" s="314"/>
      <c r="BI1060" s="314"/>
      <c r="BJ1060" s="314"/>
      <c r="BK1060" s="40"/>
      <c r="BL1060" s="40"/>
      <c r="BM1060" s="40"/>
      <c r="BN1060" s="40"/>
      <c r="BO1060" s="40"/>
      <c r="BP1060" s="155"/>
      <c r="BQ1060" s="314"/>
      <c r="BR1060" s="314"/>
      <c r="BS1060" s="314"/>
      <c r="BT1060" s="314"/>
      <c r="BU1060" s="314"/>
      <c r="BV1060" s="314"/>
      <c r="BW1060" s="314"/>
      <c r="BX1060" s="155"/>
    </row>
    <row r="1061" spans="1:76" ht="15.75" customHeight="1">
      <c r="A1061" s="25"/>
      <c r="B1061" s="39"/>
      <c r="C1061" s="155"/>
      <c r="D1061" s="155"/>
      <c r="E1061" s="341"/>
      <c r="F1061" s="314"/>
      <c r="H1061" s="315"/>
      <c r="I1061" s="315"/>
      <c r="BA1061" s="30"/>
      <c r="BB1061" s="321"/>
      <c r="BC1061" s="314"/>
      <c r="BD1061" s="314"/>
      <c r="BE1061" s="314"/>
      <c r="BF1061" s="314"/>
      <c r="BG1061" s="314"/>
      <c r="BH1061" s="314"/>
      <c r="BI1061" s="314"/>
      <c r="BJ1061" s="314"/>
      <c r="BK1061" s="40"/>
      <c r="BL1061" s="40"/>
      <c r="BM1061" s="40"/>
      <c r="BN1061" s="40"/>
      <c r="BO1061" s="40"/>
      <c r="BP1061" s="155"/>
      <c r="BQ1061" s="314"/>
      <c r="BR1061" s="314"/>
      <c r="BS1061" s="314"/>
      <c r="BT1061" s="314"/>
      <c r="BU1061" s="314"/>
      <c r="BV1061" s="314"/>
      <c r="BW1061" s="314"/>
      <c r="BX1061" s="155"/>
    </row>
    <row r="1062" spans="1:76" ht="15.75" customHeight="1">
      <c r="A1062" s="25"/>
      <c r="B1062" s="39"/>
      <c r="C1062" s="155"/>
      <c r="D1062" s="155"/>
      <c r="E1062" s="40"/>
      <c r="F1062" s="314"/>
      <c r="H1062" s="315"/>
      <c r="I1062" s="315"/>
      <c r="BA1062" s="30"/>
      <c r="BB1062" s="155"/>
      <c r="BC1062" s="314"/>
      <c r="BD1062" s="314"/>
      <c r="BE1062" s="314"/>
      <c r="BF1062" s="314"/>
      <c r="BG1062" s="314"/>
      <c r="BH1062" s="314"/>
      <c r="BI1062" s="314"/>
      <c r="BJ1062" s="314"/>
      <c r="BK1062" s="40"/>
      <c r="BL1062" s="40"/>
      <c r="BM1062" s="40"/>
      <c r="BN1062" s="40"/>
      <c r="BO1062" s="40"/>
      <c r="BP1062" s="155"/>
      <c r="BQ1062" s="314"/>
      <c r="BR1062" s="314"/>
      <c r="BS1062" s="314"/>
      <c r="BT1062" s="314"/>
      <c r="BU1062" s="314"/>
      <c r="BV1062" s="314"/>
      <c r="BW1062" s="314"/>
      <c r="BX1062" s="155"/>
    </row>
    <row r="1063" spans="1:76" ht="15.75" customHeight="1">
      <c r="A1063" s="25"/>
      <c r="B1063" s="39"/>
      <c r="C1063" s="155"/>
      <c r="D1063" s="155"/>
      <c r="E1063" s="40"/>
      <c r="F1063" s="314"/>
      <c r="H1063" s="315"/>
      <c r="I1063" s="315"/>
      <c r="BA1063" s="30"/>
      <c r="BB1063" s="155"/>
      <c r="BC1063" s="314"/>
      <c r="BD1063" s="314"/>
      <c r="BE1063" s="314"/>
      <c r="BF1063" s="314"/>
      <c r="BG1063" s="314"/>
      <c r="BH1063" s="314"/>
      <c r="BI1063" s="314"/>
      <c r="BJ1063" s="314"/>
      <c r="BK1063" s="40"/>
      <c r="BL1063" s="40"/>
      <c r="BM1063" s="40"/>
      <c r="BN1063" s="40"/>
      <c r="BO1063" s="40"/>
      <c r="BP1063" s="155"/>
      <c r="BQ1063" s="314"/>
      <c r="BR1063" s="314"/>
      <c r="BS1063" s="314"/>
      <c r="BT1063" s="314"/>
      <c r="BU1063" s="314"/>
      <c r="BV1063" s="314"/>
      <c r="BW1063" s="314"/>
      <c r="BX1063" s="155"/>
    </row>
    <row r="1064" spans="1:76" ht="15.75" customHeight="1">
      <c r="A1064" s="25"/>
      <c r="B1064" s="39"/>
      <c r="C1064" s="155"/>
      <c r="D1064" s="155"/>
      <c r="E1064" s="40"/>
      <c r="F1064" s="314"/>
      <c r="H1064" s="315"/>
      <c r="I1064" s="315"/>
      <c r="BA1064" s="30"/>
      <c r="BB1064" s="155"/>
      <c r="BC1064" s="314"/>
      <c r="BD1064" s="314"/>
      <c r="BE1064" s="314"/>
      <c r="BF1064" s="314"/>
      <c r="BG1064" s="314"/>
      <c r="BH1064" s="314"/>
      <c r="BI1064" s="314"/>
      <c r="BJ1064" s="314"/>
      <c r="BK1064" s="40"/>
      <c r="BL1064" s="40"/>
      <c r="BM1064" s="40"/>
      <c r="BN1064" s="40"/>
      <c r="BO1064" s="40"/>
      <c r="BP1064" s="155"/>
      <c r="BQ1064" s="314"/>
      <c r="BR1064" s="314"/>
      <c r="BS1064" s="314"/>
      <c r="BT1064" s="314"/>
      <c r="BU1064" s="314"/>
      <c r="BV1064" s="314"/>
      <c r="BW1064" s="314"/>
      <c r="BX1064" s="155"/>
    </row>
    <row r="1065" spans="1:76" ht="15.75" customHeight="1">
      <c r="A1065" s="25"/>
      <c r="B1065" s="39"/>
      <c r="C1065" s="155"/>
      <c r="D1065" s="155"/>
      <c r="E1065" s="40"/>
      <c r="F1065" s="314"/>
      <c r="H1065" s="315"/>
      <c r="I1065" s="315"/>
      <c r="BA1065" s="30"/>
      <c r="BB1065" s="155"/>
      <c r="BC1065" s="314"/>
      <c r="BD1065" s="314"/>
      <c r="BE1065" s="314"/>
      <c r="BF1065" s="314"/>
      <c r="BG1065" s="314"/>
      <c r="BH1065" s="314"/>
      <c r="BI1065" s="314"/>
      <c r="BJ1065" s="314"/>
      <c r="BK1065" s="40"/>
      <c r="BL1065" s="40"/>
      <c r="BM1065" s="40"/>
      <c r="BN1065" s="40"/>
      <c r="BO1065" s="40"/>
      <c r="BP1065" s="155"/>
      <c r="BQ1065" s="314"/>
      <c r="BR1065" s="314"/>
      <c r="BS1065" s="314"/>
      <c r="BT1065" s="314"/>
      <c r="BU1065" s="314"/>
      <c r="BV1065" s="314"/>
      <c r="BW1065" s="314"/>
      <c r="BX1065" s="155"/>
    </row>
    <row r="1066" spans="1:76" ht="15.75" customHeight="1">
      <c r="A1066" s="25"/>
      <c r="B1066" s="39"/>
      <c r="C1066" s="155"/>
      <c r="D1066" s="155"/>
      <c r="E1066" s="40"/>
      <c r="F1066" s="314"/>
      <c r="H1066" s="315"/>
      <c r="I1066" s="315"/>
      <c r="BA1066" s="30"/>
      <c r="BB1066" s="155"/>
      <c r="BC1066" s="314"/>
      <c r="BD1066" s="314"/>
      <c r="BE1066" s="314"/>
      <c r="BF1066" s="314"/>
      <c r="BG1066" s="314"/>
      <c r="BH1066" s="314"/>
      <c r="BI1066" s="314"/>
      <c r="BJ1066" s="314"/>
      <c r="BK1066" s="40"/>
      <c r="BL1066" s="40"/>
      <c r="BM1066" s="40"/>
      <c r="BN1066" s="40"/>
      <c r="BO1066" s="40"/>
      <c r="BP1066" s="155"/>
      <c r="BQ1066" s="314"/>
      <c r="BR1066" s="314"/>
      <c r="BS1066" s="314"/>
      <c r="BT1066" s="314"/>
      <c r="BU1066" s="314"/>
      <c r="BV1066" s="314"/>
      <c r="BW1066" s="314"/>
      <c r="BX1066" s="155"/>
    </row>
    <row r="1067" spans="1:76" ht="15.75" customHeight="1">
      <c r="A1067" s="25"/>
      <c r="B1067" s="39"/>
      <c r="C1067" s="155"/>
      <c r="D1067" s="155"/>
      <c r="E1067" s="40"/>
      <c r="F1067" s="314"/>
      <c r="H1067" s="315"/>
      <c r="I1067" s="315"/>
      <c r="BA1067" s="30"/>
      <c r="BB1067" s="155"/>
      <c r="BC1067" s="314"/>
      <c r="BD1067" s="314"/>
      <c r="BE1067" s="314"/>
      <c r="BF1067" s="314"/>
      <c r="BG1067" s="314"/>
      <c r="BH1067" s="314"/>
      <c r="BI1067" s="314"/>
      <c r="BJ1067" s="314"/>
      <c r="BK1067" s="40"/>
      <c r="BL1067" s="40"/>
      <c r="BM1067" s="40"/>
      <c r="BN1067" s="40"/>
      <c r="BO1067" s="40"/>
      <c r="BP1067" s="155"/>
      <c r="BQ1067" s="314"/>
      <c r="BR1067" s="314"/>
      <c r="BS1067" s="314"/>
      <c r="BT1067" s="314"/>
      <c r="BU1067" s="314"/>
      <c r="BV1067" s="314"/>
      <c r="BW1067" s="314"/>
      <c r="BX1067" s="155"/>
    </row>
    <row r="1068" spans="1:76" ht="15.75" customHeight="1">
      <c r="A1068" s="25"/>
      <c r="B1068" s="39"/>
      <c r="C1068" s="155"/>
      <c r="D1068" s="155"/>
      <c r="E1068" s="40"/>
      <c r="F1068" s="314"/>
      <c r="H1068" s="315"/>
      <c r="I1068" s="315"/>
      <c r="BA1068" s="30"/>
      <c r="BB1068" s="155"/>
      <c r="BC1068" s="314"/>
      <c r="BD1068" s="314"/>
      <c r="BE1068" s="314"/>
      <c r="BF1068" s="314"/>
      <c r="BG1068" s="314"/>
      <c r="BH1068" s="314"/>
      <c r="BI1068" s="314"/>
      <c r="BJ1068" s="314"/>
      <c r="BK1068" s="40"/>
      <c r="BL1068" s="40"/>
      <c r="BM1068" s="40"/>
      <c r="BN1068" s="40"/>
      <c r="BO1068" s="40"/>
      <c r="BP1068" s="155"/>
      <c r="BQ1068" s="314"/>
      <c r="BR1068" s="314"/>
      <c r="BS1068" s="314"/>
      <c r="BT1068" s="314"/>
      <c r="BU1068" s="314"/>
      <c r="BV1068" s="314"/>
      <c r="BW1068" s="314"/>
      <c r="BX1068" s="155"/>
    </row>
    <row r="1069" spans="1:76" ht="15.75" customHeight="1">
      <c r="A1069" s="25"/>
      <c r="B1069" s="39"/>
      <c r="C1069" s="155"/>
      <c r="D1069" s="155"/>
      <c r="E1069" s="341"/>
      <c r="F1069" s="314"/>
      <c r="H1069" s="315"/>
      <c r="I1069" s="315"/>
      <c r="BA1069" s="30"/>
      <c r="BB1069" s="321"/>
      <c r="BC1069" s="314"/>
      <c r="BD1069" s="314"/>
      <c r="BE1069" s="314"/>
      <c r="BF1069" s="314"/>
      <c r="BG1069" s="314"/>
      <c r="BH1069" s="314"/>
      <c r="BI1069" s="314"/>
      <c r="BJ1069" s="314"/>
      <c r="BK1069" s="40"/>
      <c r="BL1069" s="40"/>
      <c r="BM1069" s="40"/>
      <c r="BN1069" s="40"/>
      <c r="BO1069" s="40"/>
      <c r="BP1069" s="155"/>
      <c r="BQ1069" s="314"/>
      <c r="BR1069" s="314"/>
      <c r="BS1069" s="314"/>
      <c r="BT1069" s="314"/>
      <c r="BU1069" s="314"/>
      <c r="BV1069" s="314"/>
      <c r="BW1069" s="314"/>
      <c r="BX1069" s="155"/>
    </row>
    <row r="1070" spans="1:76" ht="15.75" customHeight="1">
      <c r="A1070" s="25"/>
      <c r="B1070" s="39"/>
      <c r="C1070" s="155"/>
      <c r="D1070" s="155"/>
      <c r="E1070" s="40"/>
      <c r="F1070" s="314"/>
      <c r="H1070" s="315"/>
      <c r="I1070" s="315"/>
      <c r="BA1070" s="30"/>
      <c r="BB1070" s="155"/>
      <c r="BC1070" s="314"/>
      <c r="BD1070" s="314"/>
      <c r="BE1070" s="314"/>
      <c r="BF1070" s="314"/>
      <c r="BG1070" s="314"/>
      <c r="BH1070" s="314"/>
      <c r="BI1070" s="314"/>
      <c r="BJ1070" s="314"/>
      <c r="BK1070" s="40"/>
      <c r="BL1070" s="40"/>
      <c r="BM1070" s="40"/>
      <c r="BN1070" s="40"/>
      <c r="BO1070" s="40"/>
      <c r="BP1070" s="155"/>
      <c r="BQ1070" s="314"/>
      <c r="BR1070" s="314"/>
      <c r="BS1070" s="314"/>
      <c r="BT1070" s="314"/>
      <c r="BU1070" s="314"/>
      <c r="BV1070" s="314"/>
      <c r="BW1070" s="314"/>
      <c r="BX1070" s="155"/>
    </row>
    <row r="1071" spans="1:76" ht="15.75" customHeight="1">
      <c r="A1071" s="25"/>
      <c r="B1071" s="39"/>
      <c r="C1071" s="155"/>
      <c r="D1071" s="155"/>
      <c r="E1071" s="40"/>
      <c r="F1071" s="314"/>
      <c r="H1071" s="315"/>
      <c r="I1071" s="315"/>
      <c r="BA1071" s="30"/>
      <c r="BB1071" s="155"/>
      <c r="BC1071" s="314"/>
      <c r="BD1071" s="314"/>
      <c r="BE1071" s="314"/>
      <c r="BF1071" s="314"/>
      <c r="BG1071" s="314"/>
      <c r="BH1071" s="314"/>
      <c r="BI1071" s="314"/>
      <c r="BJ1071" s="314"/>
      <c r="BK1071" s="40"/>
      <c r="BL1071" s="40"/>
      <c r="BM1071" s="40"/>
      <c r="BN1071" s="40"/>
      <c r="BO1071" s="40"/>
      <c r="BP1071" s="155"/>
      <c r="BQ1071" s="314"/>
      <c r="BR1071" s="314"/>
      <c r="BS1071" s="314"/>
      <c r="BT1071" s="314"/>
      <c r="BU1071" s="314"/>
      <c r="BV1071" s="314"/>
      <c r="BW1071" s="314"/>
      <c r="BX1071" s="155"/>
    </row>
    <row r="1072" spans="1:76" ht="15.75" customHeight="1">
      <c r="A1072" s="25"/>
      <c r="B1072" s="39"/>
      <c r="C1072" s="155"/>
      <c r="D1072" s="155"/>
      <c r="E1072" s="40"/>
      <c r="F1072" s="314"/>
      <c r="H1072" s="315"/>
      <c r="I1072" s="315"/>
      <c r="BA1072" s="30"/>
      <c r="BB1072" s="155"/>
      <c r="BC1072" s="314"/>
      <c r="BD1072" s="314"/>
      <c r="BE1072" s="314"/>
      <c r="BF1072" s="314"/>
      <c r="BG1072" s="314"/>
      <c r="BH1072" s="314"/>
      <c r="BI1072" s="314"/>
      <c r="BJ1072" s="314"/>
      <c r="BK1072" s="40"/>
      <c r="BL1072" s="40"/>
      <c r="BM1072" s="40"/>
      <c r="BN1072" s="40"/>
      <c r="BO1072" s="40"/>
      <c r="BP1072" s="155"/>
      <c r="BQ1072" s="314"/>
      <c r="BR1072" s="314"/>
      <c r="BS1072" s="314"/>
      <c r="BT1072" s="314"/>
      <c r="BU1072" s="314"/>
      <c r="BV1072" s="314"/>
      <c r="BW1072" s="314"/>
      <c r="BX1072" s="155"/>
    </row>
    <row r="1073" spans="1:76" ht="15.75" customHeight="1">
      <c r="A1073" s="25"/>
      <c r="B1073" s="39"/>
      <c r="C1073" s="155"/>
      <c r="D1073" s="155"/>
      <c r="E1073" s="40"/>
      <c r="F1073" s="314"/>
      <c r="H1073" s="315"/>
      <c r="I1073" s="315"/>
      <c r="BA1073" s="30"/>
      <c r="BB1073" s="155"/>
      <c r="BC1073" s="314"/>
      <c r="BD1073" s="314"/>
      <c r="BE1073" s="314"/>
      <c r="BF1073" s="314"/>
      <c r="BG1073" s="314"/>
      <c r="BH1073" s="314"/>
      <c r="BI1073" s="314"/>
      <c r="BJ1073" s="314"/>
      <c r="BK1073" s="40"/>
      <c r="BL1073" s="40"/>
      <c r="BM1073" s="40"/>
      <c r="BN1073" s="40"/>
      <c r="BO1073" s="40"/>
      <c r="BP1073" s="155"/>
      <c r="BQ1073" s="314"/>
      <c r="BR1073" s="314"/>
      <c r="BS1073" s="314"/>
      <c r="BT1073" s="314"/>
      <c r="BU1073" s="314"/>
      <c r="BV1073" s="314"/>
      <c r="BW1073" s="314"/>
      <c r="BX1073" s="155"/>
    </row>
    <row r="1074" spans="1:76" ht="15.75" customHeight="1">
      <c r="A1074" s="25"/>
      <c r="B1074" s="39"/>
      <c r="C1074" s="155"/>
      <c r="D1074" s="155"/>
      <c r="E1074" s="40"/>
      <c r="F1074" s="314"/>
      <c r="H1074" s="315"/>
      <c r="I1074" s="315"/>
      <c r="BA1074" s="30"/>
      <c r="BB1074" s="155"/>
      <c r="BC1074" s="322"/>
      <c r="BD1074" s="322"/>
      <c r="BE1074" s="322"/>
      <c r="BF1074" s="322"/>
      <c r="BG1074" s="322"/>
      <c r="BH1074" s="322"/>
      <c r="BI1074" s="322"/>
      <c r="BJ1074" s="322"/>
      <c r="BK1074" s="341"/>
      <c r="BL1074" s="40"/>
      <c r="BM1074" s="40"/>
      <c r="BN1074" s="40"/>
      <c r="BO1074" s="40"/>
      <c r="BP1074" s="155"/>
      <c r="BQ1074" s="314"/>
      <c r="BR1074" s="314"/>
      <c r="BS1074" s="314"/>
      <c r="BT1074" s="314"/>
      <c r="BU1074" s="314"/>
      <c r="BV1074" s="314"/>
      <c r="BW1074" s="314"/>
      <c r="BX1074" s="155"/>
    </row>
    <row r="1075" spans="1:76" ht="15.75" customHeight="1">
      <c r="A1075" s="25"/>
      <c r="B1075" s="39"/>
      <c r="C1075" s="155"/>
      <c r="D1075" s="155"/>
      <c r="E1075" s="40"/>
      <c r="F1075" s="314"/>
      <c r="H1075" s="315"/>
      <c r="I1075" s="315"/>
      <c r="BA1075" s="30"/>
      <c r="BB1075" s="155"/>
      <c r="BC1075" s="314"/>
      <c r="BD1075" s="314"/>
      <c r="BE1075" s="314"/>
      <c r="BF1075" s="314"/>
      <c r="BG1075" s="314"/>
      <c r="BH1075" s="314"/>
      <c r="BI1075" s="314"/>
      <c r="BJ1075" s="314"/>
      <c r="BK1075" s="40"/>
      <c r="BL1075" s="40"/>
      <c r="BM1075" s="40"/>
      <c r="BN1075" s="40"/>
      <c r="BO1075" s="40"/>
      <c r="BP1075" s="155"/>
      <c r="BQ1075" s="314"/>
      <c r="BR1075" s="314"/>
      <c r="BS1075" s="314"/>
      <c r="BT1075" s="314"/>
      <c r="BU1075" s="314"/>
      <c r="BV1075" s="314"/>
      <c r="BW1075" s="314"/>
      <c r="BX1075" s="155"/>
    </row>
    <row r="1076" spans="1:76" ht="15.75" customHeight="1">
      <c r="A1076" s="25"/>
      <c r="B1076" s="39"/>
      <c r="C1076" s="155"/>
      <c r="D1076" s="155"/>
      <c r="E1076" s="40"/>
      <c r="F1076" s="314"/>
      <c r="H1076" s="315"/>
      <c r="I1076" s="315"/>
      <c r="BA1076" s="30"/>
      <c r="BB1076" s="155"/>
      <c r="BC1076" s="314"/>
      <c r="BD1076" s="314"/>
      <c r="BE1076" s="314"/>
      <c r="BF1076" s="314"/>
      <c r="BG1076" s="314"/>
      <c r="BH1076" s="314"/>
      <c r="BI1076" s="314"/>
      <c r="BJ1076" s="314"/>
      <c r="BK1076" s="40"/>
      <c r="BL1076" s="40"/>
      <c r="BM1076" s="40"/>
      <c r="BN1076" s="40"/>
      <c r="BO1076" s="40"/>
      <c r="BP1076" s="155"/>
      <c r="BQ1076" s="314"/>
      <c r="BR1076" s="314"/>
      <c r="BS1076" s="314"/>
      <c r="BT1076" s="314"/>
      <c r="BU1076" s="314"/>
      <c r="BV1076" s="314"/>
      <c r="BW1076" s="314"/>
      <c r="BX1076" s="155"/>
    </row>
    <row r="1077" spans="1:76" ht="15.75" customHeight="1">
      <c r="A1077" s="25"/>
      <c r="B1077" s="39"/>
      <c r="C1077" s="155"/>
      <c r="D1077" s="155"/>
      <c r="E1077" s="341"/>
      <c r="F1077" s="314"/>
      <c r="H1077" s="315"/>
      <c r="I1077" s="315"/>
      <c r="BA1077" s="30"/>
      <c r="BB1077" s="321"/>
      <c r="BC1077" s="314"/>
      <c r="BD1077" s="314"/>
      <c r="BE1077" s="314"/>
      <c r="BF1077" s="314"/>
      <c r="BG1077" s="314"/>
      <c r="BH1077" s="314"/>
      <c r="BI1077" s="314"/>
      <c r="BJ1077" s="314"/>
      <c r="BK1077" s="40"/>
      <c r="BL1077" s="40"/>
      <c r="BM1077" s="40"/>
      <c r="BN1077" s="40"/>
      <c r="BO1077" s="40"/>
      <c r="BP1077" s="155"/>
      <c r="BQ1077" s="314"/>
      <c r="BR1077" s="314"/>
      <c r="BS1077" s="314"/>
      <c r="BT1077" s="314"/>
      <c r="BU1077" s="314"/>
      <c r="BV1077" s="314"/>
      <c r="BW1077" s="314"/>
      <c r="BX1077" s="155"/>
    </row>
    <row r="1078" spans="1:76" ht="15.75" customHeight="1">
      <c r="A1078" s="25"/>
      <c r="B1078" s="39"/>
      <c r="C1078" s="155"/>
      <c r="D1078" s="155"/>
      <c r="E1078" s="40"/>
      <c r="F1078" s="314"/>
      <c r="H1078" s="315"/>
      <c r="I1078" s="315"/>
      <c r="BA1078" s="30"/>
      <c r="BB1078" s="155"/>
      <c r="BC1078" s="314"/>
      <c r="BD1078" s="314"/>
      <c r="BE1078" s="314"/>
      <c r="BF1078" s="314"/>
      <c r="BG1078" s="314"/>
      <c r="BH1078" s="314"/>
      <c r="BI1078" s="314"/>
      <c r="BJ1078" s="314"/>
      <c r="BK1078" s="40"/>
      <c r="BL1078" s="40"/>
      <c r="BM1078" s="40"/>
      <c r="BN1078" s="40"/>
      <c r="BO1078" s="40"/>
      <c r="BP1078" s="155"/>
      <c r="BQ1078" s="314"/>
      <c r="BR1078" s="314"/>
      <c r="BS1078" s="314"/>
      <c r="BT1078" s="314"/>
      <c r="BU1078" s="314"/>
      <c r="BV1078" s="314"/>
      <c r="BW1078" s="314"/>
      <c r="BX1078" s="155"/>
    </row>
    <row r="1079" spans="1:76" ht="15.75" customHeight="1">
      <c r="A1079" s="25"/>
      <c r="B1079" s="39"/>
      <c r="C1079" s="155"/>
      <c r="D1079" s="155"/>
      <c r="E1079" s="40"/>
      <c r="F1079" s="314"/>
      <c r="H1079" s="315"/>
      <c r="I1079" s="315"/>
      <c r="BA1079" s="30"/>
      <c r="BB1079" s="155"/>
      <c r="BC1079" s="314"/>
      <c r="BD1079" s="314"/>
      <c r="BE1079" s="314"/>
      <c r="BF1079" s="314"/>
      <c r="BG1079" s="314"/>
      <c r="BH1079" s="314"/>
      <c r="BI1079" s="314"/>
      <c r="BJ1079" s="314"/>
      <c r="BK1079" s="40"/>
      <c r="BL1079" s="40"/>
      <c r="BM1079" s="40"/>
      <c r="BN1079" s="40"/>
      <c r="BO1079" s="40"/>
      <c r="BP1079" s="155"/>
      <c r="BQ1079" s="314"/>
      <c r="BR1079" s="314"/>
      <c r="BS1079" s="314"/>
      <c r="BT1079" s="314"/>
      <c r="BU1079" s="314"/>
      <c r="BV1079" s="314"/>
      <c r="BW1079" s="314"/>
      <c r="BX1079" s="155"/>
    </row>
    <row r="1080" spans="1:76" ht="15.75" customHeight="1">
      <c r="A1080" s="25"/>
      <c r="B1080" s="39"/>
      <c r="C1080" s="155"/>
      <c r="D1080" s="155"/>
      <c r="E1080" s="40"/>
      <c r="F1080" s="314"/>
      <c r="H1080" s="315"/>
      <c r="I1080" s="315"/>
      <c r="BA1080" s="30"/>
      <c r="BB1080" s="155"/>
      <c r="BC1080" s="314"/>
      <c r="BD1080" s="314"/>
      <c r="BE1080" s="314"/>
      <c r="BF1080" s="314"/>
      <c r="BG1080" s="314"/>
      <c r="BH1080" s="314"/>
      <c r="BI1080" s="314"/>
      <c r="BJ1080" s="314"/>
      <c r="BK1080" s="40"/>
      <c r="BL1080" s="40"/>
      <c r="BM1080" s="40"/>
      <c r="BN1080" s="40"/>
      <c r="BO1080" s="40"/>
      <c r="BP1080" s="155"/>
      <c r="BQ1080" s="314"/>
      <c r="BR1080" s="314"/>
      <c r="BS1080" s="314"/>
      <c r="BT1080" s="314"/>
      <c r="BU1080" s="314"/>
      <c r="BV1080" s="314"/>
      <c r="BW1080" s="314"/>
      <c r="BX1080" s="155"/>
    </row>
    <row r="1081" spans="1:76" ht="15.75" customHeight="1">
      <c r="A1081" s="25"/>
      <c r="B1081" s="39"/>
      <c r="C1081" s="155"/>
      <c r="D1081" s="155"/>
      <c r="E1081" s="40"/>
      <c r="F1081" s="314"/>
      <c r="H1081" s="315"/>
      <c r="I1081" s="315"/>
      <c r="BA1081" s="30"/>
      <c r="BB1081" s="155"/>
      <c r="BC1081" s="314"/>
      <c r="BD1081" s="314"/>
      <c r="BE1081" s="314"/>
      <c r="BF1081" s="314"/>
      <c r="BG1081" s="314"/>
      <c r="BH1081" s="314"/>
      <c r="BI1081" s="314"/>
      <c r="BJ1081" s="314"/>
      <c r="BK1081" s="40"/>
      <c r="BL1081" s="40"/>
      <c r="BM1081" s="40"/>
      <c r="BN1081" s="40"/>
      <c r="BO1081" s="40"/>
      <c r="BP1081" s="155"/>
      <c r="BQ1081" s="314"/>
      <c r="BR1081" s="314"/>
      <c r="BS1081" s="314"/>
      <c r="BT1081" s="314"/>
      <c r="BU1081" s="314"/>
      <c r="BV1081" s="314"/>
      <c r="BW1081" s="314"/>
      <c r="BX1081" s="155"/>
    </row>
    <row r="1082" spans="1:76" ht="15.75" customHeight="1">
      <c r="A1082" s="25"/>
      <c r="B1082" s="39"/>
      <c r="C1082" s="155"/>
      <c r="D1082" s="155"/>
      <c r="E1082" s="40"/>
      <c r="F1082" s="314"/>
      <c r="H1082" s="315"/>
      <c r="I1082" s="315"/>
      <c r="BA1082" s="30"/>
      <c r="BB1082" s="155"/>
      <c r="BC1082" s="314"/>
      <c r="BD1082" s="314"/>
      <c r="BE1082" s="314"/>
      <c r="BF1082" s="314"/>
      <c r="BG1082" s="314"/>
      <c r="BH1082" s="314"/>
      <c r="BI1082" s="314"/>
      <c r="BJ1082" s="314"/>
      <c r="BK1082" s="40"/>
      <c r="BL1082" s="40"/>
      <c r="BM1082" s="40"/>
      <c r="BN1082" s="40"/>
      <c r="BO1082" s="40"/>
      <c r="BP1082" s="155"/>
      <c r="BQ1082" s="314"/>
      <c r="BR1082" s="314"/>
      <c r="BS1082" s="314"/>
      <c r="BT1082" s="314"/>
      <c r="BU1082" s="314"/>
      <c r="BV1082" s="314"/>
      <c r="BW1082" s="314"/>
      <c r="BX1082" s="155"/>
    </row>
    <row r="1083" spans="1:76" ht="15.75" customHeight="1">
      <c r="A1083" s="25"/>
      <c r="B1083" s="39"/>
      <c r="C1083" s="155"/>
      <c r="D1083" s="155"/>
      <c r="E1083" s="40"/>
      <c r="F1083" s="314"/>
      <c r="H1083" s="315"/>
      <c r="I1083" s="315"/>
      <c r="BA1083" s="30"/>
      <c r="BB1083" s="155"/>
      <c r="BC1083" s="314"/>
      <c r="BD1083" s="314"/>
      <c r="BE1083" s="314"/>
      <c r="BF1083" s="314"/>
      <c r="BG1083" s="314"/>
      <c r="BH1083" s="314"/>
      <c r="BI1083" s="314"/>
      <c r="BJ1083" s="314"/>
      <c r="BK1083" s="40"/>
      <c r="BL1083" s="40"/>
      <c r="BM1083" s="40"/>
      <c r="BN1083" s="40"/>
      <c r="BO1083" s="40"/>
      <c r="BP1083" s="155"/>
      <c r="BQ1083" s="314"/>
      <c r="BR1083" s="314"/>
      <c r="BS1083" s="314"/>
      <c r="BT1083" s="314"/>
      <c r="BU1083" s="314"/>
      <c r="BV1083" s="314"/>
      <c r="BW1083" s="314"/>
      <c r="BX1083" s="155"/>
    </row>
    <row r="1084" spans="1:76" ht="15.75" customHeight="1">
      <c r="A1084" s="25"/>
      <c r="B1084" s="39"/>
      <c r="C1084" s="155"/>
      <c r="D1084" s="155"/>
      <c r="E1084" s="40"/>
      <c r="F1084" s="314"/>
      <c r="H1084" s="315"/>
      <c r="I1084" s="315"/>
      <c r="BA1084" s="30"/>
      <c r="BB1084" s="155"/>
      <c r="BC1084" s="314"/>
      <c r="BD1084" s="314"/>
      <c r="BE1084" s="314"/>
      <c r="BF1084" s="314"/>
      <c r="BG1084" s="314"/>
      <c r="BH1084" s="314"/>
      <c r="BI1084" s="314"/>
      <c r="BJ1084" s="314"/>
      <c r="BK1084" s="40"/>
      <c r="BL1084" s="40"/>
      <c r="BM1084" s="40"/>
      <c r="BN1084" s="40"/>
      <c r="BO1084" s="40"/>
      <c r="BP1084" s="155"/>
      <c r="BQ1084" s="314"/>
      <c r="BR1084" s="314"/>
      <c r="BS1084" s="314"/>
      <c r="BT1084" s="314"/>
      <c r="BU1084" s="314"/>
      <c r="BV1084" s="314"/>
      <c r="BW1084" s="314"/>
      <c r="BX1084" s="155"/>
    </row>
    <row r="1085" spans="1:76" ht="15.75" customHeight="1">
      <c r="A1085" s="25"/>
      <c r="B1085" s="39"/>
      <c r="C1085" s="155"/>
      <c r="D1085" s="155"/>
      <c r="E1085" s="40"/>
      <c r="F1085" s="314"/>
      <c r="H1085" s="315"/>
      <c r="I1085" s="315"/>
      <c r="BA1085" s="30"/>
      <c r="BB1085" s="155"/>
      <c r="BC1085" s="314"/>
      <c r="BD1085" s="314"/>
      <c r="BE1085" s="314"/>
      <c r="BF1085" s="314"/>
      <c r="BG1085" s="314"/>
      <c r="BH1085" s="314"/>
      <c r="BI1085" s="314"/>
      <c r="BJ1085" s="314"/>
      <c r="BK1085" s="40"/>
      <c r="BL1085" s="40"/>
      <c r="BM1085" s="40"/>
      <c r="BN1085" s="40"/>
      <c r="BO1085" s="40"/>
      <c r="BP1085" s="155"/>
      <c r="BQ1085" s="314"/>
      <c r="BR1085" s="314"/>
      <c r="BS1085" s="314"/>
      <c r="BT1085" s="314"/>
      <c r="BU1085" s="314"/>
      <c r="BV1085" s="314"/>
      <c r="BW1085" s="314"/>
      <c r="BX1085" s="155"/>
    </row>
    <row r="1086" spans="1:76" ht="15.75" customHeight="1">
      <c r="A1086" s="25"/>
      <c r="B1086" s="39"/>
      <c r="C1086" s="155"/>
      <c r="D1086" s="155"/>
      <c r="E1086" s="341"/>
      <c r="F1086" s="314"/>
      <c r="H1086" s="315"/>
      <c r="I1086" s="315"/>
      <c r="BA1086" s="30"/>
      <c r="BB1086" s="321"/>
      <c r="BC1086" s="314"/>
      <c r="BD1086" s="314"/>
      <c r="BE1086" s="314"/>
      <c r="BF1086" s="314"/>
      <c r="BG1086" s="314"/>
      <c r="BH1086" s="314"/>
      <c r="BI1086" s="314"/>
      <c r="BJ1086" s="314"/>
      <c r="BK1086" s="40"/>
      <c r="BL1086" s="40"/>
      <c r="BM1086" s="40"/>
      <c r="BN1086" s="40"/>
      <c r="BO1086" s="40"/>
      <c r="BP1086" s="155"/>
      <c r="BQ1086" s="314"/>
      <c r="BR1086" s="314"/>
      <c r="BS1086" s="314"/>
      <c r="BT1086" s="314"/>
      <c r="BU1086" s="314"/>
      <c r="BV1086" s="314"/>
      <c r="BW1086" s="314"/>
      <c r="BX1086" s="155"/>
    </row>
    <row r="1087" spans="1:76" ht="15.75" customHeight="1">
      <c r="A1087" s="25"/>
      <c r="B1087" s="39"/>
      <c r="C1087" s="155"/>
      <c r="D1087" s="155"/>
      <c r="E1087" s="40"/>
      <c r="F1087" s="314"/>
      <c r="H1087" s="315"/>
      <c r="I1087" s="315"/>
      <c r="BA1087" s="30"/>
      <c r="BB1087" s="155"/>
      <c r="BC1087" s="314"/>
      <c r="BD1087" s="314"/>
      <c r="BE1087" s="314"/>
      <c r="BF1087" s="314"/>
      <c r="BG1087" s="314"/>
      <c r="BH1087" s="314"/>
      <c r="BI1087" s="314"/>
      <c r="BJ1087" s="314"/>
      <c r="BK1087" s="40"/>
      <c r="BL1087" s="40"/>
      <c r="BM1087" s="40"/>
      <c r="BN1087" s="40"/>
      <c r="BO1087" s="40"/>
      <c r="BP1087" s="155"/>
      <c r="BQ1087" s="314"/>
      <c r="BR1087" s="314"/>
      <c r="BS1087" s="314"/>
      <c r="BT1087" s="314"/>
      <c r="BU1087" s="314"/>
      <c r="BV1087" s="314"/>
      <c r="BW1087" s="314"/>
      <c r="BX1087" s="155"/>
    </row>
    <row r="1088" spans="1:76" ht="15.75" customHeight="1">
      <c r="A1088" s="25"/>
      <c r="B1088" s="39"/>
      <c r="C1088" s="155"/>
      <c r="D1088" s="155"/>
      <c r="E1088" s="40"/>
      <c r="F1088" s="314"/>
      <c r="H1088" s="315"/>
      <c r="I1088" s="315"/>
      <c r="BA1088" s="30"/>
      <c r="BB1088" s="155"/>
      <c r="BC1088" s="314"/>
      <c r="BD1088" s="314"/>
      <c r="BE1088" s="314"/>
      <c r="BF1088" s="314"/>
      <c r="BG1088" s="314"/>
      <c r="BH1088" s="314"/>
      <c r="BI1088" s="314"/>
      <c r="BJ1088" s="314"/>
      <c r="BK1088" s="40"/>
      <c r="BL1088" s="40"/>
      <c r="BM1088" s="40"/>
      <c r="BN1088" s="40"/>
      <c r="BO1088" s="40"/>
      <c r="BP1088" s="155"/>
      <c r="BQ1088" s="314"/>
      <c r="BR1088" s="314"/>
      <c r="BS1088" s="314"/>
      <c r="BT1088" s="314"/>
      <c r="BU1088" s="314"/>
      <c r="BV1088" s="314"/>
      <c r="BW1088" s="314"/>
      <c r="BX1088" s="155"/>
    </row>
    <row r="1089" spans="1:76" ht="15.75" customHeight="1">
      <c r="A1089" s="25"/>
      <c r="B1089" s="39"/>
      <c r="C1089" s="155"/>
      <c r="D1089" s="155"/>
      <c r="E1089" s="40"/>
      <c r="F1089" s="314"/>
      <c r="H1089" s="315"/>
      <c r="I1089" s="315"/>
      <c r="BA1089" s="30"/>
      <c r="BB1089" s="155"/>
      <c r="BC1089" s="314"/>
      <c r="BD1089" s="314"/>
      <c r="BE1089" s="314"/>
      <c r="BF1089" s="314"/>
      <c r="BG1089" s="314"/>
      <c r="BH1089" s="314"/>
      <c r="BI1089" s="314"/>
      <c r="BJ1089" s="314"/>
      <c r="BK1089" s="40"/>
      <c r="BL1089" s="40"/>
      <c r="BM1089" s="40"/>
      <c r="BN1089" s="40"/>
      <c r="BO1089" s="40"/>
      <c r="BP1089" s="155"/>
      <c r="BQ1089" s="314"/>
      <c r="BR1089" s="314"/>
      <c r="BS1089" s="314"/>
      <c r="BT1089" s="314"/>
      <c r="BU1089" s="314"/>
      <c r="BV1089" s="314"/>
      <c r="BW1089" s="314"/>
      <c r="BX1089" s="155"/>
    </row>
    <row r="1090" spans="1:76" ht="15.75" customHeight="1">
      <c r="A1090" s="25"/>
      <c r="B1090" s="39"/>
      <c r="C1090" s="155"/>
      <c r="D1090" s="155"/>
      <c r="E1090" s="40"/>
      <c r="F1090" s="314"/>
      <c r="H1090" s="315"/>
      <c r="I1090" s="315"/>
      <c r="BA1090" s="30"/>
      <c r="BB1090" s="155"/>
      <c r="BC1090" s="314"/>
      <c r="BD1090" s="314"/>
      <c r="BE1090" s="314"/>
      <c r="BF1090" s="314"/>
      <c r="BG1090" s="314"/>
      <c r="BH1090" s="314"/>
      <c r="BI1090" s="314"/>
      <c r="BJ1090" s="314"/>
      <c r="BK1090" s="40"/>
      <c r="BL1090" s="40"/>
      <c r="BM1090" s="40"/>
      <c r="BN1090" s="40"/>
      <c r="BO1090" s="40"/>
      <c r="BP1090" s="155"/>
      <c r="BQ1090" s="314"/>
      <c r="BR1090" s="314"/>
      <c r="BS1090" s="314"/>
      <c r="BT1090" s="314"/>
      <c r="BU1090" s="314"/>
      <c r="BV1090" s="314"/>
      <c r="BW1090" s="314"/>
      <c r="BX1090" s="155"/>
    </row>
    <row r="1091" spans="1:76" ht="15.75" customHeight="1">
      <c r="A1091" s="25"/>
      <c r="B1091" s="39"/>
      <c r="C1091" s="155"/>
      <c r="D1091" s="155"/>
      <c r="E1091" s="40"/>
      <c r="F1091" s="314"/>
      <c r="H1091" s="315"/>
      <c r="I1091" s="315"/>
      <c r="BA1091" s="30"/>
      <c r="BB1091" s="155"/>
      <c r="BC1091" s="314"/>
      <c r="BD1091" s="314"/>
      <c r="BE1091" s="314"/>
      <c r="BF1091" s="314"/>
      <c r="BG1091" s="314"/>
      <c r="BH1091" s="314"/>
      <c r="BI1091" s="314"/>
      <c r="BJ1091" s="314"/>
      <c r="BK1091" s="40"/>
      <c r="BL1091" s="40"/>
      <c r="BM1091" s="40"/>
      <c r="BN1091" s="40"/>
      <c r="BO1091" s="40"/>
      <c r="BP1091" s="155"/>
      <c r="BQ1091" s="314"/>
      <c r="BR1091" s="314"/>
      <c r="BS1091" s="314"/>
      <c r="BT1091" s="314"/>
      <c r="BU1091" s="314"/>
      <c r="BV1091" s="314"/>
      <c r="BW1091" s="314"/>
      <c r="BX1091" s="155"/>
    </row>
    <row r="1092" spans="1:76" ht="15.75" customHeight="1">
      <c r="A1092" s="25"/>
      <c r="B1092" s="39"/>
      <c r="C1092" s="155"/>
      <c r="D1092" s="155"/>
      <c r="E1092" s="40"/>
      <c r="F1092" s="314"/>
      <c r="H1092" s="315"/>
      <c r="I1092" s="315"/>
      <c r="BA1092" s="30"/>
      <c r="BB1092" s="155"/>
      <c r="BC1092" s="314"/>
      <c r="BD1092" s="314"/>
      <c r="BE1092" s="314"/>
      <c r="BF1092" s="314"/>
      <c r="BG1092" s="314"/>
      <c r="BH1092" s="314"/>
      <c r="BI1092" s="314"/>
      <c r="BJ1092" s="314"/>
      <c r="BK1092" s="40"/>
      <c r="BL1092" s="40"/>
      <c r="BM1092" s="40"/>
      <c r="BN1092" s="40"/>
      <c r="BO1092" s="40"/>
      <c r="BP1092" s="155"/>
      <c r="BQ1092" s="314"/>
      <c r="BR1092" s="314"/>
      <c r="BS1092" s="314"/>
      <c r="BT1092" s="314"/>
      <c r="BU1092" s="314"/>
      <c r="BV1092" s="314"/>
      <c r="BW1092" s="314"/>
      <c r="BX1092" s="155"/>
    </row>
    <row r="1093" spans="1:76" ht="15.75" customHeight="1">
      <c r="A1093" s="25"/>
      <c r="B1093" s="39"/>
      <c r="C1093" s="155"/>
      <c r="D1093" s="155"/>
      <c r="E1093" s="40"/>
      <c r="F1093" s="314"/>
      <c r="H1093" s="315"/>
      <c r="I1093" s="315"/>
      <c r="BA1093" s="30"/>
      <c r="BB1093" s="155"/>
      <c r="BC1093" s="314"/>
      <c r="BD1093" s="314"/>
      <c r="BE1093" s="314"/>
      <c r="BF1093" s="314"/>
      <c r="BG1093" s="314"/>
      <c r="BH1093" s="314"/>
      <c r="BI1093" s="314"/>
      <c r="BJ1093" s="314"/>
      <c r="BK1093" s="40"/>
      <c r="BL1093" s="40"/>
      <c r="BM1093" s="40"/>
      <c r="BN1093" s="40"/>
      <c r="BO1093" s="40"/>
      <c r="BP1093" s="155"/>
      <c r="BQ1093" s="314"/>
      <c r="BR1093" s="314"/>
      <c r="BS1093" s="314"/>
      <c r="BT1093" s="314"/>
      <c r="BU1093" s="314"/>
      <c r="BV1093" s="314"/>
      <c r="BW1093" s="314"/>
      <c r="BX1093" s="155"/>
    </row>
    <row r="1094" spans="1:76" ht="15.75" customHeight="1">
      <c r="A1094" s="25"/>
      <c r="B1094" s="39"/>
      <c r="C1094" s="155"/>
      <c r="D1094" s="155"/>
      <c r="E1094" s="341"/>
      <c r="F1094" s="314"/>
      <c r="H1094" s="315"/>
      <c r="I1094" s="315"/>
      <c r="BA1094" s="30"/>
      <c r="BB1094" s="321"/>
      <c r="BC1094" s="314"/>
      <c r="BD1094" s="314"/>
      <c r="BE1094" s="314"/>
      <c r="BF1094" s="314"/>
      <c r="BG1094" s="314"/>
      <c r="BH1094" s="314"/>
      <c r="BI1094" s="314"/>
      <c r="BJ1094" s="314"/>
      <c r="BK1094" s="40"/>
      <c r="BL1094" s="40"/>
      <c r="BM1094" s="40"/>
      <c r="BN1094" s="40"/>
      <c r="BO1094" s="40"/>
      <c r="BP1094" s="155"/>
      <c r="BQ1094" s="314"/>
      <c r="BR1094" s="314"/>
      <c r="BS1094" s="314"/>
      <c r="BT1094" s="314"/>
      <c r="BU1094" s="314"/>
      <c r="BV1094" s="314"/>
      <c r="BW1094" s="314"/>
      <c r="BX1094" s="155"/>
    </row>
    <row r="1095" spans="1:76" ht="15.75" customHeight="1">
      <c r="A1095" s="25"/>
      <c r="B1095" s="39"/>
      <c r="C1095" s="155"/>
      <c r="D1095" s="155"/>
      <c r="E1095" s="40"/>
      <c r="F1095" s="314"/>
      <c r="H1095" s="315"/>
      <c r="I1095" s="315"/>
      <c r="BA1095" s="30"/>
      <c r="BB1095" s="155"/>
      <c r="BC1095" s="314"/>
      <c r="BD1095" s="314"/>
      <c r="BE1095" s="314"/>
      <c r="BF1095" s="314"/>
      <c r="BG1095" s="314"/>
      <c r="BH1095" s="314"/>
      <c r="BI1095" s="314"/>
      <c r="BJ1095" s="314"/>
      <c r="BK1095" s="40"/>
      <c r="BL1095" s="40"/>
      <c r="BM1095" s="40"/>
      <c r="BN1095" s="40"/>
      <c r="BO1095" s="40"/>
      <c r="BP1095" s="155"/>
      <c r="BQ1095" s="314"/>
      <c r="BR1095" s="314"/>
      <c r="BS1095" s="314"/>
      <c r="BT1095" s="314"/>
      <c r="BU1095" s="314"/>
      <c r="BV1095" s="314"/>
      <c r="BW1095" s="314"/>
      <c r="BX1095" s="155"/>
    </row>
    <row r="1096" spans="1:76" ht="15.75" customHeight="1">
      <c r="A1096" s="25"/>
      <c r="B1096" s="39"/>
      <c r="C1096" s="155"/>
      <c r="D1096" s="155"/>
      <c r="E1096" s="40"/>
      <c r="F1096" s="314"/>
      <c r="H1096" s="315"/>
      <c r="I1096" s="315"/>
      <c r="BA1096" s="30"/>
      <c r="BB1096" s="155"/>
      <c r="BC1096" s="314"/>
      <c r="BD1096" s="314"/>
      <c r="BE1096" s="314"/>
      <c r="BF1096" s="314"/>
      <c r="BG1096" s="314"/>
      <c r="BH1096" s="314"/>
      <c r="BI1096" s="314"/>
      <c r="BJ1096" s="314"/>
      <c r="BK1096" s="40"/>
      <c r="BL1096" s="40"/>
      <c r="BM1096" s="40"/>
      <c r="BN1096" s="40"/>
      <c r="BO1096" s="40"/>
      <c r="BP1096" s="155"/>
      <c r="BQ1096" s="314"/>
      <c r="BR1096" s="314"/>
      <c r="BS1096" s="314"/>
      <c r="BT1096" s="314"/>
      <c r="BU1096" s="314"/>
      <c r="BV1096" s="314"/>
      <c r="BW1096" s="314"/>
      <c r="BX1096" s="155"/>
    </row>
    <row r="1097" spans="1:76" ht="15.75" customHeight="1">
      <c r="A1097" s="25"/>
      <c r="B1097" s="39"/>
      <c r="C1097" s="155"/>
      <c r="D1097" s="155"/>
      <c r="E1097" s="40"/>
      <c r="F1097" s="314"/>
      <c r="H1097" s="315"/>
      <c r="I1097" s="315"/>
      <c r="BA1097" s="30"/>
      <c r="BB1097" s="155"/>
      <c r="BC1097" s="314"/>
      <c r="BD1097" s="314"/>
      <c r="BE1097" s="314"/>
      <c r="BF1097" s="314"/>
      <c r="BG1097" s="314"/>
      <c r="BH1097" s="314"/>
      <c r="BI1097" s="314"/>
      <c r="BJ1097" s="314"/>
      <c r="BK1097" s="40"/>
      <c r="BL1097" s="40"/>
      <c r="BM1097" s="40"/>
      <c r="BN1097" s="40"/>
      <c r="BO1097" s="40"/>
      <c r="BP1097" s="155"/>
      <c r="BQ1097" s="314"/>
      <c r="BR1097" s="314"/>
      <c r="BS1097" s="314"/>
      <c r="BT1097" s="314"/>
      <c r="BU1097" s="314"/>
      <c r="BV1097" s="314"/>
      <c r="BW1097" s="314"/>
      <c r="BX1097" s="155"/>
    </row>
    <row r="1098" spans="1:76" ht="15.75" customHeight="1">
      <c r="A1098" s="25"/>
      <c r="B1098" s="39"/>
      <c r="C1098" s="155"/>
      <c r="D1098" s="155"/>
      <c r="E1098" s="40"/>
      <c r="F1098" s="314"/>
      <c r="H1098" s="315"/>
      <c r="I1098" s="315"/>
      <c r="BA1098" s="30"/>
      <c r="BB1098" s="155"/>
      <c r="BC1098" s="314"/>
      <c r="BD1098" s="314"/>
      <c r="BE1098" s="314"/>
      <c r="BF1098" s="314"/>
      <c r="BG1098" s="314"/>
      <c r="BH1098" s="314"/>
      <c r="BI1098" s="314"/>
      <c r="BJ1098" s="314"/>
      <c r="BK1098" s="40"/>
      <c r="BL1098" s="40"/>
      <c r="BM1098" s="40"/>
      <c r="BN1098" s="40"/>
      <c r="BO1098" s="40"/>
      <c r="BP1098" s="155"/>
      <c r="BQ1098" s="314"/>
      <c r="BR1098" s="314"/>
      <c r="BS1098" s="314"/>
      <c r="BT1098" s="314"/>
      <c r="BU1098" s="314"/>
      <c r="BV1098" s="314"/>
      <c r="BW1098" s="314"/>
      <c r="BX1098" s="155"/>
    </row>
    <row r="1099" spans="1:76" ht="15.75" customHeight="1">
      <c r="A1099" s="25"/>
      <c r="B1099" s="39"/>
      <c r="C1099" s="155"/>
      <c r="D1099" s="155"/>
      <c r="E1099" s="40"/>
      <c r="F1099" s="314"/>
      <c r="H1099" s="315"/>
      <c r="I1099" s="315"/>
      <c r="BA1099" s="30"/>
      <c r="BB1099" s="155"/>
      <c r="BC1099" s="314"/>
      <c r="BD1099" s="314"/>
      <c r="BE1099" s="314"/>
      <c r="BF1099" s="314"/>
      <c r="BG1099" s="314"/>
      <c r="BH1099" s="314"/>
      <c r="BI1099" s="314"/>
      <c r="BJ1099" s="314"/>
      <c r="BK1099" s="40"/>
      <c r="BL1099" s="40"/>
      <c r="BM1099" s="40"/>
      <c r="BN1099" s="40"/>
      <c r="BO1099" s="40"/>
      <c r="BP1099" s="155"/>
      <c r="BQ1099" s="314"/>
      <c r="BR1099" s="314"/>
      <c r="BS1099" s="314"/>
      <c r="BT1099" s="314"/>
      <c r="BU1099" s="314"/>
      <c r="BV1099" s="314"/>
      <c r="BW1099" s="314"/>
      <c r="BX1099" s="155"/>
    </row>
    <row r="1100" spans="1:76" ht="15.75" customHeight="1">
      <c r="A1100" s="25"/>
      <c r="B1100" s="39"/>
      <c r="C1100" s="155"/>
      <c r="D1100" s="155"/>
      <c r="E1100" s="40"/>
      <c r="F1100" s="314"/>
      <c r="H1100" s="315"/>
      <c r="I1100" s="315"/>
      <c r="BA1100" s="30"/>
      <c r="BB1100" s="155"/>
      <c r="BC1100" s="314"/>
      <c r="BD1100" s="314"/>
      <c r="BE1100" s="314"/>
      <c r="BF1100" s="314"/>
      <c r="BG1100" s="314"/>
      <c r="BH1100" s="314"/>
      <c r="BI1100" s="314"/>
      <c r="BJ1100" s="314"/>
      <c r="BK1100" s="40"/>
      <c r="BL1100" s="40"/>
      <c r="BM1100" s="40"/>
      <c r="BN1100" s="40"/>
      <c r="BO1100" s="40"/>
      <c r="BP1100" s="155"/>
      <c r="BQ1100" s="314"/>
      <c r="BR1100" s="314"/>
      <c r="BS1100" s="314"/>
      <c r="BT1100" s="314"/>
      <c r="BU1100" s="314"/>
      <c r="BV1100" s="314"/>
      <c r="BW1100" s="314"/>
      <c r="BX1100" s="155"/>
    </row>
    <row r="1101" spans="1:76" ht="15.75" customHeight="1">
      <c r="A1101" s="25"/>
      <c r="B1101" s="39"/>
      <c r="C1101" s="155"/>
      <c r="D1101" s="155"/>
      <c r="E1101" s="40"/>
      <c r="F1101" s="314"/>
      <c r="H1101" s="315"/>
      <c r="I1101" s="315"/>
      <c r="BA1101" s="30"/>
      <c r="BB1101" s="155"/>
      <c r="BC1101" s="314"/>
      <c r="BD1101" s="314"/>
      <c r="BE1101" s="314"/>
      <c r="BF1101" s="314"/>
      <c r="BG1101" s="314"/>
      <c r="BH1101" s="314"/>
      <c r="BI1101" s="314"/>
      <c r="BJ1101" s="314"/>
      <c r="BK1101" s="40"/>
      <c r="BL1101" s="40"/>
      <c r="BM1101" s="40"/>
      <c r="BN1101" s="40"/>
      <c r="BO1101" s="40"/>
      <c r="BP1101" s="155"/>
      <c r="BQ1101" s="314"/>
      <c r="BR1101" s="314"/>
      <c r="BS1101" s="314"/>
      <c r="BT1101" s="314"/>
      <c r="BU1101" s="314"/>
      <c r="BV1101" s="314"/>
      <c r="BW1101" s="314"/>
      <c r="BX1101" s="155"/>
    </row>
    <row r="1102" spans="1:76" ht="15.75" customHeight="1">
      <c r="A1102" s="25"/>
      <c r="B1102" s="39"/>
      <c r="C1102" s="155"/>
      <c r="D1102" s="155"/>
      <c r="E1102" s="341"/>
      <c r="F1102" s="314"/>
      <c r="H1102" s="315"/>
      <c r="I1102" s="315"/>
      <c r="BA1102" s="30"/>
      <c r="BB1102" s="321"/>
      <c r="BC1102" s="314"/>
      <c r="BD1102" s="314"/>
      <c r="BE1102" s="314"/>
      <c r="BF1102" s="314"/>
      <c r="BG1102" s="314"/>
      <c r="BH1102" s="314"/>
      <c r="BI1102" s="314"/>
      <c r="BJ1102" s="314"/>
      <c r="BK1102" s="40"/>
      <c r="BL1102" s="40"/>
      <c r="BM1102" s="40"/>
      <c r="BN1102" s="40"/>
      <c r="BO1102" s="40"/>
      <c r="BP1102" s="155"/>
      <c r="BQ1102" s="314"/>
      <c r="BR1102" s="314"/>
      <c r="BS1102" s="314"/>
      <c r="BT1102" s="314"/>
      <c r="BU1102" s="314"/>
      <c r="BV1102" s="314"/>
      <c r="BW1102" s="314"/>
      <c r="BX1102" s="155"/>
    </row>
    <row r="1103" spans="1:76" ht="15.75" customHeight="1">
      <c r="A1103" s="25"/>
      <c r="B1103" s="39"/>
      <c r="C1103" s="155"/>
      <c r="D1103" s="155"/>
      <c r="E1103" s="40"/>
      <c r="F1103" s="314"/>
      <c r="H1103" s="315"/>
      <c r="I1103" s="315"/>
      <c r="BA1103" s="30"/>
      <c r="BB1103" s="155"/>
      <c r="BC1103" s="314"/>
      <c r="BD1103" s="314"/>
      <c r="BE1103" s="314"/>
      <c r="BF1103" s="314"/>
      <c r="BG1103" s="314"/>
      <c r="BH1103" s="314"/>
      <c r="BI1103" s="314"/>
      <c r="BJ1103" s="314"/>
      <c r="BK1103" s="40"/>
      <c r="BL1103" s="40"/>
      <c r="BM1103" s="40"/>
      <c r="BN1103" s="40"/>
      <c r="BO1103" s="40"/>
      <c r="BP1103" s="155"/>
      <c r="BQ1103" s="314"/>
      <c r="BR1103" s="314"/>
      <c r="BS1103" s="314"/>
      <c r="BT1103" s="314"/>
      <c r="BU1103" s="314"/>
      <c r="BV1103" s="314"/>
      <c r="BW1103" s="314"/>
      <c r="BX1103" s="155"/>
    </row>
    <row r="1104" spans="1:76" ht="15.75" customHeight="1">
      <c r="A1104" s="25"/>
      <c r="B1104" s="39"/>
      <c r="C1104" s="155"/>
      <c r="D1104" s="155"/>
      <c r="E1104" s="40"/>
      <c r="F1104" s="314"/>
      <c r="H1104" s="315"/>
      <c r="I1104" s="315"/>
      <c r="BA1104" s="30"/>
      <c r="BB1104" s="155"/>
      <c r="BC1104" s="314"/>
      <c r="BD1104" s="314"/>
      <c r="BE1104" s="314"/>
      <c r="BF1104" s="314"/>
      <c r="BG1104" s="314"/>
      <c r="BH1104" s="314"/>
      <c r="BI1104" s="314"/>
      <c r="BJ1104" s="314"/>
      <c r="BK1104" s="40"/>
      <c r="BL1104" s="40"/>
      <c r="BM1104" s="40"/>
      <c r="BN1104" s="40"/>
      <c r="BO1104" s="40"/>
      <c r="BP1104" s="155"/>
      <c r="BQ1104" s="314"/>
      <c r="BR1104" s="314"/>
      <c r="BS1104" s="314"/>
      <c r="BT1104" s="314"/>
      <c r="BU1104" s="314"/>
      <c r="BV1104" s="314"/>
      <c r="BW1104" s="314"/>
      <c r="BX1104" s="155"/>
    </row>
    <row r="1105" spans="1:76" ht="15.75" customHeight="1">
      <c r="A1105" s="25"/>
      <c r="B1105" s="39"/>
      <c r="C1105" s="155"/>
      <c r="D1105" s="155"/>
      <c r="E1105" s="40"/>
      <c r="F1105" s="314"/>
      <c r="H1105" s="315"/>
      <c r="I1105" s="315"/>
      <c r="BA1105" s="30"/>
      <c r="BB1105" s="155"/>
      <c r="BC1105" s="314"/>
      <c r="BD1105" s="314"/>
      <c r="BE1105" s="314"/>
      <c r="BF1105" s="314"/>
      <c r="BG1105" s="314"/>
      <c r="BH1105" s="314"/>
      <c r="BI1105" s="314"/>
      <c r="BJ1105" s="314"/>
      <c r="BK1105" s="40"/>
      <c r="BL1105" s="40"/>
      <c r="BM1105" s="40"/>
      <c r="BN1105" s="40"/>
      <c r="BO1105" s="40"/>
      <c r="BP1105" s="155"/>
      <c r="BQ1105" s="314"/>
      <c r="BR1105" s="314"/>
      <c r="BS1105" s="314"/>
      <c r="BT1105" s="314"/>
      <c r="BU1105" s="314"/>
      <c r="BV1105" s="314"/>
      <c r="BW1105" s="314"/>
      <c r="BX1105" s="155"/>
    </row>
    <row r="1106" spans="1:76" ht="15.75" customHeight="1">
      <c r="A1106" s="25"/>
      <c r="B1106" s="39"/>
      <c r="C1106" s="155"/>
      <c r="D1106" s="155"/>
      <c r="E1106" s="40"/>
      <c r="F1106" s="314"/>
      <c r="H1106" s="315"/>
      <c r="I1106" s="315"/>
      <c r="BA1106" s="30"/>
      <c r="BB1106" s="155"/>
      <c r="BC1106" s="314"/>
      <c r="BD1106" s="314"/>
      <c r="BE1106" s="314"/>
      <c r="BF1106" s="314"/>
      <c r="BG1106" s="314"/>
      <c r="BH1106" s="314"/>
      <c r="BI1106" s="314"/>
      <c r="BJ1106" s="314"/>
      <c r="BK1106" s="40"/>
      <c r="BL1106" s="40"/>
      <c r="BM1106" s="40"/>
      <c r="BN1106" s="40"/>
      <c r="BO1106" s="40"/>
      <c r="BP1106" s="155"/>
      <c r="BQ1106" s="314"/>
      <c r="BR1106" s="314"/>
      <c r="BS1106" s="314"/>
      <c r="BT1106" s="314"/>
      <c r="BU1106" s="314"/>
      <c r="BV1106" s="314"/>
      <c r="BW1106" s="314"/>
      <c r="BX1106" s="155"/>
    </row>
    <row r="1107" spans="1:76" ht="15.75" customHeight="1">
      <c r="A1107" s="25"/>
      <c r="B1107" s="39"/>
      <c r="C1107" s="155"/>
      <c r="D1107" s="155"/>
      <c r="E1107" s="40"/>
      <c r="F1107" s="314"/>
      <c r="H1107" s="315"/>
      <c r="I1107" s="315"/>
      <c r="BA1107" s="30"/>
      <c r="BB1107" s="155"/>
      <c r="BC1107" s="314"/>
      <c r="BD1107" s="314"/>
      <c r="BE1107" s="314"/>
      <c r="BF1107" s="314"/>
      <c r="BG1107" s="314"/>
      <c r="BH1107" s="314"/>
      <c r="BI1107" s="314"/>
      <c r="BJ1107" s="314"/>
      <c r="BK1107" s="40"/>
      <c r="BL1107" s="40"/>
      <c r="BM1107" s="40"/>
      <c r="BN1107" s="40"/>
      <c r="BO1107" s="40"/>
      <c r="BP1107" s="155"/>
      <c r="BQ1107" s="314"/>
      <c r="BR1107" s="314"/>
      <c r="BS1107" s="314"/>
      <c r="BT1107" s="314"/>
      <c r="BU1107" s="314"/>
      <c r="BV1107" s="314"/>
      <c r="BW1107" s="314"/>
      <c r="BX1107" s="155"/>
    </row>
    <row r="1108" spans="1:76" ht="15.75" customHeight="1">
      <c r="A1108" s="25"/>
      <c r="B1108" s="39"/>
      <c r="C1108" s="155"/>
      <c r="D1108" s="155"/>
      <c r="E1108" s="40"/>
      <c r="F1108" s="314"/>
      <c r="H1108" s="315"/>
      <c r="I1108" s="315"/>
      <c r="BA1108" s="30"/>
      <c r="BB1108" s="155"/>
      <c r="BC1108" s="314"/>
      <c r="BD1108" s="314"/>
      <c r="BE1108" s="314"/>
      <c r="BF1108" s="314"/>
      <c r="BG1108" s="314"/>
      <c r="BH1108" s="314"/>
      <c r="BI1108" s="314"/>
      <c r="BJ1108" s="314"/>
      <c r="BK1108" s="40"/>
      <c r="BL1108" s="40"/>
      <c r="BM1108" s="40"/>
      <c r="BN1108" s="40"/>
      <c r="BO1108" s="40"/>
      <c r="BP1108" s="155"/>
      <c r="BQ1108" s="314"/>
      <c r="BR1108" s="314"/>
      <c r="BS1108" s="314"/>
      <c r="BT1108" s="314"/>
      <c r="BU1108" s="314"/>
      <c r="BV1108" s="314"/>
      <c r="BW1108" s="314"/>
      <c r="BX1108" s="155"/>
    </row>
    <row r="1109" spans="1:76" ht="15.75" customHeight="1">
      <c r="A1109" s="25"/>
      <c r="B1109" s="39"/>
      <c r="C1109" s="155"/>
      <c r="D1109" s="155"/>
      <c r="E1109" s="40"/>
      <c r="F1109" s="314"/>
      <c r="H1109" s="315"/>
      <c r="I1109" s="315"/>
      <c r="BA1109" s="30"/>
      <c r="BB1109" s="155"/>
      <c r="BC1109" s="314"/>
      <c r="BD1109" s="314"/>
      <c r="BE1109" s="314"/>
      <c r="BF1109" s="314"/>
      <c r="BG1109" s="314"/>
      <c r="BH1109" s="314"/>
      <c r="BI1109" s="314"/>
      <c r="BJ1109" s="314"/>
      <c r="BK1109" s="40"/>
      <c r="BL1109" s="40"/>
      <c r="BM1109" s="40"/>
      <c r="BN1109" s="40"/>
      <c r="BO1109" s="40"/>
      <c r="BP1109" s="155"/>
      <c r="BQ1109" s="314"/>
      <c r="BR1109" s="314"/>
      <c r="BS1109" s="314"/>
      <c r="BT1109" s="314"/>
      <c r="BU1109" s="314"/>
      <c r="BV1109" s="314"/>
      <c r="BW1109" s="314"/>
      <c r="BX1109" s="155"/>
    </row>
    <row r="1110" spans="1:76" ht="15.75" customHeight="1">
      <c r="A1110" s="25"/>
      <c r="B1110" s="39"/>
      <c r="C1110" s="155"/>
      <c r="D1110" s="155"/>
      <c r="E1110" s="341"/>
      <c r="F1110" s="314"/>
      <c r="H1110" s="315"/>
      <c r="I1110" s="315"/>
      <c r="BA1110" s="30"/>
      <c r="BB1110" s="321"/>
      <c r="BC1110" s="314"/>
      <c r="BD1110" s="314"/>
      <c r="BE1110" s="314"/>
      <c r="BF1110" s="314"/>
      <c r="BG1110" s="314"/>
      <c r="BH1110" s="314"/>
      <c r="BI1110" s="314"/>
      <c r="BJ1110" s="314"/>
      <c r="BK1110" s="40"/>
      <c r="BL1110" s="40"/>
      <c r="BM1110" s="40"/>
      <c r="BN1110" s="40"/>
      <c r="BO1110" s="40"/>
      <c r="BP1110" s="155"/>
      <c r="BQ1110" s="314"/>
      <c r="BR1110" s="314"/>
      <c r="BS1110" s="314"/>
      <c r="BT1110" s="314"/>
      <c r="BU1110" s="314"/>
      <c r="BV1110" s="314"/>
      <c r="BW1110" s="314"/>
      <c r="BX1110" s="155"/>
    </row>
    <row r="1111" spans="1:76" ht="15.75" customHeight="1">
      <c r="A1111" s="25"/>
      <c r="B1111" s="39"/>
      <c r="C1111" s="155"/>
      <c r="D1111" s="155"/>
      <c r="E1111" s="40"/>
      <c r="F1111" s="314"/>
      <c r="H1111" s="315"/>
      <c r="I1111" s="315"/>
      <c r="BA1111" s="30"/>
      <c r="BB1111" s="155"/>
      <c r="BC1111" s="314"/>
      <c r="BD1111" s="314"/>
      <c r="BE1111" s="314"/>
      <c r="BF1111" s="314"/>
      <c r="BG1111" s="314"/>
      <c r="BH1111" s="314"/>
      <c r="BI1111" s="314"/>
      <c r="BJ1111" s="314"/>
      <c r="BK1111" s="40"/>
      <c r="BL1111" s="40"/>
      <c r="BM1111" s="40"/>
      <c r="BN1111" s="40"/>
      <c r="BO1111" s="40"/>
      <c r="BP1111" s="155"/>
      <c r="BQ1111" s="314"/>
      <c r="BR1111" s="314"/>
      <c r="BS1111" s="314"/>
      <c r="BT1111" s="314"/>
      <c r="BU1111" s="314"/>
      <c r="BV1111" s="314"/>
      <c r="BW1111" s="314"/>
      <c r="BX1111" s="155"/>
    </row>
    <row r="1112" spans="1:76" ht="15.75" customHeight="1">
      <c r="A1112" s="25"/>
      <c r="B1112" s="39"/>
      <c r="C1112" s="155"/>
      <c r="D1112" s="155"/>
      <c r="E1112" s="40"/>
      <c r="F1112" s="314"/>
      <c r="H1112" s="315"/>
      <c r="I1112" s="315"/>
      <c r="BA1112" s="30"/>
      <c r="BB1112" s="155"/>
      <c r="BC1112" s="314"/>
      <c r="BD1112" s="314"/>
      <c r="BE1112" s="314"/>
      <c r="BF1112" s="314"/>
      <c r="BG1112" s="314"/>
      <c r="BH1112" s="314"/>
      <c r="BI1112" s="314"/>
      <c r="BJ1112" s="314"/>
      <c r="BK1112" s="40"/>
      <c r="BL1112" s="40"/>
      <c r="BM1112" s="40"/>
      <c r="BN1112" s="40"/>
      <c r="BO1112" s="40"/>
      <c r="BP1112" s="155"/>
      <c r="BQ1112" s="314"/>
      <c r="BR1112" s="314"/>
      <c r="BS1112" s="314"/>
      <c r="BT1112" s="314"/>
      <c r="BU1112" s="314"/>
      <c r="BV1112" s="314"/>
      <c r="BW1112" s="314"/>
      <c r="BX1112" s="155"/>
    </row>
    <row r="1113" spans="1:76" ht="15.75" customHeight="1">
      <c r="A1113" s="25"/>
      <c r="B1113" s="39"/>
      <c r="C1113" s="155"/>
      <c r="D1113" s="155"/>
      <c r="E1113" s="40"/>
      <c r="F1113" s="314"/>
      <c r="H1113" s="315"/>
      <c r="I1113" s="315"/>
      <c r="BA1113" s="30"/>
      <c r="BB1113" s="155"/>
      <c r="BC1113" s="314"/>
      <c r="BD1113" s="314"/>
      <c r="BE1113" s="314"/>
      <c r="BF1113" s="314"/>
      <c r="BG1113" s="314"/>
      <c r="BH1113" s="314"/>
      <c r="BI1113" s="314"/>
      <c r="BJ1113" s="314"/>
      <c r="BK1113" s="40"/>
      <c r="BL1113" s="40"/>
      <c r="BM1113" s="40"/>
      <c r="BN1113" s="40"/>
      <c r="BO1113" s="40"/>
      <c r="BP1113" s="155"/>
      <c r="BQ1113" s="314"/>
      <c r="BR1113" s="314"/>
      <c r="BS1113" s="314"/>
      <c r="BT1113" s="314"/>
      <c r="BU1113" s="314"/>
      <c r="BV1113" s="314"/>
      <c r="BW1113" s="314"/>
      <c r="BX1113" s="155"/>
    </row>
    <row r="1114" spans="1:76" ht="15.75" customHeight="1">
      <c r="A1114" s="25"/>
      <c r="B1114" s="39"/>
      <c r="C1114" s="155"/>
      <c r="D1114" s="155"/>
      <c r="E1114" s="40"/>
      <c r="F1114" s="314"/>
      <c r="H1114" s="315"/>
      <c r="I1114" s="315"/>
      <c r="BA1114" s="30"/>
      <c r="BB1114" s="155"/>
      <c r="BC1114" s="314"/>
      <c r="BD1114" s="314"/>
      <c r="BE1114" s="314"/>
      <c r="BF1114" s="314"/>
      <c r="BG1114" s="314"/>
      <c r="BH1114" s="314"/>
      <c r="BI1114" s="314"/>
      <c r="BJ1114" s="314"/>
      <c r="BK1114" s="40"/>
      <c r="BL1114" s="40"/>
      <c r="BM1114" s="40"/>
      <c r="BN1114" s="40"/>
      <c r="BO1114" s="40"/>
      <c r="BP1114" s="155"/>
      <c r="BQ1114" s="314"/>
      <c r="BR1114" s="314"/>
      <c r="BS1114" s="314"/>
      <c r="BT1114" s="314"/>
      <c r="BU1114" s="314"/>
      <c r="BV1114" s="314"/>
      <c r="BW1114" s="314"/>
      <c r="BX1114" s="155"/>
    </row>
    <row r="1115" spans="1:76" ht="15.75" customHeight="1">
      <c r="A1115" s="25"/>
      <c r="B1115" s="39"/>
      <c r="C1115" s="155"/>
      <c r="D1115" s="155"/>
      <c r="E1115" s="40"/>
      <c r="F1115" s="314"/>
      <c r="H1115" s="315"/>
      <c r="I1115" s="315"/>
      <c r="BA1115" s="30"/>
      <c r="BB1115" s="155"/>
      <c r="BC1115" s="314"/>
      <c r="BD1115" s="314"/>
      <c r="BE1115" s="314"/>
      <c r="BF1115" s="314"/>
      <c r="BG1115" s="314"/>
      <c r="BH1115" s="314"/>
      <c r="BI1115" s="314"/>
      <c r="BJ1115" s="314"/>
      <c r="BK1115" s="40"/>
      <c r="BL1115" s="40"/>
      <c r="BM1115" s="40"/>
      <c r="BN1115" s="40"/>
      <c r="BO1115" s="40"/>
      <c r="BP1115" s="155"/>
      <c r="BQ1115" s="314"/>
      <c r="BR1115" s="314"/>
      <c r="BS1115" s="314"/>
      <c r="BT1115" s="314"/>
      <c r="BU1115" s="314"/>
      <c r="BV1115" s="314"/>
      <c r="BW1115" s="314"/>
      <c r="BX1115" s="155"/>
    </row>
    <row r="1116" spans="1:76" ht="15.75" customHeight="1">
      <c r="A1116" s="25"/>
      <c r="B1116" s="39"/>
      <c r="C1116" s="155"/>
      <c r="D1116" s="155"/>
      <c r="E1116" s="40"/>
      <c r="F1116" s="314"/>
      <c r="H1116" s="315"/>
      <c r="I1116" s="315"/>
      <c r="BA1116" s="30"/>
      <c r="BB1116" s="155"/>
      <c r="BC1116" s="314"/>
      <c r="BD1116" s="314"/>
      <c r="BE1116" s="314"/>
      <c r="BF1116" s="314"/>
      <c r="BG1116" s="314"/>
      <c r="BH1116" s="314"/>
      <c r="BI1116" s="314"/>
      <c r="BJ1116" s="314"/>
      <c r="BK1116" s="40"/>
      <c r="BL1116" s="40"/>
      <c r="BM1116" s="40"/>
      <c r="BN1116" s="40"/>
      <c r="BO1116" s="40"/>
      <c r="BP1116" s="155"/>
      <c r="BQ1116" s="314"/>
      <c r="BR1116" s="314"/>
      <c r="BS1116" s="314"/>
      <c r="BT1116" s="314"/>
      <c r="BU1116" s="314"/>
      <c r="BV1116" s="314"/>
      <c r="BW1116" s="314"/>
      <c r="BX1116" s="155"/>
    </row>
    <row r="1117" spans="1:76" ht="15.75" customHeight="1">
      <c r="A1117" s="25"/>
      <c r="B1117" s="39"/>
      <c r="C1117" s="155"/>
      <c r="D1117" s="155"/>
      <c r="E1117" s="40"/>
      <c r="F1117" s="314"/>
      <c r="H1117" s="315"/>
      <c r="I1117" s="315"/>
      <c r="BA1117" s="30"/>
      <c r="BB1117" s="155"/>
      <c r="BC1117" s="314"/>
      <c r="BD1117" s="314"/>
      <c r="BE1117" s="314"/>
      <c r="BF1117" s="314"/>
      <c r="BG1117" s="314"/>
      <c r="BH1117" s="314"/>
      <c r="BI1117" s="314"/>
      <c r="BJ1117" s="314"/>
      <c r="BK1117" s="40"/>
      <c r="BL1117" s="40"/>
      <c r="BM1117" s="40"/>
      <c r="BN1117" s="40"/>
      <c r="BO1117" s="40"/>
      <c r="BP1117" s="155"/>
      <c r="BQ1117" s="314"/>
      <c r="BR1117" s="314"/>
      <c r="BS1117" s="314"/>
      <c r="BT1117" s="314"/>
      <c r="BU1117" s="314"/>
      <c r="BV1117" s="314"/>
      <c r="BW1117" s="314"/>
      <c r="BX1117" s="155"/>
    </row>
    <row r="1118" spans="1:76" ht="15.75" customHeight="1">
      <c r="A1118" s="25"/>
      <c r="B1118" s="39"/>
      <c r="C1118" s="155"/>
      <c r="D1118" s="155"/>
      <c r="E1118" s="341"/>
      <c r="F1118" s="314"/>
      <c r="H1118" s="315"/>
      <c r="I1118" s="315"/>
      <c r="BA1118" s="30"/>
      <c r="BB1118" s="321"/>
      <c r="BC1118" s="314"/>
      <c r="BD1118" s="314"/>
      <c r="BE1118" s="314"/>
      <c r="BF1118" s="314"/>
      <c r="BG1118" s="314"/>
      <c r="BH1118" s="314"/>
      <c r="BI1118" s="314"/>
      <c r="BJ1118" s="314"/>
      <c r="BK1118" s="40"/>
      <c r="BL1118" s="40"/>
      <c r="BM1118" s="40"/>
      <c r="BN1118" s="40"/>
      <c r="BO1118" s="40"/>
      <c r="BP1118" s="155"/>
      <c r="BQ1118" s="314"/>
      <c r="BR1118" s="314"/>
      <c r="BS1118" s="314"/>
      <c r="BT1118" s="314"/>
      <c r="BU1118" s="314"/>
      <c r="BV1118" s="314"/>
      <c r="BW1118" s="314"/>
      <c r="BX1118" s="155"/>
    </row>
    <row r="1119" spans="1:76" ht="15.75" customHeight="1">
      <c r="A1119" s="25"/>
      <c r="B1119" s="39"/>
      <c r="C1119" s="155"/>
      <c r="D1119" s="155"/>
      <c r="E1119" s="40"/>
      <c r="F1119" s="314"/>
      <c r="H1119" s="315"/>
      <c r="I1119" s="315"/>
      <c r="BA1119" s="30"/>
      <c r="BB1119" s="155"/>
      <c r="BC1119" s="314"/>
      <c r="BD1119" s="314"/>
      <c r="BE1119" s="314"/>
      <c r="BF1119" s="314"/>
      <c r="BG1119" s="314"/>
      <c r="BH1119" s="314"/>
      <c r="BI1119" s="314"/>
      <c r="BJ1119" s="314"/>
      <c r="BK1119" s="40"/>
      <c r="BL1119" s="40"/>
      <c r="BM1119" s="40"/>
      <c r="BN1119" s="40"/>
      <c r="BO1119" s="40"/>
      <c r="BP1119" s="155"/>
      <c r="BQ1119" s="314"/>
      <c r="BR1119" s="314"/>
      <c r="BS1119" s="314"/>
      <c r="BT1119" s="314"/>
      <c r="BU1119" s="314"/>
      <c r="BV1119" s="314"/>
      <c r="BW1119" s="314"/>
      <c r="BX1119" s="155"/>
    </row>
    <row r="1120" spans="1:76" ht="15.75" customHeight="1">
      <c r="A1120" s="25"/>
      <c r="B1120" s="39"/>
      <c r="C1120" s="155"/>
      <c r="D1120" s="155"/>
      <c r="E1120" s="40"/>
      <c r="F1120" s="314"/>
      <c r="H1120" s="315"/>
      <c r="I1120" s="315"/>
      <c r="BA1120" s="30"/>
      <c r="BB1120" s="155"/>
      <c r="BC1120" s="314"/>
      <c r="BD1120" s="314"/>
      <c r="BE1120" s="314"/>
      <c r="BF1120" s="314"/>
      <c r="BG1120" s="314"/>
      <c r="BH1120" s="314"/>
      <c r="BI1120" s="314"/>
      <c r="BJ1120" s="314"/>
      <c r="BK1120" s="40"/>
      <c r="BL1120" s="40"/>
      <c r="BM1120" s="40"/>
      <c r="BN1120" s="40"/>
      <c r="BO1120" s="40"/>
      <c r="BP1120" s="155"/>
      <c r="BQ1120" s="314"/>
      <c r="BR1120" s="314"/>
      <c r="BS1120" s="314"/>
      <c r="BT1120" s="314"/>
      <c r="BU1120" s="314"/>
      <c r="BV1120" s="314"/>
      <c r="BW1120" s="314"/>
      <c r="BX1120" s="155"/>
    </row>
    <row r="1121" spans="1:76" ht="15.75" customHeight="1">
      <c r="A1121" s="25"/>
      <c r="B1121" s="39"/>
      <c r="C1121" s="155"/>
      <c r="D1121" s="155"/>
      <c r="E1121" s="40"/>
      <c r="F1121" s="314"/>
      <c r="H1121" s="315"/>
      <c r="I1121" s="315"/>
      <c r="BA1121" s="30"/>
      <c r="BB1121" s="155"/>
      <c r="BC1121" s="322"/>
      <c r="BD1121" s="322"/>
      <c r="BE1121" s="322"/>
      <c r="BF1121" s="322"/>
      <c r="BG1121" s="322"/>
      <c r="BH1121" s="322"/>
      <c r="BI1121" s="322"/>
      <c r="BJ1121" s="322"/>
      <c r="BK1121" s="341"/>
      <c r="BL1121" s="40"/>
      <c r="BM1121" s="40"/>
      <c r="BN1121" s="40"/>
      <c r="BO1121" s="40"/>
      <c r="BP1121" s="155"/>
      <c r="BQ1121" s="314"/>
      <c r="BR1121" s="314"/>
      <c r="BS1121" s="314"/>
      <c r="BT1121" s="314"/>
      <c r="BU1121" s="314"/>
      <c r="BV1121" s="314"/>
      <c r="BW1121" s="314"/>
      <c r="BX1121" s="155"/>
    </row>
    <row r="1122" spans="1:76" ht="15.75" customHeight="1">
      <c r="A1122" s="25"/>
      <c r="B1122" s="39"/>
      <c r="C1122" s="155"/>
      <c r="D1122" s="155"/>
      <c r="E1122" s="40"/>
      <c r="F1122" s="314"/>
      <c r="H1122" s="315"/>
      <c r="I1122" s="315"/>
      <c r="BA1122" s="30"/>
      <c r="BB1122" s="155"/>
      <c r="BC1122" s="314"/>
      <c r="BD1122" s="314"/>
      <c r="BE1122" s="314"/>
      <c r="BF1122" s="314"/>
      <c r="BG1122" s="314"/>
      <c r="BH1122" s="314"/>
      <c r="BI1122" s="314"/>
      <c r="BJ1122" s="314"/>
      <c r="BK1122" s="40"/>
      <c r="BL1122" s="40"/>
      <c r="BM1122" s="40"/>
      <c r="BN1122" s="40"/>
      <c r="BO1122" s="40"/>
      <c r="BP1122" s="155"/>
      <c r="BQ1122" s="314"/>
      <c r="BR1122" s="314"/>
      <c r="BS1122" s="314"/>
      <c r="BT1122" s="314"/>
      <c r="BU1122" s="314"/>
      <c r="BV1122" s="314"/>
      <c r="BW1122" s="314"/>
      <c r="BX1122" s="155"/>
    </row>
    <row r="1123" spans="1:76" ht="15.75" customHeight="1">
      <c r="A1123" s="25"/>
      <c r="B1123" s="39"/>
      <c r="C1123" s="155"/>
      <c r="D1123" s="155"/>
      <c r="E1123" s="40"/>
      <c r="F1123" s="314"/>
      <c r="H1123" s="315"/>
      <c r="I1123" s="315"/>
      <c r="BA1123" s="30"/>
      <c r="BB1123" s="155"/>
      <c r="BC1123" s="314"/>
      <c r="BD1123" s="314"/>
      <c r="BE1123" s="314"/>
      <c r="BF1123" s="314"/>
      <c r="BG1123" s="314"/>
      <c r="BH1123" s="314"/>
      <c r="BI1123" s="314"/>
      <c r="BJ1123" s="314"/>
      <c r="BK1123" s="40"/>
      <c r="BL1123" s="40"/>
      <c r="BM1123" s="40"/>
      <c r="BN1123" s="40"/>
      <c r="BO1123" s="40"/>
      <c r="BP1123" s="155"/>
      <c r="BQ1123" s="314"/>
      <c r="BR1123" s="314"/>
      <c r="BS1123" s="314"/>
      <c r="BT1123" s="314"/>
      <c r="BU1123" s="314"/>
      <c r="BV1123" s="314"/>
      <c r="BW1123" s="314"/>
      <c r="BX1123" s="155"/>
    </row>
    <row r="1124" spans="1:76" ht="15.75" customHeight="1">
      <c r="A1124" s="25"/>
      <c r="B1124" s="39"/>
      <c r="C1124" s="155"/>
      <c r="D1124" s="155"/>
      <c r="E1124" s="40"/>
      <c r="F1124" s="314"/>
      <c r="H1124" s="315"/>
      <c r="I1124" s="315"/>
      <c r="BA1124" s="30"/>
      <c r="BB1124" s="155"/>
      <c r="BC1124" s="314"/>
      <c r="BD1124" s="314"/>
      <c r="BE1124" s="314"/>
      <c r="BF1124" s="314"/>
      <c r="BG1124" s="314"/>
      <c r="BH1124" s="314"/>
      <c r="BI1124" s="314"/>
      <c r="BJ1124" s="314"/>
      <c r="BK1124" s="40"/>
      <c r="BL1124" s="40"/>
      <c r="BM1124" s="40"/>
      <c r="BN1124" s="40"/>
      <c r="BO1124" s="40"/>
      <c r="BP1124" s="155"/>
      <c r="BQ1124" s="314"/>
      <c r="BR1124" s="314"/>
      <c r="BS1124" s="314"/>
      <c r="BT1124" s="314"/>
      <c r="BU1124" s="314"/>
      <c r="BV1124" s="314"/>
      <c r="BW1124" s="314"/>
      <c r="BX1124" s="155"/>
    </row>
    <row r="1125" spans="1:76" ht="15.75" customHeight="1">
      <c r="A1125" s="25"/>
      <c r="B1125" s="39"/>
      <c r="C1125" s="155"/>
      <c r="D1125" s="155"/>
      <c r="E1125" s="40"/>
      <c r="F1125" s="314"/>
      <c r="H1125" s="315"/>
      <c r="I1125" s="315"/>
      <c r="BA1125" s="30"/>
      <c r="BB1125" s="155"/>
      <c r="BC1125" s="314"/>
      <c r="BD1125" s="314"/>
      <c r="BE1125" s="314"/>
      <c r="BF1125" s="314"/>
      <c r="BG1125" s="314"/>
      <c r="BH1125" s="314"/>
      <c r="BI1125" s="314"/>
      <c r="BJ1125" s="314"/>
      <c r="BK1125" s="40"/>
      <c r="BL1125" s="40"/>
      <c r="BM1125" s="40"/>
      <c r="BN1125" s="40"/>
      <c r="BO1125" s="40"/>
      <c r="BP1125" s="155"/>
      <c r="BQ1125" s="314"/>
      <c r="BR1125" s="314"/>
      <c r="BS1125" s="314"/>
      <c r="BT1125" s="314"/>
      <c r="BU1125" s="314"/>
      <c r="BV1125" s="314"/>
      <c r="BW1125" s="314"/>
      <c r="BX1125" s="155"/>
    </row>
    <row r="1126" spans="1:76" ht="15.75" customHeight="1">
      <c r="A1126" s="25"/>
      <c r="B1126" s="39"/>
      <c r="C1126" s="155"/>
      <c r="D1126" s="155"/>
      <c r="E1126" s="341"/>
      <c r="F1126" s="314"/>
      <c r="H1126" s="315"/>
      <c r="I1126" s="315"/>
      <c r="BA1126" s="30"/>
      <c r="BB1126" s="321"/>
      <c r="BC1126" s="314"/>
      <c r="BD1126" s="314"/>
      <c r="BE1126" s="314"/>
      <c r="BF1126" s="314"/>
      <c r="BG1126" s="314"/>
      <c r="BH1126" s="314"/>
      <c r="BI1126" s="314"/>
      <c r="BJ1126" s="314"/>
      <c r="BK1126" s="40"/>
      <c r="BL1126" s="40"/>
      <c r="BM1126" s="40"/>
      <c r="BN1126" s="40"/>
      <c r="BO1126" s="40"/>
      <c r="BP1126" s="155"/>
      <c r="BQ1126" s="314"/>
      <c r="BR1126" s="314"/>
      <c r="BS1126" s="314"/>
      <c r="BT1126" s="314"/>
      <c r="BU1126" s="314"/>
      <c r="BV1126" s="314"/>
      <c r="BW1126" s="314"/>
      <c r="BX1126" s="155"/>
    </row>
    <row r="1127" spans="1:76" ht="15.75" customHeight="1">
      <c r="A1127" s="25"/>
      <c r="B1127" s="39"/>
      <c r="C1127" s="155"/>
      <c r="D1127" s="155"/>
      <c r="E1127" s="40"/>
      <c r="F1127" s="314"/>
      <c r="H1127" s="315"/>
      <c r="I1127" s="315"/>
      <c r="BA1127" s="30"/>
      <c r="BB1127" s="155"/>
      <c r="BC1127" s="314"/>
      <c r="BD1127" s="314"/>
      <c r="BE1127" s="314"/>
      <c r="BF1127" s="314"/>
      <c r="BG1127" s="314"/>
      <c r="BH1127" s="314"/>
      <c r="BI1127" s="314"/>
      <c r="BJ1127" s="314"/>
      <c r="BK1127" s="40"/>
      <c r="BL1127" s="40"/>
      <c r="BM1127" s="40"/>
      <c r="BN1127" s="40"/>
      <c r="BO1127" s="40"/>
      <c r="BP1127" s="155"/>
      <c r="BQ1127" s="314"/>
      <c r="BR1127" s="314"/>
      <c r="BS1127" s="314"/>
      <c r="BT1127" s="314"/>
      <c r="BU1127" s="314"/>
      <c r="BV1127" s="314"/>
      <c r="BW1127" s="314"/>
      <c r="BX1127" s="155"/>
    </row>
    <row r="1128" spans="1:76" ht="15.75" customHeight="1">
      <c r="A1128" s="25"/>
      <c r="B1128" s="39"/>
      <c r="C1128" s="155"/>
      <c r="D1128" s="155"/>
      <c r="E1128" s="40"/>
      <c r="F1128" s="314"/>
      <c r="H1128" s="315"/>
      <c r="I1128" s="315"/>
      <c r="BA1128" s="30"/>
      <c r="BB1128" s="155"/>
      <c r="BC1128" s="314"/>
      <c r="BD1128" s="314"/>
      <c r="BE1128" s="314"/>
      <c r="BF1128" s="314"/>
      <c r="BG1128" s="314"/>
      <c r="BH1128" s="314"/>
      <c r="BI1128" s="314"/>
      <c r="BJ1128" s="314"/>
      <c r="BK1128" s="40"/>
      <c r="BL1128" s="40"/>
      <c r="BM1128" s="40"/>
      <c r="BN1128" s="40"/>
      <c r="BO1128" s="40"/>
      <c r="BP1128" s="155"/>
      <c r="BQ1128" s="314"/>
      <c r="BR1128" s="314"/>
      <c r="BS1128" s="314"/>
      <c r="BT1128" s="314"/>
      <c r="BU1128" s="314"/>
      <c r="BV1128" s="314"/>
      <c r="BW1128" s="314"/>
      <c r="BX1128" s="155"/>
    </row>
    <row r="1129" spans="1:76" ht="15.75" customHeight="1">
      <c r="A1129" s="25"/>
      <c r="B1129" s="39"/>
      <c r="C1129" s="155"/>
      <c r="D1129" s="155"/>
      <c r="E1129" s="40"/>
      <c r="F1129" s="314"/>
      <c r="H1129" s="315"/>
      <c r="I1129" s="315"/>
      <c r="BA1129" s="30"/>
      <c r="BB1129" s="155"/>
      <c r="BC1129" s="314"/>
      <c r="BD1129" s="314"/>
      <c r="BE1129" s="314"/>
      <c r="BF1129" s="314"/>
      <c r="BG1129" s="314"/>
      <c r="BH1129" s="314"/>
      <c r="BI1129" s="314"/>
      <c r="BJ1129" s="314"/>
      <c r="BK1129" s="40"/>
      <c r="BL1129" s="40"/>
      <c r="BM1129" s="40"/>
      <c r="BN1129" s="40"/>
      <c r="BO1129" s="40"/>
      <c r="BP1129" s="155"/>
      <c r="BQ1129" s="314"/>
      <c r="BR1129" s="314"/>
      <c r="BS1129" s="314"/>
      <c r="BT1129" s="314"/>
      <c r="BU1129" s="314"/>
      <c r="BV1129" s="314"/>
      <c r="BW1129" s="314"/>
      <c r="BX1129" s="155"/>
    </row>
    <row r="1130" spans="1:76" ht="15.75" customHeight="1">
      <c r="A1130" s="25"/>
      <c r="B1130" s="39"/>
      <c r="C1130" s="155"/>
      <c r="D1130" s="155"/>
      <c r="E1130" s="40"/>
      <c r="F1130" s="314"/>
      <c r="H1130" s="315"/>
      <c r="I1130" s="315"/>
      <c r="BA1130" s="30"/>
      <c r="BB1130" s="155"/>
      <c r="BC1130" s="314"/>
      <c r="BD1130" s="314"/>
      <c r="BE1130" s="314"/>
      <c r="BF1130" s="314"/>
      <c r="BG1130" s="314"/>
      <c r="BH1130" s="314"/>
      <c r="BI1130" s="314"/>
      <c r="BJ1130" s="314"/>
      <c r="BK1130" s="40"/>
      <c r="BL1130" s="40"/>
      <c r="BM1130" s="40"/>
      <c r="BN1130" s="40"/>
      <c r="BO1130" s="40"/>
      <c r="BP1130" s="155"/>
      <c r="BQ1130" s="314"/>
      <c r="BR1130" s="314"/>
      <c r="BS1130" s="314"/>
      <c r="BT1130" s="314"/>
      <c r="BU1130" s="314"/>
      <c r="BV1130" s="314"/>
      <c r="BW1130" s="314"/>
      <c r="BX1130" s="155"/>
    </row>
    <row r="1131" spans="1:76" ht="15.75" customHeight="1">
      <c r="A1131" s="25"/>
      <c r="B1131" s="39"/>
      <c r="C1131" s="155"/>
      <c r="D1131" s="155"/>
      <c r="E1131" s="40"/>
      <c r="F1131" s="314"/>
      <c r="H1131" s="315"/>
      <c r="I1131" s="315"/>
      <c r="BA1131" s="30"/>
      <c r="BB1131" s="155"/>
      <c r="BC1131" s="314"/>
      <c r="BD1131" s="314"/>
      <c r="BE1131" s="314"/>
      <c r="BF1131" s="314"/>
      <c r="BG1131" s="314"/>
      <c r="BH1131" s="314"/>
      <c r="BI1131" s="314"/>
      <c r="BJ1131" s="314"/>
      <c r="BK1131" s="40"/>
      <c r="BL1131" s="40"/>
      <c r="BM1131" s="40"/>
      <c r="BN1131" s="40"/>
      <c r="BO1131" s="40"/>
      <c r="BP1131" s="155"/>
      <c r="BQ1131" s="314"/>
      <c r="BR1131" s="314"/>
      <c r="BS1131" s="314"/>
      <c r="BT1131" s="314"/>
      <c r="BU1131" s="314"/>
      <c r="BV1131" s="314"/>
      <c r="BW1131" s="314"/>
      <c r="BX1131" s="155"/>
    </row>
    <row r="1132" spans="1:76" ht="15.75" customHeight="1">
      <c r="A1132" s="25"/>
      <c r="B1132" s="39"/>
      <c r="C1132" s="155"/>
      <c r="D1132" s="155"/>
      <c r="E1132" s="40"/>
      <c r="F1132" s="314"/>
      <c r="H1132" s="315"/>
      <c r="I1132" s="315"/>
      <c r="BA1132" s="30"/>
      <c r="BB1132" s="155"/>
      <c r="BC1132" s="314"/>
      <c r="BD1132" s="314"/>
      <c r="BE1132" s="314"/>
      <c r="BF1132" s="314"/>
      <c r="BG1132" s="314"/>
      <c r="BH1132" s="314"/>
      <c r="BI1132" s="314"/>
      <c r="BJ1132" s="314"/>
      <c r="BK1132" s="40"/>
      <c r="BL1132" s="40"/>
      <c r="BM1132" s="40"/>
      <c r="BN1132" s="40"/>
      <c r="BO1132" s="40"/>
      <c r="BP1132" s="155"/>
      <c r="BQ1132" s="314"/>
      <c r="BR1132" s="314"/>
      <c r="BS1132" s="314"/>
      <c r="BT1132" s="314"/>
      <c r="BU1132" s="314"/>
      <c r="BV1132" s="314"/>
      <c r="BW1132" s="314"/>
      <c r="BX1132" s="155"/>
    </row>
    <row r="1133" spans="1:76" ht="15.75" customHeight="1">
      <c r="A1133" s="25"/>
      <c r="B1133" s="39"/>
      <c r="C1133" s="155"/>
      <c r="D1133" s="155"/>
      <c r="E1133" s="40"/>
      <c r="F1133" s="314"/>
      <c r="H1133" s="315"/>
      <c r="I1133" s="315"/>
      <c r="BA1133" s="30"/>
      <c r="BB1133" s="155"/>
      <c r="BC1133" s="314"/>
      <c r="BD1133" s="314"/>
      <c r="BE1133" s="314"/>
      <c r="BF1133" s="314"/>
      <c r="BG1133" s="314"/>
      <c r="BH1133" s="314"/>
      <c r="BI1133" s="314"/>
      <c r="BJ1133" s="314"/>
      <c r="BK1133" s="40"/>
      <c r="BL1133" s="40"/>
      <c r="BM1133" s="40"/>
      <c r="BN1133" s="40"/>
      <c r="BO1133" s="40"/>
      <c r="BP1133" s="155"/>
      <c r="BQ1133" s="314"/>
      <c r="BR1133" s="314"/>
      <c r="BS1133" s="314"/>
      <c r="BT1133" s="314"/>
      <c r="BU1133" s="314"/>
      <c r="BV1133" s="314"/>
      <c r="BW1133" s="314"/>
      <c r="BX1133" s="155"/>
    </row>
    <row r="1134" spans="1:76" ht="15.75" customHeight="1">
      <c r="A1134" s="25"/>
      <c r="B1134" s="39"/>
      <c r="C1134" s="155"/>
      <c r="D1134" s="155"/>
      <c r="E1134" s="341"/>
      <c r="F1134" s="314"/>
      <c r="H1134" s="315"/>
      <c r="I1134" s="315"/>
      <c r="BA1134" s="30"/>
      <c r="BB1134" s="321"/>
      <c r="BC1134" s="314"/>
      <c r="BD1134" s="314"/>
      <c r="BE1134" s="314"/>
      <c r="BF1134" s="314"/>
      <c r="BG1134" s="314"/>
      <c r="BH1134" s="314"/>
      <c r="BI1134" s="314"/>
      <c r="BJ1134" s="314"/>
      <c r="BK1134" s="40"/>
      <c r="BL1134" s="40"/>
      <c r="BM1134" s="40"/>
      <c r="BN1134" s="40"/>
      <c r="BO1134" s="40"/>
      <c r="BP1134" s="155"/>
      <c r="BQ1134" s="314"/>
      <c r="BR1134" s="314"/>
      <c r="BS1134" s="314"/>
      <c r="BT1134" s="314"/>
      <c r="BU1134" s="314"/>
      <c r="BV1134" s="314"/>
      <c r="BW1134" s="314"/>
      <c r="BX1134" s="155"/>
    </row>
    <row r="1135" spans="1:76" ht="15.75" customHeight="1">
      <c r="A1135" s="25"/>
      <c r="B1135" s="39"/>
      <c r="C1135" s="155"/>
      <c r="D1135" s="155"/>
      <c r="E1135" s="40"/>
      <c r="F1135" s="314"/>
      <c r="H1135" s="315"/>
      <c r="I1135" s="315"/>
      <c r="BA1135" s="30"/>
      <c r="BB1135" s="155"/>
      <c r="BC1135" s="314"/>
      <c r="BD1135" s="314"/>
      <c r="BE1135" s="314"/>
      <c r="BF1135" s="314"/>
      <c r="BG1135" s="314"/>
      <c r="BH1135" s="314"/>
      <c r="BI1135" s="314"/>
      <c r="BJ1135" s="314"/>
      <c r="BK1135" s="40"/>
      <c r="BL1135" s="40"/>
      <c r="BM1135" s="40"/>
      <c r="BN1135" s="40"/>
      <c r="BO1135" s="40"/>
      <c r="BP1135" s="155"/>
      <c r="BQ1135" s="314"/>
      <c r="BR1135" s="314"/>
      <c r="BS1135" s="314"/>
      <c r="BT1135" s="314"/>
      <c r="BU1135" s="314"/>
      <c r="BV1135" s="314"/>
      <c r="BW1135" s="314"/>
      <c r="BX1135" s="155"/>
    </row>
    <row r="1136" spans="1:76" ht="15.75" customHeight="1">
      <c r="A1136" s="25"/>
      <c r="B1136" s="39"/>
      <c r="C1136" s="155"/>
      <c r="D1136" s="155"/>
      <c r="E1136" s="40"/>
      <c r="F1136" s="314"/>
      <c r="H1136" s="315"/>
      <c r="I1136" s="315"/>
      <c r="BA1136" s="30"/>
      <c r="BB1136" s="155"/>
      <c r="BC1136" s="314"/>
      <c r="BD1136" s="314"/>
      <c r="BE1136" s="314"/>
      <c r="BF1136" s="314"/>
      <c r="BG1136" s="314"/>
      <c r="BH1136" s="314"/>
      <c r="BI1136" s="314"/>
      <c r="BJ1136" s="314"/>
      <c r="BK1136" s="40"/>
      <c r="BL1136" s="40"/>
      <c r="BM1136" s="40"/>
      <c r="BN1136" s="40"/>
      <c r="BO1136" s="40"/>
      <c r="BP1136" s="155"/>
      <c r="BQ1136" s="314"/>
      <c r="BR1136" s="314"/>
      <c r="BS1136" s="314"/>
      <c r="BT1136" s="314"/>
      <c r="BU1136" s="314"/>
      <c r="BV1136" s="314"/>
      <c r="BW1136" s="314"/>
      <c r="BX1136" s="155"/>
    </row>
    <row r="1137" spans="1:76" ht="15.75" customHeight="1">
      <c r="A1137" s="25"/>
      <c r="B1137" s="39"/>
      <c r="C1137" s="155"/>
      <c r="D1137" s="155"/>
      <c r="E1137" s="40"/>
      <c r="F1137" s="314"/>
      <c r="H1137" s="315"/>
      <c r="I1137" s="315"/>
      <c r="BA1137" s="30"/>
      <c r="BB1137" s="155"/>
      <c r="BC1137" s="314"/>
      <c r="BD1137" s="314"/>
      <c r="BE1137" s="314"/>
      <c r="BF1137" s="314"/>
      <c r="BG1137" s="314"/>
      <c r="BH1137" s="314"/>
      <c r="BI1137" s="314"/>
      <c r="BJ1137" s="314"/>
      <c r="BK1137" s="40"/>
      <c r="BL1137" s="40"/>
      <c r="BM1137" s="40"/>
      <c r="BN1137" s="40"/>
      <c r="BO1137" s="40"/>
      <c r="BP1137" s="155"/>
      <c r="BQ1137" s="314"/>
      <c r="BR1137" s="314"/>
      <c r="BS1137" s="314"/>
      <c r="BT1137" s="314"/>
      <c r="BU1137" s="314"/>
      <c r="BV1137" s="314"/>
      <c r="BW1137" s="314"/>
      <c r="BX1137" s="155"/>
    </row>
    <row r="1138" spans="1:76" ht="15.75" customHeight="1">
      <c r="A1138" s="25"/>
      <c r="B1138" s="39"/>
      <c r="C1138" s="155"/>
      <c r="D1138" s="155"/>
      <c r="E1138" s="40"/>
      <c r="F1138" s="314"/>
      <c r="H1138" s="315"/>
      <c r="I1138" s="315"/>
      <c r="BA1138" s="30"/>
      <c r="BB1138" s="155"/>
      <c r="BC1138" s="314"/>
      <c r="BD1138" s="314"/>
      <c r="BE1138" s="314"/>
      <c r="BF1138" s="314"/>
      <c r="BG1138" s="314"/>
      <c r="BH1138" s="314"/>
      <c r="BI1138" s="314"/>
      <c r="BJ1138" s="314"/>
      <c r="BK1138" s="40"/>
      <c r="BL1138" s="40"/>
      <c r="BM1138" s="40"/>
      <c r="BN1138" s="40"/>
      <c r="BO1138" s="40"/>
      <c r="BP1138" s="155"/>
      <c r="BQ1138" s="314"/>
      <c r="BR1138" s="314"/>
      <c r="BS1138" s="314"/>
      <c r="BT1138" s="314"/>
      <c r="BU1138" s="314"/>
      <c r="BV1138" s="314"/>
      <c r="BW1138" s="314"/>
      <c r="BX1138" s="155"/>
    </row>
    <row r="1139" spans="1:76" ht="15.75" customHeight="1">
      <c r="A1139" s="25"/>
      <c r="B1139" s="39"/>
      <c r="C1139" s="155"/>
      <c r="D1139" s="155"/>
      <c r="E1139" s="40"/>
      <c r="F1139" s="314"/>
      <c r="H1139" s="315"/>
      <c r="I1139" s="315"/>
      <c r="BA1139" s="30"/>
      <c r="BB1139" s="155"/>
      <c r="BC1139" s="314"/>
      <c r="BD1139" s="314"/>
      <c r="BE1139" s="314"/>
      <c r="BF1139" s="314"/>
      <c r="BG1139" s="314"/>
      <c r="BH1139" s="314"/>
      <c r="BI1139" s="314"/>
      <c r="BJ1139" s="314"/>
      <c r="BK1139" s="40"/>
      <c r="BL1139" s="40"/>
      <c r="BM1139" s="40"/>
      <c r="BN1139" s="40"/>
      <c r="BO1139" s="40"/>
      <c r="BP1139" s="155"/>
      <c r="BQ1139" s="314"/>
      <c r="BR1139" s="314"/>
      <c r="BS1139" s="314"/>
      <c r="BT1139" s="314"/>
      <c r="BU1139" s="314"/>
      <c r="BV1139" s="314"/>
      <c r="BW1139" s="314"/>
      <c r="BX1139" s="155"/>
    </row>
    <row r="1140" spans="1:76" ht="15.75" customHeight="1">
      <c r="A1140" s="25"/>
      <c r="B1140" s="39"/>
      <c r="C1140" s="155"/>
      <c r="D1140" s="155"/>
      <c r="E1140" s="40"/>
      <c r="F1140" s="314"/>
      <c r="H1140" s="315"/>
      <c r="I1140" s="315"/>
      <c r="BA1140" s="30"/>
      <c r="BB1140" s="155"/>
      <c r="BC1140" s="314"/>
      <c r="BD1140" s="314"/>
      <c r="BE1140" s="314"/>
      <c r="BF1140" s="314"/>
      <c r="BG1140" s="314"/>
      <c r="BH1140" s="314"/>
      <c r="BI1140" s="314"/>
      <c r="BJ1140" s="314"/>
      <c r="BK1140" s="40"/>
      <c r="BL1140" s="40"/>
      <c r="BM1140" s="40"/>
      <c r="BN1140" s="40"/>
      <c r="BO1140" s="40"/>
      <c r="BP1140" s="155"/>
      <c r="BQ1140" s="314"/>
      <c r="BR1140" s="314"/>
      <c r="BS1140" s="314"/>
      <c r="BT1140" s="314"/>
      <c r="BU1140" s="314"/>
      <c r="BV1140" s="314"/>
      <c r="BW1140" s="314"/>
      <c r="BX1140" s="155"/>
    </row>
    <row r="1141" spans="1:76" ht="15.75" customHeight="1">
      <c r="A1141" s="25"/>
      <c r="B1141" s="39"/>
      <c r="C1141" s="155"/>
      <c r="D1141" s="155"/>
      <c r="E1141" s="40"/>
      <c r="F1141" s="314"/>
      <c r="H1141" s="315"/>
      <c r="I1141" s="315"/>
      <c r="BA1141" s="30"/>
      <c r="BB1141" s="155"/>
      <c r="BC1141" s="314"/>
      <c r="BD1141" s="314"/>
      <c r="BE1141" s="314"/>
      <c r="BF1141" s="314"/>
      <c r="BG1141" s="314"/>
      <c r="BH1141" s="314"/>
      <c r="BI1141" s="314"/>
      <c r="BJ1141" s="314"/>
      <c r="BK1141" s="40"/>
      <c r="BL1141" s="40"/>
      <c r="BM1141" s="40"/>
      <c r="BN1141" s="40"/>
      <c r="BO1141" s="40"/>
      <c r="BP1141" s="155"/>
      <c r="BQ1141" s="314"/>
      <c r="BR1141" s="314"/>
      <c r="BS1141" s="314"/>
      <c r="BT1141" s="314"/>
      <c r="BU1141" s="314"/>
      <c r="BV1141" s="314"/>
      <c r="BW1141" s="314"/>
      <c r="BX1141" s="155"/>
    </row>
    <row r="1142" spans="1:76" ht="15.75" customHeight="1">
      <c r="A1142" s="25"/>
      <c r="B1142" s="39"/>
      <c r="C1142" s="155"/>
      <c r="D1142" s="155"/>
      <c r="E1142" s="341"/>
      <c r="F1142" s="314"/>
      <c r="H1142" s="315"/>
      <c r="I1142" s="315"/>
      <c r="BA1142" s="30"/>
      <c r="BB1142" s="321"/>
      <c r="BC1142" s="314"/>
      <c r="BD1142" s="314"/>
      <c r="BE1142" s="314"/>
      <c r="BF1142" s="314"/>
      <c r="BG1142" s="314"/>
      <c r="BH1142" s="314"/>
      <c r="BI1142" s="314"/>
      <c r="BJ1142" s="314"/>
      <c r="BK1142" s="40"/>
      <c r="BL1142" s="40"/>
      <c r="BM1142" s="40"/>
      <c r="BN1142" s="40"/>
      <c r="BO1142" s="40"/>
      <c r="BP1142" s="155"/>
      <c r="BQ1142" s="314"/>
      <c r="BR1142" s="314"/>
      <c r="BS1142" s="314"/>
      <c r="BT1142" s="314"/>
      <c r="BU1142" s="314"/>
      <c r="BV1142" s="314"/>
      <c r="BW1142" s="314"/>
      <c r="BX1142" s="155"/>
    </row>
    <row r="1143" spans="1:76" ht="15.75" customHeight="1">
      <c r="A1143" s="25"/>
      <c r="B1143" s="39"/>
      <c r="C1143" s="155"/>
      <c r="D1143" s="155"/>
      <c r="E1143" s="40"/>
      <c r="F1143" s="314"/>
      <c r="H1143" s="315"/>
      <c r="I1143" s="315"/>
      <c r="BA1143" s="30"/>
      <c r="BB1143" s="155"/>
      <c r="BC1143" s="314"/>
      <c r="BD1143" s="314"/>
      <c r="BE1143" s="314"/>
      <c r="BF1143" s="314"/>
      <c r="BG1143" s="314"/>
      <c r="BH1143" s="314"/>
      <c r="BI1143" s="314"/>
      <c r="BJ1143" s="314"/>
      <c r="BK1143" s="40"/>
      <c r="BL1143" s="40"/>
      <c r="BM1143" s="40"/>
      <c r="BN1143" s="40"/>
      <c r="BO1143" s="40"/>
      <c r="BP1143" s="155"/>
      <c r="BQ1143" s="314"/>
      <c r="BR1143" s="314"/>
      <c r="BS1143" s="314"/>
      <c r="BT1143" s="314"/>
      <c r="BU1143" s="314"/>
      <c r="BV1143" s="314"/>
      <c r="BW1143" s="314"/>
      <c r="BX1143" s="155"/>
    </row>
    <row r="1144" spans="1:76" ht="15.75" customHeight="1">
      <c r="A1144" s="25"/>
      <c r="B1144" s="39"/>
      <c r="C1144" s="155"/>
      <c r="D1144" s="155"/>
      <c r="E1144" s="40"/>
      <c r="F1144" s="314"/>
      <c r="H1144" s="315"/>
      <c r="I1144" s="315"/>
      <c r="BA1144" s="30"/>
      <c r="BB1144" s="155"/>
      <c r="BC1144" s="314"/>
      <c r="BD1144" s="314"/>
      <c r="BE1144" s="314"/>
      <c r="BF1144" s="314"/>
      <c r="BG1144" s="314"/>
      <c r="BH1144" s="314"/>
      <c r="BI1144" s="314"/>
      <c r="BJ1144" s="314"/>
      <c r="BK1144" s="40"/>
      <c r="BL1144" s="40"/>
      <c r="BM1144" s="40"/>
      <c r="BN1144" s="40"/>
      <c r="BO1144" s="40"/>
      <c r="BP1144" s="155"/>
      <c r="BQ1144" s="314"/>
      <c r="BR1144" s="314"/>
      <c r="BS1144" s="314"/>
      <c r="BT1144" s="314"/>
      <c r="BU1144" s="314"/>
      <c r="BV1144" s="314"/>
      <c r="BW1144" s="314"/>
      <c r="BX1144" s="155"/>
    </row>
    <row r="1145" spans="1:76" ht="15.75" customHeight="1">
      <c r="A1145" s="25"/>
      <c r="B1145" s="39"/>
      <c r="C1145" s="155"/>
      <c r="D1145" s="155"/>
      <c r="E1145" s="40"/>
      <c r="F1145" s="314"/>
      <c r="H1145" s="315"/>
      <c r="I1145" s="315"/>
      <c r="BA1145" s="30"/>
      <c r="BB1145" s="155"/>
      <c r="BC1145" s="314"/>
      <c r="BD1145" s="314"/>
      <c r="BE1145" s="314"/>
      <c r="BF1145" s="314"/>
      <c r="BG1145" s="314"/>
      <c r="BH1145" s="314"/>
      <c r="BI1145" s="314"/>
      <c r="BJ1145" s="314"/>
      <c r="BK1145" s="40"/>
      <c r="BL1145" s="40"/>
      <c r="BM1145" s="40"/>
      <c r="BN1145" s="40"/>
      <c r="BO1145" s="40"/>
      <c r="BP1145" s="155"/>
      <c r="BQ1145" s="314"/>
      <c r="BR1145" s="314"/>
      <c r="BS1145" s="314"/>
      <c r="BT1145" s="314"/>
      <c r="BU1145" s="314"/>
      <c r="BV1145" s="314"/>
      <c r="BW1145" s="314"/>
      <c r="BX1145" s="155"/>
    </row>
    <row r="1146" spans="1:76" ht="15.75" customHeight="1">
      <c r="A1146" s="25"/>
      <c r="B1146" s="39"/>
      <c r="C1146" s="155"/>
      <c r="D1146" s="155"/>
      <c r="E1146" s="40"/>
      <c r="F1146" s="314"/>
      <c r="H1146" s="315"/>
      <c r="I1146" s="315"/>
      <c r="BA1146" s="30"/>
      <c r="BB1146" s="155"/>
      <c r="BC1146" s="314"/>
      <c r="BD1146" s="314"/>
      <c r="BE1146" s="314"/>
      <c r="BF1146" s="314"/>
      <c r="BG1146" s="314"/>
      <c r="BH1146" s="314"/>
      <c r="BI1146" s="314"/>
      <c r="BJ1146" s="314"/>
      <c r="BK1146" s="40"/>
      <c r="BL1146" s="40"/>
      <c r="BM1146" s="40"/>
      <c r="BN1146" s="40"/>
      <c r="BO1146" s="40"/>
      <c r="BP1146" s="155"/>
      <c r="BQ1146" s="314"/>
      <c r="BR1146" s="314"/>
      <c r="BS1146" s="314"/>
      <c r="BT1146" s="314"/>
      <c r="BU1146" s="314"/>
      <c r="BV1146" s="314"/>
      <c r="BW1146" s="314"/>
      <c r="BX1146" s="155"/>
    </row>
    <row r="1147" spans="1:76" ht="15.75" customHeight="1">
      <c r="A1147" s="25"/>
      <c r="B1147" s="39"/>
      <c r="C1147" s="155"/>
      <c r="D1147" s="155"/>
      <c r="E1147" s="40"/>
      <c r="F1147" s="314"/>
      <c r="H1147" s="315"/>
      <c r="I1147" s="315"/>
      <c r="BA1147" s="30"/>
      <c r="BB1147" s="155"/>
      <c r="BC1147" s="314"/>
      <c r="BD1147" s="314"/>
      <c r="BE1147" s="314"/>
      <c r="BF1147" s="314"/>
      <c r="BG1147" s="314"/>
      <c r="BH1147" s="314"/>
      <c r="BI1147" s="314"/>
      <c r="BJ1147" s="314"/>
      <c r="BK1147" s="40"/>
      <c r="BL1147" s="40"/>
      <c r="BM1147" s="40"/>
      <c r="BN1147" s="40"/>
      <c r="BO1147" s="40"/>
      <c r="BP1147" s="155"/>
      <c r="BQ1147" s="314"/>
      <c r="BR1147" s="314"/>
      <c r="BS1147" s="314"/>
      <c r="BT1147" s="314"/>
      <c r="BU1147" s="314"/>
      <c r="BV1147" s="314"/>
      <c r="BW1147" s="314"/>
      <c r="BX1147" s="155"/>
    </row>
    <row r="1148" spans="1:76" ht="15.75" customHeight="1">
      <c r="A1148" s="25"/>
      <c r="B1148" s="39"/>
      <c r="C1148" s="155"/>
      <c r="D1148" s="155"/>
      <c r="E1148" s="40"/>
      <c r="F1148" s="314"/>
      <c r="H1148" s="315"/>
      <c r="I1148" s="315"/>
      <c r="BA1148" s="30"/>
      <c r="BB1148" s="155"/>
      <c r="BC1148" s="314"/>
      <c r="BD1148" s="314"/>
      <c r="BE1148" s="314"/>
      <c r="BF1148" s="314"/>
      <c r="BG1148" s="314"/>
      <c r="BH1148" s="314"/>
      <c r="BI1148" s="314"/>
      <c r="BJ1148" s="314"/>
      <c r="BK1148" s="40"/>
      <c r="BL1148" s="40"/>
      <c r="BM1148" s="40"/>
      <c r="BN1148" s="40"/>
      <c r="BO1148" s="40"/>
      <c r="BP1148" s="155"/>
      <c r="BQ1148" s="314"/>
      <c r="BR1148" s="314"/>
      <c r="BS1148" s="314"/>
      <c r="BT1148" s="314"/>
      <c r="BU1148" s="314"/>
      <c r="BV1148" s="314"/>
      <c r="BW1148" s="314"/>
      <c r="BX1148" s="155"/>
    </row>
    <row r="1149" spans="1:76" ht="15.75" customHeight="1">
      <c r="A1149" s="25"/>
      <c r="B1149" s="39"/>
      <c r="C1149" s="155"/>
      <c r="D1149" s="155"/>
      <c r="E1149" s="40"/>
      <c r="F1149" s="314"/>
      <c r="H1149" s="315"/>
      <c r="I1149" s="315"/>
      <c r="BA1149" s="30"/>
      <c r="BB1149" s="155"/>
      <c r="BC1149" s="314"/>
      <c r="BD1149" s="314"/>
      <c r="BE1149" s="314"/>
      <c r="BF1149" s="314"/>
      <c r="BG1149" s="314"/>
      <c r="BH1149" s="314"/>
      <c r="BI1149" s="314"/>
      <c r="BJ1149" s="314"/>
      <c r="BK1149" s="40"/>
      <c r="BL1149" s="40"/>
      <c r="BM1149" s="40"/>
      <c r="BN1149" s="40"/>
      <c r="BO1149" s="40"/>
      <c r="BP1149" s="155"/>
      <c r="BQ1149" s="314"/>
      <c r="BR1149" s="314"/>
      <c r="BS1149" s="314"/>
      <c r="BT1149" s="314"/>
      <c r="BU1149" s="314"/>
      <c r="BV1149" s="314"/>
      <c r="BW1149" s="314"/>
      <c r="BX1149" s="155"/>
    </row>
    <row r="1150" spans="1:76" ht="15.75" customHeight="1">
      <c r="A1150" s="25"/>
      <c r="B1150" s="39"/>
      <c r="C1150" s="155"/>
      <c r="D1150" s="155"/>
      <c r="E1150" s="341"/>
      <c r="F1150" s="314"/>
      <c r="H1150" s="315"/>
      <c r="I1150" s="315"/>
      <c r="BA1150" s="30"/>
      <c r="BB1150" s="321"/>
      <c r="BC1150" s="314"/>
      <c r="BD1150" s="314"/>
      <c r="BE1150" s="314"/>
      <c r="BF1150" s="314"/>
      <c r="BG1150" s="314"/>
      <c r="BH1150" s="314"/>
      <c r="BI1150" s="314"/>
      <c r="BJ1150" s="314"/>
      <c r="BK1150" s="40"/>
      <c r="BL1150" s="40"/>
      <c r="BM1150" s="40"/>
      <c r="BN1150" s="40"/>
      <c r="BO1150" s="40"/>
      <c r="BP1150" s="155"/>
      <c r="BQ1150" s="314"/>
      <c r="BR1150" s="314"/>
      <c r="BS1150" s="314"/>
      <c r="BT1150" s="314"/>
      <c r="BU1150" s="314"/>
      <c r="BV1150" s="314"/>
      <c r="BW1150" s="314"/>
      <c r="BX1150" s="155"/>
    </row>
    <row r="1151" spans="1:76" ht="15.75" customHeight="1">
      <c r="A1151" s="25"/>
      <c r="B1151" s="39"/>
      <c r="C1151" s="155"/>
      <c r="D1151" s="155"/>
      <c r="E1151" s="40"/>
      <c r="F1151" s="314"/>
      <c r="H1151" s="315"/>
      <c r="I1151" s="315"/>
      <c r="BA1151" s="30"/>
      <c r="BB1151" s="155"/>
      <c r="BC1151" s="314"/>
      <c r="BD1151" s="314"/>
      <c r="BE1151" s="314"/>
      <c r="BF1151" s="314"/>
      <c r="BG1151" s="314"/>
      <c r="BH1151" s="314"/>
      <c r="BI1151" s="314"/>
      <c r="BJ1151" s="314"/>
      <c r="BK1151" s="40"/>
      <c r="BL1151" s="40"/>
      <c r="BM1151" s="40"/>
      <c r="BN1151" s="40"/>
      <c r="BO1151" s="40"/>
      <c r="BP1151" s="155"/>
      <c r="BQ1151" s="314"/>
      <c r="BR1151" s="314"/>
      <c r="BS1151" s="314"/>
      <c r="BT1151" s="314"/>
      <c r="BU1151" s="314"/>
      <c r="BV1151" s="314"/>
      <c r="BW1151" s="314"/>
      <c r="BX1151" s="155"/>
    </row>
    <row r="1152" spans="1:76" ht="15.75" customHeight="1">
      <c r="A1152" s="25"/>
      <c r="B1152" s="39"/>
      <c r="C1152" s="155"/>
      <c r="D1152" s="155"/>
      <c r="E1152" s="40"/>
      <c r="F1152" s="314"/>
      <c r="H1152" s="315"/>
      <c r="I1152" s="315"/>
      <c r="BA1152" s="30"/>
      <c r="BB1152" s="155"/>
      <c r="BC1152" s="314"/>
      <c r="BD1152" s="314"/>
      <c r="BE1152" s="314"/>
      <c r="BF1152" s="314"/>
      <c r="BG1152" s="314"/>
      <c r="BH1152" s="314"/>
      <c r="BI1152" s="314"/>
      <c r="BJ1152" s="314"/>
      <c r="BK1152" s="40"/>
      <c r="BL1152" s="40"/>
      <c r="BM1152" s="40"/>
      <c r="BN1152" s="40"/>
      <c r="BO1152" s="40"/>
      <c r="BP1152" s="155"/>
      <c r="BQ1152" s="314"/>
      <c r="BR1152" s="314"/>
      <c r="BS1152" s="314"/>
      <c r="BT1152" s="314"/>
      <c r="BU1152" s="314"/>
      <c r="BV1152" s="314"/>
      <c r="BW1152" s="314"/>
      <c r="BX1152" s="155"/>
    </row>
    <row r="1153" spans="1:76" ht="15.75" customHeight="1">
      <c r="A1153" s="25"/>
      <c r="B1153" s="39"/>
      <c r="C1153" s="155"/>
      <c r="D1153" s="155"/>
      <c r="E1153" s="40"/>
      <c r="F1153" s="314"/>
      <c r="H1153" s="315"/>
      <c r="I1153" s="315"/>
      <c r="BA1153" s="30"/>
      <c r="BB1153" s="155"/>
      <c r="BC1153" s="314"/>
      <c r="BD1153" s="314"/>
      <c r="BE1153" s="314"/>
      <c r="BF1153" s="314"/>
      <c r="BG1153" s="314"/>
      <c r="BH1153" s="314"/>
      <c r="BI1153" s="314"/>
      <c r="BJ1153" s="314"/>
      <c r="BK1153" s="40"/>
      <c r="BL1153" s="40"/>
      <c r="BM1153" s="40"/>
      <c r="BN1153" s="40"/>
      <c r="BO1153" s="40"/>
      <c r="BP1153" s="155"/>
      <c r="BQ1153" s="314"/>
      <c r="BR1153" s="314"/>
      <c r="BS1153" s="314"/>
      <c r="BT1153" s="314"/>
      <c r="BU1153" s="314"/>
      <c r="BV1153" s="314"/>
      <c r="BW1153" s="314"/>
      <c r="BX1153" s="155"/>
    </row>
    <row r="1154" spans="1:76" ht="15.75" customHeight="1">
      <c r="A1154" s="25"/>
      <c r="B1154" s="39"/>
      <c r="C1154" s="155"/>
      <c r="D1154" s="155"/>
      <c r="E1154" s="40"/>
      <c r="F1154" s="314"/>
      <c r="H1154" s="315"/>
      <c r="I1154" s="315"/>
      <c r="BA1154" s="30"/>
      <c r="BB1154" s="155"/>
      <c r="BC1154" s="314"/>
      <c r="BD1154" s="314"/>
      <c r="BE1154" s="314"/>
      <c r="BF1154" s="314"/>
      <c r="BG1154" s="314"/>
      <c r="BH1154" s="314"/>
      <c r="BI1154" s="314"/>
      <c r="BJ1154" s="314"/>
      <c r="BK1154" s="40"/>
      <c r="BL1154" s="40"/>
      <c r="BM1154" s="40"/>
      <c r="BN1154" s="40"/>
      <c r="BO1154" s="40"/>
      <c r="BP1154" s="155"/>
      <c r="BQ1154" s="314"/>
      <c r="BR1154" s="314"/>
      <c r="BS1154" s="314"/>
      <c r="BT1154" s="314"/>
      <c r="BU1154" s="314"/>
      <c r="BV1154" s="314"/>
      <c r="BW1154" s="314"/>
      <c r="BX1154" s="155"/>
    </row>
    <row r="1155" spans="1:76" ht="15.75" customHeight="1">
      <c r="A1155" s="25"/>
      <c r="B1155" s="39"/>
      <c r="C1155" s="155"/>
      <c r="D1155" s="155"/>
      <c r="E1155" s="40"/>
      <c r="F1155" s="314"/>
      <c r="H1155" s="315"/>
      <c r="I1155" s="315"/>
      <c r="BA1155" s="30"/>
      <c r="BB1155" s="155"/>
      <c r="BC1155" s="314"/>
      <c r="BD1155" s="314"/>
      <c r="BE1155" s="314"/>
      <c r="BF1155" s="314"/>
      <c r="BG1155" s="314"/>
      <c r="BH1155" s="314"/>
      <c r="BI1155" s="314"/>
      <c r="BJ1155" s="314"/>
      <c r="BK1155" s="40"/>
      <c r="BL1155" s="40"/>
      <c r="BM1155" s="40"/>
      <c r="BN1155" s="40"/>
      <c r="BO1155" s="40"/>
      <c r="BP1155" s="155"/>
      <c r="BQ1155" s="314"/>
      <c r="BR1155" s="314"/>
      <c r="BS1155" s="314"/>
      <c r="BT1155" s="314"/>
      <c r="BU1155" s="314"/>
      <c r="BV1155" s="314"/>
      <c r="BW1155" s="314"/>
      <c r="BX1155" s="155"/>
    </row>
    <row r="1156" spans="1:76" ht="15.75" customHeight="1">
      <c r="A1156" s="25"/>
      <c r="B1156" s="39"/>
      <c r="C1156" s="155"/>
      <c r="D1156" s="155"/>
      <c r="E1156" s="40"/>
      <c r="F1156" s="314"/>
      <c r="H1156" s="315"/>
      <c r="I1156" s="315"/>
      <c r="BA1156" s="30"/>
      <c r="BB1156" s="155"/>
      <c r="BC1156" s="314"/>
      <c r="BD1156" s="314"/>
      <c r="BE1156" s="314"/>
      <c r="BF1156" s="314"/>
      <c r="BG1156" s="314"/>
      <c r="BH1156" s="314"/>
      <c r="BI1156" s="314"/>
      <c r="BJ1156" s="314"/>
      <c r="BK1156" s="40"/>
      <c r="BL1156" s="40"/>
      <c r="BM1156" s="40"/>
      <c r="BN1156" s="40"/>
      <c r="BO1156" s="40"/>
      <c r="BP1156" s="155"/>
      <c r="BQ1156" s="314"/>
      <c r="BR1156" s="314"/>
      <c r="BS1156" s="314"/>
      <c r="BT1156" s="314"/>
      <c r="BU1156" s="314"/>
      <c r="BV1156" s="314"/>
      <c r="BW1156" s="314"/>
      <c r="BX1156" s="155"/>
    </row>
    <row r="1157" spans="1:76" ht="15.75" customHeight="1">
      <c r="A1157" s="25"/>
      <c r="B1157" s="39"/>
      <c r="C1157" s="155"/>
      <c r="D1157" s="155"/>
      <c r="E1157" s="40"/>
      <c r="F1157" s="314"/>
      <c r="H1157" s="315"/>
      <c r="I1157" s="315"/>
      <c r="BA1157" s="30"/>
      <c r="BB1157" s="155"/>
      <c r="BC1157" s="314"/>
      <c r="BD1157" s="314"/>
      <c r="BE1157" s="314"/>
      <c r="BF1157" s="314"/>
      <c r="BG1157" s="314"/>
      <c r="BH1157" s="314"/>
      <c r="BI1157" s="314"/>
      <c r="BJ1157" s="314"/>
      <c r="BK1157" s="40"/>
      <c r="BL1157" s="40"/>
      <c r="BM1157" s="40"/>
      <c r="BN1157" s="40"/>
      <c r="BO1157" s="40"/>
      <c r="BP1157" s="155"/>
      <c r="BQ1157" s="314"/>
      <c r="BR1157" s="314"/>
      <c r="BS1157" s="314"/>
      <c r="BT1157" s="314"/>
      <c r="BU1157" s="314"/>
      <c r="BV1157" s="314"/>
      <c r="BW1157" s="314"/>
      <c r="BX1157" s="155"/>
    </row>
    <row r="1158" spans="1:76" ht="15.75" customHeight="1">
      <c r="A1158" s="25"/>
      <c r="B1158" s="39"/>
      <c r="C1158" s="155"/>
      <c r="D1158" s="155"/>
      <c r="E1158" s="341"/>
      <c r="F1158" s="314"/>
      <c r="H1158" s="315"/>
      <c r="I1158" s="315"/>
      <c r="BA1158" s="30"/>
      <c r="BB1158" s="321"/>
      <c r="BC1158" s="314"/>
      <c r="BD1158" s="314"/>
      <c r="BE1158" s="314"/>
      <c r="BF1158" s="314"/>
      <c r="BG1158" s="314"/>
      <c r="BH1158" s="314"/>
      <c r="BI1158" s="314"/>
      <c r="BJ1158" s="314"/>
      <c r="BK1158" s="40"/>
      <c r="BL1158" s="40"/>
      <c r="BM1158" s="40"/>
      <c r="BN1158" s="40"/>
      <c r="BO1158" s="40"/>
      <c r="BP1158" s="155"/>
      <c r="BQ1158" s="314"/>
      <c r="BR1158" s="314"/>
      <c r="BS1158" s="314"/>
      <c r="BT1158" s="314"/>
      <c r="BU1158" s="314"/>
      <c r="BV1158" s="314"/>
      <c r="BW1158" s="314"/>
      <c r="BX1158" s="155"/>
    </row>
    <row r="1159" spans="1:76" ht="15.75" customHeight="1">
      <c r="A1159" s="25"/>
      <c r="B1159" s="39"/>
      <c r="C1159" s="155"/>
      <c r="D1159" s="155"/>
      <c r="E1159" s="40"/>
      <c r="F1159" s="314"/>
      <c r="H1159" s="315"/>
      <c r="I1159" s="315"/>
      <c r="BA1159" s="30"/>
      <c r="BB1159" s="155"/>
      <c r="BC1159" s="314"/>
      <c r="BD1159" s="314"/>
      <c r="BE1159" s="314"/>
      <c r="BF1159" s="314"/>
      <c r="BG1159" s="314"/>
      <c r="BH1159" s="314"/>
      <c r="BI1159" s="314"/>
      <c r="BJ1159" s="314"/>
      <c r="BK1159" s="40"/>
      <c r="BL1159" s="40"/>
      <c r="BM1159" s="40"/>
      <c r="BN1159" s="40"/>
      <c r="BO1159" s="40"/>
      <c r="BP1159" s="155"/>
      <c r="BQ1159" s="314"/>
      <c r="BR1159" s="314"/>
      <c r="BS1159" s="314"/>
      <c r="BT1159" s="314"/>
      <c r="BU1159" s="314"/>
      <c r="BV1159" s="314"/>
      <c r="BW1159" s="314"/>
      <c r="BX1159" s="155"/>
    </row>
    <row r="1160" spans="1:76" ht="15.75" customHeight="1">
      <c r="A1160" s="25"/>
      <c r="B1160" s="39"/>
      <c r="C1160" s="155"/>
      <c r="D1160" s="155"/>
      <c r="E1160" s="40"/>
      <c r="F1160" s="314"/>
      <c r="H1160" s="315"/>
      <c r="I1160" s="315"/>
      <c r="BA1160" s="30"/>
      <c r="BB1160" s="155"/>
      <c r="BC1160" s="322"/>
      <c r="BD1160" s="322"/>
      <c r="BE1160" s="322"/>
      <c r="BF1160" s="322"/>
      <c r="BG1160" s="322"/>
      <c r="BH1160" s="322"/>
      <c r="BI1160" s="322"/>
      <c r="BJ1160" s="322"/>
      <c r="BK1160" s="341"/>
      <c r="BL1160" s="40"/>
      <c r="BM1160" s="40"/>
      <c r="BN1160" s="40"/>
      <c r="BO1160" s="40"/>
      <c r="BP1160" s="155"/>
      <c r="BQ1160" s="314"/>
      <c r="BR1160" s="314"/>
      <c r="BS1160" s="314"/>
      <c r="BT1160" s="314"/>
      <c r="BU1160" s="314"/>
      <c r="BV1160" s="314"/>
      <c r="BW1160" s="314"/>
      <c r="BX1160" s="155"/>
    </row>
    <row r="1161" spans="1:76" ht="15.75" customHeight="1">
      <c r="A1161" s="25"/>
      <c r="B1161" s="39"/>
      <c r="C1161" s="155"/>
      <c r="D1161" s="155"/>
      <c r="E1161" s="40"/>
      <c r="F1161" s="314"/>
      <c r="H1161" s="315"/>
      <c r="I1161" s="315"/>
      <c r="BA1161" s="30"/>
      <c r="BB1161" s="155"/>
      <c r="BC1161" s="314"/>
      <c r="BD1161" s="314"/>
      <c r="BE1161" s="314"/>
      <c r="BF1161" s="314"/>
      <c r="BG1161" s="314"/>
      <c r="BH1161" s="314"/>
      <c r="BI1161" s="314"/>
      <c r="BJ1161" s="314"/>
      <c r="BK1161" s="40"/>
      <c r="BL1161" s="40"/>
      <c r="BM1161" s="40"/>
      <c r="BN1161" s="40"/>
      <c r="BO1161" s="40"/>
      <c r="BP1161" s="155"/>
      <c r="BQ1161" s="314"/>
      <c r="BR1161" s="314"/>
      <c r="BS1161" s="314"/>
      <c r="BT1161" s="314"/>
      <c r="BU1161" s="314"/>
      <c r="BV1161" s="314"/>
      <c r="BW1161" s="314"/>
      <c r="BX1161" s="155"/>
    </row>
    <row r="1162" spans="1:76" ht="15.75" customHeight="1">
      <c r="A1162" s="25"/>
      <c r="B1162" s="39"/>
      <c r="C1162" s="155"/>
      <c r="D1162" s="155"/>
      <c r="E1162" s="40"/>
      <c r="F1162" s="314"/>
      <c r="H1162" s="315"/>
      <c r="I1162" s="315"/>
      <c r="BA1162" s="30"/>
      <c r="BB1162" s="155"/>
      <c r="BC1162" s="314"/>
      <c r="BD1162" s="314"/>
      <c r="BE1162" s="314"/>
      <c r="BF1162" s="314"/>
      <c r="BG1162" s="314"/>
      <c r="BH1162" s="314"/>
      <c r="BI1162" s="314"/>
      <c r="BJ1162" s="314"/>
      <c r="BK1162" s="40"/>
      <c r="BL1162" s="40"/>
      <c r="BM1162" s="40"/>
      <c r="BN1162" s="40"/>
      <c r="BO1162" s="40"/>
      <c r="BP1162" s="155"/>
      <c r="BQ1162" s="314"/>
      <c r="BR1162" s="314"/>
      <c r="BS1162" s="314"/>
      <c r="BT1162" s="314"/>
      <c r="BU1162" s="314"/>
      <c r="BV1162" s="314"/>
      <c r="BW1162" s="314"/>
      <c r="BX1162" s="155"/>
    </row>
    <row r="1163" spans="1:76" ht="15.75" customHeight="1">
      <c r="A1163" s="25"/>
      <c r="B1163" s="39"/>
      <c r="C1163" s="155"/>
      <c r="D1163" s="155"/>
      <c r="E1163" s="40"/>
      <c r="F1163" s="314"/>
      <c r="H1163" s="315"/>
      <c r="I1163" s="315"/>
      <c r="BA1163" s="30"/>
      <c r="BB1163" s="155"/>
      <c r="BC1163" s="314"/>
      <c r="BD1163" s="314"/>
      <c r="BE1163" s="314"/>
      <c r="BF1163" s="314"/>
      <c r="BG1163" s="314"/>
      <c r="BH1163" s="314"/>
      <c r="BI1163" s="314"/>
      <c r="BJ1163" s="314"/>
      <c r="BK1163" s="40"/>
      <c r="BL1163" s="40"/>
      <c r="BM1163" s="40"/>
      <c r="BN1163" s="40"/>
      <c r="BO1163" s="40"/>
      <c r="BP1163" s="155"/>
      <c r="BQ1163" s="314"/>
      <c r="BR1163" s="314"/>
      <c r="BS1163" s="314"/>
      <c r="BT1163" s="314"/>
      <c r="BU1163" s="314"/>
      <c r="BV1163" s="314"/>
      <c r="BW1163" s="314"/>
      <c r="BX1163" s="155"/>
    </row>
    <row r="1164" spans="1:76" ht="15.75" customHeight="1">
      <c r="A1164" s="25"/>
      <c r="B1164" s="39"/>
      <c r="C1164" s="155"/>
      <c r="D1164" s="155"/>
      <c r="E1164" s="40"/>
      <c r="F1164" s="314"/>
      <c r="H1164" s="315"/>
      <c r="I1164" s="315"/>
      <c r="BA1164" s="30"/>
      <c r="BB1164" s="155"/>
      <c r="BC1164" s="314"/>
      <c r="BD1164" s="314"/>
      <c r="BE1164" s="314"/>
      <c r="BF1164" s="314"/>
      <c r="BG1164" s="314"/>
      <c r="BH1164" s="314"/>
      <c r="BI1164" s="314"/>
      <c r="BJ1164" s="314"/>
      <c r="BK1164" s="40"/>
      <c r="BL1164" s="40"/>
      <c r="BM1164" s="40"/>
      <c r="BN1164" s="40"/>
      <c r="BO1164" s="40"/>
      <c r="BP1164" s="155"/>
      <c r="BQ1164" s="314"/>
      <c r="BR1164" s="314"/>
      <c r="BS1164" s="314"/>
      <c r="BT1164" s="314"/>
      <c r="BU1164" s="314"/>
      <c r="BV1164" s="314"/>
      <c r="BW1164" s="314"/>
      <c r="BX1164" s="155"/>
    </row>
    <row r="1165" spans="1:76" ht="15.75" customHeight="1">
      <c r="A1165" s="25"/>
      <c r="B1165" s="39"/>
      <c r="C1165" s="155"/>
      <c r="D1165" s="155"/>
      <c r="E1165" s="40"/>
      <c r="F1165" s="314"/>
      <c r="H1165" s="315"/>
      <c r="I1165" s="315"/>
      <c r="BA1165" s="30"/>
      <c r="BB1165" s="155"/>
      <c r="BC1165" s="314"/>
      <c r="BD1165" s="314"/>
      <c r="BE1165" s="314"/>
      <c r="BF1165" s="314"/>
      <c r="BG1165" s="314"/>
      <c r="BH1165" s="314"/>
      <c r="BI1165" s="314"/>
      <c r="BJ1165" s="314"/>
      <c r="BK1165" s="40"/>
      <c r="BL1165" s="40"/>
      <c r="BM1165" s="40"/>
      <c r="BN1165" s="40"/>
      <c r="BO1165" s="40"/>
      <c r="BP1165" s="155"/>
      <c r="BQ1165" s="314"/>
      <c r="BR1165" s="314"/>
      <c r="BS1165" s="314"/>
      <c r="BT1165" s="314"/>
      <c r="BU1165" s="314"/>
      <c r="BV1165" s="314"/>
      <c r="BW1165" s="314"/>
      <c r="BX1165" s="155"/>
    </row>
    <row r="1166" spans="1:76" ht="15.75" customHeight="1">
      <c r="A1166" s="25"/>
      <c r="B1166" s="39"/>
      <c r="C1166" s="155"/>
      <c r="D1166" s="155"/>
      <c r="E1166" s="341"/>
      <c r="F1166" s="314"/>
      <c r="H1166" s="315"/>
      <c r="I1166" s="315"/>
      <c r="BA1166" s="30"/>
      <c r="BB1166" s="321"/>
      <c r="BC1166" s="314"/>
      <c r="BD1166" s="314"/>
      <c r="BE1166" s="314"/>
      <c r="BF1166" s="314"/>
      <c r="BG1166" s="314"/>
      <c r="BH1166" s="314"/>
      <c r="BI1166" s="314"/>
      <c r="BJ1166" s="314"/>
      <c r="BK1166" s="40"/>
      <c r="BL1166" s="40"/>
      <c r="BM1166" s="40"/>
      <c r="BN1166" s="40"/>
      <c r="BO1166" s="40"/>
      <c r="BP1166" s="155"/>
      <c r="BQ1166" s="314"/>
      <c r="BR1166" s="314"/>
      <c r="BS1166" s="314"/>
      <c r="BT1166" s="314"/>
      <c r="BU1166" s="314"/>
      <c r="BV1166" s="314"/>
      <c r="BW1166" s="314"/>
      <c r="BX1166" s="155"/>
    </row>
    <row r="1167" spans="1:76" ht="15.75" customHeight="1">
      <c r="A1167" s="25"/>
      <c r="B1167" s="39"/>
      <c r="C1167" s="155"/>
      <c r="D1167" s="155"/>
      <c r="E1167" s="40"/>
      <c r="F1167" s="314"/>
      <c r="H1167" s="315"/>
      <c r="I1167" s="315"/>
      <c r="BA1167" s="30"/>
      <c r="BB1167" s="155"/>
      <c r="BC1167" s="314"/>
      <c r="BD1167" s="314"/>
      <c r="BE1167" s="314"/>
      <c r="BF1167" s="314"/>
      <c r="BG1167" s="314"/>
      <c r="BH1167" s="314"/>
      <c r="BI1167" s="314"/>
      <c r="BJ1167" s="314"/>
      <c r="BK1167" s="40"/>
      <c r="BL1167" s="40"/>
      <c r="BM1167" s="40"/>
      <c r="BN1167" s="40"/>
      <c r="BO1167" s="40"/>
      <c r="BP1167" s="155"/>
      <c r="BQ1167" s="314"/>
      <c r="BR1167" s="314"/>
      <c r="BS1167" s="314"/>
      <c r="BT1167" s="314"/>
      <c r="BU1167" s="314"/>
      <c r="BV1167" s="314"/>
      <c r="BW1167" s="314"/>
      <c r="BX1167" s="155"/>
    </row>
    <row r="1168" spans="1:76" ht="15.75" customHeight="1">
      <c r="A1168" s="25"/>
      <c r="B1168" s="39"/>
      <c r="C1168" s="155"/>
      <c r="D1168" s="155"/>
      <c r="E1168" s="40"/>
      <c r="F1168" s="314"/>
      <c r="H1168" s="315"/>
      <c r="I1168" s="315"/>
      <c r="BA1168" s="30"/>
      <c r="BB1168" s="155"/>
      <c r="BC1168" s="314"/>
      <c r="BD1168" s="314"/>
      <c r="BE1168" s="314"/>
      <c r="BF1168" s="314"/>
      <c r="BG1168" s="314"/>
      <c r="BH1168" s="314"/>
      <c r="BI1168" s="314"/>
      <c r="BJ1168" s="314"/>
      <c r="BK1168" s="40"/>
      <c r="BL1168" s="40"/>
      <c r="BM1168" s="40"/>
      <c r="BN1168" s="40"/>
      <c r="BO1168" s="40"/>
      <c r="BP1168" s="155"/>
      <c r="BQ1168" s="314"/>
      <c r="BR1168" s="314"/>
      <c r="BS1168" s="314"/>
      <c r="BT1168" s="314"/>
      <c r="BU1168" s="314"/>
      <c r="BV1168" s="314"/>
      <c r="BW1168" s="314"/>
      <c r="BX1168" s="155"/>
    </row>
    <row r="1169" spans="1:76" ht="15.75" customHeight="1">
      <c r="A1169" s="25"/>
      <c r="B1169" s="39"/>
      <c r="C1169" s="155"/>
      <c r="D1169" s="155"/>
      <c r="E1169" s="40"/>
      <c r="F1169" s="314"/>
      <c r="H1169" s="315"/>
      <c r="I1169" s="315"/>
      <c r="BA1169" s="30"/>
      <c r="BB1169" s="155"/>
      <c r="BC1169" s="314"/>
      <c r="BD1169" s="314"/>
      <c r="BE1169" s="314"/>
      <c r="BF1169" s="314"/>
      <c r="BG1169" s="314"/>
      <c r="BH1169" s="314"/>
      <c r="BI1169" s="314"/>
      <c r="BJ1169" s="314"/>
      <c r="BK1169" s="40"/>
      <c r="BL1169" s="40"/>
      <c r="BM1169" s="40"/>
      <c r="BN1169" s="40"/>
      <c r="BO1169" s="40"/>
      <c r="BP1169" s="155"/>
      <c r="BQ1169" s="314"/>
      <c r="BR1169" s="314"/>
      <c r="BS1169" s="314"/>
      <c r="BT1169" s="314"/>
      <c r="BU1169" s="314"/>
      <c r="BV1169" s="314"/>
      <c r="BW1169" s="314"/>
      <c r="BX1169" s="155"/>
    </row>
    <row r="1170" spans="1:76" ht="15.75" customHeight="1">
      <c r="A1170" s="25"/>
      <c r="B1170" s="39"/>
      <c r="C1170" s="155"/>
      <c r="D1170" s="155"/>
      <c r="E1170" s="40"/>
      <c r="F1170" s="314"/>
      <c r="H1170" s="315"/>
      <c r="I1170" s="315"/>
      <c r="BA1170" s="30"/>
      <c r="BB1170" s="155"/>
      <c r="BC1170" s="314"/>
      <c r="BD1170" s="314"/>
      <c r="BE1170" s="314"/>
      <c r="BF1170" s="314"/>
      <c r="BG1170" s="314"/>
      <c r="BH1170" s="314"/>
      <c r="BI1170" s="314"/>
      <c r="BJ1170" s="314"/>
      <c r="BK1170" s="40"/>
      <c r="BL1170" s="40"/>
      <c r="BM1170" s="40"/>
      <c r="BN1170" s="40"/>
      <c r="BO1170" s="40"/>
      <c r="BP1170" s="155"/>
      <c r="BQ1170" s="314"/>
      <c r="BR1170" s="314"/>
      <c r="BS1170" s="314"/>
      <c r="BT1170" s="314"/>
      <c r="BU1170" s="314"/>
      <c r="BV1170" s="314"/>
      <c r="BW1170" s="314"/>
      <c r="BX1170" s="155"/>
    </row>
    <row r="1171" spans="1:76" ht="15.75" customHeight="1">
      <c r="A1171" s="25"/>
      <c r="B1171" s="39"/>
      <c r="C1171" s="155"/>
      <c r="D1171" s="155"/>
      <c r="E1171" s="40"/>
      <c r="F1171" s="314"/>
      <c r="H1171" s="315"/>
      <c r="I1171" s="315"/>
      <c r="BA1171" s="30"/>
      <c r="BB1171" s="155"/>
      <c r="BC1171" s="314"/>
      <c r="BD1171" s="314"/>
      <c r="BE1171" s="314"/>
      <c r="BF1171" s="314"/>
      <c r="BG1171" s="314"/>
      <c r="BH1171" s="314"/>
      <c r="BI1171" s="314"/>
      <c r="BJ1171" s="314"/>
      <c r="BK1171" s="40"/>
      <c r="BL1171" s="40"/>
      <c r="BM1171" s="40"/>
      <c r="BN1171" s="40"/>
      <c r="BO1171" s="40"/>
      <c r="BP1171" s="155"/>
      <c r="BQ1171" s="314"/>
      <c r="BR1171" s="314"/>
      <c r="BS1171" s="314"/>
      <c r="BT1171" s="314"/>
      <c r="BU1171" s="314"/>
      <c r="BV1171" s="314"/>
      <c r="BW1171" s="314"/>
      <c r="BX1171" s="155"/>
    </row>
    <row r="1172" spans="1:76" ht="15.75" customHeight="1">
      <c r="A1172" s="25"/>
      <c r="B1172" s="39"/>
      <c r="C1172" s="155"/>
      <c r="D1172" s="155"/>
      <c r="E1172" s="40"/>
      <c r="F1172" s="314"/>
      <c r="H1172" s="315"/>
      <c r="I1172" s="315"/>
      <c r="BA1172" s="30"/>
      <c r="BB1172" s="155"/>
      <c r="BC1172" s="314"/>
      <c r="BD1172" s="314"/>
      <c r="BE1172" s="314"/>
      <c r="BF1172" s="314"/>
      <c r="BG1172" s="314"/>
      <c r="BH1172" s="314"/>
      <c r="BI1172" s="314"/>
      <c r="BJ1172" s="314"/>
      <c r="BK1172" s="40"/>
      <c r="BL1172" s="40"/>
      <c r="BM1172" s="40"/>
      <c r="BN1172" s="40"/>
      <c r="BO1172" s="40"/>
      <c r="BP1172" s="155"/>
      <c r="BQ1172" s="314"/>
      <c r="BR1172" s="314"/>
      <c r="BS1172" s="314"/>
      <c r="BT1172" s="314"/>
      <c r="BU1172" s="314"/>
      <c r="BV1172" s="314"/>
      <c r="BW1172" s="314"/>
      <c r="BX1172" s="155"/>
    </row>
    <row r="1173" spans="1:76" ht="15.75" customHeight="1">
      <c r="A1173" s="25"/>
      <c r="B1173" s="39"/>
      <c r="C1173" s="155"/>
      <c r="D1173" s="155"/>
      <c r="E1173" s="40"/>
      <c r="F1173" s="314"/>
      <c r="H1173" s="315"/>
      <c r="I1173" s="315"/>
      <c r="BA1173" s="30"/>
      <c r="BB1173" s="155"/>
      <c r="BC1173" s="314"/>
      <c r="BD1173" s="314"/>
      <c r="BE1173" s="314"/>
      <c r="BF1173" s="314"/>
      <c r="BG1173" s="314"/>
      <c r="BH1173" s="314"/>
      <c r="BI1173" s="314"/>
      <c r="BJ1173" s="314"/>
      <c r="BK1173" s="40"/>
      <c r="BL1173" s="40"/>
      <c r="BM1173" s="40"/>
      <c r="BN1173" s="40"/>
      <c r="BO1173" s="40"/>
      <c r="BP1173" s="155"/>
      <c r="BQ1173" s="314"/>
      <c r="BR1173" s="314"/>
      <c r="BS1173" s="314"/>
      <c r="BT1173" s="314"/>
      <c r="BU1173" s="314"/>
      <c r="BV1173" s="314"/>
      <c r="BW1173" s="314"/>
      <c r="BX1173" s="155"/>
    </row>
    <row r="1174" spans="1:76" ht="15.75" customHeight="1">
      <c r="A1174" s="25"/>
      <c r="B1174" s="39"/>
      <c r="C1174" s="155"/>
      <c r="D1174" s="155"/>
      <c r="E1174" s="341"/>
      <c r="F1174" s="314"/>
      <c r="H1174" s="315"/>
      <c r="I1174" s="315"/>
      <c r="BA1174" s="30"/>
      <c r="BB1174" s="321"/>
      <c r="BC1174" s="314"/>
      <c r="BD1174" s="314"/>
      <c r="BE1174" s="314"/>
      <c r="BF1174" s="314"/>
      <c r="BG1174" s="314"/>
      <c r="BH1174" s="314"/>
      <c r="BI1174" s="314"/>
      <c r="BJ1174" s="314"/>
      <c r="BK1174" s="40"/>
      <c r="BL1174" s="40"/>
      <c r="BM1174" s="40"/>
      <c r="BN1174" s="40"/>
      <c r="BO1174" s="40"/>
      <c r="BP1174" s="155"/>
      <c r="BQ1174" s="314"/>
      <c r="BR1174" s="314"/>
      <c r="BS1174" s="314"/>
      <c r="BT1174" s="314"/>
      <c r="BU1174" s="314"/>
      <c r="BV1174" s="314"/>
      <c r="BW1174" s="314"/>
      <c r="BX1174" s="155"/>
    </row>
    <row r="1175" spans="1:76" ht="15.75" customHeight="1">
      <c r="A1175" s="25"/>
      <c r="B1175" s="39"/>
      <c r="C1175" s="155"/>
      <c r="D1175" s="155"/>
      <c r="E1175" s="40"/>
      <c r="F1175" s="314"/>
      <c r="H1175" s="315"/>
      <c r="I1175" s="315"/>
      <c r="BA1175" s="30"/>
      <c r="BB1175" s="155"/>
      <c r="BC1175" s="314"/>
      <c r="BD1175" s="314"/>
      <c r="BE1175" s="314"/>
      <c r="BF1175" s="314"/>
      <c r="BG1175" s="314"/>
      <c r="BH1175" s="314"/>
      <c r="BI1175" s="314"/>
      <c r="BJ1175" s="314"/>
      <c r="BK1175" s="40"/>
      <c r="BL1175" s="40"/>
      <c r="BM1175" s="40"/>
      <c r="BN1175" s="40"/>
      <c r="BO1175" s="40"/>
      <c r="BP1175" s="155"/>
      <c r="BQ1175" s="314"/>
      <c r="BR1175" s="314"/>
      <c r="BS1175" s="314"/>
      <c r="BT1175" s="314"/>
      <c r="BU1175" s="314"/>
      <c r="BV1175" s="314"/>
      <c r="BW1175" s="314"/>
      <c r="BX1175" s="155"/>
    </row>
    <row r="1176" spans="1:76" ht="15.75" customHeight="1">
      <c r="A1176" s="25"/>
      <c r="B1176" s="39"/>
      <c r="C1176" s="155"/>
      <c r="D1176" s="155"/>
      <c r="E1176" s="40"/>
      <c r="F1176" s="314"/>
      <c r="H1176" s="315"/>
      <c r="I1176" s="315"/>
      <c r="BA1176" s="30"/>
      <c r="BB1176" s="155"/>
      <c r="BC1176" s="314"/>
      <c r="BD1176" s="314"/>
      <c r="BE1176" s="314"/>
      <c r="BF1176" s="314"/>
      <c r="BG1176" s="314"/>
      <c r="BH1176" s="314"/>
      <c r="BI1176" s="314"/>
      <c r="BJ1176" s="314"/>
      <c r="BK1176" s="40"/>
      <c r="BL1176" s="40"/>
      <c r="BM1176" s="40"/>
      <c r="BN1176" s="40"/>
      <c r="BO1176" s="40"/>
      <c r="BP1176" s="155"/>
      <c r="BQ1176" s="314"/>
      <c r="BR1176" s="314"/>
      <c r="BS1176" s="314"/>
      <c r="BT1176" s="314"/>
      <c r="BU1176" s="314"/>
      <c r="BV1176" s="314"/>
      <c r="BW1176" s="314"/>
      <c r="BX1176" s="155"/>
    </row>
    <row r="1177" spans="1:76" ht="15.75" customHeight="1">
      <c r="A1177" s="25"/>
      <c r="B1177" s="39"/>
      <c r="C1177" s="155"/>
      <c r="D1177" s="155"/>
      <c r="E1177" s="40"/>
      <c r="F1177" s="314"/>
      <c r="H1177" s="315"/>
      <c r="I1177" s="315"/>
      <c r="BA1177" s="30"/>
      <c r="BB1177" s="155"/>
      <c r="BC1177" s="314"/>
      <c r="BD1177" s="314"/>
      <c r="BE1177" s="314"/>
      <c r="BF1177" s="314"/>
      <c r="BG1177" s="314"/>
      <c r="BH1177" s="314"/>
      <c r="BI1177" s="314"/>
      <c r="BJ1177" s="314"/>
      <c r="BK1177" s="40"/>
      <c r="BL1177" s="40"/>
      <c r="BM1177" s="40"/>
      <c r="BN1177" s="40"/>
      <c r="BO1177" s="40"/>
      <c r="BP1177" s="155"/>
      <c r="BQ1177" s="314"/>
      <c r="BR1177" s="314"/>
      <c r="BS1177" s="314"/>
      <c r="BT1177" s="314"/>
      <c r="BU1177" s="314"/>
      <c r="BV1177" s="314"/>
      <c r="BW1177" s="314"/>
      <c r="BX1177" s="155"/>
    </row>
    <row r="1178" spans="1:76" ht="15.75" customHeight="1">
      <c r="A1178" s="25"/>
      <c r="B1178" s="39"/>
      <c r="C1178" s="155"/>
      <c r="D1178" s="155"/>
      <c r="E1178" s="40"/>
      <c r="F1178" s="314"/>
      <c r="H1178" s="315"/>
      <c r="I1178" s="315"/>
      <c r="BA1178" s="30"/>
      <c r="BB1178" s="155"/>
      <c r="BC1178" s="314"/>
      <c r="BD1178" s="314"/>
      <c r="BE1178" s="314"/>
      <c r="BF1178" s="314"/>
      <c r="BG1178" s="314"/>
      <c r="BH1178" s="314"/>
      <c r="BI1178" s="314"/>
      <c r="BJ1178" s="314"/>
      <c r="BK1178" s="40"/>
      <c r="BL1178" s="40"/>
      <c r="BM1178" s="40"/>
      <c r="BN1178" s="40"/>
      <c r="BO1178" s="40"/>
      <c r="BP1178" s="155"/>
      <c r="BQ1178" s="314"/>
      <c r="BR1178" s="314"/>
      <c r="BS1178" s="314"/>
      <c r="BT1178" s="314"/>
      <c r="BU1178" s="314"/>
      <c r="BV1178" s="314"/>
      <c r="BW1178" s="314"/>
      <c r="BX1178" s="155"/>
    </row>
    <row r="1179" spans="1:76" ht="15.75" customHeight="1">
      <c r="A1179" s="25"/>
      <c r="B1179" s="39"/>
      <c r="C1179" s="155"/>
      <c r="D1179" s="155"/>
      <c r="E1179" s="40"/>
      <c r="F1179" s="314"/>
      <c r="H1179" s="315"/>
      <c r="I1179" s="315"/>
      <c r="BA1179" s="30"/>
      <c r="BB1179" s="155"/>
      <c r="BC1179" s="314"/>
      <c r="BD1179" s="314"/>
      <c r="BE1179" s="314"/>
      <c r="BF1179" s="314"/>
      <c r="BG1179" s="314"/>
      <c r="BH1179" s="314"/>
      <c r="BI1179" s="314"/>
      <c r="BJ1179" s="314"/>
      <c r="BK1179" s="40"/>
      <c r="BL1179" s="40"/>
      <c r="BM1179" s="40"/>
      <c r="BN1179" s="40"/>
      <c r="BO1179" s="40"/>
      <c r="BP1179" s="155"/>
      <c r="BQ1179" s="314"/>
      <c r="BR1179" s="314"/>
      <c r="BS1179" s="314"/>
      <c r="BT1179" s="314"/>
      <c r="BU1179" s="314"/>
      <c r="BV1179" s="314"/>
      <c r="BW1179" s="314"/>
      <c r="BX1179" s="155"/>
    </row>
    <row r="1180" spans="1:76" ht="15.75" customHeight="1">
      <c r="A1180" s="25"/>
      <c r="B1180" s="39"/>
      <c r="C1180" s="155"/>
      <c r="D1180" s="155"/>
      <c r="E1180" s="40"/>
      <c r="F1180" s="314"/>
      <c r="H1180" s="315"/>
      <c r="I1180" s="315"/>
      <c r="BA1180" s="30"/>
      <c r="BB1180" s="155"/>
      <c r="BC1180" s="314"/>
      <c r="BD1180" s="314"/>
      <c r="BE1180" s="314"/>
      <c r="BF1180" s="314"/>
      <c r="BG1180" s="314"/>
      <c r="BH1180" s="314"/>
      <c r="BI1180" s="314"/>
      <c r="BJ1180" s="314"/>
      <c r="BK1180" s="40"/>
      <c r="BL1180" s="40"/>
      <c r="BM1180" s="40"/>
      <c r="BN1180" s="40"/>
      <c r="BO1180" s="40"/>
      <c r="BP1180" s="155"/>
      <c r="BQ1180" s="314"/>
      <c r="BR1180" s="314"/>
      <c r="BS1180" s="314"/>
      <c r="BT1180" s="314"/>
      <c r="BU1180" s="314"/>
      <c r="BV1180" s="314"/>
      <c r="BW1180" s="314"/>
      <c r="BX1180" s="155"/>
    </row>
    <row r="1181" spans="1:76" ht="15.75" customHeight="1">
      <c r="A1181" s="25"/>
      <c r="B1181" s="39"/>
      <c r="C1181" s="155"/>
      <c r="D1181" s="155"/>
      <c r="E1181" s="40"/>
      <c r="F1181" s="314"/>
      <c r="H1181" s="315"/>
      <c r="I1181" s="315"/>
      <c r="BA1181" s="30"/>
      <c r="BB1181" s="155"/>
      <c r="BC1181" s="314"/>
      <c r="BD1181" s="314"/>
      <c r="BE1181" s="314"/>
      <c r="BF1181" s="314"/>
      <c r="BG1181" s="314"/>
      <c r="BH1181" s="314"/>
      <c r="BI1181" s="314"/>
      <c r="BJ1181" s="314"/>
      <c r="BK1181" s="40"/>
      <c r="BL1181" s="40"/>
      <c r="BM1181" s="40"/>
      <c r="BN1181" s="40"/>
      <c r="BO1181" s="40"/>
      <c r="BP1181" s="155"/>
      <c r="BQ1181" s="314"/>
      <c r="BR1181" s="314"/>
      <c r="BS1181" s="314"/>
      <c r="BT1181" s="314"/>
      <c r="BU1181" s="314"/>
      <c r="BV1181" s="314"/>
      <c r="BW1181" s="314"/>
      <c r="BX1181" s="155"/>
    </row>
    <row r="1182" spans="1:76" ht="15.75" customHeight="1">
      <c r="A1182" s="25"/>
      <c r="B1182" s="39"/>
      <c r="C1182" s="155"/>
      <c r="D1182" s="155"/>
      <c r="E1182" s="341"/>
      <c r="F1182" s="314"/>
      <c r="H1182" s="315"/>
      <c r="I1182" s="315"/>
      <c r="BA1182" s="30"/>
      <c r="BB1182" s="321"/>
      <c r="BC1182" s="314"/>
      <c r="BD1182" s="314"/>
      <c r="BE1182" s="314"/>
      <c r="BF1182" s="314"/>
      <c r="BG1182" s="314"/>
      <c r="BH1182" s="314"/>
      <c r="BI1182" s="314"/>
      <c r="BJ1182" s="314"/>
      <c r="BK1182" s="40"/>
      <c r="BL1182" s="40"/>
      <c r="BM1182" s="40"/>
      <c r="BN1182" s="40"/>
      <c r="BO1182" s="40"/>
      <c r="BP1182" s="155"/>
      <c r="BQ1182" s="314"/>
      <c r="BR1182" s="314"/>
      <c r="BS1182" s="314"/>
      <c r="BT1182" s="314"/>
      <c r="BU1182" s="314"/>
      <c r="BV1182" s="314"/>
      <c r="BW1182" s="314"/>
      <c r="BX1182" s="155"/>
    </row>
    <row r="1183" spans="1:76" ht="15.75" customHeight="1">
      <c r="A1183" s="25"/>
      <c r="B1183" s="39"/>
      <c r="C1183" s="155"/>
      <c r="D1183" s="155"/>
      <c r="E1183" s="40"/>
      <c r="F1183" s="314"/>
      <c r="H1183" s="315"/>
      <c r="I1183" s="315"/>
      <c r="BA1183" s="30"/>
      <c r="BB1183" s="155"/>
      <c r="BC1183" s="314"/>
      <c r="BD1183" s="314"/>
      <c r="BE1183" s="314"/>
      <c r="BF1183" s="314"/>
      <c r="BG1183" s="314"/>
      <c r="BH1183" s="314"/>
      <c r="BI1183" s="314"/>
      <c r="BJ1183" s="314"/>
      <c r="BK1183" s="40"/>
      <c r="BL1183" s="40"/>
      <c r="BM1183" s="40"/>
      <c r="BN1183" s="40"/>
      <c r="BO1183" s="40"/>
      <c r="BP1183" s="155"/>
      <c r="BQ1183" s="314"/>
      <c r="BR1183" s="314"/>
      <c r="BS1183" s="314"/>
      <c r="BT1183" s="314"/>
      <c r="BU1183" s="314"/>
      <c r="BV1183" s="314"/>
      <c r="BW1183" s="314"/>
      <c r="BX1183" s="155"/>
    </row>
    <row r="1184" spans="1:76" ht="15.75" customHeight="1">
      <c r="A1184" s="25"/>
      <c r="B1184" s="39"/>
      <c r="C1184" s="155"/>
      <c r="D1184" s="155"/>
      <c r="E1184" s="40"/>
      <c r="F1184" s="314"/>
      <c r="H1184" s="315"/>
      <c r="I1184" s="315"/>
      <c r="BA1184" s="30"/>
      <c r="BB1184" s="155"/>
      <c r="BC1184" s="314"/>
      <c r="BD1184" s="314"/>
      <c r="BE1184" s="314"/>
      <c r="BF1184" s="314"/>
      <c r="BG1184" s="314"/>
      <c r="BH1184" s="314"/>
      <c r="BI1184" s="314"/>
      <c r="BJ1184" s="314"/>
      <c r="BK1184" s="40"/>
      <c r="BL1184" s="40"/>
      <c r="BM1184" s="40"/>
      <c r="BN1184" s="40"/>
      <c r="BO1184" s="40"/>
      <c r="BP1184" s="155"/>
      <c r="BQ1184" s="314"/>
      <c r="BR1184" s="314"/>
      <c r="BS1184" s="314"/>
      <c r="BT1184" s="314"/>
      <c r="BU1184" s="314"/>
      <c r="BV1184" s="314"/>
      <c r="BW1184" s="314"/>
      <c r="BX1184" s="155"/>
    </row>
    <row r="1185" spans="1:76" ht="15.75" customHeight="1">
      <c r="A1185" s="25"/>
      <c r="B1185" s="39"/>
      <c r="C1185" s="155"/>
      <c r="D1185" s="155"/>
      <c r="E1185" s="40"/>
      <c r="F1185" s="314"/>
      <c r="H1185" s="315"/>
      <c r="I1185" s="315"/>
      <c r="BA1185" s="30"/>
      <c r="BB1185" s="155"/>
      <c r="BC1185" s="314"/>
      <c r="BD1185" s="314"/>
      <c r="BE1185" s="314"/>
      <c r="BF1185" s="314"/>
      <c r="BG1185" s="314"/>
      <c r="BH1185" s="314"/>
      <c r="BI1185" s="314"/>
      <c r="BJ1185" s="314"/>
      <c r="BK1185" s="40"/>
      <c r="BL1185" s="40"/>
      <c r="BM1185" s="40"/>
      <c r="BN1185" s="40"/>
      <c r="BO1185" s="40"/>
      <c r="BP1185" s="155"/>
      <c r="BQ1185" s="314"/>
      <c r="BR1185" s="314"/>
      <c r="BS1185" s="314"/>
      <c r="BT1185" s="314"/>
      <c r="BU1185" s="314"/>
      <c r="BV1185" s="314"/>
      <c r="BW1185" s="314"/>
      <c r="BX1185" s="155"/>
    </row>
    <row r="1186" spans="1:76" ht="15.75" customHeight="1">
      <c r="A1186" s="25"/>
      <c r="B1186" s="39"/>
      <c r="C1186" s="155"/>
      <c r="D1186" s="155"/>
      <c r="E1186" s="40"/>
      <c r="F1186" s="314"/>
      <c r="H1186" s="315"/>
      <c r="I1186" s="315"/>
      <c r="BA1186" s="30"/>
      <c r="BB1186" s="155"/>
      <c r="BC1186" s="314"/>
      <c r="BD1186" s="314"/>
      <c r="BE1186" s="314"/>
      <c r="BF1186" s="314"/>
      <c r="BG1186" s="314"/>
      <c r="BH1186" s="314"/>
      <c r="BI1186" s="314"/>
      <c r="BJ1186" s="314"/>
      <c r="BK1186" s="40"/>
      <c r="BL1186" s="40"/>
      <c r="BM1186" s="40"/>
      <c r="BN1186" s="40"/>
      <c r="BO1186" s="40"/>
      <c r="BP1186" s="155"/>
      <c r="BQ1186" s="314"/>
      <c r="BR1186" s="314"/>
      <c r="BS1186" s="314"/>
      <c r="BT1186" s="314"/>
      <c r="BU1186" s="314"/>
      <c r="BV1186" s="314"/>
      <c r="BW1186" s="314"/>
      <c r="BX1186" s="155"/>
    </row>
    <row r="1187" spans="1:76" ht="15.75" customHeight="1">
      <c r="A1187" s="25"/>
      <c r="B1187" s="39"/>
      <c r="C1187" s="155"/>
      <c r="D1187" s="155"/>
      <c r="E1187" s="40"/>
      <c r="F1187" s="314"/>
      <c r="H1187" s="315"/>
      <c r="I1187" s="315"/>
      <c r="BA1187" s="30"/>
      <c r="BB1187" s="155"/>
      <c r="BC1187" s="314"/>
      <c r="BD1187" s="314"/>
      <c r="BE1187" s="314"/>
      <c r="BF1187" s="314"/>
      <c r="BG1187" s="314"/>
      <c r="BH1187" s="314"/>
      <c r="BI1187" s="314"/>
      <c r="BJ1187" s="314"/>
      <c r="BK1187" s="40"/>
      <c r="BL1187" s="40"/>
      <c r="BM1187" s="40"/>
      <c r="BN1187" s="40"/>
      <c r="BO1187" s="40"/>
      <c r="BP1187" s="155"/>
      <c r="BQ1187" s="314"/>
      <c r="BR1187" s="314"/>
      <c r="BS1187" s="314"/>
      <c r="BT1187" s="314"/>
      <c r="BU1187" s="314"/>
      <c r="BV1187" s="314"/>
      <c r="BW1187" s="314"/>
      <c r="BX1187" s="155"/>
    </row>
    <row r="1188" spans="1:76" ht="15.75" customHeight="1">
      <c r="A1188" s="25"/>
      <c r="B1188" s="39"/>
      <c r="C1188" s="155"/>
      <c r="D1188" s="155"/>
      <c r="E1188" s="40"/>
      <c r="F1188" s="314"/>
      <c r="H1188" s="315"/>
      <c r="I1188" s="315"/>
      <c r="BA1188" s="30"/>
      <c r="BB1188" s="155"/>
      <c r="BC1188" s="314"/>
      <c r="BD1188" s="314"/>
      <c r="BE1188" s="314"/>
      <c r="BF1188" s="314"/>
      <c r="BG1188" s="314"/>
      <c r="BH1188" s="314"/>
      <c r="BI1188" s="314"/>
      <c r="BJ1188" s="314"/>
      <c r="BK1188" s="40"/>
      <c r="BL1188" s="40"/>
      <c r="BM1188" s="40"/>
      <c r="BN1188" s="40"/>
      <c r="BO1188" s="40"/>
      <c r="BP1188" s="155"/>
      <c r="BQ1188" s="314"/>
      <c r="BR1188" s="314"/>
      <c r="BS1188" s="314"/>
      <c r="BT1188" s="314"/>
      <c r="BU1188" s="314"/>
      <c r="BV1188" s="314"/>
      <c r="BW1188" s="314"/>
      <c r="BX1188" s="155"/>
    </row>
    <row r="1189" spans="1:76" ht="15.75" customHeight="1">
      <c r="A1189" s="25"/>
      <c r="B1189" s="39"/>
      <c r="C1189" s="155"/>
      <c r="D1189" s="155"/>
      <c r="E1189" s="40"/>
      <c r="F1189" s="314"/>
      <c r="H1189" s="315"/>
      <c r="I1189" s="315"/>
      <c r="BA1189" s="30"/>
      <c r="BB1189" s="155"/>
      <c r="BC1189" s="314"/>
      <c r="BD1189" s="314"/>
      <c r="BE1189" s="314"/>
      <c r="BF1189" s="314"/>
      <c r="BG1189" s="314"/>
      <c r="BH1189" s="314"/>
      <c r="BI1189" s="314"/>
      <c r="BJ1189" s="314"/>
      <c r="BK1189" s="40"/>
      <c r="BL1189" s="40"/>
      <c r="BM1189" s="40"/>
      <c r="BN1189" s="40"/>
      <c r="BO1189" s="40"/>
      <c r="BP1189" s="155"/>
      <c r="BQ1189" s="314"/>
      <c r="BR1189" s="314"/>
      <c r="BS1189" s="314"/>
      <c r="BT1189" s="314"/>
      <c r="BU1189" s="314"/>
      <c r="BV1189" s="314"/>
      <c r="BW1189" s="314"/>
      <c r="BX1189" s="155"/>
    </row>
    <row r="1190" spans="1:76" ht="15.75" customHeight="1">
      <c r="A1190" s="25"/>
      <c r="B1190" s="39"/>
      <c r="C1190" s="155"/>
      <c r="D1190" s="155"/>
      <c r="E1190" s="341"/>
      <c r="F1190" s="314"/>
      <c r="H1190" s="315"/>
      <c r="I1190" s="315"/>
      <c r="BA1190" s="30"/>
      <c r="BB1190" s="321"/>
      <c r="BC1190" s="314"/>
      <c r="BD1190" s="314"/>
      <c r="BE1190" s="314"/>
      <c r="BF1190" s="314"/>
      <c r="BG1190" s="314"/>
      <c r="BH1190" s="314"/>
      <c r="BI1190" s="314"/>
      <c r="BJ1190" s="314"/>
      <c r="BK1190" s="40"/>
      <c r="BL1190" s="40"/>
      <c r="BM1190" s="40"/>
      <c r="BN1190" s="40"/>
      <c r="BO1190" s="40"/>
      <c r="BP1190" s="155"/>
      <c r="BQ1190" s="314"/>
      <c r="BR1190" s="314"/>
      <c r="BS1190" s="314"/>
      <c r="BT1190" s="314"/>
      <c r="BU1190" s="314"/>
      <c r="BV1190" s="314"/>
      <c r="BW1190" s="314"/>
      <c r="BX1190" s="155"/>
    </row>
    <row r="1191" spans="1:76" ht="15.75" customHeight="1">
      <c r="A1191" s="25"/>
      <c r="B1191" s="39"/>
      <c r="C1191" s="155"/>
      <c r="D1191" s="155"/>
      <c r="E1191" s="40"/>
      <c r="F1191" s="314"/>
      <c r="H1191" s="315"/>
      <c r="I1191" s="315"/>
      <c r="BA1191" s="30"/>
      <c r="BB1191" s="155"/>
      <c r="BC1191" s="314"/>
      <c r="BD1191" s="314"/>
      <c r="BE1191" s="314"/>
      <c r="BF1191" s="314"/>
      <c r="BG1191" s="314"/>
      <c r="BH1191" s="314"/>
      <c r="BI1191" s="314"/>
      <c r="BJ1191" s="314"/>
      <c r="BK1191" s="40"/>
      <c r="BL1191" s="40"/>
      <c r="BM1191" s="40"/>
      <c r="BN1191" s="40"/>
      <c r="BO1191" s="40"/>
      <c r="BP1191" s="155"/>
      <c r="BQ1191" s="314"/>
      <c r="BR1191" s="314"/>
      <c r="BS1191" s="314"/>
      <c r="BT1191" s="314"/>
      <c r="BU1191" s="314"/>
      <c r="BV1191" s="314"/>
      <c r="BW1191" s="314"/>
      <c r="BX1191" s="155"/>
    </row>
    <row r="1192" spans="1:76" ht="15.75" customHeight="1">
      <c r="A1192" s="25"/>
      <c r="B1192" s="39"/>
      <c r="C1192" s="155"/>
      <c r="D1192" s="155"/>
      <c r="E1192" s="40"/>
      <c r="F1192" s="314"/>
      <c r="H1192" s="315"/>
      <c r="I1192" s="315"/>
      <c r="BA1192" s="30"/>
      <c r="BB1192" s="155"/>
      <c r="BC1192" s="314"/>
      <c r="BD1192" s="314"/>
      <c r="BE1192" s="314"/>
      <c r="BF1192" s="314"/>
      <c r="BG1192" s="314"/>
      <c r="BH1192" s="314"/>
      <c r="BI1192" s="314"/>
      <c r="BJ1192" s="314"/>
      <c r="BK1192" s="40"/>
      <c r="BL1192" s="40"/>
      <c r="BM1192" s="40"/>
      <c r="BN1192" s="40"/>
      <c r="BO1192" s="40"/>
      <c r="BP1192" s="155"/>
      <c r="BQ1192" s="314"/>
      <c r="BR1192" s="314"/>
      <c r="BS1192" s="314"/>
      <c r="BT1192" s="314"/>
      <c r="BU1192" s="314"/>
      <c r="BV1192" s="314"/>
      <c r="BW1192" s="314"/>
      <c r="BX1192" s="155"/>
    </row>
    <row r="1193" spans="1:76" ht="15.75" customHeight="1">
      <c r="A1193" s="25"/>
      <c r="B1193" s="39"/>
      <c r="C1193" s="155"/>
      <c r="D1193" s="155"/>
      <c r="E1193" s="40"/>
      <c r="F1193" s="314"/>
      <c r="H1193" s="315"/>
      <c r="I1193" s="315"/>
      <c r="BA1193" s="30"/>
      <c r="BB1193" s="155"/>
      <c r="BC1193" s="314"/>
      <c r="BD1193" s="314"/>
      <c r="BE1193" s="314"/>
      <c r="BF1193" s="314"/>
      <c r="BG1193" s="314"/>
      <c r="BH1193" s="314"/>
      <c r="BI1193" s="314"/>
      <c r="BJ1193" s="314"/>
      <c r="BK1193" s="40"/>
      <c r="BL1193" s="40"/>
      <c r="BM1193" s="40"/>
      <c r="BN1193" s="40"/>
      <c r="BO1193" s="40"/>
      <c r="BP1193" s="155"/>
      <c r="BQ1193" s="314"/>
      <c r="BR1193" s="314"/>
      <c r="BS1193" s="314"/>
      <c r="BT1193" s="314"/>
      <c r="BU1193" s="314"/>
      <c r="BV1193" s="314"/>
      <c r="BW1193" s="314"/>
      <c r="BX1193" s="155"/>
    </row>
    <row r="1194" spans="1:76" ht="15.75" customHeight="1">
      <c r="A1194" s="25"/>
      <c r="B1194" s="39"/>
      <c r="C1194" s="155"/>
      <c r="D1194" s="155"/>
      <c r="E1194" s="40"/>
      <c r="F1194" s="314"/>
      <c r="H1194" s="315"/>
      <c r="I1194" s="315"/>
      <c r="BA1194" s="30"/>
      <c r="BB1194" s="155"/>
      <c r="BC1194" s="314"/>
      <c r="BD1194" s="314"/>
      <c r="BE1194" s="314"/>
      <c r="BF1194" s="314"/>
      <c r="BG1194" s="314"/>
      <c r="BH1194" s="314"/>
      <c r="BI1194" s="314"/>
      <c r="BJ1194" s="314"/>
      <c r="BK1194" s="40"/>
      <c r="BL1194" s="40"/>
      <c r="BM1194" s="40"/>
      <c r="BN1194" s="40"/>
      <c r="BO1194" s="40"/>
      <c r="BP1194" s="155"/>
      <c r="BQ1194" s="314"/>
      <c r="BR1194" s="314"/>
      <c r="BS1194" s="314"/>
      <c r="BT1194" s="314"/>
      <c r="BU1194" s="314"/>
      <c r="BV1194" s="314"/>
      <c r="BW1194" s="314"/>
      <c r="BX1194" s="155"/>
    </row>
    <row r="1195" spans="1:76" ht="15.75" customHeight="1">
      <c r="A1195" s="25"/>
      <c r="B1195" s="39"/>
      <c r="C1195" s="155"/>
      <c r="D1195" s="155"/>
      <c r="E1195" s="40"/>
      <c r="F1195" s="314"/>
      <c r="H1195" s="315"/>
      <c r="I1195" s="315"/>
      <c r="BA1195" s="30"/>
      <c r="BB1195" s="155"/>
      <c r="BC1195" s="314"/>
      <c r="BD1195" s="314"/>
      <c r="BE1195" s="314"/>
      <c r="BF1195" s="314"/>
      <c r="BG1195" s="314"/>
      <c r="BH1195" s="314"/>
      <c r="BI1195" s="314"/>
      <c r="BJ1195" s="314"/>
      <c r="BK1195" s="40"/>
      <c r="BL1195" s="40"/>
      <c r="BM1195" s="40"/>
      <c r="BN1195" s="40"/>
      <c r="BO1195" s="40"/>
      <c r="BP1195" s="155"/>
      <c r="BQ1195" s="314"/>
      <c r="BR1195" s="314"/>
      <c r="BS1195" s="314"/>
      <c r="BT1195" s="314"/>
      <c r="BU1195" s="314"/>
      <c r="BV1195" s="314"/>
      <c r="BW1195" s="314"/>
      <c r="BX1195" s="155"/>
    </row>
    <row r="1196" spans="1:76" ht="15.75" customHeight="1">
      <c r="A1196" s="25"/>
      <c r="B1196" s="39"/>
      <c r="C1196" s="155"/>
      <c r="D1196" s="155"/>
      <c r="E1196" s="40"/>
      <c r="F1196" s="314"/>
      <c r="H1196" s="315"/>
      <c r="I1196" s="315"/>
      <c r="BA1196" s="30"/>
      <c r="BB1196" s="155"/>
      <c r="BC1196" s="314"/>
      <c r="BD1196" s="314"/>
      <c r="BE1196" s="314"/>
      <c r="BF1196" s="314"/>
      <c r="BG1196" s="314"/>
      <c r="BH1196" s="314"/>
      <c r="BI1196" s="314"/>
      <c r="BJ1196" s="314"/>
      <c r="BK1196" s="40"/>
      <c r="BL1196" s="40"/>
      <c r="BM1196" s="40"/>
      <c r="BN1196" s="40"/>
      <c r="BO1196" s="40"/>
      <c r="BP1196" s="155"/>
      <c r="BQ1196" s="314"/>
      <c r="BR1196" s="314"/>
      <c r="BS1196" s="314"/>
      <c r="BT1196" s="314"/>
      <c r="BU1196" s="314"/>
      <c r="BV1196" s="314"/>
      <c r="BW1196" s="314"/>
      <c r="BX1196" s="155"/>
    </row>
    <row r="1197" spans="1:76" ht="15.75" customHeight="1">
      <c r="A1197" s="25"/>
      <c r="B1197" s="39"/>
      <c r="C1197" s="155"/>
      <c r="D1197" s="155"/>
      <c r="E1197" s="40"/>
      <c r="F1197" s="314"/>
      <c r="H1197" s="315"/>
      <c r="I1197" s="315"/>
      <c r="BA1197" s="30"/>
      <c r="BB1197" s="155"/>
      <c r="BC1197" s="314"/>
      <c r="BD1197" s="314"/>
      <c r="BE1197" s="314"/>
      <c r="BF1197" s="314"/>
      <c r="BG1197" s="314"/>
      <c r="BH1197" s="314"/>
      <c r="BI1197" s="314"/>
      <c r="BJ1197" s="314"/>
      <c r="BK1197" s="40"/>
      <c r="BL1197" s="40"/>
      <c r="BM1197" s="40"/>
      <c r="BN1197" s="40"/>
      <c r="BO1197" s="40"/>
      <c r="BP1197" s="155"/>
      <c r="BQ1197" s="314"/>
      <c r="BR1197" s="314"/>
      <c r="BS1197" s="314"/>
      <c r="BT1197" s="314"/>
      <c r="BU1197" s="314"/>
      <c r="BV1197" s="314"/>
      <c r="BW1197" s="314"/>
      <c r="BX1197" s="155"/>
    </row>
    <row r="1198" spans="1:76" ht="15.75" customHeight="1">
      <c r="A1198" s="25"/>
      <c r="B1198" s="39"/>
      <c r="C1198" s="155"/>
      <c r="D1198" s="155"/>
      <c r="E1198" s="341"/>
      <c r="F1198" s="314"/>
      <c r="H1198" s="315"/>
      <c r="I1198" s="315"/>
      <c r="BA1198" s="30"/>
      <c r="BB1198" s="321"/>
      <c r="BC1198" s="314"/>
      <c r="BD1198" s="314"/>
      <c r="BE1198" s="314"/>
      <c r="BF1198" s="314"/>
      <c r="BG1198" s="314"/>
      <c r="BH1198" s="314"/>
      <c r="BI1198" s="314"/>
      <c r="BJ1198" s="314"/>
      <c r="BK1198" s="40"/>
      <c r="BL1198" s="40"/>
      <c r="BM1198" s="40"/>
      <c r="BN1198" s="40"/>
      <c r="BO1198" s="40"/>
      <c r="BP1198" s="155"/>
      <c r="BQ1198" s="314"/>
      <c r="BR1198" s="314"/>
      <c r="BS1198" s="314"/>
      <c r="BT1198" s="314"/>
      <c r="BU1198" s="314"/>
      <c r="BV1198" s="314"/>
      <c r="BW1198" s="314"/>
      <c r="BX1198" s="155"/>
    </row>
    <row r="1199" spans="1:76" ht="15.75" customHeight="1">
      <c r="A1199" s="25"/>
      <c r="B1199" s="39"/>
      <c r="C1199" s="155"/>
      <c r="D1199" s="155"/>
      <c r="E1199" s="40"/>
      <c r="F1199" s="314"/>
      <c r="H1199" s="315"/>
      <c r="I1199" s="315"/>
      <c r="BA1199" s="30"/>
      <c r="BB1199" s="155"/>
      <c r="BC1199" s="314"/>
      <c r="BD1199" s="314"/>
      <c r="BE1199" s="314"/>
      <c r="BF1199" s="314"/>
      <c r="BG1199" s="314"/>
      <c r="BH1199" s="314"/>
      <c r="BI1199" s="314"/>
      <c r="BJ1199" s="314"/>
      <c r="BK1199" s="40"/>
      <c r="BL1199" s="40"/>
      <c r="BM1199" s="40"/>
      <c r="BN1199" s="40"/>
      <c r="BO1199" s="40"/>
      <c r="BP1199" s="155"/>
      <c r="BQ1199" s="314"/>
      <c r="BR1199" s="314"/>
      <c r="BS1199" s="314"/>
      <c r="BT1199" s="314"/>
      <c r="BU1199" s="314"/>
      <c r="BV1199" s="314"/>
      <c r="BW1199" s="314"/>
      <c r="BX1199" s="155"/>
    </row>
    <row r="1200" spans="1:76" ht="15.75" customHeight="1">
      <c r="A1200" s="25"/>
      <c r="B1200" s="39"/>
      <c r="C1200" s="155"/>
      <c r="D1200" s="155"/>
      <c r="E1200" s="40"/>
      <c r="F1200" s="314"/>
      <c r="H1200" s="315"/>
      <c r="I1200" s="315"/>
      <c r="BA1200" s="30"/>
      <c r="BB1200" s="155"/>
      <c r="BC1200" s="314"/>
      <c r="BD1200" s="314"/>
      <c r="BE1200" s="314"/>
      <c r="BF1200" s="314"/>
      <c r="BG1200" s="314"/>
      <c r="BH1200" s="314"/>
      <c r="BI1200" s="314"/>
      <c r="BJ1200" s="314"/>
      <c r="BK1200" s="40"/>
      <c r="BL1200" s="40"/>
      <c r="BM1200" s="40"/>
      <c r="BN1200" s="40"/>
      <c r="BO1200" s="40"/>
      <c r="BP1200" s="155"/>
      <c r="BQ1200" s="314"/>
      <c r="BR1200" s="314"/>
      <c r="BS1200" s="314"/>
      <c r="BT1200" s="314"/>
      <c r="BU1200" s="314"/>
      <c r="BV1200" s="314"/>
      <c r="BW1200" s="314"/>
      <c r="BX1200" s="155"/>
    </row>
    <row r="1201" spans="1:76" ht="15.75" customHeight="1">
      <c r="A1201" s="25"/>
      <c r="B1201" s="39"/>
      <c r="C1201" s="155"/>
      <c r="D1201" s="155"/>
      <c r="E1201" s="40"/>
      <c r="F1201" s="314"/>
      <c r="H1201" s="315"/>
      <c r="I1201" s="315"/>
      <c r="BA1201" s="30"/>
      <c r="BB1201" s="155"/>
      <c r="BC1201" s="314"/>
      <c r="BD1201" s="314"/>
      <c r="BE1201" s="314"/>
      <c r="BF1201" s="314"/>
      <c r="BG1201" s="314"/>
      <c r="BH1201" s="314"/>
      <c r="BI1201" s="314"/>
      <c r="BJ1201" s="314"/>
      <c r="BK1201" s="40"/>
      <c r="BL1201" s="40"/>
      <c r="BM1201" s="40"/>
      <c r="BN1201" s="40"/>
      <c r="BO1201" s="40"/>
      <c r="BP1201" s="155"/>
      <c r="BQ1201" s="314"/>
      <c r="BR1201" s="314"/>
      <c r="BS1201" s="314"/>
      <c r="BT1201" s="314"/>
      <c r="BU1201" s="314"/>
      <c r="BV1201" s="314"/>
      <c r="BW1201" s="314"/>
      <c r="BX1201" s="155"/>
    </row>
    <row r="1202" spans="1:76" ht="15.75" customHeight="1">
      <c r="A1202" s="25"/>
      <c r="B1202" s="39"/>
      <c r="C1202" s="155"/>
      <c r="D1202" s="155"/>
      <c r="E1202" s="40"/>
      <c r="F1202" s="314"/>
      <c r="H1202" s="315"/>
      <c r="I1202" s="315"/>
      <c r="BA1202" s="30"/>
      <c r="BB1202" s="155"/>
      <c r="BC1202" s="314"/>
      <c r="BD1202" s="314"/>
      <c r="BE1202" s="314"/>
      <c r="BF1202" s="314"/>
      <c r="BG1202" s="314"/>
      <c r="BH1202" s="314"/>
      <c r="BI1202" s="314"/>
      <c r="BJ1202" s="314"/>
      <c r="BK1202" s="40"/>
      <c r="BL1202" s="40"/>
      <c r="BM1202" s="40"/>
      <c r="BN1202" s="40"/>
      <c r="BO1202" s="40"/>
      <c r="BP1202" s="155"/>
      <c r="BQ1202" s="314"/>
      <c r="BR1202" s="314"/>
      <c r="BS1202" s="314"/>
      <c r="BT1202" s="314"/>
      <c r="BU1202" s="314"/>
      <c r="BV1202" s="314"/>
      <c r="BW1202" s="314"/>
      <c r="BX1202" s="155"/>
    </row>
    <row r="1203" spans="1:76" ht="15.75" customHeight="1">
      <c r="A1203" s="25"/>
      <c r="B1203" s="39"/>
      <c r="C1203" s="155"/>
      <c r="D1203" s="155"/>
      <c r="E1203" s="40"/>
      <c r="F1203" s="314"/>
      <c r="H1203" s="315"/>
      <c r="I1203" s="315"/>
      <c r="BA1203" s="30"/>
      <c r="BB1203" s="155"/>
      <c r="BC1203" s="314"/>
      <c r="BD1203" s="314"/>
      <c r="BE1203" s="314"/>
      <c r="BF1203" s="314"/>
      <c r="BG1203" s="314"/>
      <c r="BH1203" s="314"/>
      <c r="BI1203" s="314"/>
      <c r="BJ1203" s="314"/>
      <c r="BK1203" s="40"/>
      <c r="BL1203" s="40"/>
      <c r="BM1203" s="40"/>
      <c r="BN1203" s="40"/>
      <c r="BO1203" s="40"/>
      <c r="BP1203" s="155"/>
      <c r="BQ1203" s="314"/>
      <c r="BR1203" s="314"/>
      <c r="BS1203" s="314"/>
      <c r="BT1203" s="314"/>
      <c r="BU1203" s="314"/>
      <c r="BV1203" s="314"/>
      <c r="BW1203" s="314"/>
      <c r="BX1203" s="155"/>
    </row>
    <row r="1204" spans="1:76" ht="15.75" customHeight="1">
      <c r="A1204" s="25"/>
      <c r="B1204" s="39"/>
      <c r="C1204" s="155"/>
      <c r="D1204" s="155"/>
      <c r="E1204" s="40"/>
      <c r="F1204" s="314"/>
      <c r="H1204" s="315"/>
      <c r="I1204" s="315"/>
      <c r="BA1204" s="30"/>
      <c r="BB1204" s="155"/>
      <c r="BC1204" s="314"/>
      <c r="BD1204" s="314"/>
      <c r="BE1204" s="314"/>
      <c r="BF1204" s="314"/>
      <c r="BG1204" s="314"/>
      <c r="BH1204" s="314"/>
      <c r="BI1204" s="314"/>
      <c r="BJ1204" s="314"/>
      <c r="BK1204" s="40"/>
      <c r="BL1204" s="40"/>
      <c r="BM1204" s="40"/>
      <c r="BN1204" s="40"/>
      <c r="BO1204" s="40"/>
      <c r="BP1204" s="155"/>
      <c r="BQ1204" s="314"/>
      <c r="BR1204" s="314"/>
      <c r="BS1204" s="314"/>
      <c r="BT1204" s="314"/>
      <c r="BU1204" s="314"/>
      <c r="BV1204" s="314"/>
      <c r="BW1204" s="314"/>
      <c r="BX1204" s="155"/>
    </row>
    <row r="1205" spans="1:76" ht="15.75" customHeight="1">
      <c r="A1205" s="25"/>
      <c r="B1205" s="39"/>
      <c r="C1205" s="155"/>
      <c r="D1205" s="155"/>
      <c r="E1205" s="40"/>
      <c r="F1205" s="314"/>
      <c r="H1205" s="315"/>
      <c r="I1205" s="315"/>
      <c r="BA1205" s="30"/>
      <c r="BB1205" s="155"/>
      <c r="BC1205" s="314"/>
      <c r="BD1205" s="314"/>
      <c r="BE1205" s="314"/>
      <c r="BF1205" s="314"/>
      <c r="BG1205" s="314"/>
      <c r="BH1205" s="314"/>
      <c r="BI1205" s="314"/>
      <c r="BJ1205" s="314"/>
      <c r="BK1205" s="40"/>
      <c r="BL1205" s="40"/>
      <c r="BM1205" s="40"/>
      <c r="BN1205" s="40"/>
      <c r="BO1205" s="40"/>
      <c r="BP1205" s="155"/>
      <c r="BQ1205" s="314"/>
      <c r="BR1205" s="314"/>
      <c r="BS1205" s="314"/>
      <c r="BT1205" s="314"/>
      <c r="BU1205" s="314"/>
      <c r="BV1205" s="314"/>
      <c r="BW1205" s="314"/>
      <c r="BX1205" s="155"/>
    </row>
    <row r="1206" spans="1:76" ht="15.75" customHeight="1">
      <c r="A1206" s="25"/>
      <c r="B1206" s="39"/>
      <c r="C1206" s="155"/>
      <c r="D1206" s="155"/>
      <c r="E1206" s="341"/>
      <c r="F1206" s="314"/>
      <c r="H1206" s="315"/>
      <c r="I1206" s="315"/>
      <c r="BA1206" s="30"/>
      <c r="BB1206" s="321"/>
      <c r="BC1206" s="314"/>
      <c r="BD1206" s="314"/>
      <c r="BE1206" s="314"/>
      <c r="BF1206" s="314"/>
      <c r="BG1206" s="314"/>
      <c r="BH1206" s="314"/>
      <c r="BI1206" s="314"/>
      <c r="BJ1206" s="314"/>
      <c r="BK1206" s="40"/>
      <c r="BL1206" s="40"/>
      <c r="BM1206" s="40"/>
      <c r="BN1206" s="40"/>
      <c r="BO1206" s="40"/>
      <c r="BP1206" s="155"/>
      <c r="BQ1206" s="314"/>
      <c r="BR1206" s="314"/>
      <c r="BS1206" s="314"/>
      <c r="BT1206" s="314"/>
      <c r="BU1206" s="314"/>
      <c r="BV1206" s="314"/>
      <c r="BW1206" s="314"/>
      <c r="BX1206" s="155"/>
    </row>
    <row r="1207" spans="1:76" ht="15.75" customHeight="1">
      <c r="A1207" s="25"/>
      <c r="B1207" s="39"/>
      <c r="C1207" s="155"/>
      <c r="D1207" s="155"/>
      <c r="E1207" s="40"/>
      <c r="F1207" s="314"/>
      <c r="H1207" s="315"/>
      <c r="I1207" s="315"/>
      <c r="BA1207" s="30"/>
      <c r="BB1207" s="155"/>
      <c r="BC1207" s="314"/>
      <c r="BD1207" s="314"/>
      <c r="BE1207" s="314"/>
      <c r="BF1207" s="314"/>
      <c r="BG1207" s="314"/>
      <c r="BH1207" s="314"/>
      <c r="BI1207" s="314"/>
      <c r="BJ1207" s="314"/>
      <c r="BK1207" s="40"/>
      <c r="BL1207" s="40"/>
      <c r="BM1207" s="40"/>
      <c r="BN1207" s="40"/>
      <c r="BO1207" s="40"/>
      <c r="BP1207" s="155"/>
      <c r="BQ1207" s="314"/>
      <c r="BR1207" s="314"/>
      <c r="BS1207" s="314"/>
      <c r="BT1207" s="314"/>
      <c r="BU1207" s="314"/>
      <c r="BV1207" s="314"/>
      <c r="BW1207" s="314"/>
      <c r="BX1207" s="155"/>
    </row>
    <row r="1208" spans="1:76" ht="15.75" customHeight="1">
      <c r="A1208" s="25"/>
      <c r="B1208" s="39"/>
      <c r="C1208" s="155"/>
      <c r="D1208" s="155"/>
      <c r="E1208" s="40"/>
      <c r="F1208" s="314"/>
      <c r="H1208" s="315"/>
      <c r="I1208" s="315"/>
      <c r="BA1208" s="30"/>
      <c r="BB1208" s="155"/>
      <c r="BC1208" s="314"/>
      <c r="BD1208" s="314"/>
      <c r="BE1208" s="314"/>
      <c r="BF1208" s="314"/>
      <c r="BG1208" s="314"/>
      <c r="BH1208" s="314"/>
      <c r="BI1208" s="314"/>
      <c r="BJ1208" s="314"/>
      <c r="BK1208" s="40"/>
      <c r="BL1208" s="40"/>
      <c r="BM1208" s="40"/>
      <c r="BN1208" s="40"/>
      <c r="BO1208" s="40"/>
      <c r="BP1208" s="155"/>
      <c r="BQ1208" s="314"/>
      <c r="BR1208" s="314"/>
      <c r="BS1208" s="314"/>
      <c r="BT1208" s="314"/>
      <c r="BU1208" s="314"/>
      <c r="BV1208" s="314"/>
      <c r="BW1208" s="314"/>
      <c r="BX1208" s="155"/>
    </row>
    <row r="1209" spans="1:76" ht="15.75" customHeight="1">
      <c r="A1209" s="25"/>
      <c r="B1209" s="39"/>
      <c r="C1209" s="155"/>
      <c r="D1209" s="155"/>
      <c r="E1209" s="40"/>
      <c r="F1209" s="314"/>
      <c r="H1209" s="315"/>
      <c r="I1209" s="315"/>
      <c r="BA1209" s="30"/>
      <c r="BB1209" s="155"/>
      <c r="BC1209" s="314"/>
      <c r="BD1209" s="314"/>
      <c r="BE1209" s="314"/>
      <c r="BF1209" s="314"/>
      <c r="BG1209" s="314"/>
      <c r="BH1209" s="314"/>
      <c r="BI1209" s="314"/>
      <c r="BJ1209" s="314"/>
      <c r="BK1209" s="40"/>
      <c r="BL1209" s="40"/>
      <c r="BM1209" s="40"/>
      <c r="BN1209" s="40"/>
      <c r="BO1209" s="40"/>
      <c r="BP1209" s="155"/>
      <c r="BQ1209" s="314"/>
      <c r="BR1209" s="314"/>
      <c r="BS1209" s="314"/>
      <c r="BT1209" s="314"/>
      <c r="BU1209" s="314"/>
      <c r="BV1209" s="314"/>
      <c r="BW1209" s="314"/>
      <c r="BX1209" s="155"/>
    </row>
    <row r="1210" spans="1:76" ht="15.75" customHeight="1">
      <c r="A1210" s="25"/>
      <c r="B1210" s="39"/>
      <c r="C1210" s="155"/>
      <c r="D1210" s="155"/>
      <c r="E1210" s="40"/>
      <c r="F1210" s="314"/>
      <c r="H1210" s="315"/>
      <c r="I1210" s="315"/>
      <c r="BA1210" s="30"/>
      <c r="BB1210" s="155"/>
      <c r="BC1210" s="314"/>
      <c r="BD1210" s="314"/>
      <c r="BE1210" s="314"/>
      <c r="BF1210" s="314"/>
      <c r="BG1210" s="314"/>
      <c r="BH1210" s="314"/>
      <c r="BI1210" s="314"/>
      <c r="BJ1210" s="314"/>
      <c r="BK1210" s="40"/>
      <c r="BL1210" s="40"/>
      <c r="BM1210" s="40"/>
      <c r="BN1210" s="40"/>
      <c r="BO1210" s="40"/>
      <c r="BP1210" s="155"/>
      <c r="BQ1210" s="314"/>
      <c r="BR1210" s="314"/>
      <c r="BS1210" s="314"/>
      <c r="BT1210" s="314"/>
      <c r="BU1210" s="314"/>
      <c r="BV1210" s="314"/>
      <c r="BW1210" s="314"/>
      <c r="BX1210" s="155"/>
    </row>
    <row r="1211" spans="1:76" ht="15.75" customHeight="1">
      <c r="A1211" s="25"/>
      <c r="B1211" s="39"/>
      <c r="C1211" s="155"/>
      <c r="D1211" s="155"/>
      <c r="E1211" s="40"/>
      <c r="F1211" s="314"/>
      <c r="H1211" s="315"/>
      <c r="I1211" s="315"/>
      <c r="BA1211" s="30"/>
      <c r="BB1211" s="155"/>
      <c r="BC1211" s="314"/>
      <c r="BD1211" s="314"/>
      <c r="BE1211" s="314"/>
      <c r="BF1211" s="314"/>
      <c r="BG1211" s="314"/>
      <c r="BH1211" s="314"/>
      <c r="BI1211" s="314"/>
      <c r="BJ1211" s="314"/>
      <c r="BK1211" s="40"/>
      <c r="BL1211" s="40"/>
      <c r="BM1211" s="40"/>
      <c r="BN1211" s="40"/>
      <c r="BO1211" s="40"/>
      <c r="BP1211" s="155"/>
      <c r="BQ1211" s="314"/>
      <c r="BR1211" s="314"/>
      <c r="BS1211" s="314"/>
      <c r="BT1211" s="314"/>
      <c r="BU1211" s="314"/>
      <c r="BV1211" s="314"/>
      <c r="BW1211" s="314"/>
      <c r="BX1211" s="155"/>
    </row>
    <row r="1212" spans="1:76" ht="15.75" customHeight="1">
      <c r="A1212" s="25"/>
      <c r="B1212" s="39"/>
      <c r="C1212" s="155"/>
      <c r="D1212" s="155"/>
      <c r="E1212" s="40"/>
      <c r="F1212" s="314"/>
      <c r="H1212" s="315"/>
      <c r="I1212" s="315"/>
      <c r="BA1212" s="30"/>
      <c r="BB1212" s="155"/>
      <c r="BC1212" s="314"/>
      <c r="BD1212" s="314"/>
      <c r="BE1212" s="314"/>
      <c r="BF1212" s="314"/>
      <c r="BG1212" s="314"/>
      <c r="BH1212" s="314"/>
      <c r="BI1212" s="314"/>
      <c r="BJ1212" s="314"/>
      <c r="BK1212" s="40"/>
      <c r="BL1212" s="40"/>
      <c r="BM1212" s="40"/>
      <c r="BN1212" s="40"/>
      <c r="BO1212" s="40"/>
      <c r="BP1212" s="155"/>
      <c r="BQ1212" s="314"/>
      <c r="BR1212" s="314"/>
      <c r="BS1212" s="314"/>
      <c r="BT1212" s="314"/>
      <c r="BU1212" s="314"/>
      <c r="BV1212" s="314"/>
      <c r="BW1212" s="314"/>
      <c r="BX1212" s="155"/>
    </row>
    <row r="1213" spans="1:76" ht="15.75" customHeight="1">
      <c r="A1213" s="25"/>
      <c r="B1213" s="39"/>
      <c r="C1213" s="155"/>
      <c r="D1213" s="155"/>
      <c r="E1213" s="40"/>
      <c r="F1213" s="314"/>
      <c r="H1213" s="315"/>
      <c r="I1213" s="315"/>
      <c r="BA1213" s="30"/>
      <c r="BB1213" s="155"/>
      <c r="BC1213" s="314"/>
      <c r="BD1213" s="314"/>
      <c r="BE1213" s="314"/>
      <c r="BF1213" s="314"/>
      <c r="BG1213" s="314"/>
      <c r="BH1213" s="314"/>
      <c r="BI1213" s="314"/>
      <c r="BJ1213" s="314"/>
      <c r="BK1213" s="40"/>
      <c r="BL1213" s="40"/>
      <c r="BM1213" s="40"/>
      <c r="BN1213" s="40"/>
      <c r="BO1213" s="40"/>
      <c r="BP1213" s="155"/>
      <c r="BQ1213" s="314"/>
      <c r="BR1213" s="314"/>
      <c r="BS1213" s="314"/>
      <c r="BT1213" s="314"/>
      <c r="BU1213" s="314"/>
      <c r="BV1213" s="314"/>
      <c r="BW1213" s="314"/>
      <c r="BX1213" s="155"/>
    </row>
    <row r="1214" spans="1:76" ht="15.75" customHeight="1">
      <c r="A1214" s="25"/>
      <c r="B1214" s="39"/>
      <c r="C1214" s="155"/>
      <c r="D1214" s="155"/>
      <c r="E1214" s="341"/>
      <c r="F1214" s="314"/>
      <c r="H1214" s="315"/>
      <c r="I1214" s="315"/>
      <c r="BA1214" s="30"/>
      <c r="BB1214" s="321"/>
      <c r="BC1214" s="314"/>
      <c r="BD1214" s="314"/>
      <c r="BE1214" s="314"/>
      <c r="BF1214" s="314"/>
      <c r="BG1214" s="314"/>
      <c r="BH1214" s="314"/>
      <c r="BI1214" s="314"/>
      <c r="BJ1214" s="314"/>
      <c r="BK1214" s="40"/>
      <c r="BL1214" s="40"/>
      <c r="BM1214" s="40"/>
      <c r="BN1214" s="40"/>
      <c r="BO1214" s="40"/>
      <c r="BP1214" s="155"/>
      <c r="BQ1214" s="314"/>
      <c r="BR1214" s="314"/>
      <c r="BS1214" s="314"/>
      <c r="BT1214" s="314"/>
      <c r="BU1214" s="314"/>
      <c r="BV1214" s="314"/>
      <c r="BW1214" s="314"/>
      <c r="BX1214" s="155"/>
    </row>
    <row r="1215" spans="1:76" ht="15.75" customHeight="1">
      <c r="A1215" s="25"/>
      <c r="B1215" s="39"/>
      <c r="C1215" s="155"/>
      <c r="D1215" s="155"/>
      <c r="E1215" s="40"/>
      <c r="F1215" s="314"/>
      <c r="H1215" s="315"/>
      <c r="I1215" s="315"/>
      <c r="BA1215" s="30"/>
      <c r="BB1215" s="155"/>
      <c r="BC1215" s="314"/>
      <c r="BD1215" s="314"/>
      <c r="BE1215" s="314"/>
      <c r="BF1215" s="314"/>
      <c r="BG1215" s="314"/>
      <c r="BH1215" s="314"/>
      <c r="BI1215" s="314"/>
      <c r="BJ1215" s="314"/>
      <c r="BK1215" s="40"/>
      <c r="BL1215" s="40"/>
      <c r="BM1215" s="40"/>
      <c r="BN1215" s="40"/>
      <c r="BO1215" s="40"/>
      <c r="BP1215" s="155"/>
      <c r="BQ1215" s="314"/>
      <c r="BR1215" s="314"/>
      <c r="BS1215" s="314"/>
      <c r="BT1215" s="314"/>
      <c r="BU1215" s="314"/>
      <c r="BV1215" s="314"/>
      <c r="BW1215" s="314"/>
      <c r="BX1215" s="155"/>
    </row>
    <row r="1216" spans="1:76" ht="15.75" customHeight="1">
      <c r="A1216" s="25"/>
      <c r="B1216" s="39"/>
      <c r="C1216" s="155"/>
      <c r="D1216" s="155"/>
      <c r="E1216" s="40"/>
      <c r="F1216" s="314"/>
      <c r="H1216" s="315"/>
      <c r="I1216" s="315"/>
      <c r="BA1216" s="30"/>
      <c r="BB1216" s="155"/>
      <c r="BC1216" s="314"/>
      <c r="BD1216" s="314"/>
      <c r="BE1216" s="314"/>
      <c r="BF1216" s="314"/>
      <c r="BG1216" s="314"/>
      <c r="BH1216" s="314"/>
      <c r="BI1216" s="314"/>
      <c r="BJ1216" s="314"/>
      <c r="BK1216" s="40"/>
      <c r="BL1216" s="40"/>
      <c r="BM1216" s="40"/>
      <c r="BN1216" s="40"/>
      <c r="BO1216" s="40"/>
      <c r="BP1216" s="155"/>
      <c r="BQ1216" s="314"/>
      <c r="BR1216" s="314"/>
      <c r="BS1216" s="314"/>
      <c r="BT1216" s="314"/>
      <c r="BU1216" s="314"/>
      <c r="BV1216" s="314"/>
      <c r="BW1216" s="314"/>
      <c r="BX1216" s="155"/>
    </row>
    <row r="1217" spans="1:76" ht="15.75" customHeight="1">
      <c r="A1217" s="25"/>
      <c r="B1217" s="39"/>
      <c r="C1217" s="155"/>
      <c r="D1217" s="155"/>
      <c r="E1217" s="40"/>
      <c r="F1217" s="314"/>
      <c r="H1217" s="315"/>
      <c r="I1217" s="315"/>
      <c r="BA1217" s="30"/>
      <c r="BB1217" s="155"/>
      <c r="BC1217" s="314"/>
      <c r="BD1217" s="314"/>
      <c r="BE1217" s="314"/>
      <c r="BF1217" s="314"/>
      <c r="BG1217" s="314"/>
      <c r="BH1217" s="314"/>
      <c r="BI1217" s="314"/>
      <c r="BJ1217" s="314"/>
      <c r="BK1217" s="40"/>
      <c r="BL1217" s="40"/>
      <c r="BM1217" s="40"/>
      <c r="BN1217" s="40"/>
      <c r="BO1217" s="40"/>
      <c r="BP1217" s="155"/>
      <c r="BQ1217" s="314"/>
      <c r="BR1217" s="314"/>
      <c r="BS1217" s="314"/>
      <c r="BT1217" s="314"/>
      <c r="BU1217" s="314"/>
      <c r="BV1217" s="314"/>
      <c r="BW1217" s="314"/>
      <c r="BX1217" s="155"/>
    </row>
    <row r="1218" spans="1:76" ht="15.75" customHeight="1">
      <c r="A1218" s="25"/>
      <c r="B1218" s="39"/>
      <c r="C1218" s="155"/>
      <c r="D1218" s="155"/>
      <c r="E1218" s="40"/>
      <c r="F1218" s="314"/>
      <c r="H1218" s="315"/>
      <c r="I1218" s="315"/>
      <c r="BA1218" s="30"/>
      <c r="BB1218" s="155"/>
      <c r="BC1218" s="314"/>
      <c r="BD1218" s="314"/>
      <c r="BE1218" s="314"/>
      <c r="BF1218" s="314"/>
      <c r="BG1218" s="314"/>
      <c r="BH1218" s="314"/>
      <c r="BI1218" s="314"/>
      <c r="BJ1218" s="314"/>
      <c r="BK1218" s="40"/>
      <c r="BL1218" s="40"/>
      <c r="BM1218" s="40"/>
      <c r="BN1218" s="40"/>
      <c r="BO1218" s="40"/>
      <c r="BP1218" s="155"/>
      <c r="BQ1218" s="314"/>
      <c r="BR1218" s="314"/>
      <c r="BS1218" s="314"/>
      <c r="BT1218" s="314"/>
      <c r="BU1218" s="314"/>
      <c r="BV1218" s="314"/>
      <c r="BW1218" s="314"/>
      <c r="BX1218" s="155"/>
    </row>
    <row r="1219" spans="1:76" ht="15.75" customHeight="1">
      <c r="A1219" s="25"/>
      <c r="B1219" s="39"/>
      <c r="C1219" s="155"/>
      <c r="D1219" s="155"/>
      <c r="E1219" s="40"/>
      <c r="F1219" s="314"/>
      <c r="H1219" s="315"/>
      <c r="I1219" s="315"/>
      <c r="BA1219" s="30"/>
      <c r="BB1219" s="155"/>
      <c r="BC1219" s="314"/>
      <c r="BD1219" s="314"/>
      <c r="BE1219" s="314"/>
      <c r="BF1219" s="314"/>
      <c r="BG1219" s="314"/>
      <c r="BH1219" s="314"/>
      <c r="BI1219" s="314"/>
      <c r="BJ1219" s="314"/>
      <c r="BK1219" s="40"/>
      <c r="BL1219" s="40"/>
      <c r="BM1219" s="40"/>
      <c r="BN1219" s="40"/>
      <c r="BO1219" s="40"/>
      <c r="BP1219" s="155"/>
      <c r="BQ1219" s="314"/>
      <c r="BR1219" s="314"/>
      <c r="BS1219" s="314"/>
      <c r="BT1219" s="314"/>
      <c r="BU1219" s="314"/>
      <c r="BV1219" s="314"/>
      <c r="BW1219" s="314"/>
      <c r="BX1219" s="155"/>
    </row>
    <row r="1220" spans="1:76" ht="15.75" customHeight="1">
      <c r="A1220" s="25"/>
      <c r="B1220" s="39"/>
      <c r="C1220" s="155"/>
      <c r="D1220" s="155"/>
      <c r="E1220" s="40"/>
      <c r="F1220" s="314"/>
      <c r="H1220" s="315"/>
      <c r="I1220" s="315"/>
      <c r="BA1220" s="30"/>
      <c r="BB1220" s="155"/>
      <c r="BC1220" s="314"/>
      <c r="BD1220" s="314"/>
      <c r="BE1220" s="314"/>
      <c r="BF1220" s="314"/>
      <c r="BG1220" s="314"/>
      <c r="BH1220" s="314"/>
      <c r="BI1220" s="314"/>
      <c r="BJ1220" s="314"/>
      <c r="BK1220" s="40"/>
      <c r="BL1220" s="40"/>
      <c r="BM1220" s="40"/>
      <c r="BN1220" s="40"/>
      <c r="BO1220" s="40"/>
      <c r="BP1220" s="155"/>
      <c r="BQ1220" s="314"/>
      <c r="BR1220" s="314"/>
      <c r="BS1220" s="314"/>
      <c r="BT1220" s="314"/>
      <c r="BU1220" s="314"/>
      <c r="BV1220" s="314"/>
      <c r="BW1220" s="314"/>
      <c r="BX1220" s="155"/>
    </row>
    <row r="1221" spans="1:76" ht="15.75" customHeight="1">
      <c r="A1221" s="25"/>
      <c r="B1221" s="39"/>
      <c r="C1221" s="155"/>
      <c r="D1221" s="155"/>
      <c r="E1221" s="40"/>
      <c r="F1221" s="314"/>
      <c r="H1221" s="315"/>
      <c r="I1221" s="315"/>
      <c r="BA1221" s="30"/>
      <c r="BB1221" s="155"/>
      <c r="BC1221" s="314"/>
      <c r="BD1221" s="314"/>
      <c r="BE1221" s="314"/>
      <c r="BF1221" s="314"/>
      <c r="BG1221" s="314"/>
      <c r="BH1221" s="314"/>
      <c r="BI1221" s="314"/>
      <c r="BJ1221" s="314"/>
      <c r="BK1221" s="40"/>
      <c r="BL1221" s="40"/>
      <c r="BM1221" s="40"/>
      <c r="BN1221" s="40"/>
      <c r="BO1221" s="40"/>
      <c r="BP1221" s="155"/>
      <c r="BQ1221" s="314"/>
      <c r="BR1221" s="314"/>
      <c r="BS1221" s="314"/>
      <c r="BT1221" s="314"/>
      <c r="BU1221" s="314"/>
      <c r="BV1221" s="314"/>
      <c r="BW1221" s="314"/>
      <c r="BX1221" s="155"/>
    </row>
    <row r="1222" spans="1:76" ht="15.75" customHeight="1">
      <c r="A1222" s="25"/>
      <c r="B1222" s="39"/>
      <c r="C1222" s="155"/>
      <c r="D1222" s="155"/>
      <c r="E1222" s="341"/>
      <c r="F1222" s="314"/>
      <c r="H1222" s="315"/>
      <c r="I1222" s="315"/>
      <c r="BA1222" s="30"/>
      <c r="BB1222" s="321"/>
      <c r="BC1222" s="322"/>
      <c r="BD1222" s="322"/>
      <c r="BE1222" s="322"/>
      <c r="BF1222" s="322"/>
      <c r="BG1222" s="322"/>
      <c r="BH1222" s="322"/>
      <c r="BI1222" s="322"/>
      <c r="BJ1222" s="322"/>
      <c r="BK1222" s="341"/>
      <c r="BL1222" s="40"/>
      <c r="BM1222" s="40"/>
      <c r="BN1222" s="40"/>
      <c r="BO1222" s="40"/>
      <c r="BP1222" s="155"/>
      <c r="BQ1222" s="314"/>
      <c r="BR1222" s="314"/>
      <c r="BS1222" s="314"/>
      <c r="BT1222" s="314"/>
      <c r="BU1222" s="314"/>
      <c r="BV1222" s="314"/>
      <c r="BW1222" s="314"/>
      <c r="BX1222" s="155"/>
    </row>
    <row r="1223" spans="1:76" ht="15.75" customHeight="1">
      <c r="A1223" s="25"/>
      <c r="B1223" s="39"/>
      <c r="C1223" s="155"/>
      <c r="D1223" s="155"/>
      <c r="E1223" s="40"/>
      <c r="F1223" s="314"/>
      <c r="H1223" s="315"/>
      <c r="I1223" s="315"/>
      <c r="BA1223" s="30"/>
      <c r="BB1223" s="155"/>
      <c r="BC1223" s="314"/>
      <c r="BD1223" s="314"/>
      <c r="BE1223" s="314"/>
      <c r="BF1223" s="314"/>
      <c r="BG1223" s="314"/>
      <c r="BH1223" s="314"/>
      <c r="BI1223" s="314"/>
      <c r="BJ1223" s="314"/>
      <c r="BK1223" s="40"/>
      <c r="BL1223" s="40"/>
      <c r="BM1223" s="40"/>
      <c r="BN1223" s="40"/>
      <c r="BO1223" s="40"/>
      <c r="BP1223" s="155"/>
      <c r="BQ1223" s="314"/>
      <c r="BR1223" s="314"/>
      <c r="BS1223" s="314"/>
      <c r="BT1223" s="314"/>
      <c r="BU1223" s="314"/>
      <c r="BV1223" s="314"/>
      <c r="BW1223" s="314"/>
      <c r="BX1223" s="155"/>
    </row>
    <row r="1224" spans="1:76" ht="15.75" customHeight="1">
      <c r="A1224" s="25"/>
      <c r="B1224" s="39"/>
      <c r="C1224" s="155"/>
      <c r="D1224" s="155"/>
      <c r="E1224" s="40"/>
      <c r="F1224" s="314"/>
      <c r="H1224" s="315"/>
      <c r="I1224" s="315"/>
      <c r="BA1224" s="30"/>
      <c r="BB1224" s="155"/>
      <c r="BC1224" s="314"/>
      <c r="BD1224" s="314"/>
      <c r="BE1224" s="314"/>
      <c r="BF1224" s="314"/>
      <c r="BG1224" s="314"/>
      <c r="BH1224" s="314"/>
      <c r="BI1224" s="314"/>
      <c r="BJ1224" s="314"/>
      <c r="BK1224" s="40"/>
      <c r="BL1224" s="40"/>
      <c r="BM1224" s="40"/>
      <c r="BN1224" s="40"/>
      <c r="BO1224" s="40"/>
      <c r="BP1224" s="155"/>
      <c r="BQ1224" s="314"/>
      <c r="BR1224" s="314"/>
      <c r="BS1224" s="314"/>
      <c r="BT1224" s="314"/>
      <c r="BU1224" s="314"/>
      <c r="BV1224" s="314"/>
      <c r="BW1224" s="314"/>
      <c r="BX1224" s="155"/>
    </row>
    <row r="1225" spans="1:76" ht="15.75" customHeight="1">
      <c r="A1225" s="25"/>
      <c r="B1225" s="39"/>
      <c r="C1225" s="155"/>
      <c r="D1225" s="155"/>
      <c r="E1225" s="40"/>
      <c r="F1225" s="314"/>
      <c r="H1225" s="315"/>
      <c r="I1225" s="315"/>
      <c r="BA1225" s="30"/>
      <c r="BB1225" s="155"/>
      <c r="BC1225" s="314"/>
      <c r="BD1225" s="314"/>
      <c r="BE1225" s="314"/>
      <c r="BF1225" s="314"/>
      <c r="BG1225" s="314"/>
      <c r="BH1225" s="314"/>
      <c r="BI1225" s="314"/>
      <c r="BJ1225" s="314"/>
      <c r="BK1225" s="40"/>
      <c r="BL1225" s="40"/>
      <c r="BM1225" s="40"/>
      <c r="BN1225" s="40"/>
      <c r="BO1225" s="40"/>
      <c r="BP1225" s="155"/>
      <c r="BQ1225" s="314"/>
      <c r="BR1225" s="314"/>
      <c r="BS1225" s="314"/>
      <c r="BT1225" s="314"/>
      <c r="BU1225" s="314"/>
      <c r="BV1225" s="314"/>
      <c r="BW1225" s="314"/>
      <c r="BX1225" s="155"/>
    </row>
    <row r="1226" spans="1:76" ht="15.75" customHeight="1">
      <c r="A1226" s="25"/>
      <c r="B1226" s="39"/>
      <c r="C1226" s="155"/>
      <c r="D1226" s="155"/>
      <c r="E1226" s="40"/>
      <c r="F1226" s="314"/>
      <c r="H1226" s="315"/>
      <c r="I1226" s="315"/>
      <c r="BA1226" s="30"/>
      <c r="BB1226" s="155"/>
      <c r="BC1226" s="314"/>
      <c r="BD1226" s="314"/>
      <c r="BE1226" s="314"/>
      <c r="BF1226" s="314"/>
      <c r="BG1226" s="314"/>
      <c r="BH1226" s="314"/>
      <c r="BI1226" s="314"/>
      <c r="BJ1226" s="314"/>
      <c r="BK1226" s="40"/>
      <c r="BL1226" s="40"/>
      <c r="BM1226" s="40"/>
      <c r="BN1226" s="40"/>
      <c r="BO1226" s="40"/>
      <c r="BP1226" s="155"/>
      <c r="BQ1226" s="314"/>
      <c r="BR1226" s="314"/>
      <c r="BS1226" s="314"/>
      <c r="BT1226" s="314"/>
      <c r="BU1226" s="314"/>
      <c r="BV1226" s="314"/>
      <c r="BW1226" s="314"/>
      <c r="BX1226" s="155"/>
    </row>
    <row r="1227" spans="1:76" ht="15.75" customHeight="1">
      <c r="A1227" s="25"/>
      <c r="B1227" s="39"/>
      <c r="C1227" s="155"/>
      <c r="D1227" s="155"/>
      <c r="E1227" s="40"/>
      <c r="F1227" s="314"/>
      <c r="H1227" s="315"/>
      <c r="I1227" s="315"/>
      <c r="BA1227" s="30"/>
      <c r="BB1227" s="155"/>
      <c r="BC1227" s="314"/>
      <c r="BD1227" s="314"/>
      <c r="BE1227" s="314"/>
      <c r="BF1227" s="314"/>
      <c r="BG1227" s="314"/>
      <c r="BH1227" s="314"/>
      <c r="BI1227" s="314"/>
      <c r="BJ1227" s="314"/>
      <c r="BK1227" s="40"/>
      <c r="BL1227" s="40"/>
      <c r="BM1227" s="40"/>
      <c r="BN1227" s="40"/>
      <c r="BO1227" s="40"/>
      <c r="BP1227" s="155"/>
      <c r="BQ1227" s="314"/>
      <c r="BR1227" s="314"/>
      <c r="BS1227" s="314"/>
      <c r="BT1227" s="314"/>
      <c r="BU1227" s="314"/>
      <c r="BV1227" s="314"/>
      <c r="BW1227" s="314"/>
      <c r="BX1227" s="155"/>
    </row>
    <row r="1228" spans="1:76" ht="15.75" customHeight="1">
      <c r="A1228" s="25"/>
      <c r="B1228" s="39"/>
      <c r="C1228" s="155"/>
      <c r="D1228" s="155"/>
      <c r="E1228" s="40"/>
      <c r="F1228" s="314"/>
      <c r="H1228" s="315"/>
      <c r="I1228" s="315"/>
      <c r="BA1228" s="30"/>
      <c r="BB1228" s="155"/>
      <c r="BC1228" s="314"/>
      <c r="BD1228" s="314"/>
      <c r="BE1228" s="314"/>
      <c r="BF1228" s="314"/>
      <c r="BG1228" s="314"/>
      <c r="BH1228" s="314"/>
      <c r="BI1228" s="314"/>
      <c r="BJ1228" s="314"/>
      <c r="BK1228" s="40"/>
      <c r="BL1228" s="40"/>
      <c r="BM1228" s="40"/>
      <c r="BN1228" s="40"/>
      <c r="BO1228" s="40"/>
      <c r="BP1228" s="155"/>
      <c r="BQ1228" s="314"/>
      <c r="BR1228" s="314"/>
      <c r="BS1228" s="314"/>
      <c r="BT1228" s="314"/>
      <c r="BU1228" s="314"/>
      <c r="BV1228" s="314"/>
      <c r="BW1228" s="314"/>
      <c r="BX1228" s="155"/>
    </row>
    <row r="1229" spans="1:76" ht="15.75" customHeight="1">
      <c r="A1229" s="25"/>
      <c r="B1229" s="39"/>
      <c r="C1229" s="155"/>
      <c r="D1229" s="155"/>
      <c r="E1229" s="40"/>
      <c r="F1229" s="314"/>
      <c r="H1229" s="315"/>
      <c r="I1229" s="315"/>
      <c r="BA1229" s="30"/>
      <c r="BB1229" s="155"/>
      <c r="BC1229" s="314"/>
      <c r="BD1229" s="314"/>
      <c r="BE1229" s="314"/>
      <c r="BF1229" s="314"/>
      <c r="BG1229" s="314"/>
      <c r="BH1229" s="314"/>
      <c r="BI1229" s="314"/>
      <c r="BJ1229" s="314"/>
      <c r="BK1229" s="40"/>
      <c r="BL1229" s="40"/>
      <c r="BM1229" s="40"/>
      <c r="BN1229" s="40"/>
      <c r="BO1229" s="40"/>
      <c r="BP1229" s="155"/>
      <c r="BQ1229" s="314"/>
      <c r="BR1229" s="314"/>
      <c r="BS1229" s="314"/>
      <c r="BT1229" s="314"/>
      <c r="BU1229" s="314"/>
      <c r="BV1229" s="314"/>
      <c r="BW1229" s="314"/>
      <c r="BX1229" s="155"/>
    </row>
    <row r="1230" spans="1:76" ht="15.75" customHeight="1">
      <c r="A1230" s="25"/>
      <c r="B1230" s="39"/>
      <c r="C1230" s="155"/>
      <c r="D1230" s="155"/>
      <c r="E1230" s="341"/>
      <c r="F1230" s="314"/>
      <c r="H1230" s="315"/>
      <c r="I1230" s="315"/>
      <c r="BA1230" s="30"/>
      <c r="BB1230" s="321"/>
      <c r="BC1230" s="314"/>
      <c r="BD1230" s="314"/>
      <c r="BE1230" s="314"/>
      <c r="BF1230" s="314"/>
      <c r="BG1230" s="314"/>
      <c r="BH1230" s="314"/>
      <c r="BI1230" s="314"/>
      <c r="BJ1230" s="314"/>
      <c r="BK1230" s="40"/>
      <c r="BL1230" s="40"/>
      <c r="BM1230" s="40"/>
      <c r="BN1230" s="40"/>
      <c r="BO1230" s="40"/>
      <c r="BP1230" s="155"/>
      <c r="BQ1230" s="314"/>
      <c r="BR1230" s="314"/>
      <c r="BS1230" s="314"/>
      <c r="BT1230" s="314"/>
      <c r="BU1230" s="314"/>
      <c r="BV1230" s="314"/>
      <c r="BW1230" s="314"/>
      <c r="BX1230" s="155"/>
    </row>
    <row r="1231" spans="1:76" ht="15.75" customHeight="1">
      <c r="A1231" s="25"/>
      <c r="B1231" s="39"/>
      <c r="C1231" s="155"/>
      <c r="D1231" s="155"/>
      <c r="E1231" s="40"/>
      <c r="F1231" s="314"/>
      <c r="H1231" s="315"/>
      <c r="I1231" s="315"/>
      <c r="BA1231" s="30"/>
      <c r="BB1231" s="155"/>
      <c r="BC1231" s="314"/>
      <c r="BD1231" s="314"/>
      <c r="BE1231" s="314"/>
      <c r="BF1231" s="314"/>
      <c r="BG1231" s="314"/>
      <c r="BH1231" s="314"/>
      <c r="BI1231" s="314"/>
      <c r="BJ1231" s="314"/>
      <c r="BK1231" s="40"/>
      <c r="BL1231" s="40"/>
      <c r="BM1231" s="40"/>
      <c r="BN1231" s="40"/>
      <c r="BO1231" s="40"/>
      <c r="BP1231" s="155"/>
      <c r="BQ1231" s="314"/>
      <c r="BR1231" s="314"/>
      <c r="BS1231" s="314"/>
      <c r="BT1231" s="314"/>
      <c r="BU1231" s="314"/>
      <c r="BV1231" s="314"/>
      <c r="BW1231" s="314"/>
      <c r="BX1231" s="155"/>
    </row>
    <row r="1232" spans="1:76" ht="15.75" customHeight="1">
      <c r="A1232" s="25"/>
      <c r="B1232" s="39"/>
      <c r="C1232" s="155"/>
      <c r="D1232" s="155"/>
      <c r="E1232" s="40"/>
      <c r="F1232" s="314"/>
      <c r="H1232" s="315"/>
      <c r="I1232" s="315"/>
      <c r="BA1232" s="30"/>
      <c r="BB1232" s="155"/>
      <c r="BC1232" s="314"/>
      <c r="BD1232" s="314"/>
      <c r="BE1232" s="314"/>
      <c r="BF1232" s="314"/>
      <c r="BG1232" s="314"/>
      <c r="BH1232" s="314"/>
      <c r="BI1232" s="314"/>
      <c r="BJ1232" s="314"/>
      <c r="BK1232" s="40"/>
      <c r="BL1232" s="40"/>
      <c r="BM1232" s="40"/>
      <c r="BN1232" s="40"/>
      <c r="BO1232" s="40"/>
      <c r="BP1232" s="155"/>
      <c r="BQ1232" s="314"/>
      <c r="BR1232" s="314"/>
      <c r="BS1232" s="314"/>
      <c r="BT1232" s="314"/>
      <c r="BU1232" s="314"/>
      <c r="BV1232" s="314"/>
      <c r="BW1232" s="314"/>
      <c r="BX1232" s="155"/>
    </row>
    <row r="1233" spans="1:76" ht="15.75" customHeight="1">
      <c r="A1233" s="25"/>
      <c r="B1233" s="39"/>
      <c r="C1233" s="155"/>
      <c r="D1233" s="155"/>
      <c r="E1233" s="40"/>
      <c r="F1233" s="314"/>
      <c r="H1233" s="315"/>
      <c r="I1233" s="315"/>
      <c r="BA1233" s="30"/>
      <c r="BB1233" s="155"/>
      <c r="BC1233" s="314"/>
      <c r="BD1233" s="314"/>
      <c r="BE1233" s="314"/>
      <c r="BF1233" s="314"/>
      <c r="BG1233" s="314"/>
      <c r="BH1233" s="314"/>
      <c r="BI1233" s="314"/>
      <c r="BJ1233" s="314"/>
      <c r="BK1233" s="40"/>
      <c r="BL1233" s="40"/>
      <c r="BM1233" s="40"/>
      <c r="BN1233" s="40"/>
      <c r="BO1233" s="40"/>
      <c r="BP1233" s="155"/>
      <c r="BQ1233" s="314"/>
      <c r="BR1233" s="314"/>
      <c r="BS1233" s="314"/>
      <c r="BT1233" s="314"/>
      <c r="BU1233" s="314"/>
      <c r="BV1233" s="314"/>
      <c r="BW1233" s="314"/>
      <c r="BX1233" s="155"/>
    </row>
    <row r="1234" spans="1:76" ht="15.75" customHeight="1">
      <c r="A1234" s="25"/>
      <c r="B1234" s="39"/>
      <c r="C1234" s="155"/>
      <c r="D1234" s="155"/>
      <c r="E1234" s="40"/>
      <c r="F1234" s="314"/>
      <c r="H1234" s="315"/>
      <c r="I1234" s="315"/>
      <c r="BA1234" s="30"/>
      <c r="BB1234" s="155"/>
      <c r="BC1234" s="314"/>
      <c r="BD1234" s="314"/>
      <c r="BE1234" s="314"/>
      <c r="BF1234" s="314"/>
      <c r="BG1234" s="314"/>
      <c r="BH1234" s="314"/>
      <c r="BI1234" s="314"/>
      <c r="BJ1234" s="314"/>
      <c r="BK1234" s="40"/>
      <c r="BL1234" s="40"/>
      <c r="BM1234" s="40"/>
      <c r="BN1234" s="40"/>
      <c r="BO1234" s="40"/>
      <c r="BP1234" s="155"/>
      <c r="BQ1234" s="314"/>
      <c r="BR1234" s="314"/>
      <c r="BS1234" s="314"/>
      <c r="BT1234" s="314"/>
      <c r="BU1234" s="314"/>
      <c r="BV1234" s="314"/>
      <c r="BW1234" s="314"/>
      <c r="BX1234" s="155"/>
    </row>
    <row r="1235" spans="1:76" ht="15.75" customHeight="1">
      <c r="A1235" s="25"/>
      <c r="B1235" s="39"/>
      <c r="C1235" s="155"/>
      <c r="D1235" s="155"/>
      <c r="E1235" s="40"/>
      <c r="F1235" s="314"/>
      <c r="H1235" s="315"/>
      <c r="I1235" s="315"/>
      <c r="BA1235" s="30"/>
      <c r="BB1235" s="155"/>
      <c r="BC1235" s="314"/>
      <c r="BD1235" s="314"/>
      <c r="BE1235" s="314"/>
      <c r="BF1235" s="314"/>
      <c r="BG1235" s="314"/>
      <c r="BH1235" s="314"/>
      <c r="BI1235" s="314"/>
      <c r="BJ1235" s="314"/>
      <c r="BK1235" s="40"/>
      <c r="BL1235" s="40"/>
      <c r="BM1235" s="40"/>
      <c r="BN1235" s="40"/>
      <c r="BO1235" s="40"/>
      <c r="BP1235" s="155"/>
      <c r="BQ1235" s="314"/>
      <c r="BR1235" s="314"/>
      <c r="BS1235" s="314"/>
      <c r="BT1235" s="314"/>
      <c r="BU1235" s="314"/>
      <c r="BV1235" s="314"/>
      <c r="BW1235" s="314"/>
      <c r="BX1235" s="155"/>
    </row>
    <row r="1236" spans="1:76" ht="15.75" customHeight="1">
      <c r="A1236" s="25"/>
      <c r="B1236" s="39"/>
      <c r="C1236" s="155"/>
      <c r="D1236" s="155"/>
      <c r="E1236" s="40"/>
      <c r="F1236" s="314"/>
      <c r="H1236" s="315"/>
      <c r="I1236" s="315"/>
      <c r="BA1236" s="30"/>
      <c r="BB1236" s="155"/>
      <c r="BC1236" s="314"/>
      <c r="BD1236" s="314"/>
      <c r="BE1236" s="314"/>
      <c r="BF1236" s="314"/>
      <c r="BG1236" s="314"/>
      <c r="BH1236" s="314"/>
      <c r="BI1236" s="314"/>
      <c r="BJ1236" s="314"/>
      <c r="BK1236" s="40"/>
      <c r="BL1236" s="40"/>
      <c r="BM1236" s="40"/>
      <c r="BN1236" s="40"/>
      <c r="BO1236" s="40"/>
      <c r="BP1236" s="155"/>
      <c r="BQ1236" s="314"/>
      <c r="BR1236" s="314"/>
      <c r="BS1236" s="314"/>
      <c r="BT1236" s="314"/>
      <c r="BU1236" s="314"/>
      <c r="BV1236" s="314"/>
      <c r="BW1236" s="314"/>
      <c r="BX1236" s="155"/>
    </row>
    <row r="1237" spans="1:76" ht="15.75" customHeight="1">
      <c r="A1237" s="25"/>
      <c r="B1237" s="39"/>
      <c r="C1237" s="155"/>
      <c r="D1237" s="155"/>
      <c r="E1237" s="40"/>
      <c r="F1237" s="314"/>
      <c r="H1237" s="315"/>
      <c r="I1237" s="315"/>
      <c r="BA1237" s="30"/>
      <c r="BB1237" s="155"/>
      <c r="BC1237" s="314"/>
      <c r="BD1237" s="314"/>
      <c r="BE1237" s="314"/>
      <c r="BF1237" s="314"/>
      <c r="BG1237" s="314"/>
      <c r="BH1237" s="314"/>
      <c r="BI1237" s="314"/>
      <c r="BJ1237" s="314"/>
      <c r="BK1237" s="40"/>
      <c r="BL1237" s="40"/>
      <c r="BM1237" s="40"/>
      <c r="BN1237" s="40"/>
      <c r="BO1237" s="40"/>
      <c r="BP1237" s="155"/>
      <c r="BQ1237" s="314"/>
      <c r="BR1237" s="314"/>
      <c r="BS1237" s="314"/>
      <c r="BT1237" s="314"/>
      <c r="BU1237" s="314"/>
      <c r="BV1237" s="314"/>
      <c r="BW1237" s="314"/>
      <c r="BX1237" s="155"/>
    </row>
    <row r="1238" spans="1:76" ht="15.75" customHeight="1">
      <c r="A1238" s="25"/>
      <c r="B1238" s="39"/>
      <c r="C1238" s="155"/>
      <c r="D1238" s="155"/>
      <c r="E1238" s="341"/>
      <c r="F1238" s="314"/>
      <c r="H1238" s="315"/>
      <c r="I1238" s="315"/>
      <c r="BA1238" s="30"/>
      <c r="BB1238" s="321"/>
      <c r="BC1238" s="314"/>
      <c r="BD1238" s="314"/>
      <c r="BE1238" s="314"/>
      <c r="BF1238" s="314"/>
      <c r="BG1238" s="314"/>
      <c r="BH1238" s="314"/>
      <c r="BI1238" s="314"/>
      <c r="BJ1238" s="314"/>
      <c r="BK1238" s="40"/>
      <c r="BL1238" s="40"/>
      <c r="BM1238" s="40"/>
      <c r="BN1238" s="40"/>
      <c r="BO1238" s="40"/>
      <c r="BP1238" s="155"/>
      <c r="BQ1238" s="314"/>
      <c r="BR1238" s="314"/>
      <c r="BS1238" s="314"/>
      <c r="BT1238" s="314"/>
      <c r="BU1238" s="314"/>
      <c r="BV1238" s="314"/>
      <c r="BW1238" s="314"/>
      <c r="BX1238" s="155"/>
    </row>
    <row r="1239" spans="1:76" ht="15.75" customHeight="1">
      <c r="A1239" s="25"/>
      <c r="B1239" s="39"/>
      <c r="C1239" s="155"/>
      <c r="D1239" s="155"/>
      <c r="E1239" s="40"/>
      <c r="F1239" s="314"/>
      <c r="H1239" s="315"/>
      <c r="I1239" s="315"/>
      <c r="BA1239" s="30"/>
      <c r="BB1239" s="155"/>
      <c r="BC1239" s="314"/>
      <c r="BD1239" s="314"/>
      <c r="BE1239" s="314"/>
      <c r="BF1239" s="314"/>
      <c r="BG1239" s="314"/>
      <c r="BH1239" s="314"/>
      <c r="BI1239" s="314"/>
      <c r="BJ1239" s="314"/>
      <c r="BK1239" s="40"/>
      <c r="BL1239" s="40"/>
      <c r="BM1239" s="40"/>
      <c r="BN1239" s="40"/>
      <c r="BO1239" s="40"/>
      <c r="BP1239" s="155"/>
      <c r="BQ1239" s="314"/>
      <c r="BR1239" s="314"/>
      <c r="BS1239" s="314"/>
      <c r="BT1239" s="314"/>
      <c r="BU1239" s="314"/>
      <c r="BV1239" s="314"/>
      <c r="BW1239" s="314"/>
      <c r="BX1239" s="155"/>
    </row>
    <row r="1240" spans="1:76" ht="15.75" customHeight="1">
      <c r="A1240" s="25"/>
      <c r="B1240" s="39"/>
      <c r="C1240" s="155"/>
      <c r="D1240" s="155"/>
      <c r="E1240" s="40"/>
      <c r="F1240" s="314"/>
      <c r="H1240" s="315"/>
      <c r="I1240" s="315"/>
      <c r="BA1240" s="30"/>
      <c r="BB1240" s="155"/>
      <c r="BC1240" s="314"/>
      <c r="BD1240" s="314"/>
      <c r="BE1240" s="314"/>
      <c r="BF1240" s="314"/>
      <c r="BG1240" s="314"/>
      <c r="BH1240" s="314"/>
      <c r="BI1240" s="314"/>
      <c r="BJ1240" s="314"/>
      <c r="BK1240" s="40"/>
      <c r="BL1240" s="40"/>
      <c r="BM1240" s="40"/>
      <c r="BN1240" s="40"/>
      <c r="BO1240" s="40"/>
      <c r="BP1240" s="155"/>
      <c r="BQ1240" s="314"/>
      <c r="BR1240" s="314"/>
      <c r="BS1240" s="314"/>
      <c r="BT1240" s="314"/>
      <c r="BU1240" s="314"/>
      <c r="BV1240" s="314"/>
      <c r="BW1240" s="314"/>
      <c r="BX1240" s="155"/>
    </row>
    <row r="1241" spans="1:76" ht="15.75" customHeight="1">
      <c r="A1241" s="25"/>
      <c r="B1241" s="39"/>
      <c r="C1241" s="155"/>
      <c r="D1241" s="155"/>
      <c r="E1241" s="40"/>
      <c r="F1241" s="314"/>
      <c r="H1241" s="315"/>
      <c r="I1241" s="315"/>
      <c r="BA1241" s="30"/>
      <c r="BB1241" s="155"/>
      <c r="BC1241" s="314"/>
      <c r="BD1241" s="314"/>
      <c r="BE1241" s="314"/>
      <c r="BF1241" s="314"/>
      <c r="BG1241" s="314"/>
      <c r="BH1241" s="314"/>
      <c r="BI1241" s="314"/>
      <c r="BJ1241" s="314"/>
      <c r="BK1241" s="40"/>
      <c r="BL1241" s="40"/>
      <c r="BM1241" s="40"/>
      <c r="BN1241" s="40"/>
      <c r="BO1241" s="40"/>
      <c r="BP1241" s="155"/>
      <c r="BQ1241" s="314"/>
      <c r="BR1241" s="314"/>
      <c r="BS1241" s="314"/>
      <c r="BT1241" s="314"/>
      <c r="BU1241" s="314"/>
      <c r="BV1241" s="314"/>
      <c r="BW1241" s="314"/>
      <c r="BX1241" s="155"/>
    </row>
    <row r="1242" spans="1:76" ht="15.75" customHeight="1">
      <c r="A1242" s="25"/>
      <c r="B1242" s="39"/>
      <c r="C1242" s="155"/>
      <c r="D1242" s="155"/>
      <c r="E1242" s="40"/>
      <c r="F1242" s="314"/>
      <c r="H1242" s="315"/>
      <c r="I1242" s="315"/>
      <c r="BA1242" s="30"/>
      <c r="BB1242" s="155"/>
      <c r="BC1242" s="314"/>
      <c r="BD1242" s="314"/>
      <c r="BE1242" s="314"/>
      <c r="BF1242" s="314"/>
      <c r="BG1242" s="314"/>
      <c r="BH1242" s="314"/>
      <c r="BI1242" s="314"/>
      <c r="BJ1242" s="314"/>
      <c r="BK1242" s="40"/>
      <c r="BL1242" s="40"/>
      <c r="BM1242" s="40"/>
      <c r="BN1242" s="40"/>
      <c r="BO1242" s="40"/>
      <c r="BP1242" s="155"/>
      <c r="BQ1242" s="314"/>
      <c r="BR1242" s="314"/>
      <c r="BS1242" s="314"/>
      <c r="BT1242" s="314"/>
      <c r="BU1242" s="314"/>
      <c r="BV1242" s="314"/>
      <c r="BW1242" s="314"/>
      <c r="BX1242" s="155"/>
    </row>
    <row r="1243" spans="1:76" ht="15.75" customHeight="1">
      <c r="A1243" s="25"/>
      <c r="B1243" s="39"/>
      <c r="C1243" s="155"/>
      <c r="D1243" s="155"/>
      <c r="E1243" s="40"/>
      <c r="F1243" s="314"/>
      <c r="H1243" s="315"/>
      <c r="I1243" s="315"/>
      <c r="BA1243" s="30"/>
      <c r="BB1243" s="155"/>
      <c r="BC1243" s="314"/>
      <c r="BD1243" s="314"/>
      <c r="BE1243" s="314"/>
      <c r="BF1243" s="314"/>
      <c r="BG1243" s="314"/>
      <c r="BH1243" s="314"/>
      <c r="BI1243" s="314"/>
      <c r="BJ1243" s="314"/>
      <c r="BK1243" s="40"/>
      <c r="BL1243" s="40"/>
      <c r="BM1243" s="40"/>
      <c r="BN1243" s="40"/>
      <c r="BO1243" s="40"/>
      <c r="BP1243" s="155"/>
      <c r="BQ1243" s="314"/>
      <c r="BR1243" s="314"/>
      <c r="BS1243" s="314"/>
      <c r="BT1243" s="314"/>
      <c r="BU1243" s="314"/>
      <c r="BV1243" s="314"/>
      <c r="BW1243" s="314"/>
      <c r="BX1243" s="155"/>
    </row>
    <row r="1244" spans="1:76" ht="15.75" customHeight="1">
      <c r="A1244" s="25"/>
      <c r="B1244" s="39"/>
      <c r="C1244" s="155"/>
      <c r="D1244" s="155"/>
      <c r="E1244" s="40"/>
      <c r="F1244" s="314"/>
      <c r="H1244" s="315"/>
      <c r="I1244" s="315"/>
      <c r="BA1244" s="30"/>
      <c r="BB1244" s="155"/>
      <c r="BC1244" s="314"/>
      <c r="BD1244" s="314"/>
      <c r="BE1244" s="314"/>
      <c r="BF1244" s="314"/>
      <c r="BG1244" s="314"/>
      <c r="BH1244" s="314"/>
      <c r="BI1244" s="314"/>
      <c r="BJ1244" s="314"/>
      <c r="BK1244" s="40"/>
      <c r="BL1244" s="40"/>
      <c r="BM1244" s="40"/>
      <c r="BN1244" s="40"/>
      <c r="BO1244" s="40"/>
      <c r="BP1244" s="155"/>
      <c r="BQ1244" s="314"/>
      <c r="BR1244" s="314"/>
      <c r="BS1244" s="314"/>
      <c r="BT1244" s="314"/>
      <c r="BU1244" s="314"/>
      <c r="BV1244" s="314"/>
      <c r="BW1244" s="314"/>
      <c r="BX1244" s="155"/>
    </row>
    <row r="1245" spans="1:76" ht="15.75" customHeight="1">
      <c r="A1245" s="25"/>
      <c r="B1245" s="39"/>
      <c r="C1245" s="155"/>
      <c r="D1245" s="155"/>
      <c r="E1245" s="40"/>
      <c r="F1245" s="314"/>
      <c r="H1245" s="315"/>
      <c r="I1245" s="315"/>
      <c r="BA1245" s="30"/>
      <c r="BB1245" s="155"/>
      <c r="BC1245" s="314"/>
      <c r="BD1245" s="314"/>
      <c r="BE1245" s="314"/>
      <c r="BF1245" s="314"/>
      <c r="BG1245" s="314"/>
      <c r="BH1245" s="314"/>
      <c r="BI1245" s="314"/>
      <c r="BJ1245" s="314"/>
      <c r="BK1245" s="40"/>
      <c r="BL1245" s="40"/>
      <c r="BM1245" s="40"/>
      <c r="BN1245" s="40"/>
      <c r="BO1245" s="40"/>
      <c r="BP1245" s="155"/>
      <c r="BQ1245" s="314"/>
      <c r="BR1245" s="314"/>
      <c r="BS1245" s="314"/>
      <c r="BT1245" s="314"/>
      <c r="BU1245" s="314"/>
      <c r="BV1245" s="314"/>
      <c r="BW1245" s="314"/>
      <c r="BX1245" s="155"/>
    </row>
    <row r="1246" spans="1:76" ht="15.75" customHeight="1">
      <c r="A1246" s="25"/>
      <c r="B1246" s="39"/>
      <c r="C1246" s="155"/>
      <c r="D1246" s="155"/>
      <c r="E1246" s="341"/>
      <c r="F1246" s="314"/>
      <c r="H1246" s="315"/>
      <c r="I1246" s="315"/>
      <c r="BA1246" s="30"/>
      <c r="BB1246" s="321"/>
      <c r="BC1246" s="314"/>
      <c r="BD1246" s="314"/>
      <c r="BE1246" s="314"/>
      <c r="BF1246" s="314"/>
      <c r="BG1246" s="314"/>
      <c r="BH1246" s="314"/>
      <c r="BI1246" s="314"/>
      <c r="BJ1246" s="314"/>
      <c r="BK1246" s="40"/>
      <c r="BL1246" s="40"/>
      <c r="BM1246" s="40"/>
      <c r="BN1246" s="40"/>
      <c r="BO1246" s="40"/>
      <c r="BP1246" s="155"/>
      <c r="BQ1246" s="314"/>
      <c r="BR1246" s="314"/>
      <c r="BS1246" s="314"/>
      <c r="BT1246" s="314"/>
      <c r="BU1246" s="314"/>
      <c r="BV1246" s="314"/>
      <c r="BW1246" s="314"/>
      <c r="BX1246" s="155"/>
    </row>
    <row r="1247" spans="1:76" ht="15.75" customHeight="1">
      <c r="A1247" s="25"/>
      <c r="B1247" s="39"/>
      <c r="C1247" s="155"/>
      <c r="D1247" s="155"/>
      <c r="E1247" s="40"/>
      <c r="F1247" s="314"/>
      <c r="H1247" s="315"/>
      <c r="I1247" s="315"/>
      <c r="BA1247" s="30"/>
      <c r="BB1247" s="155"/>
      <c r="BC1247" s="314"/>
      <c r="BD1247" s="314"/>
      <c r="BE1247" s="314"/>
      <c r="BF1247" s="314"/>
      <c r="BG1247" s="314"/>
      <c r="BH1247" s="314"/>
      <c r="BI1247" s="314"/>
      <c r="BJ1247" s="314"/>
      <c r="BK1247" s="40"/>
      <c r="BL1247" s="40"/>
      <c r="BM1247" s="40"/>
      <c r="BN1247" s="40"/>
      <c r="BO1247" s="40"/>
      <c r="BP1247" s="155"/>
      <c r="BQ1247" s="314"/>
      <c r="BR1247" s="314"/>
      <c r="BS1247" s="314"/>
      <c r="BT1247" s="314"/>
      <c r="BU1247" s="314"/>
      <c r="BV1247" s="314"/>
      <c r="BW1247" s="314"/>
      <c r="BX1247" s="155"/>
    </row>
    <row r="1248" spans="1:76" ht="15.75" customHeight="1">
      <c r="A1248" s="25"/>
      <c r="B1248" s="39"/>
      <c r="C1248" s="155"/>
      <c r="D1248" s="155"/>
      <c r="E1248" s="40"/>
      <c r="F1248" s="314"/>
      <c r="H1248" s="315"/>
      <c r="I1248" s="315"/>
      <c r="BA1248" s="30"/>
      <c r="BB1248" s="155"/>
      <c r="BC1248" s="314"/>
      <c r="BD1248" s="314"/>
      <c r="BE1248" s="314"/>
      <c r="BF1248" s="314"/>
      <c r="BG1248" s="314"/>
      <c r="BH1248" s="314"/>
      <c r="BI1248" s="314"/>
      <c r="BJ1248" s="314"/>
      <c r="BK1248" s="40"/>
      <c r="BL1248" s="40"/>
      <c r="BM1248" s="40"/>
      <c r="BN1248" s="40"/>
      <c r="BO1248" s="40"/>
      <c r="BP1248" s="155"/>
      <c r="BQ1248" s="314"/>
      <c r="BR1248" s="314"/>
      <c r="BS1248" s="314"/>
      <c r="BT1248" s="314"/>
      <c r="BU1248" s="314"/>
      <c r="BV1248" s="314"/>
      <c r="BW1248" s="314"/>
      <c r="BX1248" s="155"/>
    </row>
    <row r="1249" spans="1:76" ht="15.75" customHeight="1">
      <c r="A1249" s="25"/>
      <c r="B1249" s="39"/>
      <c r="C1249" s="155"/>
      <c r="D1249" s="155"/>
      <c r="E1249" s="40"/>
      <c r="F1249" s="314"/>
      <c r="H1249" s="315"/>
      <c r="I1249" s="315"/>
      <c r="BA1249" s="30"/>
      <c r="BB1249" s="155"/>
      <c r="BC1249" s="314"/>
      <c r="BD1249" s="314"/>
      <c r="BE1249" s="314"/>
      <c r="BF1249" s="314"/>
      <c r="BG1249" s="314"/>
      <c r="BH1249" s="314"/>
      <c r="BI1249" s="314"/>
      <c r="BJ1249" s="314"/>
      <c r="BK1249" s="40"/>
      <c r="BL1249" s="40"/>
      <c r="BM1249" s="40"/>
      <c r="BN1249" s="40"/>
      <c r="BO1249" s="40"/>
      <c r="BP1249" s="155"/>
      <c r="BQ1249" s="314"/>
      <c r="BR1249" s="314"/>
      <c r="BS1249" s="314"/>
      <c r="BT1249" s="314"/>
      <c r="BU1249" s="314"/>
      <c r="BV1249" s="314"/>
      <c r="BW1249" s="314"/>
      <c r="BX1249" s="155"/>
    </row>
    <row r="1250" spans="1:76" ht="15.75" customHeight="1">
      <c r="A1250" s="25"/>
      <c r="B1250" s="39"/>
      <c r="C1250" s="155"/>
      <c r="D1250" s="155"/>
      <c r="E1250" s="40"/>
      <c r="F1250" s="314"/>
      <c r="H1250" s="315"/>
      <c r="I1250" s="315"/>
      <c r="BA1250" s="30"/>
      <c r="BB1250" s="155"/>
      <c r="BC1250" s="314"/>
      <c r="BD1250" s="314"/>
      <c r="BE1250" s="314"/>
      <c r="BF1250" s="314"/>
      <c r="BG1250" s="314"/>
      <c r="BH1250" s="314"/>
      <c r="BI1250" s="314"/>
      <c r="BJ1250" s="314"/>
      <c r="BK1250" s="40"/>
      <c r="BL1250" s="40"/>
      <c r="BM1250" s="40"/>
      <c r="BN1250" s="40"/>
      <c r="BO1250" s="40"/>
      <c r="BP1250" s="155"/>
      <c r="BQ1250" s="314"/>
      <c r="BR1250" s="314"/>
      <c r="BS1250" s="314"/>
      <c r="BT1250" s="314"/>
      <c r="BU1250" s="314"/>
      <c r="BV1250" s="314"/>
      <c r="BW1250" s="314"/>
      <c r="BX1250" s="155"/>
    </row>
    <row r="1251" spans="1:76" ht="15.75" customHeight="1">
      <c r="A1251" s="25"/>
      <c r="B1251" s="39"/>
      <c r="C1251" s="155"/>
      <c r="D1251" s="155"/>
      <c r="E1251" s="40"/>
      <c r="F1251" s="314"/>
      <c r="H1251" s="315"/>
      <c r="I1251" s="315"/>
      <c r="BA1251" s="30"/>
      <c r="BB1251" s="155"/>
      <c r="BC1251" s="314"/>
      <c r="BD1251" s="314"/>
      <c r="BE1251" s="314"/>
      <c r="BF1251" s="314"/>
      <c r="BG1251" s="314"/>
      <c r="BH1251" s="314"/>
      <c r="BI1251" s="314"/>
      <c r="BJ1251" s="314"/>
      <c r="BK1251" s="40"/>
      <c r="BL1251" s="40"/>
      <c r="BM1251" s="40"/>
      <c r="BN1251" s="40"/>
      <c r="BO1251" s="40"/>
      <c r="BP1251" s="155"/>
      <c r="BQ1251" s="314"/>
      <c r="BR1251" s="314"/>
      <c r="BS1251" s="314"/>
      <c r="BT1251" s="314"/>
      <c r="BU1251" s="314"/>
      <c r="BV1251" s="314"/>
      <c r="BW1251" s="314"/>
      <c r="BX1251" s="155"/>
    </row>
    <row r="1252" spans="1:76" ht="15.75" customHeight="1">
      <c r="A1252" s="25"/>
      <c r="B1252" s="39"/>
      <c r="C1252" s="155"/>
      <c r="D1252" s="155"/>
      <c r="E1252" s="40"/>
      <c r="F1252" s="314"/>
      <c r="H1252" s="315"/>
      <c r="I1252" s="315"/>
      <c r="BA1252" s="30"/>
      <c r="BB1252" s="155"/>
      <c r="BC1252" s="314"/>
      <c r="BD1252" s="314"/>
      <c r="BE1252" s="314"/>
      <c r="BF1252" s="314"/>
      <c r="BG1252" s="314"/>
      <c r="BH1252" s="314"/>
      <c r="BI1252" s="314"/>
      <c r="BJ1252" s="314"/>
      <c r="BK1252" s="40"/>
      <c r="BL1252" s="40"/>
      <c r="BM1252" s="40"/>
      <c r="BN1252" s="40"/>
      <c r="BO1252" s="40"/>
      <c r="BP1252" s="155"/>
      <c r="BQ1252" s="314"/>
      <c r="BR1252" s="314"/>
      <c r="BS1252" s="314"/>
      <c r="BT1252" s="314"/>
      <c r="BU1252" s="314"/>
      <c r="BV1252" s="314"/>
      <c r="BW1252" s="314"/>
      <c r="BX1252" s="155"/>
    </row>
    <row r="1253" spans="1:76" ht="15.75" customHeight="1">
      <c r="A1253" s="25"/>
      <c r="B1253" s="39"/>
      <c r="C1253" s="155"/>
      <c r="D1253" s="155"/>
      <c r="E1253" s="40"/>
      <c r="F1253" s="314"/>
      <c r="H1253" s="315"/>
      <c r="I1253" s="315"/>
      <c r="BA1253" s="30"/>
      <c r="BB1253" s="155"/>
      <c r="BC1253" s="314"/>
      <c r="BD1253" s="314"/>
      <c r="BE1253" s="314"/>
      <c r="BF1253" s="314"/>
      <c r="BG1253" s="314"/>
      <c r="BH1253" s="314"/>
      <c r="BI1253" s="314"/>
      <c r="BJ1253" s="314"/>
      <c r="BK1253" s="40"/>
      <c r="BL1253" s="40"/>
      <c r="BM1253" s="40"/>
      <c r="BN1253" s="40"/>
      <c r="BO1253" s="40"/>
      <c r="BP1253" s="155"/>
      <c r="BQ1253" s="314"/>
      <c r="BR1253" s="314"/>
      <c r="BS1253" s="314"/>
      <c r="BT1253" s="314"/>
      <c r="BU1253" s="314"/>
      <c r="BV1253" s="314"/>
      <c r="BW1253" s="314"/>
      <c r="BX1253" s="155"/>
    </row>
    <row r="1254" spans="1:76" ht="15.75" customHeight="1">
      <c r="A1254" s="25"/>
      <c r="B1254" s="39"/>
      <c r="C1254" s="155"/>
      <c r="D1254" s="155"/>
      <c r="E1254" s="341"/>
      <c r="F1254" s="314"/>
      <c r="H1254" s="315"/>
      <c r="I1254" s="315"/>
      <c r="BA1254" s="30"/>
      <c r="BB1254" s="321"/>
      <c r="BC1254" s="314"/>
      <c r="BD1254" s="314"/>
      <c r="BE1254" s="314"/>
      <c r="BF1254" s="314"/>
      <c r="BG1254" s="314"/>
      <c r="BH1254" s="314"/>
      <c r="BI1254" s="314"/>
      <c r="BJ1254" s="314"/>
      <c r="BK1254" s="40"/>
      <c r="BL1254" s="40"/>
      <c r="BM1254" s="40"/>
      <c r="BN1254" s="40"/>
      <c r="BO1254" s="40"/>
      <c r="BP1254" s="155"/>
      <c r="BQ1254" s="314"/>
      <c r="BR1254" s="314"/>
      <c r="BS1254" s="314"/>
      <c r="BT1254" s="314"/>
      <c r="BU1254" s="314"/>
      <c r="BV1254" s="314"/>
      <c r="BW1254" s="314"/>
      <c r="BX1254" s="155"/>
    </row>
    <row r="1255" spans="1:76" ht="15.75" customHeight="1">
      <c r="A1255" s="25"/>
      <c r="B1255" s="39"/>
      <c r="C1255" s="155"/>
      <c r="D1255" s="155"/>
      <c r="E1255" s="40"/>
      <c r="F1255" s="314"/>
      <c r="H1255" s="315"/>
      <c r="I1255" s="315"/>
      <c r="BA1255" s="30"/>
      <c r="BB1255" s="155"/>
      <c r="BC1255" s="314"/>
      <c r="BD1255" s="314"/>
      <c r="BE1255" s="314"/>
      <c r="BF1255" s="314"/>
      <c r="BG1255" s="314"/>
      <c r="BH1255" s="314"/>
      <c r="BI1255" s="314"/>
      <c r="BJ1255" s="314"/>
      <c r="BK1255" s="40"/>
      <c r="BL1255" s="40"/>
      <c r="BM1255" s="40"/>
      <c r="BN1255" s="40"/>
      <c r="BO1255" s="40"/>
      <c r="BP1255" s="155"/>
      <c r="BQ1255" s="314"/>
      <c r="BR1255" s="314"/>
      <c r="BS1255" s="314"/>
      <c r="BT1255" s="314"/>
      <c r="BU1255" s="314"/>
      <c r="BV1255" s="314"/>
      <c r="BW1255" s="314"/>
      <c r="BX1255" s="155"/>
    </row>
    <row r="1256" spans="1:76" ht="15.75" customHeight="1">
      <c r="A1256" s="25"/>
      <c r="B1256" s="39"/>
      <c r="C1256" s="155"/>
      <c r="D1256" s="155"/>
      <c r="E1256" s="40"/>
      <c r="F1256" s="314"/>
      <c r="H1256" s="315"/>
      <c r="I1256" s="315"/>
      <c r="BA1256" s="30"/>
      <c r="BB1256" s="155"/>
      <c r="BC1256" s="314"/>
      <c r="BD1256" s="314"/>
      <c r="BE1256" s="314"/>
      <c r="BF1256" s="314"/>
      <c r="BG1256" s="314"/>
      <c r="BH1256" s="314"/>
      <c r="BI1256" s="314"/>
      <c r="BJ1256" s="314"/>
      <c r="BK1256" s="40"/>
      <c r="BL1256" s="40"/>
      <c r="BM1256" s="40"/>
      <c r="BN1256" s="40"/>
      <c r="BO1256" s="40"/>
      <c r="BP1256" s="155"/>
      <c r="BQ1256" s="314"/>
      <c r="BR1256" s="314"/>
      <c r="BS1256" s="314"/>
      <c r="BT1256" s="314"/>
      <c r="BU1256" s="314"/>
      <c r="BV1256" s="314"/>
      <c r="BW1256" s="314"/>
      <c r="BX1256" s="155"/>
    </row>
    <row r="1257" spans="1:76" ht="15.75" customHeight="1">
      <c r="A1257" s="25"/>
      <c r="B1257" s="39"/>
      <c r="C1257" s="155"/>
      <c r="D1257" s="155"/>
      <c r="E1257" s="40"/>
      <c r="F1257" s="314"/>
      <c r="H1257" s="315"/>
      <c r="I1257" s="315"/>
      <c r="BA1257" s="30"/>
      <c r="BB1257" s="155"/>
      <c r="BC1257" s="314"/>
      <c r="BD1257" s="314"/>
      <c r="BE1257" s="314"/>
      <c r="BF1257" s="314"/>
      <c r="BG1257" s="314"/>
      <c r="BH1257" s="314"/>
      <c r="BI1257" s="314"/>
      <c r="BJ1257" s="314"/>
      <c r="BK1257" s="40"/>
      <c r="BL1257" s="40"/>
      <c r="BM1257" s="40"/>
      <c r="BN1257" s="40"/>
      <c r="BO1257" s="40"/>
      <c r="BP1257" s="155"/>
      <c r="BQ1257" s="314"/>
      <c r="BR1257" s="314"/>
      <c r="BS1257" s="314"/>
      <c r="BT1257" s="314"/>
      <c r="BU1257" s="314"/>
      <c r="BV1257" s="314"/>
      <c r="BW1257" s="314"/>
      <c r="BX1257" s="155"/>
    </row>
    <row r="1258" spans="1:76" ht="15.75" customHeight="1">
      <c r="A1258" s="25"/>
      <c r="B1258" s="39"/>
      <c r="C1258" s="155"/>
      <c r="D1258" s="155"/>
      <c r="E1258" s="40"/>
      <c r="F1258" s="314"/>
      <c r="H1258" s="315"/>
      <c r="I1258" s="315"/>
      <c r="BA1258" s="30"/>
      <c r="BB1258" s="155"/>
      <c r="BC1258" s="314"/>
      <c r="BD1258" s="314"/>
      <c r="BE1258" s="314"/>
      <c r="BF1258" s="314"/>
      <c r="BG1258" s="314"/>
      <c r="BH1258" s="314"/>
      <c r="BI1258" s="314"/>
      <c r="BJ1258" s="314"/>
      <c r="BK1258" s="40"/>
      <c r="BL1258" s="40"/>
      <c r="BM1258" s="40"/>
      <c r="BN1258" s="40"/>
      <c r="BO1258" s="40"/>
      <c r="BP1258" s="155"/>
      <c r="BQ1258" s="314"/>
      <c r="BR1258" s="314"/>
      <c r="BS1258" s="314"/>
      <c r="BT1258" s="314"/>
      <c r="BU1258" s="314"/>
      <c r="BV1258" s="314"/>
      <c r="BW1258" s="314"/>
      <c r="BX1258" s="155"/>
    </row>
    <row r="1259" spans="1:76" ht="15.75" customHeight="1">
      <c r="A1259" s="25"/>
      <c r="B1259" s="39"/>
      <c r="C1259" s="155"/>
      <c r="D1259" s="155"/>
      <c r="E1259" s="40"/>
      <c r="F1259" s="314"/>
      <c r="H1259" s="315"/>
      <c r="I1259" s="315"/>
      <c r="BA1259" s="30"/>
      <c r="BB1259" s="155"/>
      <c r="BC1259" s="314"/>
      <c r="BD1259" s="314"/>
      <c r="BE1259" s="314"/>
      <c r="BF1259" s="314"/>
      <c r="BG1259" s="314"/>
      <c r="BH1259" s="314"/>
      <c r="BI1259" s="314"/>
      <c r="BJ1259" s="314"/>
      <c r="BK1259" s="40"/>
      <c r="BL1259" s="40"/>
      <c r="BM1259" s="40"/>
      <c r="BN1259" s="40"/>
      <c r="BO1259" s="40"/>
      <c r="BP1259" s="155"/>
      <c r="BQ1259" s="314"/>
      <c r="BR1259" s="314"/>
      <c r="BS1259" s="314"/>
      <c r="BT1259" s="314"/>
      <c r="BU1259" s="314"/>
      <c r="BV1259" s="314"/>
      <c r="BW1259" s="314"/>
      <c r="BX1259" s="155"/>
    </row>
    <row r="1260" spans="1:76" ht="15.75" customHeight="1">
      <c r="A1260" s="25"/>
      <c r="B1260" s="39"/>
      <c r="C1260" s="155"/>
      <c r="D1260" s="155"/>
      <c r="E1260" s="40"/>
      <c r="F1260" s="314"/>
      <c r="H1260" s="315"/>
      <c r="I1260" s="315"/>
      <c r="BA1260" s="30"/>
      <c r="BB1260" s="155"/>
      <c r="BC1260" s="314"/>
      <c r="BD1260" s="314"/>
      <c r="BE1260" s="314"/>
      <c r="BF1260" s="314"/>
      <c r="BG1260" s="314"/>
      <c r="BH1260" s="314"/>
      <c r="BI1260" s="314"/>
      <c r="BJ1260" s="314"/>
      <c r="BK1260" s="40"/>
      <c r="BL1260" s="40"/>
      <c r="BM1260" s="40"/>
      <c r="BN1260" s="40"/>
      <c r="BO1260" s="40"/>
      <c r="BP1260" s="155"/>
      <c r="BQ1260" s="314"/>
      <c r="BR1260" s="314"/>
      <c r="BS1260" s="314"/>
      <c r="BT1260" s="314"/>
      <c r="BU1260" s="314"/>
      <c r="BV1260" s="314"/>
      <c r="BW1260" s="314"/>
      <c r="BX1260" s="155"/>
    </row>
    <row r="1261" spans="1:76" ht="15.75" customHeight="1">
      <c r="A1261" s="25"/>
      <c r="B1261" s="39"/>
      <c r="C1261" s="155"/>
      <c r="D1261" s="155"/>
      <c r="E1261" s="40"/>
      <c r="F1261" s="314"/>
      <c r="H1261" s="315"/>
      <c r="I1261" s="315"/>
      <c r="BA1261" s="30"/>
      <c r="BB1261" s="155"/>
      <c r="BC1261" s="314"/>
      <c r="BD1261" s="314"/>
      <c r="BE1261" s="314"/>
      <c r="BF1261" s="314"/>
      <c r="BG1261" s="314"/>
      <c r="BH1261" s="314"/>
      <c r="BI1261" s="314"/>
      <c r="BJ1261" s="314"/>
      <c r="BK1261" s="40"/>
      <c r="BL1261" s="40"/>
      <c r="BM1261" s="40"/>
      <c r="BN1261" s="40"/>
      <c r="BO1261" s="40"/>
      <c r="BP1261" s="155"/>
      <c r="BQ1261" s="314"/>
      <c r="BR1261" s="314"/>
      <c r="BS1261" s="314"/>
      <c r="BT1261" s="314"/>
      <c r="BU1261" s="314"/>
      <c r="BV1261" s="314"/>
      <c r="BW1261" s="314"/>
      <c r="BX1261" s="155"/>
    </row>
    <row r="1262" spans="1:76" ht="15.75" customHeight="1">
      <c r="A1262" s="25"/>
      <c r="B1262" s="39"/>
      <c r="C1262" s="155"/>
      <c r="D1262" s="155"/>
      <c r="E1262" s="40"/>
      <c r="F1262" s="314"/>
      <c r="H1262" s="315"/>
      <c r="I1262" s="315"/>
      <c r="BA1262" s="30"/>
      <c r="BB1262" s="155"/>
      <c r="BC1262" s="314"/>
      <c r="BD1262" s="314"/>
      <c r="BE1262" s="314"/>
      <c r="BF1262" s="314"/>
      <c r="BG1262" s="314"/>
      <c r="BH1262" s="314"/>
      <c r="BI1262" s="314"/>
      <c r="BJ1262" s="314"/>
      <c r="BK1262" s="40"/>
      <c r="BL1262" s="40"/>
      <c r="BM1262" s="40"/>
      <c r="BN1262" s="40"/>
      <c r="BO1262" s="40"/>
      <c r="BP1262" s="155"/>
      <c r="BQ1262" s="314"/>
      <c r="BR1262" s="314"/>
      <c r="BS1262" s="314"/>
      <c r="BT1262" s="314"/>
      <c r="BU1262" s="314"/>
      <c r="BV1262" s="314"/>
      <c r="BW1262" s="314"/>
      <c r="BX1262" s="155"/>
    </row>
    <row r="1263" spans="1:76" ht="15.75" customHeight="1">
      <c r="A1263" s="25"/>
      <c r="B1263" s="39"/>
      <c r="C1263" s="155"/>
      <c r="D1263" s="155"/>
      <c r="E1263" s="40"/>
      <c r="F1263" s="314"/>
      <c r="H1263" s="315"/>
      <c r="I1263" s="315"/>
      <c r="BA1263" s="30"/>
      <c r="BB1263" s="155"/>
      <c r="BC1263" s="314"/>
      <c r="BD1263" s="314"/>
      <c r="BE1263" s="314"/>
      <c r="BF1263" s="314"/>
      <c r="BG1263" s="314"/>
      <c r="BH1263" s="314"/>
      <c r="BI1263" s="314"/>
      <c r="BJ1263" s="314"/>
      <c r="BK1263" s="40"/>
      <c r="BL1263" s="40"/>
      <c r="BM1263" s="40"/>
      <c r="BN1263" s="40"/>
      <c r="BO1263" s="40"/>
      <c r="BP1263" s="155"/>
      <c r="BQ1263" s="314"/>
      <c r="BR1263" s="314"/>
      <c r="BS1263" s="314"/>
      <c r="BT1263" s="314"/>
      <c r="BU1263" s="314"/>
      <c r="BV1263" s="314"/>
      <c r="BW1263" s="314"/>
      <c r="BX1263" s="155"/>
    </row>
    <row r="1264" spans="1:76" ht="15.75" customHeight="1">
      <c r="A1264" s="25"/>
      <c r="B1264" s="39"/>
      <c r="C1264" s="155"/>
      <c r="D1264" s="155"/>
      <c r="E1264" s="40"/>
      <c r="F1264" s="314"/>
      <c r="H1264" s="315"/>
      <c r="I1264" s="315"/>
      <c r="BA1264" s="30"/>
      <c r="BB1264" s="155"/>
      <c r="BC1264" s="314"/>
      <c r="BD1264" s="314"/>
      <c r="BE1264" s="314"/>
      <c r="BF1264" s="314"/>
      <c r="BG1264" s="314"/>
      <c r="BH1264" s="314"/>
      <c r="BI1264" s="314"/>
      <c r="BJ1264" s="314"/>
      <c r="BK1264" s="40"/>
      <c r="BL1264" s="40"/>
      <c r="BM1264" s="40"/>
      <c r="BN1264" s="40"/>
      <c r="BO1264" s="40"/>
      <c r="BP1264" s="155"/>
      <c r="BQ1264" s="314"/>
      <c r="BR1264" s="314"/>
      <c r="BS1264" s="314"/>
      <c r="BT1264" s="314"/>
      <c r="BU1264" s="314"/>
      <c r="BV1264" s="314"/>
      <c r="BW1264" s="314"/>
      <c r="BX1264" s="155"/>
    </row>
    <row r="1265" spans="1:76" ht="15.75" customHeight="1">
      <c r="A1265" s="25"/>
      <c r="B1265" s="39"/>
      <c r="C1265" s="155"/>
      <c r="D1265" s="155"/>
      <c r="E1265" s="40"/>
      <c r="F1265" s="314"/>
      <c r="H1265" s="315"/>
      <c r="I1265" s="315"/>
      <c r="BA1265" s="30"/>
      <c r="BB1265" s="155"/>
      <c r="BC1265" s="314"/>
      <c r="BD1265" s="314"/>
      <c r="BE1265" s="314"/>
      <c r="BF1265" s="314"/>
      <c r="BG1265" s="314"/>
      <c r="BH1265" s="314"/>
      <c r="BI1265" s="314"/>
      <c r="BJ1265" s="314"/>
      <c r="BK1265" s="40"/>
      <c r="BL1265" s="40"/>
      <c r="BM1265" s="40"/>
      <c r="BN1265" s="40"/>
      <c r="BO1265" s="40"/>
      <c r="BP1265" s="155"/>
      <c r="BQ1265" s="314"/>
      <c r="BR1265" s="314"/>
      <c r="BS1265" s="314"/>
      <c r="BT1265" s="314"/>
      <c r="BU1265" s="314"/>
      <c r="BV1265" s="314"/>
      <c r="BW1265" s="314"/>
      <c r="BX1265" s="155"/>
    </row>
    <row r="1266" spans="1:76" ht="15.75" customHeight="1">
      <c r="A1266" s="25"/>
      <c r="B1266" s="39"/>
      <c r="C1266" s="155"/>
      <c r="D1266" s="155"/>
      <c r="E1266" s="40"/>
      <c r="F1266" s="314"/>
      <c r="H1266" s="315"/>
      <c r="I1266" s="315"/>
      <c r="BA1266" s="30"/>
      <c r="BB1266" s="155"/>
      <c r="BC1266" s="314"/>
      <c r="BD1266" s="314"/>
      <c r="BE1266" s="314"/>
      <c r="BF1266" s="314"/>
      <c r="BG1266" s="314"/>
      <c r="BH1266" s="314"/>
      <c r="BI1266" s="314"/>
      <c r="BJ1266" s="314"/>
      <c r="BK1266" s="40"/>
      <c r="BL1266" s="40"/>
      <c r="BM1266" s="40"/>
      <c r="BN1266" s="40"/>
      <c r="BO1266" s="40"/>
      <c r="BP1266" s="155"/>
      <c r="BQ1266" s="314"/>
      <c r="BR1266" s="314"/>
      <c r="BS1266" s="314"/>
      <c r="BT1266" s="314"/>
      <c r="BU1266" s="314"/>
      <c r="BV1266" s="314"/>
      <c r="BW1266" s="314"/>
      <c r="BX1266" s="155"/>
    </row>
    <row r="1267" spans="1:76" ht="15.75" customHeight="1">
      <c r="A1267" s="25"/>
      <c r="B1267" s="39"/>
      <c r="C1267" s="155"/>
      <c r="D1267" s="155"/>
      <c r="E1267" s="40"/>
      <c r="F1267" s="314"/>
      <c r="H1267" s="315"/>
      <c r="I1267" s="315"/>
      <c r="BA1267" s="30"/>
      <c r="BB1267" s="155"/>
      <c r="BC1267" s="314"/>
      <c r="BD1267" s="314"/>
      <c r="BE1267" s="314"/>
      <c r="BF1267" s="314"/>
      <c r="BG1267" s="314"/>
      <c r="BH1267" s="314"/>
      <c r="BI1267" s="314"/>
      <c r="BJ1267" s="314"/>
      <c r="BK1267" s="40"/>
      <c r="BL1267" s="40"/>
      <c r="BM1267" s="40"/>
      <c r="BN1267" s="40"/>
      <c r="BO1267" s="40"/>
      <c r="BP1267" s="155"/>
      <c r="BQ1267" s="314"/>
      <c r="BR1267" s="314"/>
      <c r="BS1267" s="314"/>
      <c r="BT1267" s="314"/>
      <c r="BU1267" s="314"/>
      <c r="BV1267" s="314"/>
      <c r="BW1267" s="314"/>
      <c r="BX1267" s="155"/>
    </row>
    <row r="1268" spans="1:76" ht="15.75" customHeight="1">
      <c r="A1268" s="25"/>
      <c r="B1268" s="39"/>
      <c r="C1268" s="155"/>
      <c r="D1268" s="155"/>
      <c r="E1268" s="40"/>
      <c r="F1268" s="314"/>
      <c r="H1268" s="315"/>
      <c r="I1268" s="315"/>
      <c r="BA1268" s="30"/>
      <c r="BB1268" s="155"/>
      <c r="BC1268" s="314"/>
      <c r="BD1268" s="314"/>
      <c r="BE1268" s="314"/>
      <c r="BF1268" s="314"/>
      <c r="BG1268" s="314"/>
      <c r="BH1268" s="314"/>
      <c r="BI1268" s="314"/>
      <c r="BJ1268" s="314"/>
      <c r="BK1268" s="40"/>
      <c r="BL1268" s="40"/>
      <c r="BM1268" s="40"/>
      <c r="BN1268" s="40"/>
      <c r="BO1268" s="40"/>
      <c r="BP1268" s="155"/>
      <c r="BQ1268" s="314"/>
      <c r="BR1268" s="314"/>
      <c r="BS1268" s="314"/>
      <c r="BT1268" s="314"/>
      <c r="BU1268" s="314"/>
      <c r="BV1268" s="314"/>
      <c r="BW1268" s="314"/>
      <c r="BX1268" s="155"/>
    </row>
    <row r="1269" spans="1:76" ht="15.75" customHeight="1">
      <c r="A1269" s="25"/>
      <c r="B1269" s="39"/>
      <c r="C1269" s="155"/>
      <c r="D1269" s="155"/>
      <c r="E1269" s="40"/>
      <c r="F1269" s="314"/>
      <c r="H1269" s="315"/>
      <c r="I1269" s="315"/>
      <c r="BA1269" s="30"/>
      <c r="BB1269" s="155"/>
      <c r="BC1269" s="314"/>
      <c r="BD1269" s="314"/>
      <c r="BE1269" s="314"/>
      <c r="BF1269" s="314"/>
      <c r="BG1269" s="314"/>
      <c r="BH1269" s="314"/>
      <c r="BI1269" s="314"/>
      <c r="BJ1269" s="314"/>
      <c r="BK1269" s="40"/>
      <c r="BL1269" s="40"/>
      <c r="BM1269" s="40"/>
      <c r="BN1269" s="40"/>
      <c r="BO1269" s="40"/>
      <c r="BP1269" s="155"/>
      <c r="BQ1269" s="314"/>
      <c r="BR1269" s="314"/>
      <c r="BS1269" s="314"/>
      <c r="BT1269" s="314"/>
      <c r="BU1269" s="314"/>
      <c r="BV1269" s="314"/>
      <c r="BW1269" s="314"/>
      <c r="BX1269" s="155"/>
    </row>
    <row r="1270" spans="1:76" ht="15.75" customHeight="1">
      <c r="A1270" s="25"/>
      <c r="B1270" s="39"/>
      <c r="C1270" s="155"/>
      <c r="D1270" s="155"/>
      <c r="E1270" s="341"/>
      <c r="F1270" s="314"/>
      <c r="H1270" s="315"/>
      <c r="I1270" s="315"/>
      <c r="BA1270" s="30"/>
      <c r="BB1270" s="321"/>
      <c r="BC1270" s="314"/>
      <c r="BD1270" s="314"/>
      <c r="BE1270" s="314"/>
      <c r="BF1270" s="314"/>
      <c r="BG1270" s="314"/>
      <c r="BH1270" s="314"/>
      <c r="BI1270" s="314"/>
      <c r="BJ1270" s="314"/>
      <c r="BK1270" s="40"/>
      <c r="BL1270" s="40"/>
      <c r="BM1270" s="40"/>
      <c r="BN1270" s="40"/>
      <c r="BO1270" s="40"/>
      <c r="BP1270" s="155"/>
      <c r="BQ1270" s="314"/>
      <c r="BR1270" s="314"/>
      <c r="BS1270" s="314"/>
      <c r="BT1270" s="314"/>
      <c r="BU1270" s="314"/>
      <c r="BV1270" s="314"/>
      <c r="BW1270" s="314"/>
      <c r="BX1270" s="155"/>
    </row>
    <row r="1271" spans="1:76" ht="15.75" customHeight="1">
      <c r="A1271" s="25"/>
      <c r="B1271" s="39"/>
      <c r="C1271" s="155"/>
      <c r="D1271" s="155"/>
      <c r="E1271" s="40"/>
      <c r="F1271" s="314"/>
      <c r="H1271" s="315"/>
      <c r="I1271" s="315"/>
      <c r="BA1271" s="30"/>
      <c r="BB1271" s="155"/>
      <c r="BC1271" s="314"/>
      <c r="BD1271" s="314"/>
      <c r="BE1271" s="314"/>
      <c r="BF1271" s="314"/>
      <c r="BG1271" s="314"/>
      <c r="BH1271" s="314"/>
      <c r="BI1271" s="314"/>
      <c r="BJ1271" s="314"/>
      <c r="BK1271" s="40"/>
      <c r="BL1271" s="40"/>
      <c r="BM1271" s="40"/>
      <c r="BN1271" s="40"/>
      <c r="BO1271" s="40"/>
      <c r="BP1271" s="155"/>
      <c r="BQ1271" s="314"/>
      <c r="BR1271" s="314"/>
      <c r="BS1271" s="314"/>
      <c r="BT1271" s="314"/>
      <c r="BU1271" s="314"/>
      <c r="BV1271" s="314"/>
      <c r="BW1271" s="314"/>
      <c r="BX1271" s="155"/>
    </row>
    <row r="1272" spans="1:76" ht="15.75" customHeight="1">
      <c r="A1272" s="25"/>
      <c r="B1272" s="39"/>
      <c r="C1272" s="155"/>
      <c r="D1272" s="155"/>
      <c r="E1272" s="40"/>
      <c r="F1272" s="314"/>
      <c r="H1272" s="315"/>
      <c r="I1272" s="315"/>
      <c r="BA1272" s="30"/>
      <c r="BB1272" s="155"/>
      <c r="BC1272" s="314"/>
      <c r="BD1272" s="314"/>
      <c r="BE1272" s="314"/>
      <c r="BF1272" s="314"/>
      <c r="BG1272" s="314"/>
      <c r="BH1272" s="314"/>
      <c r="BI1272" s="314"/>
      <c r="BJ1272" s="314"/>
      <c r="BK1272" s="40"/>
      <c r="BL1272" s="40"/>
      <c r="BM1272" s="40"/>
      <c r="BN1272" s="40"/>
      <c r="BO1272" s="40"/>
      <c r="BP1272" s="155"/>
      <c r="BQ1272" s="314"/>
      <c r="BR1272" s="314"/>
      <c r="BS1272" s="314"/>
      <c r="BT1272" s="314"/>
      <c r="BU1272" s="314"/>
      <c r="BV1272" s="314"/>
      <c r="BW1272" s="314"/>
      <c r="BX1272" s="155"/>
    </row>
    <row r="1273" spans="1:76" ht="15.75" customHeight="1">
      <c r="A1273" s="25"/>
      <c r="B1273" s="39"/>
      <c r="C1273" s="155"/>
      <c r="D1273" s="155"/>
      <c r="E1273" s="40"/>
      <c r="F1273" s="314"/>
      <c r="H1273" s="315"/>
      <c r="I1273" s="315"/>
      <c r="BA1273" s="30"/>
      <c r="BB1273" s="155"/>
      <c r="BC1273" s="314"/>
      <c r="BD1273" s="314"/>
      <c r="BE1273" s="314"/>
      <c r="BF1273" s="314"/>
      <c r="BG1273" s="314"/>
      <c r="BH1273" s="314"/>
      <c r="BI1273" s="314"/>
      <c r="BJ1273" s="314"/>
      <c r="BK1273" s="40"/>
      <c r="BL1273" s="40"/>
      <c r="BM1273" s="40"/>
      <c r="BN1273" s="40"/>
      <c r="BO1273" s="40"/>
      <c r="BP1273" s="155"/>
      <c r="BQ1273" s="314"/>
      <c r="BR1273" s="314"/>
      <c r="BS1273" s="314"/>
      <c r="BT1273" s="314"/>
      <c r="BU1273" s="314"/>
      <c r="BV1273" s="314"/>
      <c r="BW1273" s="314"/>
      <c r="BX1273" s="155"/>
    </row>
    <row r="1274" spans="1:76" ht="15.75" customHeight="1">
      <c r="A1274" s="25"/>
      <c r="B1274" s="39"/>
      <c r="C1274" s="155"/>
      <c r="D1274" s="155"/>
      <c r="E1274" s="40"/>
      <c r="F1274" s="314"/>
      <c r="H1274" s="315"/>
      <c r="I1274" s="315"/>
      <c r="BA1274" s="30"/>
      <c r="BB1274" s="155"/>
      <c r="BC1274" s="314"/>
      <c r="BD1274" s="314"/>
      <c r="BE1274" s="314"/>
      <c r="BF1274" s="314"/>
      <c r="BG1274" s="314"/>
      <c r="BH1274" s="314"/>
      <c r="BI1274" s="314"/>
      <c r="BJ1274" s="314"/>
      <c r="BK1274" s="40"/>
      <c r="BL1274" s="40"/>
      <c r="BM1274" s="40"/>
      <c r="BN1274" s="40"/>
      <c r="BO1274" s="40"/>
      <c r="BP1274" s="155"/>
      <c r="BQ1274" s="314"/>
      <c r="BR1274" s="314"/>
      <c r="BS1274" s="314"/>
      <c r="BT1274" s="314"/>
      <c r="BU1274" s="314"/>
      <c r="BV1274" s="314"/>
      <c r="BW1274" s="314"/>
      <c r="BX1274" s="155"/>
    </row>
    <row r="1275" spans="1:76" ht="15.75" customHeight="1">
      <c r="A1275" s="25"/>
      <c r="B1275" s="39"/>
      <c r="C1275" s="155"/>
      <c r="D1275" s="155"/>
      <c r="E1275" s="40"/>
      <c r="F1275" s="314"/>
      <c r="H1275" s="315"/>
      <c r="I1275" s="315"/>
      <c r="BA1275" s="30"/>
      <c r="BB1275" s="155"/>
      <c r="BC1275" s="314"/>
      <c r="BD1275" s="314"/>
      <c r="BE1275" s="314"/>
      <c r="BF1275" s="314"/>
      <c r="BG1275" s="314"/>
      <c r="BH1275" s="314"/>
      <c r="BI1275" s="314"/>
      <c r="BJ1275" s="314"/>
      <c r="BK1275" s="40"/>
      <c r="BL1275" s="40"/>
      <c r="BM1275" s="40"/>
      <c r="BN1275" s="40"/>
      <c r="BO1275" s="40"/>
      <c r="BP1275" s="155"/>
      <c r="BQ1275" s="314"/>
      <c r="BR1275" s="314"/>
      <c r="BS1275" s="314"/>
      <c r="BT1275" s="314"/>
      <c r="BU1275" s="314"/>
      <c r="BV1275" s="314"/>
      <c r="BW1275" s="314"/>
      <c r="BX1275" s="155"/>
    </row>
    <row r="1276" spans="1:76" ht="15.75" customHeight="1">
      <c r="A1276" s="25"/>
      <c r="B1276" s="39"/>
      <c r="C1276" s="155"/>
      <c r="D1276" s="155"/>
      <c r="E1276" s="40"/>
      <c r="F1276" s="314"/>
      <c r="H1276" s="315"/>
      <c r="I1276" s="315"/>
      <c r="BA1276" s="30"/>
      <c r="BB1276" s="155"/>
      <c r="BC1276" s="314"/>
      <c r="BD1276" s="314"/>
      <c r="BE1276" s="314"/>
      <c r="BF1276" s="314"/>
      <c r="BG1276" s="314"/>
      <c r="BH1276" s="314"/>
      <c r="BI1276" s="314"/>
      <c r="BJ1276" s="314"/>
      <c r="BK1276" s="40"/>
      <c r="BL1276" s="40"/>
      <c r="BM1276" s="40"/>
      <c r="BN1276" s="40"/>
      <c r="BO1276" s="40"/>
      <c r="BP1276" s="155"/>
      <c r="BQ1276" s="314"/>
      <c r="BR1276" s="314"/>
      <c r="BS1276" s="314"/>
      <c r="BT1276" s="314"/>
      <c r="BU1276" s="314"/>
      <c r="BV1276" s="314"/>
      <c r="BW1276" s="314"/>
      <c r="BX1276" s="155"/>
    </row>
    <row r="1277" spans="1:76" ht="15.75" customHeight="1">
      <c r="A1277" s="25"/>
      <c r="B1277" s="39"/>
      <c r="C1277" s="155"/>
      <c r="D1277" s="155"/>
      <c r="E1277" s="40"/>
      <c r="F1277" s="314"/>
      <c r="H1277" s="315"/>
      <c r="I1277" s="315"/>
      <c r="BA1277" s="30"/>
      <c r="BB1277" s="155"/>
      <c r="BC1277" s="314"/>
      <c r="BD1277" s="314"/>
      <c r="BE1277" s="314"/>
      <c r="BF1277" s="314"/>
      <c r="BG1277" s="314"/>
      <c r="BH1277" s="314"/>
      <c r="BI1277" s="314"/>
      <c r="BJ1277" s="314"/>
      <c r="BK1277" s="40"/>
      <c r="BL1277" s="40"/>
      <c r="BM1277" s="40"/>
      <c r="BN1277" s="40"/>
      <c r="BO1277" s="40"/>
      <c r="BP1277" s="155"/>
      <c r="BQ1277" s="314"/>
      <c r="BR1277" s="314"/>
      <c r="BS1277" s="314"/>
      <c r="BT1277" s="314"/>
      <c r="BU1277" s="314"/>
      <c r="BV1277" s="314"/>
      <c r="BW1277" s="314"/>
      <c r="BX1277" s="155"/>
    </row>
    <row r="1278" spans="1:76" ht="15.75" customHeight="1">
      <c r="A1278" s="25"/>
      <c r="B1278" s="39"/>
      <c r="C1278" s="155"/>
      <c r="D1278" s="155"/>
      <c r="E1278" s="341"/>
      <c r="F1278" s="314"/>
      <c r="H1278" s="315"/>
      <c r="I1278" s="315"/>
      <c r="BA1278" s="30"/>
      <c r="BB1278" s="321"/>
      <c r="BC1278" s="314"/>
      <c r="BD1278" s="314"/>
      <c r="BE1278" s="314"/>
      <c r="BF1278" s="314"/>
      <c r="BG1278" s="314"/>
      <c r="BH1278" s="314"/>
      <c r="BI1278" s="314"/>
      <c r="BJ1278" s="314"/>
      <c r="BK1278" s="40"/>
      <c r="BL1278" s="40"/>
      <c r="BM1278" s="40"/>
      <c r="BN1278" s="40"/>
      <c r="BO1278" s="40"/>
      <c r="BP1278" s="155"/>
      <c r="BQ1278" s="314"/>
      <c r="BR1278" s="314"/>
      <c r="BS1278" s="314"/>
      <c r="BT1278" s="314"/>
      <c r="BU1278" s="314"/>
      <c r="BV1278" s="314"/>
      <c r="BW1278" s="314"/>
      <c r="BX1278" s="155"/>
    </row>
    <row r="1279" spans="1:76" ht="15.75" customHeight="1">
      <c r="A1279" s="25"/>
      <c r="B1279" s="39"/>
      <c r="C1279" s="155"/>
      <c r="D1279" s="155"/>
      <c r="E1279" s="40"/>
      <c r="F1279" s="314"/>
      <c r="H1279" s="315"/>
      <c r="I1279" s="315"/>
      <c r="BA1279" s="30"/>
      <c r="BB1279" s="155"/>
      <c r="BC1279" s="314"/>
      <c r="BD1279" s="314"/>
      <c r="BE1279" s="314"/>
      <c r="BF1279" s="314"/>
      <c r="BG1279" s="314"/>
      <c r="BH1279" s="314"/>
      <c r="BI1279" s="314"/>
      <c r="BJ1279" s="314"/>
      <c r="BK1279" s="40"/>
      <c r="BL1279" s="40"/>
      <c r="BM1279" s="40"/>
      <c r="BN1279" s="40"/>
      <c r="BO1279" s="40"/>
      <c r="BP1279" s="155"/>
      <c r="BQ1279" s="314"/>
      <c r="BR1279" s="314"/>
      <c r="BS1279" s="314"/>
      <c r="BT1279" s="314"/>
      <c r="BU1279" s="314"/>
      <c r="BV1279" s="314"/>
      <c r="BW1279" s="314"/>
      <c r="BX1279" s="155"/>
    </row>
    <row r="1280" spans="1:76" ht="15.75" customHeight="1">
      <c r="A1280" s="25"/>
      <c r="B1280" s="39"/>
      <c r="C1280" s="155"/>
      <c r="D1280" s="155"/>
      <c r="E1280" s="40"/>
      <c r="F1280" s="314"/>
      <c r="H1280" s="315"/>
      <c r="I1280" s="315"/>
      <c r="BA1280" s="30"/>
      <c r="BB1280" s="155"/>
      <c r="BC1280" s="314"/>
      <c r="BD1280" s="314"/>
      <c r="BE1280" s="314"/>
      <c r="BF1280" s="314"/>
      <c r="BG1280" s="314"/>
      <c r="BH1280" s="314"/>
      <c r="BI1280" s="314"/>
      <c r="BJ1280" s="314"/>
      <c r="BK1280" s="40"/>
      <c r="BL1280" s="40"/>
      <c r="BM1280" s="40"/>
      <c r="BN1280" s="40"/>
      <c r="BO1280" s="40"/>
      <c r="BP1280" s="155"/>
      <c r="BQ1280" s="314"/>
      <c r="BR1280" s="314"/>
      <c r="BS1280" s="314"/>
      <c r="BT1280" s="314"/>
      <c r="BU1280" s="314"/>
      <c r="BV1280" s="314"/>
      <c r="BW1280" s="314"/>
      <c r="BX1280" s="155"/>
    </row>
    <row r="1281" spans="1:76" ht="15.75" customHeight="1">
      <c r="A1281" s="25"/>
      <c r="B1281" s="39"/>
      <c r="C1281" s="155"/>
      <c r="D1281" s="155"/>
      <c r="E1281" s="40"/>
      <c r="F1281" s="314"/>
      <c r="H1281" s="315"/>
      <c r="I1281" s="315"/>
      <c r="BA1281" s="30"/>
      <c r="BB1281" s="155"/>
      <c r="BC1281" s="314"/>
      <c r="BD1281" s="314"/>
      <c r="BE1281" s="314"/>
      <c r="BF1281" s="314"/>
      <c r="BG1281" s="314"/>
      <c r="BH1281" s="314"/>
      <c r="BI1281" s="314"/>
      <c r="BJ1281" s="314"/>
      <c r="BK1281" s="40"/>
      <c r="BL1281" s="40"/>
      <c r="BM1281" s="40"/>
      <c r="BN1281" s="40"/>
      <c r="BO1281" s="40"/>
      <c r="BP1281" s="155"/>
      <c r="BQ1281" s="314"/>
      <c r="BR1281" s="314"/>
      <c r="BS1281" s="314"/>
      <c r="BT1281" s="314"/>
      <c r="BU1281" s="314"/>
      <c r="BV1281" s="314"/>
      <c r="BW1281" s="314"/>
      <c r="BX1281" s="155"/>
    </row>
    <row r="1282" spans="1:76" ht="15.75" customHeight="1">
      <c r="A1282" s="25"/>
      <c r="B1282" s="39"/>
      <c r="C1282" s="155"/>
      <c r="D1282" s="155"/>
      <c r="E1282" s="40"/>
      <c r="F1282" s="314"/>
      <c r="H1282" s="315"/>
      <c r="I1282" s="315"/>
      <c r="BA1282" s="30"/>
      <c r="BB1282" s="155"/>
      <c r="BC1282" s="314"/>
      <c r="BD1282" s="314"/>
      <c r="BE1282" s="314"/>
      <c r="BF1282" s="314"/>
      <c r="BG1282" s="314"/>
      <c r="BH1282" s="314"/>
      <c r="BI1282" s="314"/>
      <c r="BJ1282" s="314"/>
      <c r="BK1282" s="40"/>
      <c r="BL1282" s="40"/>
      <c r="BM1282" s="40"/>
      <c r="BN1282" s="40"/>
      <c r="BO1282" s="40"/>
      <c r="BP1282" s="155"/>
      <c r="BQ1282" s="314"/>
      <c r="BR1282" s="314"/>
      <c r="BS1282" s="314"/>
      <c r="BT1282" s="314"/>
      <c r="BU1282" s="314"/>
      <c r="BV1282" s="314"/>
      <c r="BW1282" s="314"/>
      <c r="BX1282" s="155"/>
    </row>
    <row r="1283" spans="1:76" ht="15.75" customHeight="1">
      <c r="A1283" s="25"/>
      <c r="B1283" s="39"/>
      <c r="C1283" s="155"/>
      <c r="D1283" s="155"/>
      <c r="E1283" s="40"/>
      <c r="F1283" s="314"/>
      <c r="H1283" s="315"/>
      <c r="I1283" s="315"/>
      <c r="BA1283" s="30"/>
      <c r="BB1283" s="155"/>
      <c r="BC1283" s="314"/>
      <c r="BD1283" s="314"/>
      <c r="BE1283" s="314"/>
      <c r="BF1283" s="314"/>
      <c r="BG1283" s="314"/>
      <c r="BH1283" s="314"/>
      <c r="BI1283" s="314"/>
      <c r="BJ1283" s="314"/>
      <c r="BK1283" s="40"/>
      <c r="BL1283" s="40"/>
      <c r="BM1283" s="40"/>
      <c r="BN1283" s="40"/>
      <c r="BO1283" s="40"/>
      <c r="BP1283" s="155"/>
      <c r="BQ1283" s="314"/>
      <c r="BR1283" s="314"/>
      <c r="BS1283" s="314"/>
      <c r="BT1283" s="314"/>
      <c r="BU1283" s="314"/>
      <c r="BV1283" s="314"/>
      <c r="BW1283" s="314"/>
      <c r="BX1283" s="155"/>
    </row>
    <row r="1284" spans="1:76" ht="15.75" customHeight="1">
      <c r="A1284" s="25"/>
      <c r="B1284" s="39"/>
      <c r="C1284" s="155"/>
      <c r="D1284" s="155"/>
      <c r="E1284" s="40"/>
      <c r="F1284" s="314"/>
      <c r="H1284" s="315"/>
      <c r="I1284" s="315"/>
      <c r="BA1284" s="30"/>
      <c r="BB1284" s="155"/>
      <c r="BC1284" s="314"/>
      <c r="BD1284" s="314"/>
      <c r="BE1284" s="314"/>
      <c r="BF1284" s="314"/>
      <c r="BG1284" s="314"/>
      <c r="BH1284" s="314"/>
      <c r="BI1284" s="314"/>
      <c r="BJ1284" s="314"/>
      <c r="BK1284" s="40"/>
      <c r="BL1284" s="40"/>
      <c r="BM1284" s="40"/>
      <c r="BN1284" s="40"/>
      <c r="BO1284" s="40"/>
      <c r="BP1284" s="155"/>
      <c r="BQ1284" s="314"/>
      <c r="BR1284" s="314"/>
      <c r="BS1284" s="314"/>
      <c r="BT1284" s="314"/>
      <c r="BU1284" s="314"/>
      <c r="BV1284" s="314"/>
      <c r="BW1284" s="314"/>
      <c r="BX1284" s="155"/>
    </row>
    <row r="1285" spans="1:76" ht="15.75" customHeight="1">
      <c r="A1285" s="25"/>
      <c r="B1285" s="39"/>
      <c r="C1285" s="155"/>
      <c r="D1285" s="155"/>
      <c r="E1285" s="40"/>
      <c r="F1285" s="314"/>
      <c r="H1285" s="315"/>
      <c r="I1285" s="315"/>
      <c r="BA1285" s="30"/>
      <c r="BB1285" s="155"/>
      <c r="BC1285" s="314"/>
      <c r="BD1285" s="314"/>
      <c r="BE1285" s="314"/>
      <c r="BF1285" s="314"/>
      <c r="BG1285" s="314"/>
      <c r="BH1285" s="314"/>
      <c r="BI1285" s="314"/>
      <c r="BJ1285" s="314"/>
      <c r="BK1285" s="40"/>
      <c r="BL1285" s="40"/>
      <c r="BM1285" s="40"/>
      <c r="BN1285" s="40"/>
      <c r="BO1285" s="40"/>
      <c r="BP1285" s="155"/>
      <c r="BQ1285" s="314"/>
      <c r="BR1285" s="314"/>
      <c r="BS1285" s="314"/>
      <c r="BT1285" s="314"/>
      <c r="BU1285" s="314"/>
      <c r="BV1285" s="314"/>
      <c r="BW1285" s="314"/>
      <c r="BX1285" s="155"/>
    </row>
    <row r="1286" spans="1:76" ht="15.75" customHeight="1">
      <c r="A1286" s="25"/>
      <c r="B1286" s="39"/>
      <c r="C1286" s="155"/>
      <c r="D1286" s="155"/>
      <c r="E1286" s="341"/>
      <c r="F1286" s="314"/>
      <c r="H1286" s="315"/>
      <c r="I1286" s="315"/>
      <c r="BA1286" s="30"/>
      <c r="BB1286" s="321"/>
      <c r="BC1286" s="314"/>
      <c r="BD1286" s="314"/>
      <c r="BE1286" s="314"/>
      <c r="BF1286" s="314"/>
      <c r="BG1286" s="314"/>
      <c r="BH1286" s="314"/>
      <c r="BI1286" s="314"/>
      <c r="BJ1286" s="314"/>
      <c r="BK1286" s="40"/>
      <c r="BL1286" s="40"/>
      <c r="BM1286" s="40"/>
      <c r="BN1286" s="40"/>
      <c r="BO1286" s="40"/>
      <c r="BP1286" s="155"/>
      <c r="BQ1286" s="314"/>
      <c r="BR1286" s="314"/>
      <c r="BS1286" s="314"/>
      <c r="BT1286" s="314"/>
      <c r="BU1286" s="314"/>
      <c r="BV1286" s="314"/>
      <c r="BW1286" s="314"/>
      <c r="BX1286" s="155"/>
    </row>
    <row r="1287" spans="1:76" ht="15.75" customHeight="1">
      <c r="A1287" s="25"/>
      <c r="B1287" s="39"/>
      <c r="C1287" s="155"/>
      <c r="D1287" s="155"/>
      <c r="E1287" s="40"/>
      <c r="F1287" s="314"/>
      <c r="H1287" s="315"/>
      <c r="I1287" s="315"/>
      <c r="BA1287" s="30"/>
      <c r="BB1287" s="155"/>
      <c r="BC1287" s="322"/>
      <c r="BD1287" s="322"/>
      <c r="BE1287" s="322"/>
      <c r="BF1287" s="322"/>
      <c r="BG1287" s="322"/>
      <c r="BH1287" s="322"/>
      <c r="BI1287" s="322"/>
      <c r="BJ1287" s="322"/>
      <c r="BK1287" s="341"/>
      <c r="BL1287" s="40"/>
      <c r="BM1287" s="40"/>
      <c r="BN1287" s="40"/>
      <c r="BO1287" s="40"/>
      <c r="BP1287" s="155"/>
      <c r="BQ1287" s="314"/>
      <c r="BR1287" s="314"/>
      <c r="BS1287" s="314"/>
      <c r="BT1287" s="314"/>
      <c r="BU1287" s="314"/>
      <c r="BV1287" s="314"/>
      <c r="BW1287" s="314"/>
      <c r="BX1287" s="155"/>
    </row>
    <row r="1288" spans="1:76" ht="15.75" customHeight="1">
      <c r="A1288" s="25"/>
      <c r="B1288" s="39"/>
      <c r="C1288" s="155"/>
      <c r="D1288" s="155"/>
      <c r="E1288" s="40"/>
      <c r="F1288" s="314"/>
      <c r="H1288" s="315"/>
      <c r="I1288" s="315"/>
      <c r="BA1288" s="30"/>
      <c r="BB1288" s="155"/>
      <c r="BC1288" s="314"/>
      <c r="BD1288" s="314"/>
      <c r="BE1288" s="314"/>
      <c r="BF1288" s="314"/>
      <c r="BG1288" s="314"/>
      <c r="BH1288" s="314"/>
      <c r="BI1288" s="314"/>
      <c r="BJ1288" s="314"/>
      <c r="BK1288" s="40"/>
      <c r="BL1288" s="40"/>
      <c r="BM1288" s="40"/>
      <c r="BN1288" s="40"/>
      <c r="BO1288" s="40"/>
      <c r="BP1288" s="155"/>
      <c r="BQ1288" s="314"/>
      <c r="BR1288" s="314"/>
      <c r="BS1288" s="314"/>
      <c r="BT1288" s="314"/>
      <c r="BU1288" s="314"/>
      <c r="BV1288" s="314"/>
      <c r="BW1288" s="314"/>
      <c r="BX1288" s="155"/>
    </row>
    <row r="1289" spans="1:76" ht="15.75" customHeight="1">
      <c r="A1289" s="25"/>
      <c r="B1289" s="39"/>
      <c r="C1289" s="155"/>
      <c r="D1289" s="155"/>
      <c r="E1289" s="40"/>
      <c r="F1289" s="314"/>
      <c r="H1289" s="315"/>
      <c r="I1289" s="315"/>
      <c r="BA1289" s="30"/>
      <c r="BB1289" s="155"/>
      <c r="BC1289" s="314"/>
      <c r="BD1289" s="314"/>
      <c r="BE1289" s="314"/>
      <c r="BF1289" s="314"/>
      <c r="BG1289" s="314"/>
      <c r="BH1289" s="314"/>
      <c r="BI1289" s="314"/>
      <c r="BJ1289" s="314"/>
      <c r="BK1289" s="40"/>
      <c r="BL1289" s="40"/>
      <c r="BM1289" s="40"/>
      <c r="BN1289" s="40"/>
      <c r="BO1289" s="40"/>
      <c r="BP1289" s="155"/>
      <c r="BQ1289" s="314"/>
      <c r="BR1289" s="314"/>
      <c r="BS1289" s="314"/>
      <c r="BT1289" s="314"/>
      <c r="BU1289" s="314"/>
      <c r="BV1289" s="314"/>
      <c r="BW1289" s="314"/>
      <c r="BX1289" s="155"/>
    </row>
    <row r="1290" spans="1:76" ht="15.75" customHeight="1">
      <c r="A1290" s="25"/>
      <c r="B1290" s="39"/>
      <c r="C1290" s="155"/>
      <c r="D1290" s="155"/>
      <c r="E1290" s="40"/>
      <c r="F1290" s="314"/>
      <c r="H1290" s="315"/>
      <c r="I1290" s="315"/>
      <c r="BA1290" s="30"/>
      <c r="BB1290" s="155"/>
      <c r="BC1290" s="314"/>
      <c r="BD1290" s="314"/>
      <c r="BE1290" s="314"/>
      <c r="BF1290" s="314"/>
      <c r="BG1290" s="314"/>
      <c r="BH1290" s="314"/>
      <c r="BI1290" s="314"/>
      <c r="BJ1290" s="314"/>
      <c r="BK1290" s="40"/>
      <c r="BL1290" s="40"/>
      <c r="BM1290" s="40"/>
      <c r="BN1290" s="40"/>
      <c r="BO1290" s="40"/>
      <c r="BP1290" s="155"/>
      <c r="BQ1290" s="314"/>
      <c r="BR1290" s="314"/>
      <c r="BS1290" s="314"/>
      <c r="BT1290" s="314"/>
      <c r="BU1290" s="314"/>
      <c r="BV1290" s="314"/>
      <c r="BW1290" s="314"/>
      <c r="BX1290" s="155"/>
    </row>
    <row r="1291" spans="1:76" ht="15.75" customHeight="1">
      <c r="A1291" s="25"/>
      <c r="B1291" s="39"/>
      <c r="C1291" s="155"/>
      <c r="D1291" s="155"/>
      <c r="E1291" s="40"/>
      <c r="F1291" s="314"/>
      <c r="H1291" s="315"/>
      <c r="I1291" s="315"/>
      <c r="BA1291" s="30"/>
      <c r="BB1291" s="155"/>
      <c r="BC1291" s="314"/>
      <c r="BD1291" s="314"/>
      <c r="BE1291" s="314"/>
      <c r="BF1291" s="314"/>
      <c r="BG1291" s="314"/>
      <c r="BH1291" s="314"/>
      <c r="BI1291" s="314"/>
      <c r="BJ1291" s="314"/>
      <c r="BK1291" s="40"/>
      <c r="BL1291" s="40"/>
      <c r="BM1291" s="40"/>
      <c r="BN1291" s="40"/>
      <c r="BO1291" s="40"/>
      <c r="BP1291" s="155"/>
      <c r="BQ1291" s="314"/>
      <c r="BR1291" s="314"/>
      <c r="BS1291" s="314"/>
      <c r="BT1291" s="314"/>
      <c r="BU1291" s="314"/>
      <c r="BV1291" s="314"/>
      <c r="BW1291" s="314"/>
      <c r="BX1291" s="155"/>
    </row>
    <row r="1292" spans="1:76" ht="15.75" customHeight="1">
      <c r="A1292" s="25"/>
      <c r="B1292" s="39"/>
      <c r="C1292" s="155"/>
      <c r="D1292" s="155"/>
      <c r="E1292" s="40"/>
      <c r="F1292" s="314"/>
      <c r="H1292" s="315"/>
      <c r="I1292" s="315"/>
      <c r="BA1292" s="30"/>
      <c r="BB1292" s="155"/>
      <c r="BC1292" s="314"/>
      <c r="BD1292" s="314"/>
      <c r="BE1292" s="314"/>
      <c r="BF1292" s="314"/>
      <c r="BG1292" s="314"/>
      <c r="BH1292" s="314"/>
      <c r="BI1292" s="314"/>
      <c r="BJ1292" s="314"/>
      <c r="BK1292" s="40"/>
      <c r="BL1292" s="40"/>
      <c r="BM1292" s="40"/>
      <c r="BN1292" s="40"/>
      <c r="BO1292" s="40"/>
      <c r="BP1292" s="155"/>
      <c r="BQ1292" s="314"/>
      <c r="BR1292" s="314"/>
      <c r="BS1292" s="314"/>
      <c r="BT1292" s="314"/>
      <c r="BU1292" s="314"/>
      <c r="BV1292" s="314"/>
      <c r="BW1292" s="314"/>
      <c r="BX1292" s="155"/>
    </row>
    <row r="1293" spans="1:76" ht="15.75" customHeight="1">
      <c r="A1293" s="25"/>
      <c r="B1293" s="39"/>
      <c r="C1293" s="155"/>
      <c r="D1293" s="155"/>
      <c r="E1293" s="40"/>
      <c r="F1293" s="314"/>
      <c r="H1293" s="315"/>
      <c r="I1293" s="315"/>
      <c r="BA1293" s="30"/>
      <c r="BB1293" s="155"/>
      <c r="BC1293" s="314"/>
      <c r="BD1293" s="314"/>
      <c r="BE1293" s="314"/>
      <c r="BF1293" s="314"/>
      <c r="BG1293" s="314"/>
      <c r="BH1293" s="314"/>
      <c r="BI1293" s="314"/>
      <c r="BJ1293" s="314"/>
      <c r="BK1293" s="40"/>
      <c r="BL1293" s="40"/>
      <c r="BM1293" s="40"/>
      <c r="BN1293" s="40"/>
      <c r="BO1293" s="40"/>
      <c r="BP1293" s="155"/>
      <c r="BQ1293" s="314"/>
      <c r="BR1293" s="314"/>
      <c r="BS1293" s="314"/>
      <c r="BT1293" s="314"/>
      <c r="BU1293" s="314"/>
      <c r="BV1293" s="314"/>
      <c r="BW1293" s="314"/>
      <c r="BX1293" s="155"/>
    </row>
    <row r="1294" spans="1:76" ht="15.75" customHeight="1">
      <c r="A1294" s="25"/>
      <c r="B1294" s="39"/>
      <c r="C1294" s="155"/>
      <c r="D1294" s="155"/>
      <c r="E1294" s="341"/>
      <c r="F1294" s="314"/>
      <c r="H1294" s="315"/>
      <c r="I1294" s="315"/>
      <c r="BA1294" s="30"/>
      <c r="BB1294" s="321"/>
      <c r="BC1294" s="314"/>
      <c r="BD1294" s="314"/>
      <c r="BE1294" s="314"/>
      <c r="BF1294" s="314"/>
      <c r="BG1294" s="314"/>
      <c r="BH1294" s="314"/>
      <c r="BI1294" s="314"/>
      <c r="BJ1294" s="314"/>
      <c r="BK1294" s="40"/>
      <c r="BL1294" s="40"/>
      <c r="BM1294" s="40"/>
      <c r="BN1294" s="40"/>
      <c r="BO1294" s="40"/>
      <c r="BP1294" s="155"/>
      <c r="BQ1294" s="314"/>
      <c r="BR1294" s="314"/>
      <c r="BS1294" s="314"/>
      <c r="BT1294" s="314"/>
      <c r="BU1294" s="314"/>
      <c r="BV1294" s="314"/>
      <c r="BW1294" s="314"/>
      <c r="BX1294" s="155"/>
    </row>
    <row r="1295" spans="1:76" ht="15.75" customHeight="1">
      <c r="A1295" s="25"/>
      <c r="B1295" s="39"/>
      <c r="C1295" s="155"/>
      <c r="D1295" s="155"/>
      <c r="E1295" s="40"/>
      <c r="F1295" s="314"/>
      <c r="H1295" s="315"/>
      <c r="I1295" s="315"/>
      <c r="BA1295" s="30"/>
      <c r="BB1295" s="155"/>
      <c r="BC1295" s="314"/>
      <c r="BD1295" s="314"/>
      <c r="BE1295" s="314"/>
      <c r="BF1295" s="314"/>
      <c r="BG1295" s="314"/>
      <c r="BH1295" s="314"/>
      <c r="BI1295" s="314"/>
      <c r="BJ1295" s="314"/>
      <c r="BK1295" s="40"/>
      <c r="BL1295" s="40"/>
      <c r="BM1295" s="40"/>
      <c r="BN1295" s="40"/>
      <c r="BO1295" s="40"/>
      <c r="BP1295" s="155"/>
      <c r="BQ1295" s="314"/>
      <c r="BR1295" s="314"/>
      <c r="BS1295" s="314"/>
      <c r="BT1295" s="314"/>
      <c r="BU1295" s="314"/>
      <c r="BV1295" s="314"/>
      <c r="BW1295" s="314"/>
      <c r="BX1295" s="155"/>
    </row>
    <row r="1296" spans="1:76" ht="15.75" customHeight="1">
      <c r="A1296" s="25"/>
      <c r="B1296" s="39"/>
      <c r="C1296" s="155"/>
      <c r="D1296" s="155"/>
      <c r="E1296" s="40"/>
      <c r="F1296" s="314"/>
      <c r="H1296" s="315"/>
      <c r="I1296" s="315"/>
      <c r="BA1296" s="30"/>
      <c r="BB1296" s="155"/>
      <c r="BC1296" s="314"/>
      <c r="BD1296" s="314"/>
      <c r="BE1296" s="314"/>
      <c r="BF1296" s="314"/>
      <c r="BG1296" s="314"/>
      <c r="BH1296" s="314"/>
      <c r="BI1296" s="314"/>
      <c r="BJ1296" s="314"/>
      <c r="BK1296" s="40"/>
      <c r="BL1296" s="40"/>
      <c r="BM1296" s="40"/>
      <c r="BN1296" s="40"/>
      <c r="BO1296" s="40"/>
      <c r="BP1296" s="155"/>
      <c r="BQ1296" s="314"/>
      <c r="BR1296" s="314"/>
      <c r="BS1296" s="314"/>
      <c r="BT1296" s="314"/>
      <c r="BU1296" s="314"/>
      <c r="BV1296" s="314"/>
      <c r="BW1296" s="314"/>
      <c r="BX1296" s="155"/>
    </row>
    <row r="1297" spans="1:76" ht="15.75" customHeight="1">
      <c r="A1297" s="25"/>
      <c r="B1297" s="39"/>
      <c r="C1297" s="155"/>
      <c r="D1297" s="155"/>
      <c r="E1297" s="40"/>
      <c r="F1297" s="314"/>
      <c r="H1297" s="315"/>
      <c r="I1297" s="315"/>
      <c r="BA1297" s="30"/>
      <c r="BB1297" s="155"/>
      <c r="BC1297" s="314"/>
      <c r="BD1297" s="314"/>
      <c r="BE1297" s="314"/>
      <c r="BF1297" s="314"/>
      <c r="BG1297" s="314"/>
      <c r="BH1297" s="314"/>
      <c r="BI1297" s="314"/>
      <c r="BJ1297" s="314"/>
      <c r="BK1297" s="40"/>
      <c r="BL1297" s="40"/>
      <c r="BM1297" s="40"/>
      <c r="BN1297" s="40"/>
      <c r="BO1297" s="40"/>
      <c r="BP1297" s="155"/>
      <c r="BQ1297" s="314"/>
      <c r="BR1297" s="314"/>
      <c r="BS1297" s="314"/>
      <c r="BT1297" s="314"/>
      <c r="BU1297" s="314"/>
      <c r="BV1297" s="314"/>
      <c r="BW1297" s="314"/>
      <c r="BX1297" s="155"/>
    </row>
    <row r="1298" spans="1:76" ht="15.75" customHeight="1">
      <c r="A1298" s="25"/>
      <c r="B1298" s="39"/>
      <c r="C1298" s="155"/>
      <c r="D1298" s="155"/>
      <c r="E1298" s="40"/>
      <c r="F1298" s="314"/>
      <c r="H1298" s="315"/>
      <c r="I1298" s="315"/>
      <c r="BA1298" s="30"/>
      <c r="BB1298" s="155"/>
      <c r="BC1298" s="314"/>
      <c r="BD1298" s="314"/>
      <c r="BE1298" s="314"/>
      <c r="BF1298" s="314"/>
      <c r="BG1298" s="314"/>
      <c r="BH1298" s="314"/>
      <c r="BI1298" s="314"/>
      <c r="BJ1298" s="314"/>
      <c r="BK1298" s="40"/>
      <c r="BL1298" s="40"/>
      <c r="BM1298" s="40"/>
      <c r="BN1298" s="40"/>
      <c r="BO1298" s="40"/>
      <c r="BP1298" s="155"/>
      <c r="BQ1298" s="314"/>
      <c r="BR1298" s="314"/>
      <c r="BS1298" s="314"/>
      <c r="BT1298" s="314"/>
      <c r="BU1298" s="314"/>
      <c r="BV1298" s="314"/>
      <c r="BW1298" s="314"/>
      <c r="BX1298" s="155"/>
    </row>
    <row r="1299" spans="1:76" ht="15.75" customHeight="1">
      <c r="A1299" s="25"/>
      <c r="B1299" s="39"/>
      <c r="C1299" s="155"/>
      <c r="D1299" s="155"/>
      <c r="E1299" s="40"/>
      <c r="F1299" s="314"/>
      <c r="H1299" s="315"/>
      <c r="I1299" s="315"/>
      <c r="BA1299" s="30"/>
      <c r="BB1299" s="155"/>
      <c r="BC1299" s="314"/>
      <c r="BD1299" s="314"/>
      <c r="BE1299" s="314"/>
      <c r="BF1299" s="314"/>
      <c r="BG1299" s="314"/>
      <c r="BH1299" s="314"/>
      <c r="BI1299" s="314"/>
      <c r="BJ1299" s="314"/>
      <c r="BK1299" s="40"/>
      <c r="BL1299" s="40"/>
      <c r="BM1299" s="40"/>
      <c r="BN1299" s="40"/>
      <c r="BO1299" s="40"/>
      <c r="BP1299" s="155"/>
      <c r="BQ1299" s="314"/>
      <c r="BR1299" s="314"/>
      <c r="BS1299" s="314"/>
      <c r="BT1299" s="314"/>
      <c r="BU1299" s="314"/>
      <c r="BV1299" s="314"/>
      <c r="BW1299" s="314"/>
      <c r="BX1299" s="155"/>
    </row>
    <row r="1300" spans="1:76" ht="15.75" customHeight="1">
      <c r="A1300" s="25"/>
      <c r="B1300" s="39"/>
      <c r="C1300" s="155"/>
      <c r="D1300" s="155"/>
      <c r="E1300" s="40"/>
      <c r="F1300" s="314"/>
      <c r="H1300" s="315"/>
      <c r="I1300" s="315"/>
      <c r="BA1300" s="30"/>
      <c r="BB1300" s="155"/>
      <c r="BC1300" s="314"/>
      <c r="BD1300" s="314"/>
      <c r="BE1300" s="314"/>
      <c r="BF1300" s="314"/>
      <c r="BG1300" s="314"/>
      <c r="BH1300" s="314"/>
      <c r="BI1300" s="314"/>
      <c r="BJ1300" s="314"/>
      <c r="BK1300" s="40"/>
      <c r="BL1300" s="40"/>
      <c r="BM1300" s="40"/>
      <c r="BN1300" s="40"/>
      <c r="BO1300" s="40"/>
      <c r="BP1300" s="155"/>
      <c r="BQ1300" s="314"/>
      <c r="BR1300" s="314"/>
      <c r="BS1300" s="314"/>
      <c r="BT1300" s="314"/>
      <c r="BU1300" s="314"/>
      <c r="BV1300" s="314"/>
      <c r="BW1300" s="314"/>
      <c r="BX1300" s="155"/>
    </row>
    <row r="1301" spans="1:76" ht="15.75" customHeight="1">
      <c r="A1301" s="25"/>
      <c r="B1301" s="39"/>
      <c r="C1301" s="155"/>
      <c r="D1301" s="155"/>
      <c r="E1301" s="40"/>
      <c r="F1301" s="314"/>
      <c r="H1301" s="315"/>
      <c r="I1301" s="315"/>
      <c r="BA1301" s="30"/>
      <c r="BB1301" s="155"/>
      <c r="BC1301" s="314"/>
      <c r="BD1301" s="314"/>
      <c r="BE1301" s="314"/>
      <c r="BF1301" s="314"/>
      <c r="BG1301" s="314"/>
      <c r="BH1301" s="314"/>
      <c r="BI1301" s="314"/>
      <c r="BJ1301" s="314"/>
      <c r="BK1301" s="40"/>
      <c r="BL1301" s="40"/>
      <c r="BM1301" s="40"/>
      <c r="BN1301" s="40"/>
      <c r="BO1301" s="40"/>
      <c r="BP1301" s="155"/>
      <c r="BQ1301" s="314"/>
      <c r="BR1301" s="314"/>
      <c r="BS1301" s="314"/>
      <c r="BT1301" s="314"/>
      <c r="BU1301" s="314"/>
      <c r="BV1301" s="314"/>
      <c r="BW1301" s="314"/>
      <c r="BX1301" s="155"/>
    </row>
    <row r="1302" spans="1:76" ht="15.75" customHeight="1">
      <c r="A1302" s="25"/>
      <c r="B1302" s="39"/>
      <c r="C1302" s="155"/>
      <c r="D1302" s="155"/>
      <c r="E1302" s="341"/>
      <c r="F1302" s="314"/>
      <c r="H1302" s="315"/>
      <c r="I1302" s="315"/>
      <c r="BA1302" s="30"/>
      <c r="BB1302" s="321"/>
      <c r="BC1302" s="314"/>
      <c r="BD1302" s="314"/>
      <c r="BE1302" s="314"/>
      <c r="BF1302" s="314"/>
      <c r="BG1302" s="314"/>
      <c r="BH1302" s="314"/>
      <c r="BI1302" s="314"/>
      <c r="BJ1302" s="314"/>
      <c r="BK1302" s="40"/>
      <c r="BL1302" s="40"/>
      <c r="BM1302" s="40"/>
      <c r="BN1302" s="40"/>
      <c r="BO1302" s="40"/>
      <c r="BP1302" s="155"/>
      <c r="BQ1302" s="314"/>
      <c r="BR1302" s="314"/>
      <c r="BS1302" s="314"/>
      <c r="BT1302" s="314"/>
      <c r="BU1302" s="314"/>
      <c r="BV1302" s="314"/>
      <c r="BW1302" s="314"/>
      <c r="BX1302" s="155"/>
    </row>
    <row r="1303" spans="1:76" ht="15.75" customHeight="1">
      <c r="A1303" s="25"/>
      <c r="B1303" s="39"/>
      <c r="C1303" s="155"/>
      <c r="D1303" s="155"/>
      <c r="E1303" s="40"/>
      <c r="F1303" s="314"/>
      <c r="H1303" s="315"/>
      <c r="I1303" s="315"/>
      <c r="BA1303" s="30"/>
      <c r="BB1303" s="155"/>
      <c r="BC1303" s="314"/>
      <c r="BD1303" s="314"/>
      <c r="BE1303" s="314"/>
      <c r="BF1303" s="314"/>
      <c r="BG1303" s="314"/>
      <c r="BH1303" s="314"/>
      <c r="BI1303" s="314"/>
      <c r="BJ1303" s="314"/>
      <c r="BK1303" s="40"/>
      <c r="BL1303" s="40"/>
      <c r="BM1303" s="40"/>
      <c r="BN1303" s="40"/>
      <c r="BO1303" s="40"/>
      <c r="BP1303" s="155"/>
      <c r="BQ1303" s="314"/>
      <c r="BR1303" s="314"/>
      <c r="BS1303" s="314"/>
      <c r="BT1303" s="314"/>
      <c r="BU1303" s="314"/>
      <c r="BV1303" s="314"/>
      <c r="BW1303" s="314"/>
      <c r="BX1303" s="155"/>
    </row>
    <row r="1304" spans="1:76" ht="15.75" customHeight="1">
      <c r="A1304" s="25"/>
      <c r="B1304" s="39"/>
      <c r="C1304" s="155"/>
      <c r="D1304" s="155"/>
      <c r="E1304" s="40"/>
      <c r="F1304" s="314"/>
      <c r="H1304" s="315"/>
      <c r="I1304" s="315"/>
      <c r="BA1304" s="30"/>
      <c r="BB1304" s="155"/>
      <c r="BC1304" s="314"/>
      <c r="BD1304" s="314"/>
      <c r="BE1304" s="314"/>
      <c r="BF1304" s="314"/>
      <c r="BG1304" s="314"/>
      <c r="BH1304" s="314"/>
      <c r="BI1304" s="314"/>
      <c r="BJ1304" s="314"/>
      <c r="BK1304" s="40"/>
      <c r="BL1304" s="40"/>
      <c r="BM1304" s="40"/>
      <c r="BN1304" s="40"/>
      <c r="BO1304" s="40"/>
      <c r="BP1304" s="155"/>
      <c r="BQ1304" s="314"/>
      <c r="BR1304" s="314"/>
      <c r="BS1304" s="314"/>
      <c r="BT1304" s="314"/>
      <c r="BU1304" s="314"/>
      <c r="BV1304" s="314"/>
      <c r="BW1304" s="314"/>
      <c r="BX1304" s="155"/>
    </row>
    <row r="1305" spans="1:76" ht="15.75" customHeight="1">
      <c r="A1305" s="25"/>
      <c r="B1305" s="39"/>
      <c r="C1305" s="155"/>
      <c r="D1305" s="155"/>
      <c r="E1305" s="40"/>
      <c r="F1305" s="314"/>
      <c r="H1305" s="315"/>
      <c r="I1305" s="315"/>
      <c r="BA1305" s="30"/>
      <c r="BB1305" s="155"/>
      <c r="BC1305" s="322"/>
      <c r="BD1305" s="322"/>
      <c r="BE1305" s="322"/>
      <c r="BF1305" s="322"/>
      <c r="BG1305" s="322"/>
      <c r="BH1305" s="322"/>
      <c r="BI1305" s="322"/>
      <c r="BJ1305" s="322"/>
      <c r="BK1305" s="341"/>
      <c r="BL1305" s="40"/>
      <c r="BM1305" s="40"/>
      <c r="BN1305" s="40"/>
      <c r="BO1305" s="40"/>
      <c r="BP1305" s="155"/>
      <c r="BQ1305" s="314"/>
      <c r="BR1305" s="314"/>
      <c r="BS1305" s="314"/>
      <c r="BT1305" s="314"/>
      <c r="BU1305" s="314"/>
      <c r="BV1305" s="314"/>
      <c r="BW1305" s="314"/>
      <c r="BX1305" s="155"/>
    </row>
    <row r="1306" spans="1:76" ht="15.75" customHeight="1">
      <c r="A1306" s="25"/>
      <c r="B1306" s="39"/>
      <c r="C1306" s="155"/>
      <c r="D1306" s="155"/>
      <c r="E1306" s="40"/>
      <c r="F1306" s="314"/>
      <c r="H1306" s="315"/>
      <c r="I1306" s="315"/>
      <c r="BA1306" s="30"/>
      <c r="BB1306" s="155"/>
      <c r="BC1306" s="314"/>
      <c r="BD1306" s="314"/>
      <c r="BE1306" s="314"/>
      <c r="BF1306" s="314"/>
      <c r="BG1306" s="314"/>
      <c r="BH1306" s="314"/>
      <c r="BI1306" s="314"/>
      <c r="BJ1306" s="314"/>
      <c r="BK1306" s="40"/>
      <c r="BL1306" s="40"/>
      <c r="BM1306" s="40"/>
      <c r="BN1306" s="40"/>
      <c r="BO1306" s="40"/>
      <c r="BP1306" s="155"/>
      <c r="BQ1306" s="314"/>
      <c r="BR1306" s="314"/>
      <c r="BS1306" s="314"/>
      <c r="BT1306" s="314"/>
      <c r="BU1306" s="314"/>
      <c r="BV1306" s="314"/>
      <c r="BW1306" s="314"/>
      <c r="BX1306" s="155"/>
    </row>
    <row r="1307" spans="1:76" ht="15.75" customHeight="1">
      <c r="A1307" s="25"/>
      <c r="B1307" s="39"/>
      <c r="C1307" s="155"/>
      <c r="D1307" s="155"/>
      <c r="E1307" s="40"/>
      <c r="F1307" s="314"/>
      <c r="H1307" s="315"/>
      <c r="I1307" s="315"/>
      <c r="BA1307" s="30"/>
      <c r="BB1307" s="155"/>
      <c r="BC1307" s="314"/>
      <c r="BD1307" s="314"/>
      <c r="BE1307" s="314"/>
      <c r="BF1307" s="314"/>
      <c r="BG1307" s="314"/>
      <c r="BH1307" s="314"/>
      <c r="BI1307" s="314"/>
      <c r="BJ1307" s="314"/>
      <c r="BK1307" s="40"/>
      <c r="BL1307" s="40"/>
      <c r="BM1307" s="40"/>
      <c r="BN1307" s="40"/>
      <c r="BO1307" s="40"/>
      <c r="BP1307" s="155"/>
      <c r="BQ1307" s="314"/>
      <c r="BR1307" s="314"/>
      <c r="BS1307" s="314"/>
      <c r="BT1307" s="314"/>
      <c r="BU1307" s="314"/>
      <c r="BV1307" s="314"/>
      <c r="BW1307" s="314"/>
      <c r="BX1307" s="155"/>
    </row>
    <row r="1308" spans="1:76" ht="15.75" customHeight="1">
      <c r="A1308" s="25"/>
      <c r="B1308" s="39"/>
      <c r="C1308" s="155"/>
      <c r="D1308" s="155"/>
      <c r="E1308" s="40"/>
      <c r="F1308" s="314"/>
      <c r="H1308" s="315"/>
      <c r="I1308" s="315"/>
      <c r="BA1308" s="30"/>
      <c r="BB1308" s="155"/>
      <c r="BC1308" s="314"/>
      <c r="BD1308" s="314"/>
      <c r="BE1308" s="314"/>
      <c r="BF1308" s="314"/>
      <c r="BG1308" s="314"/>
      <c r="BH1308" s="314"/>
      <c r="BI1308" s="314"/>
      <c r="BJ1308" s="314"/>
      <c r="BK1308" s="40"/>
      <c r="BL1308" s="40"/>
      <c r="BM1308" s="40"/>
      <c r="BN1308" s="40"/>
      <c r="BO1308" s="40"/>
      <c r="BP1308" s="155"/>
      <c r="BQ1308" s="314"/>
      <c r="BR1308" s="314"/>
      <c r="BS1308" s="314"/>
      <c r="BT1308" s="314"/>
      <c r="BU1308" s="314"/>
      <c r="BV1308" s="314"/>
      <c r="BW1308" s="314"/>
      <c r="BX1308" s="155"/>
    </row>
    <row r="1309" spans="1:76" ht="15.75" customHeight="1">
      <c r="A1309" s="25"/>
      <c r="B1309" s="39"/>
      <c r="C1309" s="155"/>
      <c r="D1309" s="155"/>
      <c r="E1309" s="40"/>
      <c r="F1309" s="314"/>
      <c r="H1309" s="315"/>
      <c r="I1309" s="315"/>
      <c r="BA1309" s="30"/>
      <c r="BB1309" s="155"/>
      <c r="BC1309" s="314"/>
      <c r="BD1309" s="314"/>
      <c r="BE1309" s="314"/>
      <c r="BF1309" s="314"/>
      <c r="BG1309" s="314"/>
      <c r="BH1309" s="314"/>
      <c r="BI1309" s="314"/>
      <c r="BJ1309" s="314"/>
      <c r="BK1309" s="40"/>
      <c r="BL1309" s="40"/>
      <c r="BM1309" s="40"/>
      <c r="BN1309" s="40"/>
      <c r="BO1309" s="40"/>
      <c r="BP1309" s="155"/>
      <c r="BQ1309" s="314"/>
      <c r="BR1309" s="314"/>
      <c r="BS1309" s="314"/>
      <c r="BT1309" s="314"/>
      <c r="BU1309" s="314"/>
      <c r="BV1309" s="314"/>
      <c r="BW1309" s="314"/>
      <c r="BX1309" s="155"/>
    </row>
    <row r="1310" spans="1:76" ht="15.75" customHeight="1">
      <c r="A1310" s="25"/>
      <c r="B1310" s="39"/>
      <c r="C1310" s="155"/>
      <c r="D1310" s="155"/>
      <c r="E1310" s="341"/>
      <c r="F1310" s="314"/>
      <c r="H1310" s="315"/>
      <c r="I1310" s="315"/>
      <c r="BA1310" s="30"/>
      <c r="BB1310" s="321"/>
      <c r="BC1310" s="314"/>
      <c r="BD1310" s="314"/>
      <c r="BE1310" s="314"/>
      <c r="BF1310" s="314"/>
      <c r="BG1310" s="314"/>
      <c r="BH1310" s="314"/>
      <c r="BI1310" s="314"/>
      <c r="BJ1310" s="314"/>
      <c r="BK1310" s="40"/>
      <c r="BL1310" s="40"/>
      <c r="BM1310" s="40"/>
      <c r="BN1310" s="40"/>
      <c r="BO1310" s="40"/>
      <c r="BP1310" s="155"/>
      <c r="BQ1310" s="314"/>
      <c r="BR1310" s="314"/>
      <c r="BS1310" s="314"/>
      <c r="BT1310" s="314"/>
      <c r="BU1310" s="314"/>
      <c r="BV1310" s="314"/>
      <c r="BW1310" s="314"/>
      <c r="BX1310" s="155"/>
    </row>
    <row r="1311" spans="1:76" ht="15.75" customHeight="1">
      <c r="A1311" s="25"/>
      <c r="B1311" s="39"/>
      <c r="C1311" s="155"/>
      <c r="D1311" s="155"/>
      <c r="E1311" s="40"/>
      <c r="F1311" s="314"/>
      <c r="H1311" s="315"/>
      <c r="I1311" s="315"/>
      <c r="BA1311" s="30"/>
      <c r="BB1311" s="155"/>
      <c r="BC1311" s="314"/>
      <c r="BD1311" s="314"/>
      <c r="BE1311" s="314"/>
      <c r="BF1311" s="314"/>
      <c r="BG1311" s="314"/>
      <c r="BH1311" s="314"/>
      <c r="BI1311" s="314"/>
      <c r="BJ1311" s="314"/>
      <c r="BK1311" s="40"/>
      <c r="BL1311" s="40"/>
      <c r="BM1311" s="40"/>
      <c r="BN1311" s="40"/>
      <c r="BO1311" s="40"/>
      <c r="BP1311" s="155"/>
      <c r="BQ1311" s="314"/>
      <c r="BR1311" s="314"/>
      <c r="BS1311" s="314"/>
      <c r="BT1311" s="314"/>
      <c r="BU1311" s="314"/>
      <c r="BV1311" s="314"/>
      <c r="BW1311" s="314"/>
      <c r="BX1311" s="155"/>
    </row>
    <row r="1312" spans="1:76" ht="15.75" customHeight="1">
      <c r="A1312" s="25"/>
      <c r="B1312" s="39"/>
      <c r="C1312" s="155"/>
      <c r="D1312" s="155"/>
      <c r="E1312" s="40"/>
      <c r="F1312" s="314"/>
      <c r="H1312" s="315"/>
      <c r="I1312" s="315"/>
      <c r="BA1312" s="30"/>
      <c r="BB1312" s="155"/>
      <c r="BC1312" s="314"/>
      <c r="BD1312" s="314"/>
      <c r="BE1312" s="314"/>
      <c r="BF1312" s="314"/>
      <c r="BG1312" s="314"/>
      <c r="BH1312" s="314"/>
      <c r="BI1312" s="314"/>
      <c r="BJ1312" s="314"/>
      <c r="BK1312" s="40"/>
      <c r="BL1312" s="40"/>
      <c r="BM1312" s="40"/>
      <c r="BN1312" s="40"/>
      <c r="BO1312" s="40"/>
      <c r="BP1312" s="155"/>
      <c r="BQ1312" s="314"/>
      <c r="BR1312" s="314"/>
      <c r="BS1312" s="314"/>
      <c r="BT1312" s="314"/>
      <c r="BU1312" s="314"/>
      <c r="BV1312" s="314"/>
      <c r="BW1312" s="314"/>
      <c r="BX1312" s="155"/>
    </row>
    <row r="1313" spans="1:76" ht="15.75" customHeight="1">
      <c r="A1313" s="25"/>
      <c r="B1313" s="39"/>
      <c r="C1313" s="155"/>
      <c r="D1313" s="155"/>
      <c r="E1313" s="40"/>
      <c r="F1313" s="314"/>
      <c r="H1313" s="315"/>
      <c r="I1313" s="315"/>
      <c r="BA1313" s="30"/>
      <c r="BB1313" s="155"/>
      <c r="BC1313" s="314"/>
      <c r="BD1313" s="314"/>
      <c r="BE1313" s="314"/>
      <c r="BF1313" s="314"/>
      <c r="BG1313" s="314"/>
      <c r="BH1313" s="314"/>
      <c r="BI1313" s="314"/>
      <c r="BJ1313" s="314"/>
      <c r="BK1313" s="40"/>
      <c r="BL1313" s="40"/>
      <c r="BM1313" s="40"/>
      <c r="BN1313" s="40"/>
      <c r="BO1313" s="40"/>
      <c r="BP1313" s="155"/>
      <c r="BQ1313" s="314"/>
      <c r="BR1313" s="314"/>
      <c r="BS1313" s="314"/>
      <c r="BT1313" s="314"/>
      <c r="BU1313" s="314"/>
      <c r="BV1313" s="314"/>
      <c r="BW1313" s="314"/>
      <c r="BX1313" s="155"/>
    </row>
    <row r="1314" spans="1:76" ht="15.75" customHeight="1">
      <c r="A1314" s="25"/>
      <c r="B1314" s="39"/>
      <c r="C1314" s="155"/>
      <c r="D1314" s="155"/>
      <c r="E1314" s="40"/>
      <c r="F1314" s="314"/>
      <c r="H1314" s="315"/>
      <c r="I1314" s="315"/>
      <c r="BA1314" s="30"/>
      <c r="BB1314" s="155"/>
      <c r="BC1314" s="314"/>
      <c r="BD1314" s="314"/>
      <c r="BE1314" s="314"/>
      <c r="BF1314" s="314"/>
      <c r="BG1314" s="314"/>
      <c r="BH1314" s="314"/>
      <c r="BI1314" s="314"/>
      <c r="BJ1314" s="314"/>
      <c r="BK1314" s="40"/>
      <c r="BL1314" s="40"/>
      <c r="BM1314" s="40"/>
      <c r="BN1314" s="40"/>
      <c r="BO1314" s="40"/>
      <c r="BP1314" s="155"/>
      <c r="BQ1314" s="314"/>
      <c r="BR1314" s="314"/>
      <c r="BS1314" s="314"/>
      <c r="BT1314" s="314"/>
      <c r="BU1314" s="314"/>
      <c r="BV1314" s="314"/>
      <c r="BW1314" s="314"/>
      <c r="BX1314" s="155"/>
    </row>
    <row r="1315" spans="1:76" ht="15.75" customHeight="1">
      <c r="A1315" s="25"/>
      <c r="B1315" s="39"/>
      <c r="C1315" s="155"/>
      <c r="D1315" s="155"/>
      <c r="E1315" s="40"/>
      <c r="F1315" s="314"/>
      <c r="H1315" s="315"/>
      <c r="I1315" s="315"/>
      <c r="BA1315" s="30"/>
      <c r="BB1315" s="155"/>
      <c r="BC1315" s="314"/>
      <c r="BD1315" s="314"/>
      <c r="BE1315" s="314"/>
      <c r="BF1315" s="314"/>
      <c r="BG1315" s="314"/>
      <c r="BH1315" s="314"/>
      <c r="BI1315" s="314"/>
      <c r="BJ1315" s="314"/>
      <c r="BK1315" s="40"/>
      <c r="BL1315" s="40"/>
      <c r="BM1315" s="40"/>
      <c r="BN1315" s="40"/>
      <c r="BO1315" s="40"/>
      <c r="BP1315" s="155"/>
      <c r="BQ1315" s="314"/>
      <c r="BR1315" s="314"/>
      <c r="BS1315" s="314"/>
      <c r="BT1315" s="314"/>
      <c r="BU1315" s="314"/>
      <c r="BV1315" s="314"/>
      <c r="BW1315" s="314"/>
      <c r="BX1315" s="155"/>
    </row>
    <row r="1316" spans="1:76" ht="15.75" customHeight="1">
      <c r="A1316" s="25"/>
      <c r="B1316" s="39"/>
      <c r="C1316" s="155"/>
      <c r="D1316" s="155"/>
      <c r="E1316" s="40"/>
      <c r="F1316" s="314"/>
      <c r="H1316" s="315"/>
      <c r="I1316" s="315"/>
      <c r="BA1316" s="30"/>
      <c r="BB1316" s="155"/>
      <c r="BC1316" s="314"/>
      <c r="BD1316" s="314"/>
      <c r="BE1316" s="314"/>
      <c r="BF1316" s="314"/>
      <c r="BG1316" s="314"/>
      <c r="BH1316" s="314"/>
      <c r="BI1316" s="314"/>
      <c r="BJ1316" s="314"/>
      <c r="BK1316" s="40"/>
      <c r="BL1316" s="40"/>
      <c r="BM1316" s="40"/>
      <c r="BN1316" s="40"/>
      <c r="BO1316" s="40"/>
      <c r="BP1316" s="155"/>
      <c r="BQ1316" s="314"/>
      <c r="BR1316" s="314"/>
      <c r="BS1316" s="314"/>
      <c r="BT1316" s="314"/>
      <c r="BU1316" s="314"/>
      <c r="BV1316" s="314"/>
      <c r="BW1316" s="314"/>
      <c r="BX1316" s="155"/>
    </row>
    <row r="1317" spans="1:76" ht="15.75" customHeight="1">
      <c r="A1317" s="25"/>
      <c r="B1317" s="39"/>
      <c r="C1317" s="155"/>
      <c r="D1317" s="155"/>
      <c r="E1317" s="40"/>
      <c r="F1317" s="314"/>
      <c r="H1317" s="315"/>
      <c r="I1317" s="315"/>
      <c r="BA1317" s="30"/>
      <c r="BB1317" s="155"/>
      <c r="BC1317" s="314"/>
      <c r="BD1317" s="314"/>
      <c r="BE1317" s="314"/>
      <c r="BF1317" s="314"/>
      <c r="BG1317" s="314"/>
      <c r="BH1317" s="314"/>
      <c r="BI1317" s="314"/>
      <c r="BJ1317" s="314"/>
      <c r="BK1317" s="40"/>
      <c r="BL1317" s="40"/>
      <c r="BM1317" s="40"/>
      <c r="BN1317" s="40"/>
      <c r="BO1317" s="40"/>
      <c r="BP1317" s="155"/>
      <c r="BQ1317" s="314"/>
      <c r="BR1317" s="314"/>
      <c r="BS1317" s="314"/>
      <c r="BT1317" s="314"/>
      <c r="BU1317" s="314"/>
      <c r="BV1317" s="314"/>
      <c r="BW1317" s="314"/>
      <c r="BX1317" s="155"/>
    </row>
    <row r="1318" spans="1:76" ht="15.75" customHeight="1">
      <c r="A1318" s="25"/>
      <c r="B1318" s="39"/>
      <c r="C1318" s="155"/>
      <c r="D1318" s="155"/>
      <c r="E1318" s="341"/>
      <c r="F1318" s="314"/>
      <c r="H1318" s="315"/>
      <c r="I1318" s="315"/>
      <c r="BA1318" s="30"/>
      <c r="BB1318" s="321"/>
      <c r="BC1318" s="314"/>
      <c r="BD1318" s="314"/>
      <c r="BE1318" s="314"/>
      <c r="BF1318" s="314"/>
      <c r="BG1318" s="314"/>
      <c r="BH1318" s="314"/>
      <c r="BI1318" s="314"/>
      <c r="BJ1318" s="314"/>
      <c r="BK1318" s="40"/>
      <c r="BL1318" s="40"/>
      <c r="BM1318" s="40"/>
      <c r="BN1318" s="40"/>
      <c r="BO1318" s="40"/>
      <c r="BP1318" s="155"/>
      <c r="BQ1318" s="314"/>
      <c r="BR1318" s="314"/>
      <c r="BS1318" s="314"/>
      <c r="BT1318" s="314"/>
      <c r="BU1318" s="314"/>
      <c r="BV1318" s="314"/>
      <c r="BW1318" s="314"/>
      <c r="BX1318" s="155"/>
    </row>
    <row r="1319" spans="1:76" ht="15.75" customHeight="1">
      <c r="A1319" s="25"/>
      <c r="B1319" s="39"/>
      <c r="C1319" s="155"/>
      <c r="D1319" s="155"/>
      <c r="E1319" s="40"/>
      <c r="F1319" s="314"/>
      <c r="H1319" s="315"/>
      <c r="I1319" s="315"/>
      <c r="BA1319" s="30"/>
      <c r="BB1319" s="155"/>
      <c r="BC1319" s="314"/>
      <c r="BD1319" s="314"/>
      <c r="BE1319" s="314"/>
      <c r="BF1319" s="314"/>
      <c r="BG1319" s="314"/>
      <c r="BH1319" s="314"/>
      <c r="BI1319" s="314"/>
      <c r="BJ1319" s="314"/>
      <c r="BK1319" s="40"/>
      <c r="BL1319" s="40"/>
      <c r="BM1319" s="40"/>
      <c r="BN1319" s="40"/>
      <c r="BO1319" s="40"/>
      <c r="BP1319" s="155"/>
      <c r="BQ1319" s="314"/>
      <c r="BR1319" s="314"/>
      <c r="BS1319" s="314"/>
      <c r="BT1319" s="314"/>
      <c r="BU1319" s="314"/>
      <c r="BV1319" s="314"/>
      <c r="BW1319" s="314"/>
      <c r="BX1319" s="155"/>
    </row>
    <row r="1320" spans="1:76" ht="15.75" customHeight="1">
      <c r="A1320" s="25"/>
      <c r="B1320" s="39"/>
      <c r="C1320" s="155"/>
      <c r="D1320" s="155"/>
      <c r="E1320" s="40"/>
      <c r="F1320" s="314"/>
      <c r="H1320" s="315"/>
      <c r="I1320" s="315"/>
      <c r="BA1320" s="30"/>
      <c r="BB1320" s="155"/>
      <c r="BC1320" s="314"/>
      <c r="BD1320" s="314"/>
      <c r="BE1320" s="314"/>
      <c r="BF1320" s="314"/>
      <c r="BG1320" s="314"/>
      <c r="BH1320" s="314"/>
      <c r="BI1320" s="314"/>
      <c r="BJ1320" s="314"/>
      <c r="BK1320" s="40"/>
      <c r="BL1320" s="40"/>
      <c r="BM1320" s="40"/>
      <c r="BN1320" s="40"/>
      <c r="BO1320" s="40"/>
      <c r="BP1320" s="155"/>
      <c r="BQ1320" s="314"/>
      <c r="BR1320" s="314"/>
      <c r="BS1320" s="314"/>
      <c r="BT1320" s="314"/>
      <c r="BU1320" s="314"/>
      <c r="BV1320" s="314"/>
      <c r="BW1320" s="314"/>
      <c r="BX1320" s="155"/>
    </row>
    <row r="1321" spans="1:76" ht="15.75" customHeight="1">
      <c r="A1321" s="25"/>
      <c r="B1321" s="39"/>
      <c r="C1321" s="155"/>
      <c r="D1321" s="155"/>
      <c r="E1321" s="40"/>
      <c r="F1321" s="314"/>
      <c r="H1321" s="315"/>
      <c r="I1321" s="315"/>
      <c r="BA1321" s="30"/>
      <c r="BB1321" s="155"/>
      <c r="BC1321" s="314"/>
      <c r="BD1321" s="314"/>
      <c r="BE1321" s="314"/>
      <c r="BF1321" s="314"/>
      <c r="BG1321" s="314"/>
      <c r="BH1321" s="314"/>
      <c r="BI1321" s="314"/>
      <c r="BJ1321" s="314"/>
      <c r="BK1321" s="40"/>
      <c r="BL1321" s="40"/>
      <c r="BM1321" s="40"/>
      <c r="BN1321" s="40"/>
      <c r="BO1321" s="40"/>
      <c r="BP1321" s="155"/>
      <c r="BQ1321" s="314"/>
      <c r="BR1321" s="314"/>
      <c r="BS1321" s="314"/>
      <c r="BT1321" s="314"/>
      <c r="BU1321" s="314"/>
      <c r="BV1321" s="314"/>
      <c r="BW1321" s="314"/>
      <c r="BX1321" s="155"/>
    </row>
    <row r="1322" spans="1:76" ht="15.75" customHeight="1">
      <c r="A1322" s="25"/>
      <c r="B1322" s="39"/>
      <c r="C1322" s="155"/>
      <c r="D1322" s="155"/>
      <c r="E1322" s="40"/>
      <c r="F1322" s="314"/>
      <c r="H1322" s="315"/>
      <c r="I1322" s="315"/>
      <c r="BA1322" s="30"/>
      <c r="BB1322" s="155"/>
      <c r="BC1322" s="314"/>
      <c r="BD1322" s="314"/>
      <c r="BE1322" s="314"/>
      <c r="BF1322" s="314"/>
      <c r="BG1322" s="314"/>
      <c r="BH1322" s="314"/>
      <c r="BI1322" s="314"/>
      <c r="BJ1322" s="314"/>
      <c r="BK1322" s="40"/>
      <c r="BL1322" s="40"/>
      <c r="BM1322" s="40"/>
      <c r="BN1322" s="40"/>
      <c r="BO1322" s="40"/>
      <c r="BP1322" s="155"/>
      <c r="BQ1322" s="314"/>
      <c r="BR1322" s="314"/>
      <c r="BS1322" s="314"/>
      <c r="BT1322" s="314"/>
      <c r="BU1322" s="314"/>
      <c r="BV1322" s="314"/>
      <c r="BW1322" s="314"/>
      <c r="BX1322" s="155"/>
    </row>
    <row r="1323" spans="1:76" ht="15.75" customHeight="1">
      <c r="A1323" s="25"/>
      <c r="B1323" s="39"/>
      <c r="C1323" s="155"/>
      <c r="D1323" s="155"/>
      <c r="E1323" s="40"/>
      <c r="F1323" s="314"/>
      <c r="H1323" s="315"/>
      <c r="I1323" s="315"/>
      <c r="BA1323" s="30"/>
      <c r="BB1323" s="155"/>
      <c r="BC1323" s="314"/>
      <c r="BD1323" s="314"/>
      <c r="BE1323" s="314"/>
      <c r="BF1323" s="314"/>
      <c r="BG1323" s="314"/>
      <c r="BH1323" s="314"/>
      <c r="BI1323" s="314"/>
      <c r="BJ1323" s="314"/>
      <c r="BK1323" s="40"/>
      <c r="BL1323" s="40"/>
      <c r="BM1323" s="40"/>
      <c r="BN1323" s="40"/>
      <c r="BO1323" s="40"/>
      <c r="BP1323" s="155"/>
      <c r="BQ1323" s="314"/>
      <c r="BR1323" s="314"/>
      <c r="BS1323" s="314"/>
      <c r="BT1323" s="314"/>
      <c r="BU1323" s="314"/>
      <c r="BV1323" s="314"/>
      <c r="BW1323" s="314"/>
      <c r="BX1323" s="155"/>
    </row>
    <row r="1324" spans="1:76" ht="15.75" customHeight="1">
      <c r="A1324" s="25"/>
      <c r="B1324" s="39"/>
      <c r="C1324" s="155"/>
      <c r="D1324" s="155"/>
      <c r="E1324" s="40"/>
      <c r="F1324" s="314"/>
      <c r="H1324" s="315"/>
      <c r="I1324" s="315"/>
      <c r="BA1324" s="30"/>
      <c r="BB1324" s="155"/>
      <c r="BC1324" s="314"/>
      <c r="BD1324" s="314"/>
      <c r="BE1324" s="314"/>
      <c r="BF1324" s="314"/>
      <c r="BG1324" s="314"/>
      <c r="BH1324" s="314"/>
      <c r="BI1324" s="314"/>
      <c r="BJ1324" s="314"/>
      <c r="BK1324" s="40"/>
      <c r="BL1324" s="40"/>
      <c r="BM1324" s="40"/>
      <c r="BN1324" s="40"/>
      <c r="BO1324" s="40"/>
      <c r="BP1324" s="155"/>
      <c r="BQ1324" s="314"/>
      <c r="BR1324" s="314"/>
      <c r="BS1324" s="314"/>
      <c r="BT1324" s="314"/>
      <c r="BU1324" s="314"/>
      <c r="BV1324" s="314"/>
      <c r="BW1324" s="314"/>
      <c r="BX1324" s="155"/>
    </row>
    <row r="1325" spans="1:76" ht="15.75" customHeight="1">
      <c r="A1325" s="25"/>
      <c r="B1325" s="39"/>
      <c r="C1325" s="155"/>
      <c r="D1325" s="155"/>
      <c r="E1325" s="40"/>
      <c r="F1325" s="314"/>
      <c r="H1325" s="315"/>
      <c r="I1325" s="315"/>
      <c r="BA1325" s="30"/>
      <c r="BB1325" s="155"/>
      <c r="BC1325" s="314"/>
      <c r="BD1325" s="314"/>
      <c r="BE1325" s="314"/>
      <c r="BF1325" s="314"/>
      <c r="BG1325" s="314"/>
      <c r="BH1325" s="314"/>
      <c r="BI1325" s="314"/>
      <c r="BJ1325" s="314"/>
      <c r="BK1325" s="40"/>
      <c r="BL1325" s="40"/>
      <c r="BM1325" s="40"/>
      <c r="BN1325" s="40"/>
      <c r="BO1325" s="40"/>
      <c r="BP1325" s="155"/>
      <c r="BQ1325" s="314"/>
      <c r="BR1325" s="314"/>
      <c r="BS1325" s="314"/>
      <c r="BT1325" s="314"/>
      <c r="BU1325" s="314"/>
      <c r="BV1325" s="314"/>
      <c r="BW1325" s="314"/>
      <c r="BX1325" s="155"/>
    </row>
    <row r="1326" spans="1:76" ht="15.75" customHeight="1">
      <c r="A1326" s="25"/>
      <c r="B1326" s="39"/>
      <c r="C1326" s="155"/>
      <c r="D1326" s="155"/>
      <c r="E1326" s="341"/>
      <c r="F1326" s="314"/>
      <c r="H1326" s="315"/>
      <c r="I1326" s="315"/>
      <c r="BA1326" s="30"/>
      <c r="BB1326" s="321"/>
      <c r="BC1326" s="314"/>
      <c r="BD1326" s="314"/>
      <c r="BE1326" s="314"/>
      <c r="BF1326" s="314"/>
      <c r="BG1326" s="314"/>
      <c r="BH1326" s="314"/>
      <c r="BI1326" s="314"/>
      <c r="BJ1326" s="314"/>
      <c r="BK1326" s="40"/>
      <c r="BL1326" s="40"/>
      <c r="BM1326" s="40"/>
      <c r="BN1326" s="40"/>
      <c r="BO1326" s="40"/>
      <c r="BP1326" s="155"/>
      <c r="BQ1326" s="314"/>
      <c r="BR1326" s="314"/>
      <c r="BS1326" s="314"/>
      <c r="BT1326" s="314"/>
      <c r="BU1326" s="314"/>
      <c r="BV1326" s="314"/>
      <c r="BW1326" s="314"/>
      <c r="BX1326" s="155"/>
    </row>
    <row r="1327" spans="1:76" ht="15.75" customHeight="1">
      <c r="A1327" s="25"/>
      <c r="B1327" s="39"/>
      <c r="C1327" s="155"/>
      <c r="D1327" s="155"/>
      <c r="E1327" s="40"/>
      <c r="F1327" s="314"/>
      <c r="H1327" s="315"/>
      <c r="I1327" s="315"/>
      <c r="BA1327" s="30"/>
      <c r="BB1327" s="155"/>
      <c r="BC1327" s="314"/>
      <c r="BD1327" s="314"/>
      <c r="BE1327" s="314"/>
      <c r="BF1327" s="314"/>
      <c r="BG1327" s="314"/>
      <c r="BH1327" s="314"/>
      <c r="BI1327" s="314"/>
      <c r="BJ1327" s="314"/>
      <c r="BK1327" s="40"/>
      <c r="BL1327" s="40"/>
      <c r="BM1327" s="40"/>
      <c r="BN1327" s="40"/>
      <c r="BO1327" s="40"/>
      <c r="BP1327" s="155"/>
      <c r="BQ1327" s="314"/>
      <c r="BR1327" s="314"/>
      <c r="BS1327" s="314"/>
      <c r="BT1327" s="314"/>
      <c r="BU1327" s="314"/>
      <c r="BV1327" s="314"/>
      <c r="BW1327" s="314"/>
      <c r="BX1327" s="155"/>
    </row>
    <row r="1328" spans="1:76" ht="15.75" customHeight="1">
      <c r="A1328" s="25"/>
      <c r="B1328" s="39"/>
      <c r="C1328" s="155"/>
      <c r="D1328" s="155"/>
      <c r="E1328" s="40"/>
      <c r="F1328" s="314"/>
      <c r="H1328" s="315"/>
      <c r="I1328" s="315"/>
      <c r="BA1328" s="30"/>
      <c r="BB1328" s="155"/>
      <c r="BC1328" s="314"/>
      <c r="BD1328" s="314"/>
      <c r="BE1328" s="314"/>
      <c r="BF1328" s="314"/>
      <c r="BG1328" s="314"/>
      <c r="BH1328" s="314"/>
      <c r="BI1328" s="314"/>
      <c r="BJ1328" s="314"/>
      <c r="BK1328" s="40"/>
      <c r="BL1328" s="40"/>
      <c r="BM1328" s="40"/>
      <c r="BN1328" s="40"/>
      <c r="BO1328" s="40"/>
      <c r="BP1328" s="155"/>
      <c r="BQ1328" s="314"/>
      <c r="BR1328" s="314"/>
      <c r="BS1328" s="314"/>
      <c r="BT1328" s="314"/>
      <c r="BU1328" s="314"/>
      <c r="BV1328" s="314"/>
      <c r="BW1328" s="314"/>
      <c r="BX1328" s="155"/>
    </row>
    <row r="1329" spans="1:76" ht="15.75" customHeight="1">
      <c r="A1329" s="25"/>
      <c r="B1329" s="39"/>
      <c r="C1329" s="155"/>
      <c r="D1329" s="155"/>
      <c r="E1329" s="40"/>
      <c r="F1329" s="314"/>
      <c r="H1329" s="315"/>
      <c r="I1329" s="315"/>
      <c r="BA1329" s="30"/>
      <c r="BB1329" s="155"/>
      <c r="BC1329" s="314"/>
      <c r="BD1329" s="314"/>
      <c r="BE1329" s="314"/>
      <c r="BF1329" s="314"/>
      <c r="BG1329" s="314"/>
      <c r="BH1329" s="314"/>
      <c r="BI1329" s="314"/>
      <c r="BJ1329" s="314"/>
      <c r="BK1329" s="40"/>
      <c r="BL1329" s="40"/>
      <c r="BM1329" s="40"/>
      <c r="BN1329" s="40"/>
      <c r="BO1329" s="40"/>
      <c r="BP1329" s="155"/>
      <c r="BQ1329" s="314"/>
      <c r="BR1329" s="314"/>
      <c r="BS1329" s="314"/>
      <c r="BT1329" s="314"/>
      <c r="BU1329" s="314"/>
      <c r="BV1329" s="314"/>
      <c r="BW1329" s="314"/>
      <c r="BX1329" s="155"/>
    </row>
    <row r="1330" spans="1:76" ht="15.75" customHeight="1">
      <c r="A1330" s="25"/>
      <c r="B1330" s="39"/>
      <c r="C1330" s="155"/>
      <c r="D1330" s="155"/>
      <c r="E1330" s="40"/>
      <c r="F1330" s="314"/>
      <c r="H1330" s="315"/>
      <c r="I1330" s="315"/>
      <c r="BA1330" s="30"/>
      <c r="BB1330" s="155"/>
      <c r="BC1330" s="314"/>
      <c r="BD1330" s="314"/>
      <c r="BE1330" s="314"/>
      <c r="BF1330" s="314"/>
      <c r="BG1330" s="314"/>
      <c r="BH1330" s="314"/>
      <c r="BI1330" s="314"/>
      <c r="BJ1330" s="314"/>
      <c r="BK1330" s="40"/>
      <c r="BL1330" s="40"/>
      <c r="BM1330" s="40"/>
      <c r="BN1330" s="40"/>
      <c r="BO1330" s="40"/>
      <c r="BP1330" s="155"/>
      <c r="BQ1330" s="314"/>
      <c r="BR1330" s="314"/>
      <c r="BS1330" s="314"/>
      <c r="BT1330" s="314"/>
      <c r="BU1330" s="314"/>
      <c r="BV1330" s="314"/>
      <c r="BW1330" s="314"/>
      <c r="BX1330" s="155"/>
    </row>
    <row r="1331" spans="1:76" ht="15.75" customHeight="1">
      <c r="A1331" s="25"/>
      <c r="B1331" s="39"/>
      <c r="C1331" s="155"/>
      <c r="D1331" s="155"/>
      <c r="E1331" s="40"/>
      <c r="F1331" s="314"/>
      <c r="H1331" s="315"/>
      <c r="I1331" s="315"/>
      <c r="BA1331" s="30"/>
      <c r="BB1331" s="155"/>
      <c r="BC1331" s="314"/>
      <c r="BD1331" s="314"/>
      <c r="BE1331" s="314"/>
      <c r="BF1331" s="314"/>
      <c r="BG1331" s="314"/>
      <c r="BH1331" s="314"/>
      <c r="BI1331" s="314"/>
      <c r="BJ1331" s="314"/>
      <c r="BK1331" s="40"/>
      <c r="BL1331" s="40"/>
      <c r="BM1331" s="40"/>
      <c r="BN1331" s="40"/>
      <c r="BO1331" s="40"/>
      <c r="BP1331" s="155"/>
      <c r="BQ1331" s="314"/>
      <c r="BR1331" s="314"/>
      <c r="BS1331" s="314"/>
      <c r="BT1331" s="314"/>
      <c r="BU1331" s="314"/>
      <c r="BV1331" s="314"/>
      <c r="BW1331" s="314"/>
      <c r="BX1331" s="155"/>
    </row>
    <row r="1332" spans="1:76" ht="15.75" customHeight="1">
      <c r="A1332" s="25"/>
      <c r="B1332" s="39"/>
      <c r="C1332" s="155"/>
      <c r="D1332" s="155"/>
      <c r="E1332" s="40"/>
      <c r="F1332" s="314"/>
      <c r="H1332" s="315"/>
      <c r="I1332" s="315"/>
      <c r="BA1332" s="30"/>
      <c r="BB1332" s="155"/>
      <c r="BC1332" s="314"/>
      <c r="BD1332" s="314"/>
      <c r="BE1332" s="314"/>
      <c r="BF1332" s="314"/>
      <c r="BG1332" s="314"/>
      <c r="BH1332" s="314"/>
      <c r="BI1332" s="314"/>
      <c r="BJ1332" s="314"/>
      <c r="BK1332" s="40"/>
      <c r="BL1332" s="40"/>
      <c r="BM1332" s="40"/>
      <c r="BN1332" s="40"/>
      <c r="BO1332" s="40"/>
      <c r="BP1332" s="155"/>
      <c r="BQ1332" s="314"/>
      <c r="BR1332" s="314"/>
      <c r="BS1332" s="314"/>
      <c r="BT1332" s="314"/>
      <c r="BU1332" s="314"/>
      <c r="BV1332" s="314"/>
      <c r="BW1332" s="314"/>
      <c r="BX1332" s="155"/>
    </row>
    <row r="1333" spans="1:76" ht="15.75" customHeight="1">
      <c r="A1333" s="25"/>
      <c r="B1333" s="39"/>
      <c r="C1333" s="155"/>
      <c r="D1333" s="155"/>
      <c r="E1333" s="40"/>
      <c r="F1333" s="314"/>
      <c r="H1333" s="315"/>
      <c r="I1333" s="315"/>
      <c r="BA1333" s="30"/>
      <c r="BB1333" s="155"/>
      <c r="BC1333" s="314"/>
      <c r="BD1333" s="314"/>
      <c r="BE1333" s="314"/>
      <c r="BF1333" s="314"/>
      <c r="BG1333" s="314"/>
      <c r="BH1333" s="314"/>
      <c r="BI1333" s="314"/>
      <c r="BJ1333" s="314"/>
      <c r="BK1333" s="40"/>
      <c r="BL1333" s="40"/>
      <c r="BM1333" s="40"/>
      <c r="BN1333" s="40"/>
      <c r="BO1333" s="40"/>
      <c r="BP1333" s="155"/>
      <c r="BQ1333" s="314"/>
      <c r="BR1333" s="314"/>
      <c r="BS1333" s="314"/>
      <c r="BT1333" s="314"/>
      <c r="BU1333" s="314"/>
      <c r="BV1333" s="314"/>
      <c r="BW1333" s="314"/>
      <c r="BX1333" s="155"/>
    </row>
    <row r="1334" spans="1:76" ht="15.75" customHeight="1">
      <c r="A1334" s="25"/>
      <c r="B1334" s="39"/>
      <c r="C1334" s="155"/>
      <c r="D1334" s="155"/>
      <c r="E1334" s="341"/>
      <c r="F1334" s="314"/>
      <c r="H1334" s="315"/>
      <c r="I1334" s="315"/>
      <c r="BA1334" s="30"/>
      <c r="BB1334" s="321"/>
      <c r="BC1334" s="314"/>
      <c r="BD1334" s="314"/>
      <c r="BE1334" s="314"/>
      <c r="BF1334" s="314"/>
      <c r="BG1334" s="314"/>
      <c r="BH1334" s="314"/>
      <c r="BI1334" s="314"/>
      <c r="BJ1334" s="314"/>
      <c r="BK1334" s="40"/>
      <c r="BL1334" s="40"/>
      <c r="BM1334" s="40"/>
      <c r="BN1334" s="40"/>
      <c r="BO1334" s="40"/>
      <c r="BP1334" s="155"/>
      <c r="BQ1334" s="314"/>
      <c r="BR1334" s="314"/>
      <c r="BS1334" s="314"/>
      <c r="BT1334" s="314"/>
      <c r="BU1334" s="314"/>
      <c r="BV1334" s="314"/>
      <c r="BW1334" s="314"/>
      <c r="BX1334" s="155"/>
    </row>
    <row r="1335" spans="1:76" ht="15.75" customHeight="1">
      <c r="A1335" s="25"/>
      <c r="B1335" s="39"/>
      <c r="C1335" s="155"/>
      <c r="D1335" s="155"/>
      <c r="E1335" s="40"/>
      <c r="F1335" s="314"/>
      <c r="H1335" s="315"/>
      <c r="I1335" s="315"/>
      <c r="BA1335" s="30"/>
      <c r="BB1335" s="155"/>
      <c r="BC1335" s="314"/>
      <c r="BD1335" s="314"/>
      <c r="BE1335" s="314"/>
      <c r="BF1335" s="314"/>
      <c r="BG1335" s="314"/>
      <c r="BH1335" s="314"/>
      <c r="BI1335" s="314"/>
      <c r="BJ1335" s="314"/>
      <c r="BK1335" s="40"/>
      <c r="BL1335" s="40"/>
      <c r="BM1335" s="40"/>
      <c r="BN1335" s="40"/>
      <c r="BO1335" s="40"/>
      <c r="BP1335" s="155"/>
      <c r="BQ1335" s="314"/>
      <c r="BR1335" s="314"/>
      <c r="BS1335" s="314"/>
      <c r="BT1335" s="314"/>
      <c r="BU1335" s="314"/>
      <c r="BV1335" s="314"/>
      <c r="BW1335" s="314"/>
      <c r="BX1335" s="155"/>
    </row>
    <row r="1336" spans="1:76" ht="15.75" customHeight="1">
      <c r="A1336" s="25"/>
      <c r="B1336" s="39"/>
      <c r="C1336" s="155"/>
      <c r="D1336" s="155"/>
      <c r="E1336" s="40"/>
      <c r="F1336" s="314"/>
      <c r="H1336" s="315"/>
      <c r="I1336" s="315"/>
      <c r="BA1336" s="30"/>
      <c r="BB1336" s="155"/>
      <c r="BC1336" s="314"/>
      <c r="BD1336" s="314"/>
      <c r="BE1336" s="314"/>
      <c r="BF1336" s="314"/>
      <c r="BG1336" s="314"/>
      <c r="BH1336" s="314"/>
      <c r="BI1336" s="314"/>
      <c r="BJ1336" s="314"/>
      <c r="BK1336" s="40"/>
      <c r="BL1336" s="40"/>
      <c r="BM1336" s="40"/>
      <c r="BN1336" s="40"/>
      <c r="BO1336" s="40"/>
      <c r="BP1336" s="155"/>
      <c r="BQ1336" s="314"/>
      <c r="BR1336" s="314"/>
      <c r="BS1336" s="314"/>
      <c r="BT1336" s="314"/>
      <c r="BU1336" s="314"/>
      <c r="BV1336" s="314"/>
      <c r="BW1336" s="314"/>
      <c r="BX1336" s="155"/>
    </row>
    <row r="1337" spans="1:76" ht="15.75" customHeight="1">
      <c r="A1337" s="25"/>
      <c r="B1337" s="39"/>
      <c r="C1337" s="155"/>
      <c r="D1337" s="155"/>
      <c r="E1337" s="40"/>
      <c r="F1337" s="314"/>
      <c r="H1337" s="315"/>
      <c r="I1337" s="315"/>
      <c r="BA1337" s="30"/>
      <c r="BB1337" s="155"/>
      <c r="BC1337" s="314"/>
      <c r="BD1337" s="314"/>
      <c r="BE1337" s="314"/>
      <c r="BF1337" s="314"/>
      <c r="BG1337" s="314"/>
      <c r="BH1337" s="314"/>
      <c r="BI1337" s="314"/>
      <c r="BJ1337" s="314"/>
      <c r="BK1337" s="40"/>
      <c r="BL1337" s="40"/>
      <c r="BM1337" s="40"/>
      <c r="BN1337" s="40"/>
      <c r="BO1337" s="40"/>
      <c r="BP1337" s="155"/>
      <c r="BQ1337" s="314"/>
      <c r="BR1337" s="314"/>
      <c r="BS1337" s="314"/>
      <c r="BT1337" s="314"/>
      <c r="BU1337" s="314"/>
      <c r="BV1337" s="314"/>
      <c r="BW1337" s="314"/>
      <c r="BX1337" s="155"/>
    </row>
    <row r="1338" spans="1:76" ht="15.75" customHeight="1">
      <c r="A1338" s="25"/>
      <c r="B1338" s="39"/>
      <c r="C1338" s="155"/>
      <c r="D1338" s="155"/>
      <c r="E1338" s="40"/>
      <c r="F1338" s="314"/>
      <c r="H1338" s="315"/>
      <c r="I1338" s="315"/>
      <c r="BA1338" s="30"/>
      <c r="BB1338" s="155"/>
      <c r="BC1338" s="314"/>
      <c r="BD1338" s="314"/>
      <c r="BE1338" s="314"/>
      <c r="BF1338" s="314"/>
      <c r="BG1338" s="314"/>
      <c r="BH1338" s="314"/>
      <c r="BI1338" s="314"/>
      <c r="BJ1338" s="314"/>
      <c r="BK1338" s="40"/>
      <c r="BL1338" s="40"/>
      <c r="BM1338" s="40"/>
      <c r="BN1338" s="40"/>
      <c r="BO1338" s="40"/>
      <c r="BP1338" s="155"/>
      <c r="BQ1338" s="314"/>
      <c r="BR1338" s="314"/>
      <c r="BS1338" s="314"/>
      <c r="BT1338" s="314"/>
      <c r="BU1338" s="314"/>
      <c r="BV1338" s="314"/>
      <c r="BW1338" s="314"/>
      <c r="BX1338" s="155"/>
    </row>
    <row r="1339" spans="1:76" ht="15.75" customHeight="1">
      <c r="A1339" s="25"/>
      <c r="B1339" s="39"/>
      <c r="C1339" s="155"/>
      <c r="D1339" s="155"/>
      <c r="E1339" s="40"/>
      <c r="F1339" s="314"/>
      <c r="H1339" s="315"/>
      <c r="I1339" s="315"/>
      <c r="BA1339" s="30"/>
      <c r="BB1339" s="155"/>
      <c r="BC1339" s="314"/>
      <c r="BD1339" s="314"/>
      <c r="BE1339" s="314"/>
      <c r="BF1339" s="314"/>
      <c r="BG1339" s="314"/>
      <c r="BH1339" s="314"/>
      <c r="BI1339" s="314"/>
      <c r="BJ1339" s="314"/>
      <c r="BK1339" s="40"/>
      <c r="BL1339" s="40"/>
      <c r="BM1339" s="40"/>
      <c r="BN1339" s="40"/>
      <c r="BO1339" s="40"/>
      <c r="BP1339" s="155"/>
      <c r="BQ1339" s="314"/>
      <c r="BR1339" s="314"/>
      <c r="BS1339" s="314"/>
      <c r="BT1339" s="314"/>
      <c r="BU1339" s="314"/>
      <c r="BV1339" s="314"/>
      <c r="BW1339" s="314"/>
      <c r="BX1339" s="155"/>
    </row>
    <row r="1340" spans="1:76" ht="15.75" customHeight="1">
      <c r="A1340" s="25"/>
      <c r="B1340" s="39"/>
      <c r="C1340" s="155"/>
      <c r="D1340" s="155"/>
      <c r="E1340" s="40"/>
      <c r="F1340" s="314"/>
      <c r="H1340" s="315"/>
      <c r="I1340" s="315"/>
      <c r="BA1340" s="30"/>
      <c r="BB1340" s="155"/>
      <c r="BC1340" s="314"/>
      <c r="BD1340" s="314"/>
      <c r="BE1340" s="314"/>
      <c r="BF1340" s="314"/>
      <c r="BG1340" s="314"/>
      <c r="BH1340" s="314"/>
      <c r="BI1340" s="314"/>
      <c r="BJ1340" s="314"/>
      <c r="BK1340" s="40"/>
      <c r="BL1340" s="40"/>
      <c r="BM1340" s="40"/>
      <c r="BN1340" s="40"/>
      <c r="BO1340" s="40"/>
      <c r="BP1340" s="155"/>
      <c r="BQ1340" s="314"/>
      <c r="BR1340" s="314"/>
      <c r="BS1340" s="314"/>
      <c r="BT1340" s="314"/>
      <c r="BU1340" s="314"/>
      <c r="BV1340" s="314"/>
      <c r="BW1340" s="314"/>
      <c r="BX1340" s="155"/>
    </row>
    <row r="1341" spans="1:76" ht="15.75" customHeight="1">
      <c r="A1341" s="25"/>
      <c r="B1341" s="39"/>
      <c r="C1341" s="155"/>
      <c r="D1341" s="155"/>
      <c r="E1341" s="40"/>
      <c r="F1341" s="314"/>
      <c r="H1341" s="315"/>
      <c r="I1341" s="315"/>
      <c r="BA1341" s="30"/>
      <c r="BB1341" s="155"/>
      <c r="BC1341" s="314"/>
      <c r="BD1341" s="314"/>
      <c r="BE1341" s="314"/>
      <c r="BF1341" s="314"/>
      <c r="BG1341" s="314"/>
      <c r="BH1341" s="314"/>
      <c r="BI1341" s="314"/>
      <c r="BJ1341" s="314"/>
      <c r="BK1341" s="40"/>
      <c r="BL1341" s="40"/>
      <c r="BM1341" s="40"/>
      <c r="BN1341" s="40"/>
      <c r="BO1341" s="40"/>
      <c r="BP1341" s="155"/>
      <c r="BQ1341" s="314"/>
      <c r="BR1341" s="314"/>
      <c r="BS1341" s="314"/>
      <c r="BT1341" s="314"/>
      <c r="BU1341" s="314"/>
      <c r="BV1341" s="314"/>
      <c r="BW1341" s="314"/>
      <c r="BX1341" s="155"/>
    </row>
    <row r="1342" spans="1:76" ht="15.75" customHeight="1">
      <c r="A1342" s="25"/>
      <c r="B1342" s="39"/>
      <c r="C1342" s="155"/>
      <c r="D1342" s="155"/>
      <c r="E1342" s="341"/>
      <c r="F1342" s="314"/>
      <c r="H1342" s="315"/>
      <c r="I1342" s="315"/>
      <c r="BA1342" s="30"/>
      <c r="BB1342" s="321"/>
      <c r="BC1342" s="314"/>
      <c r="BD1342" s="314"/>
      <c r="BE1342" s="314"/>
      <c r="BF1342" s="314"/>
      <c r="BG1342" s="314"/>
      <c r="BH1342" s="314"/>
      <c r="BI1342" s="314"/>
      <c r="BJ1342" s="314"/>
      <c r="BK1342" s="40"/>
      <c r="BL1342" s="40"/>
      <c r="BM1342" s="40"/>
      <c r="BN1342" s="40"/>
      <c r="BO1342" s="40"/>
      <c r="BP1342" s="155"/>
      <c r="BQ1342" s="314"/>
      <c r="BR1342" s="314"/>
      <c r="BS1342" s="314"/>
      <c r="BT1342" s="314"/>
      <c r="BU1342" s="314"/>
      <c r="BV1342" s="314"/>
      <c r="BW1342" s="314"/>
      <c r="BX1342" s="155"/>
    </row>
    <row r="1343" spans="1:76" ht="15.75" customHeight="1">
      <c r="A1343" s="25"/>
      <c r="B1343" s="39"/>
      <c r="C1343" s="155"/>
      <c r="D1343" s="155"/>
      <c r="E1343" s="40"/>
      <c r="F1343" s="314"/>
      <c r="H1343" s="315"/>
      <c r="I1343" s="315"/>
      <c r="BA1343" s="30"/>
      <c r="BB1343" s="155"/>
      <c r="BC1343" s="314"/>
      <c r="BD1343" s="314"/>
      <c r="BE1343" s="314"/>
      <c r="BF1343" s="314"/>
      <c r="BG1343" s="314"/>
      <c r="BH1343" s="314"/>
      <c r="BI1343" s="314"/>
      <c r="BJ1343" s="314"/>
      <c r="BK1343" s="40"/>
      <c r="BL1343" s="40"/>
      <c r="BM1343" s="40"/>
      <c r="BN1343" s="40"/>
      <c r="BO1343" s="40"/>
      <c r="BP1343" s="155"/>
      <c r="BQ1343" s="314"/>
      <c r="BR1343" s="314"/>
      <c r="BS1343" s="314"/>
      <c r="BT1343" s="314"/>
      <c r="BU1343" s="314"/>
      <c r="BV1343" s="314"/>
      <c r="BW1343" s="314"/>
      <c r="BX1343" s="155"/>
    </row>
    <row r="1344" spans="1:76" ht="15.75" customHeight="1">
      <c r="A1344" s="25"/>
      <c r="B1344" s="39"/>
      <c r="C1344" s="155"/>
      <c r="D1344" s="155"/>
      <c r="E1344" s="40"/>
      <c r="F1344" s="314"/>
      <c r="H1344" s="315"/>
      <c r="I1344" s="315"/>
      <c r="BA1344" s="30"/>
      <c r="BB1344" s="155"/>
      <c r="BC1344" s="314"/>
      <c r="BD1344" s="314"/>
      <c r="BE1344" s="314"/>
      <c r="BF1344" s="314"/>
      <c r="BG1344" s="314"/>
      <c r="BH1344" s="314"/>
      <c r="BI1344" s="314"/>
      <c r="BJ1344" s="314"/>
      <c r="BK1344" s="40"/>
      <c r="BL1344" s="40"/>
      <c r="BM1344" s="40"/>
      <c r="BN1344" s="40"/>
      <c r="BO1344" s="40"/>
      <c r="BP1344" s="155"/>
      <c r="BQ1344" s="314"/>
      <c r="BR1344" s="314"/>
      <c r="BS1344" s="314"/>
      <c r="BT1344" s="314"/>
      <c r="BU1344" s="314"/>
      <c r="BV1344" s="314"/>
      <c r="BW1344" s="314"/>
      <c r="BX1344" s="155"/>
    </row>
    <row r="1345" spans="1:76" ht="15.75" customHeight="1">
      <c r="A1345" s="25"/>
      <c r="B1345" s="39"/>
      <c r="C1345" s="155"/>
      <c r="D1345" s="155"/>
      <c r="E1345" s="40"/>
      <c r="F1345" s="314"/>
      <c r="H1345" s="315"/>
      <c r="I1345" s="315"/>
      <c r="BA1345" s="30"/>
      <c r="BB1345" s="155"/>
      <c r="BC1345" s="314"/>
      <c r="BD1345" s="314"/>
      <c r="BE1345" s="314"/>
      <c r="BF1345" s="314"/>
      <c r="BG1345" s="314"/>
      <c r="BH1345" s="314"/>
      <c r="BI1345" s="314"/>
      <c r="BJ1345" s="314"/>
      <c r="BK1345" s="40"/>
      <c r="BL1345" s="40"/>
      <c r="BM1345" s="40"/>
      <c r="BN1345" s="40"/>
      <c r="BO1345" s="40"/>
      <c r="BP1345" s="155"/>
      <c r="BQ1345" s="314"/>
      <c r="BR1345" s="314"/>
      <c r="BS1345" s="314"/>
      <c r="BT1345" s="314"/>
      <c r="BU1345" s="314"/>
      <c r="BV1345" s="314"/>
      <c r="BW1345" s="314"/>
      <c r="BX1345" s="155"/>
    </row>
    <row r="1346" spans="1:76" ht="15.75" customHeight="1">
      <c r="A1346" s="25"/>
      <c r="B1346" s="39"/>
      <c r="C1346" s="155"/>
      <c r="D1346" s="155"/>
      <c r="E1346" s="40"/>
      <c r="F1346" s="314"/>
      <c r="H1346" s="315"/>
      <c r="I1346" s="315"/>
      <c r="BA1346" s="30"/>
      <c r="BB1346" s="155"/>
      <c r="BC1346" s="314"/>
      <c r="BD1346" s="314"/>
      <c r="BE1346" s="314"/>
      <c r="BF1346" s="314"/>
      <c r="BG1346" s="314"/>
      <c r="BH1346" s="314"/>
      <c r="BI1346" s="314"/>
      <c r="BJ1346" s="314"/>
      <c r="BK1346" s="40"/>
      <c r="BL1346" s="40"/>
      <c r="BM1346" s="40"/>
      <c r="BN1346" s="40"/>
      <c r="BO1346" s="40"/>
      <c r="BP1346" s="155"/>
      <c r="BQ1346" s="314"/>
      <c r="BR1346" s="314"/>
      <c r="BS1346" s="314"/>
      <c r="BT1346" s="314"/>
      <c r="BU1346" s="314"/>
      <c r="BV1346" s="314"/>
      <c r="BW1346" s="314"/>
      <c r="BX1346" s="155"/>
    </row>
    <row r="1347" spans="1:76" ht="15.75" customHeight="1">
      <c r="A1347" s="25"/>
      <c r="B1347" s="39"/>
      <c r="C1347" s="155"/>
      <c r="D1347" s="155"/>
      <c r="E1347" s="40"/>
      <c r="F1347" s="314"/>
      <c r="H1347" s="315"/>
      <c r="I1347" s="315"/>
      <c r="BA1347" s="30"/>
      <c r="BB1347" s="155"/>
      <c r="BC1347" s="314"/>
      <c r="BD1347" s="314"/>
      <c r="BE1347" s="314"/>
      <c r="BF1347" s="314"/>
      <c r="BG1347" s="314"/>
      <c r="BH1347" s="314"/>
      <c r="BI1347" s="314"/>
      <c r="BJ1347" s="314"/>
      <c r="BK1347" s="40"/>
      <c r="BL1347" s="40"/>
      <c r="BM1347" s="40"/>
      <c r="BN1347" s="40"/>
      <c r="BO1347" s="40"/>
      <c r="BP1347" s="155"/>
      <c r="BQ1347" s="314"/>
      <c r="BR1347" s="314"/>
      <c r="BS1347" s="314"/>
      <c r="BT1347" s="314"/>
      <c r="BU1347" s="314"/>
      <c r="BV1347" s="314"/>
      <c r="BW1347" s="314"/>
      <c r="BX1347" s="155"/>
    </row>
    <row r="1348" spans="1:76" ht="15.75" customHeight="1">
      <c r="A1348" s="25"/>
      <c r="B1348" s="39"/>
      <c r="C1348" s="155"/>
      <c r="D1348" s="155"/>
      <c r="E1348" s="40"/>
      <c r="F1348" s="314"/>
      <c r="H1348" s="315"/>
      <c r="I1348" s="315"/>
      <c r="BA1348" s="30"/>
      <c r="BB1348" s="155"/>
      <c r="BC1348" s="314"/>
      <c r="BD1348" s="314"/>
      <c r="BE1348" s="314"/>
      <c r="BF1348" s="314"/>
      <c r="BG1348" s="314"/>
      <c r="BH1348" s="314"/>
      <c r="BI1348" s="314"/>
      <c r="BJ1348" s="314"/>
      <c r="BK1348" s="40"/>
      <c r="BL1348" s="40"/>
      <c r="BM1348" s="40"/>
      <c r="BN1348" s="40"/>
      <c r="BO1348" s="40"/>
      <c r="BP1348" s="155"/>
      <c r="BQ1348" s="314"/>
      <c r="BR1348" s="314"/>
      <c r="BS1348" s="314"/>
      <c r="BT1348" s="314"/>
      <c r="BU1348" s="314"/>
      <c r="BV1348" s="314"/>
      <c r="BW1348" s="314"/>
      <c r="BX1348" s="155"/>
    </row>
    <row r="1349" spans="1:76" ht="15.75" customHeight="1">
      <c r="A1349" s="25"/>
      <c r="B1349" s="39"/>
      <c r="C1349" s="155"/>
      <c r="D1349" s="155"/>
      <c r="E1349" s="40"/>
      <c r="F1349" s="314"/>
      <c r="H1349" s="315"/>
      <c r="I1349" s="315"/>
      <c r="BA1349" s="30"/>
      <c r="BB1349" s="155"/>
      <c r="BC1349" s="314"/>
      <c r="BD1349" s="314"/>
      <c r="BE1349" s="314"/>
      <c r="BF1349" s="314"/>
      <c r="BG1349" s="314"/>
      <c r="BH1349" s="314"/>
      <c r="BI1349" s="314"/>
      <c r="BJ1349" s="314"/>
      <c r="BK1349" s="40"/>
      <c r="BL1349" s="40"/>
      <c r="BM1349" s="40"/>
      <c r="BN1349" s="40"/>
      <c r="BO1349" s="40"/>
      <c r="BP1349" s="155"/>
      <c r="BQ1349" s="314"/>
      <c r="BR1349" s="314"/>
      <c r="BS1349" s="314"/>
      <c r="BT1349" s="314"/>
      <c r="BU1349" s="314"/>
      <c r="BV1349" s="314"/>
      <c r="BW1349" s="314"/>
      <c r="BX1349" s="155"/>
    </row>
    <row r="1350" spans="1:76" ht="15.75" customHeight="1">
      <c r="A1350" s="25"/>
      <c r="B1350" s="39"/>
      <c r="C1350" s="155"/>
      <c r="D1350" s="155"/>
      <c r="E1350" s="341"/>
      <c r="F1350" s="314"/>
      <c r="H1350" s="315"/>
      <c r="I1350" s="315"/>
      <c r="BA1350" s="30"/>
      <c r="BB1350" s="321"/>
      <c r="BC1350" s="314"/>
      <c r="BD1350" s="314"/>
      <c r="BE1350" s="314"/>
      <c r="BF1350" s="314"/>
      <c r="BG1350" s="314"/>
      <c r="BH1350" s="314"/>
      <c r="BI1350" s="314"/>
      <c r="BJ1350" s="314"/>
      <c r="BK1350" s="40"/>
      <c r="BL1350" s="40"/>
      <c r="BM1350" s="40"/>
      <c r="BN1350" s="40"/>
      <c r="BO1350" s="40"/>
      <c r="BP1350" s="155"/>
      <c r="BQ1350" s="314"/>
      <c r="BR1350" s="314"/>
      <c r="BS1350" s="314"/>
      <c r="BT1350" s="314"/>
      <c r="BU1350" s="314"/>
      <c r="BV1350" s="314"/>
      <c r="BW1350" s="314"/>
      <c r="BX1350" s="155"/>
    </row>
    <row r="1351" spans="1:76" ht="15.75" customHeight="1">
      <c r="A1351" s="25"/>
      <c r="B1351" s="39"/>
      <c r="C1351" s="155"/>
      <c r="D1351" s="155"/>
      <c r="E1351" s="40"/>
      <c r="F1351" s="314"/>
      <c r="H1351" s="315"/>
      <c r="I1351" s="315"/>
      <c r="BA1351" s="30"/>
      <c r="BB1351" s="155"/>
      <c r="BC1351" s="314"/>
      <c r="BD1351" s="314"/>
      <c r="BE1351" s="314"/>
      <c r="BF1351" s="314"/>
      <c r="BG1351" s="314"/>
      <c r="BH1351" s="314"/>
      <c r="BI1351" s="314"/>
      <c r="BJ1351" s="314"/>
      <c r="BK1351" s="40"/>
      <c r="BL1351" s="40"/>
      <c r="BM1351" s="40"/>
      <c r="BN1351" s="40"/>
      <c r="BO1351" s="40"/>
      <c r="BP1351" s="155"/>
      <c r="BQ1351" s="314"/>
      <c r="BR1351" s="314"/>
      <c r="BS1351" s="314"/>
      <c r="BT1351" s="314"/>
      <c r="BU1351" s="314"/>
      <c r="BV1351" s="314"/>
      <c r="BW1351" s="314"/>
      <c r="BX1351" s="155"/>
    </row>
    <row r="1352" spans="1:76" ht="15.75" customHeight="1">
      <c r="A1352" s="25"/>
      <c r="B1352" s="39"/>
      <c r="C1352" s="155"/>
      <c r="D1352" s="155"/>
      <c r="E1352" s="40"/>
      <c r="F1352" s="314"/>
      <c r="H1352" s="315"/>
      <c r="I1352" s="315"/>
      <c r="BA1352" s="30"/>
      <c r="BB1352" s="155"/>
      <c r="BC1352" s="314"/>
      <c r="BD1352" s="314"/>
      <c r="BE1352" s="314"/>
      <c r="BF1352" s="314"/>
      <c r="BG1352" s="314"/>
      <c r="BH1352" s="314"/>
      <c r="BI1352" s="314"/>
      <c r="BJ1352" s="314"/>
      <c r="BK1352" s="40"/>
      <c r="BL1352" s="40"/>
      <c r="BM1352" s="40"/>
      <c r="BN1352" s="40"/>
      <c r="BO1352" s="40"/>
      <c r="BP1352" s="155"/>
      <c r="BQ1352" s="314"/>
      <c r="BR1352" s="314"/>
      <c r="BS1352" s="314"/>
      <c r="BT1352" s="314"/>
      <c r="BU1352" s="314"/>
      <c r="BV1352" s="314"/>
      <c r="BW1352" s="314"/>
      <c r="BX1352" s="155"/>
    </row>
    <row r="1353" spans="1:76" ht="15.75" customHeight="1">
      <c r="A1353" s="25"/>
      <c r="B1353" s="39"/>
      <c r="C1353" s="155"/>
      <c r="D1353" s="155"/>
      <c r="E1353" s="40"/>
      <c r="F1353" s="314"/>
      <c r="H1353" s="315"/>
      <c r="I1353" s="315"/>
      <c r="BA1353" s="30"/>
      <c r="BB1353" s="155"/>
      <c r="BC1353" s="314"/>
      <c r="BD1353" s="314"/>
      <c r="BE1353" s="314"/>
      <c r="BF1353" s="314"/>
      <c r="BG1353" s="314"/>
      <c r="BH1353" s="314"/>
      <c r="BI1353" s="314"/>
      <c r="BJ1353" s="314"/>
      <c r="BK1353" s="40"/>
      <c r="BL1353" s="40"/>
      <c r="BM1353" s="40"/>
      <c r="BN1353" s="40"/>
      <c r="BO1353" s="40"/>
      <c r="BP1353" s="155"/>
      <c r="BQ1353" s="314"/>
      <c r="BR1353" s="314"/>
      <c r="BS1353" s="314"/>
      <c r="BT1353" s="314"/>
      <c r="BU1353" s="314"/>
      <c r="BV1353" s="314"/>
      <c r="BW1353" s="314"/>
      <c r="BX1353" s="155"/>
    </row>
    <row r="1354" spans="1:76" ht="15.75" customHeight="1">
      <c r="A1354" s="25"/>
      <c r="B1354" s="39"/>
      <c r="C1354" s="155"/>
      <c r="D1354" s="155"/>
      <c r="E1354" s="40"/>
      <c r="F1354" s="314"/>
      <c r="H1354" s="315"/>
      <c r="I1354" s="315"/>
      <c r="BA1354" s="30"/>
      <c r="BB1354" s="155"/>
      <c r="BC1354" s="314"/>
      <c r="BD1354" s="314"/>
      <c r="BE1354" s="314"/>
      <c r="BF1354" s="314"/>
      <c r="BG1354" s="314"/>
      <c r="BH1354" s="314"/>
      <c r="BI1354" s="314"/>
      <c r="BJ1354" s="314"/>
      <c r="BK1354" s="40"/>
      <c r="BL1354" s="40"/>
      <c r="BM1354" s="40"/>
      <c r="BN1354" s="40"/>
      <c r="BO1354" s="40"/>
      <c r="BP1354" s="155"/>
      <c r="BQ1354" s="314"/>
      <c r="BR1354" s="314"/>
      <c r="BS1354" s="314"/>
      <c r="BT1354" s="314"/>
      <c r="BU1354" s="314"/>
      <c r="BV1354" s="314"/>
      <c r="BW1354" s="314"/>
      <c r="BX1354" s="155"/>
    </row>
    <row r="1355" spans="1:76" ht="15.75" customHeight="1">
      <c r="A1355" s="25"/>
      <c r="B1355" s="39"/>
      <c r="C1355" s="155"/>
      <c r="D1355" s="155"/>
      <c r="E1355" s="40"/>
      <c r="F1355" s="314"/>
      <c r="H1355" s="315"/>
      <c r="I1355" s="315"/>
      <c r="BA1355" s="30"/>
      <c r="BB1355" s="155"/>
      <c r="BC1355" s="314"/>
      <c r="BD1355" s="314"/>
      <c r="BE1355" s="314"/>
      <c r="BF1355" s="314"/>
      <c r="BG1355" s="314"/>
      <c r="BH1355" s="314"/>
      <c r="BI1355" s="314"/>
      <c r="BJ1355" s="314"/>
      <c r="BK1355" s="40"/>
      <c r="BL1355" s="40"/>
      <c r="BM1355" s="40"/>
      <c r="BN1355" s="40"/>
      <c r="BO1355" s="40"/>
      <c r="BP1355" s="155"/>
      <c r="BQ1355" s="314"/>
      <c r="BR1355" s="314"/>
      <c r="BS1355" s="314"/>
      <c r="BT1355" s="314"/>
      <c r="BU1355" s="314"/>
      <c r="BV1355" s="314"/>
      <c r="BW1355" s="314"/>
      <c r="BX1355" s="155"/>
    </row>
    <row r="1356" spans="1:76" ht="15.75" customHeight="1">
      <c r="A1356" s="25"/>
      <c r="B1356" s="39"/>
      <c r="C1356" s="155"/>
      <c r="D1356" s="155"/>
      <c r="E1356" s="40"/>
      <c r="F1356" s="314"/>
      <c r="H1356" s="315"/>
      <c r="I1356" s="315"/>
      <c r="BA1356" s="30"/>
      <c r="BB1356" s="155"/>
      <c r="BC1356" s="314"/>
      <c r="BD1356" s="314"/>
      <c r="BE1356" s="314"/>
      <c r="BF1356" s="314"/>
      <c r="BG1356" s="314"/>
      <c r="BH1356" s="314"/>
      <c r="BI1356" s="314"/>
      <c r="BJ1356" s="314"/>
      <c r="BK1356" s="40"/>
      <c r="BL1356" s="40"/>
      <c r="BM1356" s="40"/>
      <c r="BN1356" s="40"/>
      <c r="BO1356" s="40"/>
      <c r="BP1356" s="155"/>
      <c r="BQ1356" s="314"/>
      <c r="BR1356" s="314"/>
      <c r="BS1356" s="314"/>
      <c r="BT1356" s="314"/>
      <c r="BU1356" s="314"/>
      <c r="BV1356" s="314"/>
      <c r="BW1356" s="314"/>
      <c r="BX1356" s="155"/>
    </row>
    <row r="1357" spans="1:76" ht="15.75" customHeight="1">
      <c r="A1357" s="25"/>
      <c r="B1357" s="39"/>
      <c r="C1357" s="155"/>
      <c r="D1357" s="155"/>
      <c r="E1357" s="40"/>
      <c r="F1357" s="314"/>
      <c r="H1357" s="315"/>
      <c r="I1357" s="315"/>
      <c r="BA1357" s="30"/>
      <c r="BB1357" s="155"/>
      <c r="BC1357" s="314"/>
      <c r="BD1357" s="314"/>
      <c r="BE1357" s="314"/>
      <c r="BF1357" s="314"/>
      <c r="BG1357" s="314"/>
      <c r="BH1357" s="314"/>
      <c r="BI1357" s="314"/>
      <c r="BJ1357" s="314"/>
      <c r="BK1357" s="40"/>
      <c r="BL1357" s="40"/>
      <c r="BM1357" s="40"/>
      <c r="BN1357" s="40"/>
      <c r="BO1357" s="40"/>
      <c r="BP1357" s="155"/>
      <c r="BQ1357" s="314"/>
      <c r="BR1357" s="314"/>
      <c r="BS1357" s="314"/>
      <c r="BT1357" s="314"/>
      <c r="BU1357" s="314"/>
      <c r="BV1357" s="314"/>
      <c r="BW1357" s="314"/>
      <c r="BX1357" s="155"/>
    </row>
    <row r="1358" spans="1:76" ht="15.75" customHeight="1">
      <c r="A1358" s="25"/>
      <c r="B1358" s="39"/>
      <c r="C1358" s="155"/>
      <c r="D1358" s="155"/>
      <c r="E1358" s="341"/>
      <c r="F1358" s="314"/>
      <c r="H1358" s="315"/>
      <c r="I1358" s="315"/>
      <c r="BA1358" s="30"/>
      <c r="BB1358" s="321"/>
      <c r="BC1358" s="314"/>
      <c r="BD1358" s="314"/>
      <c r="BE1358" s="314"/>
      <c r="BF1358" s="314"/>
      <c r="BG1358" s="314"/>
      <c r="BH1358" s="314"/>
      <c r="BI1358" s="314"/>
      <c r="BJ1358" s="314"/>
      <c r="BK1358" s="40"/>
      <c r="BL1358" s="40"/>
      <c r="BM1358" s="40"/>
      <c r="BN1358" s="40"/>
      <c r="BO1358" s="40"/>
      <c r="BP1358" s="155"/>
      <c r="BQ1358" s="314"/>
      <c r="BR1358" s="314"/>
      <c r="BS1358" s="314"/>
      <c r="BT1358" s="314"/>
      <c r="BU1358" s="314"/>
      <c r="BV1358" s="314"/>
      <c r="BW1358" s="314"/>
      <c r="BX1358" s="155"/>
    </row>
    <row r="1359" spans="1:76" ht="15.75" customHeight="1">
      <c r="A1359" s="25"/>
      <c r="B1359" s="39"/>
      <c r="C1359" s="155"/>
      <c r="D1359" s="155"/>
      <c r="E1359" s="40"/>
      <c r="F1359" s="314"/>
      <c r="H1359" s="315"/>
      <c r="I1359" s="315"/>
      <c r="BA1359" s="30"/>
      <c r="BB1359" s="155"/>
      <c r="BC1359" s="314"/>
      <c r="BD1359" s="314"/>
      <c r="BE1359" s="314"/>
      <c r="BF1359" s="314"/>
      <c r="BG1359" s="314"/>
      <c r="BH1359" s="314"/>
      <c r="BI1359" s="314"/>
      <c r="BJ1359" s="314"/>
      <c r="BK1359" s="40"/>
      <c r="BL1359" s="40"/>
      <c r="BM1359" s="40"/>
      <c r="BN1359" s="40"/>
      <c r="BO1359" s="40"/>
      <c r="BP1359" s="155"/>
      <c r="BQ1359" s="314"/>
      <c r="BR1359" s="314"/>
      <c r="BS1359" s="314"/>
      <c r="BT1359" s="314"/>
      <c r="BU1359" s="314"/>
      <c r="BV1359" s="314"/>
      <c r="BW1359" s="314"/>
      <c r="BX1359" s="155"/>
    </row>
    <row r="1360" spans="1:76" ht="15.75" customHeight="1">
      <c r="A1360" s="25"/>
      <c r="B1360" s="39"/>
      <c r="C1360" s="155"/>
      <c r="D1360" s="155"/>
      <c r="E1360" s="40"/>
      <c r="F1360" s="314"/>
      <c r="H1360" s="315"/>
      <c r="I1360" s="315"/>
      <c r="BA1360" s="30"/>
      <c r="BB1360" s="155"/>
      <c r="BC1360" s="314"/>
      <c r="BD1360" s="314"/>
      <c r="BE1360" s="314"/>
      <c r="BF1360" s="314"/>
      <c r="BG1360" s="314"/>
      <c r="BH1360" s="314"/>
      <c r="BI1360" s="314"/>
      <c r="BJ1360" s="314"/>
      <c r="BK1360" s="40"/>
      <c r="BL1360" s="40"/>
      <c r="BM1360" s="40"/>
      <c r="BN1360" s="40"/>
      <c r="BO1360" s="40"/>
      <c r="BP1360" s="155"/>
      <c r="BQ1360" s="314"/>
      <c r="BR1360" s="314"/>
      <c r="BS1360" s="314"/>
      <c r="BT1360" s="314"/>
      <c r="BU1360" s="314"/>
      <c r="BV1360" s="314"/>
      <c r="BW1360" s="314"/>
      <c r="BX1360" s="155"/>
    </row>
    <row r="1361" spans="1:76" ht="15.75" customHeight="1">
      <c r="A1361" s="25"/>
      <c r="B1361" s="39"/>
      <c r="C1361" s="155"/>
      <c r="D1361" s="155"/>
      <c r="E1361" s="40"/>
      <c r="F1361" s="314"/>
      <c r="H1361" s="315"/>
      <c r="I1361" s="315"/>
      <c r="BA1361" s="30"/>
      <c r="BB1361" s="155"/>
      <c r="BC1361" s="314"/>
      <c r="BD1361" s="314"/>
      <c r="BE1361" s="314"/>
      <c r="BF1361" s="314"/>
      <c r="BG1361" s="314"/>
      <c r="BH1361" s="314"/>
      <c r="BI1361" s="314"/>
      <c r="BJ1361" s="314"/>
      <c r="BK1361" s="40"/>
      <c r="BL1361" s="40"/>
      <c r="BM1361" s="40"/>
      <c r="BN1361" s="40"/>
      <c r="BO1361" s="40"/>
      <c r="BP1361" s="155"/>
      <c r="BQ1361" s="314"/>
      <c r="BR1361" s="314"/>
      <c r="BS1361" s="314"/>
      <c r="BT1361" s="314"/>
      <c r="BU1361" s="314"/>
      <c r="BV1361" s="314"/>
      <c r="BW1361" s="314"/>
      <c r="BX1361" s="155"/>
    </row>
    <row r="1362" spans="1:76" ht="15.75" customHeight="1">
      <c r="A1362" s="25"/>
      <c r="B1362" s="39"/>
      <c r="C1362" s="155"/>
      <c r="D1362" s="155"/>
      <c r="E1362" s="40"/>
      <c r="F1362" s="314"/>
      <c r="H1362" s="315"/>
      <c r="I1362" s="315"/>
      <c r="BA1362" s="30"/>
      <c r="BB1362" s="155"/>
      <c r="BC1362" s="314"/>
      <c r="BD1362" s="314"/>
      <c r="BE1362" s="314"/>
      <c r="BF1362" s="314"/>
      <c r="BG1362" s="314"/>
      <c r="BH1362" s="314"/>
      <c r="BI1362" s="314"/>
      <c r="BJ1362" s="314"/>
      <c r="BK1362" s="40"/>
      <c r="BL1362" s="40"/>
      <c r="BM1362" s="40"/>
      <c r="BN1362" s="40"/>
      <c r="BO1362" s="40"/>
      <c r="BP1362" s="155"/>
      <c r="BQ1362" s="314"/>
      <c r="BR1362" s="314"/>
      <c r="BS1362" s="314"/>
      <c r="BT1362" s="314"/>
      <c r="BU1362" s="314"/>
      <c r="BV1362" s="314"/>
      <c r="BW1362" s="314"/>
      <c r="BX1362" s="155"/>
    </row>
    <row r="1363" spans="1:76" ht="15.75" customHeight="1">
      <c r="A1363" s="25"/>
      <c r="B1363" s="39"/>
      <c r="C1363" s="155"/>
      <c r="D1363" s="155"/>
      <c r="E1363" s="40"/>
      <c r="F1363" s="314"/>
      <c r="H1363" s="315"/>
      <c r="I1363" s="315"/>
      <c r="BA1363" s="30"/>
      <c r="BB1363" s="155"/>
      <c r="BC1363" s="314"/>
      <c r="BD1363" s="314"/>
      <c r="BE1363" s="314"/>
      <c r="BF1363" s="314"/>
      <c r="BG1363" s="314"/>
      <c r="BH1363" s="314"/>
      <c r="BI1363" s="314"/>
      <c r="BJ1363" s="314"/>
      <c r="BK1363" s="40"/>
      <c r="BL1363" s="40"/>
      <c r="BM1363" s="40"/>
      <c r="BN1363" s="40"/>
      <c r="BO1363" s="40"/>
      <c r="BP1363" s="155"/>
      <c r="BQ1363" s="314"/>
      <c r="BR1363" s="314"/>
      <c r="BS1363" s="314"/>
      <c r="BT1363" s="314"/>
      <c r="BU1363" s="314"/>
      <c r="BV1363" s="314"/>
      <c r="BW1363" s="314"/>
      <c r="BX1363" s="155"/>
    </row>
    <row r="1364" spans="1:76" ht="15.75" customHeight="1">
      <c r="A1364" s="25"/>
      <c r="B1364" s="39"/>
      <c r="C1364" s="155"/>
      <c r="D1364" s="155"/>
      <c r="E1364" s="40"/>
      <c r="F1364" s="314"/>
      <c r="H1364" s="315"/>
      <c r="I1364" s="315"/>
      <c r="BA1364" s="30"/>
      <c r="BB1364" s="155"/>
      <c r="BC1364" s="314"/>
      <c r="BD1364" s="314"/>
      <c r="BE1364" s="314"/>
      <c r="BF1364" s="314"/>
      <c r="BG1364" s="314"/>
      <c r="BH1364" s="314"/>
      <c r="BI1364" s="314"/>
      <c r="BJ1364" s="314"/>
      <c r="BK1364" s="40"/>
      <c r="BL1364" s="40"/>
      <c r="BM1364" s="40"/>
      <c r="BN1364" s="40"/>
      <c r="BO1364" s="40"/>
      <c r="BP1364" s="155"/>
      <c r="BQ1364" s="314"/>
      <c r="BR1364" s="314"/>
      <c r="BS1364" s="314"/>
      <c r="BT1364" s="314"/>
      <c r="BU1364" s="314"/>
      <c r="BV1364" s="314"/>
      <c r="BW1364" s="314"/>
      <c r="BX1364" s="155"/>
    </row>
    <row r="1365" spans="1:76" ht="15.75" customHeight="1">
      <c r="A1365" s="25"/>
      <c r="B1365" s="39"/>
      <c r="C1365" s="155"/>
      <c r="D1365" s="155"/>
      <c r="E1365" s="40"/>
      <c r="F1365" s="314"/>
      <c r="H1365" s="315"/>
      <c r="I1365" s="315"/>
      <c r="BA1365" s="30"/>
      <c r="BB1365" s="155"/>
      <c r="BC1365" s="314"/>
      <c r="BD1365" s="314"/>
      <c r="BE1365" s="314"/>
      <c r="BF1365" s="314"/>
      <c r="BG1365" s="314"/>
      <c r="BH1365" s="314"/>
      <c r="BI1365" s="314"/>
      <c r="BJ1365" s="314"/>
      <c r="BK1365" s="40"/>
      <c r="BL1365" s="40"/>
      <c r="BM1365" s="40"/>
      <c r="BN1365" s="40"/>
      <c r="BO1365" s="40"/>
      <c r="BP1365" s="155"/>
      <c r="BQ1365" s="314"/>
      <c r="BR1365" s="314"/>
      <c r="BS1365" s="314"/>
      <c r="BT1365" s="314"/>
      <c r="BU1365" s="314"/>
      <c r="BV1365" s="314"/>
      <c r="BW1365" s="314"/>
      <c r="BX1365" s="155"/>
    </row>
    <row r="1366" spans="1:76" ht="15.75" customHeight="1">
      <c r="A1366" s="25"/>
      <c r="B1366" s="39"/>
      <c r="C1366" s="155"/>
      <c r="D1366" s="155"/>
      <c r="E1366" s="341"/>
      <c r="F1366" s="314"/>
      <c r="H1366" s="315"/>
      <c r="I1366" s="315"/>
      <c r="BA1366" s="30"/>
      <c r="BB1366" s="321"/>
      <c r="BC1366" s="314"/>
      <c r="BD1366" s="314"/>
      <c r="BE1366" s="314"/>
      <c r="BF1366" s="314"/>
      <c r="BG1366" s="314"/>
      <c r="BH1366" s="314"/>
      <c r="BI1366" s="314"/>
      <c r="BJ1366" s="314"/>
      <c r="BK1366" s="40"/>
      <c r="BL1366" s="40"/>
      <c r="BM1366" s="40"/>
      <c r="BN1366" s="40"/>
      <c r="BO1366" s="40"/>
      <c r="BP1366" s="155"/>
      <c r="BQ1366" s="314"/>
      <c r="BR1366" s="314"/>
      <c r="BS1366" s="314"/>
      <c r="BT1366" s="314"/>
      <c r="BU1366" s="314"/>
      <c r="BV1366" s="314"/>
      <c r="BW1366" s="314"/>
      <c r="BX1366" s="155"/>
    </row>
    <row r="1367" spans="1:76" ht="15.75" customHeight="1">
      <c r="A1367" s="25"/>
      <c r="B1367" s="39"/>
      <c r="C1367" s="155"/>
      <c r="D1367" s="155"/>
      <c r="E1367" s="40"/>
      <c r="F1367" s="314"/>
      <c r="H1367" s="315"/>
      <c r="I1367" s="315"/>
      <c r="BA1367" s="30"/>
      <c r="BB1367" s="155"/>
      <c r="BC1367" s="314"/>
      <c r="BD1367" s="314"/>
      <c r="BE1367" s="314"/>
      <c r="BF1367" s="314"/>
      <c r="BG1367" s="314"/>
      <c r="BH1367" s="314"/>
      <c r="BI1367" s="314"/>
      <c r="BJ1367" s="314"/>
      <c r="BK1367" s="40"/>
      <c r="BL1367" s="40"/>
      <c r="BM1367" s="40"/>
      <c r="BN1367" s="40"/>
      <c r="BO1367" s="40"/>
      <c r="BP1367" s="155"/>
      <c r="BQ1367" s="314"/>
      <c r="BR1367" s="314"/>
      <c r="BS1367" s="314"/>
      <c r="BT1367" s="314"/>
      <c r="BU1367" s="314"/>
      <c r="BV1367" s="314"/>
      <c r="BW1367" s="314"/>
      <c r="BX1367" s="155"/>
    </row>
    <row r="1368" spans="1:76" ht="15.75" customHeight="1">
      <c r="A1368" s="25"/>
      <c r="B1368" s="39"/>
      <c r="C1368" s="155"/>
      <c r="D1368" s="155"/>
      <c r="E1368" s="40"/>
      <c r="F1368" s="314"/>
      <c r="H1368" s="315"/>
      <c r="I1368" s="315"/>
      <c r="BA1368" s="30"/>
      <c r="BB1368" s="155"/>
      <c r="BC1368" s="314"/>
      <c r="BD1368" s="314"/>
      <c r="BE1368" s="314"/>
      <c r="BF1368" s="314"/>
      <c r="BG1368" s="314"/>
      <c r="BH1368" s="314"/>
      <c r="BI1368" s="314"/>
      <c r="BJ1368" s="314"/>
      <c r="BK1368" s="40"/>
      <c r="BL1368" s="40"/>
      <c r="BM1368" s="40"/>
      <c r="BN1368" s="40"/>
      <c r="BO1368" s="40"/>
      <c r="BP1368" s="155"/>
      <c r="BQ1368" s="314"/>
      <c r="BR1368" s="314"/>
      <c r="BS1368" s="314"/>
      <c r="BT1368" s="314"/>
      <c r="BU1368" s="314"/>
      <c r="BV1368" s="314"/>
      <c r="BW1368" s="314"/>
      <c r="BX1368" s="155"/>
    </row>
    <row r="1369" spans="1:76" ht="15.75" customHeight="1">
      <c r="A1369" s="25"/>
      <c r="B1369" s="39"/>
      <c r="C1369" s="155"/>
      <c r="D1369" s="155"/>
      <c r="E1369" s="40"/>
      <c r="F1369" s="314"/>
      <c r="H1369" s="315"/>
      <c r="I1369" s="315"/>
      <c r="BA1369" s="30"/>
      <c r="BB1369" s="155"/>
      <c r="BC1369" s="322"/>
      <c r="BD1369" s="322"/>
      <c r="BE1369" s="322"/>
      <c r="BF1369" s="322"/>
      <c r="BG1369" s="322"/>
      <c r="BH1369" s="322"/>
      <c r="BI1369" s="322"/>
      <c r="BJ1369" s="322"/>
      <c r="BK1369" s="341"/>
      <c r="BL1369" s="40"/>
      <c r="BM1369" s="40"/>
      <c r="BN1369" s="40"/>
      <c r="BO1369" s="40"/>
      <c r="BP1369" s="155"/>
      <c r="BQ1369" s="314"/>
      <c r="BR1369" s="314"/>
      <c r="BS1369" s="314"/>
      <c r="BT1369" s="314"/>
      <c r="BU1369" s="314"/>
      <c r="BV1369" s="314"/>
      <c r="BW1369" s="314"/>
      <c r="BX1369" s="155"/>
    </row>
    <row r="1370" spans="1:76" ht="15.75" customHeight="1">
      <c r="A1370" s="25"/>
      <c r="B1370" s="39"/>
      <c r="C1370" s="155"/>
      <c r="D1370" s="155"/>
      <c r="E1370" s="40"/>
      <c r="F1370" s="314"/>
      <c r="H1370" s="315"/>
      <c r="I1370" s="315"/>
      <c r="BA1370" s="30"/>
      <c r="BB1370" s="155"/>
      <c r="BC1370" s="314"/>
      <c r="BD1370" s="314"/>
      <c r="BE1370" s="314"/>
      <c r="BF1370" s="314"/>
      <c r="BG1370" s="314"/>
      <c r="BH1370" s="314"/>
      <c r="BI1370" s="314"/>
      <c r="BJ1370" s="314"/>
      <c r="BK1370" s="40"/>
      <c r="BL1370" s="40"/>
      <c r="BM1370" s="40"/>
      <c r="BN1370" s="40"/>
      <c r="BO1370" s="40"/>
      <c r="BP1370" s="155"/>
      <c r="BQ1370" s="314"/>
      <c r="BR1370" s="314"/>
      <c r="BS1370" s="314"/>
      <c r="BT1370" s="314"/>
      <c r="BU1370" s="314"/>
      <c r="BV1370" s="314"/>
      <c r="BW1370" s="314"/>
      <c r="BX1370" s="155"/>
    </row>
    <row r="1371" spans="1:76" ht="15.75" customHeight="1">
      <c r="A1371" s="25"/>
      <c r="B1371" s="39"/>
      <c r="C1371" s="155"/>
      <c r="D1371" s="155"/>
      <c r="E1371" s="40"/>
      <c r="F1371" s="314"/>
      <c r="H1371" s="315"/>
      <c r="I1371" s="315"/>
      <c r="BA1371" s="30"/>
      <c r="BB1371" s="155"/>
      <c r="BC1371" s="314"/>
      <c r="BD1371" s="314"/>
      <c r="BE1371" s="314"/>
      <c r="BF1371" s="314"/>
      <c r="BG1371" s="314"/>
      <c r="BH1371" s="314"/>
      <c r="BI1371" s="314"/>
      <c r="BJ1371" s="314"/>
      <c r="BK1371" s="40"/>
      <c r="BL1371" s="40"/>
      <c r="BM1371" s="40"/>
      <c r="BN1371" s="40"/>
      <c r="BO1371" s="40"/>
      <c r="BP1371" s="155"/>
      <c r="BQ1371" s="314"/>
      <c r="BR1371" s="314"/>
      <c r="BS1371" s="314"/>
      <c r="BT1371" s="314"/>
      <c r="BU1371" s="314"/>
      <c r="BV1371" s="314"/>
      <c r="BW1371" s="314"/>
      <c r="BX1371" s="155"/>
    </row>
    <row r="1372" spans="1:76" ht="15.75" customHeight="1">
      <c r="A1372" s="25"/>
      <c r="B1372" s="39"/>
      <c r="C1372" s="155"/>
      <c r="D1372" s="155"/>
      <c r="E1372" s="40"/>
      <c r="F1372" s="314"/>
      <c r="H1372" s="315"/>
      <c r="I1372" s="315"/>
      <c r="BA1372" s="30"/>
      <c r="BB1372" s="155"/>
      <c r="BC1372" s="314"/>
      <c r="BD1372" s="314"/>
      <c r="BE1372" s="314"/>
      <c r="BF1372" s="314"/>
      <c r="BG1372" s="314"/>
      <c r="BH1372" s="314"/>
      <c r="BI1372" s="314"/>
      <c r="BJ1372" s="314"/>
      <c r="BK1372" s="40"/>
      <c r="BL1372" s="40"/>
      <c r="BM1372" s="40"/>
      <c r="BN1372" s="40"/>
      <c r="BO1372" s="40"/>
      <c r="BP1372" s="155"/>
      <c r="BQ1372" s="314"/>
      <c r="BR1372" s="314"/>
      <c r="BS1372" s="314"/>
      <c r="BT1372" s="314"/>
      <c r="BU1372" s="314"/>
      <c r="BV1372" s="314"/>
      <c r="BW1372" s="314"/>
      <c r="BX1372" s="155"/>
    </row>
    <row r="1373" spans="1:76" ht="15.75" customHeight="1">
      <c r="A1373" s="25"/>
      <c r="B1373" s="39"/>
      <c r="C1373" s="155"/>
      <c r="D1373" s="155"/>
      <c r="E1373" s="40"/>
      <c r="F1373" s="314"/>
      <c r="H1373" s="315"/>
      <c r="I1373" s="315"/>
      <c r="BA1373" s="30"/>
      <c r="BB1373" s="155"/>
      <c r="BC1373" s="314"/>
      <c r="BD1373" s="314"/>
      <c r="BE1373" s="314"/>
      <c r="BF1373" s="314"/>
      <c r="BG1373" s="314"/>
      <c r="BH1373" s="314"/>
      <c r="BI1373" s="314"/>
      <c r="BJ1373" s="314"/>
      <c r="BK1373" s="40"/>
      <c r="BL1373" s="40"/>
      <c r="BM1373" s="40"/>
      <c r="BN1373" s="40"/>
      <c r="BO1373" s="40"/>
      <c r="BP1373" s="155"/>
      <c r="BQ1373" s="314"/>
      <c r="BR1373" s="314"/>
      <c r="BS1373" s="314"/>
      <c r="BT1373" s="314"/>
      <c r="BU1373" s="314"/>
      <c r="BV1373" s="314"/>
      <c r="BW1373" s="314"/>
      <c r="BX1373" s="155"/>
    </row>
    <row r="1374" spans="1:76" ht="15.75" customHeight="1">
      <c r="A1374" s="25"/>
      <c r="B1374" s="39"/>
      <c r="C1374" s="155"/>
      <c r="D1374" s="155"/>
      <c r="E1374" s="40"/>
      <c r="F1374" s="314"/>
      <c r="H1374" s="315"/>
      <c r="I1374" s="315"/>
      <c r="BA1374" s="30"/>
      <c r="BB1374" s="155"/>
      <c r="BC1374" s="314"/>
      <c r="BD1374" s="314"/>
      <c r="BE1374" s="314"/>
      <c r="BF1374" s="314"/>
      <c r="BG1374" s="314"/>
      <c r="BH1374" s="314"/>
      <c r="BI1374" s="314"/>
      <c r="BJ1374" s="314"/>
      <c r="BK1374" s="40"/>
      <c r="BL1374" s="40"/>
      <c r="BM1374" s="40"/>
      <c r="BN1374" s="40"/>
      <c r="BO1374" s="40"/>
      <c r="BP1374" s="155"/>
      <c r="BQ1374" s="314"/>
      <c r="BR1374" s="314"/>
      <c r="BS1374" s="314"/>
      <c r="BT1374" s="314"/>
      <c r="BU1374" s="314"/>
      <c r="BV1374" s="314"/>
      <c r="BW1374" s="314"/>
      <c r="BX1374" s="155"/>
    </row>
    <row r="1375" spans="1:76" ht="15.75" customHeight="1">
      <c r="A1375" s="25"/>
      <c r="B1375" s="39"/>
      <c r="C1375" s="155"/>
      <c r="D1375" s="155"/>
      <c r="E1375" s="40"/>
      <c r="F1375" s="314"/>
      <c r="H1375" s="315"/>
      <c r="I1375" s="315"/>
      <c r="BA1375" s="30"/>
      <c r="BB1375" s="155"/>
      <c r="BC1375" s="314"/>
      <c r="BD1375" s="314"/>
      <c r="BE1375" s="314"/>
      <c r="BF1375" s="314"/>
      <c r="BG1375" s="314"/>
      <c r="BH1375" s="314"/>
      <c r="BI1375" s="314"/>
      <c r="BJ1375" s="314"/>
      <c r="BK1375" s="40"/>
      <c r="BL1375" s="40"/>
      <c r="BM1375" s="40"/>
      <c r="BN1375" s="40"/>
      <c r="BO1375" s="40"/>
      <c r="BP1375" s="155"/>
      <c r="BQ1375" s="314"/>
      <c r="BR1375" s="314"/>
      <c r="BS1375" s="314"/>
      <c r="BT1375" s="314"/>
      <c r="BU1375" s="314"/>
      <c r="BV1375" s="314"/>
      <c r="BW1375" s="314"/>
      <c r="BX1375" s="155"/>
    </row>
    <row r="1376" spans="1:76" ht="15.75" customHeight="1">
      <c r="A1376" s="25"/>
      <c r="B1376" s="39"/>
      <c r="C1376" s="155"/>
      <c r="D1376" s="155"/>
      <c r="E1376" s="40"/>
      <c r="F1376" s="314"/>
      <c r="H1376" s="315"/>
      <c r="I1376" s="315"/>
      <c r="BA1376" s="30"/>
      <c r="BB1376" s="155"/>
      <c r="BC1376" s="314"/>
      <c r="BD1376" s="314"/>
      <c r="BE1376" s="314"/>
      <c r="BF1376" s="314"/>
      <c r="BG1376" s="314"/>
      <c r="BH1376" s="314"/>
      <c r="BI1376" s="314"/>
      <c r="BJ1376" s="314"/>
      <c r="BK1376" s="40"/>
      <c r="BL1376" s="40"/>
      <c r="BM1376" s="40"/>
      <c r="BN1376" s="40"/>
      <c r="BO1376" s="40"/>
      <c r="BP1376" s="155"/>
      <c r="BQ1376" s="314"/>
      <c r="BR1376" s="314"/>
      <c r="BS1376" s="314"/>
      <c r="BT1376" s="314"/>
      <c r="BU1376" s="314"/>
      <c r="BV1376" s="314"/>
      <c r="BW1376" s="314"/>
      <c r="BX1376" s="155"/>
    </row>
    <row r="1377" spans="1:76" ht="15.75" customHeight="1">
      <c r="A1377" s="25"/>
      <c r="B1377" s="39"/>
      <c r="C1377" s="155"/>
      <c r="D1377" s="155"/>
      <c r="E1377" s="40"/>
      <c r="F1377" s="314"/>
      <c r="H1377" s="315"/>
      <c r="I1377" s="315"/>
      <c r="BA1377" s="30"/>
      <c r="BB1377" s="155"/>
      <c r="BC1377" s="314"/>
      <c r="BD1377" s="314"/>
      <c r="BE1377" s="314"/>
      <c r="BF1377" s="314"/>
      <c r="BG1377" s="314"/>
      <c r="BH1377" s="314"/>
      <c r="BI1377" s="314"/>
      <c r="BJ1377" s="314"/>
      <c r="BK1377" s="40"/>
      <c r="BL1377" s="40"/>
      <c r="BM1377" s="40"/>
      <c r="BN1377" s="40"/>
      <c r="BO1377" s="40"/>
      <c r="BP1377" s="155"/>
      <c r="BQ1377" s="314"/>
      <c r="BR1377" s="314"/>
      <c r="BS1377" s="314"/>
      <c r="BT1377" s="314"/>
      <c r="BU1377" s="314"/>
      <c r="BV1377" s="314"/>
      <c r="BW1377" s="314"/>
      <c r="BX1377" s="155"/>
    </row>
    <row r="1378" spans="1:76" ht="15.75" customHeight="1">
      <c r="A1378" s="25"/>
      <c r="B1378" s="39"/>
      <c r="C1378" s="155"/>
      <c r="D1378" s="155"/>
      <c r="E1378" s="40"/>
      <c r="F1378" s="314"/>
      <c r="H1378" s="315"/>
      <c r="I1378" s="315"/>
      <c r="BA1378" s="30"/>
      <c r="BB1378" s="155"/>
      <c r="BC1378" s="314"/>
      <c r="BD1378" s="314"/>
      <c r="BE1378" s="314"/>
      <c r="BF1378" s="314"/>
      <c r="BG1378" s="314"/>
      <c r="BH1378" s="314"/>
      <c r="BI1378" s="314"/>
      <c r="BJ1378" s="314"/>
      <c r="BK1378" s="40"/>
      <c r="BL1378" s="40"/>
      <c r="BM1378" s="40"/>
      <c r="BN1378" s="40"/>
      <c r="BO1378" s="40"/>
      <c r="BP1378" s="155"/>
      <c r="BQ1378" s="314"/>
      <c r="BR1378" s="314"/>
      <c r="BS1378" s="314"/>
      <c r="BT1378" s="314"/>
      <c r="BU1378" s="314"/>
      <c r="BV1378" s="314"/>
      <c r="BW1378" s="314"/>
      <c r="BX1378" s="155"/>
    </row>
    <row r="1379" spans="1:76" ht="15.75" customHeight="1">
      <c r="A1379" s="25"/>
      <c r="B1379" s="39"/>
      <c r="C1379" s="155"/>
      <c r="D1379" s="155"/>
      <c r="E1379" s="40"/>
      <c r="F1379" s="314"/>
      <c r="H1379" s="315"/>
      <c r="I1379" s="315"/>
      <c r="BA1379" s="30"/>
      <c r="BB1379" s="155"/>
      <c r="BC1379" s="314"/>
      <c r="BD1379" s="314"/>
      <c r="BE1379" s="314"/>
      <c r="BF1379" s="314"/>
      <c r="BG1379" s="314"/>
      <c r="BH1379" s="314"/>
      <c r="BI1379" s="314"/>
      <c r="BJ1379" s="314"/>
      <c r="BK1379" s="40"/>
      <c r="BL1379" s="40"/>
      <c r="BM1379" s="40"/>
      <c r="BN1379" s="40"/>
      <c r="BO1379" s="40"/>
      <c r="BP1379" s="155"/>
      <c r="BQ1379" s="314"/>
      <c r="BR1379" s="314"/>
      <c r="BS1379" s="314"/>
      <c r="BT1379" s="314"/>
      <c r="BU1379" s="314"/>
      <c r="BV1379" s="314"/>
      <c r="BW1379" s="314"/>
      <c r="BX1379" s="155"/>
    </row>
    <row r="1380" spans="1:76" ht="15.75" customHeight="1">
      <c r="A1380" s="25"/>
      <c r="B1380" s="39"/>
      <c r="C1380" s="155"/>
      <c r="D1380" s="155"/>
      <c r="E1380" s="40"/>
      <c r="F1380" s="314"/>
      <c r="H1380" s="315"/>
      <c r="I1380" s="315"/>
      <c r="BA1380" s="30"/>
      <c r="BB1380" s="155"/>
      <c r="BC1380" s="314"/>
      <c r="BD1380" s="314"/>
      <c r="BE1380" s="314"/>
      <c r="BF1380" s="314"/>
      <c r="BG1380" s="314"/>
      <c r="BH1380" s="314"/>
      <c r="BI1380" s="314"/>
      <c r="BJ1380" s="314"/>
      <c r="BK1380" s="40"/>
      <c r="BL1380" s="40"/>
      <c r="BM1380" s="40"/>
      <c r="BN1380" s="40"/>
      <c r="BO1380" s="40"/>
      <c r="BP1380" s="155"/>
      <c r="BQ1380" s="314"/>
      <c r="BR1380" s="314"/>
      <c r="BS1380" s="314"/>
      <c r="BT1380" s="314"/>
      <c r="BU1380" s="314"/>
      <c r="BV1380" s="314"/>
      <c r="BW1380" s="314"/>
      <c r="BX1380" s="155"/>
    </row>
    <row r="1381" spans="1:76" ht="15.75" customHeight="1">
      <c r="A1381" s="25"/>
      <c r="B1381" s="39"/>
      <c r="C1381" s="155"/>
      <c r="D1381" s="155"/>
      <c r="E1381" s="40"/>
      <c r="F1381" s="314"/>
      <c r="H1381" s="315"/>
      <c r="I1381" s="315"/>
      <c r="BA1381" s="30"/>
      <c r="BB1381" s="155"/>
      <c r="BC1381" s="314"/>
      <c r="BD1381" s="314"/>
      <c r="BE1381" s="314"/>
      <c r="BF1381" s="314"/>
      <c r="BG1381" s="314"/>
      <c r="BH1381" s="314"/>
      <c r="BI1381" s="314"/>
      <c r="BJ1381" s="314"/>
      <c r="BK1381" s="40"/>
      <c r="BL1381" s="40"/>
      <c r="BM1381" s="40"/>
      <c r="BN1381" s="40"/>
      <c r="BO1381" s="40"/>
      <c r="BP1381" s="155"/>
      <c r="BQ1381" s="314"/>
      <c r="BR1381" s="314"/>
      <c r="BS1381" s="314"/>
      <c r="BT1381" s="314"/>
      <c r="BU1381" s="314"/>
      <c r="BV1381" s="314"/>
      <c r="BW1381" s="314"/>
      <c r="BX1381" s="155"/>
    </row>
    <row r="1382" spans="1:76" ht="15.75" customHeight="1">
      <c r="A1382" s="25"/>
      <c r="B1382" s="39"/>
      <c r="C1382" s="155"/>
      <c r="D1382" s="155"/>
      <c r="E1382" s="40"/>
      <c r="F1382" s="314"/>
      <c r="H1382" s="315"/>
      <c r="I1382" s="315"/>
      <c r="BA1382" s="30"/>
      <c r="BB1382" s="155"/>
      <c r="BC1382" s="314"/>
      <c r="BD1382" s="314"/>
      <c r="BE1382" s="314"/>
      <c r="BF1382" s="314"/>
      <c r="BG1382" s="314"/>
      <c r="BH1382" s="314"/>
      <c r="BI1382" s="314"/>
      <c r="BJ1382" s="314"/>
      <c r="BK1382" s="40"/>
      <c r="BL1382" s="40"/>
      <c r="BM1382" s="40"/>
      <c r="BN1382" s="40"/>
      <c r="BO1382" s="40"/>
      <c r="BP1382" s="155"/>
      <c r="BQ1382" s="314"/>
      <c r="BR1382" s="314"/>
      <c r="BS1382" s="314"/>
      <c r="BT1382" s="314"/>
      <c r="BU1382" s="314"/>
      <c r="BV1382" s="314"/>
      <c r="BW1382" s="314"/>
      <c r="BX1382" s="155"/>
    </row>
    <row r="1383" spans="1:76" ht="15.75" customHeight="1">
      <c r="A1383" s="25"/>
      <c r="B1383" s="39"/>
      <c r="C1383" s="155"/>
      <c r="D1383" s="155"/>
      <c r="E1383" s="40"/>
      <c r="F1383" s="314"/>
      <c r="H1383" s="315"/>
      <c r="I1383" s="315"/>
      <c r="BA1383" s="30"/>
      <c r="BB1383" s="155"/>
      <c r="BC1383" s="314"/>
      <c r="BD1383" s="314"/>
      <c r="BE1383" s="314"/>
      <c r="BF1383" s="314"/>
      <c r="BG1383" s="314"/>
      <c r="BH1383" s="314"/>
      <c r="BI1383" s="314"/>
      <c r="BJ1383" s="314"/>
      <c r="BK1383" s="40"/>
      <c r="BL1383" s="40"/>
      <c r="BM1383" s="40"/>
      <c r="BN1383" s="40"/>
      <c r="BO1383" s="40"/>
      <c r="BP1383" s="155"/>
      <c r="BQ1383" s="314"/>
      <c r="BR1383" s="314"/>
      <c r="BS1383" s="314"/>
      <c r="BT1383" s="314"/>
      <c r="BU1383" s="314"/>
      <c r="BV1383" s="314"/>
      <c r="BW1383" s="314"/>
      <c r="BX1383" s="155"/>
    </row>
    <row r="1384" spans="1:76" ht="15.75" customHeight="1">
      <c r="A1384" s="25"/>
      <c r="B1384" s="39"/>
      <c r="C1384" s="155"/>
      <c r="D1384" s="155"/>
      <c r="E1384" s="40"/>
      <c r="F1384" s="314"/>
      <c r="H1384" s="315"/>
      <c r="I1384" s="315"/>
      <c r="BA1384" s="30"/>
      <c r="BB1384" s="155"/>
      <c r="BC1384" s="314"/>
      <c r="BD1384" s="314"/>
      <c r="BE1384" s="314"/>
      <c r="BF1384" s="314"/>
      <c r="BG1384" s="314"/>
      <c r="BH1384" s="314"/>
      <c r="BI1384" s="314"/>
      <c r="BJ1384" s="314"/>
      <c r="BK1384" s="40"/>
      <c r="BL1384" s="40"/>
      <c r="BM1384" s="40"/>
      <c r="BN1384" s="40"/>
      <c r="BO1384" s="40"/>
      <c r="BP1384" s="155"/>
      <c r="BQ1384" s="314"/>
      <c r="BR1384" s="314"/>
      <c r="BS1384" s="314"/>
      <c r="BT1384" s="314"/>
      <c r="BU1384" s="314"/>
      <c r="BV1384" s="314"/>
      <c r="BW1384" s="314"/>
      <c r="BX1384" s="155"/>
    </row>
    <row r="1385" spans="1:76" ht="15.75" customHeight="1">
      <c r="A1385" s="25"/>
      <c r="B1385" s="39"/>
      <c r="C1385" s="155"/>
      <c r="D1385" s="155"/>
      <c r="E1385" s="40"/>
      <c r="F1385" s="314"/>
      <c r="H1385" s="315"/>
      <c r="I1385" s="315"/>
      <c r="BA1385" s="30"/>
      <c r="BB1385" s="155"/>
      <c r="BC1385" s="314"/>
      <c r="BD1385" s="314"/>
      <c r="BE1385" s="314"/>
      <c r="BF1385" s="314"/>
      <c r="BG1385" s="314"/>
      <c r="BH1385" s="314"/>
      <c r="BI1385" s="314"/>
      <c r="BJ1385" s="314"/>
      <c r="BK1385" s="40"/>
      <c r="BL1385" s="40"/>
      <c r="BM1385" s="40"/>
      <c r="BN1385" s="40"/>
      <c r="BO1385" s="40"/>
      <c r="BP1385" s="155"/>
      <c r="BQ1385" s="314"/>
      <c r="BR1385" s="314"/>
      <c r="BS1385" s="314"/>
      <c r="BT1385" s="314"/>
      <c r="BU1385" s="314"/>
      <c r="BV1385" s="314"/>
      <c r="BW1385" s="314"/>
      <c r="BX1385" s="155"/>
    </row>
    <row r="1386" spans="1:76" ht="15.75" customHeight="1">
      <c r="A1386" s="25"/>
      <c r="B1386" s="39"/>
      <c r="C1386" s="155"/>
      <c r="D1386" s="155"/>
      <c r="E1386" s="40"/>
      <c r="F1386" s="314"/>
      <c r="H1386" s="315"/>
      <c r="I1386" s="315"/>
      <c r="BA1386" s="30"/>
      <c r="BB1386" s="155"/>
      <c r="BC1386" s="314"/>
      <c r="BD1386" s="314"/>
      <c r="BE1386" s="314"/>
      <c r="BF1386" s="314"/>
      <c r="BG1386" s="314"/>
      <c r="BH1386" s="314"/>
      <c r="BI1386" s="314"/>
      <c r="BJ1386" s="314"/>
      <c r="BK1386" s="40"/>
      <c r="BL1386" s="40"/>
      <c r="BM1386" s="40"/>
      <c r="BN1386" s="40"/>
      <c r="BO1386" s="40"/>
      <c r="BP1386" s="155"/>
      <c r="BQ1386" s="314"/>
      <c r="BR1386" s="314"/>
      <c r="BS1386" s="314"/>
      <c r="BT1386" s="314"/>
      <c r="BU1386" s="314"/>
      <c r="BV1386" s="314"/>
      <c r="BW1386" s="314"/>
      <c r="BX1386" s="155"/>
    </row>
    <row r="1387" spans="1:76" ht="15.75" customHeight="1">
      <c r="A1387" s="25"/>
      <c r="B1387" s="39"/>
      <c r="C1387" s="155"/>
      <c r="D1387" s="155"/>
      <c r="E1387" s="40"/>
      <c r="F1387" s="314"/>
      <c r="H1387" s="315"/>
      <c r="I1387" s="315"/>
      <c r="BA1387" s="30"/>
      <c r="BB1387" s="155"/>
      <c r="BC1387" s="314"/>
      <c r="BD1387" s="314"/>
      <c r="BE1387" s="314"/>
      <c r="BF1387" s="314"/>
      <c r="BG1387" s="314"/>
      <c r="BH1387" s="314"/>
      <c r="BI1387" s="314"/>
      <c r="BJ1387" s="314"/>
      <c r="BK1387" s="40"/>
      <c r="BL1387" s="40"/>
      <c r="BM1387" s="40"/>
      <c r="BN1387" s="40"/>
      <c r="BO1387" s="40"/>
      <c r="BP1387" s="155"/>
      <c r="BQ1387" s="314"/>
      <c r="BR1387" s="314"/>
      <c r="BS1387" s="314"/>
      <c r="BT1387" s="314"/>
      <c r="BU1387" s="314"/>
      <c r="BV1387" s="314"/>
      <c r="BW1387" s="314"/>
      <c r="BX1387" s="155"/>
    </row>
    <row r="1388" spans="1:76" ht="15.75" customHeight="1">
      <c r="A1388" s="25"/>
      <c r="B1388" s="39"/>
      <c r="C1388" s="155"/>
      <c r="D1388" s="155"/>
      <c r="E1388" s="40"/>
      <c r="F1388" s="314"/>
      <c r="H1388" s="315"/>
      <c r="I1388" s="315"/>
      <c r="BA1388" s="30"/>
      <c r="BB1388" s="155"/>
      <c r="BC1388" s="314"/>
      <c r="BD1388" s="314"/>
      <c r="BE1388" s="314"/>
      <c r="BF1388" s="314"/>
      <c r="BG1388" s="314"/>
      <c r="BH1388" s="314"/>
      <c r="BI1388" s="314"/>
      <c r="BJ1388" s="314"/>
      <c r="BK1388" s="40"/>
      <c r="BL1388" s="40"/>
      <c r="BM1388" s="40"/>
      <c r="BN1388" s="40"/>
      <c r="BO1388" s="40"/>
      <c r="BP1388" s="155"/>
      <c r="BQ1388" s="314"/>
      <c r="BR1388" s="314"/>
      <c r="BS1388" s="314"/>
      <c r="BT1388" s="314"/>
      <c r="BU1388" s="314"/>
      <c r="BV1388" s="314"/>
      <c r="BW1388" s="314"/>
      <c r="BX1388" s="155"/>
    </row>
    <row r="1389" spans="1:76" ht="15.75" customHeight="1">
      <c r="A1389" s="25"/>
      <c r="B1389" s="39"/>
      <c r="C1389" s="155"/>
      <c r="D1389" s="155"/>
      <c r="E1389" s="40"/>
      <c r="F1389" s="314"/>
      <c r="H1389" s="315"/>
      <c r="I1389" s="315"/>
      <c r="BA1389" s="30"/>
      <c r="BB1389" s="155"/>
      <c r="BC1389" s="314"/>
      <c r="BD1389" s="314"/>
      <c r="BE1389" s="314"/>
      <c r="BF1389" s="314"/>
      <c r="BG1389" s="314"/>
      <c r="BH1389" s="314"/>
      <c r="BI1389" s="314"/>
      <c r="BJ1389" s="314"/>
      <c r="BK1389" s="40"/>
      <c r="BL1389" s="40"/>
      <c r="BM1389" s="40"/>
      <c r="BN1389" s="40"/>
      <c r="BO1389" s="40"/>
      <c r="BP1389" s="155"/>
      <c r="BQ1389" s="314"/>
      <c r="BR1389" s="314"/>
      <c r="BS1389" s="314"/>
      <c r="BT1389" s="314"/>
      <c r="BU1389" s="314"/>
      <c r="BV1389" s="314"/>
      <c r="BW1389" s="314"/>
      <c r="BX1389" s="155"/>
    </row>
    <row r="1390" spans="1:76" ht="15.75" customHeight="1">
      <c r="A1390" s="25"/>
      <c r="B1390" s="39"/>
      <c r="C1390" s="155"/>
      <c r="D1390" s="155"/>
      <c r="E1390" s="40"/>
      <c r="F1390" s="314"/>
      <c r="H1390" s="315"/>
      <c r="I1390" s="315"/>
      <c r="BA1390" s="30"/>
      <c r="BB1390" s="155"/>
      <c r="BC1390" s="314"/>
      <c r="BD1390" s="314"/>
      <c r="BE1390" s="314"/>
      <c r="BF1390" s="314"/>
      <c r="BG1390" s="314"/>
      <c r="BH1390" s="314"/>
      <c r="BI1390" s="314"/>
      <c r="BJ1390" s="314"/>
      <c r="BK1390" s="40"/>
      <c r="BL1390" s="40"/>
      <c r="BM1390" s="40"/>
      <c r="BN1390" s="40"/>
      <c r="BO1390" s="40"/>
      <c r="BP1390" s="155"/>
      <c r="BQ1390" s="314"/>
      <c r="BR1390" s="314"/>
      <c r="BS1390" s="314"/>
      <c r="BT1390" s="314"/>
      <c r="BU1390" s="314"/>
      <c r="BV1390" s="314"/>
      <c r="BW1390" s="314"/>
      <c r="BX1390" s="155"/>
    </row>
    <row r="1391" spans="1:76" ht="15.75" customHeight="1">
      <c r="A1391" s="25"/>
      <c r="B1391" s="39"/>
      <c r="C1391" s="155"/>
      <c r="D1391" s="155"/>
      <c r="E1391" s="40"/>
      <c r="F1391" s="314"/>
      <c r="H1391" s="315"/>
      <c r="I1391" s="315"/>
      <c r="BA1391" s="30"/>
      <c r="BB1391" s="155"/>
      <c r="BC1391" s="314"/>
      <c r="BD1391" s="314"/>
      <c r="BE1391" s="314"/>
      <c r="BF1391" s="314"/>
      <c r="BG1391" s="314"/>
      <c r="BH1391" s="314"/>
      <c r="BI1391" s="314"/>
      <c r="BJ1391" s="314"/>
      <c r="BK1391" s="40"/>
      <c r="BL1391" s="40"/>
      <c r="BM1391" s="40"/>
      <c r="BN1391" s="40"/>
      <c r="BO1391" s="40"/>
      <c r="BP1391" s="155"/>
      <c r="BQ1391" s="314"/>
      <c r="BR1391" s="314"/>
      <c r="BS1391" s="314"/>
      <c r="BT1391" s="314"/>
      <c r="BU1391" s="314"/>
      <c r="BV1391" s="314"/>
      <c r="BW1391" s="314"/>
      <c r="BX1391" s="155"/>
    </row>
    <row r="1392" spans="1:76" ht="15.75" customHeight="1">
      <c r="A1392" s="25"/>
      <c r="B1392" s="39"/>
      <c r="C1392" s="155"/>
      <c r="D1392" s="155"/>
      <c r="E1392" s="40"/>
      <c r="F1392" s="314"/>
      <c r="H1392" s="315"/>
      <c r="I1392" s="315"/>
      <c r="BA1392" s="30"/>
      <c r="BB1392" s="155"/>
      <c r="BC1392" s="314"/>
      <c r="BD1392" s="314"/>
      <c r="BE1392" s="314"/>
      <c r="BF1392" s="314"/>
      <c r="BG1392" s="314"/>
      <c r="BH1392" s="314"/>
      <c r="BI1392" s="314"/>
      <c r="BJ1392" s="314"/>
      <c r="BK1392" s="40"/>
      <c r="BL1392" s="40"/>
      <c r="BM1392" s="40"/>
      <c r="BN1392" s="40"/>
      <c r="BO1392" s="40"/>
      <c r="BP1392" s="155"/>
      <c r="BQ1392" s="314"/>
      <c r="BR1392" s="314"/>
      <c r="BS1392" s="314"/>
      <c r="BT1392" s="314"/>
      <c r="BU1392" s="314"/>
      <c r="BV1392" s="314"/>
      <c r="BW1392" s="314"/>
      <c r="BX1392" s="155"/>
    </row>
    <row r="1393" spans="1:76" ht="15.75" customHeight="1">
      <c r="A1393" s="25"/>
      <c r="B1393" s="39"/>
      <c r="C1393" s="155"/>
      <c r="D1393" s="155"/>
      <c r="E1393" s="40"/>
      <c r="F1393" s="314"/>
      <c r="H1393" s="315"/>
      <c r="I1393" s="315"/>
      <c r="BA1393" s="30"/>
      <c r="BB1393" s="155"/>
      <c r="BC1393" s="314"/>
      <c r="BD1393" s="314"/>
      <c r="BE1393" s="314"/>
      <c r="BF1393" s="314"/>
      <c r="BG1393" s="314"/>
      <c r="BH1393" s="314"/>
      <c r="BI1393" s="314"/>
      <c r="BJ1393" s="314"/>
      <c r="BK1393" s="40"/>
      <c r="BL1393" s="40"/>
      <c r="BM1393" s="40"/>
      <c r="BN1393" s="40"/>
      <c r="BO1393" s="40"/>
      <c r="BP1393" s="155"/>
      <c r="BQ1393" s="314"/>
      <c r="BR1393" s="314"/>
      <c r="BS1393" s="314"/>
      <c r="BT1393" s="314"/>
      <c r="BU1393" s="314"/>
      <c r="BV1393" s="314"/>
      <c r="BW1393" s="314"/>
      <c r="BX1393" s="155"/>
    </row>
    <row r="1394" spans="1:76" ht="15.75" customHeight="1">
      <c r="A1394" s="25"/>
      <c r="B1394" s="39"/>
      <c r="C1394" s="155"/>
      <c r="D1394" s="155"/>
      <c r="E1394" s="40"/>
      <c r="F1394" s="314"/>
      <c r="H1394" s="315"/>
      <c r="I1394" s="315"/>
      <c r="BA1394" s="30"/>
      <c r="BB1394" s="155"/>
      <c r="BC1394" s="314"/>
      <c r="BD1394" s="314"/>
      <c r="BE1394" s="314"/>
      <c r="BF1394" s="314"/>
      <c r="BG1394" s="314"/>
      <c r="BH1394" s="314"/>
      <c r="BI1394" s="314"/>
      <c r="BJ1394" s="314"/>
      <c r="BK1394" s="40"/>
      <c r="BL1394" s="40"/>
      <c r="BM1394" s="40"/>
      <c r="BN1394" s="40"/>
      <c r="BO1394" s="40"/>
      <c r="BP1394" s="155"/>
      <c r="BQ1394" s="314"/>
      <c r="BR1394" s="314"/>
      <c r="BS1394" s="314"/>
      <c r="BT1394" s="314"/>
      <c r="BU1394" s="314"/>
      <c r="BV1394" s="314"/>
      <c r="BW1394" s="314"/>
      <c r="BX1394" s="155"/>
    </row>
    <row r="1395" spans="1:76" ht="15.75" customHeight="1">
      <c r="A1395" s="25"/>
      <c r="B1395" s="39"/>
      <c r="C1395" s="155"/>
      <c r="D1395" s="155"/>
      <c r="E1395" s="40"/>
      <c r="F1395" s="314"/>
      <c r="H1395" s="315"/>
      <c r="I1395" s="315"/>
      <c r="BA1395" s="30"/>
      <c r="BB1395" s="155"/>
      <c r="BC1395" s="314"/>
      <c r="BD1395" s="314"/>
      <c r="BE1395" s="314"/>
      <c r="BF1395" s="314"/>
      <c r="BG1395" s="314"/>
      <c r="BH1395" s="314"/>
      <c r="BI1395" s="314"/>
      <c r="BJ1395" s="314"/>
      <c r="BK1395" s="40"/>
      <c r="BL1395" s="40"/>
      <c r="BM1395" s="40"/>
      <c r="BN1395" s="40"/>
      <c r="BO1395" s="40"/>
      <c r="BP1395" s="155"/>
      <c r="BQ1395" s="314"/>
      <c r="BR1395" s="314"/>
      <c r="BS1395" s="314"/>
      <c r="BT1395" s="314"/>
      <c r="BU1395" s="314"/>
      <c r="BV1395" s="314"/>
      <c r="BW1395" s="314"/>
      <c r="BX1395" s="155"/>
    </row>
    <row r="1396" spans="1:76" ht="15.75" customHeight="1">
      <c r="A1396" s="25"/>
      <c r="B1396" s="39"/>
      <c r="C1396" s="155"/>
      <c r="D1396" s="155"/>
      <c r="E1396" s="40"/>
      <c r="F1396" s="314"/>
      <c r="H1396" s="315"/>
      <c r="I1396" s="315"/>
      <c r="BA1396" s="30"/>
      <c r="BB1396" s="155"/>
      <c r="BC1396" s="314"/>
      <c r="BD1396" s="314"/>
      <c r="BE1396" s="314"/>
      <c r="BF1396" s="314"/>
      <c r="BG1396" s="314"/>
      <c r="BH1396" s="314"/>
      <c r="BI1396" s="314"/>
      <c r="BJ1396" s="314"/>
      <c r="BK1396" s="40"/>
      <c r="BL1396" s="40"/>
      <c r="BM1396" s="40"/>
      <c r="BN1396" s="40"/>
      <c r="BO1396" s="40"/>
      <c r="BP1396" s="155"/>
      <c r="BQ1396" s="314"/>
      <c r="BR1396" s="314"/>
      <c r="BS1396" s="314"/>
      <c r="BT1396" s="314"/>
      <c r="BU1396" s="314"/>
      <c r="BV1396" s="314"/>
      <c r="BW1396" s="314"/>
      <c r="BX1396" s="155"/>
    </row>
    <row r="1397" spans="1:76" ht="15.75" customHeight="1">
      <c r="A1397" s="25"/>
      <c r="B1397" s="39"/>
      <c r="C1397" s="155"/>
      <c r="D1397" s="155"/>
      <c r="E1397" s="40"/>
      <c r="F1397" s="314"/>
      <c r="H1397" s="315"/>
      <c r="I1397" s="315"/>
      <c r="BA1397" s="30"/>
      <c r="BB1397" s="155"/>
      <c r="BC1397" s="314"/>
      <c r="BD1397" s="314"/>
      <c r="BE1397" s="314"/>
      <c r="BF1397" s="314"/>
      <c r="BG1397" s="314"/>
      <c r="BH1397" s="314"/>
      <c r="BI1397" s="314"/>
      <c r="BJ1397" s="314"/>
      <c r="BK1397" s="40"/>
      <c r="BL1397" s="40"/>
      <c r="BM1397" s="40"/>
      <c r="BN1397" s="40"/>
      <c r="BO1397" s="40"/>
      <c r="BP1397" s="155"/>
      <c r="BQ1397" s="314"/>
      <c r="BR1397" s="314"/>
      <c r="BS1397" s="314"/>
      <c r="BT1397" s="314"/>
      <c r="BU1397" s="314"/>
      <c r="BV1397" s="314"/>
      <c r="BW1397" s="314"/>
      <c r="BX1397" s="155"/>
    </row>
    <row r="1398" spans="1:76" ht="15.75" customHeight="1">
      <c r="A1398" s="25"/>
      <c r="B1398" s="39"/>
      <c r="C1398" s="155"/>
      <c r="D1398" s="155"/>
      <c r="E1398" s="40"/>
      <c r="F1398" s="314"/>
      <c r="H1398" s="315"/>
      <c r="I1398" s="315"/>
      <c r="BA1398" s="30"/>
      <c r="BB1398" s="155"/>
      <c r="BC1398" s="314"/>
      <c r="BD1398" s="314"/>
      <c r="BE1398" s="314"/>
      <c r="BF1398" s="314"/>
      <c r="BG1398" s="314"/>
      <c r="BH1398" s="314"/>
      <c r="BI1398" s="314"/>
      <c r="BJ1398" s="314"/>
      <c r="BK1398" s="40"/>
      <c r="BL1398" s="40"/>
      <c r="BM1398" s="40"/>
      <c r="BN1398" s="40"/>
      <c r="BO1398" s="40"/>
      <c r="BP1398" s="155"/>
      <c r="BQ1398" s="314"/>
      <c r="BR1398" s="314"/>
      <c r="BS1398" s="314"/>
      <c r="BT1398" s="314"/>
      <c r="BU1398" s="314"/>
      <c r="BV1398" s="314"/>
      <c r="BW1398" s="314"/>
      <c r="BX1398" s="155"/>
    </row>
    <row r="1399" spans="1:76" ht="15.75" customHeight="1">
      <c r="A1399" s="25"/>
      <c r="B1399" s="39"/>
      <c r="C1399" s="155"/>
      <c r="D1399" s="155"/>
      <c r="E1399" s="40"/>
      <c r="F1399" s="314"/>
      <c r="H1399" s="315"/>
      <c r="I1399" s="315"/>
      <c r="BA1399" s="30"/>
      <c r="BB1399" s="155"/>
      <c r="BC1399" s="314"/>
      <c r="BD1399" s="314"/>
      <c r="BE1399" s="314"/>
      <c r="BF1399" s="314"/>
      <c r="BG1399" s="314"/>
      <c r="BH1399" s="314"/>
      <c r="BI1399" s="314"/>
      <c r="BJ1399" s="314"/>
      <c r="BK1399" s="40"/>
      <c r="BL1399" s="40"/>
      <c r="BM1399" s="40"/>
      <c r="BN1399" s="40"/>
      <c r="BO1399" s="40"/>
      <c r="BP1399" s="155"/>
      <c r="BQ1399" s="314"/>
      <c r="BR1399" s="314"/>
      <c r="BS1399" s="314"/>
      <c r="BT1399" s="314"/>
      <c r="BU1399" s="314"/>
      <c r="BV1399" s="314"/>
      <c r="BW1399" s="314"/>
      <c r="BX1399" s="155"/>
    </row>
    <row r="1400" spans="1:76" ht="15.75" customHeight="1">
      <c r="A1400" s="25"/>
      <c r="B1400" s="39"/>
      <c r="C1400" s="155"/>
      <c r="D1400" s="155"/>
      <c r="E1400" s="40"/>
      <c r="F1400" s="314"/>
      <c r="H1400" s="315"/>
      <c r="I1400" s="315"/>
      <c r="BA1400" s="30"/>
      <c r="BB1400" s="155"/>
      <c r="BC1400" s="314"/>
      <c r="BD1400" s="314"/>
      <c r="BE1400" s="314"/>
      <c r="BF1400" s="314"/>
      <c r="BG1400" s="314"/>
      <c r="BH1400" s="314"/>
      <c r="BI1400" s="314"/>
      <c r="BJ1400" s="314"/>
      <c r="BK1400" s="40"/>
      <c r="BL1400" s="40"/>
      <c r="BM1400" s="40"/>
      <c r="BN1400" s="40"/>
      <c r="BO1400" s="40"/>
      <c r="BP1400" s="155"/>
      <c r="BQ1400" s="314"/>
      <c r="BR1400" s="314"/>
      <c r="BS1400" s="314"/>
      <c r="BT1400" s="314"/>
      <c r="BU1400" s="314"/>
      <c r="BV1400" s="314"/>
      <c r="BW1400" s="314"/>
      <c r="BX1400" s="155"/>
    </row>
    <row r="1401" spans="1:76" ht="15.75" customHeight="1">
      <c r="A1401" s="25"/>
      <c r="B1401" s="39"/>
      <c r="C1401" s="155"/>
      <c r="D1401" s="155"/>
      <c r="E1401" s="40"/>
      <c r="F1401" s="314"/>
      <c r="H1401" s="315"/>
      <c r="I1401" s="315"/>
      <c r="BA1401" s="30"/>
      <c r="BB1401" s="155"/>
      <c r="BC1401" s="314"/>
      <c r="BD1401" s="314"/>
      <c r="BE1401" s="314"/>
      <c r="BF1401" s="314"/>
      <c r="BG1401" s="314"/>
      <c r="BH1401" s="314"/>
      <c r="BI1401" s="314"/>
      <c r="BJ1401" s="314"/>
      <c r="BK1401" s="40"/>
      <c r="BL1401" s="40"/>
      <c r="BM1401" s="40"/>
      <c r="BN1401" s="40"/>
      <c r="BO1401" s="40"/>
      <c r="BP1401" s="155"/>
      <c r="BQ1401" s="314"/>
      <c r="BR1401" s="314"/>
      <c r="BS1401" s="314"/>
      <c r="BT1401" s="314"/>
      <c r="BU1401" s="314"/>
      <c r="BV1401" s="314"/>
      <c r="BW1401" s="314"/>
      <c r="BX1401" s="155"/>
    </row>
    <row r="1402" spans="1:76" ht="15.75" customHeight="1">
      <c r="A1402" s="25"/>
      <c r="B1402" s="39"/>
      <c r="C1402" s="155"/>
      <c r="D1402" s="155"/>
      <c r="E1402" s="40"/>
      <c r="F1402" s="314"/>
      <c r="H1402" s="315"/>
      <c r="I1402" s="315"/>
      <c r="BA1402" s="30"/>
      <c r="BB1402" s="155"/>
      <c r="BC1402" s="314"/>
      <c r="BD1402" s="314"/>
      <c r="BE1402" s="314"/>
      <c r="BF1402" s="314"/>
      <c r="BG1402" s="314"/>
      <c r="BH1402" s="314"/>
      <c r="BI1402" s="314"/>
      <c r="BJ1402" s="314"/>
      <c r="BK1402" s="40"/>
      <c r="BL1402" s="40"/>
      <c r="BM1402" s="40"/>
      <c r="BN1402" s="40"/>
      <c r="BO1402" s="40"/>
      <c r="BP1402" s="155"/>
      <c r="BQ1402" s="314"/>
      <c r="BR1402" s="314"/>
      <c r="BS1402" s="314"/>
      <c r="BT1402" s="314"/>
      <c r="BU1402" s="314"/>
      <c r="BV1402" s="314"/>
      <c r="BW1402" s="314"/>
      <c r="BX1402" s="155"/>
    </row>
    <row r="1403" spans="1:76" ht="15.75" customHeight="1">
      <c r="A1403" s="25"/>
      <c r="B1403" s="39"/>
      <c r="C1403" s="155"/>
      <c r="D1403" s="155"/>
      <c r="E1403" s="40"/>
      <c r="F1403" s="314"/>
      <c r="H1403" s="315"/>
      <c r="I1403" s="315"/>
      <c r="BA1403" s="30"/>
      <c r="BB1403" s="155"/>
      <c r="BC1403" s="314"/>
      <c r="BD1403" s="314"/>
      <c r="BE1403" s="314"/>
      <c r="BF1403" s="314"/>
      <c r="BG1403" s="314"/>
      <c r="BH1403" s="314"/>
      <c r="BI1403" s="314"/>
      <c r="BJ1403" s="314"/>
      <c r="BK1403" s="40"/>
      <c r="BL1403" s="40"/>
      <c r="BM1403" s="40"/>
      <c r="BN1403" s="40"/>
      <c r="BO1403" s="40"/>
      <c r="BP1403" s="155"/>
      <c r="BQ1403" s="314"/>
      <c r="BR1403" s="314"/>
      <c r="BS1403" s="314"/>
      <c r="BT1403" s="314"/>
      <c r="BU1403" s="314"/>
      <c r="BV1403" s="314"/>
      <c r="BW1403" s="314"/>
      <c r="BX1403" s="155"/>
    </row>
    <row r="1404" spans="1:76" ht="15.75" customHeight="1">
      <c r="A1404" s="25"/>
      <c r="B1404" s="39"/>
      <c r="C1404" s="155"/>
      <c r="D1404" s="155"/>
      <c r="E1404" s="40"/>
      <c r="F1404" s="314"/>
      <c r="H1404" s="315"/>
      <c r="I1404" s="315"/>
      <c r="BA1404" s="30"/>
      <c r="BB1404" s="155"/>
      <c r="BC1404" s="314"/>
      <c r="BD1404" s="314"/>
      <c r="BE1404" s="314"/>
      <c r="BF1404" s="314"/>
      <c r="BG1404" s="314"/>
      <c r="BH1404" s="314"/>
      <c r="BI1404" s="314"/>
      <c r="BJ1404" s="314"/>
      <c r="BK1404" s="40"/>
      <c r="BL1404" s="40"/>
      <c r="BM1404" s="40"/>
      <c r="BN1404" s="40"/>
      <c r="BO1404" s="40"/>
      <c r="BP1404" s="155"/>
      <c r="BQ1404" s="314"/>
      <c r="BR1404" s="314"/>
      <c r="BS1404" s="314"/>
      <c r="BT1404" s="314"/>
      <c r="BU1404" s="314"/>
      <c r="BV1404" s="314"/>
      <c r="BW1404" s="314"/>
      <c r="BX1404" s="155"/>
    </row>
    <row r="1405" spans="1:76" ht="15.75" customHeight="1">
      <c r="A1405" s="25"/>
      <c r="B1405" s="39"/>
      <c r="C1405" s="155"/>
      <c r="D1405" s="155"/>
      <c r="E1405" s="40"/>
      <c r="F1405" s="314"/>
      <c r="H1405" s="315"/>
      <c r="I1405" s="315"/>
      <c r="BA1405" s="30"/>
      <c r="BB1405" s="155"/>
      <c r="BC1405" s="314"/>
      <c r="BD1405" s="314"/>
      <c r="BE1405" s="314"/>
      <c r="BF1405" s="314"/>
      <c r="BG1405" s="314"/>
      <c r="BH1405" s="314"/>
      <c r="BI1405" s="314"/>
      <c r="BJ1405" s="314"/>
      <c r="BK1405" s="40"/>
      <c r="BL1405" s="40"/>
      <c r="BM1405" s="40"/>
      <c r="BN1405" s="40"/>
      <c r="BO1405" s="40"/>
      <c r="BP1405" s="155"/>
      <c r="BQ1405" s="314"/>
      <c r="BR1405" s="314"/>
      <c r="BS1405" s="314"/>
      <c r="BT1405" s="314"/>
      <c r="BU1405" s="314"/>
      <c r="BV1405" s="314"/>
      <c r="BW1405" s="314"/>
      <c r="BX1405" s="155"/>
    </row>
    <row r="1406" spans="1:76" ht="15.75" customHeight="1">
      <c r="A1406" s="25"/>
      <c r="B1406" s="39"/>
      <c r="C1406" s="155"/>
      <c r="D1406" s="155"/>
      <c r="E1406" s="40"/>
      <c r="F1406" s="314"/>
      <c r="H1406" s="315"/>
      <c r="I1406" s="315"/>
      <c r="BA1406" s="30"/>
      <c r="BB1406" s="155"/>
      <c r="BC1406" s="314"/>
      <c r="BD1406" s="314"/>
      <c r="BE1406" s="314"/>
      <c r="BF1406" s="314"/>
      <c r="BG1406" s="314"/>
      <c r="BH1406" s="314"/>
      <c r="BI1406" s="314"/>
      <c r="BJ1406" s="314"/>
      <c r="BK1406" s="40"/>
      <c r="BL1406" s="40"/>
      <c r="BM1406" s="40"/>
      <c r="BN1406" s="40"/>
      <c r="BO1406" s="40"/>
      <c r="BP1406" s="155"/>
      <c r="BQ1406" s="314"/>
      <c r="BR1406" s="314"/>
      <c r="BS1406" s="314"/>
      <c r="BT1406" s="314"/>
      <c r="BU1406" s="314"/>
      <c r="BV1406" s="314"/>
      <c r="BW1406" s="314"/>
      <c r="BX1406" s="155"/>
    </row>
    <row r="1407" spans="1:76" ht="15.75" customHeight="1">
      <c r="A1407" s="25"/>
      <c r="B1407" s="39"/>
      <c r="C1407" s="155"/>
      <c r="D1407" s="155"/>
      <c r="E1407" s="40"/>
      <c r="F1407" s="314"/>
      <c r="H1407" s="315"/>
      <c r="I1407" s="315"/>
      <c r="BA1407" s="30"/>
      <c r="BB1407" s="155"/>
      <c r="BC1407" s="314"/>
      <c r="BD1407" s="314"/>
      <c r="BE1407" s="314"/>
      <c r="BF1407" s="314"/>
      <c r="BG1407" s="314"/>
      <c r="BH1407" s="314"/>
      <c r="BI1407" s="314"/>
      <c r="BJ1407" s="314"/>
      <c r="BK1407" s="40"/>
      <c r="BL1407" s="40"/>
      <c r="BM1407" s="40"/>
      <c r="BN1407" s="40"/>
      <c r="BO1407" s="40"/>
      <c r="BP1407" s="155"/>
      <c r="BQ1407" s="314"/>
      <c r="BR1407" s="314"/>
      <c r="BS1407" s="314"/>
      <c r="BT1407" s="314"/>
      <c r="BU1407" s="314"/>
      <c r="BV1407" s="314"/>
      <c r="BW1407" s="314"/>
      <c r="BX1407" s="155"/>
    </row>
    <row r="1408" spans="1:76" ht="15.75" customHeight="1">
      <c r="A1408" s="25"/>
      <c r="B1408" s="39"/>
      <c r="C1408" s="155"/>
      <c r="D1408" s="155"/>
      <c r="E1408" s="40"/>
      <c r="F1408" s="314"/>
      <c r="H1408" s="315"/>
      <c r="I1408" s="315"/>
      <c r="BA1408" s="30"/>
      <c r="BB1408" s="155"/>
      <c r="BC1408" s="314"/>
      <c r="BD1408" s="314"/>
      <c r="BE1408" s="314"/>
      <c r="BF1408" s="314"/>
      <c r="BG1408" s="314"/>
      <c r="BH1408" s="314"/>
      <c r="BI1408" s="314"/>
      <c r="BJ1408" s="314"/>
      <c r="BK1408" s="40"/>
      <c r="BL1408" s="40"/>
      <c r="BM1408" s="40"/>
      <c r="BN1408" s="40"/>
      <c r="BO1408" s="40"/>
      <c r="BP1408" s="155"/>
      <c r="BQ1408" s="314"/>
      <c r="BR1408" s="314"/>
      <c r="BS1408" s="314"/>
      <c r="BT1408" s="314"/>
      <c r="BU1408" s="314"/>
      <c r="BV1408" s="314"/>
      <c r="BW1408" s="314"/>
      <c r="BX1408" s="155"/>
    </row>
    <row r="1409" spans="1:76" ht="15.75" customHeight="1">
      <c r="A1409" s="25"/>
      <c r="B1409" s="39"/>
      <c r="C1409" s="155"/>
      <c r="D1409" s="155"/>
      <c r="E1409" s="40"/>
      <c r="F1409" s="314"/>
      <c r="H1409" s="315"/>
      <c r="I1409" s="315"/>
      <c r="BA1409" s="30"/>
      <c r="BB1409" s="155"/>
      <c r="BC1409" s="314"/>
      <c r="BD1409" s="314"/>
      <c r="BE1409" s="314"/>
      <c r="BF1409" s="314"/>
      <c r="BG1409" s="314"/>
      <c r="BH1409" s="314"/>
      <c r="BI1409" s="314"/>
      <c r="BJ1409" s="314"/>
      <c r="BK1409" s="40"/>
      <c r="BL1409" s="40"/>
      <c r="BM1409" s="40"/>
      <c r="BN1409" s="40"/>
      <c r="BO1409" s="40"/>
      <c r="BP1409" s="155"/>
      <c r="BQ1409" s="314"/>
      <c r="BR1409" s="314"/>
      <c r="BS1409" s="314"/>
      <c r="BT1409" s="314"/>
      <c r="BU1409" s="314"/>
      <c r="BV1409" s="314"/>
      <c r="BW1409" s="314"/>
      <c r="BX1409" s="155"/>
    </row>
    <row r="1410" spans="1:76" ht="15.75" customHeight="1">
      <c r="A1410" s="25"/>
      <c r="B1410" s="39"/>
      <c r="C1410" s="155"/>
      <c r="D1410" s="155"/>
      <c r="E1410" s="40"/>
      <c r="F1410" s="314"/>
      <c r="H1410" s="315"/>
      <c r="I1410" s="315"/>
      <c r="BA1410" s="30"/>
      <c r="BB1410" s="155"/>
      <c r="BC1410" s="314"/>
      <c r="BD1410" s="314"/>
      <c r="BE1410" s="314"/>
      <c r="BF1410" s="314"/>
      <c r="BG1410" s="314"/>
      <c r="BH1410" s="314"/>
      <c r="BI1410" s="314"/>
      <c r="BJ1410" s="314"/>
      <c r="BK1410" s="40"/>
      <c r="BL1410" s="40"/>
      <c r="BM1410" s="40"/>
      <c r="BN1410" s="40"/>
      <c r="BO1410" s="40"/>
      <c r="BP1410" s="155"/>
      <c r="BQ1410" s="314"/>
      <c r="BR1410" s="314"/>
      <c r="BS1410" s="314"/>
      <c r="BT1410" s="314"/>
      <c r="BU1410" s="314"/>
      <c r="BV1410" s="314"/>
      <c r="BW1410" s="314"/>
      <c r="BX1410" s="155"/>
    </row>
    <row r="1411" spans="1:76" ht="15.75" customHeight="1">
      <c r="A1411" s="25"/>
      <c r="B1411" s="39"/>
      <c r="C1411" s="155"/>
      <c r="D1411" s="155"/>
      <c r="E1411" s="40"/>
      <c r="F1411" s="314"/>
      <c r="H1411" s="315"/>
      <c r="I1411" s="315"/>
      <c r="BA1411" s="30"/>
      <c r="BB1411" s="155"/>
      <c r="BC1411" s="314"/>
      <c r="BD1411" s="314"/>
      <c r="BE1411" s="314"/>
      <c r="BF1411" s="314"/>
      <c r="BG1411" s="314"/>
      <c r="BH1411" s="314"/>
      <c r="BI1411" s="314"/>
      <c r="BJ1411" s="314"/>
      <c r="BK1411" s="40"/>
      <c r="BL1411" s="40"/>
      <c r="BM1411" s="40"/>
      <c r="BN1411" s="40"/>
      <c r="BO1411" s="40"/>
      <c r="BP1411" s="155"/>
      <c r="BQ1411" s="314"/>
      <c r="BR1411" s="314"/>
      <c r="BS1411" s="314"/>
      <c r="BT1411" s="314"/>
      <c r="BU1411" s="314"/>
      <c r="BV1411" s="314"/>
      <c r="BW1411" s="314"/>
      <c r="BX1411" s="155"/>
    </row>
    <row r="1412" spans="1:76" ht="15.75" customHeight="1">
      <c r="A1412" s="25"/>
      <c r="B1412" s="39"/>
      <c r="C1412" s="155"/>
      <c r="D1412" s="155"/>
      <c r="E1412" s="40"/>
      <c r="F1412" s="314"/>
      <c r="H1412" s="315"/>
      <c r="I1412" s="315"/>
      <c r="BA1412" s="30"/>
      <c r="BB1412" s="155"/>
      <c r="BC1412" s="314"/>
      <c r="BD1412" s="314"/>
      <c r="BE1412" s="314"/>
      <c r="BF1412" s="314"/>
      <c r="BG1412" s="314"/>
      <c r="BH1412" s="314"/>
      <c r="BI1412" s="314"/>
      <c r="BJ1412" s="314"/>
      <c r="BK1412" s="40"/>
      <c r="BL1412" s="40"/>
      <c r="BM1412" s="40"/>
      <c r="BN1412" s="40"/>
      <c r="BO1412" s="40"/>
      <c r="BP1412" s="155"/>
      <c r="BQ1412" s="314"/>
      <c r="BR1412" s="314"/>
      <c r="BS1412" s="314"/>
      <c r="BT1412" s="314"/>
      <c r="BU1412" s="314"/>
      <c r="BV1412" s="314"/>
      <c r="BW1412" s="314"/>
      <c r="BX1412" s="155"/>
    </row>
    <row r="1413" spans="1:76" ht="15.75" customHeight="1">
      <c r="A1413" s="25"/>
      <c r="B1413" s="39"/>
      <c r="C1413" s="155"/>
      <c r="D1413" s="155"/>
      <c r="E1413" s="40"/>
      <c r="F1413" s="314"/>
      <c r="H1413" s="315"/>
      <c r="I1413" s="315"/>
      <c r="BA1413" s="30"/>
      <c r="BB1413" s="155"/>
      <c r="BC1413" s="314"/>
      <c r="BD1413" s="314"/>
      <c r="BE1413" s="314"/>
      <c r="BF1413" s="314"/>
      <c r="BG1413" s="314"/>
      <c r="BH1413" s="314"/>
      <c r="BI1413" s="314"/>
      <c r="BJ1413" s="314"/>
      <c r="BK1413" s="40"/>
      <c r="BL1413" s="40"/>
      <c r="BM1413" s="40"/>
      <c r="BN1413" s="40"/>
      <c r="BO1413" s="40"/>
      <c r="BP1413" s="155"/>
      <c r="BQ1413" s="314"/>
      <c r="BR1413" s="314"/>
      <c r="BS1413" s="314"/>
      <c r="BT1413" s="314"/>
      <c r="BU1413" s="314"/>
      <c r="BV1413" s="314"/>
      <c r="BW1413" s="314"/>
      <c r="BX1413" s="155"/>
    </row>
    <row r="1414" spans="1:76" ht="15.75" customHeight="1">
      <c r="A1414" s="25"/>
      <c r="B1414" s="39"/>
      <c r="C1414" s="155"/>
      <c r="D1414" s="155"/>
      <c r="E1414" s="40"/>
      <c r="F1414" s="314"/>
      <c r="H1414" s="315"/>
      <c r="I1414" s="315"/>
      <c r="BA1414" s="30"/>
      <c r="BB1414" s="155"/>
      <c r="BC1414" s="314"/>
      <c r="BD1414" s="314"/>
      <c r="BE1414" s="314"/>
      <c r="BF1414" s="314"/>
      <c r="BG1414" s="314"/>
      <c r="BH1414" s="314"/>
      <c r="BI1414" s="314"/>
      <c r="BJ1414" s="314"/>
      <c r="BK1414" s="40"/>
      <c r="BL1414" s="40"/>
      <c r="BM1414" s="40"/>
      <c r="BN1414" s="40"/>
      <c r="BO1414" s="40"/>
      <c r="BP1414" s="155"/>
      <c r="BQ1414" s="314"/>
      <c r="BR1414" s="314"/>
      <c r="BS1414" s="314"/>
      <c r="BT1414" s="314"/>
      <c r="BU1414" s="314"/>
      <c r="BV1414" s="314"/>
      <c r="BW1414" s="314"/>
      <c r="BX1414" s="155"/>
    </row>
    <row r="1415" spans="1:76" ht="15.75" customHeight="1">
      <c r="A1415" s="25"/>
      <c r="B1415" s="39"/>
      <c r="C1415" s="155"/>
      <c r="D1415" s="155"/>
      <c r="E1415" s="40"/>
      <c r="F1415" s="314"/>
      <c r="H1415" s="315"/>
      <c r="I1415" s="315"/>
      <c r="BA1415" s="30"/>
      <c r="BB1415" s="155"/>
      <c r="BC1415" s="314"/>
      <c r="BD1415" s="314"/>
      <c r="BE1415" s="314"/>
      <c r="BF1415" s="314"/>
      <c r="BG1415" s="314"/>
      <c r="BH1415" s="314"/>
      <c r="BI1415" s="314"/>
      <c r="BJ1415" s="314"/>
      <c r="BK1415" s="40"/>
      <c r="BL1415" s="40"/>
      <c r="BM1415" s="40"/>
      <c r="BN1415" s="40"/>
      <c r="BO1415" s="40"/>
      <c r="BP1415" s="155"/>
      <c r="BQ1415" s="314"/>
      <c r="BR1415" s="314"/>
      <c r="BS1415" s="314"/>
      <c r="BT1415" s="314"/>
      <c r="BU1415" s="314"/>
      <c r="BV1415" s="314"/>
      <c r="BW1415" s="314"/>
      <c r="BX1415" s="155"/>
    </row>
    <row r="1416" spans="1:76" ht="15.75" customHeight="1">
      <c r="A1416" s="25"/>
      <c r="B1416" s="39"/>
      <c r="C1416" s="155"/>
      <c r="D1416" s="155"/>
      <c r="E1416" s="40"/>
      <c r="F1416" s="314"/>
      <c r="H1416" s="315"/>
      <c r="I1416" s="315"/>
      <c r="BA1416" s="30"/>
      <c r="BB1416" s="155"/>
      <c r="BC1416" s="314"/>
      <c r="BD1416" s="314"/>
      <c r="BE1416" s="314"/>
      <c r="BF1416" s="314"/>
      <c r="BG1416" s="314"/>
      <c r="BH1416" s="314"/>
      <c r="BI1416" s="314"/>
      <c r="BJ1416" s="314"/>
      <c r="BK1416" s="40"/>
      <c r="BL1416" s="40"/>
      <c r="BM1416" s="40"/>
      <c r="BN1416" s="40"/>
      <c r="BO1416" s="40"/>
      <c r="BP1416" s="155"/>
      <c r="BQ1416" s="314"/>
      <c r="BR1416" s="314"/>
      <c r="BS1416" s="314"/>
      <c r="BT1416" s="314"/>
      <c r="BU1416" s="314"/>
      <c r="BV1416" s="314"/>
      <c r="BW1416" s="314"/>
      <c r="BX1416" s="155"/>
    </row>
    <row r="1417" spans="1:76" ht="15.75" customHeight="1">
      <c r="A1417" s="25"/>
      <c r="B1417" s="39"/>
      <c r="C1417" s="155"/>
      <c r="D1417" s="155"/>
      <c r="E1417" s="40"/>
      <c r="F1417" s="314"/>
      <c r="H1417" s="315"/>
      <c r="I1417" s="315"/>
      <c r="BA1417" s="30"/>
      <c r="BB1417" s="155"/>
      <c r="BC1417" s="314"/>
      <c r="BD1417" s="314"/>
      <c r="BE1417" s="314"/>
      <c r="BF1417" s="314"/>
      <c r="BG1417" s="314"/>
      <c r="BH1417" s="314"/>
      <c r="BI1417" s="314"/>
      <c r="BJ1417" s="314"/>
      <c r="BK1417" s="40"/>
      <c r="BL1417" s="40"/>
      <c r="BM1417" s="40"/>
      <c r="BN1417" s="40"/>
      <c r="BO1417" s="40"/>
      <c r="BP1417" s="155"/>
      <c r="BQ1417" s="314"/>
      <c r="BR1417" s="314"/>
      <c r="BS1417" s="314"/>
      <c r="BT1417" s="314"/>
      <c r="BU1417" s="314"/>
      <c r="BV1417" s="314"/>
      <c r="BW1417" s="314"/>
      <c r="BX1417" s="155"/>
    </row>
    <row r="1418" spans="1:76" ht="15.75" customHeight="1">
      <c r="A1418" s="25"/>
      <c r="B1418" s="39"/>
      <c r="C1418" s="155"/>
      <c r="D1418" s="155"/>
      <c r="E1418" s="40"/>
      <c r="F1418" s="314"/>
      <c r="H1418" s="315"/>
      <c r="I1418" s="315"/>
      <c r="BA1418" s="30"/>
      <c r="BB1418" s="155"/>
      <c r="BC1418" s="314"/>
      <c r="BD1418" s="314"/>
      <c r="BE1418" s="314"/>
      <c r="BF1418" s="314"/>
      <c r="BG1418" s="314"/>
      <c r="BH1418" s="314"/>
      <c r="BI1418" s="314"/>
      <c r="BJ1418" s="314"/>
      <c r="BK1418" s="40"/>
      <c r="BL1418" s="40"/>
      <c r="BM1418" s="40"/>
      <c r="BN1418" s="40"/>
      <c r="BO1418" s="40"/>
      <c r="BP1418" s="155"/>
      <c r="BQ1418" s="314"/>
      <c r="BR1418" s="314"/>
      <c r="BS1418" s="314"/>
      <c r="BT1418" s="314"/>
      <c r="BU1418" s="314"/>
      <c r="BV1418" s="314"/>
      <c r="BW1418" s="314"/>
      <c r="BX1418" s="155"/>
    </row>
    <row r="1419" spans="1:76" ht="15.75" customHeight="1">
      <c r="A1419" s="25"/>
      <c r="B1419" s="39"/>
      <c r="C1419" s="155"/>
      <c r="D1419" s="155"/>
      <c r="E1419" s="40"/>
      <c r="F1419" s="314"/>
      <c r="H1419" s="315"/>
      <c r="I1419" s="315"/>
      <c r="BA1419" s="30"/>
      <c r="BB1419" s="155"/>
      <c r="BC1419" s="314"/>
      <c r="BD1419" s="314"/>
      <c r="BE1419" s="314"/>
      <c r="BF1419" s="314"/>
      <c r="BG1419" s="314"/>
      <c r="BH1419" s="314"/>
      <c r="BI1419" s="314"/>
      <c r="BJ1419" s="314"/>
      <c r="BK1419" s="40"/>
      <c r="BL1419" s="40"/>
      <c r="BM1419" s="40"/>
      <c r="BN1419" s="40"/>
      <c r="BO1419" s="40"/>
      <c r="BP1419" s="155"/>
      <c r="BQ1419" s="314"/>
      <c r="BR1419" s="314"/>
      <c r="BS1419" s="314"/>
      <c r="BT1419" s="314"/>
      <c r="BU1419" s="314"/>
      <c r="BV1419" s="314"/>
      <c r="BW1419" s="314"/>
      <c r="BX1419" s="155"/>
    </row>
    <row r="1420" spans="1:76" ht="15.75" customHeight="1">
      <c r="A1420" s="25"/>
      <c r="B1420" s="39"/>
      <c r="C1420" s="155"/>
      <c r="D1420" s="155"/>
      <c r="E1420" s="40"/>
      <c r="F1420" s="314"/>
      <c r="H1420" s="315"/>
      <c r="I1420" s="315"/>
      <c r="BA1420" s="30"/>
      <c r="BB1420" s="155"/>
      <c r="BC1420" s="314"/>
      <c r="BD1420" s="314"/>
      <c r="BE1420" s="314"/>
      <c r="BF1420" s="314"/>
      <c r="BG1420" s="314"/>
      <c r="BH1420" s="314"/>
      <c r="BI1420" s="314"/>
      <c r="BJ1420" s="314"/>
      <c r="BK1420" s="40"/>
      <c r="BL1420" s="40"/>
      <c r="BM1420" s="40"/>
      <c r="BN1420" s="40"/>
      <c r="BO1420" s="40"/>
      <c r="BP1420" s="155"/>
      <c r="BQ1420" s="314"/>
      <c r="BR1420" s="314"/>
      <c r="BS1420" s="314"/>
      <c r="BT1420" s="314"/>
      <c r="BU1420" s="314"/>
      <c r="BV1420" s="314"/>
      <c r="BW1420" s="314"/>
      <c r="BX1420" s="155"/>
    </row>
    <row r="1421" spans="1:76" ht="15.75" customHeight="1">
      <c r="A1421" s="25"/>
      <c r="B1421" s="39"/>
      <c r="C1421" s="155"/>
      <c r="D1421" s="155"/>
      <c r="E1421" s="40"/>
      <c r="F1421" s="314"/>
      <c r="H1421" s="315"/>
      <c r="I1421" s="315"/>
      <c r="BA1421" s="30"/>
      <c r="BB1421" s="155"/>
      <c r="BC1421" s="314"/>
      <c r="BD1421" s="314"/>
      <c r="BE1421" s="314"/>
      <c r="BF1421" s="314"/>
      <c r="BG1421" s="314"/>
      <c r="BH1421" s="314"/>
      <c r="BI1421" s="314"/>
      <c r="BJ1421" s="314"/>
      <c r="BK1421" s="40"/>
      <c r="BL1421" s="40"/>
      <c r="BM1421" s="40"/>
      <c r="BN1421" s="40"/>
      <c r="BO1421" s="40"/>
      <c r="BP1421" s="155"/>
      <c r="BQ1421" s="314"/>
      <c r="BR1421" s="314"/>
      <c r="BS1421" s="314"/>
      <c r="BT1421" s="314"/>
      <c r="BU1421" s="314"/>
      <c r="BV1421" s="314"/>
      <c r="BW1421" s="314"/>
      <c r="BX1421" s="155"/>
    </row>
    <row r="1422" spans="1:76" ht="15.75" customHeight="1">
      <c r="A1422" s="25"/>
      <c r="B1422" s="39"/>
      <c r="C1422" s="155"/>
      <c r="D1422" s="155"/>
      <c r="E1422" s="40"/>
      <c r="F1422" s="314"/>
      <c r="H1422" s="315"/>
      <c r="I1422" s="315"/>
      <c r="BA1422" s="30"/>
      <c r="BB1422" s="155"/>
      <c r="BC1422" s="314"/>
      <c r="BD1422" s="314"/>
      <c r="BE1422" s="314"/>
      <c r="BF1422" s="314"/>
      <c r="BG1422" s="314"/>
      <c r="BH1422" s="314"/>
      <c r="BI1422" s="314"/>
      <c r="BJ1422" s="314"/>
      <c r="BK1422" s="40"/>
      <c r="BL1422" s="40"/>
      <c r="BM1422" s="40"/>
      <c r="BN1422" s="40"/>
      <c r="BO1422" s="40"/>
      <c r="BP1422" s="155"/>
      <c r="BQ1422" s="314"/>
      <c r="BR1422" s="314"/>
      <c r="BS1422" s="314"/>
      <c r="BT1422" s="314"/>
      <c r="BU1422" s="314"/>
      <c r="BV1422" s="314"/>
      <c r="BW1422" s="314"/>
      <c r="BX1422" s="155"/>
    </row>
    <row r="1423" spans="1:76" ht="15.75" customHeight="1">
      <c r="A1423" s="25"/>
      <c r="B1423" s="39"/>
      <c r="C1423" s="155"/>
      <c r="D1423" s="155"/>
      <c r="E1423" s="40"/>
      <c r="F1423" s="314"/>
      <c r="H1423" s="315"/>
      <c r="I1423" s="315"/>
      <c r="BA1423" s="30"/>
      <c r="BB1423" s="155"/>
      <c r="BC1423" s="322"/>
      <c r="BD1423" s="322"/>
      <c r="BE1423" s="322"/>
      <c r="BF1423" s="322"/>
      <c r="BG1423" s="322"/>
      <c r="BH1423" s="322"/>
      <c r="BI1423" s="322"/>
      <c r="BJ1423" s="322"/>
      <c r="BK1423" s="341"/>
      <c r="BL1423" s="40"/>
      <c r="BM1423" s="40"/>
      <c r="BN1423" s="40"/>
      <c r="BO1423" s="40"/>
      <c r="BP1423" s="155"/>
      <c r="BQ1423" s="314"/>
      <c r="BR1423" s="314"/>
      <c r="BS1423" s="314"/>
      <c r="BT1423" s="314"/>
      <c r="BU1423" s="314"/>
      <c r="BV1423" s="314"/>
      <c r="BW1423" s="314"/>
      <c r="BX1423" s="155"/>
    </row>
    <row r="1424" spans="1:76" ht="15.75" customHeight="1">
      <c r="A1424" s="25"/>
      <c r="B1424" s="39"/>
      <c r="C1424" s="155"/>
      <c r="D1424" s="155"/>
      <c r="E1424" s="40"/>
      <c r="F1424" s="314"/>
      <c r="H1424" s="315"/>
      <c r="I1424" s="315"/>
      <c r="BA1424" s="30"/>
      <c r="BB1424" s="155"/>
      <c r="BC1424" s="314"/>
      <c r="BD1424" s="314"/>
      <c r="BE1424" s="314"/>
      <c r="BF1424" s="314"/>
      <c r="BG1424" s="314"/>
      <c r="BH1424" s="314"/>
      <c r="BI1424" s="314"/>
      <c r="BJ1424" s="314"/>
      <c r="BK1424" s="40"/>
      <c r="BL1424" s="40"/>
      <c r="BM1424" s="40"/>
      <c r="BN1424" s="40"/>
      <c r="BO1424" s="40"/>
      <c r="BP1424" s="155"/>
      <c r="BQ1424" s="314"/>
      <c r="BR1424" s="314"/>
      <c r="BS1424" s="314"/>
      <c r="BT1424" s="314"/>
      <c r="BU1424" s="314"/>
      <c r="BV1424" s="314"/>
      <c r="BW1424" s="314"/>
      <c r="BX1424" s="155"/>
    </row>
    <row r="1425" spans="1:76" ht="15.75" customHeight="1">
      <c r="A1425" s="25"/>
      <c r="B1425" s="39"/>
      <c r="C1425" s="155"/>
      <c r="D1425" s="155"/>
      <c r="E1425" s="40"/>
      <c r="F1425" s="314"/>
      <c r="H1425" s="315"/>
      <c r="I1425" s="315"/>
      <c r="BA1425" s="30"/>
      <c r="BB1425" s="155"/>
      <c r="BC1425" s="314"/>
      <c r="BD1425" s="314"/>
      <c r="BE1425" s="314"/>
      <c r="BF1425" s="314"/>
      <c r="BG1425" s="314"/>
      <c r="BH1425" s="314"/>
      <c r="BI1425" s="314"/>
      <c r="BJ1425" s="314"/>
      <c r="BK1425" s="40"/>
      <c r="BL1425" s="40"/>
      <c r="BM1425" s="40"/>
      <c r="BN1425" s="40"/>
      <c r="BO1425" s="40"/>
      <c r="BP1425" s="155"/>
      <c r="BQ1425" s="314"/>
      <c r="BR1425" s="314"/>
      <c r="BS1425" s="314"/>
      <c r="BT1425" s="314"/>
      <c r="BU1425" s="314"/>
      <c r="BV1425" s="314"/>
      <c r="BW1425" s="314"/>
      <c r="BX1425" s="155"/>
    </row>
    <row r="1426" spans="1:76" ht="15.75" customHeight="1">
      <c r="A1426" s="25"/>
      <c r="B1426" s="39"/>
      <c r="C1426" s="155"/>
      <c r="D1426" s="155"/>
      <c r="E1426" s="40"/>
      <c r="F1426" s="314"/>
      <c r="H1426" s="315"/>
      <c r="I1426" s="315"/>
      <c r="BA1426" s="30"/>
      <c r="BB1426" s="155"/>
      <c r="BC1426" s="314"/>
      <c r="BD1426" s="314"/>
      <c r="BE1426" s="314"/>
      <c r="BF1426" s="314"/>
      <c r="BG1426" s="314"/>
      <c r="BH1426" s="314"/>
      <c r="BI1426" s="314"/>
      <c r="BJ1426" s="314"/>
      <c r="BK1426" s="40"/>
      <c r="BL1426" s="40"/>
      <c r="BM1426" s="40"/>
      <c r="BN1426" s="40"/>
      <c r="BO1426" s="40"/>
      <c r="BP1426" s="155"/>
      <c r="BQ1426" s="314"/>
      <c r="BR1426" s="314"/>
      <c r="BS1426" s="314"/>
      <c r="BT1426" s="314"/>
      <c r="BU1426" s="314"/>
      <c r="BV1426" s="314"/>
      <c r="BW1426" s="314"/>
      <c r="BX1426" s="155"/>
    </row>
    <row r="1427" spans="1:76" ht="15.75" customHeight="1">
      <c r="A1427" s="25"/>
      <c r="B1427" s="39"/>
      <c r="C1427" s="155"/>
      <c r="D1427" s="155"/>
      <c r="E1427" s="40"/>
      <c r="F1427" s="314"/>
      <c r="H1427" s="315"/>
      <c r="I1427" s="315"/>
      <c r="BA1427" s="30"/>
      <c r="BB1427" s="155"/>
      <c r="BC1427" s="314"/>
      <c r="BD1427" s="314"/>
      <c r="BE1427" s="314"/>
      <c r="BF1427" s="314"/>
      <c r="BG1427" s="314"/>
      <c r="BH1427" s="314"/>
      <c r="BI1427" s="314"/>
      <c r="BJ1427" s="314"/>
      <c r="BK1427" s="40"/>
      <c r="BL1427" s="40"/>
      <c r="BM1427" s="40"/>
      <c r="BN1427" s="40"/>
      <c r="BO1427" s="40"/>
      <c r="BP1427" s="155"/>
      <c r="BQ1427" s="314"/>
      <c r="BR1427" s="314"/>
      <c r="BS1427" s="314"/>
      <c r="BT1427" s="314"/>
      <c r="BU1427" s="314"/>
      <c r="BV1427" s="314"/>
      <c r="BW1427" s="314"/>
      <c r="BX1427" s="155"/>
    </row>
    <row r="1428" spans="1:76" ht="15.75" customHeight="1">
      <c r="A1428" s="25"/>
      <c r="B1428" s="39"/>
      <c r="C1428" s="155"/>
      <c r="D1428" s="155"/>
      <c r="E1428" s="40"/>
      <c r="F1428" s="314"/>
      <c r="H1428" s="315"/>
      <c r="I1428" s="315"/>
      <c r="BA1428" s="30"/>
      <c r="BB1428" s="155"/>
      <c r="BC1428" s="314"/>
      <c r="BD1428" s="314"/>
      <c r="BE1428" s="314"/>
      <c r="BF1428" s="314"/>
      <c r="BG1428" s="314"/>
      <c r="BH1428" s="314"/>
      <c r="BI1428" s="314"/>
      <c r="BJ1428" s="314"/>
      <c r="BK1428" s="40"/>
      <c r="BL1428" s="40"/>
      <c r="BM1428" s="40"/>
      <c r="BN1428" s="40"/>
      <c r="BO1428" s="40"/>
      <c r="BP1428" s="155"/>
      <c r="BQ1428" s="314"/>
      <c r="BR1428" s="314"/>
      <c r="BS1428" s="314"/>
      <c r="BT1428" s="314"/>
      <c r="BU1428" s="314"/>
      <c r="BV1428" s="314"/>
      <c r="BW1428" s="314"/>
      <c r="BX1428" s="155"/>
    </row>
    <row r="1429" spans="1:76" ht="15.75" customHeight="1">
      <c r="A1429" s="25"/>
      <c r="B1429" s="39"/>
      <c r="C1429" s="155"/>
      <c r="D1429" s="155"/>
      <c r="E1429" s="40"/>
      <c r="F1429" s="314"/>
      <c r="H1429" s="315"/>
      <c r="I1429" s="315"/>
      <c r="BA1429" s="30"/>
      <c r="BB1429" s="155"/>
      <c r="BC1429" s="314"/>
      <c r="BD1429" s="314"/>
      <c r="BE1429" s="314"/>
      <c r="BF1429" s="314"/>
      <c r="BG1429" s="314"/>
      <c r="BH1429" s="314"/>
      <c r="BI1429" s="314"/>
      <c r="BJ1429" s="314"/>
      <c r="BK1429" s="40"/>
      <c r="BL1429" s="40"/>
      <c r="BM1429" s="40"/>
      <c r="BN1429" s="40"/>
      <c r="BO1429" s="40"/>
      <c r="BP1429" s="155"/>
      <c r="BQ1429" s="314"/>
      <c r="BR1429" s="314"/>
      <c r="BS1429" s="314"/>
      <c r="BT1429" s="314"/>
      <c r="BU1429" s="314"/>
      <c r="BV1429" s="314"/>
      <c r="BW1429" s="314"/>
      <c r="BX1429" s="155"/>
    </row>
    <row r="1430" spans="1:76" ht="15.75" customHeight="1">
      <c r="A1430" s="25"/>
      <c r="B1430" s="39"/>
      <c r="C1430" s="155"/>
      <c r="D1430" s="155"/>
      <c r="E1430" s="40"/>
      <c r="F1430" s="314"/>
      <c r="H1430" s="315"/>
      <c r="I1430" s="315"/>
      <c r="BA1430" s="30"/>
      <c r="BB1430" s="155"/>
      <c r="BC1430" s="314"/>
      <c r="BD1430" s="314"/>
      <c r="BE1430" s="314"/>
      <c r="BF1430" s="314"/>
      <c r="BG1430" s="314"/>
      <c r="BH1430" s="314"/>
      <c r="BI1430" s="314"/>
      <c r="BJ1430" s="314"/>
      <c r="BK1430" s="40"/>
      <c r="BL1430" s="40"/>
      <c r="BM1430" s="40"/>
      <c r="BN1430" s="40"/>
      <c r="BO1430" s="40"/>
      <c r="BP1430" s="155"/>
      <c r="BQ1430" s="314"/>
      <c r="BR1430" s="314"/>
      <c r="BS1430" s="314"/>
      <c r="BT1430" s="314"/>
      <c r="BU1430" s="314"/>
      <c r="BV1430" s="314"/>
      <c r="BW1430" s="314"/>
      <c r="BX1430" s="155"/>
    </row>
    <row r="1431" spans="1:76" ht="15.75" customHeight="1">
      <c r="A1431" s="25"/>
      <c r="B1431" s="39"/>
      <c r="C1431" s="155"/>
      <c r="D1431" s="155"/>
      <c r="E1431" s="40"/>
      <c r="F1431" s="314"/>
      <c r="H1431" s="315"/>
      <c r="I1431" s="315"/>
      <c r="BA1431" s="30"/>
      <c r="BB1431" s="155"/>
      <c r="BC1431" s="314"/>
      <c r="BD1431" s="314"/>
      <c r="BE1431" s="314"/>
      <c r="BF1431" s="314"/>
      <c r="BG1431" s="314"/>
      <c r="BH1431" s="314"/>
      <c r="BI1431" s="314"/>
      <c r="BJ1431" s="314"/>
      <c r="BK1431" s="40"/>
      <c r="BL1431" s="40"/>
      <c r="BM1431" s="40"/>
      <c r="BN1431" s="40"/>
      <c r="BO1431" s="40"/>
      <c r="BP1431" s="155"/>
      <c r="BQ1431" s="314"/>
      <c r="BR1431" s="314"/>
      <c r="BS1431" s="314"/>
      <c r="BT1431" s="314"/>
      <c r="BU1431" s="314"/>
      <c r="BV1431" s="314"/>
      <c r="BW1431" s="314"/>
      <c r="BX1431" s="155"/>
    </row>
    <row r="1432" spans="1:76" ht="15.75" customHeight="1">
      <c r="A1432" s="25"/>
      <c r="B1432" s="39"/>
      <c r="C1432" s="155"/>
      <c r="D1432" s="155"/>
      <c r="E1432" s="40"/>
      <c r="F1432" s="314"/>
      <c r="H1432" s="315"/>
      <c r="I1432" s="315"/>
      <c r="BA1432" s="30"/>
      <c r="BB1432" s="155"/>
      <c r="BC1432" s="314"/>
      <c r="BD1432" s="314"/>
      <c r="BE1432" s="314"/>
      <c r="BF1432" s="314"/>
      <c r="BG1432" s="314"/>
      <c r="BH1432" s="314"/>
      <c r="BI1432" s="314"/>
      <c r="BJ1432" s="314"/>
      <c r="BK1432" s="40"/>
      <c r="BL1432" s="40"/>
      <c r="BM1432" s="40"/>
      <c r="BN1432" s="40"/>
      <c r="BO1432" s="40"/>
      <c r="BP1432" s="155"/>
      <c r="BQ1432" s="314"/>
      <c r="BR1432" s="314"/>
      <c r="BS1432" s="314"/>
      <c r="BT1432" s="314"/>
      <c r="BU1432" s="314"/>
      <c r="BV1432" s="314"/>
      <c r="BW1432" s="314"/>
      <c r="BX1432" s="155"/>
    </row>
    <row r="1433" spans="1:76" ht="15.75" customHeight="1">
      <c r="A1433" s="25"/>
      <c r="B1433" s="39"/>
      <c r="C1433" s="155"/>
      <c r="D1433" s="155"/>
      <c r="E1433" s="40"/>
      <c r="F1433" s="314"/>
      <c r="H1433" s="315"/>
      <c r="I1433" s="315"/>
      <c r="BA1433" s="30"/>
      <c r="BB1433" s="155"/>
      <c r="BC1433" s="314"/>
      <c r="BD1433" s="314"/>
      <c r="BE1433" s="314"/>
      <c r="BF1433" s="314"/>
      <c r="BG1433" s="314"/>
      <c r="BH1433" s="314"/>
      <c r="BI1433" s="314"/>
      <c r="BJ1433" s="314"/>
      <c r="BK1433" s="40"/>
      <c r="BL1433" s="40"/>
      <c r="BM1433" s="40"/>
      <c r="BN1433" s="40"/>
      <c r="BO1433" s="40"/>
      <c r="BP1433" s="155"/>
      <c r="BQ1433" s="314"/>
      <c r="BR1433" s="314"/>
      <c r="BS1433" s="314"/>
      <c r="BT1433" s="314"/>
      <c r="BU1433" s="314"/>
      <c r="BV1433" s="314"/>
      <c r="BW1433" s="314"/>
      <c r="BX1433" s="155"/>
    </row>
    <row r="1434" spans="1:76" ht="15.75" customHeight="1">
      <c r="A1434" s="25"/>
      <c r="B1434" s="39"/>
      <c r="C1434" s="155"/>
      <c r="D1434" s="155"/>
      <c r="E1434" s="40"/>
      <c r="F1434" s="314"/>
      <c r="H1434" s="315"/>
      <c r="I1434" s="315"/>
      <c r="BA1434" s="30"/>
      <c r="BB1434" s="155"/>
      <c r="BC1434" s="314"/>
      <c r="BD1434" s="314"/>
      <c r="BE1434" s="314"/>
      <c r="BF1434" s="314"/>
      <c r="BG1434" s="314"/>
      <c r="BH1434" s="314"/>
      <c r="BI1434" s="314"/>
      <c r="BJ1434" s="314"/>
      <c r="BK1434" s="40"/>
      <c r="BL1434" s="40"/>
      <c r="BM1434" s="40"/>
      <c r="BN1434" s="40"/>
      <c r="BO1434" s="40"/>
      <c r="BP1434" s="155"/>
      <c r="BQ1434" s="314"/>
      <c r="BR1434" s="314"/>
      <c r="BS1434" s="314"/>
      <c r="BT1434" s="314"/>
      <c r="BU1434" s="314"/>
      <c r="BV1434" s="314"/>
      <c r="BW1434" s="314"/>
      <c r="BX1434" s="155"/>
    </row>
    <row r="1435" spans="1:76" ht="15.75" customHeight="1">
      <c r="A1435" s="25"/>
      <c r="B1435" s="39"/>
      <c r="C1435" s="155"/>
      <c r="D1435" s="155"/>
      <c r="E1435" s="40"/>
      <c r="F1435" s="314"/>
      <c r="H1435" s="315"/>
      <c r="I1435" s="315"/>
      <c r="BA1435" s="30"/>
      <c r="BB1435" s="155"/>
      <c r="BC1435" s="314"/>
      <c r="BD1435" s="314"/>
      <c r="BE1435" s="314"/>
      <c r="BF1435" s="314"/>
      <c r="BG1435" s="314"/>
      <c r="BH1435" s="314"/>
      <c r="BI1435" s="314"/>
      <c r="BJ1435" s="314"/>
      <c r="BK1435" s="40"/>
      <c r="BL1435" s="40"/>
      <c r="BM1435" s="40"/>
      <c r="BN1435" s="40"/>
      <c r="BO1435" s="40"/>
      <c r="BP1435" s="155"/>
      <c r="BQ1435" s="314"/>
      <c r="BR1435" s="314"/>
      <c r="BS1435" s="314"/>
      <c r="BT1435" s="314"/>
      <c r="BU1435" s="314"/>
      <c r="BV1435" s="314"/>
      <c r="BW1435" s="314"/>
      <c r="BX1435" s="155"/>
    </row>
    <row r="1436" spans="1:76" ht="15.75" customHeight="1">
      <c r="A1436" s="25"/>
      <c r="B1436" s="39"/>
      <c r="C1436" s="155"/>
      <c r="D1436" s="155"/>
      <c r="E1436" s="40"/>
      <c r="F1436" s="314"/>
      <c r="H1436" s="315"/>
      <c r="I1436" s="315"/>
      <c r="BA1436" s="30"/>
      <c r="BB1436" s="155"/>
      <c r="BC1436" s="314"/>
      <c r="BD1436" s="314"/>
      <c r="BE1436" s="314"/>
      <c r="BF1436" s="314"/>
      <c r="BG1436" s="314"/>
      <c r="BH1436" s="314"/>
      <c r="BI1436" s="314"/>
      <c r="BJ1436" s="314"/>
      <c r="BK1436" s="40"/>
      <c r="BL1436" s="40"/>
      <c r="BM1436" s="40"/>
      <c r="BN1436" s="40"/>
      <c r="BO1436" s="40"/>
      <c r="BP1436" s="155"/>
      <c r="BQ1436" s="314"/>
      <c r="BR1436" s="314"/>
      <c r="BS1436" s="314"/>
      <c r="BT1436" s="314"/>
      <c r="BU1436" s="314"/>
      <c r="BV1436" s="314"/>
      <c r="BW1436" s="314"/>
      <c r="BX1436" s="155"/>
    </row>
    <row r="1437" spans="1:76" ht="15.75" customHeight="1">
      <c r="A1437" s="25"/>
      <c r="B1437" s="39"/>
      <c r="C1437" s="155"/>
      <c r="D1437" s="155"/>
      <c r="E1437" s="40"/>
      <c r="F1437" s="314"/>
      <c r="H1437" s="315"/>
      <c r="I1437" s="315"/>
      <c r="BA1437" s="30"/>
      <c r="BB1437" s="155"/>
      <c r="BC1437" s="314"/>
      <c r="BD1437" s="314"/>
      <c r="BE1437" s="314"/>
      <c r="BF1437" s="314"/>
      <c r="BG1437" s="314"/>
      <c r="BH1437" s="314"/>
      <c r="BI1437" s="314"/>
      <c r="BJ1437" s="314"/>
      <c r="BK1437" s="40"/>
      <c r="BL1437" s="40"/>
      <c r="BM1437" s="40"/>
      <c r="BN1437" s="40"/>
      <c r="BO1437" s="40"/>
      <c r="BP1437" s="155"/>
      <c r="BQ1437" s="314"/>
      <c r="BR1437" s="314"/>
      <c r="BS1437" s="314"/>
      <c r="BT1437" s="314"/>
      <c r="BU1437" s="314"/>
      <c r="BV1437" s="314"/>
      <c r="BW1437" s="314"/>
      <c r="BX1437" s="155"/>
    </row>
    <row r="1438" spans="1:76" ht="15.75" customHeight="1">
      <c r="A1438" s="25"/>
      <c r="B1438" s="39"/>
      <c r="C1438" s="155"/>
      <c r="D1438" s="155"/>
      <c r="E1438" s="40"/>
      <c r="F1438" s="314"/>
      <c r="H1438" s="315"/>
      <c r="I1438" s="315"/>
      <c r="BA1438" s="30"/>
      <c r="BB1438" s="155"/>
      <c r="BC1438" s="314"/>
      <c r="BD1438" s="314"/>
      <c r="BE1438" s="314"/>
      <c r="BF1438" s="314"/>
      <c r="BG1438" s="314"/>
      <c r="BH1438" s="314"/>
      <c r="BI1438" s="314"/>
      <c r="BJ1438" s="314"/>
      <c r="BK1438" s="40"/>
      <c r="BL1438" s="40"/>
      <c r="BM1438" s="40"/>
      <c r="BN1438" s="40"/>
      <c r="BO1438" s="40"/>
      <c r="BP1438" s="155"/>
      <c r="BQ1438" s="314"/>
      <c r="BR1438" s="314"/>
      <c r="BS1438" s="314"/>
      <c r="BT1438" s="314"/>
      <c r="BU1438" s="314"/>
      <c r="BV1438" s="314"/>
      <c r="BW1438" s="314"/>
      <c r="BX1438" s="155"/>
    </row>
    <row r="1439" spans="1:76" ht="15.75" customHeight="1">
      <c r="A1439" s="25"/>
      <c r="B1439" s="39"/>
      <c r="C1439" s="155"/>
      <c r="D1439" s="155"/>
      <c r="E1439" s="40"/>
      <c r="F1439" s="314"/>
      <c r="H1439" s="315"/>
      <c r="I1439" s="315"/>
      <c r="BA1439" s="30"/>
      <c r="BB1439" s="155"/>
      <c r="BC1439" s="314"/>
      <c r="BD1439" s="314"/>
      <c r="BE1439" s="314"/>
      <c r="BF1439" s="314"/>
      <c r="BG1439" s="314"/>
      <c r="BH1439" s="314"/>
      <c r="BI1439" s="314"/>
      <c r="BJ1439" s="314"/>
      <c r="BK1439" s="40"/>
      <c r="BL1439" s="40"/>
      <c r="BM1439" s="40"/>
      <c r="BN1439" s="40"/>
      <c r="BO1439" s="40"/>
      <c r="BP1439" s="155"/>
      <c r="BQ1439" s="314"/>
      <c r="BR1439" s="314"/>
      <c r="BS1439" s="314"/>
      <c r="BT1439" s="314"/>
      <c r="BU1439" s="314"/>
      <c r="BV1439" s="314"/>
      <c r="BW1439" s="314"/>
      <c r="BX1439" s="155"/>
    </row>
    <row r="1440" spans="1:76" ht="15.75" customHeight="1">
      <c r="A1440" s="25"/>
      <c r="B1440" s="39"/>
      <c r="C1440" s="155"/>
      <c r="D1440" s="155"/>
      <c r="E1440" s="40"/>
      <c r="F1440" s="314"/>
      <c r="H1440" s="315"/>
      <c r="I1440" s="315"/>
      <c r="BA1440" s="30"/>
      <c r="BB1440" s="155"/>
      <c r="BC1440" s="314"/>
      <c r="BD1440" s="314"/>
      <c r="BE1440" s="314"/>
      <c r="BF1440" s="314"/>
      <c r="BG1440" s="314"/>
      <c r="BH1440" s="314"/>
      <c r="BI1440" s="314"/>
      <c r="BJ1440" s="314"/>
      <c r="BK1440" s="40"/>
      <c r="BL1440" s="40"/>
      <c r="BM1440" s="40"/>
      <c r="BN1440" s="40"/>
      <c r="BO1440" s="40"/>
      <c r="BP1440" s="155"/>
      <c r="BQ1440" s="314"/>
      <c r="BR1440" s="314"/>
      <c r="BS1440" s="314"/>
      <c r="BT1440" s="314"/>
      <c r="BU1440" s="314"/>
      <c r="BV1440" s="314"/>
      <c r="BW1440" s="314"/>
      <c r="BX1440" s="155"/>
    </row>
    <row r="1441" spans="1:76" ht="15.75" customHeight="1">
      <c r="A1441" s="25"/>
      <c r="B1441" s="39"/>
      <c r="C1441" s="155"/>
      <c r="D1441" s="155"/>
      <c r="E1441" s="40"/>
      <c r="F1441" s="314"/>
      <c r="H1441" s="315"/>
      <c r="I1441" s="315"/>
      <c r="BA1441" s="30"/>
      <c r="BB1441" s="155"/>
      <c r="BC1441" s="314"/>
      <c r="BD1441" s="314"/>
      <c r="BE1441" s="314"/>
      <c r="BF1441" s="314"/>
      <c r="BG1441" s="314"/>
      <c r="BH1441" s="314"/>
      <c r="BI1441" s="314"/>
      <c r="BJ1441" s="314"/>
      <c r="BK1441" s="40"/>
      <c r="BL1441" s="40"/>
      <c r="BM1441" s="40"/>
      <c r="BN1441" s="40"/>
      <c r="BO1441" s="40"/>
      <c r="BP1441" s="155"/>
      <c r="BQ1441" s="314"/>
      <c r="BR1441" s="314"/>
      <c r="BS1441" s="314"/>
      <c r="BT1441" s="314"/>
      <c r="BU1441" s="314"/>
      <c r="BV1441" s="314"/>
      <c r="BW1441" s="314"/>
      <c r="BX1441" s="155"/>
    </row>
    <row r="1442" spans="1:76" ht="15.75" customHeight="1">
      <c r="A1442" s="25"/>
      <c r="B1442" s="39"/>
      <c r="C1442" s="155"/>
      <c r="D1442" s="155"/>
      <c r="E1442" s="40"/>
      <c r="F1442" s="314"/>
      <c r="H1442" s="315"/>
      <c r="I1442" s="315"/>
      <c r="BA1442" s="30"/>
      <c r="BB1442" s="155"/>
      <c r="BC1442" s="314"/>
      <c r="BD1442" s="314"/>
      <c r="BE1442" s="314"/>
      <c r="BF1442" s="314"/>
      <c r="BG1442" s="314"/>
      <c r="BH1442" s="314"/>
      <c r="BI1442" s="314"/>
      <c r="BJ1442" s="314"/>
      <c r="BK1442" s="40"/>
      <c r="BL1442" s="40"/>
      <c r="BM1442" s="40"/>
      <c r="BN1442" s="40"/>
      <c r="BO1442" s="40"/>
      <c r="BP1442" s="155"/>
      <c r="BQ1442" s="314"/>
      <c r="BR1442" s="314"/>
      <c r="BS1442" s="314"/>
      <c r="BT1442" s="314"/>
      <c r="BU1442" s="314"/>
      <c r="BV1442" s="314"/>
      <c r="BW1442" s="314"/>
      <c r="BX1442" s="155"/>
    </row>
    <row r="1443" spans="1:76" ht="15.75" customHeight="1">
      <c r="A1443" s="25"/>
      <c r="B1443" s="39"/>
      <c r="C1443" s="155"/>
      <c r="D1443" s="155"/>
      <c r="E1443" s="40"/>
      <c r="F1443" s="314"/>
      <c r="H1443" s="315"/>
      <c r="I1443" s="315"/>
      <c r="BA1443" s="30"/>
      <c r="BB1443" s="155"/>
      <c r="BC1443" s="314"/>
      <c r="BD1443" s="314"/>
      <c r="BE1443" s="314"/>
      <c r="BF1443" s="314"/>
      <c r="BG1443" s="314"/>
      <c r="BH1443" s="314"/>
      <c r="BI1443" s="314"/>
      <c r="BJ1443" s="314"/>
      <c r="BK1443" s="40"/>
      <c r="BL1443" s="40"/>
      <c r="BM1443" s="40"/>
      <c r="BN1443" s="40"/>
      <c r="BO1443" s="40"/>
      <c r="BP1443" s="155"/>
      <c r="BQ1443" s="314"/>
      <c r="BR1443" s="314"/>
      <c r="BS1443" s="314"/>
      <c r="BT1443" s="314"/>
      <c r="BU1443" s="314"/>
      <c r="BV1443" s="314"/>
      <c r="BW1443" s="314"/>
      <c r="BX1443" s="155"/>
    </row>
    <row r="1444" spans="1:76" ht="15.75" customHeight="1">
      <c r="A1444" s="25"/>
      <c r="B1444" s="39"/>
      <c r="C1444" s="155"/>
      <c r="D1444" s="155"/>
      <c r="E1444" s="40"/>
      <c r="F1444" s="314"/>
      <c r="H1444" s="315"/>
      <c r="I1444" s="315"/>
      <c r="BA1444" s="30"/>
      <c r="BB1444" s="155"/>
      <c r="BC1444" s="314"/>
      <c r="BD1444" s="314"/>
      <c r="BE1444" s="314"/>
      <c r="BF1444" s="314"/>
      <c r="BG1444" s="314"/>
      <c r="BH1444" s="314"/>
      <c r="BI1444" s="314"/>
      <c r="BJ1444" s="314"/>
      <c r="BK1444" s="40"/>
      <c r="BL1444" s="40"/>
      <c r="BM1444" s="40"/>
      <c r="BN1444" s="40"/>
      <c r="BO1444" s="40"/>
      <c r="BP1444" s="155"/>
      <c r="BQ1444" s="314"/>
      <c r="BR1444" s="314"/>
      <c r="BS1444" s="314"/>
      <c r="BT1444" s="314"/>
      <c r="BU1444" s="314"/>
      <c r="BV1444" s="314"/>
      <c r="BW1444" s="314"/>
      <c r="BX1444" s="155"/>
    </row>
    <row r="1445" spans="1:76" ht="15.75" customHeight="1">
      <c r="A1445" s="25"/>
      <c r="B1445" s="39"/>
      <c r="C1445" s="155"/>
      <c r="D1445" s="155"/>
      <c r="E1445" s="40"/>
      <c r="F1445" s="314"/>
      <c r="H1445" s="315"/>
      <c r="I1445" s="315"/>
      <c r="BA1445" s="30"/>
      <c r="BB1445" s="155"/>
      <c r="BC1445" s="314"/>
      <c r="BD1445" s="314"/>
      <c r="BE1445" s="314"/>
      <c r="BF1445" s="314"/>
      <c r="BG1445" s="314"/>
      <c r="BH1445" s="314"/>
      <c r="BI1445" s="314"/>
      <c r="BJ1445" s="314"/>
      <c r="BK1445" s="40"/>
      <c r="BL1445" s="40"/>
      <c r="BM1445" s="40"/>
      <c r="BN1445" s="40"/>
      <c r="BO1445" s="40"/>
      <c r="BP1445" s="155"/>
      <c r="BQ1445" s="314"/>
      <c r="BR1445" s="314"/>
      <c r="BS1445" s="314"/>
      <c r="BT1445" s="314"/>
      <c r="BU1445" s="314"/>
      <c r="BV1445" s="314"/>
      <c r="BW1445" s="314"/>
      <c r="BX1445" s="155"/>
    </row>
    <row r="1446" spans="1:76" ht="15.75" customHeight="1">
      <c r="A1446" s="25"/>
      <c r="B1446" s="39"/>
      <c r="C1446" s="155"/>
      <c r="D1446" s="155"/>
      <c r="E1446" s="40"/>
      <c r="F1446" s="314"/>
      <c r="H1446" s="315"/>
      <c r="I1446" s="315"/>
      <c r="BA1446" s="30"/>
      <c r="BB1446" s="155"/>
      <c r="BC1446" s="314"/>
      <c r="BD1446" s="314"/>
      <c r="BE1446" s="314"/>
      <c r="BF1446" s="314"/>
      <c r="BG1446" s="314"/>
      <c r="BH1446" s="314"/>
      <c r="BI1446" s="314"/>
      <c r="BJ1446" s="314"/>
      <c r="BK1446" s="40"/>
      <c r="BL1446" s="40"/>
      <c r="BM1446" s="40"/>
      <c r="BN1446" s="40"/>
      <c r="BO1446" s="40"/>
      <c r="BP1446" s="155"/>
      <c r="BQ1446" s="314"/>
      <c r="BR1446" s="314"/>
      <c r="BS1446" s="314"/>
      <c r="BT1446" s="314"/>
      <c r="BU1446" s="314"/>
      <c r="BV1446" s="314"/>
      <c r="BW1446" s="314"/>
      <c r="BX1446" s="155"/>
    </row>
    <row r="1447" spans="1:76" ht="15.75" customHeight="1">
      <c r="A1447" s="25"/>
      <c r="B1447" s="39"/>
      <c r="C1447" s="155"/>
      <c r="D1447" s="155"/>
      <c r="E1447" s="40"/>
      <c r="F1447" s="314"/>
      <c r="H1447" s="315"/>
      <c r="I1447" s="315"/>
      <c r="BA1447" s="30"/>
      <c r="BB1447" s="155"/>
      <c r="BC1447" s="314"/>
      <c r="BD1447" s="314"/>
      <c r="BE1447" s="314"/>
      <c r="BF1447" s="314"/>
      <c r="BG1447" s="314"/>
      <c r="BH1447" s="314"/>
      <c r="BI1447" s="314"/>
      <c r="BJ1447" s="314"/>
      <c r="BK1447" s="40"/>
      <c r="BL1447" s="40"/>
      <c r="BM1447" s="40"/>
      <c r="BN1447" s="40"/>
      <c r="BO1447" s="40"/>
      <c r="BP1447" s="155"/>
      <c r="BQ1447" s="314"/>
      <c r="BR1447" s="314"/>
      <c r="BS1447" s="314"/>
      <c r="BT1447" s="314"/>
      <c r="BU1447" s="314"/>
      <c r="BV1447" s="314"/>
      <c r="BW1447" s="314"/>
      <c r="BX1447" s="155"/>
    </row>
    <row r="1448" spans="1:76" ht="15.75" customHeight="1">
      <c r="A1448" s="25"/>
      <c r="B1448" s="39"/>
      <c r="C1448" s="155"/>
      <c r="D1448" s="155"/>
      <c r="E1448" s="40"/>
      <c r="F1448" s="314"/>
      <c r="H1448" s="315"/>
      <c r="I1448" s="315"/>
      <c r="BA1448" s="30"/>
      <c r="BB1448" s="155"/>
      <c r="BC1448" s="314"/>
      <c r="BD1448" s="314"/>
      <c r="BE1448" s="314"/>
      <c r="BF1448" s="314"/>
      <c r="BG1448" s="314"/>
      <c r="BH1448" s="314"/>
      <c r="BI1448" s="314"/>
      <c r="BJ1448" s="314"/>
      <c r="BK1448" s="40"/>
      <c r="BL1448" s="40"/>
      <c r="BM1448" s="40"/>
      <c r="BN1448" s="40"/>
      <c r="BO1448" s="40"/>
      <c r="BP1448" s="155"/>
      <c r="BQ1448" s="314"/>
      <c r="BR1448" s="314"/>
      <c r="BS1448" s="314"/>
      <c r="BT1448" s="314"/>
      <c r="BU1448" s="314"/>
      <c r="BV1448" s="314"/>
      <c r="BW1448" s="314"/>
      <c r="BX1448" s="155"/>
    </row>
    <row r="1449" spans="1:76" ht="15.75" customHeight="1">
      <c r="A1449" s="25"/>
      <c r="B1449" s="39"/>
      <c r="C1449" s="155"/>
      <c r="D1449" s="155"/>
      <c r="E1449" s="40"/>
      <c r="F1449" s="314"/>
      <c r="H1449" s="315"/>
      <c r="I1449" s="315"/>
      <c r="BA1449" s="30"/>
      <c r="BB1449" s="155"/>
      <c r="BC1449" s="314"/>
      <c r="BD1449" s="314"/>
      <c r="BE1449" s="314"/>
      <c r="BF1449" s="314"/>
      <c r="BG1449" s="314"/>
      <c r="BH1449" s="314"/>
      <c r="BI1449" s="314"/>
      <c r="BJ1449" s="314"/>
      <c r="BK1449" s="40"/>
      <c r="BL1449" s="40"/>
      <c r="BM1449" s="40"/>
      <c r="BN1449" s="40"/>
      <c r="BO1449" s="40"/>
      <c r="BP1449" s="155"/>
      <c r="BQ1449" s="314"/>
      <c r="BR1449" s="314"/>
      <c r="BS1449" s="314"/>
      <c r="BT1449" s="314"/>
      <c r="BU1449" s="314"/>
      <c r="BV1449" s="314"/>
      <c r="BW1449" s="314"/>
      <c r="BX1449" s="155"/>
    </row>
    <row r="1450" spans="1:76" ht="15.75" customHeight="1">
      <c r="A1450" s="25"/>
      <c r="B1450" s="39"/>
      <c r="C1450" s="155"/>
      <c r="D1450" s="155"/>
      <c r="E1450" s="40"/>
      <c r="F1450" s="314"/>
      <c r="H1450" s="315"/>
      <c r="I1450" s="315"/>
      <c r="BA1450" s="30"/>
      <c r="BB1450" s="155"/>
      <c r="BC1450" s="314"/>
      <c r="BD1450" s="314"/>
      <c r="BE1450" s="314"/>
      <c r="BF1450" s="314"/>
      <c r="BG1450" s="314"/>
      <c r="BH1450" s="314"/>
      <c r="BI1450" s="314"/>
      <c r="BJ1450" s="314"/>
      <c r="BK1450" s="40"/>
      <c r="BL1450" s="40"/>
      <c r="BM1450" s="40"/>
      <c r="BN1450" s="40"/>
      <c r="BO1450" s="40"/>
      <c r="BP1450" s="155"/>
      <c r="BQ1450" s="314"/>
      <c r="BR1450" s="314"/>
      <c r="BS1450" s="314"/>
      <c r="BT1450" s="314"/>
      <c r="BU1450" s="314"/>
      <c r="BV1450" s="314"/>
      <c r="BW1450" s="314"/>
      <c r="BX1450" s="155"/>
    </row>
    <row r="1451" spans="1:76" ht="15.75" customHeight="1">
      <c r="A1451" s="25"/>
      <c r="B1451" s="39"/>
      <c r="C1451" s="155"/>
      <c r="D1451" s="155"/>
      <c r="E1451" s="40"/>
      <c r="F1451" s="314"/>
      <c r="H1451" s="315"/>
      <c r="I1451" s="315"/>
      <c r="BA1451" s="30"/>
      <c r="BB1451" s="155"/>
      <c r="BC1451" s="314"/>
      <c r="BD1451" s="314"/>
      <c r="BE1451" s="314"/>
      <c r="BF1451" s="314"/>
      <c r="BG1451" s="314"/>
      <c r="BH1451" s="314"/>
      <c r="BI1451" s="314"/>
      <c r="BJ1451" s="314"/>
      <c r="BK1451" s="40"/>
      <c r="BL1451" s="40"/>
      <c r="BM1451" s="40"/>
      <c r="BN1451" s="40"/>
      <c r="BO1451" s="40"/>
      <c r="BP1451" s="155"/>
      <c r="BQ1451" s="314"/>
      <c r="BR1451" s="314"/>
      <c r="BS1451" s="314"/>
      <c r="BT1451" s="314"/>
      <c r="BU1451" s="314"/>
      <c r="BV1451" s="314"/>
      <c r="BW1451" s="314"/>
      <c r="BX1451" s="155"/>
    </row>
    <row r="1452" spans="1:76" ht="15.75" customHeight="1">
      <c r="A1452" s="25"/>
      <c r="B1452" s="39"/>
      <c r="C1452" s="155"/>
      <c r="D1452" s="155"/>
      <c r="E1452" s="40"/>
      <c r="F1452" s="314"/>
      <c r="H1452" s="315"/>
      <c r="I1452" s="315"/>
      <c r="BA1452" s="30"/>
      <c r="BB1452" s="155"/>
      <c r="BC1452" s="314"/>
      <c r="BD1452" s="314"/>
      <c r="BE1452" s="314"/>
      <c r="BF1452" s="314"/>
      <c r="BG1452" s="314"/>
      <c r="BH1452" s="314"/>
      <c r="BI1452" s="314"/>
      <c r="BJ1452" s="314"/>
      <c r="BK1452" s="40"/>
      <c r="BL1452" s="40"/>
      <c r="BM1452" s="40"/>
      <c r="BN1452" s="40"/>
      <c r="BO1452" s="40"/>
      <c r="BP1452" s="155"/>
      <c r="BQ1452" s="314"/>
      <c r="BR1452" s="314"/>
      <c r="BS1452" s="314"/>
      <c r="BT1452" s="314"/>
      <c r="BU1452" s="314"/>
      <c r="BV1452" s="314"/>
      <c r="BW1452" s="314"/>
      <c r="BX1452" s="155"/>
    </row>
    <row r="1453" spans="1:76" ht="15.75" customHeight="1">
      <c r="A1453" s="25"/>
      <c r="B1453" s="39"/>
      <c r="C1453" s="155"/>
      <c r="D1453" s="155"/>
      <c r="E1453" s="40"/>
      <c r="F1453" s="314"/>
      <c r="H1453" s="315"/>
      <c r="I1453" s="315"/>
      <c r="BA1453" s="30"/>
      <c r="BB1453" s="155"/>
      <c r="BC1453" s="314"/>
      <c r="BD1453" s="314"/>
      <c r="BE1453" s="314"/>
      <c r="BF1453" s="314"/>
      <c r="BG1453" s="314"/>
      <c r="BH1453" s="314"/>
      <c r="BI1453" s="314"/>
      <c r="BJ1453" s="314"/>
      <c r="BK1453" s="40"/>
      <c r="BL1453" s="40"/>
      <c r="BM1453" s="40"/>
      <c r="BN1453" s="40"/>
      <c r="BO1453" s="40"/>
      <c r="BP1453" s="155"/>
      <c r="BQ1453" s="314"/>
      <c r="BR1453" s="314"/>
      <c r="BS1453" s="314"/>
      <c r="BT1453" s="314"/>
      <c r="BU1453" s="314"/>
      <c r="BV1453" s="314"/>
      <c r="BW1453" s="314"/>
      <c r="BX1453" s="155"/>
    </row>
    <row r="1454" spans="1:76" ht="15.75" customHeight="1">
      <c r="A1454" s="25"/>
      <c r="B1454" s="39"/>
      <c r="C1454" s="155"/>
      <c r="D1454" s="155"/>
      <c r="E1454" s="40"/>
      <c r="F1454" s="314"/>
      <c r="H1454" s="315"/>
      <c r="I1454" s="315"/>
      <c r="BA1454" s="30"/>
      <c r="BB1454" s="155"/>
      <c r="BC1454" s="314"/>
      <c r="BD1454" s="314"/>
      <c r="BE1454" s="314"/>
      <c r="BF1454" s="314"/>
      <c r="BG1454" s="314"/>
      <c r="BH1454" s="314"/>
      <c r="BI1454" s="314"/>
      <c r="BJ1454" s="314"/>
      <c r="BK1454" s="40"/>
      <c r="BL1454" s="40"/>
      <c r="BM1454" s="40"/>
      <c r="BN1454" s="40"/>
      <c r="BO1454" s="40"/>
      <c r="BP1454" s="155"/>
      <c r="BQ1454" s="314"/>
      <c r="BR1454" s="314"/>
      <c r="BS1454" s="314"/>
      <c r="BT1454" s="314"/>
      <c r="BU1454" s="314"/>
      <c r="BV1454" s="314"/>
      <c r="BW1454" s="314"/>
      <c r="BX1454" s="155"/>
    </row>
    <row r="1455" spans="1:76" ht="15.75" customHeight="1">
      <c r="A1455" s="25"/>
      <c r="B1455" s="39"/>
      <c r="C1455" s="155"/>
      <c r="D1455" s="155"/>
      <c r="E1455" s="40"/>
      <c r="F1455" s="314"/>
      <c r="H1455" s="315"/>
      <c r="I1455" s="315"/>
      <c r="BA1455" s="30"/>
      <c r="BB1455" s="155"/>
      <c r="BC1455" s="314"/>
      <c r="BD1455" s="314"/>
      <c r="BE1455" s="314"/>
      <c r="BF1455" s="314"/>
      <c r="BG1455" s="314"/>
      <c r="BH1455" s="314"/>
      <c r="BI1455" s="314"/>
      <c r="BJ1455" s="314"/>
      <c r="BK1455" s="40"/>
      <c r="BL1455" s="40"/>
      <c r="BM1455" s="40"/>
      <c r="BN1455" s="40"/>
      <c r="BO1455" s="40"/>
      <c r="BP1455" s="155"/>
      <c r="BQ1455" s="314"/>
      <c r="BR1455" s="314"/>
      <c r="BS1455" s="314"/>
      <c r="BT1455" s="314"/>
      <c r="BU1455" s="314"/>
      <c r="BV1455" s="314"/>
      <c r="BW1455" s="314"/>
      <c r="BX1455" s="155"/>
    </row>
    <row r="1456" spans="1:76" ht="15.75" customHeight="1">
      <c r="A1456" s="25"/>
      <c r="B1456" s="39"/>
      <c r="C1456" s="155"/>
      <c r="D1456" s="155"/>
      <c r="E1456" s="40"/>
      <c r="F1456" s="314"/>
      <c r="H1456" s="315"/>
      <c r="I1456" s="315"/>
      <c r="BA1456" s="30"/>
      <c r="BB1456" s="155"/>
      <c r="BC1456" s="314"/>
      <c r="BD1456" s="314"/>
      <c r="BE1456" s="314"/>
      <c r="BF1456" s="314"/>
      <c r="BG1456" s="314"/>
      <c r="BH1456" s="314"/>
      <c r="BI1456" s="314"/>
      <c r="BJ1456" s="314"/>
      <c r="BK1456" s="40"/>
      <c r="BL1456" s="40"/>
      <c r="BM1456" s="40"/>
      <c r="BN1456" s="40"/>
      <c r="BO1456" s="40"/>
      <c r="BP1456" s="155"/>
      <c r="BQ1456" s="314"/>
      <c r="BR1456" s="314"/>
      <c r="BS1456" s="314"/>
      <c r="BT1456" s="314"/>
      <c r="BU1456" s="314"/>
      <c r="BV1456" s="314"/>
      <c r="BW1456" s="314"/>
      <c r="BX1456" s="155"/>
    </row>
    <row r="1457" spans="1:76" ht="15.75" customHeight="1">
      <c r="A1457" s="25"/>
      <c r="B1457" s="39"/>
      <c r="C1457" s="155"/>
      <c r="D1457" s="155"/>
      <c r="E1457" s="40"/>
      <c r="F1457" s="314"/>
      <c r="H1457" s="315"/>
      <c r="I1457" s="315"/>
      <c r="BA1457" s="30"/>
      <c r="BB1457" s="155"/>
      <c r="BC1457" s="314"/>
      <c r="BD1457" s="314"/>
      <c r="BE1457" s="314"/>
      <c r="BF1457" s="314"/>
      <c r="BG1457" s="314"/>
      <c r="BH1457" s="314"/>
      <c r="BI1457" s="314"/>
      <c r="BJ1457" s="314"/>
      <c r="BK1457" s="40"/>
      <c r="BL1457" s="40"/>
      <c r="BM1457" s="40"/>
      <c r="BN1457" s="40"/>
      <c r="BO1457" s="40"/>
      <c r="BP1457" s="155"/>
      <c r="BQ1457" s="314"/>
      <c r="BR1457" s="314"/>
      <c r="BS1457" s="314"/>
      <c r="BT1457" s="314"/>
      <c r="BU1457" s="314"/>
      <c r="BV1457" s="314"/>
      <c r="BW1457" s="314"/>
      <c r="BX1457" s="155"/>
    </row>
    <row r="1458" spans="1:76" ht="15.75" customHeight="1">
      <c r="A1458" s="25"/>
      <c r="B1458" s="39"/>
      <c r="C1458" s="155"/>
      <c r="D1458" s="155"/>
      <c r="E1458" s="40"/>
      <c r="F1458" s="314"/>
      <c r="H1458" s="315"/>
      <c r="I1458" s="315"/>
      <c r="BA1458" s="30"/>
      <c r="BB1458" s="155"/>
      <c r="BC1458" s="314"/>
      <c r="BD1458" s="314"/>
      <c r="BE1458" s="314"/>
      <c r="BF1458" s="314"/>
      <c r="BG1458" s="314"/>
      <c r="BH1458" s="314"/>
      <c r="BI1458" s="314"/>
      <c r="BJ1458" s="314"/>
      <c r="BK1458" s="40"/>
      <c r="BL1458" s="40"/>
      <c r="BM1458" s="40"/>
      <c r="BN1458" s="40"/>
      <c r="BO1458" s="40"/>
      <c r="BP1458" s="155"/>
      <c r="BQ1458" s="314"/>
      <c r="BR1458" s="314"/>
      <c r="BS1458" s="314"/>
      <c r="BT1458" s="314"/>
      <c r="BU1458" s="314"/>
      <c r="BV1458" s="314"/>
      <c r="BW1458" s="314"/>
      <c r="BX1458" s="155"/>
    </row>
    <row r="1459" spans="1:76" ht="15.75" customHeight="1">
      <c r="A1459" s="25"/>
      <c r="B1459" s="39"/>
      <c r="C1459" s="155"/>
      <c r="D1459" s="155"/>
      <c r="E1459" s="40"/>
      <c r="F1459" s="314"/>
      <c r="H1459" s="315"/>
      <c r="I1459" s="315"/>
      <c r="BA1459" s="30"/>
      <c r="BB1459" s="155"/>
      <c r="BC1459" s="314"/>
      <c r="BD1459" s="314"/>
      <c r="BE1459" s="314"/>
      <c r="BF1459" s="314"/>
      <c r="BG1459" s="314"/>
      <c r="BH1459" s="314"/>
      <c r="BI1459" s="314"/>
      <c r="BJ1459" s="314"/>
      <c r="BK1459" s="40"/>
      <c r="BL1459" s="40"/>
      <c r="BM1459" s="40"/>
      <c r="BN1459" s="40"/>
      <c r="BO1459" s="40"/>
      <c r="BP1459" s="155"/>
      <c r="BQ1459" s="314"/>
      <c r="BR1459" s="314"/>
      <c r="BS1459" s="314"/>
      <c r="BT1459" s="314"/>
      <c r="BU1459" s="314"/>
      <c r="BV1459" s="314"/>
      <c r="BW1459" s="314"/>
      <c r="BX1459" s="155"/>
    </row>
    <row r="1460" spans="1:76" ht="15.75" customHeight="1">
      <c r="A1460" s="25"/>
      <c r="B1460" s="39"/>
      <c r="C1460" s="155"/>
      <c r="D1460" s="155"/>
      <c r="E1460" s="40"/>
      <c r="F1460" s="314"/>
      <c r="H1460" s="315"/>
      <c r="I1460" s="315"/>
      <c r="BA1460" s="30"/>
      <c r="BB1460" s="155"/>
      <c r="BC1460" s="314"/>
      <c r="BD1460" s="314"/>
      <c r="BE1460" s="314"/>
      <c r="BF1460" s="314"/>
      <c r="BG1460" s="314"/>
      <c r="BH1460" s="314"/>
      <c r="BI1460" s="314"/>
      <c r="BJ1460" s="314"/>
      <c r="BK1460" s="40"/>
      <c r="BL1460" s="40"/>
      <c r="BM1460" s="40"/>
      <c r="BN1460" s="40"/>
      <c r="BO1460" s="40"/>
      <c r="BP1460" s="155"/>
      <c r="BQ1460" s="314"/>
      <c r="BR1460" s="314"/>
      <c r="BS1460" s="314"/>
      <c r="BT1460" s="314"/>
      <c r="BU1460" s="314"/>
      <c r="BV1460" s="314"/>
      <c r="BW1460" s="314"/>
      <c r="BX1460" s="155"/>
    </row>
    <row r="1461" spans="1:76" ht="15.75" customHeight="1">
      <c r="A1461" s="25"/>
      <c r="B1461" s="39"/>
      <c r="C1461" s="155"/>
      <c r="D1461" s="155"/>
      <c r="E1461" s="40"/>
      <c r="F1461" s="314"/>
      <c r="H1461" s="315"/>
      <c r="I1461" s="315"/>
      <c r="BA1461" s="30"/>
      <c r="BB1461" s="155"/>
      <c r="BC1461" s="314"/>
      <c r="BD1461" s="314"/>
      <c r="BE1461" s="314"/>
      <c r="BF1461" s="314"/>
      <c r="BG1461" s="314"/>
      <c r="BH1461" s="314"/>
      <c r="BI1461" s="314"/>
      <c r="BJ1461" s="314"/>
      <c r="BK1461" s="40"/>
      <c r="BL1461" s="40"/>
      <c r="BM1461" s="40"/>
      <c r="BN1461" s="40"/>
      <c r="BO1461" s="40"/>
      <c r="BP1461" s="155"/>
      <c r="BQ1461" s="314"/>
      <c r="BR1461" s="314"/>
      <c r="BS1461" s="314"/>
      <c r="BT1461" s="314"/>
      <c r="BU1461" s="314"/>
      <c r="BV1461" s="314"/>
      <c r="BW1461" s="314"/>
      <c r="BX1461" s="155"/>
    </row>
    <row r="1462" spans="1:76" ht="15.75" customHeight="1">
      <c r="A1462" s="25"/>
      <c r="B1462" s="39"/>
      <c r="C1462" s="155"/>
      <c r="D1462" s="155"/>
      <c r="E1462" s="40"/>
      <c r="F1462" s="314"/>
      <c r="H1462" s="315"/>
      <c r="I1462" s="315"/>
      <c r="BA1462" s="30"/>
      <c r="BB1462" s="155"/>
      <c r="BC1462" s="314"/>
      <c r="BD1462" s="314"/>
      <c r="BE1462" s="314"/>
      <c r="BF1462" s="314"/>
      <c r="BG1462" s="314"/>
      <c r="BH1462" s="314"/>
      <c r="BI1462" s="314"/>
      <c r="BJ1462" s="314"/>
      <c r="BK1462" s="40"/>
      <c r="BL1462" s="40"/>
      <c r="BM1462" s="40"/>
      <c r="BN1462" s="40"/>
      <c r="BO1462" s="40"/>
      <c r="BP1462" s="155"/>
      <c r="BQ1462" s="314"/>
      <c r="BR1462" s="314"/>
      <c r="BS1462" s="314"/>
      <c r="BT1462" s="314"/>
      <c r="BU1462" s="314"/>
      <c r="BV1462" s="314"/>
      <c r="BW1462" s="314"/>
      <c r="BX1462" s="155"/>
    </row>
    <row r="1463" spans="1:76" ht="15.75" customHeight="1">
      <c r="A1463" s="25"/>
      <c r="B1463" s="39"/>
      <c r="C1463" s="155"/>
      <c r="D1463" s="155"/>
      <c r="E1463" s="40"/>
      <c r="F1463" s="314"/>
      <c r="H1463" s="315"/>
      <c r="I1463" s="315"/>
      <c r="BA1463" s="30"/>
      <c r="BB1463" s="155"/>
      <c r="BC1463" s="314"/>
      <c r="BD1463" s="314"/>
      <c r="BE1463" s="314"/>
      <c r="BF1463" s="314"/>
      <c r="BG1463" s="314"/>
      <c r="BH1463" s="314"/>
      <c r="BI1463" s="314"/>
      <c r="BJ1463" s="314"/>
      <c r="BK1463" s="40"/>
      <c r="BL1463" s="40"/>
      <c r="BM1463" s="40"/>
      <c r="BN1463" s="40"/>
      <c r="BO1463" s="40"/>
      <c r="BP1463" s="155"/>
      <c r="BQ1463" s="314"/>
      <c r="BR1463" s="314"/>
      <c r="BS1463" s="314"/>
      <c r="BT1463" s="314"/>
      <c r="BU1463" s="314"/>
      <c r="BV1463" s="314"/>
      <c r="BW1463" s="314"/>
      <c r="BX1463" s="155"/>
    </row>
    <row r="1464" spans="1:76" ht="15.75" customHeight="1">
      <c r="A1464" s="25"/>
      <c r="B1464" s="39"/>
      <c r="C1464" s="155"/>
      <c r="D1464" s="155"/>
      <c r="E1464" s="40"/>
      <c r="F1464" s="314"/>
      <c r="H1464" s="315"/>
      <c r="I1464" s="315"/>
      <c r="BA1464" s="30"/>
      <c r="BB1464" s="155"/>
      <c r="BC1464" s="314"/>
      <c r="BD1464" s="314"/>
      <c r="BE1464" s="314"/>
      <c r="BF1464" s="314"/>
      <c r="BG1464" s="314"/>
      <c r="BH1464" s="314"/>
      <c r="BI1464" s="314"/>
      <c r="BJ1464" s="314"/>
      <c r="BK1464" s="40"/>
      <c r="BL1464" s="40"/>
      <c r="BM1464" s="40"/>
      <c r="BN1464" s="40"/>
      <c r="BO1464" s="40"/>
      <c r="BP1464" s="155"/>
      <c r="BQ1464" s="314"/>
      <c r="BR1464" s="314"/>
      <c r="BS1464" s="314"/>
      <c r="BT1464" s="314"/>
      <c r="BU1464" s="314"/>
      <c r="BV1464" s="314"/>
      <c r="BW1464" s="314"/>
      <c r="BX1464" s="155"/>
    </row>
    <row r="1465" spans="1:76" ht="15.75" customHeight="1">
      <c r="A1465" s="25"/>
      <c r="B1465" s="39"/>
      <c r="C1465" s="155"/>
      <c r="D1465" s="155"/>
      <c r="E1465" s="40"/>
      <c r="F1465" s="314"/>
      <c r="H1465" s="315"/>
      <c r="I1465" s="315"/>
      <c r="BA1465" s="30"/>
      <c r="BB1465" s="155"/>
      <c r="BC1465" s="314"/>
      <c r="BD1465" s="314"/>
      <c r="BE1465" s="314"/>
      <c r="BF1465" s="314"/>
      <c r="BG1465" s="314"/>
      <c r="BH1465" s="314"/>
      <c r="BI1465" s="314"/>
      <c r="BJ1465" s="314"/>
      <c r="BK1465" s="40"/>
      <c r="BL1465" s="40"/>
      <c r="BM1465" s="40"/>
      <c r="BN1465" s="40"/>
      <c r="BO1465" s="40"/>
      <c r="BP1465" s="155"/>
      <c r="BQ1465" s="314"/>
      <c r="BR1465" s="314"/>
      <c r="BS1465" s="314"/>
      <c r="BT1465" s="314"/>
      <c r="BU1465" s="314"/>
      <c r="BV1465" s="314"/>
      <c r="BW1465" s="314"/>
      <c r="BX1465" s="155"/>
    </row>
    <row r="1466" spans="1:76" ht="15.75" customHeight="1">
      <c r="A1466" s="25"/>
      <c r="B1466" s="39"/>
      <c r="C1466" s="155"/>
      <c r="D1466" s="155"/>
      <c r="E1466" s="40"/>
      <c r="F1466" s="314"/>
      <c r="H1466" s="315"/>
      <c r="I1466" s="315"/>
      <c r="BA1466" s="30"/>
      <c r="BB1466" s="155"/>
      <c r="BC1466" s="314"/>
      <c r="BD1466" s="314"/>
      <c r="BE1466" s="314"/>
      <c r="BF1466" s="314"/>
      <c r="BG1466" s="314"/>
      <c r="BH1466" s="314"/>
      <c r="BI1466" s="314"/>
      <c r="BJ1466" s="314"/>
      <c r="BK1466" s="40"/>
      <c r="BL1466" s="40"/>
      <c r="BM1466" s="40"/>
      <c r="BN1466" s="40"/>
      <c r="BO1466" s="40"/>
      <c r="BP1466" s="155"/>
      <c r="BQ1466" s="314"/>
      <c r="BR1466" s="314"/>
      <c r="BS1466" s="314"/>
      <c r="BT1466" s="314"/>
      <c r="BU1466" s="314"/>
      <c r="BV1466" s="314"/>
      <c r="BW1466" s="314"/>
      <c r="BX1466" s="155"/>
    </row>
    <row r="1467" spans="1:76" ht="15.75" customHeight="1">
      <c r="A1467" s="25"/>
      <c r="B1467" s="39"/>
      <c r="C1467" s="155"/>
      <c r="D1467" s="155"/>
      <c r="E1467" s="40"/>
      <c r="F1467" s="314"/>
      <c r="H1467" s="315"/>
      <c r="I1467" s="315"/>
      <c r="BA1467" s="30"/>
      <c r="BB1467" s="155"/>
      <c r="BC1467" s="314"/>
      <c r="BD1467" s="314"/>
      <c r="BE1467" s="314"/>
      <c r="BF1467" s="314"/>
      <c r="BG1467" s="314"/>
      <c r="BH1467" s="314"/>
      <c r="BI1467" s="314"/>
      <c r="BJ1467" s="314"/>
      <c r="BK1467" s="40"/>
      <c r="BL1467" s="40"/>
      <c r="BM1467" s="40"/>
      <c r="BN1467" s="40"/>
      <c r="BO1467" s="40"/>
      <c r="BP1467" s="155"/>
      <c r="BQ1467" s="314"/>
      <c r="BR1467" s="314"/>
      <c r="BS1467" s="314"/>
      <c r="BT1467" s="314"/>
      <c r="BU1467" s="314"/>
      <c r="BV1467" s="314"/>
      <c r="BW1467" s="314"/>
      <c r="BX1467" s="155"/>
    </row>
    <row r="1468" spans="1:76" ht="15.75" customHeight="1">
      <c r="A1468" s="25"/>
      <c r="B1468" s="39"/>
      <c r="C1468" s="155"/>
      <c r="D1468" s="155"/>
      <c r="E1468" s="40"/>
      <c r="F1468" s="314"/>
      <c r="H1468" s="315"/>
      <c r="I1468" s="315"/>
      <c r="BA1468" s="30"/>
      <c r="BB1468" s="155"/>
      <c r="BC1468" s="314"/>
      <c r="BD1468" s="314"/>
      <c r="BE1468" s="314"/>
      <c r="BF1468" s="314"/>
      <c r="BG1468" s="314"/>
      <c r="BH1468" s="314"/>
      <c r="BI1468" s="314"/>
      <c r="BJ1468" s="314"/>
      <c r="BK1468" s="40"/>
      <c r="BL1468" s="40"/>
      <c r="BM1468" s="40"/>
      <c r="BN1468" s="40"/>
      <c r="BO1468" s="40"/>
      <c r="BP1468" s="155"/>
      <c r="BQ1468" s="314"/>
      <c r="BR1468" s="314"/>
      <c r="BS1468" s="314"/>
      <c r="BT1468" s="314"/>
      <c r="BU1468" s="314"/>
      <c r="BV1468" s="314"/>
      <c r="BW1468" s="314"/>
      <c r="BX1468" s="155"/>
    </row>
    <row r="1469" spans="1:76" ht="15.75" customHeight="1">
      <c r="A1469" s="25"/>
      <c r="B1469" s="39"/>
      <c r="C1469" s="155"/>
      <c r="D1469" s="155"/>
      <c r="E1469" s="40"/>
      <c r="F1469" s="314"/>
      <c r="H1469" s="315"/>
      <c r="I1469" s="315"/>
      <c r="BA1469" s="30"/>
      <c r="BB1469" s="155"/>
      <c r="BC1469" s="314"/>
      <c r="BD1469" s="314"/>
      <c r="BE1469" s="314"/>
      <c r="BF1469" s="314"/>
      <c r="BG1469" s="314"/>
      <c r="BH1469" s="314"/>
      <c r="BI1469" s="314"/>
      <c r="BJ1469" s="314"/>
      <c r="BK1469" s="40"/>
      <c r="BL1469" s="40"/>
      <c r="BM1469" s="40"/>
      <c r="BN1469" s="40"/>
      <c r="BO1469" s="40"/>
      <c r="BP1469" s="155"/>
      <c r="BQ1469" s="314"/>
      <c r="BR1469" s="314"/>
      <c r="BS1469" s="314"/>
      <c r="BT1469" s="314"/>
      <c r="BU1469" s="314"/>
      <c r="BV1469" s="314"/>
      <c r="BW1469" s="314"/>
      <c r="BX1469" s="155"/>
    </row>
    <row r="1470" spans="1:76" ht="15.75" customHeight="1">
      <c r="A1470" s="25"/>
      <c r="B1470" s="39"/>
      <c r="C1470" s="155"/>
      <c r="D1470" s="155"/>
      <c r="E1470" s="40"/>
      <c r="F1470" s="314"/>
      <c r="H1470" s="315"/>
      <c r="I1470" s="315"/>
      <c r="BA1470" s="30"/>
      <c r="BB1470" s="155"/>
      <c r="BC1470" s="314"/>
      <c r="BD1470" s="314"/>
      <c r="BE1470" s="314"/>
      <c r="BF1470" s="314"/>
      <c r="BG1470" s="314"/>
      <c r="BH1470" s="314"/>
      <c r="BI1470" s="314"/>
      <c r="BJ1470" s="314"/>
      <c r="BK1470" s="40"/>
      <c r="BL1470" s="40"/>
      <c r="BM1470" s="40"/>
      <c r="BN1470" s="40"/>
      <c r="BO1470" s="40"/>
      <c r="BP1470" s="155"/>
      <c r="BQ1470" s="314"/>
      <c r="BR1470" s="314"/>
      <c r="BS1470" s="314"/>
      <c r="BT1470" s="314"/>
      <c r="BU1470" s="314"/>
      <c r="BV1470" s="314"/>
      <c r="BW1470" s="314"/>
      <c r="BX1470" s="155"/>
    </row>
    <row r="1471" spans="1:76" ht="15.75" customHeight="1">
      <c r="A1471" s="25"/>
      <c r="B1471" s="39"/>
      <c r="C1471" s="155"/>
      <c r="D1471" s="155"/>
      <c r="E1471" s="40"/>
      <c r="F1471" s="314"/>
      <c r="H1471" s="315"/>
      <c r="I1471" s="315"/>
      <c r="BA1471" s="30"/>
      <c r="BB1471" s="155"/>
      <c r="BC1471" s="314"/>
      <c r="BD1471" s="314"/>
      <c r="BE1471" s="314"/>
      <c r="BF1471" s="314"/>
      <c r="BG1471" s="314"/>
      <c r="BH1471" s="314"/>
      <c r="BI1471" s="314"/>
      <c r="BJ1471" s="314"/>
      <c r="BK1471" s="40"/>
      <c r="BL1471" s="40"/>
      <c r="BM1471" s="40"/>
      <c r="BN1471" s="40"/>
      <c r="BO1471" s="40"/>
      <c r="BP1471" s="155"/>
      <c r="BQ1471" s="314"/>
      <c r="BR1471" s="314"/>
      <c r="BS1471" s="314"/>
      <c r="BT1471" s="314"/>
      <c r="BU1471" s="314"/>
      <c r="BV1471" s="314"/>
      <c r="BW1471" s="314"/>
      <c r="BX1471" s="155"/>
    </row>
    <row r="1472" spans="1:76" ht="15.75" customHeight="1">
      <c r="A1472" s="25"/>
      <c r="B1472" s="39"/>
      <c r="C1472" s="155"/>
      <c r="D1472" s="155"/>
      <c r="E1472" s="40"/>
      <c r="F1472" s="314"/>
      <c r="H1472" s="315"/>
      <c r="I1472" s="315"/>
      <c r="BA1472" s="30"/>
      <c r="BB1472" s="155"/>
      <c r="BC1472" s="314"/>
      <c r="BD1472" s="314"/>
      <c r="BE1472" s="314"/>
      <c r="BF1472" s="314"/>
      <c r="BG1472" s="314"/>
      <c r="BH1472" s="314"/>
      <c r="BI1472" s="314"/>
      <c r="BJ1472" s="314"/>
      <c r="BK1472" s="40"/>
      <c r="BL1472" s="40"/>
      <c r="BM1472" s="40"/>
      <c r="BN1472" s="40"/>
      <c r="BO1472" s="40"/>
      <c r="BP1472" s="155"/>
      <c r="BQ1472" s="314"/>
      <c r="BR1472" s="314"/>
      <c r="BS1472" s="314"/>
      <c r="BT1472" s="314"/>
      <c r="BU1472" s="314"/>
      <c r="BV1472" s="314"/>
      <c r="BW1472" s="314"/>
      <c r="BX1472" s="155"/>
    </row>
    <row r="1473" spans="1:76" ht="15.75" customHeight="1">
      <c r="A1473" s="25"/>
      <c r="B1473" s="39"/>
      <c r="C1473" s="155"/>
      <c r="D1473" s="155"/>
      <c r="E1473" s="40"/>
      <c r="F1473" s="314"/>
      <c r="H1473" s="315"/>
      <c r="I1473" s="315"/>
      <c r="BA1473" s="30"/>
      <c r="BB1473" s="155"/>
      <c r="BC1473" s="314"/>
      <c r="BD1473" s="314"/>
      <c r="BE1473" s="314"/>
      <c r="BF1473" s="314"/>
      <c r="BG1473" s="314"/>
      <c r="BH1473" s="314"/>
      <c r="BI1473" s="314"/>
      <c r="BJ1473" s="314"/>
      <c r="BK1473" s="40"/>
      <c r="BL1473" s="40"/>
      <c r="BM1473" s="40"/>
      <c r="BN1473" s="40"/>
      <c r="BO1473" s="40"/>
      <c r="BP1473" s="155"/>
      <c r="BQ1473" s="314"/>
      <c r="BR1473" s="314"/>
      <c r="BS1473" s="314"/>
      <c r="BT1473" s="314"/>
      <c r="BU1473" s="314"/>
      <c r="BV1473" s="314"/>
      <c r="BW1473" s="314"/>
      <c r="BX1473" s="155"/>
    </row>
    <row r="1474" spans="1:76" ht="15.75" customHeight="1">
      <c r="A1474" s="25"/>
      <c r="B1474" s="39"/>
      <c r="C1474" s="155"/>
      <c r="D1474" s="155"/>
      <c r="E1474" s="40"/>
      <c r="F1474" s="314"/>
      <c r="H1474" s="315"/>
      <c r="I1474" s="315"/>
      <c r="BA1474" s="30"/>
      <c r="BB1474" s="155"/>
      <c r="BC1474" s="314"/>
      <c r="BD1474" s="314"/>
      <c r="BE1474" s="314"/>
      <c r="BF1474" s="314"/>
      <c r="BG1474" s="314"/>
      <c r="BH1474" s="314"/>
      <c r="BI1474" s="314"/>
      <c r="BJ1474" s="314"/>
      <c r="BK1474" s="40"/>
      <c r="BL1474" s="40"/>
      <c r="BM1474" s="40"/>
      <c r="BN1474" s="40"/>
      <c r="BO1474" s="40"/>
      <c r="BP1474" s="155"/>
      <c r="BQ1474" s="314"/>
      <c r="BR1474" s="314"/>
      <c r="BS1474" s="314"/>
      <c r="BT1474" s="314"/>
      <c r="BU1474" s="314"/>
      <c r="BV1474" s="314"/>
      <c r="BW1474" s="314"/>
      <c r="BX1474" s="155"/>
    </row>
    <row r="1475" spans="1:76" ht="15.75" customHeight="1">
      <c r="A1475" s="25"/>
      <c r="B1475" s="39"/>
      <c r="C1475" s="155"/>
      <c r="D1475" s="155"/>
      <c r="E1475" s="40"/>
      <c r="F1475" s="314"/>
      <c r="H1475" s="315"/>
      <c r="I1475" s="315"/>
      <c r="BA1475" s="30"/>
      <c r="BB1475" s="155"/>
      <c r="BC1475" s="314"/>
      <c r="BD1475" s="314"/>
      <c r="BE1475" s="314"/>
      <c r="BF1475" s="314"/>
      <c r="BG1475" s="314"/>
      <c r="BH1475" s="314"/>
      <c r="BI1475" s="314"/>
      <c r="BJ1475" s="314"/>
      <c r="BK1475" s="40"/>
      <c r="BL1475" s="40"/>
      <c r="BM1475" s="40"/>
      <c r="BN1475" s="40"/>
      <c r="BO1475" s="40"/>
      <c r="BP1475" s="155"/>
      <c r="BQ1475" s="314"/>
      <c r="BR1475" s="314"/>
      <c r="BS1475" s="314"/>
      <c r="BT1475" s="314"/>
      <c r="BU1475" s="314"/>
      <c r="BV1475" s="314"/>
      <c r="BW1475" s="314"/>
      <c r="BX1475" s="155"/>
    </row>
    <row r="1476" spans="1:76" ht="15.75" customHeight="1">
      <c r="A1476" s="25"/>
      <c r="B1476" s="39"/>
      <c r="C1476" s="155"/>
      <c r="D1476" s="155"/>
      <c r="E1476" s="40"/>
      <c r="F1476" s="314"/>
      <c r="H1476" s="315"/>
      <c r="I1476" s="315"/>
      <c r="BA1476" s="30"/>
      <c r="BB1476" s="155"/>
      <c r="BC1476" s="314"/>
      <c r="BD1476" s="314"/>
      <c r="BE1476" s="314"/>
      <c r="BF1476" s="314"/>
      <c r="BG1476" s="314"/>
      <c r="BH1476" s="314"/>
      <c r="BI1476" s="314"/>
      <c r="BJ1476" s="314"/>
      <c r="BK1476" s="40"/>
      <c r="BL1476" s="40"/>
      <c r="BM1476" s="40"/>
      <c r="BN1476" s="40"/>
      <c r="BO1476" s="40"/>
      <c r="BP1476" s="155"/>
      <c r="BQ1476" s="314"/>
      <c r="BR1476" s="314"/>
      <c r="BS1476" s="314"/>
      <c r="BT1476" s="314"/>
      <c r="BU1476" s="314"/>
      <c r="BV1476" s="314"/>
      <c r="BW1476" s="314"/>
      <c r="BX1476" s="155"/>
    </row>
    <row r="1477" spans="1:76" ht="15.75" customHeight="1">
      <c r="A1477" s="25"/>
      <c r="B1477" s="39"/>
      <c r="C1477" s="155"/>
      <c r="D1477" s="155"/>
      <c r="E1477" s="40"/>
      <c r="F1477" s="314"/>
      <c r="H1477" s="315"/>
      <c r="I1477" s="315"/>
      <c r="BA1477" s="30"/>
      <c r="BB1477" s="155"/>
      <c r="BC1477" s="314"/>
      <c r="BD1477" s="314"/>
      <c r="BE1477" s="314"/>
      <c r="BF1477" s="314"/>
      <c r="BG1477" s="314"/>
      <c r="BH1477" s="314"/>
      <c r="BI1477" s="314"/>
      <c r="BJ1477" s="314"/>
      <c r="BK1477" s="40"/>
      <c r="BL1477" s="40"/>
      <c r="BM1477" s="40"/>
      <c r="BN1477" s="40"/>
      <c r="BO1477" s="40"/>
      <c r="BP1477" s="155"/>
      <c r="BQ1477" s="314"/>
      <c r="BR1477" s="314"/>
      <c r="BS1477" s="314"/>
      <c r="BT1477" s="314"/>
      <c r="BU1477" s="314"/>
      <c r="BV1477" s="314"/>
      <c r="BW1477" s="314"/>
      <c r="BX1477" s="155"/>
    </row>
    <row r="1478" spans="1:76" ht="15.75" customHeight="1">
      <c r="A1478" s="25"/>
      <c r="B1478" s="39"/>
      <c r="C1478" s="155"/>
      <c r="D1478" s="155"/>
      <c r="E1478" s="40"/>
      <c r="F1478" s="314"/>
      <c r="H1478" s="315"/>
      <c r="I1478" s="315"/>
      <c r="BA1478" s="30"/>
      <c r="BB1478" s="155"/>
      <c r="BC1478" s="314"/>
      <c r="BD1478" s="314"/>
      <c r="BE1478" s="314"/>
      <c r="BF1478" s="314"/>
      <c r="BG1478" s="314"/>
      <c r="BH1478" s="314"/>
      <c r="BI1478" s="314"/>
      <c r="BJ1478" s="314"/>
      <c r="BK1478" s="40"/>
      <c r="BL1478" s="40"/>
      <c r="BM1478" s="40"/>
      <c r="BN1478" s="40"/>
      <c r="BO1478" s="40"/>
      <c r="BP1478" s="155"/>
      <c r="BQ1478" s="314"/>
      <c r="BR1478" s="314"/>
      <c r="BS1478" s="314"/>
      <c r="BT1478" s="314"/>
      <c r="BU1478" s="314"/>
      <c r="BV1478" s="314"/>
      <c r="BW1478" s="314"/>
      <c r="BX1478" s="155"/>
    </row>
    <row r="1479" spans="1:76" ht="15.75" customHeight="1">
      <c r="A1479" s="25"/>
      <c r="B1479" s="39"/>
      <c r="C1479" s="155"/>
      <c r="D1479" s="155"/>
      <c r="E1479" s="40"/>
      <c r="F1479" s="314"/>
      <c r="H1479" s="315"/>
      <c r="I1479" s="315"/>
      <c r="BA1479" s="30"/>
      <c r="BB1479" s="155"/>
      <c r="BC1479" s="314"/>
      <c r="BD1479" s="314"/>
      <c r="BE1479" s="314"/>
      <c r="BF1479" s="314"/>
      <c r="BG1479" s="314"/>
      <c r="BH1479" s="314"/>
      <c r="BI1479" s="314"/>
      <c r="BJ1479" s="314"/>
      <c r="BK1479" s="40"/>
      <c r="BL1479" s="40"/>
      <c r="BM1479" s="40"/>
      <c r="BN1479" s="40"/>
      <c r="BO1479" s="40"/>
      <c r="BP1479" s="155"/>
      <c r="BQ1479" s="314"/>
      <c r="BR1479" s="314"/>
      <c r="BS1479" s="314"/>
      <c r="BT1479" s="314"/>
      <c r="BU1479" s="314"/>
      <c r="BV1479" s="314"/>
      <c r="BW1479" s="314"/>
      <c r="BX1479" s="155"/>
    </row>
    <row r="1480" spans="1:76" ht="15.75" customHeight="1">
      <c r="A1480" s="25"/>
      <c r="B1480" s="39"/>
      <c r="C1480" s="155"/>
      <c r="D1480" s="155"/>
      <c r="E1480" s="40"/>
      <c r="F1480" s="314"/>
      <c r="H1480" s="315"/>
      <c r="I1480" s="315"/>
      <c r="BA1480" s="30"/>
      <c r="BB1480" s="155"/>
      <c r="BC1480" s="314"/>
      <c r="BD1480" s="314"/>
      <c r="BE1480" s="314"/>
      <c r="BF1480" s="314"/>
      <c r="BG1480" s="314"/>
      <c r="BH1480" s="314"/>
      <c r="BI1480" s="314"/>
      <c r="BJ1480" s="314"/>
      <c r="BK1480" s="40"/>
      <c r="BL1480" s="40"/>
      <c r="BM1480" s="40"/>
      <c r="BN1480" s="40"/>
      <c r="BO1480" s="40"/>
      <c r="BP1480" s="155"/>
      <c r="BQ1480" s="314"/>
      <c r="BR1480" s="314"/>
      <c r="BS1480" s="314"/>
      <c r="BT1480" s="314"/>
      <c r="BU1480" s="314"/>
      <c r="BV1480" s="314"/>
      <c r="BW1480" s="314"/>
      <c r="BX1480" s="155"/>
    </row>
    <row r="1481" spans="1:76" ht="15.75" customHeight="1">
      <c r="A1481" s="25"/>
      <c r="B1481" s="39"/>
      <c r="C1481" s="155"/>
      <c r="D1481" s="155"/>
      <c r="E1481" s="40"/>
      <c r="F1481" s="314"/>
      <c r="H1481" s="315"/>
      <c r="I1481" s="315"/>
      <c r="BA1481" s="30"/>
      <c r="BB1481" s="155"/>
      <c r="BC1481" s="314"/>
      <c r="BD1481" s="314"/>
      <c r="BE1481" s="314"/>
      <c r="BF1481" s="314"/>
      <c r="BG1481" s="314"/>
      <c r="BH1481" s="314"/>
      <c r="BI1481" s="314"/>
      <c r="BJ1481" s="314"/>
      <c r="BK1481" s="40"/>
      <c r="BL1481" s="40"/>
      <c r="BM1481" s="40"/>
      <c r="BN1481" s="40"/>
      <c r="BO1481" s="40"/>
      <c r="BP1481" s="155"/>
      <c r="BQ1481" s="314"/>
      <c r="BR1481" s="314"/>
      <c r="BS1481" s="314"/>
      <c r="BT1481" s="314"/>
      <c r="BU1481" s="314"/>
      <c r="BV1481" s="314"/>
      <c r="BW1481" s="314"/>
      <c r="BX1481" s="155"/>
    </row>
    <row r="1482" spans="1:76" ht="15.75" customHeight="1">
      <c r="A1482" s="25"/>
      <c r="B1482" s="39"/>
      <c r="C1482" s="155"/>
      <c r="D1482" s="155"/>
      <c r="E1482" s="40"/>
      <c r="F1482" s="314"/>
      <c r="H1482" s="315"/>
      <c r="I1482" s="315"/>
      <c r="BA1482" s="30"/>
      <c r="BB1482" s="155"/>
      <c r="BC1482" s="314"/>
      <c r="BD1482" s="314"/>
      <c r="BE1482" s="314"/>
      <c r="BF1482" s="314"/>
      <c r="BG1482" s="314"/>
      <c r="BH1482" s="314"/>
      <c r="BI1482" s="314"/>
      <c r="BJ1482" s="314"/>
      <c r="BK1482" s="40"/>
      <c r="BL1482" s="40"/>
      <c r="BM1482" s="40"/>
      <c r="BN1482" s="40"/>
      <c r="BO1482" s="40"/>
      <c r="BP1482" s="155"/>
      <c r="BQ1482" s="314"/>
      <c r="BR1482" s="314"/>
      <c r="BS1482" s="314"/>
      <c r="BT1482" s="314"/>
      <c r="BU1482" s="314"/>
      <c r="BV1482" s="314"/>
      <c r="BW1482" s="314"/>
      <c r="BX1482" s="155"/>
    </row>
    <row r="1483" spans="1:76" ht="15.75" customHeight="1">
      <c r="A1483" s="25"/>
      <c r="B1483" s="39"/>
      <c r="C1483" s="155"/>
      <c r="D1483" s="155"/>
      <c r="E1483" s="40"/>
      <c r="F1483" s="314"/>
      <c r="H1483" s="315"/>
      <c r="I1483" s="315"/>
      <c r="BA1483" s="30"/>
      <c r="BB1483" s="155"/>
      <c r="BC1483" s="314"/>
      <c r="BD1483" s="314"/>
      <c r="BE1483" s="314"/>
      <c r="BF1483" s="314"/>
      <c r="BG1483" s="314"/>
      <c r="BH1483" s="314"/>
      <c r="BI1483" s="314"/>
      <c r="BJ1483" s="314"/>
      <c r="BK1483" s="40"/>
      <c r="BL1483" s="40"/>
      <c r="BM1483" s="40"/>
      <c r="BN1483" s="40"/>
      <c r="BO1483" s="40"/>
      <c r="BP1483" s="155"/>
      <c r="BQ1483" s="314"/>
      <c r="BR1483" s="314"/>
      <c r="BS1483" s="314"/>
      <c r="BT1483" s="314"/>
      <c r="BU1483" s="314"/>
      <c r="BV1483" s="314"/>
      <c r="BW1483" s="314"/>
      <c r="BX1483" s="155"/>
    </row>
    <row r="1484" spans="1:76" ht="15.75" customHeight="1">
      <c r="A1484" s="25"/>
      <c r="B1484" s="39"/>
      <c r="C1484" s="155"/>
      <c r="D1484" s="155"/>
      <c r="E1484" s="40"/>
      <c r="F1484" s="314"/>
      <c r="H1484" s="315"/>
      <c r="I1484" s="315"/>
      <c r="BA1484" s="30"/>
      <c r="BB1484" s="155"/>
      <c r="BC1484" s="314"/>
      <c r="BD1484" s="314"/>
      <c r="BE1484" s="314"/>
      <c r="BF1484" s="314"/>
      <c r="BG1484" s="314"/>
      <c r="BH1484" s="314"/>
      <c r="BI1484" s="314"/>
      <c r="BJ1484" s="314"/>
      <c r="BK1484" s="40"/>
      <c r="BL1484" s="40"/>
      <c r="BM1484" s="40"/>
      <c r="BN1484" s="40"/>
      <c r="BO1484" s="40"/>
      <c r="BP1484" s="155"/>
      <c r="BQ1484" s="314"/>
      <c r="BR1484" s="314"/>
      <c r="BS1484" s="314"/>
      <c r="BT1484" s="314"/>
      <c r="BU1484" s="314"/>
      <c r="BV1484" s="314"/>
      <c r="BW1484" s="314"/>
      <c r="BX1484" s="155"/>
    </row>
    <row r="1485" spans="1:76" ht="15.75" customHeight="1">
      <c r="A1485" s="25"/>
      <c r="B1485" s="39"/>
      <c r="C1485" s="155"/>
      <c r="D1485" s="155"/>
      <c r="E1485" s="40"/>
      <c r="F1485" s="314"/>
      <c r="H1485" s="315"/>
      <c r="I1485" s="315"/>
      <c r="BA1485" s="30"/>
      <c r="BB1485" s="155"/>
      <c r="BC1485" s="314"/>
      <c r="BD1485" s="314"/>
      <c r="BE1485" s="314"/>
      <c r="BF1485" s="314"/>
      <c r="BG1485" s="314"/>
      <c r="BH1485" s="314"/>
      <c r="BI1485" s="314"/>
      <c r="BJ1485" s="314"/>
      <c r="BK1485" s="40"/>
      <c r="BL1485" s="40"/>
      <c r="BM1485" s="40"/>
      <c r="BN1485" s="40"/>
      <c r="BO1485" s="40"/>
      <c r="BP1485" s="155"/>
      <c r="BQ1485" s="314"/>
      <c r="BR1485" s="314"/>
      <c r="BS1485" s="314"/>
      <c r="BT1485" s="314"/>
      <c r="BU1485" s="314"/>
      <c r="BV1485" s="314"/>
      <c r="BW1485" s="314"/>
      <c r="BX1485" s="155"/>
    </row>
    <row r="1486" spans="1:76" ht="15.75" customHeight="1">
      <c r="A1486" s="25"/>
      <c r="B1486" s="39"/>
      <c r="C1486" s="155"/>
      <c r="D1486" s="155"/>
      <c r="E1486" s="40"/>
      <c r="F1486" s="314"/>
      <c r="H1486" s="315"/>
      <c r="I1486" s="315"/>
      <c r="BA1486" s="30"/>
      <c r="BB1486" s="155"/>
      <c r="BC1486" s="314"/>
      <c r="BD1486" s="314"/>
      <c r="BE1486" s="314"/>
      <c r="BF1486" s="314"/>
      <c r="BG1486" s="314"/>
      <c r="BH1486" s="314"/>
      <c r="BI1486" s="314"/>
      <c r="BJ1486" s="314"/>
      <c r="BK1486" s="40"/>
      <c r="BL1486" s="40"/>
      <c r="BM1486" s="40"/>
      <c r="BN1486" s="40"/>
      <c r="BO1486" s="40"/>
      <c r="BP1486" s="155"/>
      <c r="BQ1486" s="314"/>
      <c r="BR1486" s="314"/>
      <c r="BS1486" s="314"/>
      <c r="BT1486" s="314"/>
      <c r="BU1486" s="314"/>
      <c r="BV1486" s="314"/>
      <c r="BW1486" s="314"/>
      <c r="BX1486" s="155"/>
    </row>
    <row r="1487" spans="1:76" ht="15.75" customHeight="1">
      <c r="A1487" s="25"/>
      <c r="B1487" s="39"/>
      <c r="C1487" s="155"/>
      <c r="D1487" s="155"/>
      <c r="E1487" s="40"/>
      <c r="F1487" s="314"/>
      <c r="H1487" s="315"/>
      <c r="I1487" s="315"/>
      <c r="BA1487" s="30"/>
      <c r="BB1487" s="155"/>
      <c r="BC1487" s="314"/>
      <c r="BD1487" s="314"/>
      <c r="BE1487" s="314"/>
      <c r="BF1487" s="314"/>
      <c r="BG1487" s="314"/>
      <c r="BH1487" s="314"/>
      <c r="BI1487" s="314"/>
      <c r="BJ1487" s="314"/>
      <c r="BK1487" s="40"/>
      <c r="BL1487" s="40"/>
      <c r="BM1487" s="40"/>
      <c r="BN1487" s="40"/>
      <c r="BO1487" s="40"/>
      <c r="BP1487" s="155"/>
      <c r="BQ1487" s="314"/>
      <c r="BR1487" s="314"/>
      <c r="BS1487" s="314"/>
      <c r="BT1487" s="314"/>
      <c r="BU1487" s="314"/>
      <c r="BV1487" s="314"/>
      <c r="BW1487" s="314"/>
      <c r="BX1487" s="155"/>
    </row>
    <row r="1488" spans="1:76" ht="15.75" customHeight="1">
      <c r="A1488" s="25"/>
      <c r="B1488" s="39"/>
      <c r="C1488" s="155"/>
      <c r="D1488" s="155"/>
      <c r="E1488" s="40"/>
      <c r="F1488" s="314"/>
      <c r="H1488" s="315"/>
      <c r="I1488" s="315"/>
      <c r="BA1488" s="30"/>
      <c r="BB1488" s="155"/>
      <c r="BC1488" s="314"/>
      <c r="BD1488" s="314"/>
      <c r="BE1488" s="314"/>
      <c r="BF1488" s="314"/>
      <c r="BG1488" s="314"/>
      <c r="BH1488" s="314"/>
      <c r="BI1488" s="314"/>
      <c r="BJ1488" s="314"/>
      <c r="BK1488" s="40"/>
      <c r="BL1488" s="40"/>
      <c r="BM1488" s="40"/>
      <c r="BN1488" s="40"/>
      <c r="BO1488" s="40"/>
      <c r="BP1488" s="155"/>
      <c r="BQ1488" s="314"/>
      <c r="BR1488" s="314"/>
      <c r="BS1488" s="314"/>
      <c r="BT1488" s="314"/>
      <c r="BU1488" s="314"/>
      <c r="BV1488" s="314"/>
      <c r="BW1488" s="314"/>
      <c r="BX1488" s="155"/>
    </row>
    <row r="1489" spans="1:76" ht="15.75" customHeight="1">
      <c r="A1489" s="25"/>
      <c r="B1489" s="39"/>
      <c r="C1489" s="155"/>
      <c r="D1489" s="155"/>
      <c r="E1489" s="40"/>
      <c r="F1489" s="314"/>
      <c r="H1489" s="315"/>
      <c r="I1489" s="315"/>
      <c r="BA1489" s="30"/>
      <c r="BB1489" s="155"/>
      <c r="BC1489" s="314"/>
      <c r="BD1489" s="314"/>
      <c r="BE1489" s="314"/>
      <c r="BF1489" s="314"/>
      <c r="BG1489" s="314"/>
      <c r="BH1489" s="314"/>
      <c r="BI1489" s="314"/>
      <c r="BJ1489" s="314"/>
      <c r="BK1489" s="40"/>
      <c r="BL1489" s="40"/>
      <c r="BM1489" s="40"/>
      <c r="BN1489" s="40"/>
      <c r="BO1489" s="40"/>
      <c r="BP1489" s="155"/>
      <c r="BQ1489" s="314"/>
      <c r="BR1489" s="314"/>
      <c r="BS1489" s="314"/>
      <c r="BT1489" s="314"/>
      <c r="BU1489" s="314"/>
      <c r="BV1489" s="314"/>
      <c r="BW1489" s="314"/>
      <c r="BX1489" s="155"/>
    </row>
    <row r="1490" spans="1:76" ht="15.75" customHeight="1">
      <c r="A1490" s="25"/>
      <c r="B1490" s="39"/>
      <c r="C1490" s="155"/>
      <c r="D1490" s="155"/>
      <c r="E1490" s="40"/>
      <c r="F1490" s="314"/>
      <c r="H1490" s="315"/>
      <c r="I1490" s="315"/>
      <c r="BA1490" s="30"/>
      <c r="BB1490" s="155"/>
      <c r="BC1490" s="314"/>
      <c r="BD1490" s="314"/>
      <c r="BE1490" s="314"/>
      <c r="BF1490" s="314"/>
      <c r="BG1490" s="314"/>
      <c r="BH1490" s="314"/>
      <c r="BI1490" s="314"/>
      <c r="BJ1490" s="314"/>
      <c r="BK1490" s="40"/>
      <c r="BL1490" s="40"/>
      <c r="BM1490" s="40"/>
      <c r="BN1490" s="40"/>
      <c r="BO1490" s="40"/>
      <c r="BP1490" s="155"/>
      <c r="BQ1490" s="314"/>
      <c r="BR1490" s="314"/>
      <c r="BS1490" s="314"/>
      <c r="BT1490" s="314"/>
      <c r="BU1490" s="314"/>
      <c r="BV1490" s="314"/>
      <c r="BW1490" s="314"/>
      <c r="BX1490" s="155"/>
    </row>
    <row r="1491" spans="1:76" ht="15.75" customHeight="1">
      <c r="A1491" s="25"/>
      <c r="B1491" s="39"/>
      <c r="C1491" s="155"/>
      <c r="D1491" s="155"/>
      <c r="E1491" s="40"/>
      <c r="F1491" s="314"/>
      <c r="H1491" s="315"/>
      <c r="I1491" s="315"/>
      <c r="BA1491" s="30"/>
      <c r="BB1491" s="155"/>
      <c r="BC1491" s="314"/>
      <c r="BD1491" s="314"/>
      <c r="BE1491" s="314"/>
      <c r="BF1491" s="314"/>
      <c r="BG1491" s="314"/>
      <c r="BH1491" s="314"/>
      <c r="BI1491" s="314"/>
      <c r="BJ1491" s="314"/>
      <c r="BK1491" s="40"/>
      <c r="BL1491" s="40"/>
      <c r="BM1491" s="40"/>
      <c r="BN1491" s="40"/>
      <c r="BO1491" s="40"/>
      <c r="BP1491" s="155"/>
      <c r="BQ1491" s="314"/>
      <c r="BR1491" s="314"/>
      <c r="BS1491" s="314"/>
      <c r="BT1491" s="314"/>
      <c r="BU1491" s="314"/>
      <c r="BV1491" s="314"/>
      <c r="BW1491" s="314"/>
      <c r="BX1491" s="155"/>
    </row>
    <row r="1492" spans="1:76" ht="15.75" customHeight="1">
      <c r="A1492" s="25"/>
      <c r="B1492" s="39"/>
      <c r="C1492" s="155"/>
      <c r="D1492" s="155"/>
      <c r="E1492" s="40"/>
      <c r="F1492" s="314"/>
      <c r="H1492" s="315"/>
      <c r="I1492" s="315"/>
      <c r="BA1492" s="30"/>
      <c r="BB1492" s="155"/>
      <c r="BC1492" s="314"/>
      <c r="BD1492" s="314"/>
      <c r="BE1492" s="314"/>
      <c r="BF1492" s="314"/>
      <c r="BG1492" s="314"/>
      <c r="BH1492" s="314"/>
      <c r="BI1492" s="314"/>
      <c r="BJ1492" s="314"/>
      <c r="BK1492" s="40"/>
      <c r="BL1492" s="40"/>
      <c r="BM1492" s="40"/>
      <c r="BN1492" s="40"/>
      <c r="BO1492" s="40"/>
      <c r="BP1492" s="155"/>
      <c r="BQ1492" s="314"/>
      <c r="BR1492" s="314"/>
      <c r="BS1492" s="314"/>
      <c r="BT1492" s="314"/>
      <c r="BU1492" s="314"/>
      <c r="BV1492" s="314"/>
      <c r="BW1492" s="314"/>
      <c r="BX1492" s="155"/>
    </row>
    <row r="1493" spans="1:76" ht="15.75" customHeight="1">
      <c r="A1493" s="25"/>
      <c r="B1493" s="39"/>
      <c r="C1493" s="155"/>
      <c r="D1493" s="155"/>
      <c r="E1493" s="40"/>
      <c r="F1493" s="314"/>
      <c r="H1493" s="315"/>
      <c r="I1493" s="315"/>
      <c r="BA1493" s="30"/>
      <c r="BB1493" s="155"/>
      <c r="BC1493" s="314"/>
      <c r="BD1493" s="314"/>
      <c r="BE1493" s="314"/>
      <c r="BF1493" s="314"/>
      <c r="BG1493" s="314"/>
      <c r="BH1493" s="314"/>
      <c r="BI1493" s="314"/>
      <c r="BJ1493" s="314"/>
      <c r="BK1493" s="40"/>
      <c r="BL1493" s="40"/>
      <c r="BM1493" s="40"/>
      <c r="BN1493" s="40"/>
      <c r="BO1493" s="40"/>
      <c r="BP1493" s="155"/>
      <c r="BQ1493" s="314"/>
      <c r="BR1493" s="314"/>
      <c r="BS1493" s="314"/>
      <c r="BT1493" s="314"/>
      <c r="BU1493" s="314"/>
      <c r="BV1493" s="314"/>
      <c r="BW1493" s="314"/>
      <c r="BX1493" s="155"/>
    </row>
    <row r="1494" spans="1:76" ht="15.75" customHeight="1">
      <c r="A1494" s="25"/>
      <c r="B1494" s="39"/>
      <c r="C1494" s="155"/>
      <c r="D1494" s="155"/>
      <c r="E1494" s="40"/>
      <c r="F1494" s="314"/>
      <c r="H1494" s="315"/>
      <c r="I1494" s="315"/>
      <c r="BA1494" s="30"/>
      <c r="BB1494" s="155"/>
      <c r="BC1494" s="314"/>
      <c r="BD1494" s="314"/>
      <c r="BE1494" s="314"/>
      <c r="BF1494" s="314"/>
      <c r="BG1494" s="314"/>
      <c r="BH1494" s="314"/>
      <c r="BI1494" s="314"/>
      <c r="BJ1494" s="314"/>
      <c r="BK1494" s="40"/>
      <c r="BL1494" s="40"/>
      <c r="BM1494" s="40"/>
      <c r="BN1494" s="40"/>
      <c r="BO1494" s="40"/>
      <c r="BP1494" s="155"/>
      <c r="BQ1494" s="314"/>
      <c r="BR1494" s="314"/>
      <c r="BS1494" s="314"/>
      <c r="BT1494" s="314"/>
      <c r="BU1494" s="314"/>
      <c r="BV1494" s="314"/>
      <c r="BW1494" s="314"/>
      <c r="BX1494" s="155"/>
    </row>
    <row r="1495" spans="1:76" ht="15.75" customHeight="1">
      <c r="A1495" s="25"/>
      <c r="B1495" s="39"/>
      <c r="C1495" s="155"/>
      <c r="D1495" s="155"/>
      <c r="E1495" s="40"/>
      <c r="F1495" s="314"/>
      <c r="H1495" s="315"/>
      <c r="I1495" s="315"/>
      <c r="BA1495" s="30"/>
      <c r="BB1495" s="155"/>
      <c r="BC1495" s="314"/>
      <c r="BD1495" s="314"/>
      <c r="BE1495" s="314"/>
      <c r="BF1495" s="314"/>
      <c r="BG1495" s="314"/>
      <c r="BH1495" s="314"/>
      <c r="BI1495" s="314"/>
      <c r="BJ1495" s="314"/>
      <c r="BK1495" s="40"/>
      <c r="BL1495" s="40"/>
      <c r="BM1495" s="40"/>
      <c r="BN1495" s="40"/>
      <c r="BO1495" s="40"/>
      <c r="BP1495" s="155"/>
      <c r="BQ1495" s="314"/>
      <c r="BR1495" s="314"/>
      <c r="BS1495" s="314"/>
      <c r="BT1495" s="314"/>
      <c r="BU1495" s="314"/>
      <c r="BV1495" s="314"/>
      <c r="BW1495" s="314"/>
      <c r="BX1495" s="155"/>
    </row>
    <row r="1496" spans="1:76" ht="15.75" customHeight="1">
      <c r="A1496" s="25"/>
      <c r="B1496" s="39"/>
      <c r="C1496" s="155"/>
      <c r="D1496" s="155"/>
      <c r="E1496" s="40"/>
      <c r="F1496" s="314"/>
      <c r="H1496" s="315"/>
      <c r="I1496" s="315"/>
      <c r="BA1496" s="30"/>
      <c r="BB1496" s="155"/>
      <c r="BC1496" s="322"/>
      <c r="BD1496" s="322"/>
      <c r="BE1496" s="322"/>
      <c r="BF1496" s="322"/>
      <c r="BG1496" s="322"/>
      <c r="BH1496" s="322"/>
      <c r="BI1496" s="322"/>
      <c r="BJ1496" s="322"/>
      <c r="BK1496" s="341"/>
      <c r="BL1496" s="40"/>
      <c r="BM1496" s="40"/>
      <c r="BN1496" s="40"/>
      <c r="BO1496" s="40"/>
      <c r="BP1496" s="155"/>
      <c r="BQ1496" s="314"/>
      <c r="BR1496" s="314"/>
      <c r="BS1496" s="314"/>
      <c r="BT1496" s="314"/>
      <c r="BU1496" s="314"/>
      <c r="BV1496" s="314"/>
      <c r="BW1496" s="314"/>
      <c r="BX1496" s="155"/>
    </row>
    <row r="1497" spans="1:76" ht="15.75" customHeight="1">
      <c r="A1497" s="25"/>
      <c r="B1497" s="39"/>
      <c r="C1497" s="155"/>
      <c r="D1497" s="155"/>
      <c r="E1497" s="40"/>
      <c r="F1497" s="314"/>
      <c r="H1497" s="315"/>
      <c r="I1497" s="315"/>
      <c r="BA1497" s="30"/>
      <c r="BB1497" s="155"/>
      <c r="BC1497" s="314"/>
      <c r="BD1497" s="314"/>
      <c r="BE1497" s="314"/>
      <c r="BF1497" s="314"/>
      <c r="BG1497" s="314"/>
      <c r="BH1497" s="314"/>
      <c r="BI1497" s="314"/>
      <c r="BJ1497" s="314"/>
      <c r="BK1497" s="40"/>
      <c r="BL1497" s="40"/>
      <c r="BM1497" s="40"/>
      <c r="BN1497" s="40"/>
      <c r="BO1497" s="40"/>
      <c r="BP1497" s="155"/>
      <c r="BQ1497" s="314"/>
      <c r="BR1497" s="314"/>
      <c r="BS1497" s="314"/>
      <c r="BT1497" s="314"/>
      <c r="BU1497" s="314"/>
      <c r="BV1497" s="314"/>
      <c r="BW1497" s="314"/>
      <c r="BX1497" s="155"/>
    </row>
    <row r="1498" spans="1:76" ht="15.75" customHeight="1">
      <c r="A1498" s="25"/>
      <c r="B1498" s="39"/>
      <c r="C1498" s="155"/>
      <c r="D1498" s="155"/>
      <c r="E1498" s="40"/>
      <c r="F1498" s="314"/>
      <c r="H1498" s="315"/>
      <c r="I1498" s="315"/>
      <c r="BA1498" s="30"/>
      <c r="BB1498" s="155"/>
      <c r="BC1498" s="314"/>
      <c r="BD1498" s="314"/>
      <c r="BE1498" s="314"/>
      <c r="BF1498" s="314"/>
      <c r="BG1498" s="314"/>
      <c r="BH1498" s="314"/>
      <c r="BI1498" s="314"/>
      <c r="BJ1498" s="314"/>
      <c r="BK1498" s="40"/>
      <c r="BL1498" s="40"/>
      <c r="BM1498" s="40"/>
      <c r="BN1498" s="40"/>
      <c r="BO1498" s="40"/>
      <c r="BP1498" s="155"/>
      <c r="BQ1498" s="314"/>
      <c r="BR1498" s="314"/>
      <c r="BS1498" s="314"/>
      <c r="BT1498" s="314"/>
      <c r="BU1498" s="314"/>
      <c r="BV1498" s="314"/>
      <c r="BW1498" s="314"/>
      <c r="BX1498" s="155"/>
    </row>
    <row r="1499" spans="1:76" ht="15.75" customHeight="1">
      <c r="A1499" s="25"/>
      <c r="B1499" s="39"/>
      <c r="C1499" s="155"/>
      <c r="D1499" s="155"/>
      <c r="E1499" s="40"/>
      <c r="F1499" s="314"/>
      <c r="H1499" s="315"/>
      <c r="I1499" s="315"/>
      <c r="BA1499" s="30"/>
      <c r="BB1499" s="155"/>
      <c r="BC1499" s="314"/>
      <c r="BD1499" s="314"/>
      <c r="BE1499" s="314"/>
      <c r="BF1499" s="314"/>
      <c r="BG1499" s="314"/>
      <c r="BH1499" s="314"/>
      <c r="BI1499" s="314"/>
      <c r="BJ1499" s="314"/>
      <c r="BK1499" s="40"/>
      <c r="BL1499" s="40"/>
      <c r="BM1499" s="40"/>
      <c r="BN1499" s="40"/>
      <c r="BO1499" s="40"/>
      <c r="BP1499" s="155"/>
      <c r="BQ1499" s="314"/>
      <c r="BR1499" s="314"/>
      <c r="BS1499" s="314"/>
      <c r="BT1499" s="314"/>
      <c r="BU1499" s="314"/>
      <c r="BV1499" s="314"/>
      <c r="BW1499" s="314"/>
      <c r="BX1499" s="155"/>
    </row>
    <row r="1500" spans="1:76" ht="15.75" customHeight="1">
      <c r="A1500" s="25"/>
      <c r="B1500" s="39"/>
      <c r="C1500" s="155"/>
      <c r="D1500" s="155"/>
      <c r="E1500" s="40"/>
      <c r="F1500" s="314"/>
      <c r="H1500" s="315"/>
      <c r="I1500" s="315"/>
      <c r="BA1500" s="30"/>
      <c r="BB1500" s="155"/>
      <c r="BC1500" s="314"/>
      <c r="BD1500" s="314"/>
      <c r="BE1500" s="314"/>
      <c r="BF1500" s="314"/>
      <c r="BG1500" s="314"/>
      <c r="BH1500" s="314"/>
      <c r="BI1500" s="314"/>
      <c r="BJ1500" s="314"/>
      <c r="BK1500" s="40"/>
      <c r="BL1500" s="40"/>
      <c r="BM1500" s="40"/>
      <c r="BN1500" s="40"/>
      <c r="BO1500" s="40"/>
      <c r="BP1500" s="155"/>
      <c r="BQ1500" s="314"/>
      <c r="BR1500" s="314"/>
      <c r="BS1500" s="314"/>
      <c r="BT1500" s="314"/>
      <c r="BU1500" s="314"/>
      <c r="BV1500" s="314"/>
      <c r="BW1500" s="314"/>
      <c r="BX1500" s="155"/>
    </row>
    <row r="1501" spans="1:76" ht="15.75" customHeight="1">
      <c r="A1501" s="25"/>
      <c r="B1501" s="39"/>
      <c r="C1501" s="155"/>
      <c r="D1501" s="155"/>
      <c r="E1501" s="40"/>
      <c r="F1501" s="314"/>
      <c r="H1501" s="315"/>
      <c r="I1501" s="315"/>
      <c r="BA1501" s="30"/>
      <c r="BB1501" s="155"/>
      <c r="BC1501" s="314"/>
      <c r="BD1501" s="314"/>
      <c r="BE1501" s="314"/>
      <c r="BF1501" s="314"/>
      <c r="BG1501" s="314"/>
      <c r="BH1501" s="314"/>
      <c r="BI1501" s="314"/>
      <c r="BJ1501" s="314"/>
      <c r="BK1501" s="40"/>
      <c r="BL1501" s="40"/>
      <c r="BM1501" s="40"/>
      <c r="BN1501" s="40"/>
      <c r="BO1501" s="40"/>
      <c r="BP1501" s="155"/>
      <c r="BQ1501" s="314"/>
      <c r="BR1501" s="314"/>
      <c r="BS1501" s="314"/>
      <c r="BT1501" s="314"/>
      <c r="BU1501" s="314"/>
      <c r="BV1501" s="314"/>
      <c r="BW1501" s="314"/>
      <c r="BX1501" s="155"/>
    </row>
    <row r="1502" spans="1:76" ht="15.75" customHeight="1">
      <c r="A1502" s="25"/>
      <c r="B1502" s="39"/>
      <c r="C1502" s="155"/>
      <c r="D1502" s="155"/>
      <c r="E1502" s="40"/>
      <c r="F1502" s="314"/>
      <c r="H1502" s="315"/>
      <c r="I1502" s="315"/>
      <c r="BA1502" s="30"/>
      <c r="BB1502" s="155"/>
      <c r="BC1502" s="314"/>
      <c r="BD1502" s="314"/>
      <c r="BE1502" s="314"/>
      <c r="BF1502" s="314"/>
      <c r="BG1502" s="314"/>
      <c r="BH1502" s="314"/>
      <c r="BI1502" s="314"/>
      <c r="BJ1502" s="314"/>
      <c r="BK1502" s="40"/>
      <c r="BL1502" s="40"/>
      <c r="BM1502" s="40"/>
      <c r="BN1502" s="40"/>
      <c r="BO1502" s="40"/>
      <c r="BP1502" s="155"/>
      <c r="BQ1502" s="314"/>
      <c r="BR1502" s="314"/>
      <c r="BS1502" s="314"/>
      <c r="BT1502" s="314"/>
      <c r="BU1502" s="314"/>
      <c r="BV1502" s="314"/>
      <c r="BW1502" s="314"/>
      <c r="BX1502" s="155"/>
    </row>
    <row r="1503" spans="1:76" ht="15.75" customHeight="1">
      <c r="A1503" s="25"/>
      <c r="B1503" s="39"/>
      <c r="C1503" s="155"/>
      <c r="D1503" s="155"/>
      <c r="E1503" s="40"/>
      <c r="F1503" s="314"/>
      <c r="H1503" s="315"/>
      <c r="I1503" s="315"/>
      <c r="BA1503" s="30"/>
      <c r="BB1503" s="155"/>
      <c r="BC1503" s="314"/>
      <c r="BD1503" s="314"/>
      <c r="BE1503" s="314"/>
      <c r="BF1503" s="314"/>
      <c r="BG1503" s="314"/>
      <c r="BH1503" s="314"/>
      <c r="BI1503" s="314"/>
      <c r="BJ1503" s="314"/>
      <c r="BK1503" s="40"/>
      <c r="BL1503" s="40"/>
      <c r="BM1503" s="40"/>
      <c r="BN1503" s="40"/>
      <c r="BO1503" s="40"/>
      <c r="BP1503" s="155"/>
      <c r="BQ1503" s="314"/>
      <c r="BR1503" s="314"/>
      <c r="BS1503" s="314"/>
      <c r="BT1503" s="314"/>
      <c r="BU1503" s="314"/>
      <c r="BV1503" s="314"/>
      <c r="BW1503" s="314"/>
      <c r="BX1503" s="155"/>
    </row>
    <row r="1504" spans="1:76" ht="15.75" customHeight="1">
      <c r="A1504" s="25"/>
      <c r="B1504" s="39"/>
      <c r="C1504" s="155"/>
      <c r="D1504" s="155"/>
      <c r="E1504" s="40"/>
      <c r="F1504" s="314"/>
      <c r="H1504" s="315"/>
      <c r="I1504" s="315"/>
      <c r="BA1504" s="30"/>
      <c r="BB1504" s="155"/>
      <c r="BC1504" s="314"/>
      <c r="BD1504" s="314"/>
      <c r="BE1504" s="314"/>
      <c r="BF1504" s="314"/>
      <c r="BG1504" s="314"/>
      <c r="BH1504" s="314"/>
      <c r="BI1504" s="314"/>
      <c r="BJ1504" s="314"/>
      <c r="BK1504" s="40"/>
      <c r="BL1504" s="40"/>
      <c r="BM1504" s="40"/>
      <c r="BN1504" s="40"/>
      <c r="BO1504" s="40"/>
      <c r="BP1504" s="155"/>
      <c r="BQ1504" s="314"/>
      <c r="BR1504" s="314"/>
      <c r="BS1504" s="314"/>
      <c r="BT1504" s="314"/>
      <c r="BU1504" s="314"/>
      <c r="BV1504" s="314"/>
      <c r="BW1504" s="314"/>
      <c r="BX1504" s="155"/>
    </row>
    <row r="1505" spans="1:76" ht="15.75" customHeight="1">
      <c r="A1505" s="25"/>
      <c r="B1505" s="39"/>
      <c r="C1505" s="155"/>
      <c r="D1505" s="155"/>
      <c r="E1505" s="40"/>
      <c r="F1505" s="314"/>
      <c r="H1505" s="315"/>
      <c r="I1505" s="315"/>
      <c r="BA1505" s="30"/>
      <c r="BB1505" s="155"/>
      <c r="BC1505" s="314"/>
      <c r="BD1505" s="314"/>
      <c r="BE1505" s="314"/>
      <c r="BF1505" s="314"/>
      <c r="BG1505" s="314"/>
      <c r="BH1505" s="314"/>
      <c r="BI1505" s="314"/>
      <c r="BJ1505" s="314"/>
      <c r="BK1505" s="40"/>
      <c r="BL1505" s="40"/>
      <c r="BM1505" s="40"/>
      <c r="BN1505" s="40"/>
      <c r="BO1505" s="40"/>
      <c r="BP1505" s="155"/>
      <c r="BQ1505" s="314"/>
      <c r="BR1505" s="314"/>
      <c r="BS1505" s="314"/>
      <c r="BT1505" s="314"/>
      <c r="BU1505" s="314"/>
      <c r="BV1505" s="314"/>
      <c r="BW1505" s="314"/>
      <c r="BX1505" s="155"/>
    </row>
    <row r="1506" spans="1:76" ht="15.75" customHeight="1">
      <c r="A1506" s="25"/>
      <c r="B1506" s="39"/>
      <c r="C1506" s="155"/>
      <c r="D1506" s="155"/>
      <c r="E1506" s="40"/>
      <c r="F1506" s="314"/>
      <c r="H1506" s="315"/>
      <c r="I1506" s="315"/>
      <c r="BA1506" s="30"/>
      <c r="BB1506" s="155"/>
      <c r="BC1506" s="314"/>
      <c r="BD1506" s="314"/>
      <c r="BE1506" s="314"/>
      <c r="BF1506" s="314"/>
      <c r="BG1506" s="314"/>
      <c r="BH1506" s="314"/>
      <c r="BI1506" s="314"/>
      <c r="BJ1506" s="314"/>
      <c r="BK1506" s="40"/>
      <c r="BL1506" s="40"/>
      <c r="BM1506" s="40"/>
      <c r="BN1506" s="40"/>
      <c r="BO1506" s="40"/>
      <c r="BP1506" s="155"/>
      <c r="BQ1506" s="314"/>
      <c r="BR1506" s="314"/>
      <c r="BS1506" s="314"/>
      <c r="BT1506" s="314"/>
      <c r="BU1506" s="314"/>
      <c r="BV1506" s="314"/>
      <c r="BW1506" s="314"/>
      <c r="BX1506" s="155"/>
    </row>
    <row r="1507" spans="1:76" ht="15.75" customHeight="1">
      <c r="A1507" s="25"/>
      <c r="B1507" s="39"/>
      <c r="C1507" s="155"/>
      <c r="D1507" s="155"/>
      <c r="E1507" s="40"/>
      <c r="F1507" s="314"/>
      <c r="H1507" s="315"/>
      <c r="I1507" s="315"/>
      <c r="BA1507" s="30"/>
      <c r="BB1507" s="155"/>
      <c r="BC1507" s="314"/>
      <c r="BD1507" s="314"/>
      <c r="BE1507" s="314"/>
      <c r="BF1507" s="314"/>
      <c r="BG1507" s="314"/>
      <c r="BH1507" s="314"/>
      <c r="BI1507" s="314"/>
      <c r="BJ1507" s="314"/>
      <c r="BK1507" s="40"/>
      <c r="BL1507" s="40"/>
      <c r="BM1507" s="40"/>
      <c r="BN1507" s="40"/>
      <c r="BO1507" s="40"/>
      <c r="BP1507" s="155"/>
      <c r="BQ1507" s="314"/>
      <c r="BR1507" s="314"/>
      <c r="BS1507" s="314"/>
      <c r="BT1507" s="314"/>
      <c r="BU1507" s="314"/>
      <c r="BV1507" s="314"/>
      <c r="BW1507" s="314"/>
      <c r="BX1507" s="155"/>
    </row>
    <row r="1508" spans="1:76" ht="15.75" customHeight="1">
      <c r="A1508" s="25"/>
      <c r="B1508" s="39"/>
      <c r="C1508" s="155"/>
      <c r="D1508" s="155"/>
      <c r="E1508" s="40"/>
      <c r="F1508" s="314"/>
      <c r="H1508" s="315"/>
      <c r="I1508" s="315"/>
      <c r="BA1508" s="30"/>
      <c r="BB1508" s="155"/>
      <c r="BC1508" s="314"/>
      <c r="BD1508" s="314"/>
      <c r="BE1508" s="314"/>
      <c r="BF1508" s="314"/>
      <c r="BG1508" s="314"/>
      <c r="BH1508" s="314"/>
      <c r="BI1508" s="314"/>
      <c r="BJ1508" s="314"/>
      <c r="BK1508" s="40"/>
      <c r="BL1508" s="40"/>
      <c r="BM1508" s="40"/>
      <c r="BN1508" s="40"/>
      <c r="BO1508" s="40"/>
      <c r="BP1508" s="155"/>
      <c r="BQ1508" s="314"/>
      <c r="BR1508" s="314"/>
      <c r="BS1508" s="314"/>
      <c r="BT1508" s="314"/>
      <c r="BU1508" s="314"/>
      <c r="BV1508" s="314"/>
      <c r="BW1508" s="314"/>
      <c r="BX1508" s="155"/>
    </row>
    <row r="1509" spans="1:76" ht="15.75" customHeight="1">
      <c r="A1509" s="25"/>
      <c r="B1509" s="39"/>
      <c r="C1509" s="155"/>
      <c r="D1509" s="155"/>
      <c r="E1509" s="40"/>
      <c r="F1509" s="314"/>
      <c r="H1509" s="315"/>
      <c r="I1509" s="315"/>
      <c r="BA1509" s="30"/>
      <c r="BB1509" s="155"/>
      <c r="BC1509" s="314"/>
      <c r="BD1509" s="314"/>
      <c r="BE1509" s="314"/>
      <c r="BF1509" s="314"/>
      <c r="BG1509" s="314"/>
      <c r="BH1509" s="314"/>
      <c r="BI1509" s="314"/>
      <c r="BJ1509" s="314"/>
      <c r="BK1509" s="40"/>
      <c r="BL1509" s="40"/>
      <c r="BM1509" s="40"/>
      <c r="BN1509" s="40"/>
      <c r="BO1509" s="40"/>
      <c r="BP1509" s="155"/>
      <c r="BQ1509" s="314"/>
      <c r="BR1509" s="314"/>
      <c r="BS1509" s="314"/>
      <c r="BT1509" s="314"/>
      <c r="BU1509" s="314"/>
      <c r="BV1509" s="314"/>
      <c r="BW1509" s="314"/>
      <c r="BX1509" s="155"/>
    </row>
    <row r="1510" spans="1:76" ht="15.75" customHeight="1">
      <c r="A1510" s="25"/>
      <c r="B1510" s="39"/>
      <c r="C1510" s="155"/>
      <c r="D1510" s="155"/>
      <c r="E1510" s="40"/>
      <c r="F1510" s="314"/>
      <c r="H1510" s="315"/>
      <c r="I1510" s="315"/>
      <c r="BA1510" s="30"/>
      <c r="BB1510" s="155"/>
      <c r="BC1510" s="314"/>
      <c r="BD1510" s="314"/>
      <c r="BE1510" s="314"/>
      <c r="BF1510" s="314"/>
      <c r="BG1510" s="314"/>
      <c r="BH1510" s="314"/>
      <c r="BI1510" s="314"/>
      <c r="BJ1510" s="314"/>
      <c r="BK1510" s="40"/>
      <c r="BL1510" s="40"/>
      <c r="BM1510" s="40"/>
      <c r="BN1510" s="40"/>
      <c r="BO1510" s="40"/>
      <c r="BP1510" s="155"/>
      <c r="BQ1510" s="314"/>
      <c r="BR1510" s="314"/>
      <c r="BS1510" s="314"/>
      <c r="BT1510" s="314"/>
      <c r="BU1510" s="314"/>
      <c r="BV1510" s="314"/>
      <c r="BW1510" s="314"/>
      <c r="BX1510" s="155"/>
    </row>
    <row r="1511" spans="1:76" ht="15.75" customHeight="1">
      <c r="A1511" s="25"/>
      <c r="B1511" s="39"/>
      <c r="C1511" s="155"/>
      <c r="D1511" s="155"/>
      <c r="E1511" s="40"/>
      <c r="F1511" s="314"/>
      <c r="H1511" s="315"/>
      <c r="I1511" s="315"/>
      <c r="BA1511" s="30"/>
      <c r="BB1511" s="155"/>
      <c r="BC1511" s="314"/>
      <c r="BD1511" s="314"/>
      <c r="BE1511" s="314"/>
      <c r="BF1511" s="314"/>
      <c r="BG1511" s="314"/>
      <c r="BH1511" s="314"/>
      <c r="BI1511" s="314"/>
      <c r="BJ1511" s="314"/>
      <c r="BK1511" s="40"/>
      <c r="BL1511" s="40"/>
      <c r="BM1511" s="40"/>
      <c r="BN1511" s="40"/>
      <c r="BO1511" s="40"/>
      <c r="BP1511" s="155"/>
      <c r="BQ1511" s="314"/>
      <c r="BR1511" s="314"/>
      <c r="BS1511" s="314"/>
      <c r="BT1511" s="314"/>
      <c r="BU1511" s="314"/>
      <c r="BV1511" s="314"/>
      <c r="BW1511" s="314"/>
      <c r="BX1511" s="155"/>
    </row>
    <row r="1512" spans="1:76" ht="15.75" customHeight="1">
      <c r="A1512" s="25"/>
      <c r="B1512" s="39"/>
      <c r="C1512" s="155"/>
      <c r="D1512" s="155"/>
      <c r="E1512" s="40"/>
      <c r="F1512" s="314"/>
      <c r="H1512" s="315"/>
      <c r="I1512" s="315"/>
      <c r="BA1512" s="30"/>
      <c r="BB1512" s="155"/>
      <c r="BC1512" s="314"/>
      <c r="BD1512" s="314"/>
      <c r="BE1512" s="314"/>
      <c r="BF1512" s="314"/>
      <c r="BG1512" s="314"/>
      <c r="BH1512" s="314"/>
      <c r="BI1512" s="314"/>
      <c r="BJ1512" s="314"/>
      <c r="BK1512" s="40"/>
      <c r="BL1512" s="40"/>
      <c r="BM1512" s="40"/>
      <c r="BN1512" s="40"/>
      <c r="BO1512" s="40"/>
      <c r="BP1512" s="155"/>
      <c r="BQ1512" s="314"/>
      <c r="BR1512" s="314"/>
      <c r="BS1512" s="314"/>
      <c r="BT1512" s="314"/>
      <c r="BU1512" s="314"/>
      <c r="BV1512" s="314"/>
      <c r="BW1512" s="314"/>
      <c r="BX1512" s="155"/>
    </row>
    <row r="1513" spans="1:76" ht="15.75" customHeight="1">
      <c r="A1513" s="25"/>
      <c r="B1513" s="39"/>
      <c r="C1513" s="155"/>
      <c r="D1513" s="155"/>
      <c r="E1513" s="40"/>
      <c r="F1513" s="314"/>
      <c r="H1513" s="315"/>
      <c r="I1513" s="315"/>
      <c r="BA1513" s="30"/>
      <c r="BB1513" s="155"/>
      <c r="BC1513" s="314"/>
      <c r="BD1513" s="314"/>
      <c r="BE1513" s="314"/>
      <c r="BF1513" s="314"/>
      <c r="BG1513" s="314"/>
      <c r="BH1513" s="314"/>
      <c r="BI1513" s="314"/>
      <c r="BJ1513" s="314"/>
      <c r="BK1513" s="40"/>
      <c r="BL1513" s="40"/>
      <c r="BM1513" s="40"/>
      <c r="BN1513" s="40"/>
      <c r="BO1513" s="40"/>
      <c r="BP1513" s="155"/>
      <c r="BQ1513" s="314"/>
      <c r="BR1513" s="314"/>
      <c r="BS1513" s="314"/>
      <c r="BT1513" s="314"/>
      <c r="BU1513" s="314"/>
      <c r="BV1513" s="314"/>
      <c r="BW1513" s="314"/>
      <c r="BX1513" s="155"/>
    </row>
    <row r="1514" spans="1:76" ht="15.75" customHeight="1">
      <c r="A1514" s="25"/>
      <c r="B1514" s="39"/>
      <c r="C1514" s="155"/>
      <c r="D1514" s="155"/>
      <c r="E1514" s="40"/>
      <c r="F1514" s="314"/>
      <c r="H1514" s="315"/>
      <c r="I1514" s="315"/>
      <c r="BA1514" s="30"/>
      <c r="BB1514" s="155"/>
      <c r="BC1514" s="314"/>
      <c r="BD1514" s="314"/>
      <c r="BE1514" s="314"/>
      <c r="BF1514" s="314"/>
      <c r="BG1514" s="314"/>
      <c r="BH1514" s="314"/>
      <c r="BI1514" s="314"/>
      <c r="BJ1514" s="314"/>
      <c r="BK1514" s="40"/>
      <c r="BL1514" s="40"/>
      <c r="BM1514" s="40"/>
      <c r="BN1514" s="40"/>
      <c r="BO1514" s="40"/>
      <c r="BP1514" s="155"/>
      <c r="BQ1514" s="314"/>
      <c r="BR1514" s="314"/>
      <c r="BS1514" s="314"/>
      <c r="BT1514" s="314"/>
      <c r="BU1514" s="314"/>
      <c r="BV1514" s="314"/>
      <c r="BW1514" s="314"/>
      <c r="BX1514" s="155"/>
    </row>
    <row r="1515" spans="1:76" ht="15.75" customHeight="1">
      <c r="A1515" s="25"/>
      <c r="B1515" s="39"/>
      <c r="C1515" s="155"/>
      <c r="D1515" s="155"/>
      <c r="E1515" s="40"/>
      <c r="F1515" s="314"/>
      <c r="H1515" s="315"/>
      <c r="I1515" s="315"/>
      <c r="BA1515" s="30"/>
      <c r="BB1515" s="155"/>
      <c r="BC1515" s="314"/>
      <c r="BD1515" s="314"/>
      <c r="BE1515" s="314"/>
      <c r="BF1515" s="314"/>
      <c r="BG1515" s="314"/>
      <c r="BH1515" s="314"/>
      <c r="BI1515" s="314"/>
      <c r="BJ1515" s="314"/>
      <c r="BK1515" s="40"/>
      <c r="BL1515" s="40"/>
      <c r="BM1515" s="40"/>
      <c r="BN1515" s="40"/>
      <c r="BO1515" s="40"/>
      <c r="BP1515" s="155"/>
      <c r="BQ1515" s="314"/>
      <c r="BR1515" s="314"/>
      <c r="BS1515" s="314"/>
      <c r="BT1515" s="314"/>
      <c r="BU1515" s="314"/>
      <c r="BV1515" s="314"/>
      <c r="BW1515" s="314"/>
      <c r="BX1515" s="155"/>
    </row>
    <row r="1516" spans="1:76" ht="15.75" customHeight="1">
      <c r="A1516" s="25"/>
      <c r="B1516" s="39"/>
      <c r="C1516" s="155"/>
      <c r="D1516" s="155"/>
      <c r="E1516" s="40"/>
      <c r="F1516" s="314"/>
      <c r="H1516" s="315"/>
      <c r="I1516" s="315"/>
      <c r="BA1516" s="30"/>
      <c r="BB1516" s="155"/>
      <c r="BC1516" s="322"/>
      <c r="BD1516" s="322"/>
      <c r="BE1516" s="322"/>
      <c r="BF1516" s="322"/>
      <c r="BG1516" s="322"/>
      <c r="BH1516" s="322"/>
      <c r="BI1516" s="322"/>
      <c r="BJ1516" s="322"/>
      <c r="BK1516" s="341"/>
      <c r="BL1516" s="40"/>
      <c r="BM1516" s="40"/>
      <c r="BN1516" s="40"/>
      <c r="BO1516" s="40"/>
      <c r="BP1516" s="155"/>
      <c r="BQ1516" s="314"/>
      <c r="BR1516" s="314"/>
      <c r="BS1516" s="314"/>
      <c r="BT1516" s="314"/>
      <c r="BU1516" s="314"/>
      <c r="BV1516" s="314"/>
      <c r="BW1516" s="314"/>
      <c r="BX1516" s="155"/>
    </row>
    <row r="1517" spans="1:76" ht="15.75" customHeight="1">
      <c r="A1517" s="25"/>
      <c r="B1517" s="39"/>
      <c r="C1517" s="155"/>
      <c r="D1517" s="155"/>
      <c r="E1517" s="40"/>
      <c r="F1517" s="314"/>
      <c r="H1517" s="315"/>
      <c r="I1517" s="315"/>
      <c r="BA1517" s="30"/>
      <c r="BB1517" s="155"/>
      <c r="BC1517" s="314"/>
      <c r="BD1517" s="314"/>
      <c r="BE1517" s="314"/>
      <c r="BF1517" s="314"/>
      <c r="BG1517" s="314"/>
      <c r="BH1517" s="314"/>
      <c r="BI1517" s="314"/>
      <c r="BJ1517" s="314"/>
      <c r="BK1517" s="40"/>
      <c r="BL1517" s="40"/>
      <c r="BM1517" s="40"/>
      <c r="BN1517" s="40"/>
      <c r="BO1517" s="40"/>
      <c r="BP1517" s="155"/>
      <c r="BQ1517" s="314"/>
      <c r="BR1517" s="314"/>
      <c r="BS1517" s="314"/>
      <c r="BT1517" s="314"/>
      <c r="BU1517" s="314"/>
      <c r="BV1517" s="314"/>
      <c r="BW1517" s="314"/>
      <c r="BX1517" s="155"/>
    </row>
    <row r="1518" spans="1:76" ht="15.75" customHeight="1">
      <c r="A1518" s="25"/>
      <c r="B1518" s="39"/>
      <c r="C1518" s="155"/>
      <c r="D1518" s="155"/>
      <c r="E1518" s="40"/>
      <c r="F1518" s="314"/>
      <c r="H1518" s="315"/>
      <c r="I1518" s="315"/>
      <c r="BA1518" s="30"/>
      <c r="BB1518" s="155"/>
      <c r="BC1518" s="314"/>
      <c r="BD1518" s="314"/>
      <c r="BE1518" s="314"/>
      <c r="BF1518" s="314"/>
      <c r="BG1518" s="314"/>
      <c r="BH1518" s="314"/>
      <c r="BI1518" s="314"/>
      <c r="BJ1518" s="314"/>
      <c r="BK1518" s="40"/>
      <c r="BL1518" s="40"/>
      <c r="BM1518" s="40"/>
      <c r="BN1518" s="40"/>
      <c r="BO1518" s="40"/>
      <c r="BP1518" s="155"/>
      <c r="BQ1518" s="314"/>
      <c r="BR1518" s="314"/>
      <c r="BS1518" s="314"/>
      <c r="BT1518" s="314"/>
      <c r="BU1518" s="314"/>
      <c r="BV1518" s="314"/>
      <c r="BW1518" s="314"/>
      <c r="BX1518" s="155"/>
    </row>
    <row r="1519" spans="1:76" ht="15.75" customHeight="1">
      <c r="A1519" s="25"/>
      <c r="B1519" s="39"/>
      <c r="C1519" s="155"/>
      <c r="D1519" s="155"/>
      <c r="E1519" s="40"/>
      <c r="F1519" s="314"/>
      <c r="H1519" s="315"/>
      <c r="I1519" s="315"/>
      <c r="BA1519" s="30"/>
      <c r="BB1519" s="155"/>
      <c r="BC1519" s="314"/>
      <c r="BD1519" s="314"/>
      <c r="BE1519" s="314"/>
      <c r="BF1519" s="314"/>
      <c r="BG1519" s="314"/>
      <c r="BH1519" s="314"/>
      <c r="BI1519" s="314"/>
      <c r="BJ1519" s="314"/>
      <c r="BK1519" s="40"/>
      <c r="BL1519" s="40"/>
      <c r="BM1519" s="40"/>
      <c r="BN1519" s="40"/>
      <c r="BO1519" s="40"/>
      <c r="BP1519" s="155"/>
      <c r="BQ1519" s="314"/>
      <c r="BR1519" s="314"/>
      <c r="BS1519" s="314"/>
      <c r="BT1519" s="314"/>
      <c r="BU1519" s="314"/>
      <c r="BV1519" s="314"/>
      <c r="BW1519" s="314"/>
      <c r="BX1519" s="155"/>
    </row>
    <row r="1520" spans="1:76" ht="15.75" customHeight="1">
      <c r="A1520" s="25"/>
      <c r="B1520" s="39"/>
      <c r="C1520" s="155"/>
      <c r="D1520" s="155"/>
      <c r="E1520" s="40"/>
      <c r="F1520" s="314"/>
      <c r="H1520" s="315"/>
      <c r="I1520" s="315"/>
      <c r="BA1520" s="30"/>
      <c r="BB1520" s="155"/>
      <c r="BC1520" s="314"/>
      <c r="BD1520" s="314"/>
      <c r="BE1520" s="314"/>
      <c r="BF1520" s="314"/>
      <c r="BG1520" s="314"/>
      <c r="BH1520" s="314"/>
      <c r="BI1520" s="314"/>
      <c r="BJ1520" s="314"/>
      <c r="BK1520" s="40"/>
      <c r="BL1520" s="40"/>
      <c r="BM1520" s="40"/>
      <c r="BN1520" s="40"/>
      <c r="BO1520" s="40"/>
      <c r="BP1520" s="155"/>
      <c r="BQ1520" s="314"/>
      <c r="BR1520" s="314"/>
      <c r="BS1520" s="314"/>
      <c r="BT1520" s="314"/>
      <c r="BU1520" s="314"/>
      <c r="BV1520" s="314"/>
      <c r="BW1520" s="314"/>
      <c r="BX1520" s="155"/>
    </row>
    <row r="1521" spans="1:76" ht="15.75" customHeight="1">
      <c r="A1521" s="25"/>
      <c r="B1521" s="39"/>
      <c r="C1521" s="155"/>
      <c r="D1521" s="155"/>
      <c r="E1521" s="40"/>
      <c r="F1521" s="314"/>
      <c r="H1521" s="315"/>
      <c r="I1521" s="315"/>
      <c r="BA1521" s="30"/>
      <c r="BB1521" s="155"/>
      <c r="BC1521" s="314"/>
      <c r="BD1521" s="314"/>
      <c r="BE1521" s="314"/>
      <c r="BF1521" s="314"/>
      <c r="BG1521" s="314"/>
      <c r="BH1521" s="314"/>
      <c r="BI1521" s="314"/>
      <c r="BJ1521" s="314"/>
      <c r="BK1521" s="40"/>
      <c r="BL1521" s="40"/>
      <c r="BM1521" s="40"/>
      <c r="BN1521" s="40"/>
      <c r="BO1521" s="40"/>
      <c r="BP1521" s="155"/>
      <c r="BQ1521" s="314"/>
      <c r="BR1521" s="314"/>
      <c r="BS1521" s="314"/>
      <c r="BT1521" s="314"/>
      <c r="BU1521" s="314"/>
      <c r="BV1521" s="314"/>
      <c r="BW1521" s="314"/>
      <c r="BX1521" s="155"/>
    </row>
    <row r="1522" spans="1:76" ht="15.75" customHeight="1">
      <c r="A1522" s="25"/>
      <c r="B1522" s="39"/>
      <c r="C1522" s="155"/>
      <c r="D1522" s="155"/>
      <c r="E1522" s="40"/>
      <c r="F1522" s="314"/>
      <c r="H1522" s="315"/>
      <c r="I1522" s="315"/>
      <c r="BA1522" s="30"/>
      <c r="BB1522" s="155"/>
      <c r="BC1522" s="314"/>
      <c r="BD1522" s="314"/>
      <c r="BE1522" s="314"/>
      <c r="BF1522" s="314"/>
      <c r="BG1522" s="314"/>
      <c r="BH1522" s="314"/>
      <c r="BI1522" s="314"/>
      <c r="BJ1522" s="314"/>
      <c r="BK1522" s="40"/>
      <c r="BL1522" s="40"/>
      <c r="BM1522" s="40"/>
      <c r="BN1522" s="40"/>
      <c r="BO1522" s="40"/>
      <c r="BP1522" s="155"/>
      <c r="BQ1522" s="314"/>
      <c r="BR1522" s="314"/>
      <c r="BS1522" s="314"/>
      <c r="BT1522" s="314"/>
      <c r="BU1522" s="314"/>
      <c r="BV1522" s="314"/>
      <c r="BW1522" s="314"/>
      <c r="BX1522" s="155"/>
    </row>
    <row r="1523" spans="1:76" ht="15.75" customHeight="1">
      <c r="A1523" s="25"/>
      <c r="B1523" s="39"/>
      <c r="C1523" s="155"/>
      <c r="D1523" s="155"/>
      <c r="E1523" s="40"/>
      <c r="F1523" s="314"/>
      <c r="H1523" s="315"/>
      <c r="I1523" s="315"/>
      <c r="BA1523" s="30"/>
      <c r="BB1523" s="155"/>
      <c r="BC1523" s="314"/>
      <c r="BD1523" s="314"/>
      <c r="BE1523" s="314"/>
      <c r="BF1523" s="314"/>
      <c r="BG1523" s="314"/>
      <c r="BH1523" s="314"/>
      <c r="BI1523" s="314"/>
      <c r="BJ1523" s="314"/>
      <c r="BK1523" s="40"/>
      <c r="BL1523" s="40"/>
      <c r="BM1523" s="40"/>
      <c r="BN1523" s="40"/>
      <c r="BO1523" s="40"/>
      <c r="BP1523" s="155"/>
      <c r="BQ1523" s="314"/>
      <c r="BR1523" s="314"/>
      <c r="BS1523" s="314"/>
      <c r="BT1523" s="314"/>
      <c r="BU1523" s="314"/>
      <c r="BV1523" s="314"/>
      <c r="BW1523" s="314"/>
      <c r="BX1523" s="155"/>
    </row>
    <row r="1524" spans="1:76" ht="15.75" customHeight="1">
      <c r="A1524" s="25"/>
      <c r="B1524" s="39"/>
      <c r="C1524" s="155"/>
      <c r="D1524" s="155"/>
      <c r="E1524" s="40"/>
      <c r="F1524" s="314"/>
      <c r="H1524" s="315"/>
      <c r="I1524" s="315"/>
      <c r="BA1524" s="30"/>
      <c r="BB1524" s="155"/>
      <c r="BC1524" s="314"/>
      <c r="BD1524" s="314"/>
      <c r="BE1524" s="314"/>
      <c r="BF1524" s="314"/>
      <c r="BG1524" s="314"/>
      <c r="BH1524" s="314"/>
      <c r="BI1524" s="314"/>
      <c r="BJ1524" s="314"/>
      <c r="BK1524" s="40"/>
      <c r="BL1524" s="40"/>
      <c r="BM1524" s="40"/>
      <c r="BN1524" s="40"/>
      <c r="BO1524" s="40"/>
      <c r="BP1524" s="155"/>
      <c r="BQ1524" s="314"/>
      <c r="BR1524" s="314"/>
      <c r="BS1524" s="314"/>
      <c r="BT1524" s="314"/>
      <c r="BU1524" s="314"/>
      <c r="BV1524" s="314"/>
      <c r="BW1524" s="314"/>
      <c r="BX1524" s="155"/>
    </row>
    <row r="1525" spans="1:76" ht="15.75" customHeight="1">
      <c r="A1525" s="25"/>
      <c r="B1525" s="39"/>
      <c r="C1525" s="155"/>
      <c r="D1525" s="155"/>
      <c r="E1525" s="40"/>
      <c r="F1525" s="314"/>
      <c r="H1525" s="315"/>
      <c r="I1525" s="315"/>
      <c r="BA1525" s="30"/>
      <c r="BB1525" s="155"/>
      <c r="BC1525" s="314"/>
      <c r="BD1525" s="314"/>
      <c r="BE1525" s="314"/>
      <c r="BF1525" s="314"/>
      <c r="BG1525" s="314"/>
      <c r="BH1525" s="314"/>
      <c r="BI1525" s="314"/>
      <c r="BJ1525" s="314"/>
      <c r="BK1525" s="40"/>
      <c r="BL1525" s="40"/>
      <c r="BM1525" s="40"/>
      <c r="BN1525" s="40"/>
      <c r="BO1525" s="40"/>
      <c r="BP1525" s="155"/>
      <c r="BQ1525" s="314"/>
      <c r="BR1525" s="314"/>
      <c r="BS1525" s="314"/>
      <c r="BT1525" s="314"/>
      <c r="BU1525" s="314"/>
      <c r="BV1525" s="314"/>
      <c r="BW1525" s="314"/>
      <c r="BX1525" s="155"/>
    </row>
    <row r="1526" spans="1:76" ht="15.75" customHeight="1">
      <c r="A1526" s="25"/>
      <c r="B1526" s="39"/>
      <c r="C1526" s="155"/>
      <c r="D1526" s="155"/>
      <c r="E1526" s="40"/>
      <c r="F1526" s="314"/>
      <c r="H1526" s="315"/>
      <c r="I1526" s="315"/>
      <c r="BA1526" s="30"/>
      <c r="BB1526" s="155"/>
      <c r="BC1526" s="314"/>
      <c r="BD1526" s="314"/>
      <c r="BE1526" s="314"/>
      <c r="BF1526" s="314"/>
      <c r="BG1526" s="314"/>
      <c r="BH1526" s="314"/>
      <c r="BI1526" s="314"/>
      <c r="BJ1526" s="314"/>
      <c r="BK1526" s="40"/>
      <c r="BL1526" s="40"/>
      <c r="BM1526" s="40"/>
      <c r="BN1526" s="40"/>
      <c r="BO1526" s="40"/>
      <c r="BP1526" s="155"/>
      <c r="BQ1526" s="314"/>
      <c r="BR1526" s="314"/>
      <c r="BS1526" s="314"/>
      <c r="BT1526" s="314"/>
      <c r="BU1526" s="314"/>
      <c r="BV1526" s="314"/>
      <c r="BW1526" s="314"/>
      <c r="BX1526" s="155"/>
    </row>
    <row r="1527" spans="1:76" ht="15.75" customHeight="1">
      <c r="A1527" s="25"/>
      <c r="B1527" s="39"/>
      <c r="C1527" s="155"/>
      <c r="D1527" s="155"/>
      <c r="E1527" s="40"/>
      <c r="F1527" s="314"/>
      <c r="H1527" s="315"/>
      <c r="I1527" s="315"/>
      <c r="BA1527" s="30"/>
      <c r="BB1527" s="155"/>
      <c r="BC1527" s="314"/>
      <c r="BD1527" s="314"/>
      <c r="BE1527" s="314"/>
      <c r="BF1527" s="314"/>
      <c r="BG1527" s="314"/>
      <c r="BH1527" s="314"/>
      <c r="BI1527" s="314"/>
      <c r="BJ1527" s="314"/>
      <c r="BK1527" s="40"/>
      <c r="BL1527" s="40"/>
      <c r="BM1527" s="40"/>
      <c r="BN1527" s="40"/>
      <c r="BO1527" s="40"/>
      <c r="BP1527" s="155"/>
      <c r="BQ1527" s="314"/>
      <c r="BR1527" s="314"/>
      <c r="BS1527" s="314"/>
      <c r="BT1527" s="314"/>
      <c r="BU1527" s="314"/>
      <c r="BV1527" s="314"/>
      <c r="BW1527" s="314"/>
      <c r="BX1527" s="155"/>
    </row>
    <row r="1528" spans="1:76" ht="15.75" customHeight="1">
      <c r="A1528" s="25"/>
      <c r="B1528" s="39"/>
      <c r="C1528" s="155"/>
      <c r="D1528" s="155"/>
      <c r="E1528" s="40"/>
      <c r="F1528" s="314"/>
      <c r="H1528" s="315"/>
      <c r="I1528" s="315"/>
      <c r="BA1528" s="30"/>
      <c r="BB1528" s="155"/>
      <c r="BC1528" s="314"/>
      <c r="BD1528" s="314"/>
      <c r="BE1528" s="314"/>
      <c r="BF1528" s="314"/>
      <c r="BG1528" s="314"/>
      <c r="BH1528" s="314"/>
      <c r="BI1528" s="314"/>
      <c r="BJ1528" s="314"/>
      <c r="BK1528" s="40"/>
      <c r="BL1528" s="40"/>
      <c r="BM1528" s="40"/>
      <c r="BN1528" s="40"/>
      <c r="BO1528" s="40"/>
      <c r="BP1528" s="155"/>
      <c r="BQ1528" s="314"/>
      <c r="BR1528" s="314"/>
      <c r="BS1528" s="314"/>
      <c r="BT1528" s="314"/>
      <c r="BU1528" s="314"/>
      <c r="BV1528" s="314"/>
      <c r="BW1528" s="314"/>
      <c r="BX1528" s="155"/>
    </row>
    <row r="1529" spans="1:76" ht="15.75" customHeight="1">
      <c r="A1529" s="25"/>
      <c r="B1529" s="39"/>
      <c r="C1529" s="155"/>
      <c r="D1529" s="155"/>
      <c r="E1529" s="40"/>
      <c r="F1529" s="314"/>
      <c r="H1529" s="315"/>
      <c r="I1529" s="315"/>
      <c r="BA1529" s="30"/>
      <c r="BB1529" s="155"/>
      <c r="BC1529" s="314"/>
      <c r="BD1529" s="314"/>
      <c r="BE1529" s="314"/>
      <c r="BF1529" s="314"/>
      <c r="BG1529" s="314"/>
      <c r="BH1529" s="314"/>
      <c r="BI1529" s="314"/>
      <c r="BJ1529" s="314"/>
      <c r="BK1529" s="40"/>
      <c r="BL1529" s="40"/>
      <c r="BM1529" s="40"/>
      <c r="BN1529" s="40"/>
      <c r="BO1529" s="40"/>
      <c r="BP1529" s="155"/>
      <c r="BQ1529" s="314"/>
      <c r="BR1529" s="314"/>
      <c r="BS1529" s="314"/>
      <c r="BT1529" s="314"/>
      <c r="BU1529" s="314"/>
      <c r="BV1529" s="314"/>
      <c r="BW1529" s="314"/>
      <c r="BX1529" s="155"/>
    </row>
    <row r="1530" spans="1:76" ht="15.75" customHeight="1">
      <c r="A1530" s="25"/>
      <c r="B1530" s="39"/>
      <c r="C1530" s="155"/>
      <c r="D1530" s="155"/>
      <c r="E1530" s="40"/>
      <c r="F1530" s="314"/>
      <c r="H1530" s="315"/>
      <c r="I1530" s="315"/>
      <c r="BA1530" s="30"/>
      <c r="BB1530" s="155"/>
      <c r="BC1530" s="314"/>
      <c r="BD1530" s="314"/>
      <c r="BE1530" s="314"/>
      <c r="BF1530" s="314"/>
      <c r="BG1530" s="314"/>
      <c r="BH1530" s="314"/>
      <c r="BI1530" s="314"/>
      <c r="BJ1530" s="314"/>
      <c r="BK1530" s="40"/>
      <c r="BL1530" s="40"/>
      <c r="BM1530" s="40"/>
      <c r="BN1530" s="40"/>
      <c r="BO1530" s="40"/>
      <c r="BP1530" s="155"/>
      <c r="BQ1530" s="314"/>
      <c r="BR1530" s="314"/>
      <c r="BS1530" s="314"/>
      <c r="BT1530" s="314"/>
      <c r="BU1530" s="314"/>
      <c r="BV1530" s="314"/>
      <c r="BW1530" s="314"/>
      <c r="BX1530" s="155"/>
    </row>
    <row r="1531" spans="1:76" ht="15.75" customHeight="1">
      <c r="A1531" s="25"/>
      <c r="B1531" s="39"/>
      <c r="C1531" s="155"/>
      <c r="D1531" s="155"/>
      <c r="E1531" s="40"/>
      <c r="F1531" s="314"/>
      <c r="H1531" s="315"/>
      <c r="I1531" s="315"/>
      <c r="BA1531" s="30"/>
      <c r="BB1531" s="155"/>
      <c r="BC1531" s="314"/>
      <c r="BD1531" s="314"/>
      <c r="BE1531" s="314"/>
      <c r="BF1531" s="314"/>
      <c r="BG1531" s="314"/>
      <c r="BH1531" s="314"/>
      <c r="BI1531" s="314"/>
      <c r="BJ1531" s="314"/>
      <c r="BK1531" s="40"/>
      <c r="BL1531" s="40"/>
      <c r="BM1531" s="40"/>
      <c r="BN1531" s="40"/>
      <c r="BO1531" s="40"/>
      <c r="BP1531" s="155"/>
      <c r="BQ1531" s="314"/>
      <c r="BR1531" s="314"/>
      <c r="BS1531" s="314"/>
      <c r="BT1531" s="314"/>
      <c r="BU1531" s="314"/>
      <c r="BV1531" s="314"/>
      <c r="BW1531" s="314"/>
      <c r="BX1531" s="155"/>
    </row>
    <row r="1532" spans="1:76" ht="15.75" customHeight="1">
      <c r="A1532" s="25"/>
      <c r="B1532" s="39"/>
      <c r="C1532" s="155"/>
      <c r="D1532" s="155"/>
      <c r="E1532" s="40"/>
      <c r="F1532" s="314"/>
      <c r="H1532" s="315"/>
      <c r="I1532" s="315"/>
      <c r="BA1532" s="30"/>
      <c r="BB1532" s="155"/>
      <c r="BC1532" s="314"/>
      <c r="BD1532" s="314"/>
      <c r="BE1532" s="314"/>
      <c r="BF1532" s="314"/>
      <c r="BG1532" s="314"/>
      <c r="BH1532" s="314"/>
      <c r="BI1532" s="314"/>
      <c r="BJ1532" s="314"/>
      <c r="BK1532" s="40"/>
      <c r="BL1532" s="40"/>
      <c r="BM1532" s="40"/>
      <c r="BN1532" s="40"/>
      <c r="BO1532" s="40"/>
      <c r="BP1532" s="155"/>
      <c r="BQ1532" s="314"/>
      <c r="BR1532" s="314"/>
      <c r="BS1532" s="314"/>
      <c r="BT1532" s="314"/>
      <c r="BU1532" s="314"/>
      <c r="BV1532" s="314"/>
      <c r="BW1532" s="314"/>
      <c r="BX1532" s="155"/>
    </row>
    <row r="1533" spans="1:76" ht="15.75" customHeight="1">
      <c r="A1533" s="25"/>
      <c r="B1533" s="39"/>
      <c r="C1533" s="155"/>
      <c r="D1533" s="155"/>
      <c r="E1533" s="40"/>
      <c r="F1533" s="314"/>
      <c r="H1533" s="315"/>
      <c r="I1533" s="315"/>
      <c r="BA1533" s="30"/>
      <c r="BB1533" s="155"/>
      <c r="BC1533" s="314"/>
      <c r="BD1533" s="314"/>
      <c r="BE1533" s="314"/>
      <c r="BF1533" s="314"/>
      <c r="BG1533" s="314"/>
      <c r="BH1533" s="314"/>
      <c r="BI1533" s="314"/>
      <c r="BJ1533" s="314"/>
      <c r="BK1533" s="40"/>
      <c r="BL1533" s="40"/>
      <c r="BM1533" s="40"/>
      <c r="BN1533" s="40"/>
      <c r="BO1533" s="40"/>
      <c r="BP1533" s="155"/>
      <c r="BQ1533" s="314"/>
      <c r="BR1533" s="314"/>
      <c r="BS1533" s="314"/>
      <c r="BT1533" s="314"/>
      <c r="BU1533" s="314"/>
      <c r="BV1533" s="314"/>
      <c r="BW1533" s="314"/>
      <c r="BX1533" s="155"/>
    </row>
    <row r="1534" spans="1:76" ht="15.75" customHeight="1">
      <c r="A1534" s="25"/>
      <c r="B1534" s="39"/>
      <c r="C1534" s="155"/>
      <c r="D1534" s="155"/>
      <c r="E1534" s="40"/>
      <c r="F1534" s="314"/>
      <c r="H1534" s="315"/>
      <c r="I1534" s="315"/>
      <c r="BA1534" s="30"/>
      <c r="BB1534" s="155"/>
      <c r="BC1534" s="314"/>
      <c r="BD1534" s="314"/>
      <c r="BE1534" s="314"/>
      <c r="BF1534" s="314"/>
      <c r="BG1534" s="314"/>
      <c r="BH1534" s="314"/>
      <c r="BI1534" s="314"/>
      <c r="BJ1534" s="314"/>
      <c r="BK1534" s="40"/>
      <c r="BL1534" s="40"/>
      <c r="BM1534" s="40"/>
      <c r="BN1534" s="40"/>
      <c r="BO1534" s="40"/>
      <c r="BP1534" s="155"/>
      <c r="BQ1534" s="314"/>
      <c r="BR1534" s="314"/>
      <c r="BS1534" s="314"/>
      <c r="BT1534" s="314"/>
      <c r="BU1534" s="314"/>
      <c r="BV1534" s="314"/>
      <c r="BW1534" s="314"/>
      <c r="BX1534" s="155"/>
    </row>
    <row r="1535" spans="1:76" ht="15.75" customHeight="1">
      <c r="A1535" s="25"/>
      <c r="B1535" s="39"/>
      <c r="C1535" s="155"/>
      <c r="D1535" s="155"/>
      <c r="E1535" s="40"/>
      <c r="F1535" s="314"/>
      <c r="H1535" s="315"/>
      <c r="I1535" s="315"/>
      <c r="BA1535" s="30"/>
      <c r="BB1535" s="155"/>
      <c r="BC1535" s="314"/>
      <c r="BD1535" s="314"/>
      <c r="BE1535" s="314"/>
      <c r="BF1535" s="314"/>
      <c r="BG1535" s="314"/>
      <c r="BH1535" s="314"/>
      <c r="BI1535" s="314"/>
      <c r="BJ1535" s="314"/>
      <c r="BK1535" s="40"/>
      <c r="BL1535" s="40"/>
      <c r="BM1535" s="40"/>
      <c r="BN1535" s="40"/>
      <c r="BO1535" s="40"/>
      <c r="BP1535" s="155"/>
      <c r="BQ1535" s="314"/>
      <c r="BR1535" s="314"/>
      <c r="BS1535" s="314"/>
      <c r="BT1535" s="314"/>
      <c r="BU1535" s="314"/>
      <c r="BV1535" s="314"/>
      <c r="BW1535" s="314"/>
      <c r="BX1535" s="155"/>
    </row>
    <row r="1536" spans="1:76" ht="15.75" customHeight="1">
      <c r="A1536" s="25"/>
      <c r="B1536" s="39"/>
      <c r="C1536" s="155"/>
      <c r="D1536" s="155"/>
      <c r="E1536" s="40"/>
      <c r="F1536" s="314"/>
      <c r="H1536" s="315"/>
      <c r="I1536" s="315"/>
      <c r="BA1536" s="30"/>
      <c r="BB1536" s="155"/>
      <c r="BC1536" s="314"/>
      <c r="BD1536" s="314"/>
      <c r="BE1536" s="314"/>
      <c r="BF1536" s="314"/>
      <c r="BG1536" s="314"/>
      <c r="BH1536" s="314"/>
      <c r="BI1536" s="314"/>
      <c r="BJ1536" s="314"/>
      <c r="BK1536" s="40"/>
      <c r="BL1536" s="40"/>
      <c r="BM1536" s="40"/>
      <c r="BN1536" s="40"/>
      <c r="BO1536" s="40"/>
      <c r="BP1536" s="155"/>
      <c r="BQ1536" s="314"/>
      <c r="BR1536" s="314"/>
      <c r="BS1536" s="314"/>
      <c r="BT1536" s="314"/>
      <c r="BU1536" s="314"/>
      <c r="BV1536" s="314"/>
      <c r="BW1536" s="314"/>
      <c r="BX1536" s="155"/>
    </row>
    <row r="1537" spans="1:76" ht="15.75" customHeight="1">
      <c r="A1537" s="25"/>
      <c r="B1537" s="39"/>
      <c r="C1537" s="155"/>
      <c r="D1537" s="155"/>
      <c r="E1537" s="40"/>
      <c r="F1537" s="314"/>
      <c r="H1537" s="315"/>
      <c r="I1537" s="315"/>
      <c r="BA1537" s="30"/>
      <c r="BB1537" s="155"/>
      <c r="BC1537" s="314"/>
      <c r="BD1537" s="314"/>
      <c r="BE1537" s="314"/>
      <c r="BF1537" s="314"/>
      <c r="BG1537" s="314"/>
      <c r="BH1537" s="314"/>
      <c r="BI1537" s="314"/>
      <c r="BJ1537" s="314"/>
      <c r="BK1537" s="40"/>
      <c r="BL1537" s="40"/>
      <c r="BM1537" s="40"/>
      <c r="BN1537" s="40"/>
      <c r="BO1537" s="40"/>
      <c r="BP1537" s="155"/>
      <c r="BQ1537" s="314"/>
      <c r="BR1537" s="314"/>
      <c r="BS1537" s="314"/>
      <c r="BT1537" s="314"/>
      <c r="BU1537" s="314"/>
      <c r="BV1537" s="314"/>
      <c r="BW1537" s="314"/>
      <c r="BX1537" s="155"/>
    </row>
    <row r="1538" spans="1:76" ht="15.75" customHeight="1">
      <c r="A1538" s="25"/>
      <c r="B1538" s="39"/>
      <c r="C1538" s="155"/>
      <c r="D1538" s="155"/>
      <c r="E1538" s="40"/>
      <c r="F1538" s="314"/>
      <c r="H1538" s="315"/>
      <c r="I1538" s="315"/>
      <c r="BA1538" s="30"/>
      <c r="BB1538" s="155"/>
      <c r="BC1538" s="322"/>
      <c r="BD1538" s="322"/>
      <c r="BE1538" s="322"/>
      <c r="BF1538" s="322"/>
      <c r="BG1538" s="322"/>
      <c r="BH1538" s="322"/>
      <c r="BI1538" s="322"/>
      <c r="BJ1538" s="322"/>
      <c r="BK1538" s="341"/>
      <c r="BL1538" s="40"/>
      <c r="BM1538" s="40"/>
      <c r="BN1538" s="40"/>
      <c r="BO1538" s="40"/>
      <c r="BP1538" s="155"/>
      <c r="BQ1538" s="314"/>
      <c r="BR1538" s="314"/>
      <c r="BS1538" s="314"/>
      <c r="BT1538" s="314"/>
      <c r="BU1538" s="314"/>
      <c r="BV1538" s="314"/>
      <c r="BW1538" s="314"/>
      <c r="BX1538" s="155"/>
    </row>
    <row r="1539" spans="1:76" ht="15.75" customHeight="1">
      <c r="A1539" s="25"/>
      <c r="B1539" s="39"/>
      <c r="C1539" s="155"/>
      <c r="D1539" s="155"/>
      <c r="E1539" s="40"/>
      <c r="F1539" s="314"/>
      <c r="H1539" s="315"/>
      <c r="I1539" s="315"/>
      <c r="BA1539" s="30"/>
      <c r="BB1539" s="155"/>
      <c r="BC1539" s="314"/>
      <c r="BD1539" s="314"/>
      <c r="BE1539" s="314"/>
      <c r="BF1539" s="314"/>
      <c r="BG1539" s="314"/>
      <c r="BH1539" s="314"/>
      <c r="BI1539" s="314"/>
      <c r="BJ1539" s="314"/>
      <c r="BK1539" s="40"/>
      <c r="BL1539" s="40"/>
      <c r="BM1539" s="40"/>
      <c r="BN1539" s="40"/>
      <c r="BO1539" s="40"/>
      <c r="BP1539" s="155"/>
      <c r="BQ1539" s="314"/>
      <c r="BR1539" s="314"/>
      <c r="BS1539" s="314"/>
      <c r="BT1539" s="314"/>
      <c r="BU1539" s="314"/>
      <c r="BV1539" s="314"/>
      <c r="BW1539" s="314"/>
      <c r="BX1539" s="155"/>
    </row>
    <row r="1540" spans="1:76" ht="15.75" customHeight="1">
      <c r="A1540" s="25"/>
      <c r="B1540" s="39"/>
      <c r="C1540" s="155"/>
      <c r="D1540" s="155"/>
      <c r="E1540" s="40"/>
      <c r="F1540" s="314"/>
      <c r="H1540" s="315"/>
      <c r="I1540" s="315"/>
      <c r="BA1540" s="30"/>
      <c r="BB1540" s="155"/>
      <c r="BC1540" s="314"/>
      <c r="BD1540" s="314"/>
      <c r="BE1540" s="314"/>
      <c r="BF1540" s="314"/>
      <c r="BG1540" s="314"/>
      <c r="BH1540" s="314"/>
      <c r="BI1540" s="314"/>
      <c r="BJ1540" s="314"/>
      <c r="BK1540" s="40"/>
      <c r="BL1540" s="40"/>
      <c r="BM1540" s="40"/>
      <c r="BN1540" s="40"/>
      <c r="BO1540" s="40"/>
      <c r="BP1540" s="155"/>
      <c r="BQ1540" s="314"/>
      <c r="BR1540" s="314"/>
      <c r="BS1540" s="314"/>
      <c r="BT1540" s="314"/>
      <c r="BU1540" s="314"/>
      <c r="BV1540" s="314"/>
      <c r="BW1540" s="314"/>
      <c r="BX1540" s="155"/>
    </row>
    <row r="1541" spans="1:76" ht="15.75" customHeight="1">
      <c r="A1541" s="25"/>
      <c r="B1541" s="39"/>
      <c r="C1541" s="155"/>
      <c r="D1541" s="155"/>
      <c r="E1541" s="40"/>
      <c r="F1541" s="314"/>
      <c r="H1541" s="315"/>
      <c r="I1541" s="315"/>
      <c r="BA1541" s="30"/>
      <c r="BB1541" s="155"/>
      <c r="BC1541" s="314"/>
      <c r="BD1541" s="314"/>
      <c r="BE1541" s="314"/>
      <c r="BF1541" s="314"/>
      <c r="BG1541" s="314"/>
      <c r="BH1541" s="314"/>
      <c r="BI1541" s="314"/>
      <c r="BJ1541" s="314"/>
      <c r="BK1541" s="40"/>
      <c r="BL1541" s="40"/>
      <c r="BM1541" s="40"/>
      <c r="BN1541" s="40"/>
      <c r="BO1541" s="40"/>
      <c r="BP1541" s="155"/>
      <c r="BQ1541" s="314"/>
      <c r="BR1541" s="314"/>
      <c r="BS1541" s="314"/>
      <c r="BT1541" s="314"/>
      <c r="BU1541" s="314"/>
      <c r="BV1541" s="314"/>
      <c r="BW1541" s="314"/>
      <c r="BX1541" s="155"/>
    </row>
    <row r="1542" spans="1:76" ht="15.75" customHeight="1">
      <c r="A1542" s="25"/>
      <c r="B1542" s="39"/>
      <c r="C1542" s="155"/>
      <c r="D1542" s="155"/>
      <c r="E1542" s="40"/>
      <c r="F1542" s="314"/>
      <c r="H1542" s="315"/>
      <c r="I1542" s="315"/>
      <c r="BA1542" s="30"/>
      <c r="BB1542" s="155"/>
      <c r="BC1542" s="314"/>
      <c r="BD1542" s="314"/>
      <c r="BE1542" s="314"/>
      <c r="BF1542" s="314"/>
      <c r="BG1542" s="314"/>
      <c r="BH1542" s="314"/>
      <c r="BI1542" s="314"/>
      <c r="BJ1542" s="314"/>
      <c r="BK1542" s="40"/>
      <c r="BL1542" s="40"/>
      <c r="BM1542" s="40"/>
      <c r="BN1542" s="40"/>
      <c r="BO1542" s="40"/>
      <c r="BP1542" s="155"/>
      <c r="BQ1542" s="314"/>
      <c r="BR1542" s="314"/>
      <c r="BS1542" s="314"/>
      <c r="BT1542" s="314"/>
      <c r="BU1542" s="314"/>
      <c r="BV1542" s="314"/>
      <c r="BW1542" s="314"/>
      <c r="BX1542" s="155"/>
    </row>
    <row r="1543" spans="1:76" ht="15.75" customHeight="1">
      <c r="A1543" s="25"/>
      <c r="B1543" s="39"/>
      <c r="C1543" s="155"/>
      <c r="D1543" s="155"/>
      <c r="E1543" s="40"/>
      <c r="F1543" s="314"/>
      <c r="H1543" s="315"/>
      <c r="I1543" s="315"/>
      <c r="BA1543" s="30"/>
      <c r="BB1543" s="155"/>
      <c r="BC1543" s="314"/>
      <c r="BD1543" s="314"/>
      <c r="BE1543" s="314"/>
      <c r="BF1543" s="314"/>
      <c r="BG1543" s="314"/>
      <c r="BH1543" s="314"/>
      <c r="BI1543" s="314"/>
      <c r="BJ1543" s="314"/>
      <c r="BK1543" s="40"/>
      <c r="BL1543" s="40"/>
      <c r="BM1543" s="40"/>
      <c r="BN1543" s="40"/>
      <c r="BO1543" s="40"/>
      <c r="BP1543" s="155"/>
      <c r="BQ1543" s="314"/>
      <c r="BR1543" s="314"/>
      <c r="BS1543" s="314"/>
      <c r="BT1543" s="314"/>
      <c r="BU1543" s="314"/>
      <c r="BV1543" s="314"/>
      <c r="BW1543" s="314"/>
      <c r="BX1543" s="155"/>
    </row>
    <row r="1544" spans="1:76" ht="15.75" customHeight="1">
      <c r="A1544" s="25"/>
      <c r="B1544" s="39"/>
      <c r="C1544" s="155"/>
      <c r="D1544" s="155"/>
      <c r="E1544" s="40"/>
      <c r="F1544" s="314"/>
      <c r="H1544" s="315"/>
      <c r="I1544" s="315"/>
      <c r="BA1544" s="30"/>
      <c r="BB1544" s="155"/>
      <c r="BC1544" s="314"/>
      <c r="BD1544" s="314"/>
      <c r="BE1544" s="314"/>
      <c r="BF1544" s="314"/>
      <c r="BG1544" s="314"/>
      <c r="BH1544" s="314"/>
      <c r="BI1544" s="314"/>
      <c r="BJ1544" s="314"/>
      <c r="BK1544" s="40"/>
      <c r="BL1544" s="40"/>
      <c r="BM1544" s="40"/>
      <c r="BN1544" s="40"/>
      <c r="BO1544" s="40"/>
      <c r="BP1544" s="155"/>
      <c r="BQ1544" s="314"/>
      <c r="BR1544" s="314"/>
      <c r="BS1544" s="314"/>
      <c r="BT1544" s="314"/>
      <c r="BU1544" s="314"/>
      <c r="BV1544" s="314"/>
      <c r="BW1544" s="314"/>
      <c r="BX1544" s="155"/>
    </row>
    <row r="1545" spans="1:76" ht="15.75" customHeight="1">
      <c r="A1545" s="25"/>
      <c r="B1545" s="39"/>
      <c r="C1545" s="155"/>
      <c r="D1545" s="155"/>
      <c r="E1545" s="40"/>
      <c r="F1545" s="314"/>
      <c r="H1545" s="315"/>
      <c r="I1545" s="315"/>
      <c r="BA1545" s="30"/>
      <c r="BB1545" s="155"/>
      <c r="BC1545" s="314"/>
      <c r="BD1545" s="314"/>
      <c r="BE1545" s="314"/>
      <c r="BF1545" s="314"/>
      <c r="BG1545" s="314"/>
      <c r="BH1545" s="314"/>
      <c r="BI1545" s="314"/>
      <c r="BJ1545" s="314"/>
      <c r="BK1545" s="40"/>
      <c r="BL1545" s="40"/>
      <c r="BM1545" s="40"/>
      <c r="BN1545" s="40"/>
      <c r="BO1545" s="40"/>
      <c r="BP1545" s="155"/>
      <c r="BQ1545" s="314"/>
      <c r="BR1545" s="314"/>
      <c r="BS1545" s="314"/>
      <c r="BT1545" s="314"/>
      <c r="BU1545" s="314"/>
      <c r="BV1545" s="314"/>
      <c r="BW1545" s="314"/>
      <c r="BX1545" s="155"/>
    </row>
    <row r="1546" spans="1:76" ht="15.75" customHeight="1">
      <c r="A1546" s="25"/>
      <c r="B1546" s="39"/>
      <c r="C1546" s="155"/>
      <c r="D1546" s="155"/>
      <c r="E1546" s="40"/>
      <c r="F1546" s="314"/>
      <c r="H1546" s="315"/>
      <c r="I1546" s="315"/>
      <c r="BA1546" s="30"/>
      <c r="BB1546" s="155"/>
      <c r="BC1546" s="314"/>
      <c r="BD1546" s="314"/>
      <c r="BE1546" s="314"/>
      <c r="BF1546" s="314"/>
      <c r="BG1546" s="314"/>
      <c r="BH1546" s="314"/>
      <c r="BI1546" s="314"/>
      <c r="BJ1546" s="314"/>
      <c r="BK1546" s="40"/>
      <c r="BL1546" s="40"/>
      <c r="BM1546" s="40"/>
      <c r="BN1546" s="40"/>
      <c r="BO1546" s="40"/>
      <c r="BP1546" s="155"/>
      <c r="BQ1546" s="314"/>
      <c r="BR1546" s="314"/>
      <c r="BS1546" s="314"/>
      <c r="BT1546" s="314"/>
      <c r="BU1546" s="314"/>
      <c r="BV1546" s="314"/>
      <c r="BW1546" s="314"/>
      <c r="BX1546" s="155"/>
    </row>
    <row r="1547" spans="1:76" ht="15.75" customHeight="1">
      <c r="A1547" s="25"/>
      <c r="B1547" s="39"/>
      <c r="C1547" s="155"/>
      <c r="D1547" s="155"/>
      <c r="E1547" s="40"/>
      <c r="F1547" s="314"/>
      <c r="H1547" s="315"/>
      <c r="I1547" s="315"/>
      <c r="BA1547" s="30"/>
      <c r="BB1547" s="155"/>
      <c r="BC1547" s="314"/>
      <c r="BD1547" s="314"/>
      <c r="BE1547" s="314"/>
      <c r="BF1547" s="314"/>
      <c r="BG1547" s="314"/>
      <c r="BH1547" s="314"/>
      <c r="BI1547" s="314"/>
      <c r="BJ1547" s="314"/>
      <c r="BK1547" s="40"/>
      <c r="BL1547" s="40"/>
      <c r="BM1547" s="40"/>
      <c r="BN1547" s="40"/>
      <c r="BO1547" s="40"/>
      <c r="BP1547" s="155"/>
      <c r="BQ1547" s="314"/>
      <c r="BR1547" s="314"/>
      <c r="BS1547" s="314"/>
      <c r="BT1547" s="314"/>
      <c r="BU1547" s="314"/>
      <c r="BV1547" s="314"/>
      <c r="BW1547" s="314"/>
      <c r="BX1547" s="155"/>
    </row>
    <row r="1548" spans="1:76" ht="15.75" customHeight="1">
      <c r="A1548" s="25"/>
      <c r="B1548" s="39"/>
      <c r="C1548" s="155"/>
      <c r="D1548" s="155"/>
      <c r="E1548" s="40"/>
      <c r="F1548" s="314"/>
      <c r="H1548" s="315"/>
      <c r="I1548" s="315"/>
      <c r="BA1548" s="30"/>
      <c r="BB1548" s="155"/>
      <c r="BC1548" s="314"/>
      <c r="BD1548" s="314"/>
      <c r="BE1548" s="314"/>
      <c r="BF1548" s="314"/>
      <c r="BG1548" s="314"/>
      <c r="BH1548" s="314"/>
      <c r="BI1548" s="314"/>
      <c r="BJ1548" s="314"/>
      <c r="BK1548" s="40"/>
      <c r="BL1548" s="40"/>
      <c r="BM1548" s="40"/>
      <c r="BN1548" s="40"/>
      <c r="BO1548" s="40"/>
      <c r="BP1548" s="155"/>
      <c r="BQ1548" s="314"/>
      <c r="BR1548" s="314"/>
      <c r="BS1548" s="314"/>
      <c r="BT1548" s="314"/>
      <c r="BU1548" s="314"/>
      <c r="BV1548" s="314"/>
      <c r="BW1548" s="314"/>
      <c r="BX1548" s="155"/>
    </row>
    <row r="1549" spans="1:76" ht="15.75" customHeight="1">
      <c r="A1549" s="25"/>
      <c r="B1549" s="39"/>
      <c r="C1549" s="155"/>
      <c r="D1549" s="155"/>
      <c r="E1549" s="40"/>
      <c r="F1549" s="314"/>
      <c r="H1549" s="315"/>
      <c r="I1549" s="315"/>
      <c r="BA1549" s="30"/>
      <c r="BB1549" s="155"/>
      <c r="BC1549" s="314"/>
      <c r="BD1549" s="314"/>
      <c r="BE1549" s="314"/>
      <c r="BF1549" s="314"/>
      <c r="BG1549" s="314"/>
      <c r="BH1549" s="314"/>
      <c r="BI1549" s="314"/>
      <c r="BJ1549" s="314"/>
      <c r="BK1549" s="40"/>
      <c r="BL1549" s="40"/>
      <c r="BM1549" s="40"/>
      <c r="BN1549" s="40"/>
      <c r="BO1549" s="40"/>
      <c r="BP1549" s="155"/>
      <c r="BQ1549" s="314"/>
      <c r="BR1549" s="314"/>
      <c r="BS1549" s="314"/>
      <c r="BT1549" s="314"/>
      <c r="BU1549" s="314"/>
      <c r="BV1549" s="314"/>
      <c r="BW1549" s="314"/>
      <c r="BX1549" s="155"/>
    </row>
    <row r="1550" spans="1:76" ht="15.75" customHeight="1">
      <c r="A1550" s="25"/>
      <c r="B1550" s="39"/>
      <c r="C1550" s="155"/>
      <c r="D1550" s="155"/>
      <c r="E1550" s="40"/>
      <c r="F1550" s="314"/>
      <c r="H1550" s="315"/>
      <c r="I1550" s="315"/>
      <c r="BA1550" s="30"/>
      <c r="BB1550" s="155"/>
      <c r="BC1550" s="314"/>
      <c r="BD1550" s="314"/>
      <c r="BE1550" s="314"/>
      <c r="BF1550" s="314"/>
      <c r="BG1550" s="314"/>
      <c r="BH1550" s="314"/>
      <c r="BI1550" s="314"/>
      <c r="BJ1550" s="314"/>
      <c r="BK1550" s="40"/>
      <c r="BL1550" s="40"/>
      <c r="BM1550" s="40"/>
      <c r="BN1550" s="40"/>
      <c r="BO1550" s="40"/>
      <c r="BP1550" s="155"/>
      <c r="BQ1550" s="314"/>
      <c r="BR1550" s="314"/>
      <c r="BS1550" s="314"/>
      <c r="BT1550" s="314"/>
      <c r="BU1550" s="314"/>
      <c r="BV1550" s="314"/>
      <c r="BW1550" s="314"/>
      <c r="BX1550" s="155"/>
    </row>
    <row r="1551" spans="1:76" ht="15.75" customHeight="1">
      <c r="A1551" s="25"/>
      <c r="B1551" s="39"/>
      <c r="C1551" s="155"/>
      <c r="D1551" s="155"/>
      <c r="E1551" s="40"/>
      <c r="F1551" s="314"/>
      <c r="H1551" s="315"/>
      <c r="I1551" s="315"/>
      <c r="BA1551" s="30"/>
      <c r="BB1551" s="155"/>
      <c r="BC1551" s="314"/>
      <c r="BD1551" s="314"/>
      <c r="BE1551" s="314"/>
      <c r="BF1551" s="314"/>
      <c r="BG1551" s="314"/>
      <c r="BH1551" s="314"/>
      <c r="BI1551" s="314"/>
      <c r="BJ1551" s="314"/>
      <c r="BK1551" s="40"/>
      <c r="BL1551" s="40"/>
      <c r="BM1551" s="40"/>
      <c r="BN1551" s="40"/>
      <c r="BO1551" s="40"/>
      <c r="BP1551" s="155"/>
      <c r="BQ1551" s="314"/>
      <c r="BR1551" s="314"/>
      <c r="BS1551" s="314"/>
      <c r="BT1551" s="314"/>
      <c r="BU1551" s="314"/>
      <c r="BV1551" s="314"/>
      <c r="BW1551" s="314"/>
      <c r="BX1551" s="155"/>
    </row>
    <row r="1552" spans="1:76" ht="15.75" customHeight="1">
      <c r="A1552" s="25"/>
      <c r="B1552" s="39"/>
      <c r="C1552" s="155"/>
      <c r="D1552" s="155"/>
      <c r="E1552" s="40"/>
      <c r="F1552" s="314"/>
      <c r="H1552" s="315"/>
      <c r="I1552" s="315"/>
      <c r="BA1552" s="30"/>
      <c r="BB1552" s="155"/>
      <c r="BC1552" s="314"/>
      <c r="BD1552" s="314"/>
      <c r="BE1552" s="314"/>
      <c r="BF1552" s="314"/>
      <c r="BG1552" s="314"/>
      <c r="BH1552" s="314"/>
      <c r="BI1552" s="314"/>
      <c r="BJ1552" s="314"/>
      <c r="BK1552" s="40"/>
      <c r="BL1552" s="40"/>
      <c r="BM1552" s="40"/>
      <c r="BN1552" s="40"/>
      <c r="BO1552" s="40"/>
      <c r="BP1552" s="155"/>
      <c r="BQ1552" s="314"/>
      <c r="BR1552" s="314"/>
      <c r="BS1552" s="314"/>
      <c r="BT1552" s="314"/>
      <c r="BU1552" s="314"/>
      <c r="BV1552" s="314"/>
      <c r="BW1552" s="314"/>
      <c r="BX1552" s="155"/>
    </row>
    <row r="1553" spans="1:76" ht="15.75" customHeight="1">
      <c r="A1553" s="25"/>
      <c r="B1553" s="39"/>
      <c r="C1553" s="155"/>
      <c r="D1553" s="155"/>
      <c r="E1553" s="40"/>
      <c r="F1553" s="314"/>
      <c r="H1553" s="315"/>
      <c r="I1553" s="315"/>
      <c r="BA1553" s="30"/>
      <c r="BB1553" s="155"/>
      <c r="BC1553" s="314"/>
      <c r="BD1553" s="314"/>
      <c r="BE1553" s="314"/>
      <c r="BF1553" s="314"/>
      <c r="BG1553" s="314"/>
      <c r="BH1553" s="314"/>
      <c r="BI1553" s="314"/>
      <c r="BJ1553" s="314"/>
      <c r="BK1553" s="40"/>
      <c r="BL1553" s="40"/>
      <c r="BM1553" s="40"/>
      <c r="BN1553" s="40"/>
      <c r="BO1553" s="40"/>
      <c r="BP1553" s="155"/>
      <c r="BQ1553" s="314"/>
      <c r="BR1553" s="314"/>
      <c r="BS1553" s="314"/>
      <c r="BT1553" s="314"/>
      <c r="BU1553" s="314"/>
      <c r="BV1553" s="314"/>
      <c r="BW1553" s="314"/>
      <c r="BX1553" s="155"/>
    </row>
    <row r="1554" spans="1:76" ht="15.75" customHeight="1">
      <c r="A1554" s="25"/>
      <c r="B1554" s="39"/>
      <c r="C1554" s="155"/>
      <c r="D1554" s="155"/>
      <c r="E1554" s="40"/>
      <c r="F1554" s="314"/>
      <c r="H1554" s="315"/>
      <c r="I1554" s="315"/>
      <c r="BA1554" s="30"/>
      <c r="BB1554" s="155"/>
      <c r="BC1554" s="314"/>
      <c r="BD1554" s="314"/>
      <c r="BE1554" s="314"/>
      <c r="BF1554" s="314"/>
      <c r="BG1554" s="314"/>
      <c r="BH1554" s="314"/>
      <c r="BI1554" s="314"/>
      <c r="BJ1554" s="314"/>
      <c r="BK1554" s="40"/>
      <c r="BL1554" s="40"/>
      <c r="BM1554" s="40"/>
      <c r="BN1554" s="40"/>
      <c r="BO1554" s="40"/>
      <c r="BP1554" s="155"/>
      <c r="BQ1554" s="314"/>
      <c r="BR1554" s="314"/>
      <c r="BS1554" s="314"/>
      <c r="BT1554" s="314"/>
      <c r="BU1554" s="314"/>
      <c r="BV1554" s="314"/>
      <c r="BW1554" s="314"/>
      <c r="BX1554" s="155"/>
    </row>
    <row r="1555" spans="1:76" ht="15.75" customHeight="1">
      <c r="A1555" s="25"/>
      <c r="B1555" s="39"/>
      <c r="C1555" s="155"/>
      <c r="D1555" s="155"/>
      <c r="E1555" s="40"/>
      <c r="F1555" s="314"/>
      <c r="H1555" s="315"/>
      <c r="I1555" s="315"/>
      <c r="BA1555" s="30"/>
      <c r="BB1555" s="155"/>
      <c r="BC1555" s="314"/>
      <c r="BD1555" s="314"/>
      <c r="BE1555" s="314"/>
      <c r="BF1555" s="314"/>
      <c r="BG1555" s="314"/>
      <c r="BH1555" s="314"/>
      <c r="BI1555" s="314"/>
      <c r="BJ1555" s="314"/>
      <c r="BK1555" s="40"/>
      <c r="BL1555" s="40"/>
      <c r="BM1555" s="40"/>
      <c r="BN1555" s="40"/>
      <c r="BO1555" s="40"/>
      <c r="BP1555" s="155"/>
      <c r="BQ1555" s="314"/>
      <c r="BR1555" s="314"/>
      <c r="BS1555" s="314"/>
      <c r="BT1555" s="314"/>
      <c r="BU1555" s="314"/>
      <c r="BV1555" s="314"/>
      <c r="BW1555" s="314"/>
      <c r="BX1555" s="155"/>
    </row>
    <row r="1556" spans="1:76" ht="15.75" customHeight="1">
      <c r="A1556" s="25"/>
      <c r="B1556" s="39"/>
      <c r="C1556" s="155"/>
      <c r="D1556" s="155"/>
      <c r="E1556" s="40"/>
      <c r="F1556" s="314"/>
      <c r="H1556" s="315"/>
      <c r="I1556" s="315"/>
      <c r="BA1556" s="30"/>
      <c r="BB1556" s="155"/>
      <c r="BC1556" s="314"/>
      <c r="BD1556" s="314"/>
      <c r="BE1556" s="314"/>
      <c r="BF1556" s="314"/>
      <c r="BG1556" s="314"/>
      <c r="BH1556" s="314"/>
      <c r="BI1556" s="314"/>
      <c r="BJ1556" s="314"/>
      <c r="BK1556" s="40"/>
      <c r="BL1556" s="40"/>
      <c r="BM1556" s="40"/>
      <c r="BN1556" s="40"/>
      <c r="BO1556" s="40"/>
      <c r="BP1556" s="155"/>
      <c r="BQ1556" s="314"/>
      <c r="BR1556" s="314"/>
      <c r="BS1556" s="314"/>
      <c r="BT1556" s="314"/>
      <c r="BU1556" s="314"/>
      <c r="BV1556" s="314"/>
      <c r="BW1556" s="314"/>
      <c r="BX1556" s="155"/>
    </row>
    <row r="1557" spans="1:76" ht="15.75" customHeight="1">
      <c r="A1557" s="25"/>
      <c r="B1557" s="39"/>
      <c r="C1557" s="155"/>
      <c r="D1557" s="155"/>
      <c r="E1557" s="40"/>
      <c r="F1557" s="314"/>
      <c r="H1557" s="315"/>
      <c r="I1557" s="315"/>
      <c r="BA1557" s="30"/>
      <c r="BB1557" s="155"/>
      <c r="BC1557" s="314"/>
      <c r="BD1557" s="314"/>
      <c r="BE1557" s="314"/>
      <c r="BF1557" s="314"/>
      <c r="BG1557" s="314"/>
      <c r="BH1557" s="314"/>
      <c r="BI1557" s="314"/>
      <c r="BJ1557" s="314"/>
      <c r="BK1557" s="40"/>
      <c r="BL1557" s="40"/>
      <c r="BM1557" s="40"/>
      <c r="BN1557" s="40"/>
      <c r="BO1557" s="40"/>
      <c r="BP1557" s="155"/>
      <c r="BQ1557" s="314"/>
      <c r="BR1557" s="314"/>
      <c r="BS1557" s="314"/>
      <c r="BT1557" s="314"/>
      <c r="BU1557" s="314"/>
      <c r="BV1557" s="314"/>
      <c r="BW1557" s="314"/>
      <c r="BX1557" s="155"/>
    </row>
    <row r="1558" spans="1:76" ht="15.75" customHeight="1">
      <c r="A1558" s="25"/>
      <c r="B1558" s="39"/>
      <c r="C1558" s="155"/>
      <c r="D1558" s="155"/>
      <c r="E1558" s="40"/>
      <c r="F1558" s="314"/>
      <c r="H1558" s="315"/>
      <c r="I1558" s="315"/>
      <c r="BA1558" s="30"/>
      <c r="BB1558" s="155"/>
      <c r="BC1558" s="314"/>
      <c r="BD1558" s="314"/>
      <c r="BE1558" s="314"/>
      <c r="BF1558" s="314"/>
      <c r="BG1558" s="314"/>
      <c r="BH1558" s="314"/>
      <c r="BI1558" s="314"/>
      <c r="BJ1558" s="314"/>
      <c r="BK1558" s="40"/>
      <c r="BL1558" s="40"/>
      <c r="BM1558" s="40"/>
      <c r="BN1558" s="40"/>
      <c r="BO1558" s="40"/>
      <c r="BP1558" s="155"/>
      <c r="BQ1558" s="314"/>
      <c r="BR1558" s="314"/>
      <c r="BS1558" s="314"/>
      <c r="BT1558" s="314"/>
      <c r="BU1558" s="314"/>
      <c r="BV1558" s="314"/>
      <c r="BW1558" s="314"/>
      <c r="BX1558" s="155"/>
    </row>
    <row r="1559" spans="1:76" ht="15.75" customHeight="1">
      <c r="A1559" s="25"/>
      <c r="B1559" s="39"/>
      <c r="C1559" s="155"/>
      <c r="D1559" s="155"/>
      <c r="E1559" s="40"/>
      <c r="F1559" s="314"/>
      <c r="H1559" s="315"/>
      <c r="I1559" s="315"/>
      <c r="BA1559" s="30"/>
      <c r="BB1559" s="155"/>
      <c r="BC1559" s="314"/>
      <c r="BD1559" s="314"/>
      <c r="BE1559" s="314"/>
      <c r="BF1559" s="314"/>
      <c r="BG1559" s="314"/>
      <c r="BH1559" s="314"/>
      <c r="BI1559" s="314"/>
      <c r="BJ1559" s="314"/>
      <c r="BK1559" s="40"/>
      <c r="BL1559" s="40"/>
      <c r="BM1559" s="40"/>
      <c r="BN1559" s="40"/>
      <c r="BO1559" s="40"/>
      <c r="BP1559" s="155"/>
      <c r="BQ1559" s="314"/>
      <c r="BR1559" s="314"/>
      <c r="BS1559" s="314"/>
      <c r="BT1559" s="314"/>
      <c r="BU1559" s="314"/>
      <c r="BV1559" s="314"/>
      <c r="BW1559" s="314"/>
      <c r="BX1559" s="155"/>
    </row>
    <row r="1560" spans="1:76" ht="15.75" customHeight="1">
      <c r="A1560" s="25"/>
      <c r="B1560" s="39"/>
      <c r="C1560" s="155"/>
      <c r="D1560" s="155"/>
      <c r="E1560" s="40"/>
      <c r="F1560" s="314"/>
      <c r="H1560" s="315"/>
      <c r="I1560" s="315"/>
      <c r="BA1560" s="30"/>
      <c r="BB1560" s="155"/>
      <c r="BC1560" s="314"/>
      <c r="BD1560" s="314"/>
      <c r="BE1560" s="314"/>
      <c r="BF1560" s="314"/>
      <c r="BG1560" s="314"/>
      <c r="BH1560" s="314"/>
      <c r="BI1560" s="314"/>
      <c r="BJ1560" s="314"/>
      <c r="BK1560" s="40"/>
      <c r="BL1560" s="40"/>
      <c r="BM1560" s="40"/>
      <c r="BN1560" s="40"/>
      <c r="BO1560" s="40"/>
      <c r="BP1560" s="155"/>
      <c r="BQ1560" s="314"/>
      <c r="BR1560" s="314"/>
      <c r="BS1560" s="314"/>
      <c r="BT1560" s="314"/>
      <c r="BU1560" s="314"/>
      <c r="BV1560" s="314"/>
      <c r="BW1560" s="314"/>
      <c r="BX1560" s="155"/>
    </row>
    <row r="1561" spans="1:76" ht="15.75" customHeight="1">
      <c r="A1561" s="25"/>
      <c r="B1561" s="39"/>
      <c r="C1561" s="155"/>
      <c r="D1561" s="155"/>
      <c r="E1561" s="40"/>
      <c r="F1561" s="314"/>
      <c r="H1561" s="315"/>
      <c r="I1561" s="315"/>
      <c r="BA1561" s="30"/>
      <c r="BB1561" s="155"/>
      <c r="BC1561" s="314"/>
      <c r="BD1561" s="314"/>
      <c r="BE1561" s="314"/>
      <c r="BF1561" s="314"/>
      <c r="BG1561" s="314"/>
      <c r="BH1561" s="314"/>
      <c r="BI1561" s="314"/>
      <c r="BJ1561" s="314"/>
      <c r="BK1561" s="40"/>
      <c r="BL1561" s="40"/>
      <c r="BM1561" s="40"/>
      <c r="BN1561" s="40"/>
      <c r="BO1561" s="40"/>
      <c r="BP1561" s="155"/>
      <c r="BQ1561" s="314"/>
      <c r="BR1561" s="314"/>
      <c r="BS1561" s="314"/>
      <c r="BT1561" s="314"/>
      <c r="BU1561" s="314"/>
      <c r="BV1561" s="314"/>
      <c r="BW1561" s="314"/>
      <c r="BX1561" s="155"/>
    </row>
    <row r="1562" spans="1:76" ht="15.75" customHeight="1">
      <c r="A1562" s="25"/>
      <c r="B1562" s="39"/>
      <c r="C1562" s="155"/>
      <c r="D1562" s="155"/>
      <c r="E1562" s="40"/>
      <c r="F1562" s="314"/>
      <c r="H1562" s="315"/>
      <c r="I1562" s="315"/>
      <c r="BA1562" s="30"/>
      <c r="BB1562" s="155"/>
      <c r="BC1562" s="314"/>
      <c r="BD1562" s="314"/>
      <c r="BE1562" s="314"/>
      <c r="BF1562" s="314"/>
      <c r="BG1562" s="314"/>
      <c r="BH1562" s="314"/>
      <c r="BI1562" s="314"/>
      <c r="BJ1562" s="314"/>
      <c r="BK1562" s="40"/>
      <c r="BL1562" s="40"/>
      <c r="BM1562" s="40"/>
      <c r="BN1562" s="40"/>
      <c r="BO1562" s="40"/>
      <c r="BP1562" s="155"/>
      <c r="BQ1562" s="314"/>
      <c r="BR1562" s="314"/>
      <c r="BS1562" s="314"/>
      <c r="BT1562" s="314"/>
      <c r="BU1562" s="314"/>
      <c r="BV1562" s="314"/>
      <c r="BW1562" s="314"/>
      <c r="BX1562" s="155"/>
    </row>
    <row r="1563" spans="1:76" ht="15.75" customHeight="1">
      <c r="A1563" s="25"/>
      <c r="B1563" s="39"/>
      <c r="C1563" s="155"/>
      <c r="D1563" s="155"/>
      <c r="E1563" s="40"/>
      <c r="F1563" s="314"/>
      <c r="H1563" s="315"/>
      <c r="I1563" s="315"/>
      <c r="BA1563" s="30"/>
      <c r="BB1563" s="155"/>
      <c r="BC1563" s="314"/>
      <c r="BD1563" s="314"/>
      <c r="BE1563" s="314"/>
      <c r="BF1563" s="314"/>
      <c r="BG1563" s="314"/>
      <c r="BH1563" s="314"/>
      <c r="BI1563" s="314"/>
      <c r="BJ1563" s="314"/>
      <c r="BK1563" s="40"/>
      <c r="BL1563" s="40"/>
      <c r="BM1563" s="40"/>
      <c r="BN1563" s="40"/>
      <c r="BO1563" s="40"/>
      <c r="BP1563" s="155"/>
      <c r="BQ1563" s="314"/>
      <c r="BR1563" s="314"/>
      <c r="BS1563" s="314"/>
      <c r="BT1563" s="314"/>
      <c r="BU1563" s="314"/>
      <c r="BV1563" s="314"/>
      <c r="BW1563" s="314"/>
      <c r="BX1563" s="155"/>
    </row>
    <row r="1564" spans="1:76" ht="15.75" customHeight="1">
      <c r="A1564" s="25"/>
      <c r="B1564" s="39"/>
      <c r="C1564" s="155"/>
      <c r="D1564" s="155"/>
      <c r="E1564" s="40"/>
      <c r="F1564" s="314"/>
      <c r="H1564" s="315"/>
      <c r="I1564" s="315"/>
      <c r="BA1564" s="30"/>
      <c r="BB1564" s="155"/>
      <c r="BC1564" s="314"/>
      <c r="BD1564" s="314"/>
      <c r="BE1564" s="314"/>
      <c r="BF1564" s="314"/>
      <c r="BG1564" s="314"/>
      <c r="BH1564" s="314"/>
      <c r="BI1564" s="314"/>
      <c r="BJ1564" s="314"/>
      <c r="BK1564" s="40"/>
      <c r="BL1564" s="40"/>
      <c r="BM1564" s="40"/>
      <c r="BN1564" s="40"/>
      <c r="BO1564" s="40"/>
      <c r="BP1564" s="155"/>
      <c r="BQ1564" s="314"/>
      <c r="BR1564" s="314"/>
      <c r="BS1564" s="314"/>
      <c r="BT1564" s="314"/>
      <c r="BU1564" s="314"/>
      <c r="BV1564" s="314"/>
      <c r="BW1564" s="314"/>
      <c r="BX1564" s="155"/>
    </row>
    <row r="1565" spans="1:76" ht="15.75" customHeight="1">
      <c r="A1565" s="25"/>
      <c r="B1565" s="39"/>
      <c r="C1565" s="155"/>
      <c r="D1565" s="155"/>
      <c r="E1565" s="40"/>
      <c r="F1565" s="314"/>
      <c r="H1565" s="315"/>
      <c r="I1565" s="315"/>
      <c r="BA1565" s="30"/>
      <c r="BB1565" s="155"/>
      <c r="BC1565" s="314"/>
      <c r="BD1565" s="314"/>
      <c r="BE1565" s="314"/>
      <c r="BF1565" s="314"/>
      <c r="BG1565" s="314"/>
      <c r="BH1565" s="314"/>
      <c r="BI1565" s="314"/>
      <c r="BJ1565" s="314"/>
      <c r="BK1565" s="40"/>
      <c r="BL1565" s="40"/>
      <c r="BM1565" s="40"/>
      <c r="BN1565" s="40"/>
      <c r="BO1565" s="40"/>
      <c r="BP1565" s="155"/>
      <c r="BQ1565" s="314"/>
      <c r="BR1565" s="314"/>
      <c r="BS1565" s="314"/>
      <c r="BT1565" s="314"/>
      <c r="BU1565" s="314"/>
      <c r="BV1565" s="314"/>
      <c r="BW1565" s="314"/>
      <c r="BX1565" s="155"/>
    </row>
    <row r="1566" spans="1:76" ht="15.75" customHeight="1">
      <c r="A1566" s="25"/>
      <c r="B1566" s="39"/>
      <c r="C1566" s="155"/>
      <c r="D1566" s="155"/>
      <c r="E1566" s="40"/>
      <c r="F1566" s="314"/>
      <c r="H1566" s="315"/>
      <c r="I1566" s="315"/>
      <c r="BA1566" s="30"/>
      <c r="BB1566" s="155"/>
      <c r="BC1566" s="314"/>
      <c r="BD1566" s="314"/>
      <c r="BE1566" s="314"/>
      <c r="BF1566" s="314"/>
      <c r="BG1566" s="314"/>
      <c r="BH1566" s="314"/>
      <c r="BI1566" s="314"/>
      <c r="BJ1566" s="314"/>
      <c r="BK1566" s="40"/>
      <c r="BL1566" s="40"/>
      <c r="BM1566" s="40"/>
      <c r="BN1566" s="40"/>
      <c r="BO1566" s="40"/>
      <c r="BP1566" s="155"/>
      <c r="BQ1566" s="314"/>
      <c r="BR1566" s="314"/>
      <c r="BS1566" s="314"/>
      <c r="BT1566" s="314"/>
      <c r="BU1566" s="314"/>
      <c r="BV1566" s="314"/>
      <c r="BW1566" s="314"/>
      <c r="BX1566" s="155"/>
    </row>
    <row r="1567" spans="1:76" ht="15.75" customHeight="1">
      <c r="A1567" s="25"/>
      <c r="B1567" s="39"/>
      <c r="C1567" s="155"/>
      <c r="D1567" s="155"/>
      <c r="E1567" s="40"/>
      <c r="F1567" s="314"/>
      <c r="H1567" s="315"/>
      <c r="I1567" s="315"/>
      <c r="BA1567" s="30"/>
      <c r="BB1567" s="155"/>
      <c r="BC1567" s="314"/>
      <c r="BD1567" s="314"/>
      <c r="BE1567" s="314"/>
      <c r="BF1567" s="314"/>
      <c r="BG1567" s="314"/>
      <c r="BH1567" s="314"/>
      <c r="BI1567" s="314"/>
      <c r="BJ1567" s="314"/>
      <c r="BK1567" s="40"/>
      <c r="BL1567" s="40"/>
      <c r="BM1567" s="40"/>
      <c r="BN1567" s="40"/>
      <c r="BO1567" s="40"/>
      <c r="BP1567" s="155"/>
      <c r="BQ1567" s="314"/>
      <c r="BR1567" s="314"/>
      <c r="BS1567" s="314"/>
      <c r="BT1567" s="314"/>
      <c r="BU1567" s="314"/>
      <c r="BV1567" s="314"/>
      <c r="BW1567" s="314"/>
      <c r="BX1567" s="155"/>
    </row>
    <row r="1568" spans="1:76" ht="15.75" customHeight="1">
      <c r="A1568" s="25"/>
      <c r="B1568" s="39"/>
      <c r="C1568" s="155"/>
      <c r="D1568" s="155"/>
      <c r="E1568" s="40"/>
      <c r="F1568" s="314"/>
      <c r="H1568" s="315"/>
      <c r="I1568" s="315"/>
      <c r="BA1568" s="30"/>
      <c r="BB1568" s="155"/>
      <c r="BC1568" s="314"/>
      <c r="BD1568" s="314"/>
      <c r="BE1568" s="314"/>
      <c r="BF1568" s="314"/>
      <c r="BG1568" s="314"/>
      <c r="BH1568" s="314"/>
      <c r="BI1568" s="314"/>
      <c r="BJ1568" s="314"/>
      <c r="BK1568" s="40"/>
      <c r="BL1568" s="40"/>
      <c r="BM1568" s="40"/>
      <c r="BN1568" s="40"/>
      <c r="BO1568" s="40"/>
      <c r="BP1568" s="155"/>
      <c r="BQ1568" s="314"/>
      <c r="BR1568" s="314"/>
      <c r="BS1568" s="314"/>
      <c r="BT1568" s="314"/>
      <c r="BU1568" s="314"/>
      <c r="BV1568" s="314"/>
      <c r="BW1568" s="314"/>
      <c r="BX1568" s="155"/>
    </row>
    <row r="1569" spans="1:76" ht="15.75" customHeight="1">
      <c r="A1569" s="25"/>
      <c r="B1569" s="39"/>
      <c r="C1569" s="155"/>
      <c r="D1569" s="155"/>
      <c r="E1569" s="40"/>
      <c r="F1569" s="314"/>
      <c r="H1569" s="315"/>
      <c r="I1569" s="315"/>
      <c r="BA1569" s="30"/>
      <c r="BB1569" s="155"/>
      <c r="BC1569" s="314"/>
      <c r="BD1569" s="314"/>
      <c r="BE1569" s="314"/>
      <c r="BF1569" s="314"/>
      <c r="BG1569" s="314"/>
      <c r="BH1569" s="314"/>
      <c r="BI1569" s="314"/>
      <c r="BJ1569" s="314"/>
      <c r="BK1569" s="40"/>
      <c r="BL1569" s="40"/>
      <c r="BM1569" s="40"/>
      <c r="BN1569" s="40"/>
      <c r="BO1569" s="40"/>
      <c r="BP1569" s="155"/>
      <c r="BQ1569" s="314"/>
      <c r="BR1569" s="314"/>
      <c r="BS1569" s="314"/>
      <c r="BT1569" s="314"/>
      <c r="BU1569" s="314"/>
      <c r="BV1569" s="314"/>
      <c r="BW1569" s="314"/>
      <c r="BX1569" s="155"/>
    </row>
    <row r="1570" spans="1:76" ht="15.75" customHeight="1">
      <c r="A1570" s="25"/>
      <c r="B1570" s="39"/>
      <c r="C1570" s="155"/>
      <c r="D1570" s="155"/>
      <c r="E1570" s="40"/>
      <c r="F1570" s="314"/>
      <c r="H1570" s="315"/>
      <c r="I1570" s="315"/>
      <c r="BA1570" s="30"/>
      <c r="BB1570" s="155"/>
      <c r="BC1570" s="314"/>
      <c r="BD1570" s="314"/>
      <c r="BE1570" s="314"/>
      <c r="BF1570" s="314"/>
      <c r="BG1570" s="314"/>
      <c r="BH1570" s="314"/>
      <c r="BI1570" s="314"/>
      <c r="BJ1570" s="314"/>
      <c r="BK1570" s="40"/>
      <c r="BL1570" s="40"/>
      <c r="BM1570" s="40"/>
      <c r="BN1570" s="40"/>
      <c r="BO1570" s="40"/>
      <c r="BP1570" s="155"/>
      <c r="BQ1570" s="314"/>
      <c r="BR1570" s="314"/>
      <c r="BS1570" s="314"/>
      <c r="BT1570" s="314"/>
      <c r="BU1570" s="314"/>
      <c r="BV1570" s="314"/>
      <c r="BW1570" s="314"/>
      <c r="BX1570" s="155"/>
    </row>
    <row r="1571" spans="1:76" ht="15.75" customHeight="1">
      <c r="A1571" s="25"/>
      <c r="B1571" s="39"/>
      <c r="C1571" s="155"/>
      <c r="D1571" s="155"/>
      <c r="E1571" s="40"/>
      <c r="F1571" s="314"/>
      <c r="H1571" s="315"/>
      <c r="I1571" s="315"/>
      <c r="BA1571" s="30"/>
      <c r="BB1571" s="155"/>
      <c r="BC1571" s="314"/>
      <c r="BD1571" s="314"/>
      <c r="BE1571" s="314"/>
      <c r="BF1571" s="314"/>
      <c r="BG1571" s="314"/>
      <c r="BH1571" s="314"/>
      <c r="BI1571" s="314"/>
      <c r="BJ1571" s="314"/>
      <c r="BK1571" s="40"/>
      <c r="BL1571" s="40"/>
      <c r="BM1571" s="40"/>
      <c r="BN1571" s="40"/>
      <c r="BO1571" s="40"/>
      <c r="BP1571" s="155"/>
      <c r="BQ1571" s="314"/>
      <c r="BR1571" s="314"/>
      <c r="BS1571" s="314"/>
      <c r="BT1571" s="314"/>
      <c r="BU1571" s="314"/>
      <c r="BV1571" s="314"/>
      <c r="BW1571" s="314"/>
      <c r="BX1571" s="155"/>
    </row>
    <row r="1572" spans="1:76" ht="15.75" customHeight="1">
      <c r="A1572" s="25"/>
      <c r="B1572" s="39"/>
      <c r="C1572" s="155"/>
      <c r="D1572" s="155"/>
      <c r="E1572" s="40"/>
      <c r="F1572" s="314"/>
      <c r="H1572" s="315"/>
      <c r="I1572" s="315"/>
      <c r="BA1572" s="30"/>
      <c r="BB1572" s="155"/>
      <c r="BC1572" s="314"/>
      <c r="BD1572" s="314"/>
      <c r="BE1572" s="314"/>
      <c r="BF1572" s="314"/>
      <c r="BG1572" s="314"/>
      <c r="BH1572" s="314"/>
      <c r="BI1572" s="314"/>
      <c r="BJ1572" s="314"/>
      <c r="BK1572" s="40"/>
      <c r="BL1572" s="40"/>
      <c r="BM1572" s="40"/>
      <c r="BN1572" s="40"/>
      <c r="BO1572" s="40"/>
      <c r="BP1572" s="155"/>
      <c r="BQ1572" s="314"/>
      <c r="BR1572" s="314"/>
      <c r="BS1572" s="314"/>
      <c r="BT1572" s="314"/>
      <c r="BU1572" s="314"/>
      <c r="BV1572" s="314"/>
      <c r="BW1572" s="314"/>
      <c r="BX1572" s="155"/>
    </row>
    <row r="1573" spans="1:76" ht="15.75" customHeight="1">
      <c r="A1573" s="25"/>
      <c r="B1573" s="39"/>
      <c r="C1573" s="155"/>
      <c r="D1573" s="155"/>
      <c r="E1573" s="40"/>
      <c r="F1573" s="314"/>
      <c r="H1573" s="315"/>
      <c r="I1573" s="315"/>
      <c r="BA1573" s="30"/>
      <c r="BB1573" s="155"/>
      <c r="BC1573" s="314"/>
      <c r="BD1573" s="314"/>
      <c r="BE1573" s="314"/>
      <c r="BF1573" s="314"/>
      <c r="BG1573" s="314"/>
      <c r="BH1573" s="314"/>
      <c r="BI1573" s="314"/>
      <c r="BJ1573" s="314"/>
      <c r="BK1573" s="40"/>
      <c r="BL1573" s="40"/>
      <c r="BM1573" s="40"/>
      <c r="BN1573" s="40"/>
      <c r="BO1573" s="40"/>
      <c r="BP1573" s="155"/>
      <c r="BQ1573" s="314"/>
      <c r="BR1573" s="314"/>
      <c r="BS1573" s="314"/>
      <c r="BT1573" s="314"/>
      <c r="BU1573" s="314"/>
      <c r="BV1573" s="314"/>
      <c r="BW1573" s="314"/>
      <c r="BX1573" s="155"/>
    </row>
    <row r="1574" spans="1:76" ht="15.75" customHeight="1">
      <c r="A1574" s="25"/>
      <c r="B1574" s="39"/>
      <c r="C1574" s="155"/>
      <c r="D1574" s="155"/>
      <c r="E1574" s="40"/>
      <c r="F1574" s="314"/>
      <c r="H1574" s="315"/>
      <c r="I1574" s="315"/>
      <c r="BA1574" s="30"/>
      <c r="BB1574" s="155"/>
      <c r="BC1574" s="314"/>
      <c r="BD1574" s="314"/>
      <c r="BE1574" s="314"/>
      <c r="BF1574" s="314"/>
      <c r="BG1574" s="314"/>
      <c r="BH1574" s="314"/>
      <c r="BI1574" s="314"/>
      <c r="BJ1574" s="314"/>
      <c r="BK1574" s="40"/>
      <c r="BL1574" s="40"/>
      <c r="BM1574" s="40"/>
      <c r="BN1574" s="40"/>
      <c r="BO1574" s="40"/>
      <c r="BP1574" s="155"/>
      <c r="BQ1574" s="314"/>
      <c r="BR1574" s="314"/>
      <c r="BS1574" s="314"/>
      <c r="BT1574" s="314"/>
      <c r="BU1574" s="314"/>
      <c r="BV1574" s="314"/>
      <c r="BW1574" s="314"/>
      <c r="BX1574" s="155"/>
    </row>
    <row r="1575" spans="1:76" ht="15.75" customHeight="1">
      <c r="A1575" s="25"/>
      <c r="B1575" s="39"/>
      <c r="C1575" s="155"/>
      <c r="D1575" s="155"/>
      <c r="E1575" s="40"/>
      <c r="F1575" s="314"/>
      <c r="H1575" s="315"/>
      <c r="I1575" s="315"/>
      <c r="BA1575" s="30"/>
      <c r="BB1575" s="155"/>
      <c r="BC1575" s="314"/>
      <c r="BD1575" s="314"/>
      <c r="BE1575" s="314"/>
      <c r="BF1575" s="314"/>
      <c r="BG1575" s="314"/>
      <c r="BH1575" s="314"/>
      <c r="BI1575" s="314"/>
      <c r="BJ1575" s="314"/>
      <c r="BK1575" s="40"/>
      <c r="BL1575" s="40"/>
      <c r="BM1575" s="40"/>
      <c r="BN1575" s="40"/>
      <c r="BO1575" s="40"/>
      <c r="BP1575" s="155"/>
      <c r="BQ1575" s="314"/>
      <c r="BR1575" s="314"/>
      <c r="BS1575" s="314"/>
      <c r="BT1575" s="314"/>
      <c r="BU1575" s="314"/>
      <c r="BV1575" s="314"/>
      <c r="BW1575" s="314"/>
      <c r="BX1575" s="155"/>
    </row>
    <row r="1576" spans="1:76" ht="15.75" customHeight="1">
      <c r="A1576" s="25"/>
      <c r="B1576" s="39"/>
      <c r="C1576" s="155"/>
      <c r="D1576" s="155"/>
      <c r="E1576" s="40"/>
      <c r="F1576" s="314"/>
      <c r="H1576" s="315"/>
      <c r="I1576" s="315"/>
      <c r="BA1576" s="30"/>
      <c r="BB1576" s="155"/>
      <c r="BC1576" s="314"/>
      <c r="BD1576" s="314"/>
      <c r="BE1576" s="314"/>
      <c r="BF1576" s="314"/>
      <c r="BG1576" s="314"/>
      <c r="BH1576" s="314"/>
      <c r="BI1576" s="314"/>
      <c r="BJ1576" s="314"/>
      <c r="BK1576" s="40"/>
      <c r="BL1576" s="40"/>
      <c r="BM1576" s="40"/>
      <c r="BN1576" s="40"/>
      <c r="BO1576" s="40"/>
      <c r="BP1576" s="155"/>
      <c r="BQ1576" s="314"/>
      <c r="BR1576" s="314"/>
      <c r="BS1576" s="314"/>
      <c r="BT1576" s="314"/>
      <c r="BU1576" s="314"/>
      <c r="BV1576" s="314"/>
      <c r="BW1576" s="314"/>
      <c r="BX1576" s="155"/>
    </row>
    <row r="1577" spans="1:76" ht="15.75" customHeight="1">
      <c r="A1577" s="25"/>
      <c r="B1577" s="39"/>
      <c r="C1577" s="155"/>
      <c r="D1577" s="155"/>
      <c r="E1577" s="40"/>
      <c r="F1577" s="314"/>
      <c r="H1577" s="315"/>
      <c r="I1577" s="315"/>
      <c r="BA1577" s="30"/>
      <c r="BB1577" s="155"/>
      <c r="BC1577" s="314"/>
      <c r="BD1577" s="314"/>
      <c r="BE1577" s="314"/>
      <c r="BF1577" s="314"/>
      <c r="BG1577" s="314"/>
      <c r="BH1577" s="314"/>
      <c r="BI1577" s="314"/>
      <c r="BJ1577" s="314"/>
      <c r="BK1577" s="40"/>
      <c r="BL1577" s="40"/>
      <c r="BM1577" s="40"/>
      <c r="BN1577" s="40"/>
      <c r="BO1577" s="40"/>
      <c r="BP1577" s="155"/>
      <c r="BQ1577" s="314"/>
      <c r="BR1577" s="314"/>
      <c r="BS1577" s="314"/>
      <c r="BT1577" s="314"/>
      <c r="BU1577" s="314"/>
      <c r="BV1577" s="314"/>
      <c r="BW1577" s="314"/>
      <c r="BX1577" s="155"/>
    </row>
    <row r="1578" spans="1:76" ht="15.75" customHeight="1">
      <c r="A1578" s="25"/>
      <c r="B1578" s="39"/>
      <c r="C1578" s="155"/>
      <c r="D1578" s="155"/>
      <c r="E1578" s="40"/>
      <c r="F1578" s="314"/>
      <c r="H1578" s="315"/>
      <c r="I1578" s="315"/>
      <c r="BA1578" s="30"/>
      <c r="BB1578" s="155"/>
      <c r="BC1578" s="314"/>
      <c r="BD1578" s="314"/>
      <c r="BE1578" s="314"/>
      <c r="BF1578" s="314"/>
      <c r="BG1578" s="314"/>
      <c r="BH1578" s="314"/>
      <c r="BI1578" s="314"/>
      <c r="BJ1578" s="314"/>
      <c r="BK1578" s="40"/>
      <c r="BL1578" s="40"/>
      <c r="BM1578" s="40"/>
      <c r="BN1578" s="40"/>
      <c r="BO1578" s="40"/>
      <c r="BP1578" s="155"/>
      <c r="BQ1578" s="314"/>
      <c r="BR1578" s="314"/>
      <c r="BS1578" s="314"/>
      <c r="BT1578" s="314"/>
      <c r="BU1578" s="314"/>
      <c r="BV1578" s="314"/>
      <c r="BW1578" s="314"/>
      <c r="BX1578" s="155"/>
    </row>
    <row r="1579" spans="1:76" ht="15.75" customHeight="1">
      <c r="A1579" s="25"/>
      <c r="B1579" s="39"/>
      <c r="C1579" s="155"/>
      <c r="D1579" s="155"/>
      <c r="E1579" s="40"/>
      <c r="F1579" s="314"/>
      <c r="H1579" s="315"/>
      <c r="I1579" s="315"/>
      <c r="BA1579" s="30"/>
      <c r="BB1579" s="155"/>
      <c r="BC1579" s="314"/>
      <c r="BD1579" s="314"/>
      <c r="BE1579" s="314"/>
      <c r="BF1579" s="314"/>
      <c r="BG1579" s="314"/>
      <c r="BH1579" s="314"/>
      <c r="BI1579" s="314"/>
      <c r="BJ1579" s="314"/>
      <c r="BK1579" s="40"/>
      <c r="BL1579" s="40"/>
      <c r="BM1579" s="40"/>
      <c r="BN1579" s="40"/>
      <c r="BO1579" s="40"/>
      <c r="BP1579" s="155"/>
      <c r="BQ1579" s="314"/>
      <c r="BR1579" s="314"/>
      <c r="BS1579" s="314"/>
      <c r="BT1579" s="314"/>
      <c r="BU1579" s="314"/>
      <c r="BV1579" s="314"/>
      <c r="BW1579" s="314"/>
      <c r="BX1579" s="155"/>
    </row>
    <row r="1580" spans="1:76" ht="15.75" customHeight="1">
      <c r="A1580" s="25"/>
      <c r="B1580" s="39"/>
      <c r="C1580" s="155"/>
      <c r="D1580" s="155"/>
      <c r="E1580" s="40"/>
      <c r="F1580" s="314"/>
      <c r="H1580" s="315"/>
      <c r="I1580" s="315"/>
      <c r="BA1580" s="30"/>
      <c r="BB1580" s="155"/>
      <c r="BC1580" s="314"/>
      <c r="BD1580" s="314"/>
      <c r="BE1580" s="314"/>
      <c r="BF1580" s="314"/>
      <c r="BG1580" s="314"/>
      <c r="BH1580" s="314"/>
      <c r="BI1580" s="314"/>
      <c r="BJ1580" s="314"/>
      <c r="BK1580" s="40"/>
      <c r="BL1580" s="40"/>
      <c r="BM1580" s="40"/>
      <c r="BN1580" s="40"/>
      <c r="BO1580" s="40"/>
      <c r="BP1580" s="155"/>
      <c r="BQ1580" s="314"/>
      <c r="BR1580" s="314"/>
      <c r="BS1580" s="314"/>
      <c r="BT1580" s="314"/>
      <c r="BU1580" s="314"/>
      <c r="BV1580" s="314"/>
      <c r="BW1580" s="314"/>
      <c r="BX1580" s="155"/>
    </row>
    <row r="1581" spans="1:76" ht="15.75" customHeight="1">
      <c r="A1581" s="25"/>
      <c r="B1581" s="39"/>
      <c r="C1581" s="155"/>
      <c r="D1581" s="155"/>
      <c r="E1581" s="40"/>
      <c r="F1581" s="314"/>
      <c r="H1581" s="315"/>
      <c r="I1581" s="315"/>
      <c r="BA1581" s="30"/>
      <c r="BB1581" s="155"/>
      <c r="BC1581" s="314"/>
      <c r="BD1581" s="314"/>
      <c r="BE1581" s="314"/>
      <c r="BF1581" s="314"/>
      <c r="BG1581" s="314"/>
      <c r="BH1581" s="314"/>
      <c r="BI1581" s="314"/>
      <c r="BJ1581" s="314"/>
      <c r="BK1581" s="40"/>
      <c r="BL1581" s="40"/>
      <c r="BM1581" s="40"/>
      <c r="BN1581" s="40"/>
      <c r="BO1581" s="40"/>
      <c r="BP1581" s="155"/>
      <c r="BQ1581" s="314"/>
      <c r="BR1581" s="314"/>
      <c r="BS1581" s="314"/>
      <c r="BT1581" s="314"/>
      <c r="BU1581" s="314"/>
      <c r="BV1581" s="314"/>
      <c r="BW1581" s="314"/>
      <c r="BX1581" s="155"/>
    </row>
    <row r="1582" spans="1:76" ht="15.75" customHeight="1">
      <c r="A1582" s="25"/>
      <c r="B1582" s="39"/>
      <c r="C1582" s="155"/>
      <c r="D1582" s="155"/>
      <c r="E1582" s="40"/>
      <c r="F1582" s="314"/>
      <c r="H1582" s="315"/>
      <c r="I1582" s="315"/>
      <c r="BA1582" s="30"/>
      <c r="BB1582" s="155"/>
      <c r="BC1582" s="314"/>
      <c r="BD1582" s="314"/>
      <c r="BE1582" s="314"/>
      <c r="BF1582" s="314"/>
      <c r="BG1582" s="314"/>
      <c r="BH1582" s="314"/>
      <c r="BI1582" s="314"/>
      <c r="BJ1582" s="314"/>
      <c r="BK1582" s="40"/>
      <c r="BL1582" s="40"/>
      <c r="BM1582" s="40"/>
      <c r="BN1582" s="40"/>
      <c r="BO1582" s="40"/>
      <c r="BP1582" s="155"/>
      <c r="BQ1582" s="314"/>
      <c r="BR1582" s="314"/>
      <c r="BS1582" s="314"/>
      <c r="BT1582" s="314"/>
      <c r="BU1582" s="314"/>
      <c r="BV1582" s="314"/>
      <c r="BW1582" s="314"/>
      <c r="BX1582" s="155"/>
    </row>
    <row r="1583" spans="1:76" ht="15.75" customHeight="1">
      <c r="A1583" s="25"/>
      <c r="B1583" s="39"/>
      <c r="C1583" s="155"/>
      <c r="D1583" s="155"/>
      <c r="E1583" s="40"/>
      <c r="F1583" s="314"/>
      <c r="H1583" s="315"/>
      <c r="I1583" s="315"/>
      <c r="BA1583" s="30"/>
      <c r="BB1583" s="155"/>
      <c r="BC1583" s="314"/>
      <c r="BD1583" s="314"/>
      <c r="BE1583" s="314"/>
      <c r="BF1583" s="314"/>
      <c r="BG1583" s="314"/>
      <c r="BH1583" s="314"/>
      <c r="BI1583" s="314"/>
      <c r="BJ1583" s="314"/>
      <c r="BK1583" s="40"/>
      <c r="BL1583" s="40"/>
      <c r="BM1583" s="40"/>
      <c r="BN1583" s="40"/>
      <c r="BO1583" s="40"/>
      <c r="BP1583" s="155"/>
      <c r="BQ1583" s="314"/>
      <c r="BR1583" s="314"/>
      <c r="BS1583" s="314"/>
      <c r="BT1583" s="314"/>
      <c r="BU1583" s="314"/>
      <c r="BV1583" s="314"/>
      <c r="BW1583" s="314"/>
      <c r="BX1583" s="155"/>
    </row>
    <row r="1584" spans="1:76" ht="15.75" customHeight="1">
      <c r="A1584" s="25"/>
      <c r="B1584" s="39"/>
      <c r="C1584" s="155"/>
      <c r="D1584" s="155"/>
      <c r="E1584" s="40"/>
      <c r="F1584" s="314"/>
      <c r="H1584" s="315"/>
      <c r="I1584" s="315"/>
      <c r="BA1584" s="30"/>
      <c r="BB1584" s="155"/>
      <c r="BC1584" s="314"/>
      <c r="BD1584" s="314"/>
      <c r="BE1584" s="314"/>
      <c r="BF1584" s="314"/>
      <c r="BG1584" s="314"/>
      <c r="BH1584" s="314"/>
      <c r="BI1584" s="314"/>
      <c r="BJ1584" s="314"/>
      <c r="BK1584" s="40"/>
      <c r="BL1584" s="40"/>
      <c r="BM1584" s="40"/>
      <c r="BN1584" s="40"/>
      <c r="BO1584" s="40"/>
      <c r="BP1584" s="155"/>
      <c r="BQ1584" s="314"/>
      <c r="BR1584" s="314"/>
      <c r="BS1584" s="314"/>
      <c r="BT1584" s="314"/>
      <c r="BU1584" s="314"/>
      <c r="BV1584" s="314"/>
      <c r="BW1584" s="314"/>
      <c r="BX1584" s="155"/>
    </row>
    <row r="1585" spans="1:76" ht="15.75" customHeight="1">
      <c r="A1585" s="25"/>
      <c r="B1585" s="39"/>
      <c r="C1585" s="155"/>
      <c r="D1585" s="155"/>
      <c r="E1585" s="40"/>
      <c r="F1585" s="314"/>
      <c r="H1585" s="315"/>
      <c r="I1585" s="315"/>
      <c r="BA1585" s="30"/>
      <c r="BB1585" s="155"/>
      <c r="BC1585" s="314"/>
      <c r="BD1585" s="314"/>
      <c r="BE1585" s="314"/>
      <c r="BF1585" s="314"/>
      <c r="BG1585" s="314"/>
      <c r="BH1585" s="314"/>
      <c r="BI1585" s="314"/>
      <c r="BJ1585" s="314"/>
      <c r="BK1585" s="40"/>
      <c r="BL1585" s="40"/>
      <c r="BM1585" s="40"/>
      <c r="BN1585" s="40"/>
      <c r="BO1585" s="40"/>
      <c r="BP1585" s="155"/>
      <c r="BQ1585" s="314"/>
      <c r="BR1585" s="314"/>
      <c r="BS1585" s="314"/>
      <c r="BT1585" s="314"/>
      <c r="BU1585" s="314"/>
      <c r="BV1585" s="314"/>
      <c r="BW1585" s="314"/>
      <c r="BX1585" s="155"/>
    </row>
    <row r="1586" spans="1:76" ht="15.75" customHeight="1">
      <c r="A1586" s="25"/>
      <c r="B1586" s="39"/>
      <c r="C1586" s="155"/>
      <c r="D1586" s="155"/>
      <c r="E1586" s="40"/>
      <c r="F1586" s="314"/>
      <c r="H1586" s="315"/>
      <c r="I1586" s="315"/>
      <c r="BA1586" s="30"/>
      <c r="BB1586" s="155"/>
      <c r="BC1586" s="314"/>
      <c r="BD1586" s="314"/>
      <c r="BE1586" s="314"/>
      <c r="BF1586" s="314"/>
      <c r="BG1586" s="314"/>
      <c r="BH1586" s="314"/>
      <c r="BI1586" s="314"/>
      <c r="BJ1586" s="314"/>
      <c r="BK1586" s="40"/>
      <c r="BL1586" s="40"/>
      <c r="BM1586" s="40"/>
      <c r="BN1586" s="40"/>
      <c r="BO1586" s="40"/>
      <c r="BP1586" s="155"/>
      <c r="BQ1586" s="314"/>
      <c r="BR1586" s="314"/>
      <c r="BS1586" s="314"/>
      <c r="BT1586" s="314"/>
      <c r="BU1586" s="314"/>
      <c r="BV1586" s="314"/>
      <c r="BW1586" s="314"/>
      <c r="BX1586" s="155"/>
    </row>
    <row r="1587" spans="1:76" ht="15.75" customHeight="1">
      <c r="A1587" s="25"/>
      <c r="B1587" s="39"/>
      <c r="C1587" s="155"/>
      <c r="D1587" s="155"/>
      <c r="E1587" s="40"/>
      <c r="F1587" s="314"/>
      <c r="H1587" s="315"/>
      <c r="I1587" s="315"/>
      <c r="BA1587" s="30"/>
      <c r="BB1587" s="155"/>
      <c r="BC1587" s="314"/>
      <c r="BD1587" s="314"/>
      <c r="BE1587" s="314"/>
      <c r="BF1587" s="314"/>
      <c r="BG1587" s="314"/>
      <c r="BH1587" s="314"/>
      <c r="BI1587" s="314"/>
      <c r="BJ1587" s="314"/>
      <c r="BK1587" s="40"/>
      <c r="BL1587" s="40"/>
      <c r="BM1587" s="40"/>
      <c r="BN1587" s="40"/>
      <c r="BO1587" s="40"/>
      <c r="BP1587" s="155"/>
      <c r="BQ1587" s="314"/>
      <c r="BR1587" s="314"/>
      <c r="BS1587" s="314"/>
      <c r="BT1587" s="314"/>
      <c r="BU1587" s="314"/>
      <c r="BV1587" s="314"/>
      <c r="BW1587" s="314"/>
      <c r="BX1587" s="155"/>
    </row>
    <row r="1588" spans="1:76" ht="15.75" customHeight="1">
      <c r="A1588" s="25"/>
      <c r="B1588" s="39"/>
      <c r="C1588" s="155"/>
      <c r="D1588" s="155"/>
      <c r="E1588" s="40"/>
      <c r="F1588" s="314"/>
      <c r="H1588" s="315"/>
      <c r="I1588" s="315"/>
      <c r="BA1588" s="30"/>
      <c r="BB1588" s="155"/>
      <c r="BC1588" s="314"/>
      <c r="BD1588" s="314"/>
      <c r="BE1588" s="314"/>
      <c r="BF1588" s="314"/>
      <c r="BG1588" s="314"/>
      <c r="BH1588" s="314"/>
      <c r="BI1588" s="314"/>
      <c r="BJ1588" s="314"/>
      <c r="BK1588" s="40"/>
      <c r="BL1588" s="40"/>
      <c r="BM1588" s="40"/>
      <c r="BN1588" s="40"/>
      <c r="BO1588" s="40"/>
      <c r="BP1588" s="155"/>
      <c r="BQ1588" s="314"/>
      <c r="BR1588" s="314"/>
      <c r="BS1588" s="314"/>
      <c r="BT1588" s="314"/>
      <c r="BU1588" s="314"/>
      <c r="BV1588" s="314"/>
      <c r="BW1588" s="314"/>
      <c r="BX1588" s="155"/>
    </row>
    <row r="1589" spans="1:76" ht="15.75" customHeight="1">
      <c r="A1589" s="25"/>
      <c r="B1589" s="39"/>
      <c r="C1589" s="155"/>
      <c r="D1589" s="155"/>
      <c r="E1589" s="40"/>
      <c r="F1589" s="314"/>
      <c r="H1589" s="315"/>
      <c r="I1589" s="315"/>
      <c r="BA1589" s="30"/>
      <c r="BB1589" s="155"/>
      <c r="BC1589" s="314"/>
      <c r="BD1589" s="314"/>
      <c r="BE1589" s="314"/>
      <c r="BF1589" s="314"/>
      <c r="BG1589" s="314"/>
      <c r="BH1589" s="314"/>
      <c r="BI1589" s="314"/>
      <c r="BJ1589" s="314"/>
      <c r="BK1589" s="40"/>
      <c r="BL1589" s="40"/>
      <c r="BM1589" s="40"/>
      <c r="BN1589" s="40"/>
      <c r="BO1589" s="40"/>
      <c r="BP1589" s="155"/>
      <c r="BQ1589" s="314"/>
      <c r="BR1589" s="314"/>
      <c r="BS1589" s="314"/>
      <c r="BT1589" s="314"/>
      <c r="BU1589" s="314"/>
      <c r="BV1589" s="314"/>
      <c r="BW1589" s="314"/>
      <c r="BX1589" s="155"/>
    </row>
    <row r="1590" spans="1:76" ht="15.75" customHeight="1">
      <c r="A1590" s="25"/>
      <c r="B1590" s="39"/>
      <c r="C1590" s="155"/>
      <c r="D1590" s="155"/>
      <c r="E1590" s="40"/>
      <c r="F1590" s="314"/>
      <c r="H1590" s="315"/>
      <c r="I1590" s="315"/>
      <c r="BA1590" s="30"/>
      <c r="BB1590" s="155"/>
      <c r="BC1590" s="314"/>
      <c r="BD1590" s="314"/>
      <c r="BE1590" s="314"/>
      <c r="BF1590" s="314"/>
      <c r="BG1590" s="314"/>
      <c r="BH1590" s="314"/>
      <c r="BI1590" s="314"/>
      <c r="BJ1590" s="314"/>
      <c r="BK1590" s="40"/>
      <c r="BL1590" s="40"/>
      <c r="BM1590" s="40"/>
      <c r="BN1590" s="40"/>
      <c r="BO1590" s="40"/>
      <c r="BP1590" s="155"/>
      <c r="BQ1590" s="314"/>
      <c r="BR1590" s="314"/>
      <c r="BS1590" s="314"/>
      <c r="BT1590" s="314"/>
      <c r="BU1590" s="314"/>
      <c r="BV1590" s="314"/>
      <c r="BW1590" s="314"/>
      <c r="BX1590" s="155"/>
    </row>
    <row r="1591" spans="1:76" ht="15.75" customHeight="1">
      <c r="A1591" s="25"/>
      <c r="B1591" s="39"/>
      <c r="C1591" s="155"/>
      <c r="D1591" s="155"/>
      <c r="E1591" s="40"/>
      <c r="F1591" s="314"/>
      <c r="H1591" s="315"/>
      <c r="I1591" s="315"/>
      <c r="BA1591" s="30"/>
      <c r="BB1591" s="155"/>
      <c r="BC1591" s="314"/>
      <c r="BD1591" s="314"/>
      <c r="BE1591" s="314"/>
      <c r="BF1591" s="314"/>
      <c r="BG1591" s="314"/>
      <c r="BH1591" s="314"/>
      <c r="BI1591" s="314"/>
      <c r="BJ1591" s="314"/>
      <c r="BK1591" s="40"/>
      <c r="BL1591" s="40"/>
      <c r="BM1591" s="40"/>
      <c r="BN1591" s="40"/>
      <c r="BO1591" s="40"/>
      <c r="BP1591" s="155"/>
      <c r="BQ1591" s="314"/>
      <c r="BR1591" s="314"/>
      <c r="BS1591" s="314"/>
      <c r="BT1591" s="314"/>
      <c r="BU1591" s="314"/>
      <c r="BV1591" s="314"/>
      <c r="BW1591" s="314"/>
      <c r="BX1591" s="155"/>
    </row>
    <row r="1592" spans="1:76" ht="15.75" customHeight="1">
      <c r="A1592" s="25"/>
      <c r="B1592" s="39"/>
      <c r="C1592" s="155"/>
      <c r="D1592" s="155"/>
      <c r="E1592" s="40"/>
      <c r="F1592" s="314"/>
      <c r="H1592" s="315"/>
      <c r="I1592" s="315"/>
      <c r="BA1592" s="30"/>
      <c r="BB1592" s="155"/>
      <c r="BC1592" s="314"/>
      <c r="BD1592" s="314"/>
      <c r="BE1592" s="314"/>
      <c r="BF1592" s="314"/>
      <c r="BG1592" s="314"/>
      <c r="BH1592" s="314"/>
      <c r="BI1592" s="314"/>
      <c r="BJ1592" s="314"/>
      <c r="BK1592" s="40"/>
      <c r="BL1592" s="40"/>
      <c r="BM1592" s="40"/>
      <c r="BN1592" s="40"/>
      <c r="BO1592" s="40"/>
      <c r="BP1592" s="155"/>
      <c r="BQ1592" s="314"/>
      <c r="BR1592" s="314"/>
      <c r="BS1592" s="314"/>
      <c r="BT1592" s="314"/>
      <c r="BU1592" s="314"/>
      <c r="BV1592" s="314"/>
      <c r="BW1592" s="314"/>
      <c r="BX1592" s="155"/>
    </row>
    <row r="1593" spans="1:76" ht="15.75" customHeight="1">
      <c r="A1593" s="25"/>
      <c r="B1593" s="39"/>
      <c r="C1593" s="155"/>
      <c r="D1593" s="155"/>
      <c r="E1593" s="40"/>
      <c r="F1593" s="314"/>
      <c r="H1593" s="315"/>
      <c r="I1593" s="315"/>
      <c r="BA1593" s="30"/>
      <c r="BB1593" s="155"/>
      <c r="BC1593" s="314"/>
      <c r="BD1593" s="314"/>
      <c r="BE1593" s="314"/>
      <c r="BF1593" s="314"/>
      <c r="BG1593" s="314"/>
      <c r="BH1593" s="314"/>
      <c r="BI1593" s="314"/>
      <c r="BJ1593" s="314"/>
      <c r="BK1593" s="40"/>
      <c r="BL1593" s="40"/>
      <c r="BM1593" s="40"/>
      <c r="BN1593" s="40"/>
      <c r="BO1593" s="40"/>
      <c r="BP1593" s="155"/>
      <c r="BQ1593" s="314"/>
      <c r="BR1593" s="314"/>
      <c r="BS1593" s="314"/>
      <c r="BT1593" s="314"/>
      <c r="BU1593" s="314"/>
      <c r="BV1593" s="314"/>
      <c r="BW1593" s="314"/>
      <c r="BX1593" s="155"/>
    </row>
    <row r="1594" spans="1:76" ht="15.75" customHeight="1">
      <c r="A1594" s="25"/>
      <c r="B1594" s="39"/>
      <c r="C1594" s="155"/>
      <c r="D1594" s="155"/>
      <c r="E1594" s="40"/>
      <c r="F1594" s="314"/>
      <c r="H1594" s="315"/>
      <c r="I1594" s="315"/>
      <c r="BA1594" s="30"/>
      <c r="BB1594" s="155"/>
      <c r="BC1594" s="314"/>
      <c r="BD1594" s="314"/>
      <c r="BE1594" s="314"/>
      <c r="BF1594" s="314"/>
      <c r="BG1594" s="314"/>
      <c r="BH1594" s="314"/>
      <c r="BI1594" s="314"/>
      <c r="BJ1594" s="314"/>
      <c r="BK1594" s="40"/>
      <c r="BL1594" s="40"/>
      <c r="BM1594" s="40"/>
      <c r="BN1594" s="40"/>
      <c r="BO1594" s="40"/>
      <c r="BP1594" s="155"/>
      <c r="BQ1594" s="314"/>
      <c r="BR1594" s="314"/>
      <c r="BS1594" s="314"/>
      <c r="BT1594" s="314"/>
      <c r="BU1594" s="314"/>
      <c r="BV1594" s="314"/>
      <c r="BW1594" s="314"/>
      <c r="BX1594" s="155"/>
    </row>
    <row r="1595" spans="1:76" ht="15.75" customHeight="1">
      <c r="A1595" s="25"/>
      <c r="B1595" s="39"/>
      <c r="C1595" s="155"/>
      <c r="D1595" s="155"/>
      <c r="E1595" s="40"/>
      <c r="F1595" s="314"/>
      <c r="H1595" s="315"/>
      <c r="I1595" s="315"/>
      <c r="BA1595" s="30"/>
      <c r="BB1595" s="155"/>
      <c r="BC1595" s="314"/>
      <c r="BD1595" s="314"/>
      <c r="BE1595" s="314"/>
      <c r="BF1595" s="314"/>
      <c r="BG1595" s="314"/>
      <c r="BH1595" s="314"/>
      <c r="BI1595" s="314"/>
      <c r="BJ1595" s="314"/>
      <c r="BK1595" s="40"/>
      <c r="BL1595" s="40"/>
      <c r="BM1595" s="40"/>
      <c r="BN1595" s="40"/>
      <c r="BO1595" s="40"/>
      <c r="BP1595" s="155"/>
      <c r="BQ1595" s="314"/>
      <c r="BR1595" s="314"/>
      <c r="BS1595" s="314"/>
      <c r="BT1595" s="314"/>
      <c r="BU1595" s="314"/>
      <c r="BV1595" s="314"/>
      <c r="BW1595" s="314"/>
      <c r="BX1595" s="155"/>
    </row>
    <row r="1596" spans="1:76" ht="15.75" customHeight="1">
      <c r="A1596" s="25"/>
      <c r="B1596" s="39"/>
      <c r="C1596" s="155"/>
      <c r="D1596" s="155"/>
      <c r="E1596" s="40"/>
      <c r="F1596" s="314"/>
      <c r="H1596" s="315"/>
      <c r="I1596" s="315"/>
      <c r="BA1596" s="30"/>
      <c r="BB1596" s="155"/>
      <c r="BC1596" s="314"/>
      <c r="BD1596" s="314"/>
      <c r="BE1596" s="314"/>
      <c r="BF1596" s="314"/>
      <c r="BG1596" s="314"/>
      <c r="BH1596" s="314"/>
      <c r="BI1596" s="314"/>
      <c r="BJ1596" s="314"/>
      <c r="BK1596" s="40"/>
      <c r="BL1596" s="40"/>
      <c r="BM1596" s="40"/>
      <c r="BN1596" s="40"/>
      <c r="BO1596" s="40"/>
      <c r="BP1596" s="155"/>
      <c r="BQ1596" s="314"/>
      <c r="BR1596" s="314"/>
      <c r="BS1596" s="314"/>
      <c r="BT1596" s="314"/>
      <c r="BU1596" s="314"/>
      <c r="BV1596" s="314"/>
      <c r="BW1596" s="314"/>
      <c r="BX1596" s="155"/>
    </row>
    <row r="1597" spans="1:76" ht="15.75" customHeight="1">
      <c r="A1597" s="25"/>
      <c r="B1597" s="39"/>
      <c r="C1597" s="155"/>
      <c r="D1597" s="155"/>
      <c r="E1597" s="40"/>
      <c r="F1597" s="314"/>
      <c r="H1597" s="315"/>
      <c r="I1597" s="315"/>
      <c r="BA1597" s="30"/>
      <c r="BB1597" s="155"/>
      <c r="BC1597" s="314"/>
      <c r="BD1597" s="314"/>
      <c r="BE1597" s="314"/>
      <c r="BF1597" s="314"/>
      <c r="BG1597" s="314"/>
      <c r="BH1597" s="314"/>
      <c r="BI1597" s="314"/>
      <c r="BJ1597" s="314"/>
      <c r="BK1597" s="40"/>
      <c r="BL1597" s="40"/>
      <c r="BM1597" s="40"/>
      <c r="BN1597" s="40"/>
      <c r="BO1597" s="40"/>
      <c r="BP1597" s="155"/>
      <c r="BQ1597" s="314"/>
      <c r="BR1597" s="314"/>
      <c r="BS1597" s="314"/>
      <c r="BT1597" s="314"/>
      <c r="BU1597" s="314"/>
      <c r="BV1597" s="314"/>
      <c r="BW1597" s="314"/>
      <c r="BX1597" s="155"/>
    </row>
    <row r="1598" spans="1:76" ht="15.75" customHeight="1">
      <c r="A1598" s="25"/>
      <c r="B1598" s="39"/>
      <c r="C1598" s="155"/>
      <c r="D1598" s="155"/>
      <c r="E1598" s="40"/>
      <c r="F1598" s="314"/>
      <c r="H1598" s="315"/>
      <c r="I1598" s="315"/>
      <c r="BA1598" s="30"/>
      <c r="BB1598" s="155"/>
      <c r="BC1598" s="314"/>
      <c r="BD1598" s="314"/>
      <c r="BE1598" s="314"/>
      <c r="BF1598" s="314"/>
      <c r="BG1598" s="314"/>
      <c r="BH1598" s="314"/>
      <c r="BI1598" s="314"/>
      <c r="BJ1598" s="314"/>
      <c r="BK1598" s="40"/>
      <c r="BL1598" s="40"/>
      <c r="BM1598" s="40"/>
      <c r="BN1598" s="40"/>
      <c r="BO1598" s="40"/>
      <c r="BP1598" s="155"/>
      <c r="BQ1598" s="314"/>
      <c r="BR1598" s="314"/>
      <c r="BS1598" s="314"/>
      <c r="BT1598" s="314"/>
      <c r="BU1598" s="314"/>
      <c r="BV1598" s="314"/>
      <c r="BW1598" s="314"/>
      <c r="BX1598" s="155"/>
    </row>
    <row r="1599" spans="1:76" ht="15.75" customHeight="1">
      <c r="A1599" s="25"/>
      <c r="B1599" s="39"/>
      <c r="C1599" s="155"/>
      <c r="D1599" s="155"/>
      <c r="E1599" s="40"/>
      <c r="F1599" s="314"/>
      <c r="H1599" s="315"/>
      <c r="I1599" s="315"/>
      <c r="BA1599" s="30"/>
      <c r="BB1599" s="155"/>
      <c r="BC1599" s="314"/>
      <c r="BD1599" s="314"/>
      <c r="BE1599" s="314"/>
      <c r="BF1599" s="314"/>
      <c r="BG1599" s="314"/>
      <c r="BH1599" s="314"/>
      <c r="BI1599" s="314"/>
      <c r="BJ1599" s="314"/>
      <c r="BK1599" s="40"/>
      <c r="BL1599" s="40"/>
      <c r="BM1599" s="40"/>
      <c r="BN1599" s="40"/>
      <c r="BO1599" s="40"/>
      <c r="BP1599" s="155"/>
      <c r="BQ1599" s="314"/>
      <c r="BR1599" s="314"/>
      <c r="BS1599" s="314"/>
      <c r="BT1599" s="314"/>
      <c r="BU1599" s="314"/>
      <c r="BV1599" s="314"/>
      <c r="BW1599" s="314"/>
      <c r="BX1599" s="155"/>
    </row>
    <row r="1600" spans="1:76" ht="15.75" customHeight="1">
      <c r="A1600" s="25"/>
      <c r="B1600" s="39"/>
      <c r="C1600" s="155"/>
      <c r="D1600" s="155"/>
      <c r="E1600" s="40"/>
      <c r="F1600" s="314"/>
      <c r="H1600" s="315"/>
      <c r="I1600" s="315"/>
      <c r="BA1600" s="30"/>
      <c r="BB1600" s="155"/>
      <c r="BC1600" s="314"/>
      <c r="BD1600" s="314"/>
      <c r="BE1600" s="314"/>
      <c r="BF1600" s="314"/>
      <c r="BG1600" s="314"/>
      <c r="BH1600" s="314"/>
      <c r="BI1600" s="314"/>
      <c r="BJ1600" s="314"/>
      <c r="BK1600" s="40"/>
      <c r="BL1600" s="40"/>
      <c r="BM1600" s="40"/>
      <c r="BN1600" s="40"/>
      <c r="BO1600" s="40"/>
      <c r="BP1600" s="155"/>
      <c r="BQ1600" s="314"/>
      <c r="BR1600" s="314"/>
      <c r="BS1600" s="314"/>
      <c r="BT1600" s="314"/>
      <c r="BU1600" s="314"/>
      <c r="BV1600" s="314"/>
      <c r="BW1600" s="314"/>
      <c r="BX1600" s="155"/>
    </row>
    <row r="1601" spans="1:76" ht="15.75" customHeight="1">
      <c r="A1601" s="25"/>
      <c r="B1601" s="39"/>
      <c r="C1601" s="155"/>
      <c r="D1601" s="155"/>
      <c r="E1601" s="40"/>
      <c r="F1601" s="314"/>
      <c r="H1601" s="315"/>
      <c r="I1601" s="315"/>
      <c r="BA1601" s="30"/>
      <c r="BB1601" s="155"/>
      <c r="BC1601" s="322"/>
      <c r="BD1601" s="322"/>
      <c r="BE1601" s="322"/>
      <c r="BF1601" s="322"/>
      <c r="BG1601" s="322"/>
      <c r="BH1601" s="322"/>
      <c r="BI1601" s="322"/>
      <c r="BJ1601" s="322"/>
      <c r="BK1601" s="341"/>
      <c r="BL1601" s="40"/>
      <c r="BM1601" s="40"/>
      <c r="BN1601" s="40"/>
      <c r="BO1601" s="40"/>
      <c r="BP1601" s="155"/>
      <c r="BQ1601" s="314"/>
      <c r="BR1601" s="314"/>
      <c r="BS1601" s="314"/>
      <c r="BT1601" s="314"/>
      <c r="BU1601" s="314"/>
      <c r="BV1601" s="314"/>
      <c r="BW1601" s="314"/>
      <c r="BX1601" s="155"/>
    </row>
    <row r="1602" spans="1:76" ht="15.75" customHeight="1">
      <c r="A1602" s="25"/>
      <c r="B1602" s="39"/>
      <c r="C1602" s="155"/>
      <c r="D1602" s="155"/>
      <c r="E1602" s="40"/>
      <c r="F1602" s="314"/>
      <c r="H1602" s="315"/>
      <c r="I1602" s="315"/>
      <c r="BA1602" s="30"/>
      <c r="BB1602" s="155"/>
      <c r="BC1602" s="314"/>
      <c r="BD1602" s="314"/>
      <c r="BE1602" s="314"/>
      <c r="BF1602" s="314"/>
      <c r="BG1602" s="314"/>
      <c r="BH1602" s="314"/>
      <c r="BI1602" s="314"/>
      <c r="BJ1602" s="314"/>
      <c r="BK1602" s="40"/>
      <c r="BL1602" s="40"/>
      <c r="BM1602" s="40"/>
      <c r="BN1602" s="40"/>
      <c r="BO1602" s="40"/>
      <c r="BP1602" s="155"/>
      <c r="BQ1602" s="314"/>
      <c r="BR1602" s="314"/>
      <c r="BS1602" s="314"/>
      <c r="BT1602" s="314"/>
      <c r="BU1602" s="314"/>
      <c r="BV1602" s="314"/>
      <c r="BW1602" s="314"/>
      <c r="BX1602" s="155"/>
    </row>
    <row r="1603" spans="1:76" ht="15.75" customHeight="1">
      <c r="A1603" s="25"/>
      <c r="B1603" s="39"/>
      <c r="C1603" s="155"/>
      <c r="D1603" s="155"/>
      <c r="E1603" s="40"/>
      <c r="F1603" s="314"/>
      <c r="H1603" s="315"/>
      <c r="I1603" s="315"/>
      <c r="BA1603" s="30"/>
      <c r="BB1603" s="155"/>
      <c r="BC1603" s="314"/>
      <c r="BD1603" s="314"/>
      <c r="BE1603" s="314"/>
      <c r="BF1603" s="314"/>
      <c r="BG1603" s="314"/>
      <c r="BH1603" s="314"/>
      <c r="BI1603" s="314"/>
      <c r="BJ1603" s="314"/>
      <c r="BK1603" s="40"/>
      <c r="BL1603" s="40"/>
      <c r="BM1603" s="40"/>
      <c r="BN1603" s="40"/>
      <c r="BO1603" s="40"/>
      <c r="BP1603" s="155"/>
      <c r="BQ1603" s="314"/>
      <c r="BR1603" s="314"/>
      <c r="BS1603" s="314"/>
      <c r="BT1603" s="314"/>
      <c r="BU1603" s="314"/>
      <c r="BV1603" s="314"/>
      <c r="BW1603" s="314"/>
      <c r="BX1603" s="155"/>
    </row>
    <row r="1604" spans="1:76" ht="15.75" customHeight="1">
      <c r="A1604" s="25"/>
      <c r="B1604" s="39"/>
      <c r="C1604" s="155"/>
      <c r="D1604" s="155"/>
      <c r="E1604" s="40"/>
      <c r="F1604" s="314"/>
      <c r="H1604" s="315"/>
      <c r="I1604" s="315"/>
      <c r="BA1604" s="30"/>
      <c r="BB1604" s="155"/>
      <c r="BC1604" s="314"/>
      <c r="BD1604" s="314"/>
      <c r="BE1604" s="314"/>
      <c r="BF1604" s="314"/>
      <c r="BG1604" s="314"/>
      <c r="BH1604" s="314"/>
      <c r="BI1604" s="314"/>
      <c r="BJ1604" s="314"/>
      <c r="BK1604" s="40"/>
      <c r="BL1604" s="40"/>
      <c r="BM1604" s="40"/>
      <c r="BN1604" s="40"/>
      <c r="BO1604" s="40"/>
      <c r="BP1604" s="155"/>
      <c r="BQ1604" s="314"/>
      <c r="BR1604" s="314"/>
      <c r="BS1604" s="314"/>
      <c r="BT1604" s="314"/>
      <c r="BU1604" s="314"/>
      <c r="BV1604" s="314"/>
      <c r="BW1604" s="314"/>
      <c r="BX1604" s="155"/>
    </row>
    <row r="1605" spans="1:76" ht="15.75" customHeight="1">
      <c r="A1605" s="25"/>
      <c r="B1605" s="39"/>
      <c r="C1605" s="155"/>
      <c r="D1605" s="155"/>
      <c r="E1605" s="40"/>
      <c r="F1605" s="314"/>
      <c r="H1605" s="315"/>
      <c r="I1605" s="315"/>
      <c r="BA1605" s="30"/>
      <c r="BB1605" s="155"/>
      <c r="BC1605" s="314"/>
      <c r="BD1605" s="314"/>
      <c r="BE1605" s="314"/>
      <c r="BF1605" s="314"/>
      <c r="BG1605" s="314"/>
      <c r="BH1605" s="314"/>
      <c r="BI1605" s="314"/>
      <c r="BJ1605" s="314"/>
      <c r="BK1605" s="40"/>
      <c r="BL1605" s="40"/>
      <c r="BM1605" s="40"/>
      <c r="BN1605" s="40"/>
      <c r="BO1605" s="40"/>
      <c r="BP1605" s="155"/>
      <c r="BQ1605" s="314"/>
      <c r="BR1605" s="314"/>
      <c r="BS1605" s="314"/>
      <c r="BT1605" s="314"/>
      <c r="BU1605" s="314"/>
      <c r="BV1605" s="314"/>
      <c r="BW1605" s="314"/>
      <c r="BX1605" s="155"/>
    </row>
    <row r="1606" spans="1:76" ht="15.75" customHeight="1">
      <c r="A1606" s="25"/>
      <c r="B1606" s="39"/>
      <c r="C1606" s="155"/>
      <c r="D1606" s="155"/>
      <c r="E1606" s="40"/>
      <c r="F1606" s="314"/>
      <c r="H1606" s="315"/>
      <c r="I1606" s="315"/>
      <c r="BA1606" s="30"/>
      <c r="BB1606" s="155"/>
      <c r="BC1606" s="314"/>
      <c r="BD1606" s="314"/>
      <c r="BE1606" s="314"/>
      <c r="BF1606" s="314"/>
      <c r="BG1606" s="314"/>
      <c r="BH1606" s="314"/>
      <c r="BI1606" s="314"/>
      <c r="BJ1606" s="314"/>
      <c r="BK1606" s="40"/>
      <c r="BL1606" s="40"/>
      <c r="BM1606" s="40"/>
      <c r="BN1606" s="40"/>
      <c r="BO1606" s="40"/>
      <c r="BP1606" s="155"/>
      <c r="BQ1606" s="314"/>
      <c r="BR1606" s="314"/>
      <c r="BS1606" s="314"/>
      <c r="BT1606" s="314"/>
      <c r="BU1606" s="314"/>
      <c r="BV1606" s="314"/>
      <c r="BW1606" s="314"/>
      <c r="BX1606" s="155"/>
    </row>
    <row r="1607" spans="1:76" ht="15.75" customHeight="1">
      <c r="A1607" s="25"/>
      <c r="B1607" s="39"/>
      <c r="C1607" s="155"/>
      <c r="D1607" s="155"/>
      <c r="E1607" s="40"/>
      <c r="F1607" s="314"/>
      <c r="H1607" s="315"/>
      <c r="I1607" s="315"/>
      <c r="BA1607" s="30"/>
      <c r="BB1607" s="155"/>
      <c r="BC1607" s="314"/>
      <c r="BD1607" s="314"/>
      <c r="BE1607" s="314"/>
      <c r="BF1607" s="314"/>
      <c r="BG1607" s="314"/>
      <c r="BH1607" s="314"/>
      <c r="BI1607" s="314"/>
      <c r="BJ1607" s="314"/>
      <c r="BK1607" s="40"/>
      <c r="BL1607" s="40"/>
      <c r="BM1607" s="40"/>
      <c r="BN1607" s="40"/>
      <c r="BO1607" s="40"/>
      <c r="BP1607" s="155"/>
      <c r="BQ1607" s="314"/>
      <c r="BR1607" s="314"/>
      <c r="BS1607" s="314"/>
      <c r="BT1607" s="314"/>
      <c r="BU1607" s="314"/>
      <c r="BV1607" s="314"/>
      <c r="BW1607" s="314"/>
      <c r="BX1607" s="155"/>
    </row>
    <row r="1608" spans="1:76" ht="15.75" customHeight="1">
      <c r="A1608" s="25"/>
      <c r="B1608" s="39"/>
      <c r="C1608" s="155"/>
      <c r="D1608" s="155"/>
      <c r="E1608" s="40"/>
      <c r="F1608" s="314"/>
      <c r="H1608" s="315"/>
      <c r="I1608" s="315"/>
      <c r="BA1608" s="30"/>
      <c r="BB1608" s="155"/>
      <c r="BC1608" s="314"/>
      <c r="BD1608" s="314"/>
      <c r="BE1608" s="314"/>
      <c r="BF1608" s="314"/>
      <c r="BG1608" s="314"/>
      <c r="BH1608" s="314"/>
      <c r="BI1608" s="314"/>
      <c r="BJ1608" s="314"/>
      <c r="BK1608" s="40"/>
      <c r="BL1608" s="40"/>
      <c r="BM1608" s="40"/>
      <c r="BN1608" s="40"/>
      <c r="BO1608" s="40"/>
      <c r="BP1608" s="155"/>
      <c r="BQ1608" s="314"/>
      <c r="BR1608" s="314"/>
      <c r="BS1608" s="314"/>
      <c r="BT1608" s="314"/>
      <c r="BU1608" s="314"/>
      <c r="BV1608" s="314"/>
      <c r="BW1608" s="314"/>
      <c r="BX1608" s="155"/>
    </row>
    <row r="1609" spans="1:76" ht="15.75" customHeight="1">
      <c r="A1609" s="25"/>
      <c r="B1609" s="39"/>
      <c r="C1609" s="155"/>
      <c r="D1609" s="155"/>
      <c r="E1609" s="40"/>
      <c r="F1609" s="314"/>
      <c r="H1609" s="315"/>
      <c r="I1609" s="315"/>
      <c r="BA1609" s="30"/>
      <c r="BB1609" s="155"/>
      <c r="BC1609" s="314"/>
      <c r="BD1609" s="314"/>
      <c r="BE1609" s="314"/>
      <c r="BF1609" s="314"/>
      <c r="BG1609" s="314"/>
      <c r="BH1609" s="314"/>
      <c r="BI1609" s="314"/>
      <c r="BJ1609" s="314"/>
      <c r="BK1609" s="40"/>
      <c r="BL1609" s="40"/>
      <c r="BM1609" s="40"/>
      <c r="BN1609" s="40"/>
      <c r="BO1609" s="40"/>
      <c r="BP1609" s="155"/>
      <c r="BQ1609" s="314"/>
      <c r="BR1609" s="314"/>
      <c r="BS1609" s="314"/>
      <c r="BT1609" s="314"/>
      <c r="BU1609" s="314"/>
      <c r="BV1609" s="314"/>
      <c r="BW1609" s="314"/>
      <c r="BX1609" s="155"/>
    </row>
    <row r="1610" spans="1:76" ht="15.75" customHeight="1">
      <c r="A1610" s="25"/>
      <c r="B1610" s="39"/>
      <c r="C1610" s="155"/>
      <c r="D1610" s="155"/>
      <c r="E1610" s="40"/>
      <c r="F1610" s="314"/>
      <c r="H1610" s="315"/>
      <c r="I1610" s="315"/>
      <c r="BA1610" s="30"/>
      <c r="BB1610" s="155"/>
      <c r="BC1610" s="314"/>
      <c r="BD1610" s="314"/>
      <c r="BE1610" s="314"/>
      <c r="BF1610" s="314"/>
      <c r="BG1610" s="314"/>
      <c r="BH1610" s="314"/>
      <c r="BI1610" s="314"/>
      <c r="BJ1610" s="314"/>
      <c r="BK1610" s="40"/>
      <c r="BL1610" s="40"/>
      <c r="BM1610" s="40"/>
      <c r="BN1610" s="40"/>
      <c r="BO1610" s="40"/>
      <c r="BP1610" s="155"/>
      <c r="BQ1610" s="314"/>
      <c r="BR1610" s="314"/>
      <c r="BS1610" s="314"/>
      <c r="BT1610" s="314"/>
      <c r="BU1610" s="314"/>
      <c r="BV1610" s="314"/>
      <c r="BW1610" s="314"/>
      <c r="BX1610" s="155"/>
    </row>
    <row r="1611" spans="1:76" ht="15.75" customHeight="1">
      <c r="A1611" s="25"/>
      <c r="B1611" s="39"/>
      <c r="C1611" s="155"/>
      <c r="D1611" s="155"/>
      <c r="E1611" s="40"/>
      <c r="F1611" s="314"/>
      <c r="H1611" s="315"/>
      <c r="I1611" s="315"/>
      <c r="BA1611" s="30"/>
      <c r="BB1611" s="155"/>
      <c r="BC1611" s="314"/>
      <c r="BD1611" s="314"/>
      <c r="BE1611" s="314"/>
      <c r="BF1611" s="314"/>
      <c r="BG1611" s="314"/>
      <c r="BH1611" s="314"/>
      <c r="BI1611" s="314"/>
      <c r="BJ1611" s="314"/>
      <c r="BK1611" s="40"/>
      <c r="BL1611" s="40"/>
      <c r="BM1611" s="40"/>
      <c r="BN1611" s="40"/>
      <c r="BO1611" s="40"/>
      <c r="BP1611" s="155"/>
      <c r="BQ1611" s="314"/>
      <c r="BR1611" s="314"/>
      <c r="BS1611" s="314"/>
      <c r="BT1611" s="314"/>
      <c r="BU1611" s="314"/>
      <c r="BV1611" s="314"/>
      <c r="BW1611" s="314"/>
      <c r="BX1611" s="155"/>
    </row>
    <row r="1612" spans="1:76" ht="15.75" customHeight="1">
      <c r="A1612" s="25"/>
      <c r="B1612" s="39"/>
      <c r="C1612" s="155"/>
      <c r="D1612" s="155"/>
      <c r="E1612" s="40"/>
      <c r="F1612" s="314"/>
      <c r="H1612" s="315"/>
      <c r="I1612" s="315"/>
      <c r="BA1612" s="30"/>
      <c r="BB1612" s="155"/>
      <c r="BC1612" s="314"/>
      <c r="BD1612" s="314"/>
      <c r="BE1612" s="314"/>
      <c r="BF1612" s="314"/>
      <c r="BG1612" s="314"/>
      <c r="BH1612" s="314"/>
      <c r="BI1612" s="314"/>
      <c r="BJ1612" s="314"/>
      <c r="BK1612" s="40"/>
      <c r="BL1612" s="40"/>
      <c r="BM1612" s="40"/>
      <c r="BN1612" s="40"/>
      <c r="BO1612" s="40"/>
      <c r="BP1612" s="155"/>
      <c r="BQ1612" s="314"/>
      <c r="BR1612" s="314"/>
      <c r="BS1612" s="314"/>
      <c r="BT1612" s="314"/>
      <c r="BU1612" s="314"/>
      <c r="BV1612" s="314"/>
      <c r="BW1612" s="314"/>
      <c r="BX1612" s="155"/>
    </row>
    <row r="1613" spans="1:76" ht="15.75" customHeight="1">
      <c r="A1613" s="25"/>
      <c r="B1613" s="39"/>
      <c r="C1613" s="155"/>
      <c r="D1613" s="155"/>
      <c r="E1613" s="40"/>
      <c r="F1613" s="314"/>
      <c r="H1613" s="315"/>
      <c r="I1613" s="315"/>
      <c r="BA1613" s="30"/>
      <c r="BB1613" s="155"/>
      <c r="BC1613" s="314"/>
      <c r="BD1613" s="314"/>
      <c r="BE1613" s="314"/>
      <c r="BF1613" s="314"/>
      <c r="BG1613" s="314"/>
      <c r="BH1613" s="314"/>
      <c r="BI1613" s="314"/>
      <c r="BJ1613" s="314"/>
      <c r="BK1613" s="40"/>
      <c r="BL1613" s="40"/>
      <c r="BM1613" s="40"/>
      <c r="BN1613" s="40"/>
      <c r="BO1613" s="40"/>
      <c r="BP1613" s="155"/>
      <c r="BQ1613" s="314"/>
      <c r="BR1613" s="314"/>
      <c r="BS1613" s="314"/>
      <c r="BT1613" s="314"/>
      <c r="BU1613" s="314"/>
      <c r="BV1613" s="314"/>
      <c r="BW1613" s="314"/>
      <c r="BX1613" s="155"/>
    </row>
    <row r="1614" spans="1:76" ht="15.75" customHeight="1">
      <c r="A1614" s="25"/>
      <c r="B1614" s="39"/>
      <c r="C1614" s="155"/>
      <c r="D1614" s="155"/>
      <c r="E1614" s="40"/>
      <c r="F1614" s="314"/>
      <c r="H1614" s="315"/>
      <c r="I1614" s="315"/>
      <c r="BA1614" s="30"/>
      <c r="BB1614" s="155"/>
      <c r="BC1614" s="314"/>
      <c r="BD1614" s="314"/>
      <c r="BE1614" s="314"/>
      <c r="BF1614" s="314"/>
      <c r="BG1614" s="314"/>
      <c r="BH1614" s="314"/>
      <c r="BI1614" s="314"/>
      <c r="BJ1614" s="314"/>
      <c r="BK1614" s="40"/>
      <c r="BL1614" s="40"/>
      <c r="BM1614" s="40"/>
      <c r="BN1614" s="40"/>
      <c r="BO1614" s="40"/>
      <c r="BP1614" s="155"/>
      <c r="BQ1614" s="314"/>
      <c r="BR1614" s="314"/>
      <c r="BS1614" s="314"/>
      <c r="BT1614" s="314"/>
      <c r="BU1614" s="314"/>
      <c r="BV1614" s="314"/>
      <c r="BW1614" s="314"/>
      <c r="BX1614" s="155"/>
    </row>
    <row r="1615" spans="1:76" ht="15.75" customHeight="1">
      <c r="A1615" s="25"/>
      <c r="B1615" s="39"/>
      <c r="C1615" s="155"/>
      <c r="D1615" s="155"/>
      <c r="E1615" s="40"/>
      <c r="F1615" s="314"/>
      <c r="H1615" s="315"/>
      <c r="I1615" s="315"/>
      <c r="BA1615" s="30"/>
      <c r="BB1615" s="155"/>
      <c r="BC1615" s="314"/>
      <c r="BD1615" s="314"/>
      <c r="BE1615" s="314"/>
      <c r="BF1615" s="314"/>
      <c r="BG1615" s="314"/>
      <c r="BH1615" s="314"/>
      <c r="BI1615" s="314"/>
      <c r="BJ1615" s="314"/>
      <c r="BK1615" s="40"/>
      <c r="BL1615" s="40"/>
      <c r="BM1615" s="40"/>
      <c r="BN1615" s="40"/>
      <c r="BO1615" s="40"/>
      <c r="BP1615" s="155"/>
      <c r="BQ1615" s="314"/>
      <c r="BR1615" s="314"/>
      <c r="BS1615" s="314"/>
      <c r="BT1615" s="314"/>
      <c r="BU1615" s="314"/>
      <c r="BV1615" s="314"/>
      <c r="BW1615" s="314"/>
      <c r="BX1615" s="155"/>
    </row>
    <row r="1616" spans="1:76" ht="15.75" customHeight="1">
      <c r="A1616" s="25"/>
      <c r="B1616" s="39"/>
      <c r="C1616" s="155"/>
      <c r="D1616" s="155"/>
      <c r="E1616" s="40"/>
      <c r="F1616" s="314"/>
      <c r="H1616" s="315"/>
      <c r="I1616" s="315"/>
      <c r="BA1616" s="30"/>
      <c r="BB1616" s="155"/>
      <c r="BC1616" s="314"/>
      <c r="BD1616" s="314"/>
      <c r="BE1616" s="314"/>
      <c r="BF1616" s="314"/>
      <c r="BG1616" s="314"/>
      <c r="BH1616" s="314"/>
      <c r="BI1616" s="314"/>
      <c r="BJ1616" s="314"/>
      <c r="BK1616" s="40"/>
      <c r="BL1616" s="40"/>
      <c r="BM1616" s="40"/>
      <c r="BN1616" s="40"/>
      <c r="BO1616" s="40"/>
      <c r="BP1616" s="155"/>
      <c r="BQ1616" s="314"/>
      <c r="BR1616" s="314"/>
      <c r="BS1616" s="314"/>
      <c r="BT1616" s="314"/>
      <c r="BU1616" s="314"/>
      <c r="BV1616" s="314"/>
      <c r="BW1616" s="314"/>
      <c r="BX1616" s="155"/>
    </row>
    <row r="1617" spans="1:76" ht="15.75" customHeight="1">
      <c r="A1617" s="25"/>
      <c r="B1617" s="39"/>
      <c r="C1617" s="155"/>
      <c r="D1617" s="155"/>
      <c r="E1617" s="40"/>
      <c r="F1617" s="314"/>
      <c r="H1617" s="315"/>
      <c r="I1617" s="315"/>
      <c r="BA1617" s="30"/>
      <c r="BB1617" s="155"/>
      <c r="BC1617" s="314"/>
      <c r="BD1617" s="314"/>
      <c r="BE1617" s="314"/>
      <c r="BF1617" s="314"/>
      <c r="BG1617" s="314"/>
      <c r="BH1617" s="314"/>
      <c r="BI1617" s="314"/>
      <c r="BJ1617" s="314"/>
      <c r="BK1617" s="40"/>
      <c r="BL1617" s="40"/>
      <c r="BM1617" s="40"/>
      <c r="BN1617" s="40"/>
      <c r="BO1617" s="40"/>
      <c r="BP1617" s="155"/>
      <c r="BQ1617" s="314"/>
      <c r="BR1617" s="314"/>
      <c r="BS1617" s="314"/>
      <c r="BT1617" s="314"/>
      <c r="BU1617" s="314"/>
      <c r="BV1617" s="314"/>
      <c r="BW1617" s="314"/>
      <c r="BX1617" s="155"/>
    </row>
    <row r="1618" spans="1:76" ht="15.75" customHeight="1">
      <c r="A1618" s="25"/>
      <c r="B1618" s="39"/>
      <c r="C1618" s="155"/>
      <c r="D1618" s="155"/>
      <c r="E1618" s="40"/>
      <c r="F1618" s="314"/>
      <c r="H1618" s="315"/>
      <c r="I1618" s="315"/>
      <c r="BA1618" s="30"/>
      <c r="BB1618" s="155"/>
      <c r="BC1618" s="314"/>
      <c r="BD1618" s="314"/>
      <c r="BE1618" s="314"/>
      <c r="BF1618" s="314"/>
      <c r="BG1618" s="314"/>
      <c r="BH1618" s="314"/>
      <c r="BI1618" s="314"/>
      <c r="BJ1618" s="314"/>
      <c r="BK1618" s="40"/>
      <c r="BL1618" s="40"/>
      <c r="BM1618" s="40"/>
      <c r="BN1618" s="40"/>
      <c r="BO1618" s="40"/>
      <c r="BP1618" s="155"/>
      <c r="BQ1618" s="314"/>
      <c r="BR1618" s="314"/>
      <c r="BS1618" s="314"/>
      <c r="BT1618" s="314"/>
      <c r="BU1618" s="314"/>
      <c r="BV1618" s="314"/>
      <c r="BW1618" s="314"/>
      <c r="BX1618" s="155"/>
    </row>
    <row r="1619" spans="1:76" ht="15.75" customHeight="1">
      <c r="A1619" s="25"/>
      <c r="B1619" s="39"/>
      <c r="C1619" s="155"/>
      <c r="D1619" s="155"/>
      <c r="E1619" s="40"/>
      <c r="F1619" s="314"/>
      <c r="H1619" s="315"/>
      <c r="I1619" s="315"/>
      <c r="BA1619" s="30"/>
      <c r="BB1619" s="155"/>
      <c r="BC1619" s="314"/>
      <c r="BD1619" s="314"/>
      <c r="BE1619" s="314"/>
      <c r="BF1619" s="314"/>
      <c r="BG1619" s="314"/>
      <c r="BH1619" s="314"/>
      <c r="BI1619" s="314"/>
      <c r="BJ1619" s="314"/>
      <c r="BK1619" s="40"/>
      <c r="BL1619" s="40"/>
      <c r="BM1619" s="40"/>
      <c r="BN1619" s="40"/>
      <c r="BO1619" s="40"/>
      <c r="BP1619" s="155"/>
      <c r="BQ1619" s="314"/>
      <c r="BR1619" s="314"/>
      <c r="BS1619" s="314"/>
      <c r="BT1619" s="314"/>
      <c r="BU1619" s="314"/>
      <c r="BV1619" s="314"/>
      <c r="BW1619" s="314"/>
      <c r="BX1619" s="155"/>
    </row>
    <row r="1620" spans="1:76" ht="15.75" customHeight="1">
      <c r="A1620" s="25"/>
      <c r="B1620" s="39"/>
      <c r="C1620" s="155"/>
      <c r="D1620" s="155"/>
      <c r="E1620" s="40"/>
      <c r="F1620" s="314"/>
      <c r="H1620" s="315"/>
      <c r="I1620" s="315"/>
      <c r="BA1620" s="30"/>
      <c r="BB1620" s="155"/>
      <c r="BC1620" s="314"/>
      <c r="BD1620" s="314"/>
      <c r="BE1620" s="314"/>
      <c r="BF1620" s="314"/>
      <c r="BG1620" s="314"/>
      <c r="BH1620" s="314"/>
      <c r="BI1620" s="314"/>
      <c r="BJ1620" s="314"/>
      <c r="BK1620" s="40"/>
      <c r="BL1620" s="40"/>
      <c r="BM1620" s="40"/>
      <c r="BN1620" s="40"/>
      <c r="BO1620" s="40"/>
      <c r="BP1620" s="155"/>
      <c r="BQ1620" s="314"/>
      <c r="BR1620" s="314"/>
      <c r="BS1620" s="314"/>
      <c r="BT1620" s="314"/>
      <c r="BU1620" s="314"/>
      <c r="BV1620" s="314"/>
      <c r="BW1620" s="314"/>
      <c r="BX1620" s="155"/>
    </row>
    <row r="1621" spans="1:76" ht="15.75" customHeight="1">
      <c r="A1621" s="25"/>
      <c r="B1621" s="39"/>
      <c r="C1621" s="155"/>
      <c r="D1621" s="155"/>
      <c r="E1621" s="40"/>
      <c r="F1621" s="314"/>
      <c r="H1621" s="315"/>
      <c r="I1621" s="315"/>
      <c r="BA1621" s="30"/>
      <c r="BB1621" s="155"/>
      <c r="BC1621" s="314"/>
      <c r="BD1621" s="314"/>
      <c r="BE1621" s="314"/>
      <c r="BF1621" s="314"/>
      <c r="BG1621" s="314"/>
      <c r="BH1621" s="314"/>
      <c r="BI1621" s="314"/>
      <c r="BJ1621" s="314"/>
      <c r="BK1621" s="40"/>
      <c r="BL1621" s="40"/>
      <c r="BM1621" s="40"/>
      <c r="BN1621" s="40"/>
      <c r="BO1621" s="40"/>
      <c r="BP1621" s="155"/>
      <c r="BQ1621" s="314"/>
      <c r="BR1621" s="314"/>
      <c r="BS1621" s="314"/>
      <c r="BT1621" s="314"/>
      <c r="BU1621" s="314"/>
      <c r="BV1621" s="314"/>
      <c r="BW1621" s="314"/>
      <c r="BX1621" s="155"/>
    </row>
    <row r="1622" spans="1:76" ht="15.75" customHeight="1">
      <c r="A1622" s="25"/>
      <c r="B1622" s="39"/>
      <c r="C1622" s="155"/>
      <c r="D1622" s="155"/>
      <c r="E1622" s="40"/>
      <c r="F1622" s="314"/>
      <c r="H1622" s="315"/>
      <c r="I1622" s="315"/>
      <c r="BA1622" s="30"/>
      <c r="BB1622" s="155"/>
      <c r="BC1622" s="314"/>
      <c r="BD1622" s="314"/>
      <c r="BE1622" s="314"/>
      <c r="BF1622" s="314"/>
      <c r="BG1622" s="314"/>
      <c r="BH1622" s="314"/>
      <c r="BI1622" s="314"/>
      <c r="BJ1622" s="314"/>
      <c r="BK1622" s="40"/>
      <c r="BL1622" s="40"/>
      <c r="BM1622" s="40"/>
      <c r="BN1622" s="40"/>
      <c r="BO1622" s="40"/>
      <c r="BP1622" s="155"/>
      <c r="BQ1622" s="314"/>
      <c r="BR1622" s="314"/>
      <c r="BS1622" s="314"/>
      <c r="BT1622" s="314"/>
      <c r="BU1622" s="314"/>
      <c r="BV1622" s="314"/>
      <c r="BW1622" s="314"/>
      <c r="BX1622" s="155"/>
    </row>
    <row r="1623" spans="1:76" ht="15.75" customHeight="1">
      <c r="A1623" s="25"/>
      <c r="B1623" s="39"/>
      <c r="C1623" s="155"/>
      <c r="D1623" s="155"/>
      <c r="E1623" s="40"/>
      <c r="F1623" s="314"/>
      <c r="H1623" s="315"/>
      <c r="I1623" s="315"/>
      <c r="BA1623" s="30"/>
      <c r="BB1623" s="155"/>
      <c r="BC1623" s="314"/>
      <c r="BD1623" s="314"/>
      <c r="BE1623" s="314"/>
      <c r="BF1623" s="314"/>
      <c r="BG1623" s="314"/>
      <c r="BH1623" s="314"/>
      <c r="BI1623" s="314"/>
      <c r="BJ1623" s="314"/>
      <c r="BK1623" s="40"/>
      <c r="BL1623" s="40"/>
      <c r="BM1623" s="40"/>
      <c r="BN1623" s="40"/>
      <c r="BO1623" s="40"/>
      <c r="BP1623" s="155"/>
      <c r="BQ1623" s="314"/>
      <c r="BR1623" s="314"/>
      <c r="BS1623" s="314"/>
      <c r="BT1623" s="314"/>
      <c r="BU1623" s="314"/>
      <c r="BV1623" s="314"/>
      <c r="BW1623" s="314"/>
      <c r="BX1623" s="155"/>
    </row>
    <row r="1624" spans="1:76" ht="15.75" customHeight="1">
      <c r="A1624" s="25"/>
      <c r="B1624" s="39"/>
      <c r="C1624" s="155"/>
      <c r="D1624" s="155"/>
      <c r="E1624" s="40"/>
      <c r="F1624" s="314"/>
      <c r="H1624" s="315"/>
      <c r="I1624" s="315"/>
      <c r="BA1624" s="30"/>
      <c r="BB1624" s="155"/>
      <c r="BC1624" s="314"/>
      <c r="BD1624" s="314"/>
      <c r="BE1624" s="314"/>
      <c r="BF1624" s="314"/>
      <c r="BG1624" s="314"/>
      <c r="BH1624" s="314"/>
      <c r="BI1624" s="314"/>
      <c r="BJ1624" s="314"/>
      <c r="BK1624" s="40"/>
      <c r="BL1624" s="40"/>
      <c r="BM1624" s="40"/>
      <c r="BN1624" s="40"/>
      <c r="BO1624" s="40"/>
      <c r="BP1624" s="155"/>
      <c r="BQ1624" s="314"/>
      <c r="BR1624" s="314"/>
      <c r="BS1624" s="314"/>
      <c r="BT1624" s="314"/>
      <c r="BU1624" s="314"/>
      <c r="BV1624" s="314"/>
      <c r="BW1624" s="314"/>
      <c r="BX1624" s="155"/>
    </row>
    <row r="1625" spans="1:76" ht="15.75" customHeight="1">
      <c r="A1625" s="25"/>
      <c r="B1625" s="39"/>
      <c r="C1625" s="155"/>
      <c r="D1625" s="155"/>
      <c r="E1625" s="40"/>
      <c r="F1625" s="314"/>
      <c r="H1625" s="315"/>
      <c r="I1625" s="315"/>
      <c r="BA1625" s="30"/>
      <c r="BB1625" s="155"/>
      <c r="BC1625" s="314"/>
      <c r="BD1625" s="314"/>
      <c r="BE1625" s="314"/>
      <c r="BF1625" s="314"/>
      <c r="BG1625" s="314"/>
      <c r="BH1625" s="314"/>
      <c r="BI1625" s="314"/>
      <c r="BJ1625" s="314"/>
      <c r="BK1625" s="40"/>
      <c r="BL1625" s="40"/>
      <c r="BM1625" s="40"/>
      <c r="BN1625" s="40"/>
      <c r="BO1625" s="40"/>
      <c r="BP1625" s="155"/>
      <c r="BQ1625" s="314"/>
      <c r="BR1625" s="314"/>
      <c r="BS1625" s="314"/>
      <c r="BT1625" s="314"/>
      <c r="BU1625" s="314"/>
      <c r="BV1625" s="314"/>
      <c r="BW1625" s="314"/>
      <c r="BX1625" s="155"/>
    </row>
    <row r="1626" spans="1:76" ht="15.75" customHeight="1">
      <c r="A1626" s="25"/>
      <c r="B1626" s="39"/>
      <c r="C1626" s="155"/>
      <c r="D1626" s="155"/>
      <c r="E1626" s="40"/>
      <c r="F1626" s="314"/>
      <c r="H1626" s="315"/>
      <c r="I1626" s="315"/>
      <c r="BA1626" s="30"/>
      <c r="BB1626" s="155"/>
      <c r="BC1626" s="314"/>
      <c r="BD1626" s="314"/>
      <c r="BE1626" s="314"/>
      <c r="BF1626" s="314"/>
      <c r="BG1626" s="314"/>
      <c r="BH1626" s="314"/>
      <c r="BI1626" s="314"/>
      <c r="BJ1626" s="314"/>
      <c r="BK1626" s="40"/>
      <c r="BL1626" s="40"/>
      <c r="BM1626" s="40"/>
      <c r="BN1626" s="40"/>
      <c r="BO1626" s="40"/>
      <c r="BP1626" s="155"/>
      <c r="BQ1626" s="314"/>
      <c r="BR1626" s="314"/>
      <c r="BS1626" s="314"/>
      <c r="BT1626" s="314"/>
      <c r="BU1626" s="314"/>
      <c r="BV1626" s="314"/>
      <c r="BW1626" s="314"/>
      <c r="BX1626" s="155"/>
    </row>
    <row r="1627" spans="1:76" ht="15.75" customHeight="1">
      <c r="A1627" s="25"/>
      <c r="B1627" s="39"/>
      <c r="C1627" s="155"/>
      <c r="D1627" s="155"/>
      <c r="E1627" s="40"/>
      <c r="F1627" s="314"/>
      <c r="H1627" s="315"/>
      <c r="I1627" s="315"/>
      <c r="BA1627" s="30"/>
      <c r="BB1627" s="155"/>
      <c r="BC1627" s="314"/>
      <c r="BD1627" s="314"/>
      <c r="BE1627" s="314"/>
      <c r="BF1627" s="314"/>
      <c r="BG1627" s="314"/>
      <c r="BH1627" s="314"/>
      <c r="BI1627" s="314"/>
      <c r="BJ1627" s="314"/>
      <c r="BK1627" s="40"/>
      <c r="BL1627" s="40"/>
      <c r="BM1627" s="40"/>
      <c r="BN1627" s="40"/>
      <c r="BO1627" s="40"/>
      <c r="BP1627" s="155"/>
      <c r="BQ1627" s="314"/>
      <c r="BR1627" s="314"/>
      <c r="BS1627" s="314"/>
      <c r="BT1627" s="314"/>
      <c r="BU1627" s="314"/>
      <c r="BV1627" s="314"/>
      <c r="BW1627" s="314"/>
      <c r="BX1627" s="155"/>
    </row>
    <row r="1628" spans="1:76" ht="15.75" customHeight="1">
      <c r="A1628" s="25"/>
      <c r="B1628" s="39"/>
      <c r="C1628" s="155"/>
      <c r="D1628" s="155"/>
      <c r="E1628" s="40"/>
      <c r="F1628" s="314"/>
      <c r="H1628" s="315"/>
      <c r="I1628" s="315"/>
      <c r="BA1628" s="30"/>
      <c r="BB1628" s="155"/>
      <c r="BC1628" s="314"/>
      <c r="BD1628" s="314"/>
      <c r="BE1628" s="314"/>
      <c r="BF1628" s="314"/>
      <c r="BG1628" s="314"/>
      <c r="BH1628" s="314"/>
      <c r="BI1628" s="314"/>
      <c r="BJ1628" s="314"/>
      <c r="BK1628" s="40"/>
      <c r="BL1628" s="40"/>
      <c r="BM1628" s="40"/>
      <c r="BN1628" s="40"/>
      <c r="BO1628" s="40"/>
      <c r="BP1628" s="155"/>
      <c r="BQ1628" s="314"/>
      <c r="BR1628" s="314"/>
      <c r="BS1628" s="314"/>
      <c r="BT1628" s="314"/>
      <c r="BU1628" s="314"/>
      <c r="BV1628" s="314"/>
      <c r="BW1628" s="314"/>
      <c r="BX1628" s="155"/>
    </row>
    <row r="1629" spans="1:76" ht="15.75" customHeight="1">
      <c r="A1629" s="25"/>
      <c r="B1629" s="39"/>
      <c r="C1629" s="155"/>
      <c r="D1629" s="155"/>
      <c r="E1629" s="40"/>
      <c r="F1629" s="314"/>
      <c r="H1629" s="315"/>
      <c r="I1629" s="315"/>
      <c r="BA1629" s="30"/>
      <c r="BB1629" s="155"/>
      <c r="BC1629" s="314"/>
      <c r="BD1629" s="314"/>
      <c r="BE1629" s="314"/>
      <c r="BF1629" s="314"/>
      <c r="BG1629" s="314"/>
      <c r="BH1629" s="314"/>
      <c r="BI1629" s="314"/>
      <c r="BJ1629" s="314"/>
      <c r="BK1629" s="40"/>
      <c r="BL1629" s="40"/>
      <c r="BM1629" s="40"/>
      <c r="BN1629" s="40"/>
      <c r="BO1629" s="40"/>
      <c r="BP1629" s="155"/>
      <c r="BQ1629" s="314"/>
      <c r="BR1629" s="314"/>
      <c r="BS1629" s="314"/>
      <c r="BT1629" s="314"/>
      <c r="BU1629" s="314"/>
      <c r="BV1629" s="314"/>
      <c r="BW1629" s="314"/>
      <c r="BX1629" s="155"/>
    </row>
    <row r="1630" spans="1:76" ht="15.75" customHeight="1">
      <c r="A1630" s="25"/>
      <c r="B1630" s="39"/>
      <c r="C1630" s="155"/>
      <c r="D1630" s="155"/>
      <c r="E1630" s="40"/>
      <c r="F1630" s="314"/>
      <c r="H1630" s="315"/>
      <c r="I1630" s="315"/>
      <c r="BA1630" s="30"/>
      <c r="BB1630" s="155"/>
      <c r="BC1630" s="314"/>
      <c r="BD1630" s="314"/>
      <c r="BE1630" s="314"/>
      <c r="BF1630" s="314"/>
      <c r="BG1630" s="314"/>
      <c r="BH1630" s="314"/>
      <c r="BI1630" s="314"/>
      <c r="BJ1630" s="314"/>
      <c r="BK1630" s="40"/>
      <c r="BL1630" s="40"/>
      <c r="BM1630" s="40"/>
      <c r="BN1630" s="40"/>
      <c r="BO1630" s="40"/>
      <c r="BP1630" s="155"/>
      <c r="BQ1630" s="314"/>
      <c r="BR1630" s="314"/>
      <c r="BS1630" s="314"/>
      <c r="BT1630" s="314"/>
      <c r="BU1630" s="314"/>
      <c r="BV1630" s="314"/>
      <c r="BW1630" s="314"/>
      <c r="BX1630" s="155"/>
    </row>
    <row r="1631" spans="1:76" ht="15.75" customHeight="1">
      <c r="A1631" s="25"/>
      <c r="B1631" s="39"/>
      <c r="C1631" s="155"/>
      <c r="D1631" s="155"/>
      <c r="E1631" s="40"/>
      <c r="F1631" s="314"/>
      <c r="H1631" s="315"/>
      <c r="I1631" s="315"/>
      <c r="BA1631" s="30"/>
      <c r="BB1631" s="155"/>
      <c r="BC1631" s="314"/>
      <c r="BD1631" s="314"/>
      <c r="BE1631" s="314"/>
      <c r="BF1631" s="314"/>
      <c r="BG1631" s="314"/>
      <c r="BH1631" s="314"/>
      <c r="BI1631" s="314"/>
      <c r="BJ1631" s="314"/>
      <c r="BK1631" s="40"/>
      <c r="BL1631" s="40"/>
      <c r="BM1631" s="40"/>
      <c r="BN1631" s="40"/>
      <c r="BO1631" s="40"/>
      <c r="BP1631" s="155"/>
      <c r="BQ1631" s="314"/>
      <c r="BR1631" s="314"/>
      <c r="BS1631" s="314"/>
      <c r="BT1631" s="314"/>
      <c r="BU1631" s="314"/>
      <c r="BV1631" s="314"/>
      <c r="BW1631" s="314"/>
      <c r="BX1631" s="155"/>
    </row>
    <row r="1632" spans="1:76" ht="15.75" customHeight="1">
      <c r="A1632" s="25"/>
      <c r="B1632" s="39"/>
      <c r="C1632" s="155"/>
      <c r="D1632" s="155"/>
      <c r="E1632" s="40"/>
      <c r="F1632" s="314"/>
      <c r="H1632" s="315"/>
      <c r="I1632" s="315"/>
      <c r="BA1632" s="30"/>
      <c r="BB1632" s="155"/>
      <c r="BC1632" s="314"/>
      <c r="BD1632" s="314"/>
      <c r="BE1632" s="314"/>
      <c r="BF1632" s="314"/>
      <c r="BG1632" s="314"/>
      <c r="BH1632" s="314"/>
      <c r="BI1632" s="314"/>
      <c r="BJ1632" s="314"/>
      <c r="BK1632" s="40"/>
      <c r="BL1632" s="40"/>
      <c r="BM1632" s="40"/>
      <c r="BN1632" s="40"/>
      <c r="BO1632" s="40"/>
      <c r="BP1632" s="155"/>
      <c r="BQ1632" s="314"/>
      <c r="BR1632" s="314"/>
      <c r="BS1632" s="314"/>
      <c r="BT1632" s="314"/>
      <c r="BU1632" s="314"/>
      <c r="BV1632" s="314"/>
      <c r="BW1632" s="314"/>
      <c r="BX1632" s="155"/>
    </row>
    <row r="1633" spans="1:76" ht="15.75" customHeight="1">
      <c r="A1633" s="25"/>
      <c r="B1633" s="39"/>
      <c r="C1633" s="155"/>
      <c r="D1633" s="155"/>
      <c r="E1633" s="40"/>
      <c r="F1633" s="314"/>
      <c r="H1633" s="315"/>
      <c r="I1633" s="315"/>
      <c r="BA1633" s="30"/>
      <c r="BB1633" s="155"/>
      <c r="BC1633" s="314"/>
      <c r="BD1633" s="314"/>
      <c r="BE1633" s="314"/>
      <c r="BF1633" s="314"/>
      <c r="BG1633" s="314"/>
      <c r="BH1633" s="314"/>
      <c r="BI1633" s="314"/>
      <c r="BJ1633" s="314"/>
      <c r="BK1633" s="40"/>
      <c r="BL1633" s="40"/>
      <c r="BM1633" s="40"/>
      <c r="BN1633" s="40"/>
      <c r="BO1633" s="40"/>
      <c r="BP1633" s="155"/>
      <c r="BQ1633" s="314"/>
      <c r="BR1633" s="314"/>
      <c r="BS1633" s="314"/>
      <c r="BT1633" s="314"/>
      <c r="BU1633" s="314"/>
      <c r="BV1633" s="314"/>
      <c r="BW1633" s="314"/>
      <c r="BX1633" s="155"/>
    </row>
    <row r="1634" spans="1:76" ht="15.75" customHeight="1">
      <c r="A1634" s="25"/>
      <c r="B1634" s="39"/>
      <c r="C1634" s="155"/>
      <c r="D1634" s="155"/>
      <c r="E1634" s="40"/>
      <c r="F1634" s="314"/>
      <c r="H1634" s="315"/>
      <c r="I1634" s="315"/>
      <c r="BA1634" s="30"/>
      <c r="BB1634" s="155"/>
      <c r="BC1634" s="314"/>
      <c r="BD1634" s="314"/>
      <c r="BE1634" s="314"/>
      <c r="BF1634" s="314"/>
      <c r="BG1634" s="314"/>
      <c r="BH1634" s="314"/>
      <c r="BI1634" s="314"/>
      <c r="BJ1634" s="314"/>
      <c r="BK1634" s="40"/>
      <c r="BL1634" s="40"/>
      <c r="BM1634" s="40"/>
      <c r="BN1634" s="40"/>
      <c r="BO1634" s="40"/>
      <c r="BP1634" s="155"/>
      <c r="BQ1634" s="314"/>
      <c r="BR1634" s="314"/>
      <c r="BS1634" s="314"/>
      <c r="BT1634" s="314"/>
      <c r="BU1634" s="314"/>
      <c r="BV1634" s="314"/>
      <c r="BW1634" s="314"/>
      <c r="BX1634" s="155"/>
    </row>
    <row r="1635" spans="1:76" ht="15.75" customHeight="1">
      <c r="A1635" s="25"/>
      <c r="B1635" s="39"/>
      <c r="C1635" s="155"/>
      <c r="D1635" s="155"/>
      <c r="E1635" s="40"/>
      <c r="F1635" s="314"/>
      <c r="H1635" s="315"/>
      <c r="I1635" s="315"/>
      <c r="BA1635" s="30"/>
      <c r="BB1635" s="155"/>
      <c r="BC1635" s="314"/>
      <c r="BD1635" s="314"/>
      <c r="BE1635" s="314"/>
      <c r="BF1635" s="314"/>
      <c r="BG1635" s="314"/>
      <c r="BH1635" s="314"/>
      <c r="BI1635" s="314"/>
      <c r="BJ1635" s="314"/>
      <c r="BK1635" s="40"/>
      <c r="BL1635" s="40"/>
      <c r="BM1635" s="40"/>
      <c r="BN1635" s="40"/>
      <c r="BO1635" s="40"/>
      <c r="BP1635" s="155"/>
      <c r="BQ1635" s="314"/>
      <c r="BR1635" s="314"/>
      <c r="BS1635" s="314"/>
      <c r="BT1635" s="314"/>
      <c r="BU1635" s="314"/>
      <c r="BV1635" s="314"/>
      <c r="BW1635" s="314"/>
      <c r="BX1635" s="155"/>
    </row>
    <row r="1636" spans="1:76" ht="15.75" customHeight="1">
      <c r="A1636" s="25"/>
      <c r="B1636" s="39"/>
      <c r="C1636" s="155"/>
      <c r="D1636" s="155"/>
      <c r="E1636" s="40"/>
      <c r="F1636" s="314"/>
      <c r="H1636" s="315"/>
      <c r="I1636" s="315"/>
      <c r="BA1636" s="30"/>
      <c r="BB1636" s="155"/>
      <c r="BC1636" s="314"/>
      <c r="BD1636" s="314"/>
      <c r="BE1636" s="314"/>
      <c r="BF1636" s="314"/>
      <c r="BG1636" s="314"/>
      <c r="BH1636" s="314"/>
      <c r="BI1636" s="314"/>
      <c r="BJ1636" s="314"/>
      <c r="BK1636" s="40"/>
      <c r="BL1636" s="40"/>
      <c r="BM1636" s="40"/>
      <c r="BN1636" s="40"/>
      <c r="BO1636" s="40"/>
      <c r="BP1636" s="155"/>
      <c r="BQ1636" s="314"/>
      <c r="BR1636" s="314"/>
      <c r="BS1636" s="314"/>
      <c r="BT1636" s="314"/>
      <c r="BU1636" s="314"/>
      <c r="BV1636" s="314"/>
      <c r="BW1636" s="314"/>
      <c r="BX1636" s="155"/>
    </row>
    <row r="1637" spans="1:76" ht="15.75" customHeight="1">
      <c r="A1637" s="25"/>
      <c r="B1637" s="39"/>
      <c r="C1637" s="155"/>
      <c r="D1637" s="155"/>
      <c r="E1637" s="40"/>
      <c r="F1637" s="314"/>
      <c r="H1637" s="315"/>
      <c r="I1637" s="315"/>
      <c r="BA1637" s="30"/>
      <c r="BB1637" s="155"/>
      <c r="BC1637" s="314"/>
      <c r="BD1637" s="314"/>
      <c r="BE1637" s="314"/>
      <c r="BF1637" s="314"/>
      <c r="BG1637" s="314"/>
      <c r="BH1637" s="314"/>
      <c r="BI1637" s="314"/>
      <c r="BJ1637" s="314"/>
      <c r="BK1637" s="40"/>
      <c r="BL1637" s="40"/>
      <c r="BM1637" s="40"/>
      <c r="BN1637" s="40"/>
      <c r="BO1637" s="40"/>
      <c r="BP1637" s="155"/>
      <c r="BQ1637" s="314"/>
      <c r="BR1637" s="314"/>
      <c r="BS1637" s="314"/>
      <c r="BT1637" s="314"/>
      <c r="BU1637" s="314"/>
      <c r="BV1637" s="314"/>
      <c r="BW1637" s="314"/>
      <c r="BX1637" s="155"/>
    </row>
    <row r="1638" spans="1:76" ht="15.75" customHeight="1">
      <c r="A1638" s="25"/>
      <c r="B1638" s="39"/>
      <c r="C1638" s="155"/>
      <c r="D1638" s="155"/>
      <c r="E1638" s="40"/>
      <c r="F1638" s="314"/>
      <c r="H1638" s="315"/>
      <c r="I1638" s="315"/>
      <c r="BA1638" s="30"/>
      <c r="BB1638" s="155"/>
      <c r="BC1638" s="314"/>
      <c r="BD1638" s="314"/>
      <c r="BE1638" s="314"/>
      <c r="BF1638" s="314"/>
      <c r="BG1638" s="314"/>
      <c r="BH1638" s="314"/>
      <c r="BI1638" s="314"/>
      <c r="BJ1638" s="314"/>
      <c r="BK1638" s="40"/>
      <c r="BL1638" s="40"/>
      <c r="BM1638" s="40"/>
      <c r="BN1638" s="40"/>
      <c r="BO1638" s="40"/>
      <c r="BP1638" s="155"/>
      <c r="BQ1638" s="314"/>
      <c r="BR1638" s="314"/>
      <c r="BS1638" s="314"/>
      <c r="BT1638" s="314"/>
      <c r="BU1638" s="314"/>
      <c r="BV1638" s="314"/>
      <c r="BW1638" s="314"/>
      <c r="BX1638" s="155"/>
    </row>
    <row r="1639" spans="1:76" ht="15.75" customHeight="1">
      <c r="A1639" s="25"/>
      <c r="B1639" s="39"/>
      <c r="C1639" s="155"/>
      <c r="D1639" s="155"/>
      <c r="E1639" s="40"/>
      <c r="F1639" s="314"/>
      <c r="H1639" s="315"/>
      <c r="I1639" s="315"/>
      <c r="BA1639" s="30"/>
      <c r="BB1639" s="155"/>
      <c r="BC1639" s="314"/>
      <c r="BD1639" s="314"/>
      <c r="BE1639" s="314"/>
      <c r="BF1639" s="314"/>
      <c r="BG1639" s="314"/>
      <c r="BH1639" s="314"/>
      <c r="BI1639" s="314"/>
      <c r="BJ1639" s="314"/>
      <c r="BK1639" s="40"/>
      <c r="BL1639" s="40"/>
      <c r="BM1639" s="40"/>
      <c r="BN1639" s="40"/>
      <c r="BO1639" s="40"/>
      <c r="BP1639" s="155"/>
      <c r="BQ1639" s="314"/>
      <c r="BR1639" s="314"/>
      <c r="BS1639" s="314"/>
      <c r="BT1639" s="314"/>
      <c r="BU1639" s="314"/>
      <c r="BV1639" s="314"/>
      <c r="BW1639" s="314"/>
      <c r="BX1639" s="155"/>
    </row>
    <row r="1640" spans="1:76" ht="15.75" customHeight="1">
      <c r="A1640" s="25"/>
      <c r="B1640" s="39"/>
      <c r="C1640" s="155"/>
      <c r="D1640" s="155"/>
      <c r="E1640" s="40"/>
      <c r="F1640" s="314"/>
      <c r="H1640" s="315"/>
      <c r="I1640" s="315"/>
      <c r="BA1640" s="30"/>
      <c r="BB1640" s="155"/>
      <c r="BC1640" s="314"/>
      <c r="BD1640" s="314"/>
      <c r="BE1640" s="314"/>
      <c r="BF1640" s="314"/>
      <c r="BG1640" s="314"/>
      <c r="BH1640" s="314"/>
      <c r="BI1640" s="314"/>
      <c r="BJ1640" s="314"/>
      <c r="BK1640" s="40"/>
      <c r="BL1640" s="40"/>
      <c r="BM1640" s="40"/>
      <c r="BN1640" s="40"/>
      <c r="BO1640" s="40"/>
      <c r="BP1640" s="155"/>
      <c r="BQ1640" s="314"/>
      <c r="BR1640" s="314"/>
      <c r="BS1640" s="314"/>
      <c r="BT1640" s="314"/>
      <c r="BU1640" s="314"/>
      <c r="BV1640" s="314"/>
      <c r="BW1640" s="314"/>
      <c r="BX1640" s="155"/>
    </row>
    <row r="1641" spans="1:76" ht="15.75" customHeight="1">
      <c r="A1641" s="25"/>
      <c r="B1641" s="39"/>
      <c r="C1641" s="155"/>
      <c r="D1641" s="155"/>
      <c r="E1641" s="40"/>
      <c r="F1641" s="314"/>
      <c r="H1641" s="315"/>
      <c r="I1641" s="315"/>
      <c r="BA1641" s="30"/>
      <c r="BB1641" s="155"/>
      <c r="BC1641" s="314"/>
      <c r="BD1641" s="314"/>
      <c r="BE1641" s="314"/>
      <c r="BF1641" s="314"/>
      <c r="BG1641" s="314"/>
      <c r="BH1641" s="314"/>
      <c r="BI1641" s="314"/>
      <c r="BJ1641" s="314"/>
      <c r="BK1641" s="40"/>
      <c r="BL1641" s="40"/>
      <c r="BM1641" s="40"/>
      <c r="BN1641" s="40"/>
      <c r="BO1641" s="40"/>
      <c r="BP1641" s="155"/>
      <c r="BQ1641" s="314"/>
      <c r="BR1641" s="314"/>
      <c r="BS1641" s="314"/>
      <c r="BT1641" s="314"/>
      <c r="BU1641" s="314"/>
      <c r="BV1641" s="314"/>
      <c r="BW1641" s="314"/>
      <c r="BX1641" s="155"/>
    </row>
    <row r="1642" spans="1:76" ht="15.75" customHeight="1">
      <c r="A1642" s="25"/>
      <c r="B1642" s="39"/>
      <c r="C1642" s="155"/>
      <c r="D1642" s="155"/>
      <c r="E1642" s="40"/>
      <c r="F1642" s="314"/>
      <c r="H1642" s="315"/>
      <c r="I1642" s="315"/>
      <c r="BA1642" s="30"/>
      <c r="BB1642" s="155"/>
      <c r="BC1642" s="314"/>
      <c r="BD1642" s="314"/>
      <c r="BE1642" s="314"/>
      <c r="BF1642" s="314"/>
      <c r="BG1642" s="314"/>
      <c r="BH1642" s="314"/>
      <c r="BI1642" s="314"/>
      <c r="BJ1642" s="314"/>
      <c r="BK1642" s="40"/>
      <c r="BL1642" s="40"/>
      <c r="BM1642" s="40"/>
      <c r="BN1642" s="40"/>
      <c r="BO1642" s="40"/>
      <c r="BP1642" s="155"/>
      <c r="BQ1642" s="314"/>
      <c r="BR1642" s="314"/>
      <c r="BS1642" s="314"/>
      <c r="BT1642" s="314"/>
      <c r="BU1642" s="314"/>
      <c r="BV1642" s="314"/>
      <c r="BW1642" s="314"/>
      <c r="BX1642" s="155"/>
    </row>
    <row r="1643" spans="1:76" ht="15.75" customHeight="1">
      <c r="A1643" s="25"/>
      <c r="B1643" s="39"/>
      <c r="C1643" s="155"/>
      <c r="D1643" s="155"/>
      <c r="E1643" s="40"/>
      <c r="F1643" s="314"/>
      <c r="H1643" s="315"/>
      <c r="I1643" s="315"/>
      <c r="BA1643" s="30"/>
      <c r="BB1643" s="155"/>
      <c r="BC1643" s="314"/>
      <c r="BD1643" s="314"/>
      <c r="BE1643" s="314"/>
      <c r="BF1643" s="314"/>
      <c r="BG1643" s="314"/>
      <c r="BH1643" s="314"/>
      <c r="BI1643" s="314"/>
      <c r="BJ1643" s="314"/>
      <c r="BK1643" s="40"/>
      <c r="BL1643" s="40"/>
      <c r="BM1643" s="40"/>
      <c r="BN1643" s="40"/>
      <c r="BO1643" s="40"/>
      <c r="BP1643" s="155"/>
      <c r="BQ1643" s="314"/>
      <c r="BR1643" s="314"/>
      <c r="BS1643" s="314"/>
      <c r="BT1643" s="314"/>
      <c r="BU1643" s="314"/>
      <c r="BV1643" s="314"/>
      <c r="BW1643" s="314"/>
      <c r="BX1643" s="155"/>
    </row>
    <row r="1644" spans="1:76" ht="15.75" customHeight="1">
      <c r="A1644" s="25"/>
      <c r="B1644" s="39"/>
      <c r="C1644" s="155"/>
      <c r="D1644" s="155"/>
      <c r="E1644" s="40"/>
      <c r="F1644" s="314"/>
      <c r="H1644" s="315"/>
      <c r="I1644" s="315"/>
      <c r="BA1644" s="30"/>
      <c r="BB1644" s="155"/>
      <c r="BC1644" s="314"/>
      <c r="BD1644" s="314"/>
      <c r="BE1644" s="314"/>
      <c r="BF1644" s="314"/>
      <c r="BG1644" s="314"/>
      <c r="BH1644" s="314"/>
      <c r="BI1644" s="314"/>
      <c r="BJ1644" s="314"/>
      <c r="BK1644" s="40"/>
      <c r="BL1644" s="40"/>
      <c r="BM1644" s="40"/>
      <c r="BN1644" s="40"/>
      <c r="BO1644" s="40"/>
      <c r="BP1644" s="155"/>
      <c r="BQ1644" s="314"/>
      <c r="BR1644" s="314"/>
      <c r="BS1644" s="314"/>
      <c r="BT1644" s="314"/>
      <c r="BU1644" s="314"/>
      <c r="BV1644" s="314"/>
      <c r="BW1644" s="314"/>
      <c r="BX1644" s="155"/>
    </row>
    <row r="1645" spans="1:76" ht="15.75" customHeight="1">
      <c r="A1645" s="25"/>
      <c r="B1645" s="39"/>
      <c r="C1645" s="155"/>
      <c r="D1645" s="155"/>
      <c r="E1645" s="40"/>
      <c r="F1645" s="314"/>
      <c r="H1645" s="315"/>
      <c r="I1645" s="315"/>
      <c r="BA1645" s="30"/>
      <c r="BB1645" s="155"/>
      <c r="BC1645" s="314"/>
      <c r="BD1645" s="314"/>
      <c r="BE1645" s="314"/>
      <c r="BF1645" s="314"/>
      <c r="BG1645" s="314"/>
      <c r="BH1645" s="314"/>
      <c r="BI1645" s="314"/>
      <c r="BJ1645" s="314"/>
      <c r="BK1645" s="40"/>
      <c r="BL1645" s="40"/>
      <c r="BM1645" s="40"/>
      <c r="BN1645" s="40"/>
      <c r="BO1645" s="40"/>
      <c r="BP1645" s="155"/>
      <c r="BQ1645" s="314"/>
      <c r="BR1645" s="314"/>
      <c r="BS1645" s="314"/>
      <c r="BT1645" s="314"/>
      <c r="BU1645" s="314"/>
      <c r="BV1645" s="314"/>
      <c r="BW1645" s="314"/>
      <c r="BX1645" s="155"/>
    </row>
    <row r="1646" spans="1:76" ht="15.75" customHeight="1">
      <c r="A1646" s="25"/>
      <c r="B1646" s="39"/>
      <c r="C1646" s="155"/>
      <c r="D1646" s="155"/>
      <c r="E1646" s="40"/>
      <c r="F1646" s="314"/>
      <c r="H1646" s="315"/>
      <c r="I1646" s="315"/>
      <c r="BA1646" s="30"/>
      <c r="BB1646" s="155"/>
      <c r="BC1646" s="314"/>
      <c r="BD1646" s="314"/>
      <c r="BE1646" s="314"/>
      <c r="BF1646" s="314"/>
      <c r="BG1646" s="314"/>
      <c r="BH1646" s="314"/>
      <c r="BI1646" s="314"/>
      <c r="BJ1646" s="314"/>
      <c r="BK1646" s="40"/>
      <c r="BL1646" s="40"/>
      <c r="BM1646" s="40"/>
      <c r="BN1646" s="40"/>
      <c r="BO1646" s="40"/>
      <c r="BP1646" s="155"/>
      <c r="BQ1646" s="314"/>
      <c r="BR1646" s="314"/>
      <c r="BS1646" s="314"/>
      <c r="BT1646" s="314"/>
      <c r="BU1646" s="314"/>
      <c r="BV1646" s="314"/>
      <c r="BW1646" s="314"/>
      <c r="BX1646" s="155"/>
    </row>
    <row r="1647" spans="1:76" ht="15.75" customHeight="1">
      <c r="A1647" s="25"/>
      <c r="B1647" s="39"/>
      <c r="C1647" s="155"/>
      <c r="D1647" s="155"/>
      <c r="E1647" s="40"/>
      <c r="F1647" s="314"/>
      <c r="H1647" s="315"/>
      <c r="I1647" s="315"/>
      <c r="BA1647" s="30"/>
      <c r="BB1647" s="155"/>
      <c r="BC1647" s="314"/>
      <c r="BD1647" s="314"/>
      <c r="BE1647" s="314"/>
      <c r="BF1647" s="314"/>
      <c r="BG1647" s="314"/>
      <c r="BH1647" s="314"/>
      <c r="BI1647" s="314"/>
      <c r="BJ1647" s="314"/>
      <c r="BK1647" s="40"/>
      <c r="BL1647" s="40"/>
      <c r="BM1647" s="40"/>
      <c r="BN1647" s="40"/>
      <c r="BO1647" s="40"/>
      <c r="BP1647" s="155"/>
      <c r="BQ1647" s="314"/>
      <c r="BR1647" s="314"/>
      <c r="BS1647" s="314"/>
      <c r="BT1647" s="314"/>
      <c r="BU1647" s="314"/>
      <c r="BV1647" s="314"/>
      <c r="BW1647" s="314"/>
      <c r="BX1647" s="155"/>
    </row>
    <row r="1648" spans="1:76" ht="15.75" customHeight="1">
      <c r="A1648" s="25"/>
      <c r="B1648" s="39"/>
      <c r="C1648" s="155"/>
      <c r="D1648" s="155"/>
      <c r="E1648" s="40"/>
      <c r="F1648" s="314"/>
      <c r="H1648" s="315"/>
      <c r="I1648" s="315"/>
      <c r="BA1648" s="30"/>
      <c r="BB1648" s="155"/>
      <c r="BC1648" s="314"/>
      <c r="BD1648" s="314"/>
      <c r="BE1648" s="314"/>
      <c r="BF1648" s="314"/>
      <c r="BG1648" s="314"/>
      <c r="BH1648" s="314"/>
      <c r="BI1648" s="314"/>
      <c r="BJ1648" s="314"/>
      <c r="BK1648" s="40"/>
      <c r="BL1648" s="40"/>
      <c r="BM1648" s="40"/>
      <c r="BN1648" s="40"/>
      <c r="BO1648" s="40"/>
      <c r="BP1648" s="155"/>
      <c r="BQ1648" s="314"/>
      <c r="BR1648" s="314"/>
      <c r="BS1648" s="314"/>
      <c r="BT1648" s="314"/>
      <c r="BU1648" s="314"/>
      <c r="BV1648" s="314"/>
      <c r="BW1648" s="314"/>
      <c r="BX1648" s="155"/>
    </row>
    <row r="1649" spans="1:76" ht="15.75" customHeight="1">
      <c r="A1649" s="25"/>
      <c r="B1649" s="39"/>
      <c r="C1649" s="155"/>
      <c r="D1649" s="155"/>
      <c r="E1649" s="40"/>
      <c r="F1649" s="314"/>
      <c r="H1649" s="315"/>
      <c r="I1649" s="315"/>
      <c r="BA1649" s="30"/>
      <c r="BB1649" s="155"/>
      <c r="BC1649" s="314"/>
      <c r="BD1649" s="314"/>
      <c r="BE1649" s="314"/>
      <c r="BF1649" s="314"/>
      <c r="BG1649" s="314"/>
      <c r="BH1649" s="314"/>
      <c r="BI1649" s="314"/>
      <c r="BJ1649" s="314"/>
      <c r="BK1649" s="40"/>
      <c r="BL1649" s="40"/>
      <c r="BM1649" s="40"/>
      <c r="BN1649" s="40"/>
      <c r="BO1649" s="40"/>
      <c r="BP1649" s="155"/>
      <c r="BQ1649" s="314"/>
      <c r="BR1649" s="314"/>
      <c r="BS1649" s="314"/>
      <c r="BT1649" s="314"/>
      <c r="BU1649" s="314"/>
      <c r="BV1649" s="314"/>
      <c r="BW1649" s="314"/>
      <c r="BX1649" s="155"/>
    </row>
    <row r="1650" spans="1:76" ht="15.75" customHeight="1">
      <c r="A1650" s="25"/>
      <c r="B1650" s="39"/>
      <c r="C1650" s="155"/>
      <c r="D1650" s="155"/>
      <c r="E1650" s="40"/>
      <c r="F1650" s="314"/>
      <c r="H1650" s="315"/>
      <c r="I1650" s="315"/>
      <c r="BA1650" s="30"/>
      <c r="BB1650" s="155"/>
      <c r="BC1650" s="314"/>
      <c r="BD1650" s="314"/>
      <c r="BE1650" s="314"/>
      <c r="BF1650" s="314"/>
      <c r="BG1650" s="314"/>
      <c r="BH1650" s="314"/>
      <c r="BI1650" s="314"/>
      <c r="BJ1650" s="314"/>
      <c r="BK1650" s="40"/>
      <c r="BL1650" s="40"/>
      <c r="BM1650" s="40"/>
      <c r="BN1650" s="40"/>
      <c r="BO1650" s="40"/>
      <c r="BP1650" s="155"/>
      <c r="BQ1650" s="314"/>
      <c r="BR1650" s="314"/>
      <c r="BS1650" s="314"/>
      <c r="BT1650" s="314"/>
      <c r="BU1650" s="314"/>
      <c r="BV1650" s="314"/>
      <c r="BW1650" s="314"/>
      <c r="BX1650" s="155"/>
    </row>
    <row r="1651" spans="1:76" ht="15.75" customHeight="1">
      <c r="A1651" s="25"/>
      <c r="B1651" s="39"/>
      <c r="C1651" s="155"/>
      <c r="D1651" s="155"/>
      <c r="E1651" s="40"/>
      <c r="F1651" s="314"/>
      <c r="H1651" s="315"/>
      <c r="I1651" s="315"/>
      <c r="BA1651" s="30"/>
      <c r="BB1651" s="155"/>
      <c r="BC1651" s="314"/>
      <c r="BD1651" s="314"/>
      <c r="BE1651" s="314"/>
      <c r="BF1651" s="314"/>
      <c r="BG1651" s="314"/>
      <c r="BH1651" s="314"/>
      <c r="BI1651" s="314"/>
      <c r="BJ1651" s="314"/>
      <c r="BK1651" s="40"/>
      <c r="BL1651" s="40"/>
      <c r="BM1651" s="40"/>
      <c r="BN1651" s="40"/>
      <c r="BO1651" s="40"/>
      <c r="BP1651" s="155"/>
      <c r="BQ1651" s="314"/>
      <c r="BR1651" s="314"/>
      <c r="BS1651" s="314"/>
      <c r="BT1651" s="314"/>
      <c r="BU1651" s="314"/>
      <c r="BV1651" s="314"/>
      <c r="BW1651" s="314"/>
      <c r="BX1651" s="155"/>
    </row>
    <row r="1652" spans="1:76" ht="15.75" customHeight="1">
      <c r="A1652" s="25"/>
      <c r="B1652" s="39"/>
      <c r="C1652" s="155"/>
      <c r="D1652" s="155"/>
      <c r="E1652" s="40"/>
      <c r="F1652" s="314"/>
      <c r="H1652" s="315"/>
      <c r="I1652" s="315"/>
      <c r="BA1652" s="30"/>
      <c r="BB1652" s="155"/>
      <c r="BC1652" s="314"/>
      <c r="BD1652" s="314"/>
      <c r="BE1652" s="314"/>
      <c r="BF1652" s="314"/>
      <c r="BG1652" s="314"/>
      <c r="BH1652" s="314"/>
      <c r="BI1652" s="314"/>
      <c r="BJ1652" s="314"/>
      <c r="BK1652" s="40"/>
      <c r="BL1652" s="40"/>
      <c r="BM1652" s="40"/>
      <c r="BN1652" s="40"/>
      <c r="BO1652" s="40"/>
      <c r="BP1652" s="155"/>
      <c r="BQ1652" s="314"/>
      <c r="BR1652" s="314"/>
      <c r="BS1652" s="314"/>
      <c r="BT1652" s="314"/>
      <c r="BU1652" s="314"/>
      <c r="BV1652" s="314"/>
      <c r="BW1652" s="314"/>
      <c r="BX1652" s="155"/>
    </row>
    <row r="1653" spans="1:76" ht="15.75" customHeight="1">
      <c r="A1653" s="25"/>
      <c r="B1653" s="39"/>
      <c r="C1653" s="155"/>
      <c r="D1653" s="155"/>
      <c r="E1653" s="40"/>
      <c r="F1653" s="314"/>
      <c r="H1653" s="315"/>
      <c r="I1653" s="315"/>
      <c r="BA1653" s="30"/>
      <c r="BB1653" s="155"/>
      <c r="BC1653" s="314"/>
      <c r="BD1653" s="314"/>
      <c r="BE1653" s="314"/>
      <c r="BF1653" s="314"/>
      <c r="BG1653" s="314"/>
      <c r="BH1653" s="314"/>
      <c r="BI1653" s="314"/>
      <c r="BJ1653" s="314"/>
      <c r="BK1653" s="40"/>
      <c r="BL1653" s="40"/>
      <c r="BM1653" s="40"/>
      <c r="BN1653" s="40"/>
      <c r="BO1653" s="40"/>
      <c r="BP1653" s="155"/>
      <c r="BQ1653" s="314"/>
      <c r="BR1653" s="314"/>
      <c r="BS1653" s="314"/>
      <c r="BT1653" s="314"/>
      <c r="BU1653" s="314"/>
      <c r="BV1653" s="314"/>
      <c r="BW1653" s="314"/>
      <c r="BX1653" s="155"/>
    </row>
    <row r="1654" spans="1:76" ht="15.75" customHeight="1">
      <c r="A1654" s="25"/>
      <c r="B1654" s="39"/>
      <c r="C1654" s="155"/>
      <c r="D1654" s="155"/>
      <c r="E1654" s="40"/>
      <c r="F1654" s="314"/>
      <c r="H1654" s="315"/>
      <c r="I1654" s="315"/>
      <c r="BA1654" s="30"/>
      <c r="BB1654" s="155"/>
      <c r="BC1654" s="314"/>
      <c r="BD1654" s="314"/>
      <c r="BE1654" s="314"/>
      <c r="BF1654" s="314"/>
      <c r="BG1654" s="314"/>
      <c r="BH1654" s="314"/>
      <c r="BI1654" s="314"/>
      <c r="BJ1654" s="314"/>
      <c r="BK1654" s="40"/>
      <c r="BL1654" s="40"/>
      <c r="BM1654" s="40"/>
      <c r="BN1654" s="40"/>
      <c r="BO1654" s="40"/>
      <c r="BP1654" s="155"/>
      <c r="BQ1654" s="314"/>
      <c r="BR1654" s="314"/>
      <c r="BS1654" s="314"/>
      <c r="BT1654" s="314"/>
      <c r="BU1654" s="314"/>
      <c r="BV1654" s="314"/>
      <c r="BW1654" s="314"/>
      <c r="BX1654" s="155"/>
    </row>
    <row r="1655" spans="1:76" ht="15.75" customHeight="1">
      <c r="A1655" s="25"/>
      <c r="B1655" s="39"/>
      <c r="C1655" s="155"/>
      <c r="D1655" s="155"/>
      <c r="E1655" s="40"/>
      <c r="F1655" s="314"/>
      <c r="H1655" s="315"/>
      <c r="I1655" s="315"/>
      <c r="BA1655" s="30"/>
      <c r="BB1655" s="155"/>
      <c r="BC1655" s="314"/>
      <c r="BD1655" s="314"/>
      <c r="BE1655" s="314"/>
      <c r="BF1655" s="314"/>
      <c r="BG1655" s="314"/>
      <c r="BH1655" s="314"/>
      <c r="BI1655" s="314"/>
      <c r="BJ1655" s="314"/>
      <c r="BK1655" s="40"/>
      <c r="BL1655" s="40"/>
      <c r="BM1655" s="40"/>
      <c r="BN1655" s="40"/>
      <c r="BO1655" s="40"/>
      <c r="BP1655" s="155"/>
      <c r="BQ1655" s="314"/>
      <c r="BR1655" s="314"/>
      <c r="BS1655" s="314"/>
      <c r="BT1655" s="314"/>
      <c r="BU1655" s="314"/>
      <c r="BV1655" s="314"/>
      <c r="BW1655" s="314"/>
      <c r="BX1655" s="155"/>
    </row>
    <row r="1656" spans="1:76" ht="15.75" customHeight="1">
      <c r="A1656" s="25"/>
      <c r="B1656" s="39"/>
      <c r="C1656" s="155"/>
      <c r="D1656" s="155"/>
      <c r="E1656" s="40"/>
      <c r="F1656" s="314"/>
      <c r="H1656" s="315"/>
      <c r="I1656" s="315"/>
      <c r="BA1656" s="30"/>
      <c r="BB1656" s="155"/>
      <c r="BC1656" s="314"/>
      <c r="BD1656" s="314"/>
      <c r="BE1656" s="314"/>
      <c r="BF1656" s="314"/>
      <c r="BG1656" s="314"/>
      <c r="BH1656" s="314"/>
      <c r="BI1656" s="314"/>
      <c r="BJ1656" s="314"/>
      <c r="BK1656" s="40"/>
      <c r="BL1656" s="40"/>
      <c r="BM1656" s="40"/>
      <c r="BN1656" s="40"/>
      <c r="BO1656" s="40"/>
      <c r="BP1656" s="155"/>
      <c r="BQ1656" s="314"/>
      <c r="BR1656" s="314"/>
      <c r="BS1656" s="314"/>
      <c r="BT1656" s="314"/>
      <c r="BU1656" s="314"/>
      <c r="BV1656" s="314"/>
      <c r="BW1656" s="314"/>
      <c r="BX1656" s="155"/>
    </row>
    <row r="1657" spans="1:76" ht="15.75" customHeight="1">
      <c r="A1657" s="25"/>
      <c r="B1657" s="39"/>
      <c r="C1657" s="155"/>
      <c r="D1657" s="155"/>
      <c r="E1657" s="40"/>
      <c r="F1657" s="314"/>
      <c r="H1657" s="315"/>
      <c r="I1657" s="315"/>
      <c r="BA1657" s="30"/>
      <c r="BB1657" s="155"/>
      <c r="BC1657" s="314"/>
      <c r="BD1657" s="314"/>
      <c r="BE1657" s="314"/>
      <c r="BF1657" s="314"/>
      <c r="BG1657" s="314"/>
      <c r="BH1657" s="314"/>
      <c r="BI1657" s="314"/>
      <c r="BJ1657" s="314"/>
      <c r="BK1657" s="40"/>
      <c r="BL1657" s="40"/>
      <c r="BM1657" s="40"/>
      <c r="BN1657" s="40"/>
      <c r="BO1657" s="40"/>
      <c r="BP1657" s="155"/>
      <c r="BQ1657" s="314"/>
      <c r="BR1657" s="314"/>
      <c r="BS1657" s="314"/>
      <c r="BT1657" s="314"/>
      <c r="BU1657" s="314"/>
      <c r="BV1657" s="314"/>
      <c r="BW1657" s="314"/>
      <c r="BX1657" s="155"/>
    </row>
    <row r="1658" spans="1:76" ht="15.75" customHeight="1">
      <c r="A1658" s="25"/>
      <c r="B1658" s="39"/>
      <c r="C1658" s="155"/>
      <c r="D1658" s="155"/>
      <c r="E1658" s="40"/>
      <c r="F1658" s="314"/>
      <c r="H1658" s="315"/>
      <c r="I1658" s="315"/>
      <c r="BA1658" s="30"/>
      <c r="BB1658" s="155"/>
      <c r="BC1658" s="314"/>
      <c r="BD1658" s="314"/>
      <c r="BE1658" s="314"/>
      <c r="BF1658" s="314"/>
      <c r="BG1658" s="314"/>
      <c r="BH1658" s="314"/>
      <c r="BI1658" s="314"/>
      <c r="BJ1658" s="314"/>
      <c r="BK1658" s="40"/>
      <c r="BL1658" s="40"/>
      <c r="BM1658" s="40"/>
      <c r="BN1658" s="40"/>
      <c r="BO1658" s="40"/>
      <c r="BP1658" s="155"/>
      <c r="BQ1658" s="314"/>
      <c r="BR1658" s="314"/>
      <c r="BS1658" s="314"/>
      <c r="BT1658" s="314"/>
      <c r="BU1658" s="314"/>
      <c r="BV1658" s="314"/>
      <c r="BW1658" s="314"/>
      <c r="BX1658" s="155"/>
    </row>
    <row r="1659" spans="1:76" ht="15.75" customHeight="1">
      <c r="A1659" s="25"/>
      <c r="B1659" s="39"/>
      <c r="C1659" s="155"/>
      <c r="D1659" s="155"/>
      <c r="E1659" s="40"/>
      <c r="F1659" s="314"/>
      <c r="H1659" s="315"/>
      <c r="I1659" s="315"/>
      <c r="BA1659" s="30"/>
      <c r="BB1659" s="155"/>
      <c r="BC1659" s="314"/>
      <c r="BD1659" s="314"/>
      <c r="BE1659" s="314"/>
      <c r="BF1659" s="314"/>
      <c r="BG1659" s="314"/>
      <c r="BH1659" s="314"/>
      <c r="BI1659" s="314"/>
      <c r="BJ1659" s="314"/>
      <c r="BK1659" s="40"/>
      <c r="BL1659" s="40"/>
      <c r="BM1659" s="40"/>
      <c r="BN1659" s="40"/>
      <c r="BO1659" s="40"/>
      <c r="BP1659" s="155"/>
      <c r="BQ1659" s="314"/>
      <c r="BR1659" s="314"/>
      <c r="BS1659" s="314"/>
      <c r="BT1659" s="314"/>
      <c r="BU1659" s="314"/>
      <c r="BV1659" s="314"/>
      <c r="BW1659" s="314"/>
      <c r="BX1659" s="155"/>
    </row>
    <row r="1660" spans="1:76" ht="15.75" customHeight="1">
      <c r="A1660" s="25"/>
      <c r="B1660" s="39"/>
      <c r="C1660" s="155"/>
      <c r="D1660" s="155"/>
      <c r="E1660" s="40"/>
      <c r="F1660" s="314"/>
      <c r="H1660" s="315"/>
      <c r="I1660" s="315"/>
      <c r="BA1660" s="30"/>
      <c r="BB1660" s="155"/>
      <c r="BC1660" s="314"/>
      <c r="BD1660" s="314"/>
      <c r="BE1660" s="314"/>
      <c r="BF1660" s="314"/>
      <c r="BG1660" s="314"/>
      <c r="BH1660" s="314"/>
      <c r="BI1660" s="314"/>
      <c r="BJ1660" s="314"/>
      <c r="BK1660" s="40"/>
      <c r="BL1660" s="40"/>
      <c r="BM1660" s="40"/>
      <c r="BN1660" s="40"/>
      <c r="BO1660" s="40"/>
      <c r="BP1660" s="155"/>
      <c r="BQ1660" s="314"/>
      <c r="BR1660" s="314"/>
      <c r="BS1660" s="314"/>
      <c r="BT1660" s="314"/>
      <c r="BU1660" s="314"/>
      <c r="BV1660" s="314"/>
      <c r="BW1660" s="314"/>
      <c r="BX1660" s="155"/>
    </row>
    <row r="1661" spans="1:76" ht="15.75" customHeight="1">
      <c r="A1661" s="25"/>
      <c r="B1661" s="39"/>
      <c r="C1661" s="155"/>
      <c r="D1661" s="155"/>
      <c r="E1661" s="40"/>
      <c r="F1661" s="314"/>
      <c r="H1661" s="315"/>
      <c r="I1661" s="315"/>
      <c r="BA1661" s="30"/>
      <c r="BB1661" s="155"/>
      <c r="BC1661" s="314"/>
      <c r="BD1661" s="314"/>
      <c r="BE1661" s="314"/>
      <c r="BF1661" s="314"/>
      <c r="BG1661" s="314"/>
      <c r="BH1661" s="314"/>
      <c r="BI1661" s="314"/>
      <c r="BJ1661" s="314"/>
      <c r="BK1661" s="40"/>
      <c r="BL1661" s="40"/>
      <c r="BM1661" s="40"/>
      <c r="BN1661" s="40"/>
      <c r="BO1661" s="40"/>
      <c r="BP1661" s="155"/>
      <c r="BQ1661" s="314"/>
      <c r="BR1661" s="314"/>
      <c r="BS1661" s="314"/>
      <c r="BT1661" s="314"/>
      <c r="BU1661" s="314"/>
      <c r="BV1661" s="314"/>
      <c r="BW1661" s="314"/>
      <c r="BX1661" s="155"/>
    </row>
    <row r="1662" spans="1:76" ht="15.75" customHeight="1">
      <c r="A1662" s="25"/>
      <c r="B1662" s="39"/>
      <c r="C1662" s="155"/>
      <c r="D1662" s="155"/>
      <c r="E1662" s="40"/>
      <c r="F1662" s="314"/>
      <c r="H1662" s="315"/>
      <c r="I1662" s="315"/>
      <c r="BA1662" s="30"/>
      <c r="BB1662" s="155"/>
      <c r="BC1662" s="314"/>
      <c r="BD1662" s="314"/>
      <c r="BE1662" s="314"/>
      <c r="BF1662" s="314"/>
      <c r="BG1662" s="314"/>
      <c r="BH1662" s="314"/>
      <c r="BI1662" s="314"/>
      <c r="BJ1662" s="314"/>
      <c r="BK1662" s="40"/>
      <c r="BL1662" s="40"/>
      <c r="BM1662" s="40"/>
      <c r="BN1662" s="40"/>
      <c r="BO1662" s="40"/>
      <c r="BP1662" s="155"/>
      <c r="BQ1662" s="314"/>
      <c r="BR1662" s="314"/>
      <c r="BS1662" s="314"/>
      <c r="BT1662" s="314"/>
      <c r="BU1662" s="314"/>
      <c r="BV1662" s="314"/>
      <c r="BW1662" s="314"/>
      <c r="BX1662" s="155"/>
    </row>
    <row r="1663" spans="1:76" ht="15.75" customHeight="1">
      <c r="A1663" s="25"/>
      <c r="B1663" s="39"/>
      <c r="C1663" s="155"/>
      <c r="D1663" s="155"/>
      <c r="E1663" s="40"/>
      <c r="F1663" s="314"/>
      <c r="H1663" s="315"/>
      <c r="I1663" s="315"/>
      <c r="BA1663" s="30"/>
      <c r="BB1663" s="155"/>
      <c r="BC1663" s="314"/>
      <c r="BD1663" s="314"/>
      <c r="BE1663" s="314"/>
      <c r="BF1663" s="314"/>
      <c r="BG1663" s="314"/>
      <c r="BH1663" s="314"/>
      <c r="BI1663" s="314"/>
      <c r="BJ1663" s="314"/>
      <c r="BK1663" s="40"/>
      <c r="BL1663" s="40"/>
      <c r="BM1663" s="40"/>
      <c r="BN1663" s="40"/>
      <c r="BO1663" s="40"/>
      <c r="BP1663" s="155"/>
      <c r="BQ1663" s="314"/>
      <c r="BR1663" s="314"/>
      <c r="BS1663" s="314"/>
      <c r="BT1663" s="314"/>
      <c r="BU1663" s="314"/>
      <c r="BV1663" s="314"/>
      <c r="BW1663" s="314"/>
      <c r="BX1663" s="155"/>
    </row>
    <row r="1664" spans="1:76" ht="15.75" customHeight="1">
      <c r="A1664" s="25"/>
      <c r="B1664" s="39"/>
      <c r="C1664" s="155"/>
      <c r="D1664" s="155"/>
      <c r="E1664" s="40"/>
      <c r="F1664" s="314"/>
      <c r="H1664" s="315"/>
      <c r="I1664" s="315"/>
      <c r="BA1664" s="30"/>
      <c r="BB1664" s="155"/>
      <c r="BC1664" s="322"/>
      <c r="BD1664" s="322"/>
      <c r="BE1664" s="322"/>
      <c r="BF1664" s="322"/>
      <c r="BG1664" s="322"/>
      <c r="BH1664" s="322"/>
      <c r="BI1664" s="322"/>
      <c r="BJ1664" s="322"/>
      <c r="BK1664" s="341"/>
      <c r="BL1664" s="40"/>
      <c r="BM1664" s="40"/>
      <c r="BN1664" s="40"/>
      <c r="BO1664" s="40"/>
      <c r="BP1664" s="155"/>
      <c r="BQ1664" s="314"/>
      <c r="BR1664" s="314"/>
      <c r="BS1664" s="314"/>
      <c r="BT1664" s="314"/>
      <c r="BU1664" s="314"/>
      <c r="BV1664" s="314"/>
      <c r="BW1664" s="314"/>
      <c r="BX1664" s="155"/>
    </row>
    <row r="1665" spans="1:76" ht="15.75" customHeight="1">
      <c r="A1665" s="25"/>
      <c r="B1665" s="39"/>
      <c r="C1665" s="155"/>
      <c r="D1665" s="155"/>
      <c r="E1665" s="40"/>
      <c r="F1665" s="314"/>
      <c r="H1665" s="315"/>
      <c r="I1665" s="315"/>
      <c r="BA1665" s="30"/>
      <c r="BB1665" s="155"/>
      <c r="BC1665" s="314"/>
      <c r="BD1665" s="314"/>
      <c r="BE1665" s="314"/>
      <c r="BF1665" s="314"/>
      <c r="BG1665" s="314"/>
      <c r="BH1665" s="314"/>
      <c r="BI1665" s="314"/>
      <c r="BJ1665" s="314"/>
      <c r="BK1665" s="40"/>
      <c r="BL1665" s="40"/>
      <c r="BM1665" s="40"/>
      <c r="BN1665" s="40"/>
      <c r="BO1665" s="40"/>
      <c r="BP1665" s="155"/>
      <c r="BQ1665" s="314"/>
      <c r="BR1665" s="314"/>
      <c r="BS1665" s="314"/>
      <c r="BT1665" s="314"/>
      <c r="BU1665" s="314"/>
      <c r="BV1665" s="314"/>
      <c r="BW1665" s="314"/>
      <c r="BX1665" s="155"/>
    </row>
    <row r="1666" spans="1:76" ht="15.75" customHeight="1">
      <c r="A1666" s="25"/>
      <c r="B1666" s="39"/>
      <c r="C1666" s="155"/>
      <c r="D1666" s="155"/>
      <c r="E1666" s="40"/>
      <c r="F1666" s="314"/>
      <c r="H1666" s="315"/>
      <c r="I1666" s="315"/>
      <c r="BA1666" s="30"/>
      <c r="BB1666" s="155"/>
      <c r="BC1666" s="314"/>
      <c r="BD1666" s="314"/>
      <c r="BE1666" s="314"/>
      <c r="BF1666" s="314"/>
      <c r="BG1666" s="314"/>
      <c r="BH1666" s="314"/>
      <c r="BI1666" s="314"/>
      <c r="BJ1666" s="314"/>
      <c r="BK1666" s="40"/>
      <c r="BL1666" s="40"/>
      <c r="BM1666" s="40"/>
      <c r="BN1666" s="40"/>
      <c r="BO1666" s="40"/>
      <c r="BP1666" s="155"/>
      <c r="BQ1666" s="314"/>
      <c r="BR1666" s="314"/>
      <c r="BS1666" s="314"/>
      <c r="BT1666" s="314"/>
      <c r="BU1666" s="314"/>
      <c r="BV1666" s="314"/>
      <c r="BW1666" s="314"/>
      <c r="BX1666" s="155"/>
    </row>
    <row r="1667" spans="1:76" ht="15.75" customHeight="1">
      <c r="A1667" s="25"/>
      <c r="B1667" s="39"/>
      <c r="C1667" s="155"/>
      <c r="D1667" s="155"/>
      <c r="E1667" s="40"/>
      <c r="F1667" s="314"/>
      <c r="H1667" s="315"/>
      <c r="I1667" s="315"/>
      <c r="BA1667" s="30"/>
      <c r="BB1667" s="155"/>
      <c r="BC1667" s="314"/>
      <c r="BD1667" s="314"/>
      <c r="BE1667" s="314"/>
      <c r="BF1667" s="314"/>
      <c r="BG1667" s="314"/>
      <c r="BH1667" s="314"/>
      <c r="BI1667" s="314"/>
      <c r="BJ1667" s="314"/>
      <c r="BK1667" s="40"/>
      <c r="BL1667" s="40"/>
      <c r="BM1667" s="40"/>
      <c r="BN1667" s="40"/>
      <c r="BO1667" s="40"/>
      <c r="BP1667" s="155"/>
      <c r="BQ1667" s="314"/>
      <c r="BR1667" s="314"/>
      <c r="BS1667" s="314"/>
      <c r="BT1667" s="314"/>
      <c r="BU1667" s="314"/>
      <c r="BV1667" s="314"/>
      <c r="BW1667" s="314"/>
      <c r="BX1667" s="155"/>
    </row>
    <row r="1668" spans="1:76" ht="15.75" customHeight="1">
      <c r="A1668" s="25"/>
      <c r="B1668" s="39"/>
      <c r="C1668" s="155"/>
      <c r="D1668" s="155"/>
      <c r="E1668" s="40"/>
      <c r="F1668" s="314"/>
      <c r="H1668" s="315"/>
      <c r="I1668" s="315"/>
      <c r="BA1668" s="30"/>
      <c r="BB1668" s="155"/>
      <c r="BC1668" s="314"/>
      <c r="BD1668" s="314"/>
      <c r="BE1668" s="314"/>
      <c r="BF1668" s="314"/>
      <c r="BG1668" s="314"/>
      <c r="BH1668" s="314"/>
      <c r="BI1668" s="314"/>
      <c r="BJ1668" s="314"/>
      <c r="BK1668" s="40"/>
      <c r="BL1668" s="40"/>
      <c r="BM1668" s="40"/>
      <c r="BN1668" s="40"/>
      <c r="BO1668" s="40"/>
      <c r="BP1668" s="155"/>
      <c r="BQ1668" s="314"/>
      <c r="BR1668" s="314"/>
      <c r="BS1668" s="314"/>
      <c r="BT1668" s="314"/>
      <c r="BU1668" s="314"/>
      <c r="BV1668" s="314"/>
      <c r="BW1668" s="314"/>
      <c r="BX1668" s="155"/>
    </row>
    <row r="1669" spans="1:76" ht="15.75" customHeight="1">
      <c r="A1669" s="25"/>
      <c r="B1669" s="39"/>
      <c r="C1669" s="155"/>
      <c r="D1669" s="155"/>
      <c r="E1669" s="40"/>
      <c r="F1669" s="314"/>
      <c r="H1669" s="315"/>
      <c r="I1669" s="315"/>
      <c r="BA1669" s="30"/>
      <c r="BB1669" s="155"/>
      <c r="BC1669" s="314"/>
      <c r="BD1669" s="314"/>
      <c r="BE1669" s="314"/>
      <c r="BF1669" s="314"/>
      <c r="BG1669" s="314"/>
      <c r="BH1669" s="314"/>
      <c r="BI1669" s="314"/>
      <c r="BJ1669" s="314"/>
      <c r="BK1669" s="40"/>
      <c r="BL1669" s="40"/>
      <c r="BM1669" s="40"/>
      <c r="BN1669" s="40"/>
      <c r="BO1669" s="40"/>
      <c r="BP1669" s="155"/>
      <c r="BQ1669" s="314"/>
      <c r="BR1669" s="314"/>
      <c r="BS1669" s="314"/>
      <c r="BT1669" s="314"/>
      <c r="BU1669" s="314"/>
      <c r="BV1669" s="314"/>
      <c r="BW1669" s="314"/>
      <c r="BX1669" s="155"/>
    </row>
    <row r="1670" spans="1:76" ht="15.75" customHeight="1">
      <c r="A1670" s="25"/>
      <c r="B1670" s="39"/>
      <c r="C1670" s="155"/>
      <c r="D1670" s="155"/>
      <c r="E1670" s="40"/>
      <c r="F1670" s="314"/>
      <c r="H1670" s="315"/>
      <c r="I1670" s="315"/>
      <c r="BA1670" s="30"/>
      <c r="BB1670" s="155"/>
      <c r="BC1670" s="314"/>
      <c r="BD1670" s="314"/>
      <c r="BE1670" s="314"/>
      <c r="BF1670" s="314"/>
      <c r="BG1670" s="314"/>
      <c r="BH1670" s="314"/>
      <c r="BI1670" s="314"/>
      <c r="BJ1670" s="314"/>
      <c r="BK1670" s="40"/>
      <c r="BL1670" s="40"/>
      <c r="BM1670" s="40"/>
      <c r="BN1670" s="40"/>
      <c r="BO1670" s="40"/>
      <c r="BP1670" s="155"/>
      <c r="BQ1670" s="314"/>
      <c r="BR1670" s="314"/>
      <c r="BS1670" s="314"/>
      <c r="BT1670" s="314"/>
      <c r="BU1670" s="314"/>
      <c r="BV1670" s="314"/>
      <c r="BW1670" s="314"/>
      <c r="BX1670" s="155"/>
    </row>
    <row r="1671" spans="1:76" ht="15.75" customHeight="1">
      <c r="A1671" s="25"/>
      <c r="B1671" s="39"/>
      <c r="C1671" s="155"/>
      <c r="D1671" s="155"/>
      <c r="E1671" s="40"/>
      <c r="F1671" s="314"/>
      <c r="H1671" s="315"/>
      <c r="I1671" s="315"/>
      <c r="BA1671" s="30"/>
      <c r="BB1671" s="155"/>
      <c r="BC1671" s="314"/>
      <c r="BD1671" s="314"/>
      <c r="BE1671" s="314"/>
      <c r="BF1671" s="314"/>
      <c r="BG1671" s="314"/>
      <c r="BH1671" s="314"/>
      <c r="BI1671" s="314"/>
      <c r="BJ1671" s="314"/>
      <c r="BK1671" s="40"/>
      <c r="BL1671" s="40"/>
      <c r="BM1671" s="40"/>
      <c r="BN1671" s="40"/>
      <c r="BO1671" s="40"/>
      <c r="BP1671" s="155"/>
      <c r="BQ1671" s="314"/>
      <c r="BR1671" s="314"/>
      <c r="BS1671" s="314"/>
      <c r="BT1671" s="314"/>
      <c r="BU1671" s="314"/>
      <c r="BV1671" s="314"/>
      <c r="BW1671" s="314"/>
      <c r="BX1671" s="155"/>
    </row>
    <row r="1672" spans="1:76" ht="15.75" customHeight="1">
      <c r="A1672" s="25"/>
      <c r="B1672" s="39"/>
      <c r="C1672" s="155"/>
      <c r="D1672" s="155"/>
      <c r="E1672" s="40"/>
      <c r="F1672" s="314"/>
      <c r="H1672" s="315"/>
      <c r="I1672" s="315"/>
      <c r="BA1672" s="30"/>
      <c r="BB1672" s="155"/>
      <c r="BC1672" s="314"/>
      <c r="BD1672" s="314"/>
      <c r="BE1672" s="314"/>
      <c r="BF1672" s="314"/>
      <c r="BG1672" s="314"/>
      <c r="BH1672" s="314"/>
      <c r="BI1672" s="314"/>
      <c r="BJ1672" s="314"/>
      <c r="BK1672" s="40"/>
      <c r="BL1672" s="40"/>
      <c r="BM1672" s="40"/>
      <c r="BN1672" s="40"/>
      <c r="BO1672" s="40"/>
      <c r="BP1672" s="155"/>
      <c r="BQ1672" s="314"/>
      <c r="BR1672" s="314"/>
      <c r="BS1672" s="314"/>
      <c r="BT1672" s="314"/>
      <c r="BU1672" s="314"/>
      <c r="BV1672" s="314"/>
      <c r="BW1672" s="314"/>
      <c r="BX1672" s="155"/>
    </row>
    <row r="1673" spans="1:76" ht="15.75" customHeight="1">
      <c r="A1673" s="25"/>
      <c r="B1673" s="39"/>
      <c r="C1673" s="155"/>
      <c r="D1673" s="155"/>
      <c r="E1673" s="40"/>
      <c r="F1673" s="314"/>
      <c r="H1673" s="315"/>
      <c r="I1673" s="315"/>
      <c r="BA1673" s="30"/>
      <c r="BB1673" s="155"/>
      <c r="BC1673" s="314"/>
      <c r="BD1673" s="314"/>
      <c r="BE1673" s="314"/>
      <c r="BF1673" s="314"/>
      <c r="BG1673" s="314"/>
      <c r="BH1673" s="314"/>
      <c r="BI1673" s="314"/>
      <c r="BJ1673" s="314"/>
      <c r="BK1673" s="40"/>
      <c r="BL1673" s="40"/>
      <c r="BM1673" s="40"/>
      <c r="BN1673" s="40"/>
      <c r="BO1673" s="40"/>
      <c r="BP1673" s="155"/>
      <c r="BQ1673" s="314"/>
      <c r="BR1673" s="314"/>
      <c r="BS1673" s="314"/>
      <c r="BT1673" s="314"/>
      <c r="BU1673" s="314"/>
      <c r="BV1673" s="314"/>
      <c r="BW1673" s="314"/>
      <c r="BX1673" s="155"/>
    </row>
    <row r="1674" spans="1:76" ht="15.75" customHeight="1">
      <c r="A1674" s="25"/>
      <c r="B1674" s="39"/>
      <c r="C1674" s="155"/>
      <c r="D1674" s="155"/>
      <c r="E1674" s="40"/>
      <c r="F1674" s="314"/>
      <c r="H1674" s="315"/>
      <c r="I1674" s="315"/>
      <c r="BA1674" s="30"/>
      <c r="BB1674" s="155"/>
      <c r="BC1674" s="314"/>
      <c r="BD1674" s="314"/>
      <c r="BE1674" s="314"/>
      <c r="BF1674" s="314"/>
      <c r="BG1674" s="314"/>
      <c r="BH1674" s="314"/>
      <c r="BI1674" s="314"/>
      <c r="BJ1674" s="314"/>
      <c r="BK1674" s="40"/>
      <c r="BL1674" s="40"/>
      <c r="BM1674" s="40"/>
      <c r="BN1674" s="40"/>
      <c r="BO1674" s="40"/>
      <c r="BP1674" s="155"/>
      <c r="BQ1674" s="314"/>
      <c r="BR1674" s="314"/>
      <c r="BS1674" s="314"/>
      <c r="BT1674" s="314"/>
      <c r="BU1674" s="314"/>
      <c r="BV1674" s="314"/>
      <c r="BW1674" s="314"/>
      <c r="BX1674" s="155"/>
    </row>
    <row r="1675" spans="1:76" ht="15.75" customHeight="1">
      <c r="A1675" s="25"/>
      <c r="B1675" s="39"/>
      <c r="C1675" s="155"/>
      <c r="D1675" s="155"/>
      <c r="E1675" s="40"/>
      <c r="F1675" s="314"/>
      <c r="H1675" s="315"/>
      <c r="I1675" s="315"/>
      <c r="BA1675" s="30"/>
      <c r="BB1675" s="155"/>
      <c r="BC1675" s="314"/>
      <c r="BD1675" s="314"/>
      <c r="BE1675" s="314"/>
      <c r="BF1675" s="314"/>
      <c r="BG1675" s="314"/>
      <c r="BH1675" s="314"/>
      <c r="BI1675" s="314"/>
      <c r="BJ1675" s="314"/>
      <c r="BK1675" s="40"/>
      <c r="BL1675" s="40"/>
      <c r="BM1675" s="40"/>
      <c r="BN1675" s="40"/>
      <c r="BO1675" s="40"/>
      <c r="BP1675" s="155"/>
      <c r="BQ1675" s="314"/>
      <c r="BR1675" s="314"/>
      <c r="BS1675" s="314"/>
      <c r="BT1675" s="314"/>
      <c r="BU1675" s="314"/>
      <c r="BV1675" s="314"/>
      <c r="BW1675" s="314"/>
      <c r="BX1675" s="155"/>
    </row>
    <row r="1676" spans="1:76" ht="15.75" customHeight="1">
      <c r="A1676" s="25"/>
      <c r="B1676" s="39"/>
      <c r="C1676" s="155"/>
      <c r="D1676" s="155"/>
      <c r="E1676" s="40"/>
      <c r="F1676" s="314"/>
      <c r="H1676" s="315"/>
      <c r="I1676" s="315"/>
      <c r="BA1676" s="30"/>
      <c r="BB1676" s="155"/>
      <c r="BC1676" s="314"/>
      <c r="BD1676" s="314"/>
      <c r="BE1676" s="314"/>
      <c r="BF1676" s="314"/>
      <c r="BG1676" s="314"/>
      <c r="BH1676" s="314"/>
      <c r="BI1676" s="314"/>
      <c r="BJ1676" s="314"/>
      <c r="BK1676" s="40"/>
      <c r="BL1676" s="40"/>
      <c r="BM1676" s="40"/>
      <c r="BN1676" s="40"/>
      <c r="BO1676" s="40"/>
      <c r="BP1676" s="155"/>
      <c r="BQ1676" s="314"/>
      <c r="BR1676" s="314"/>
      <c r="BS1676" s="314"/>
      <c r="BT1676" s="314"/>
      <c r="BU1676" s="314"/>
      <c r="BV1676" s="314"/>
      <c r="BW1676" s="314"/>
      <c r="BX1676" s="155"/>
    </row>
    <row r="1677" spans="1:76" ht="15.75" customHeight="1">
      <c r="A1677" s="25"/>
      <c r="B1677" s="39"/>
      <c r="C1677" s="155"/>
      <c r="D1677" s="155"/>
      <c r="E1677" s="40"/>
      <c r="F1677" s="314"/>
      <c r="H1677" s="315"/>
      <c r="I1677" s="315"/>
      <c r="BA1677" s="30"/>
      <c r="BB1677" s="155"/>
      <c r="BC1677" s="314"/>
      <c r="BD1677" s="314"/>
      <c r="BE1677" s="314"/>
      <c r="BF1677" s="314"/>
      <c r="BG1677" s="314"/>
      <c r="BH1677" s="314"/>
      <c r="BI1677" s="314"/>
      <c r="BJ1677" s="314"/>
      <c r="BK1677" s="40"/>
      <c r="BL1677" s="40"/>
      <c r="BM1677" s="40"/>
      <c r="BN1677" s="40"/>
      <c r="BO1677" s="40"/>
      <c r="BP1677" s="155"/>
      <c r="BQ1677" s="314"/>
      <c r="BR1677" s="314"/>
      <c r="BS1677" s="314"/>
      <c r="BT1677" s="314"/>
      <c r="BU1677" s="314"/>
      <c r="BV1677" s="314"/>
      <c r="BW1677" s="314"/>
      <c r="BX1677" s="155"/>
    </row>
    <row r="1678" spans="1:76" ht="15.75" customHeight="1">
      <c r="A1678" s="25"/>
      <c r="B1678" s="39"/>
      <c r="C1678" s="155"/>
      <c r="D1678" s="155"/>
      <c r="E1678" s="40"/>
      <c r="F1678" s="314"/>
      <c r="H1678" s="315"/>
      <c r="I1678" s="315"/>
      <c r="BA1678" s="30"/>
      <c r="BB1678" s="155"/>
      <c r="BC1678" s="314"/>
      <c r="BD1678" s="314"/>
      <c r="BE1678" s="314"/>
      <c r="BF1678" s="314"/>
      <c r="BG1678" s="314"/>
      <c r="BH1678" s="314"/>
      <c r="BI1678" s="314"/>
      <c r="BJ1678" s="314"/>
      <c r="BK1678" s="40"/>
      <c r="BL1678" s="40"/>
      <c r="BM1678" s="40"/>
      <c r="BN1678" s="40"/>
      <c r="BO1678" s="40"/>
      <c r="BP1678" s="155"/>
      <c r="BQ1678" s="314"/>
      <c r="BR1678" s="314"/>
      <c r="BS1678" s="314"/>
      <c r="BT1678" s="314"/>
      <c r="BU1678" s="314"/>
      <c r="BV1678" s="314"/>
      <c r="BW1678" s="314"/>
      <c r="BX1678" s="155"/>
    </row>
    <row r="1679" spans="1:76" ht="15.75" customHeight="1">
      <c r="A1679" s="25"/>
      <c r="B1679" s="39"/>
      <c r="C1679" s="155"/>
      <c r="D1679" s="155"/>
      <c r="E1679" s="40"/>
      <c r="F1679" s="314"/>
      <c r="H1679" s="315"/>
      <c r="I1679" s="315"/>
      <c r="BA1679" s="30"/>
      <c r="BB1679" s="155"/>
      <c r="BC1679" s="314"/>
      <c r="BD1679" s="314"/>
      <c r="BE1679" s="314"/>
      <c r="BF1679" s="314"/>
      <c r="BG1679" s="314"/>
      <c r="BH1679" s="314"/>
      <c r="BI1679" s="314"/>
      <c r="BJ1679" s="314"/>
      <c r="BK1679" s="40"/>
      <c r="BL1679" s="40"/>
      <c r="BM1679" s="40"/>
      <c r="BN1679" s="40"/>
      <c r="BO1679" s="40"/>
      <c r="BP1679" s="155"/>
      <c r="BQ1679" s="314"/>
      <c r="BR1679" s="314"/>
      <c r="BS1679" s="314"/>
      <c r="BT1679" s="314"/>
      <c r="BU1679" s="314"/>
      <c r="BV1679" s="314"/>
      <c r="BW1679" s="314"/>
      <c r="BX1679" s="155"/>
    </row>
    <row r="1680" spans="1:76" ht="15.75" customHeight="1">
      <c r="A1680" s="25"/>
      <c r="B1680" s="39"/>
      <c r="C1680" s="155"/>
      <c r="D1680" s="155"/>
      <c r="E1680" s="40"/>
      <c r="F1680" s="314"/>
      <c r="H1680" s="315"/>
      <c r="I1680" s="315"/>
      <c r="BA1680" s="30"/>
      <c r="BB1680" s="155"/>
      <c r="BC1680" s="314"/>
      <c r="BD1680" s="314"/>
      <c r="BE1680" s="314"/>
      <c r="BF1680" s="314"/>
      <c r="BG1680" s="314"/>
      <c r="BH1680" s="314"/>
      <c r="BI1680" s="314"/>
      <c r="BJ1680" s="314"/>
      <c r="BK1680" s="40"/>
      <c r="BL1680" s="40"/>
      <c r="BM1680" s="40"/>
      <c r="BN1680" s="40"/>
      <c r="BO1680" s="40"/>
      <c r="BP1680" s="155"/>
      <c r="BQ1680" s="314"/>
      <c r="BR1680" s="314"/>
      <c r="BS1680" s="314"/>
      <c r="BT1680" s="314"/>
      <c r="BU1680" s="314"/>
      <c r="BV1680" s="314"/>
      <c r="BW1680" s="314"/>
      <c r="BX1680" s="155"/>
    </row>
    <row r="1681" spans="1:76" ht="15.75" customHeight="1">
      <c r="A1681" s="25"/>
      <c r="B1681" s="39"/>
      <c r="C1681" s="155"/>
      <c r="D1681" s="155"/>
      <c r="E1681" s="40"/>
      <c r="F1681" s="314"/>
      <c r="H1681" s="315"/>
      <c r="I1681" s="315"/>
      <c r="BA1681" s="30"/>
      <c r="BB1681" s="155"/>
      <c r="BC1681" s="314"/>
      <c r="BD1681" s="314"/>
      <c r="BE1681" s="314"/>
      <c r="BF1681" s="314"/>
      <c r="BG1681" s="314"/>
      <c r="BH1681" s="314"/>
      <c r="BI1681" s="314"/>
      <c r="BJ1681" s="314"/>
      <c r="BK1681" s="40"/>
      <c r="BL1681" s="40"/>
      <c r="BM1681" s="40"/>
      <c r="BN1681" s="40"/>
      <c r="BO1681" s="40"/>
      <c r="BP1681" s="155"/>
      <c r="BQ1681" s="314"/>
      <c r="BR1681" s="314"/>
      <c r="BS1681" s="314"/>
      <c r="BT1681" s="314"/>
      <c r="BU1681" s="314"/>
      <c r="BV1681" s="314"/>
      <c r="BW1681" s="314"/>
      <c r="BX1681" s="155"/>
    </row>
    <row r="1682" spans="1:76" ht="15.75" customHeight="1">
      <c r="A1682" s="25"/>
      <c r="B1682" s="39"/>
      <c r="C1682" s="155"/>
      <c r="D1682" s="155"/>
      <c r="E1682" s="40"/>
      <c r="F1682" s="314"/>
      <c r="H1682" s="315"/>
      <c r="I1682" s="315"/>
      <c r="BA1682" s="30"/>
      <c r="BB1682" s="155"/>
      <c r="BC1682" s="314"/>
      <c r="BD1682" s="314"/>
      <c r="BE1682" s="314"/>
      <c r="BF1682" s="314"/>
      <c r="BG1682" s="314"/>
      <c r="BH1682" s="314"/>
      <c r="BI1682" s="314"/>
      <c r="BJ1682" s="314"/>
      <c r="BK1682" s="40"/>
      <c r="BL1682" s="40"/>
      <c r="BM1682" s="40"/>
      <c r="BN1682" s="40"/>
      <c r="BO1682" s="40"/>
      <c r="BP1682" s="155"/>
      <c r="BQ1682" s="314"/>
      <c r="BR1682" s="314"/>
      <c r="BS1682" s="314"/>
      <c r="BT1682" s="314"/>
      <c r="BU1682" s="314"/>
      <c r="BV1682" s="314"/>
      <c r="BW1682" s="314"/>
      <c r="BX1682" s="155"/>
    </row>
    <row r="1683" spans="1:76" ht="15.75" customHeight="1">
      <c r="A1683" s="25"/>
      <c r="B1683" s="39"/>
      <c r="C1683" s="155"/>
      <c r="D1683" s="155"/>
      <c r="E1683" s="40"/>
      <c r="F1683" s="314"/>
      <c r="H1683" s="315"/>
      <c r="I1683" s="315"/>
      <c r="BA1683" s="30"/>
      <c r="BB1683" s="155"/>
      <c r="BC1683" s="314"/>
      <c r="BD1683" s="314"/>
      <c r="BE1683" s="314"/>
      <c r="BF1683" s="314"/>
      <c r="BG1683" s="314"/>
      <c r="BH1683" s="314"/>
      <c r="BI1683" s="314"/>
      <c r="BJ1683" s="314"/>
      <c r="BK1683" s="40"/>
      <c r="BL1683" s="40"/>
      <c r="BM1683" s="40"/>
      <c r="BN1683" s="40"/>
      <c r="BO1683" s="40"/>
      <c r="BP1683" s="155"/>
      <c r="BQ1683" s="314"/>
      <c r="BR1683" s="314"/>
      <c r="BS1683" s="314"/>
      <c r="BT1683" s="314"/>
      <c r="BU1683" s="314"/>
      <c r="BV1683" s="314"/>
      <c r="BW1683" s="314"/>
      <c r="BX1683" s="155"/>
    </row>
    <row r="1684" spans="1:76" ht="15.75" customHeight="1">
      <c r="A1684" s="25"/>
      <c r="B1684" s="39"/>
      <c r="C1684" s="155"/>
      <c r="D1684" s="155"/>
      <c r="E1684" s="40"/>
      <c r="F1684" s="314"/>
      <c r="H1684" s="315"/>
      <c r="I1684" s="315"/>
      <c r="BA1684" s="30"/>
      <c r="BB1684" s="155"/>
      <c r="BC1684" s="314"/>
      <c r="BD1684" s="314"/>
      <c r="BE1684" s="314"/>
      <c r="BF1684" s="314"/>
      <c r="BG1684" s="314"/>
      <c r="BH1684" s="314"/>
      <c r="BI1684" s="314"/>
      <c r="BJ1684" s="314"/>
      <c r="BK1684" s="40"/>
      <c r="BL1684" s="40"/>
      <c r="BM1684" s="40"/>
      <c r="BN1684" s="40"/>
      <c r="BO1684" s="40"/>
      <c r="BP1684" s="155"/>
      <c r="BQ1684" s="314"/>
      <c r="BR1684" s="314"/>
      <c r="BS1684" s="314"/>
      <c r="BT1684" s="314"/>
      <c r="BU1684" s="314"/>
      <c r="BV1684" s="314"/>
      <c r="BW1684" s="314"/>
      <c r="BX1684" s="155"/>
    </row>
    <row r="1685" spans="1:76" ht="15.75" customHeight="1">
      <c r="A1685" s="25"/>
      <c r="B1685" s="39"/>
      <c r="C1685" s="155"/>
      <c r="D1685" s="155"/>
      <c r="E1685" s="40"/>
      <c r="F1685" s="314"/>
      <c r="H1685" s="315"/>
      <c r="I1685" s="315"/>
      <c r="BA1685" s="30"/>
      <c r="BB1685" s="155"/>
      <c r="BC1685" s="314"/>
      <c r="BD1685" s="314"/>
      <c r="BE1685" s="314"/>
      <c r="BF1685" s="314"/>
      <c r="BG1685" s="314"/>
      <c r="BH1685" s="314"/>
      <c r="BI1685" s="314"/>
      <c r="BJ1685" s="314"/>
      <c r="BK1685" s="40"/>
      <c r="BL1685" s="40"/>
      <c r="BM1685" s="40"/>
      <c r="BN1685" s="40"/>
      <c r="BO1685" s="40"/>
      <c r="BP1685" s="155"/>
      <c r="BQ1685" s="314"/>
      <c r="BR1685" s="314"/>
      <c r="BS1685" s="314"/>
      <c r="BT1685" s="314"/>
      <c r="BU1685" s="314"/>
      <c r="BV1685" s="314"/>
      <c r="BW1685" s="314"/>
      <c r="BX1685" s="155"/>
    </row>
    <row r="1686" spans="1:76" ht="15.75" customHeight="1">
      <c r="A1686" s="25"/>
      <c r="B1686" s="39"/>
      <c r="C1686" s="155"/>
      <c r="D1686" s="155"/>
      <c r="E1686" s="40"/>
      <c r="F1686" s="314"/>
      <c r="H1686" s="315"/>
      <c r="I1686" s="315"/>
      <c r="BA1686" s="30"/>
      <c r="BB1686" s="155"/>
      <c r="BC1686" s="314"/>
      <c r="BD1686" s="314"/>
      <c r="BE1686" s="314"/>
      <c r="BF1686" s="314"/>
      <c r="BG1686" s="314"/>
      <c r="BH1686" s="314"/>
      <c r="BI1686" s="314"/>
      <c r="BJ1686" s="314"/>
      <c r="BK1686" s="40"/>
      <c r="BL1686" s="40"/>
      <c r="BM1686" s="40"/>
      <c r="BN1686" s="40"/>
      <c r="BO1686" s="40"/>
      <c r="BP1686" s="155"/>
      <c r="BQ1686" s="314"/>
      <c r="BR1686" s="314"/>
      <c r="BS1686" s="314"/>
      <c r="BT1686" s="314"/>
      <c r="BU1686" s="314"/>
      <c r="BV1686" s="314"/>
      <c r="BW1686" s="314"/>
      <c r="BX1686" s="155"/>
    </row>
    <row r="1687" spans="1:76" ht="15.75" customHeight="1">
      <c r="A1687" s="25"/>
      <c r="B1687" s="39"/>
      <c r="C1687" s="155"/>
      <c r="D1687" s="155"/>
      <c r="E1687" s="40"/>
      <c r="F1687" s="314"/>
      <c r="H1687" s="315"/>
      <c r="I1687" s="315"/>
      <c r="BA1687" s="30"/>
      <c r="BB1687" s="155"/>
      <c r="BC1687" s="314"/>
      <c r="BD1687" s="314"/>
      <c r="BE1687" s="314"/>
      <c r="BF1687" s="314"/>
      <c r="BG1687" s="314"/>
      <c r="BH1687" s="314"/>
      <c r="BI1687" s="314"/>
      <c r="BJ1687" s="314"/>
      <c r="BK1687" s="40"/>
      <c r="BL1687" s="40"/>
      <c r="BM1687" s="40"/>
      <c r="BN1687" s="40"/>
      <c r="BO1687" s="40"/>
      <c r="BP1687" s="155"/>
      <c r="BQ1687" s="314"/>
      <c r="BR1687" s="314"/>
      <c r="BS1687" s="314"/>
      <c r="BT1687" s="314"/>
      <c r="BU1687" s="314"/>
      <c r="BV1687" s="314"/>
      <c r="BW1687" s="314"/>
      <c r="BX1687" s="155"/>
    </row>
    <row r="1688" spans="1:76" ht="15.75" customHeight="1">
      <c r="A1688" s="25"/>
      <c r="B1688" s="39"/>
      <c r="C1688" s="155"/>
      <c r="D1688" s="155"/>
      <c r="E1688" s="40"/>
      <c r="F1688" s="314"/>
      <c r="H1688" s="315"/>
      <c r="I1688" s="315"/>
      <c r="BA1688" s="30"/>
      <c r="BB1688" s="155"/>
      <c r="BC1688" s="314"/>
      <c r="BD1688" s="314"/>
      <c r="BE1688" s="314"/>
      <c r="BF1688" s="314"/>
      <c r="BG1688" s="314"/>
      <c r="BH1688" s="314"/>
      <c r="BI1688" s="314"/>
      <c r="BJ1688" s="314"/>
      <c r="BK1688" s="40"/>
      <c r="BL1688" s="40"/>
      <c r="BM1688" s="40"/>
      <c r="BN1688" s="40"/>
      <c r="BO1688" s="40"/>
      <c r="BP1688" s="155"/>
      <c r="BQ1688" s="314"/>
      <c r="BR1688" s="314"/>
      <c r="BS1688" s="314"/>
      <c r="BT1688" s="314"/>
      <c r="BU1688" s="314"/>
      <c r="BV1688" s="314"/>
      <c r="BW1688" s="314"/>
      <c r="BX1688" s="155"/>
    </row>
    <row r="1689" spans="1:76" ht="15.75" customHeight="1">
      <c r="A1689" s="25"/>
      <c r="B1689" s="39"/>
      <c r="C1689" s="155"/>
      <c r="D1689" s="155"/>
      <c r="E1689" s="40"/>
      <c r="F1689" s="314"/>
      <c r="H1689" s="315"/>
      <c r="I1689" s="315"/>
      <c r="BA1689" s="30"/>
      <c r="BB1689" s="155"/>
      <c r="BC1689" s="314"/>
      <c r="BD1689" s="314"/>
      <c r="BE1689" s="314"/>
      <c r="BF1689" s="314"/>
      <c r="BG1689" s="314"/>
      <c r="BH1689" s="314"/>
      <c r="BI1689" s="314"/>
      <c r="BJ1689" s="314"/>
      <c r="BK1689" s="40"/>
      <c r="BL1689" s="40"/>
      <c r="BM1689" s="40"/>
      <c r="BN1689" s="40"/>
      <c r="BO1689" s="40"/>
      <c r="BP1689" s="155"/>
      <c r="BQ1689" s="314"/>
      <c r="BR1689" s="314"/>
      <c r="BS1689" s="314"/>
      <c r="BT1689" s="314"/>
      <c r="BU1689" s="314"/>
      <c r="BV1689" s="314"/>
      <c r="BW1689" s="314"/>
      <c r="BX1689" s="155"/>
    </row>
    <row r="1690" spans="1:76" ht="15.75" customHeight="1">
      <c r="A1690" s="25"/>
      <c r="B1690" s="39"/>
      <c r="C1690" s="155"/>
      <c r="D1690" s="155"/>
      <c r="E1690" s="40"/>
      <c r="F1690" s="314"/>
      <c r="H1690" s="315"/>
      <c r="I1690" s="315"/>
      <c r="BA1690" s="30"/>
      <c r="BB1690" s="155"/>
      <c r="BC1690" s="314"/>
      <c r="BD1690" s="314"/>
      <c r="BE1690" s="314"/>
      <c r="BF1690" s="314"/>
      <c r="BG1690" s="314"/>
      <c r="BH1690" s="314"/>
      <c r="BI1690" s="314"/>
      <c r="BJ1690" s="314"/>
      <c r="BK1690" s="40"/>
      <c r="BL1690" s="40"/>
      <c r="BM1690" s="40"/>
      <c r="BN1690" s="40"/>
      <c r="BO1690" s="40"/>
      <c r="BP1690" s="155"/>
      <c r="BQ1690" s="314"/>
      <c r="BR1690" s="314"/>
      <c r="BS1690" s="314"/>
      <c r="BT1690" s="314"/>
      <c r="BU1690" s="314"/>
      <c r="BV1690" s="314"/>
      <c r="BW1690" s="314"/>
      <c r="BX1690" s="155"/>
    </row>
    <row r="1691" spans="1:76" ht="15.75" customHeight="1">
      <c r="A1691" s="25"/>
      <c r="B1691" s="39"/>
      <c r="C1691" s="155"/>
      <c r="D1691" s="155"/>
      <c r="E1691" s="40"/>
      <c r="F1691" s="314"/>
      <c r="H1691" s="315"/>
      <c r="I1691" s="315"/>
      <c r="BA1691" s="30"/>
      <c r="BB1691" s="155"/>
      <c r="BC1691" s="314"/>
      <c r="BD1691" s="314"/>
      <c r="BE1691" s="314"/>
      <c r="BF1691" s="314"/>
      <c r="BG1691" s="314"/>
      <c r="BH1691" s="314"/>
      <c r="BI1691" s="314"/>
      <c r="BJ1691" s="314"/>
      <c r="BK1691" s="40"/>
      <c r="BL1691" s="40"/>
      <c r="BM1691" s="40"/>
      <c r="BN1691" s="40"/>
      <c r="BO1691" s="40"/>
      <c r="BP1691" s="155"/>
      <c r="BQ1691" s="314"/>
      <c r="BR1691" s="314"/>
      <c r="BS1691" s="314"/>
      <c r="BT1691" s="314"/>
      <c r="BU1691" s="314"/>
      <c r="BV1691" s="314"/>
      <c r="BW1691" s="314"/>
      <c r="BX1691" s="155"/>
    </row>
    <row r="1692" spans="1:76" ht="15.75" customHeight="1">
      <c r="A1692" s="25"/>
      <c r="B1692" s="39"/>
      <c r="C1692" s="155"/>
      <c r="D1692" s="155"/>
      <c r="E1692" s="40"/>
      <c r="F1692" s="314"/>
      <c r="H1692" s="315"/>
      <c r="I1692" s="315"/>
      <c r="BA1692" s="30"/>
      <c r="BB1692" s="155"/>
      <c r="BC1692" s="314"/>
      <c r="BD1692" s="314"/>
      <c r="BE1692" s="314"/>
      <c r="BF1692" s="314"/>
      <c r="BG1692" s="314"/>
      <c r="BH1692" s="314"/>
      <c r="BI1692" s="314"/>
      <c r="BJ1692" s="314"/>
      <c r="BK1692" s="40"/>
      <c r="BL1692" s="40"/>
      <c r="BM1692" s="40"/>
      <c r="BN1692" s="40"/>
      <c r="BO1692" s="40"/>
      <c r="BP1692" s="155"/>
      <c r="BQ1692" s="314"/>
      <c r="BR1692" s="314"/>
      <c r="BS1692" s="314"/>
      <c r="BT1692" s="314"/>
      <c r="BU1692" s="314"/>
      <c r="BV1692" s="314"/>
      <c r="BW1692" s="314"/>
      <c r="BX1692" s="155"/>
    </row>
    <row r="1693" spans="1:76" ht="15.75" customHeight="1">
      <c r="A1693" s="25"/>
      <c r="B1693" s="39"/>
      <c r="C1693" s="155"/>
      <c r="D1693" s="155"/>
      <c r="E1693" s="40"/>
      <c r="F1693" s="314"/>
      <c r="H1693" s="315"/>
      <c r="I1693" s="315"/>
      <c r="BA1693" s="30"/>
      <c r="BB1693" s="155"/>
      <c r="BC1693" s="314"/>
      <c r="BD1693" s="314"/>
      <c r="BE1693" s="314"/>
      <c r="BF1693" s="314"/>
      <c r="BG1693" s="314"/>
      <c r="BH1693" s="314"/>
      <c r="BI1693" s="314"/>
      <c r="BJ1693" s="314"/>
      <c r="BK1693" s="40"/>
      <c r="BL1693" s="40"/>
      <c r="BM1693" s="40"/>
      <c r="BN1693" s="40"/>
      <c r="BO1693" s="40"/>
      <c r="BP1693" s="155"/>
      <c r="BQ1693" s="314"/>
      <c r="BR1693" s="314"/>
      <c r="BS1693" s="314"/>
      <c r="BT1693" s="314"/>
      <c r="BU1693" s="314"/>
      <c r="BV1693" s="314"/>
      <c r="BW1693" s="314"/>
      <c r="BX1693" s="155"/>
    </row>
    <row r="1694" spans="1:76" ht="15.75" customHeight="1">
      <c r="A1694" s="25"/>
      <c r="B1694" s="39"/>
      <c r="C1694" s="155"/>
      <c r="D1694" s="155"/>
      <c r="E1694" s="40"/>
      <c r="F1694" s="314"/>
      <c r="H1694" s="315"/>
      <c r="I1694" s="315"/>
      <c r="BA1694" s="30"/>
      <c r="BB1694" s="155"/>
      <c r="BC1694" s="314"/>
      <c r="BD1694" s="314"/>
      <c r="BE1694" s="314"/>
      <c r="BF1694" s="314"/>
      <c r="BG1694" s="314"/>
      <c r="BH1694" s="314"/>
      <c r="BI1694" s="314"/>
      <c r="BJ1694" s="314"/>
      <c r="BK1694" s="40"/>
      <c r="BL1694" s="40"/>
      <c r="BM1694" s="40"/>
      <c r="BN1694" s="40"/>
      <c r="BO1694" s="40"/>
      <c r="BP1694" s="155"/>
      <c r="BQ1694" s="314"/>
      <c r="BR1694" s="314"/>
      <c r="BS1694" s="314"/>
      <c r="BT1694" s="314"/>
      <c r="BU1694" s="314"/>
      <c r="BV1694" s="314"/>
      <c r="BW1694" s="314"/>
      <c r="BX1694" s="155"/>
    </row>
    <row r="1695" spans="1:76" ht="15.75" customHeight="1">
      <c r="A1695" s="25"/>
      <c r="B1695" s="39"/>
      <c r="C1695" s="155"/>
      <c r="D1695" s="155"/>
      <c r="E1695" s="40"/>
      <c r="F1695" s="314"/>
      <c r="H1695" s="315"/>
      <c r="I1695" s="315"/>
      <c r="BA1695" s="30"/>
      <c r="BB1695" s="155"/>
      <c r="BC1695" s="314"/>
      <c r="BD1695" s="314"/>
      <c r="BE1695" s="314"/>
      <c r="BF1695" s="314"/>
      <c r="BG1695" s="314"/>
      <c r="BH1695" s="314"/>
      <c r="BI1695" s="314"/>
      <c r="BJ1695" s="314"/>
      <c r="BK1695" s="40"/>
      <c r="BL1695" s="40"/>
      <c r="BM1695" s="40"/>
      <c r="BN1695" s="40"/>
      <c r="BO1695" s="40"/>
      <c r="BP1695" s="155"/>
      <c r="BQ1695" s="314"/>
      <c r="BR1695" s="314"/>
      <c r="BS1695" s="314"/>
      <c r="BT1695" s="314"/>
      <c r="BU1695" s="314"/>
      <c r="BV1695" s="314"/>
      <c r="BW1695" s="314"/>
      <c r="BX1695" s="155"/>
    </row>
    <row r="1696" spans="1:76" ht="15.75" customHeight="1">
      <c r="A1696" s="25"/>
      <c r="B1696" s="39"/>
      <c r="C1696" s="155"/>
      <c r="D1696" s="155"/>
      <c r="E1696" s="40"/>
      <c r="F1696" s="314"/>
      <c r="H1696" s="315"/>
      <c r="I1696" s="315"/>
      <c r="BA1696" s="30"/>
      <c r="BB1696" s="155"/>
      <c r="BC1696" s="314"/>
      <c r="BD1696" s="314"/>
      <c r="BE1696" s="314"/>
      <c r="BF1696" s="314"/>
      <c r="BG1696" s="314"/>
      <c r="BH1696" s="314"/>
      <c r="BI1696" s="314"/>
      <c r="BJ1696" s="314"/>
      <c r="BK1696" s="40"/>
      <c r="BL1696" s="40"/>
      <c r="BM1696" s="40"/>
      <c r="BN1696" s="40"/>
      <c r="BO1696" s="40"/>
      <c r="BP1696" s="155"/>
      <c r="BQ1696" s="314"/>
      <c r="BR1696" s="314"/>
      <c r="BS1696" s="314"/>
      <c r="BT1696" s="314"/>
      <c r="BU1696" s="314"/>
      <c r="BV1696" s="314"/>
      <c r="BW1696" s="314"/>
      <c r="BX1696" s="155"/>
    </row>
    <row r="1697" spans="1:76" ht="15.75" customHeight="1">
      <c r="A1697" s="25"/>
      <c r="B1697" s="39"/>
      <c r="C1697" s="155"/>
      <c r="D1697" s="155"/>
      <c r="E1697" s="40"/>
      <c r="F1697" s="314"/>
      <c r="H1697" s="315"/>
      <c r="I1697" s="315"/>
      <c r="BA1697" s="30"/>
      <c r="BB1697" s="155"/>
      <c r="BC1697" s="314"/>
      <c r="BD1697" s="314"/>
      <c r="BE1697" s="314"/>
      <c r="BF1697" s="314"/>
      <c r="BG1697" s="314"/>
      <c r="BH1697" s="314"/>
      <c r="BI1697" s="314"/>
      <c r="BJ1697" s="314"/>
      <c r="BK1697" s="40"/>
      <c r="BL1697" s="40"/>
      <c r="BM1697" s="40"/>
      <c r="BN1697" s="40"/>
      <c r="BO1697" s="40"/>
      <c r="BP1697" s="155"/>
      <c r="BQ1697" s="314"/>
      <c r="BR1697" s="314"/>
      <c r="BS1697" s="314"/>
      <c r="BT1697" s="314"/>
      <c r="BU1697" s="314"/>
      <c r="BV1697" s="314"/>
      <c r="BW1697" s="314"/>
      <c r="BX1697" s="155"/>
    </row>
    <row r="1698" spans="1:76" ht="15.75" customHeight="1">
      <c r="A1698" s="25"/>
      <c r="B1698" s="39"/>
      <c r="C1698" s="155"/>
      <c r="D1698" s="155"/>
      <c r="E1698" s="40"/>
      <c r="F1698" s="314"/>
      <c r="H1698" s="315"/>
      <c r="I1698" s="315"/>
      <c r="BA1698" s="30"/>
      <c r="BB1698" s="155"/>
      <c r="BC1698" s="314"/>
      <c r="BD1698" s="314"/>
      <c r="BE1698" s="314"/>
      <c r="BF1698" s="314"/>
      <c r="BG1698" s="314"/>
      <c r="BH1698" s="314"/>
      <c r="BI1698" s="314"/>
      <c r="BJ1698" s="314"/>
      <c r="BK1698" s="40"/>
      <c r="BL1698" s="40"/>
      <c r="BM1698" s="40"/>
      <c r="BN1698" s="40"/>
      <c r="BO1698" s="40"/>
      <c r="BP1698" s="155"/>
      <c r="BQ1698" s="314"/>
      <c r="BR1698" s="314"/>
      <c r="BS1698" s="314"/>
      <c r="BT1698" s="314"/>
      <c r="BU1698" s="314"/>
      <c r="BV1698" s="314"/>
      <c r="BW1698" s="314"/>
      <c r="BX1698" s="155"/>
    </row>
    <row r="1699" spans="1:76" ht="15.75" customHeight="1">
      <c r="A1699" s="25"/>
      <c r="B1699" s="39"/>
      <c r="C1699" s="155"/>
      <c r="D1699" s="155"/>
      <c r="E1699" s="40"/>
      <c r="F1699" s="314"/>
      <c r="H1699" s="315"/>
      <c r="I1699" s="315"/>
      <c r="BA1699" s="30"/>
      <c r="BB1699" s="155"/>
      <c r="BC1699" s="322"/>
      <c r="BD1699" s="322"/>
      <c r="BE1699" s="322"/>
      <c r="BF1699" s="322"/>
      <c r="BG1699" s="322"/>
      <c r="BH1699" s="322"/>
      <c r="BI1699" s="322"/>
      <c r="BJ1699" s="322"/>
      <c r="BK1699" s="341"/>
      <c r="BL1699" s="40"/>
      <c r="BM1699" s="40"/>
      <c r="BN1699" s="40"/>
      <c r="BO1699" s="40"/>
      <c r="BP1699" s="155"/>
      <c r="BQ1699" s="314"/>
      <c r="BR1699" s="314"/>
      <c r="BS1699" s="314"/>
      <c r="BT1699" s="314"/>
      <c r="BU1699" s="314"/>
      <c r="BV1699" s="314"/>
      <c r="BW1699" s="314"/>
      <c r="BX1699" s="155"/>
    </row>
    <row r="1700" spans="1:76" ht="15.75" customHeight="1">
      <c r="A1700" s="25"/>
      <c r="B1700" s="39"/>
      <c r="C1700" s="155"/>
      <c r="D1700" s="155"/>
      <c r="E1700" s="40"/>
      <c r="F1700" s="314"/>
      <c r="H1700" s="315"/>
      <c r="I1700" s="315"/>
      <c r="BA1700" s="30"/>
      <c r="BB1700" s="155"/>
      <c r="BC1700" s="314"/>
      <c r="BD1700" s="314"/>
      <c r="BE1700" s="314"/>
      <c r="BF1700" s="314"/>
      <c r="BG1700" s="314"/>
      <c r="BH1700" s="314"/>
      <c r="BI1700" s="314"/>
      <c r="BJ1700" s="314"/>
      <c r="BK1700" s="40"/>
      <c r="BL1700" s="40"/>
      <c r="BM1700" s="40"/>
      <c r="BN1700" s="40"/>
      <c r="BO1700" s="40"/>
      <c r="BP1700" s="155"/>
      <c r="BQ1700" s="314"/>
      <c r="BR1700" s="314"/>
      <c r="BS1700" s="314"/>
      <c r="BT1700" s="314"/>
      <c r="BU1700" s="314"/>
      <c r="BV1700" s="314"/>
      <c r="BW1700" s="314"/>
      <c r="BX1700" s="155"/>
    </row>
    <row r="1701" spans="1:76" ht="15.75" customHeight="1">
      <c r="A1701" s="25"/>
      <c r="B1701" s="39"/>
      <c r="C1701" s="155"/>
      <c r="D1701" s="155"/>
      <c r="E1701" s="40"/>
      <c r="F1701" s="314"/>
      <c r="H1701" s="315"/>
      <c r="I1701" s="315"/>
      <c r="BA1701" s="30"/>
      <c r="BB1701" s="155"/>
      <c r="BC1701" s="314"/>
      <c r="BD1701" s="314"/>
      <c r="BE1701" s="314"/>
      <c r="BF1701" s="314"/>
      <c r="BG1701" s="314"/>
      <c r="BH1701" s="314"/>
      <c r="BI1701" s="314"/>
      <c r="BJ1701" s="314"/>
      <c r="BK1701" s="40"/>
      <c r="BL1701" s="40"/>
      <c r="BM1701" s="40"/>
      <c r="BN1701" s="40"/>
      <c r="BO1701" s="40"/>
      <c r="BP1701" s="155"/>
      <c r="BQ1701" s="314"/>
      <c r="BR1701" s="314"/>
      <c r="BS1701" s="314"/>
      <c r="BT1701" s="314"/>
      <c r="BU1701" s="314"/>
      <c r="BV1701" s="314"/>
      <c r="BW1701" s="314"/>
      <c r="BX1701" s="155"/>
    </row>
    <row r="1702" spans="1:76" ht="15.75" customHeight="1">
      <c r="A1702" s="25"/>
      <c r="B1702" s="39"/>
      <c r="C1702" s="155"/>
      <c r="D1702" s="155"/>
      <c r="E1702" s="40"/>
      <c r="F1702" s="314"/>
      <c r="H1702" s="315"/>
      <c r="I1702" s="315"/>
      <c r="BA1702" s="30"/>
      <c r="BB1702" s="155"/>
      <c r="BC1702" s="314"/>
      <c r="BD1702" s="314"/>
      <c r="BE1702" s="314"/>
      <c r="BF1702" s="314"/>
      <c r="BG1702" s="314"/>
      <c r="BH1702" s="314"/>
      <c r="BI1702" s="314"/>
      <c r="BJ1702" s="314"/>
      <c r="BK1702" s="40"/>
      <c r="BL1702" s="40"/>
      <c r="BM1702" s="40"/>
      <c r="BN1702" s="40"/>
      <c r="BO1702" s="40"/>
      <c r="BP1702" s="155"/>
      <c r="BQ1702" s="314"/>
      <c r="BR1702" s="314"/>
      <c r="BS1702" s="314"/>
      <c r="BT1702" s="314"/>
      <c r="BU1702" s="314"/>
      <c r="BV1702" s="314"/>
      <c r="BW1702" s="314"/>
      <c r="BX1702" s="155"/>
    </row>
    <row r="1703" spans="1:76" ht="15.75" customHeight="1">
      <c r="A1703" s="25"/>
      <c r="B1703" s="39"/>
      <c r="C1703" s="155"/>
      <c r="D1703" s="155"/>
      <c r="E1703" s="40"/>
      <c r="F1703" s="314"/>
      <c r="H1703" s="315"/>
      <c r="I1703" s="315"/>
      <c r="BA1703" s="30"/>
      <c r="BB1703" s="155"/>
      <c r="BC1703" s="314"/>
      <c r="BD1703" s="314"/>
      <c r="BE1703" s="314"/>
      <c r="BF1703" s="314"/>
      <c r="BG1703" s="314"/>
      <c r="BH1703" s="314"/>
      <c r="BI1703" s="314"/>
      <c r="BJ1703" s="314"/>
      <c r="BK1703" s="40"/>
      <c r="BL1703" s="40"/>
      <c r="BM1703" s="40"/>
      <c r="BN1703" s="40"/>
      <c r="BO1703" s="40"/>
      <c r="BP1703" s="155"/>
      <c r="BQ1703" s="314"/>
      <c r="BR1703" s="314"/>
      <c r="BS1703" s="314"/>
      <c r="BT1703" s="314"/>
      <c r="BU1703" s="314"/>
      <c r="BV1703" s="314"/>
      <c r="BW1703" s="314"/>
      <c r="BX1703" s="155"/>
    </row>
    <row r="1704" spans="1:76" ht="15.75" customHeight="1">
      <c r="A1704" s="25"/>
      <c r="B1704" s="39"/>
      <c r="C1704" s="155"/>
      <c r="D1704" s="155"/>
      <c r="E1704" s="40"/>
      <c r="F1704" s="314"/>
      <c r="H1704" s="315"/>
      <c r="I1704" s="315"/>
      <c r="BA1704" s="30"/>
      <c r="BB1704" s="155"/>
      <c r="BC1704" s="314"/>
      <c r="BD1704" s="314"/>
      <c r="BE1704" s="314"/>
      <c r="BF1704" s="314"/>
      <c r="BG1704" s="314"/>
      <c r="BH1704" s="314"/>
      <c r="BI1704" s="314"/>
      <c r="BJ1704" s="314"/>
      <c r="BK1704" s="40"/>
      <c r="BL1704" s="40"/>
      <c r="BM1704" s="40"/>
      <c r="BN1704" s="40"/>
      <c r="BO1704" s="40"/>
      <c r="BP1704" s="155"/>
      <c r="BQ1704" s="314"/>
      <c r="BR1704" s="314"/>
      <c r="BS1704" s="314"/>
      <c r="BT1704" s="314"/>
      <c r="BU1704" s="314"/>
      <c r="BV1704" s="314"/>
      <c r="BW1704" s="314"/>
      <c r="BX1704" s="155"/>
    </row>
    <row r="1705" spans="1:76" ht="15.75" customHeight="1">
      <c r="A1705" s="25"/>
      <c r="B1705" s="39"/>
      <c r="C1705" s="155"/>
      <c r="D1705" s="155"/>
      <c r="E1705" s="40"/>
      <c r="F1705" s="314"/>
      <c r="H1705" s="315"/>
      <c r="I1705" s="315"/>
      <c r="BA1705" s="30"/>
      <c r="BB1705" s="155"/>
      <c r="BC1705" s="314"/>
      <c r="BD1705" s="314"/>
      <c r="BE1705" s="314"/>
      <c r="BF1705" s="314"/>
      <c r="BG1705" s="314"/>
      <c r="BH1705" s="314"/>
      <c r="BI1705" s="314"/>
      <c r="BJ1705" s="314"/>
      <c r="BK1705" s="40"/>
      <c r="BL1705" s="40"/>
      <c r="BM1705" s="40"/>
      <c r="BN1705" s="40"/>
      <c r="BO1705" s="40"/>
      <c r="BP1705" s="155"/>
      <c r="BQ1705" s="314"/>
      <c r="BR1705" s="314"/>
      <c r="BS1705" s="314"/>
      <c r="BT1705" s="314"/>
      <c r="BU1705" s="314"/>
      <c r="BV1705" s="314"/>
      <c r="BW1705" s="314"/>
      <c r="BX1705" s="155"/>
    </row>
    <row r="1706" spans="1:76" ht="15.75" customHeight="1">
      <c r="A1706" s="25"/>
      <c r="B1706" s="39"/>
      <c r="C1706" s="155"/>
      <c r="D1706" s="155"/>
      <c r="E1706" s="40"/>
      <c r="F1706" s="314"/>
      <c r="H1706" s="315"/>
      <c r="I1706" s="315"/>
      <c r="BA1706" s="30"/>
      <c r="BB1706" s="155"/>
      <c r="BC1706" s="314"/>
      <c r="BD1706" s="314"/>
      <c r="BE1706" s="314"/>
      <c r="BF1706" s="314"/>
      <c r="BG1706" s="314"/>
      <c r="BH1706" s="314"/>
      <c r="BI1706" s="314"/>
      <c r="BJ1706" s="314"/>
      <c r="BK1706" s="40"/>
      <c r="BL1706" s="40"/>
      <c r="BM1706" s="40"/>
      <c r="BN1706" s="40"/>
      <c r="BO1706" s="40"/>
      <c r="BP1706" s="155"/>
      <c r="BQ1706" s="314"/>
      <c r="BR1706" s="314"/>
      <c r="BS1706" s="314"/>
      <c r="BT1706" s="314"/>
      <c r="BU1706" s="314"/>
      <c r="BV1706" s="314"/>
      <c r="BW1706" s="314"/>
      <c r="BX1706" s="155"/>
    </row>
    <row r="1707" spans="1:76" ht="15.75" customHeight="1">
      <c r="A1707" s="25"/>
      <c r="B1707" s="39"/>
      <c r="C1707" s="155"/>
      <c r="D1707" s="155"/>
      <c r="E1707" s="40"/>
      <c r="F1707" s="314"/>
      <c r="H1707" s="315"/>
      <c r="I1707" s="315"/>
      <c r="BA1707" s="30"/>
      <c r="BB1707" s="155"/>
      <c r="BC1707" s="314"/>
      <c r="BD1707" s="314"/>
      <c r="BE1707" s="314"/>
      <c r="BF1707" s="314"/>
      <c r="BG1707" s="314"/>
      <c r="BH1707" s="314"/>
      <c r="BI1707" s="314"/>
      <c r="BJ1707" s="314"/>
      <c r="BK1707" s="40"/>
      <c r="BL1707" s="40"/>
      <c r="BM1707" s="40"/>
      <c r="BN1707" s="40"/>
      <c r="BO1707" s="40"/>
      <c r="BP1707" s="155"/>
      <c r="BQ1707" s="314"/>
      <c r="BR1707" s="314"/>
      <c r="BS1707" s="314"/>
      <c r="BT1707" s="314"/>
      <c r="BU1707" s="314"/>
      <c r="BV1707" s="314"/>
      <c r="BW1707" s="314"/>
      <c r="BX1707" s="155"/>
    </row>
    <row r="1708" spans="1:76" ht="15.75" customHeight="1">
      <c r="A1708" s="25"/>
      <c r="B1708" s="39"/>
      <c r="C1708" s="155"/>
      <c r="D1708" s="155"/>
      <c r="E1708" s="40"/>
      <c r="F1708" s="314"/>
      <c r="H1708" s="315"/>
      <c r="I1708" s="315"/>
      <c r="BA1708" s="30"/>
      <c r="BB1708" s="155"/>
      <c r="BC1708" s="314"/>
      <c r="BD1708" s="314"/>
      <c r="BE1708" s="314"/>
      <c r="BF1708" s="314"/>
      <c r="BG1708" s="314"/>
      <c r="BH1708" s="314"/>
      <c r="BI1708" s="314"/>
      <c r="BJ1708" s="314"/>
      <c r="BK1708" s="40"/>
      <c r="BL1708" s="40"/>
      <c r="BM1708" s="40"/>
      <c r="BN1708" s="40"/>
      <c r="BO1708" s="40"/>
      <c r="BP1708" s="155"/>
      <c r="BQ1708" s="314"/>
      <c r="BR1708" s="314"/>
      <c r="BS1708" s="314"/>
      <c r="BT1708" s="314"/>
      <c r="BU1708" s="314"/>
      <c r="BV1708" s="314"/>
      <c r="BW1708" s="314"/>
      <c r="BX1708" s="155"/>
    </row>
    <row r="1709" spans="1:76" ht="15.75" customHeight="1">
      <c r="A1709" s="25"/>
      <c r="B1709" s="39"/>
      <c r="C1709" s="155"/>
      <c r="D1709" s="155"/>
      <c r="E1709" s="40"/>
      <c r="F1709" s="314"/>
      <c r="H1709" s="315"/>
      <c r="I1709" s="315"/>
      <c r="BA1709" s="30"/>
      <c r="BB1709" s="155"/>
      <c r="BC1709" s="314"/>
      <c r="BD1709" s="314"/>
      <c r="BE1709" s="314"/>
      <c r="BF1709" s="314"/>
      <c r="BG1709" s="314"/>
      <c r="BH1709" s="314"/>
      <c r="BI1709" s="314"/>
      <c r="BJ1709" s="314"/>
      <c r="BK1709" s="40"/>
      <c r="BL1709" s="40"/>
      <c r="BM1709" s="40"/>
      <c r="BN1709" s="40"/>
      <c r="BO1709" s="40"/>
      <c r="BP1709" s="155"/>
      <c r="BQ1709" s="314"/>
      <c r="BR1709" s="314"/>
      <c r="BS1709" s="314"/>
      <c r="BT1709" s="314"/>
      <c r="BU1709" s="314"/>
      <c r="BV1709" s="314"/>
      <c r="BW1709" s="314"/>
      <c r="BX1709" s="155"/>
    </row>
    <row r="1710" spans="1:76" ht="15.75" customHeight="1">
      <c r="A1710" s="25"/>
      <c r="B1710" s="39"/>
      <c r="C1710" s="155"/>
      <c r="D1710" s="155"/>
      <c r="E1710" s="40"/>
      <c r="F1710" s="314"/>
      <c r="H1710" s="315"/>
      <c r="I1710" s="315"/>
      <c r="BA1710" s="30"/>
      <c r="BB1710" s="155"/>
      <c r="BC1710" s="314"/>
      <c r="BD1710" s="314"/>
      <c r="BE1710" s="314"/>
      <c r="BF1710" s="314"/>
      <c r="BG1710" s="314"/>
      <c r="BH1710" s="314"/>
      <c r="BI1710" s="314"/>
      <c r="BJ1710" s="314"/>
      <c r="BK1710" s="40"/>
      <c r="BL1710" s="40"/>
      <c r="BM1710" s="40"/>
      <c r="BN1710" s="40"/>
      <c r="BO1710" s="40"/>
      <c r="BP1710" s="155"/>
      <c r="BQ1710" s="314"/>
      <c r="BR1710" s="314"/>
      <c r="BS1710" s="314"/>
      <c r="BT1710" s="314"/>
      <c r="BU1710" s="314"/>
      <c r="BV1710" s="314"/>
      <c r="BW1710" s="314"/>
      <c r="BX1710" s="155"/>
    </row>
    <row r="1711" spans="1:76" ht="15.75" customHeight="1">
      <c r="A1711" s="25"/>
      <c r="B1711" s="39"/>
      <c r="C1711" s="155"/>
      <c r="D1711" s="155"/>
      <c r="E1711" s="40"/>
      <c r="F1711" s="314"/>
      <c r="H1711" s="315"/>
      <c r="I1711" s="315"/>
      <c r="BA1711" s="30"/>
      <c r="BB1711" s="155"/>
      <c r="BC1711" s="314"/>
      <c r="BD1711" s="314"/>
      <c r="BE1711" s="314"/>
      <c r="BF1711" s="314"/>
      <c r="BG1711" s="314"/>
      <c r="BH1711" s="314"/>
      <c r="BI1711" s="314"/>
      <c r="BJ1711" s="314"/>
      <c r="BK1711" s="40"/>
      <c r="BL1711" s="40"/>
      <c r="BM1711" s="40"/>
      <c r="BN1711" s="40"/>
      <c r="BO1711" s="40"/>
      <c r="BP1711" s="155"/>
      <c r="BQ1711" s="314"/>
      <c r="BR1711" s="314"/>
      <c r="BS1711" s="314"/>
      <c r="BT1711" s="314"/>
      <c r="BU1711" s="314"/>
      <c r="BV1711" s="314"/>
      <c r="BW1711" s="314"/>
      <c r="BX1711" s="155"/>
    </row>
    <row r="1712" spans="1:76" ht="15.75" customHeight="1">
      <c r="A1712" s="25"/>
      <c r="B1712" s="39"/>
      <c r="C1712" s="155"/>
      <c r="D1712" s="155"/>
      <c r="E1712" s="40"/>
      <c r="F1712" s="314"/>
      <c r="H1712" s="315"/>
      <c r="I1712" s="315"/>
      <c r="BA1712" s="30"/>
      <c r="BB1712" s="155"/>
      <c r="BC1712" s="314"/>
      <c r="BD1712" s="314"/>
      <c r="BE1712" s="314"/>
      <c r="BF1712" s="314"/>
      <c r="BG1712" s="314"/>
      <c r="BH1712" s="314"/>
      <c r="BI1712" s="314"/>
      <c r="BJ1712" s="314"/>
      <c r="BK1712" s="40"/>
      <c r="BL1712" s="40"/>
      <c r="BM1712" s="40"/>
      <c r="BN1712" s="40"/>
      <c r="BO1712" s="40"/>
      <c r="BP1712" s="155"/>
      <c r="BQ1712" s="314"/>
      <c r="BR1712" s="314"/>
      <c r="BS1712" s="314"/>
      <c r="BT1712" s="314"/>
      <c r="BU1712" s="314"/>
      <c r="BV1712" s="314"/>
      <c r="BW1712" s="314"/>
      <c r="BX1712" s="155"/>
    </row>
    <row r="1713" spans="1:76" ht="15.75" customHeight="1">
      <c r="A1713" s="25"/>
      <c r="B1713" s="39"/>
      <c r="C1713" s="155"/>
      <c r="D1713" s="155"/>
      <c r="E1713" s="40"/>
      <c r="F1713" s="314"/>
      <c r="H1713" s="315"/>
      <c r="I1713" s="315"/>
      <c r="BA1713" s="30"/>
      <c r="BB1713" s="155"/>
      <c r="BC1713" s="314"/>
      <c r="BD1713" s="314"/>
      <c r="BE1713" s="314"/>
      <c r="BF1713" s="314"/>
      <c r="BG1713" s="314"/>
      <c r="BH1713" s="314"/>
      <c r="BI1713" s="314"/>
      <c r="BJ1713" s="314"/>
      <c r="BK1713" s="40"/>
      <c r="BL1713" s="40"/>
      <c r="BM1713" s="40"/>
      <c r="BN1713" s="40"/>
      <c r="BO1713" s="40"/>
      <c r="BP1713" s="155"/>
      <c r="BQ1713" s="314"/>
      <c r="BR1713" s="314"/>
      <c r="BS1713" s="314"/>
      <c r="BT1713" s="314"/>
      <c r="BU1713" s="314"/>
      <c r="BV1713" s="314"/>
      <c r="BW1713" s="314"/>
      <c r="BX1713" s="155"/>
    </row>
    <row r="1714" spans="1:76" ht="15.75" customHeight="1">
      <c r="A1714" s="25"/>
      <c r="B1714" s="39"/>
      <c r="C1714" s="155"/>
      <c r="D1714" s="155"/>
      <c r="E1714" s="40"/>
      <c r="F1714" s="314"/>
      <c r="H1714" s="315"/>
      <c r="I1714" s="315"/>
      <c r="BA1714" s="30"/>
      <c r="BB1714" s="155"/>
      <c r="BC1714" s="314"/>
      <c r="BD1714" s="314"/>
      <c r="BE1714" s="314"/>
      <c r="BF1714" s="314"/>
      <c r="BG1714" s="314"/>
      <c r="BH1714" s="314"/>
      <c r="BI1714" s="314"/>
      <c r="BJ1714" s="314"/>
      <c r="BK1714" s="40"/>
      <c r="BL1714" s="40"/>
      <c r="BM1714" s="40"/>
      <c r="BN1714" s="40"/>
      <c r="BO1714" s="40"/>
      <c r="BP1714" s="155"/>
      <c r="BQ1714" s="314"/>
      <c r="BR1714" s="314"/>
      <c r="BS1714" s="314"/>
      <c r="BT1714" s="314"/>
      <c r="BU1714" s="314"/>
      <c r="BV1714" s="314"/>
      <c r="BW1714" s="314"/>
      <c r="BX1714" s="155"/>
    </row>
    <row r="1715" spans="1:76" ht="15.75" customHeight="1">
      <c r="A1715" s="25"/>
      <c r="B1715" s="39"/>
      <c r="C1715" s="155"/>
      <c r="D1715" s="155"/>
      <c r="E1715" s="40"/>
      <c r="F1715" s="314"/>
      <c r="H1715" s="315"/>
      <c r="I1715" s="315"/>
      <c r="BA1715" s="30"/>
      <c r="BB1715" s="155"/>
      <c r="BC1715" s="314"/>
      <c r="BD1715" s="314"/>
      <c r="BE1715" s="314"/>
      <c r="BF1715" s="314"/>
      <c r="BG1715" s="314"/>
      <c r="BH1715" s="314"/>
      <c r="BI1715" s="314"/>
      <c r="BJ1715" s="314"/>
      <c r="BK1715" s="40"/>
      <c r="BL1715" s="40"/>
      <c r="BM1715" s="40"/>
      <c r="BN1715" s="40"/>
      <c r="BO1715" s="40"/>
      <c r="BP1715" s="155"/>
      <c r="BQ1715" s="314"/>
      <c r="BR1715" s="314"/>
      <c r="BS1715" s="314"/>
      <c r="BT1715" s="314"/>
      <c r="BU1715" s="314"/>
      <c r="BV1715" s="314"/>
      <c r="BW1715" s="314"/>
      <c r="BX1715" s="155"/>
    </row>
    <row r="1716" spans="1:76" ht="15.75" customHeight="1">
      <c r="A1716" s="25"/>
      <c r="B1716" s="39"/>
      <c r="C1716" s="155"/>
      <c r="D1716" s="155"/>
      <c r="E1716" s="40"/>
      <c r="F1716" s="314"/>
      <c r="H1716" s="315"/>
      <c r="I1716" s="315"/>
      <c r="BA1716" s="30"/>
      <c r="BB1716" s="155"/>
      <c r="BC1716" s="314"/>
      <c r="BD1716" s="314"/>
      <c r="BE1716" s="314"/>
      <c r="BF1716" s="314"/>
      <c r="BG1716" s="314"/>
      <c r="BH1716" s="314"/>
      <c r="BI1716" s="314"/>
      <c r="BJ1716" s="314"/>
      <c r="BK1716" s="40"/>
      <c r="BL1716" s="40"/>
      <c r="BM1716" s="40"/>
      <c r="BN1716" s="40"/>
      <c r="BO1716" s="40"/>
      <c r="BP1716" s="155"/>
      <c r="BQ1716" s="314"/>
      <c r="BR1716" s="314"/>
      <c r="BS1716" s="314"/>
      <c r="BT1716" s="314"/>
      <c r="BU1716" s="314"/>
      <c r="BV1716" s="314"/>
      <c r="BW1716" s="314"/>
      <c r="BX1716" s="155"/>
    </row>
    <row r="1717" spans="1:76" ht="15.75" customHeight="1">
      <c r="A1717" s="25"/>
      <c r="B1717" s="39"/>
      <c r="C1717" s="155"/>
      <c r="D1717" s="155"/>
      <c r="E1717" s="40"/>
      <c r="F1717" s="314"/>
      <c r="H1717" s="315"/>
      <c r="I1717" s="315"/>
      <c r="BA1717" s="30"/>
      <c r="BB1717" s="155"/>
      <c r="BC1717" s="314"/>
      <c r="BD1717" s="314"/>
      <c r="BE1717" s="314"/>
      <c r="BF1717" s="314"/>
      <c r="BG1717" s="314"/>
      <c r="BH1717" s="314"/>
      <c r="BI1717" s="314"/>
      <c r="BJ1717" s="314"/>
      <c r="BK1717" s="40"/>
      <c r="BL1717" s="40"/>
      <c r="BM1717" s="40"/>
      <c r="BN1717" s="40"/>
      <c r="BO1717" s="40"/>
      <c r="BP1717" s="155"/>
      <c r="BQ1717" s="314"/>
      <c r="BR1717" s="314"/>
      <c r="BS1717" s="314"/>
      <c r="BT1717" s="314"/>
      <c r="BU1717" s="314"/>
      <c r="BV1717" s="314"/>
      <c r="BW1717" s="314"/>
      <c r="BX1717" s="155"/>
    </row>
    <row r="1718" spans="1:76" ht="15.75" customHeight="1">
      <c r="A1718" s="25"/>
      <c r="B1718" s="39"/>
      <c r="C1718" s="155"/>
      <c r="D1718" s="155"/>
      <c r="E1718" s="40"/>
      <c r="F1718" s="314"/>
      <c r="H1718" s="315"/>
      <c r="I1718" s="315"/>
      <c r="BA1718" s="30"/>
      <c r="BB1718" s="155"/>
      <c r="BC1718" s="314"/>
      <c r="BD1718" s="314"/>
      <c r="BE1718" s="314"/>
      <c r="BF1718" s="314"/>
      <c r="BG1718" s="314"/>
      <c r="BH1718" s="314"/>
      <c r="BI1718" s="314"/>
      <c r="BJ1718" s="314"/>
      <c r="BK1718" s="40"/>
      <c r="BL1718" s="40"/>
      <c r="BM1718" s="40"/>
      <c r="BN1718" s="40"/>
      <c r="BO1718" s="40"/>
      <c r="BP1718" s="155"/>
      <c r="BQ1718" s="314"/>
      <c r="BR1718" s="314"/>
      <c r="BS1718" s="314"/>
      <c r="BT1718" s="314"/>
      <c r="BU1718" s="314"/>
      <c r="BV1718" s="314"/>
      <c r="BW1718" s="314"/>
      <c r="BX1718" s="155"/>
    </row>
    <row r="1719" spans="1:76" ht="15.75" customHeight="1">
      <c r="A1719" s="25"/>
      <c r="B1719" s="39"/>
      <c r="C1719" s="155"/>
      <c r="D1719" s="155"/>
      <c r="E1719" s="40"/>
      <c r="F1719" s="314"/>
      <c r="H1719" s="315"/>
      <c r="I1719" s="315"/>
      <c r="BA1719" s="30"/>
      <c r="BB1719" s="155"/>
      <c r="BC1719" s="314"/>
      <c r="BD1719" s="314"/>
      <c r="BE1719" s="314"/>
      <c r="BF1719" s="314"/>
      <c r="BG1719" s="314"/>
      <c r="BH1719" s="314"/>
      <c r="BI1719" s="314"/>
      <c r="BJ1719" s="314"/>
      <c r="BK1719" s="40"/>
      <c r="BL1719" s="40"/>
      <c r="BM1719" s="40"/>
      <c r="BN1719" s="40"/>
      <c r="BO1719" s="40"/>
      <c r="BP1719" s="155"/>
      <c r="BQ1719" s="314"/>
      <c r="BR1719" s="314"/>
      <c r="BS1719" s="314"/>
      <c r="BT1719" s="314"/>
      <c r="BU1719" s="314"/>
      <c r="BV1719" s="314"/>
      <c r="BW1719" s="314"/>
      <c r="BX1719" s="155"/>
    </row>
    <row r="1720" spans="1:76" ht="15.75" customHeight="1">
      <c r="A1720" s="25"/>
      <c r="B1720" s="39"/>
      <c r="C1720" s="155"/>
      <c r="D1720" s="155"/>
      <c r="E1720" s="40"/>
      <c r="F1720" s="314"/>
      <c r="H1720" s="315"/>
      <c r="I1720" s="315"/>
      <c r="BA1720" s="30"/>
      <c r="BB1720" s="155"/>
      <c r="BC1720" s="314"/>
      <c r="BD1720" s="314"/>
      <c r="BE1720" s="314"/>
      <c r="BF1720" s="314"/>
      <c r="BG1720" s="314"/>
      <c r="BH1720" s="314"/>
      <c r="BI1720" s="314"/>
      <c r="BJ1720" s="314"/>
      <c r="BK1720" s="40"/>
      <c r="BL1720" s="40"/>
      <c r="BM1720" s="40"/>
      <c r="BN1720" s="40"/>
      <c r="BO1720" s="40"/>
      <c r="BP1720" s="155"/>
      <c r="BQ1720" s="314"/>
      <c r="BR1720" s="314"/>
      <c r="BS1720" s="314"/>
      <c r="BT1720" s="314"/>
      <c r="BU1720" s="314"/>
      <c r="BV1720" s="314"/>
      <c r="BW1720" s="314"/>
      <c r="BX1720" s="155"/>
    </row>
    <row r="1721" spans="1:76" ht="15.75" customHeight="1">
      <c r="A1721" s="25"/>
      <c r="B1721" s="39"/>
      <c r="C1721" s="155"/>
      <c r="D1721" s="155"/>
      <c r="E1721" s="40"/>
      <c r="F1721" s="314"/>
      <c r="H1721" s="315"/>
      <c r="I1721" s="315"/>
      <c r="BA1721" s="30"/>
      <c r="BB1721" s="155"/>
      <c r="BC1721" s="314"/>
      <c r="BD1721" s="314"/>
      <c r="BE1721" s="314"/>
      <c r="BF1721" s="314"/>
      <c r="BG1721" s="314"/>
      <c r="BH1721" s="314"/>
      <c r="BI1721" s="314"/>
      <c r="BJ1721" s="314"/>
      <c r="BK1721" s="40"/>
      <c r="BL1721" s="40"/>
      <c r="BM1721" s="40"/>
      <c r="BN1721" s="40"/>
      <c r="BO1721" s="40"/>
      <c r="BP1721" s="155"/>
      <c r="BQ1721" s="314"/>
      <c r="BR1721" s="314"/>
      <c r="BS1721" s="314"/>
      <c r="BT1721" s="314"/>
      <c r="BU1721" s="314"/>
      <c r="BV1721" s="314"/>
      <c r="BW1721" s="314"/>
      <c r="BX1721" s="155"/>
    </row>
    <row r="1722" spans="1:76" ht="15.75" customHeight="1">
      <c r="A1722" s="25"/>
      <c r="B1722" s="39"/>
      <c r="C1722" s="155"/>
      <c r="D1722" s="155"/>
      <c r="E1722" s="40"/>
      <c r="F1722" s="314"/>
      <c r="H1722" s="315"/>
      <c r="I1722" s="315"/>
      <c r="BA1722" s="30"/>
      <c r="BB1722" s="155"/>
      <c r="BC1722" s="314"/>
      <c r="BD1722" s="314"/>
      <c r="BE1722" s="314"/>
      <c r="BF1722" s="314"/>
      <c r="BG1722" s="314"/>
      <c r="BH1722" s="314"/>
      <c r="BI1722" s="314"/>
      <c r="BJ1722" s="314"/>
      <c r="BK1722" s="40"/>
      <c r="BL1722" s="40"/>
      <c r="BM1722" s="40"/>
      <c r="BN1722" s="40"/>
      <c r="BO1722" s="40"/>
      <c r="BP1722" s="155"/>
      <c r="BQ1722" s="314"/>
      <c r="BR1722" s="314"/>
      <c r="BS1722" s="314"/>
      <c r="BT1722" s="314"/>
      <c r="BU1722" s="314"/>
      <c r="BV1722" s="314"/>
      <c r="BW1722" s="314"/>
      <c r="BX1722" s="155"/>
    </row>
    <row r="1723" spans="1:76" ht="15.75" customHeight="1">
      <c r="A1723" s="25"/>
      <c r="B1723" s="39"/>
      <c r="C1723" s="155"/>
      <c r="D1723" s="155"/>
      <c r="E1723" s="40"/>
      <c r="F1723" s="314"/>
      <c r="H1723" s="315"/>
      <c r="I1723" s="315"/>
      <c r="BA1723" s="30"/>
      <c r="BB1723" s="155"/>
      <c r="BC1723" s="314"/>
      <c r="BD1723" s="314"/>
      <c r="BE1723" s="314"/>
      <c r="BF1723" s="314"/>
      <c r="BG1723" s="314"/>
      <c r="BH1723" s="314"/>
      <c r="BI1723" s="314"/>
      <c r="BJ1723" s="314"/>
      <c r="BK1723" s="40"/>
      <c r="BL1723" s="40"/>
      <c r="BM1723" s="40"/>
      <c r="BN1723" s="40"/>
      <c r="BO1723" s="40"/>
      <c r="BP1723" s="155"/>
      <c r="BQ1723" s="314"/>
      <c r="BR1723" s="314"/>
      <c r="BS1723" s="314"/>
      <c r="BT1723" s="314"/>
      <c r="BU1723" s="314"/>
      <c r="BV1723" s="314"/>
      <c r="BW1723" s="314"/>
      <c r="BX1723" s="155"/>
    </row>
    <row r="1724" spans="1:76" ht="15.75" customHeight="1">
      <c r="A1724" s="25"/>
      <c r="B1724" s="39"/>
      <c r="C1724" s="155"/>
      <c r="D1724" s="155"/>
      <c r="E1724" s="40"/>
      <c r="F1724" s="314"/>
      <c r="H1724" s="315"/>
      <c r="I1724" s="315"/>
      <c r="BA1724" s="30"/>
      <c r="BB1724" s="155"/>
      <c r="BC1724" s="314"/>
      <c r="BD1724" s="314"/>
      <c r="BE1724" s="314"/>
      <c r="BF1724" s="314"/>
      <c r="BG1724" s="314"/>
      <c r="BH1724" s="314"/>
      <c r="BI1724" s="314"/>
      <c r="BJ1724" s="314"/>
      <c r="BK1724" s="40"/>
      <c r="BL1724" s="40"/>
      <c r="BM1724" s="40"/>
      <c r="BN1724" s="40"/>
      <c r="BO1724" s="40"/>
      <c r="BP1724" s="155"/>
      <c r="BQ1724" s="314"/>
      <c r="BR1724" s="314"/>
      <c r="BS1724" s="314"/>
      <c r="BT1724" s="314"/>
      <c r="BU1724" s="314"/>
      <c r="BV1724" s="314"/>
      <c r="BW1724" s="314"/>
      <c r="BX1724" s="155"/>
    </row>
    <row r="1725" spans="1:76" ht="15.75" customHeight="1">
      <c r="A1725" s="25"/>
      <c r="B1725" s="39"/>
      <c r="C1725" s="155"/>
      <c r="D1725" s="155"/>
      <c r="E1725" s="40"/>
      <c r="F1725" s="314"/>
      <c r="H1725" s="315"/>
      <c r="I1725" s="315"/>
      <c r="BA1725" s="30"/>
      <c r="BB1725" s="155"/>
      <c r="BC1725" s="314"/>
      <c r="BD1725" s="314"/>
      <c r="BE1725" s="314"/>
      <c r="BF1725" s="314"/>
      <c r="BG1725" s="314"/>
      <c r="BH1725" s="314"/>
      <c r="BI1725" s="314"/>
      <c r="BJ1725" s="314"/>
      <c r="BK1725" s="40"/>
      <c r="BL1725" s="40"/>
      <c r="BM1725" s="40"/>
      <c r="BN1725" s="40"/>
      <c r="BO1725" s="40"/>
      <c r="BP1725" s="155"/>
      <c r="BQ1725" s="314"/>
      <c r="BR1725" s="314"/>
      <c r="BS1725" s="314"/>
      <c r="BT1725" s="314"/>
      <c r="BU1725" s="314"/>
      <c r="BV1725" s="314"/>
      <c r="BW1725" s="314"/>
      <c r="BX1725" s="155"/>
    </row>
    <row r="1726" spans="1:76" ht="15.75" customHeight="1">
      <c r="A1726" s="25"/>
      <c r="B1726" s="39"/>
      <c r="C1726" s="155"/>
      <c r="D1726" s="155"/>
      <c r="E1726" s="40"/>
      <c r="F1726" s="314"/>
      <c r="H1726" s="315"/>
      <c r="I1726" s="315"/>
      <c r="BA1726" s="30"/>
      <c r="BB1726" s="155"/>
      <c r="BC1726" s="314"/>
      <c r="BD1726" s="314"/>
      <c r="BE1726" s="314"/>
      <c r="BF1726" s="314"/>
      <c r="BG1726" s="314"/>
      <c r="BH1726" s="314"/>
      <c r="BI1726" s="314"/>
      <c r="BJ1726" s="314"/>
      <c r="BK1726" s="40"/>
      <c r="BL1726" s="40"/>
      <c r="BM1726" s="40"/>
      <c r="BN1726" s="40"/>
      <c r="BO1726" s="40"/>
      <c r="BP1726" s="155"/>
      <c r="BQ1726" s="314"/>
      <c r="BR1726" s="314"/>
      <c r="BS1726" s="314"/>
      <c r="BT1726" s="314"/>
      <c r="BU1726" s="314"/>
      <c r="BV1726" s="314"/>
      <c r="BW1726" s="314"/>
      <c r="BX1726" s="155"/>
    </row>
    <row r="1727" spans="1:76" ht="15.75" customHeight="1">
      <c r="A1727" s="25"/>
      <c r="B1727" s="39"/>
      <c r="C1727" s="155"/>
      <c r="D1727" s="155"/>
      <c r="E1727" s="40"/>
      <c r="F1727" s="314"/>
      <c r="H1727" s="315"/>
      <c r="I1727" s="315"/>
      <c r="BA1727" s="30"/>
      <c r="BB1727" s="155"/>
      <c r="BC1727" s="314"/>
      <c r="BD1727" s="314"/>
      <c r="BE1727" s="314"/>
      <c r="BF1727" s="314"/>
      <c r="BG1727" s="314"/>
      <c r="BH1727" s="314"/>
      <c r="BI1727" s="314"/>
      <c r="BJ1727" s="314"/>
      <c r="BK1727" s="40"/>
      <c r="BL1727" s="40"/>
      <c r="BM1727" s="40"/>
      <c r="BN1727" s="40"/>
      <c r="BO1727" s="40"/>
      <c r="BP1727" s="155"/>
      <c r="BQ1727" s="314"/>
      <c r="BR1727" s="314"/>
      <c r="BS1727" s="314"/>
      <c r="BT1727" s="314"/>
      <c r="BU1727" s="314"/>
      <c r="BV1727" s="314"/>
      <c r="BW1727" s="314"/>
      <c r="BX1727" s="155"/>
    </row>
    <row r="1728" spans="1:76" ht="15.75" customHeight="1">
      <c r="A1728" s="25"/>
      <c r="B1728" s="39"/>
      <c r="C1728" s="155"/>
      <c r="D1728" s="155"/>
      <c r="E1728" s="40"/>
      <c r="F1728" s="314"/>
      <c r="H1728" s="315"/>
      <c r="I1728" s="315"/>
      <c r="BA1728" s="30"/>
      <c r="BB1728" s="155"/>
      <c r="BC1728" s="314"/>
      <c r="BD1728" s="314"/>
      <c r="BE1728" s="314"/>
      <c r="BF1728" s="314"/>
      <c r="BG1728" s="314"/>
      <c r="BH1728" s="314"/>
      <c r="BI1728" s="314"/>
      <c r="BJ1728" s="314"/>
      <c r="BK1728" s="40"/>
      <c r="BL1728" s="40"/>
      <c r="BM1728" s="40"/>
      <c r="BN1728" s="40"/>
      <c r="BO1728" s="40"/>
      <c r="BP1728" s="155"/>
      <c r="BQ1728" s="314"/>
      <c r="BR1728" s="314"/>
      <c r="BS1728" s="314"/>
      <c r="BT1728" s="314"/>
      <c r="BU1728" s="314"/>
      <c r="BV1728" s="314"/>
      <c r="BW1728" s="314"/>
      <c r="BX1728" s="155"/>
    </row>
    <row r="1729" spans="1:76" ht="15.75" customHeight="1">
      <c r="A1729" s="25"/>
      <c r="B1729" s="39"/>
      <c r="C1729" s="155"/>
      <c r="D1729" s="155"/>
      <c r="E1729" s="40"/>
      <c r="F1729" s="314"/>
      <c r="H1729" s="315"/>
      <c r="I1729" s="315"/>
      <c r="BA1729" s="30"/>
      <c r="BB1729" s="155"/>
      <c r="BC1729" s="314"/>
      <c r="BD1729" s="314"/>
      <c r="BE1729" s="314"/>
      <c r="BF1729" s="314"/>
      <c r="BG1729" s="314"/>
      <c r="BH1729" s="314"/>
      <c r="BI1729" s="314"/>
      <c r="BJ1729" s="314"/>
      <c r="BK1729" s="40"/>
      <c r="BL1729" s="40"/>
      <c r="BM1729" s="40"/>
      <c r="BN1729" s="40"/>
      <c r="BO1729" s="40"/>
      <c r="BP1729" s="155"/>
      <c r="BQ1729" s="314"/>
      <c r="BR1729" s="314"/>
      <c r="BS1729" s="314"/>
      <c r="BT1729" s="314"/>
      <c r="BU1729" s="314"/>
      <c r="BV1729" s="314"/>
      <c r="BW1729" s="314"/>
      <c r="BX1729" s="155"/>
    </row>
    <row r="1730" spans="1:76" ht="15.75" customHeight="1">
      <c r="A1730" s="25"/>
      <c r="B1730" s="39"/>
      <c r="C1730" s="155"/>
      <c r="D1730" s="155"/>
      <c r="E1730" s="40"/>
      <c r="F1730" s="314"/>
      <c r="H1730" s="315"/>
      <c r="I1730" s="315"/>
      <c r="BA1730" s="30"/>
      <c r="BB1730" s="155"/>
      <c r="BC1730" s="314"/>
      <c r="BD1730" s="314"/>
      <c r="BE1730" s="314"/>
      <c r="BF1730" s="314"/>
      <c r="BG1730" s="314"/>
      <c r="BH1730" s="314"/>
      <c r="BI1730" s="314"/>
      <c r="BJ1730" s="314"/>
      <c r="BK1730" s="40"/>
      <c r="BL1730" s="40"/>
      <c r="BM1730" s="40"/>
      <c r="BN1730" s="40"/>
      <c r="BO1730" s="40"/>
      <c r="BP1730" s="155"/>
      <c r="BQ1730" s="314"/>
      <c r="BR1730" s="314"/>
      <c r="BS1730" s="314"/>
      <c r="BT1730" s="314"/>
      <c r="BU1730" s="314"/>
      <c r="BV1730" s="314"/>
      <c r="BW1730" s="314"/>
      <c r="BX1730" s="155"/>
    </row>
    <row r="1731" spans="1:76" ht="15.75" customHeight="1">
      <c r="A1731" s="25"/>
      <c r="B1731" s="39"/>
      <c r="C1731" s="155"/>
      <c r="D1731" s="155"/>
      <c r="E1731" s="40"/>
      <c r="F1731" s="314"/>
      <c r="H1731" s="315"/>
      <c r="I1731" s="315"/>
      <c r="BA1731" s="30"/>
      <c r="BB1731" s="155"/>
      <c r="BC1731" s="314"/>
      <c r="BD1731" s="314"/>
      <c r="BE1731" s="314"/>
      <c r="BF1731" s="314"/>
      <c r="BG1731" s="314"/>
      <c r="BH1731" s="314"/>
      <c r="BI1731" s="314"/>
      <c r="BJ1731" s="314"/>
      <c r="BK1731" s="40"/>
      <c r="BL1731" s="40"/>
      <c r="BM1731" s="40"/>
      <c r="BN1731" s="40"/>
      <c r="BO1731" s="40"/>
      <c r="BP1731" s="155"/>
      <c r="BQ1731" s="314"/>
      <c r="BR1731" s="314"/>
      <c r="BS1731" s="314"/>
      <c r="BT1731" s="314"/>
      <c r="BU1731" s="314"/>
      <c r="BV1731" s="314"/>
      <c r="BW1731" s="314"/>
      <c r="BX1731" s="155"/>
    </row>
    <row r="1732" spans="1:76" ht="15.75" customHeight="1">
      <c r="A1732" s="25"/>
      <c r="B1732" s="39"/>
      <c r="C1732" s="155"/>
      <c r="D1732" s="155"/>
      <c r="E1732" s="40"/>
      <c r="F1732" s="314"/>
      <c r="H1732" s="315"/>
      <c r="I1732" s="315"/>
      <c r="BA1732" s="30"/>
      <c r="BB1732" s="155"/>
      <c r="BC1732" s="314"/>
      <c r="BD1732" s="314"/>
      <c r="BE1732" s="314"/>
      <c r="BF1732" s="314"/>
      <c r="BG1732" s="314"/>
      <c r="BH1732" s="314"/>
      <c r="BI1732" s="314"/>
      <c r="BJ1732" s="314"/>
      <c r="BK1732" s="40"/>
      <c r="BL1732" s="40"/>
      <c r="BM1732" s="40"/>
      <c r="BN1732" s="40"/>
      <c r="BO1732" s="40"/>
      <c r="BP1732" s="155"/>
      <c r="BQ1732" s="314"/>
      <c r="BR1732" s="314"/>
      <c r="BS1732" s="314"/>
      <c r="BT1732" s="314"/>
      <c r="BU1732" s="314"/>
      <c r="BV1732" s="314"/>
      <c r="BW1732" s="314"/>
      <c r="BX1732" s="155"/>
    </row>
    <row r="1733" spans="1:76" ht="15.75" customHeight="1">
      <c r="A1733" s="25"/>
      <c r="B1733" s="39"/>
      <c r="C1733" s="155"/>
      <c r="D1733" s="155"/>
      <c r="E1733" s="40"/>
      <c r="F1733" s="314"/>
      <c r="H1733" s="315"/>
      <c r="I1733" s="315"/>
      <c r="BA1733" s="30"/>
      <c r="BB1733" s="155"/>
      <c r="BC1733" s="314"/>
      <c r="BD1733" s="314"/>
      <c r="BE1733" s="314"/>
      <c r="BF1733" s="314"/>
      <c r="BG1733" s="314"/>
      <c r="BH1733" s="314"/>
      <c r="BI1733" s="314"/>
      <c r="BJ1733" s="314"/>
      <c r="BK1733" s="40"/>
      <c r="BL1733" s="40"/>
      <c r="BM1733" s="40"/>
      <c r="BN1733" s="40"/>
      <c r="BO1733" s="40"/>
      <c r="BP1733" s="155"/>
      <c r="BQ1733" s="314"/>
      <c r="BR1733" s="314"/>
      <c r="BS1733" s="314"/>
      <c r="BT1733" s="314"/>
      <c r="BU1733" s="314"/>
      <c r="BV1733" s="314"/>
      <c r="BW1733" s="314"/>
      <c r="BX1733" s="155"/>
    </row>
    <row r="1734" spans="1:76" ht="15.75" customHeight="1">
      <c r="A1734" s="25"/>
      <c r="B1734" s="39"/>
      <c r="C1734" s="155"/>
      <c r="D1734" s="155"/>
      <c r="E1734" s="40"/>
      <c r="F1734" s="314"/>
      <c r="H1734" s="315"/>
      <c r="I1734" s="315"/>
      <c r="BA1734" s="30"/>
      <c r="BB1734" s="155"/>
      <c r="BC1734" s="314"/>
      <c r="BD1734" s="314"/>
      <c r="BE1734" s="314"/>
      <c r="BF1734" s="314"/>
      <c r="BG1734" s="314"/>
      <c r="BH1734" s="314"/>
      <c r="BI1734" s="314"/>
      <c r="BJ1734" s="314"/>
      <c r="BK1734" s="40"/>
      <c r="BL1734" s="40"/>
      <c r="BM1734" s="40"/>
      <c r="BN1734" s="40"/>
      <c r="BO1734" s="40"/>
      <c r="BP1734" s="155"/>
      <c r="BQ1734" s="314"/>
      <c r="BR1734" s="314"/>
      <c r="BS1734" s="314"/>
      <c r="BT1734" s="314"/>
      <c r="BU1734" s="314"/>
      <c r="BV1734" s="314"/>
      <c r="BW1734" s="314"/>
      <c r="BX1734" s="155"/>
    </row>
    <row r="1735" spans="1:76" ht="15.75" customHeight="1">
      <c r="A1735" s="25"/>
      <c r="B1735" s="39"/>
      <c r="C1735" s="155"/>
      <c r="D1735" s="155"/>
      <c r="E1735" s="40"/>
      <c r="F1735" s="314"/>
      <c r="H1735" s="315"/>
      <c r="I1735" s="315"/>
      <c r="BA1735" s="30"/>
      <c r="BB1735" s="155"/>
      <c r="BC1735" s="314"/>
      <c r="BD1735" s="314"/>
      <c r="BE1735" s="314"/>
      <c r="BF1735" s="314"/>
      <c r="BG1735" s="314"/>
      <c r="BH1735" s="314"/>
      <c r="BI1735" s="314"/>
      <c r="BJ1735" s="314"/>
      <c r="BK1735" s="40"/>
      <c r="BL1735" s="40"/>
      <c r="BM1735" s="40"/>
      <c r="BN1735" s="40"/>
      <c r="BO1735" s="40"/>
      <c r="BP1735" s="155"/>
      <c r="BQ1735" s="314"/>
      <c r="BR1735" s="314"/>
      <c r="BS1735" s="314"/>
      <c r="BT1735" s="314"/>
      <c r="BU1735" s="314"/>
      <c r="BV1735" s="314"/>
      <c r="BW1735" s="314"/>
      <c r="BX1735" s="155"/>
    </row>
    <row r="1736" spans="1:76" ht="15.75" customHeight="1">
      <c r="A1736" s="25"/>
      <c r="B1736" s="39"/>
      <c r="C1736" s="155"/>
      <c r="D1736" s="155"/>
      <c r="E1736" s="40"/>
      <c r="F1736" s="314"/>
      <c r="H1736" s="315"/>
      <c r="I1736" s="315"/>
      <c r="BA1736" s="30"/>
      <c r="BB1736" s="155"/>
      <c r="BC1736" s="314"/>
      <c r="BD1736" s="314"/>
      <c r="BE1736" s="314"/>
      <c r="BF1736" s="314"/>
      <c r="BG1736" s="314"/>
      <c r="BH1736" s="314"/>
      <c r="BI1736" s="314"/>
      <c r="BJ1736" s="314"/>
      <c r="BK1736" s="40"/>
      <c r="BL1736" s="40"/>
      <c r="BM1736" s="40"/>
      <c r="BN1736" s="40"/>
      <c r="BO1736" s="40"/>
      <c r="BP1736" s="155"/>
      <c r="BQ1736" s="314"/>
      <c r="BR1736" s="314"/>
      <c r="BS1736" s="314"/>
      <c r="BT1736" s="314"/>
      <c r="BU1736" s="314"/>
      <c r="BV1736" s="314"/>
      <c r="BW1736" s="314"/>
      <c r="BX1736" s="155"/>
    </row>
    <row r="1737" spans="1:76" ht="15.75" customHeight="1">
      <c r="A1737" s="25"/>
      <c r="B1737" s="39"/>
      <c r="C1737" s="155"/>
      <c r="D1737" s="155"/>
      <c r="E1737" s="40"/>
      <c r="F1737" s="314"/>
      <c r="H1737" s="315"/>
      <c r="I1737" s="315"/>
      <c r="BA1737" s="30"/>
      <c r="BB1737" s="155"/>
      <c r="BC1737" s="314"/>
      <c r="BD1737" s="314"/>
      <c r="BE1737" s="314"/>
      <c r="BF1737" s="314"/>
      <c r="BG1737" s="314"/>
      <c r="BH1737" s="314"/>
      <c r="BI1737" s="314"/>
      <c r="BJ1737" s="314"/>
      <c r="BK1737" s="40"/>
      <c r="BL1737" s="40"/>
      <c r="BM1737" s="40"/>
      <c r="BN1737" s="40"/>
      <c r="BO1737" s="40"/>
      <c r="BP1737" s="155"/>
      <c r="BQ1737" s="314"/>
      <c r="BR1737" s="314"/>
      <c r="BS1737" s="314"/>
      <c r="BT1737" s="314"/>
      <c r="BU1737" s="314"/>
      <c r="BV1737" s="314"/>
      <c r="BW1737" s="314"/>
      <c r="BX1737" s="155"/>
    </row>
    <row r="1738" spans="1:76" ht="15.75" customHeight="1">
      <c r="A1738" s="25"/>
      <c r="B1738" s="39"/>
      <c r="C1738" s="155"/>
      <c r="D1738" s="155"/>
      <c r="E1738" s="40"/>
      <c r="F1738" s="314"/>
      <c r="H1738" s="315"/>
      <c r="I1738" s="315"/>
      <c r="BA1738" s="30"/>
      <c r="BB1738" s="155"/>
      <c r="BC1738" s="314"/>
      <c r="BD1738" s="314"/>
      <c r="BE1738" s="314"/>
      <c r="BF1738" s="314"/>
      <c r="BG1738" s="314"/>
      <c r="BH1738" s="314"/>
      <c r="BI1738" s="314"/>
      <c r="BJ1738" s="314"/>
      <c r="BK1738" s="40"/>
      <c r="BL1738" s="40"/>
      <c r="BM1738" s="40"/>
      <c r="BN1738" s="40"/>
      <c r="BO1738" s="40"/>
      <c r="BP1738" s="155"/>
      <c r="BQ1738" s="314"/>
      <c r="BR1738" s="314"/>
      <c r="BS1738" s="314"/>
      <c r="BT1738" s="314"/>
      <c r="BU1738" s="314"/>
      <c r="BV1738" s="314"/>
      <c r="BW1738" s="314"/>
      <c r="BX1738" s="155"/>
    </row>
    <row r="1739" spans="1:76" ht="15.75" customHeight="1">
      <c r="A1739" s="25"/>
      <c r="B1739" s="39"/>
      <c r="C1739" s="155"/>
      <c r="D1739" s="155"/>
      <c r="E1739" s="40"/>
      <c r="F1739" s="314"/>
      <c r="H1739" s="315"/>
      <c r="I1739" s="315"/>
      <c r="BA1739" s="30"/>
      <c r="BB1739" s="155"/>
      <c r="BC1739" s="314"/>
      <c r="BD1739" s="314"/>
      <c r="BE1739" s="314"/>
      <c r="BF1739" s="314"/>
      <c r="BG1739" s="314"/>
      <c r="BH1739" s="314"/>
      <c r="BI1739" s="314"/>
      <c r="BJ1739" s="314"/>
      <c r="BK1739" s="40"/>
      <c r="BL1739" s="40"/>
      <c r="BM1739" s="40"/>
      <c r="BN1739" s="40"/>
      <c r="BO1739" s="40"/>
      <c r="BP1739" s="155"/>
      <c r="BQ1739" s="314"/>
      <c r="BR1739" s="314"/>
      <c r="BS1739" s="314"/>
      <c r="BT1739" s="314"/>
      <c r="BU1739" s="314"/>
      <c r="BV1739" s="314"/>
      <c r="BW1739" s="314"/>
      <c r="BX1739" s="155"/>
    </row>
    <row r="1740" spans="1:76" ht="15.75" customHeight="1">
      <c r="A1740" s="25"/>
      <c r="B1740" s="39"/>
      <c r="C1740" s="155"/>
      <c r="D1740" s="155"/>
      <c r="E1740" s="40"/>
      <c r="F1740" s="314"/>
      <c r="H1740" s="315"/>
      <c r="I1740" s="315"/>
      <c r="BA1740" s="30"/>
      <c r="BB1740" s="155"/>
      <c r="BC1740" s="314"/>
      <c r="BD1740" s="314"/>
      <c r="BE1740" s="314"/>
      <c r="BF1740" s="314"/>
      <c r="BG1740" s="314"/>
      <c r="BH1740" s="314"/>
      <c r="BI1740" s="314"/>
      <c r="BJ1740" s="314"/>
      <c r="BK1740" s="40"/>
      <c r="BL1740" s="40"/>
      <c r="BM1740" s="40"/>
      <c r="BN1740" s="40"/>
      <c r="BO1740" s="40"/>
      <c r="BP1740" s="155"/>
      <c r="BQ1740" s="314"/>
      <c r="BR1740" s="314"/>
      <c r="BS1740" s="314"/>
      <c r="BT1740" s="314"/>
      <c r="BU1740" s="314"/>
      <c r="BV1740" s="314"/>
      <c r="BW1740" s="314"/>
      <c r="BX1740" s="155"/>
    </row>
    <row r="1741" spans="1:76" ht="15.75" customHeight="1">
      <c r="A1741" s="25"/>
      <c r="B1741" s="39"/>
      <c r="C1741" s="155"/>
      <c r="D1741" s="155"/>
      <c r="E1741" s="40"/>
      <c r="F1741" s="314"/>
      <c r="H1741" s="315"/>
      <c r="I1741" s="315"/>
      <c r="BA1741" s="30"/>
      <c r="BB1741" s="155"/>
      <c r="BC1741" s="314"/>
      <c r="BD1741" s="314"/>
      <c r="BE1741" s="314"/>
      <c r="BF1741" s="314"/>
      <c r="BG1741" s="314"/>
      <c r="BH1741" s="314"/>
      <c r="BI1741" s="314"/>
      <c r="BJ1741" s="314"/>
      <c r="BK1741" s="40"/>
      <c r="BL1741" s="40"/>
      <c r="BM1741" s="40"/>
      <c r="BN1741" s="40"/>
      <c r="BO1741" s="40"/>
      <c r="BP1741" s="155"/>
      <c r="BQ1741" s="314"/>
      <c r="BR1741" s="314"/>
      <c r="BS1741" s="314"/>
      <c r="BT1741" s="314"/>
      <c r="BU1741" s="314"/>
      <c r="BV1741" s="314"/>
      <c r="BW1741" s="314"/>
      <c r="BX1741" s="155"/>
    </row>
    <row r="1742" spans="1:76" ht="15.75" customHeight="1">
      <c r="A1742" s="25"/>
      <c r="B1742" s="39"/>
      <c r="C1742" s="155"/>
      <c r="D1742" s="155"/>
      <c r="E1742" s="40"/>
      <c r="F1742" s="314"/>
      <c r="H1742" s="315"/>
      <c r="I1742" s="315"/>
      <c r="BA1742" s="30"/>
      <c r="BB1742" s="155"/>
      <c r="BC1742" s="314"/>
      <c r="BD1742" s="314"/>
      <c r="BE1742" s="314"/>
      <c r="BF1742" s="314"/>
      <c r="BG1742" s="314"/>
      <c r="BH1742" s="314"/>
      <c r="BI1742" s="314"/>
      <c r="BJ1742" s="314"/>
      <c r="BK1742" s="40"/>
      <c r="BL1742" s="40"/>
      <c r="BM1742" s="40"/>
      <c r="BN1742" s="40"/>
      <c r="BO1742" s="40"/>
      <c r="BP1742" s="155"/>
      <c r="BQ1742" s="314"/>
      <c r="BR1742" s="314"/>
      <c r="BS1742" s="314"/>
      <c r="BT1742" s="314"/>
      <c r="BU1742" s="314"/>
      <c r="BV1742" s="314"/>
      <c r="BW1742" s="314"/>
      <c r="BX1742" s="155"/>
    </row>
    <row r="1743" spans="1:76" ht="15.75" customHeight="1">
      <c r="A1743" s="25"/>
      <c r="B1743" s="39"/>
      <c r="C1743" s="155"/>
      <c r="D1743" s="155"/>
      <c r="E1743" s="40"/>
      <c r="F1743" s="314"/>
      <c r="H1743" s="315"/>
      <c r="I1743" s="315"/>
      <c r="BA1743" s="30"/>
      <c r="BB1743" s="155"/>
      <c r="BC1743" s="314"/>
      <c r="BD1743" s="314"/>
      <c r="BE1743" s="314"/>
      <c r="BF1743" s="314"/>
      <c r="BG1743" s="314"/>
      <c r="BH1743" s="314"/>
      <c r="BI1743" s="314"/>
      <c r="BJ1743" s="314"/>
      <c r="BK1743" s="40"/>
      <c r="BL1743" s="40"/>
      <c r="BM1743" s="40"/>
      <c r="BN1743" s="40"/>
      <c r="BO1743" s="40"/>
      <c r="BP1743" s="155"/>
      <c r="BQ1743" s="314"/>
      <c r="BR1743" s="314"/>
      <c r="BS1743" s="314"/>
      <c r="BT1743" s="314"/>
      <c r="BU1743" s="314"/>
      <c r="BV1743" s="314"/>
      <c r="BW1743" s="314"/>
      <c r="BX1743" s="155"/>
    </row>
    <row r="1744" spans="1:76" ht="15.75" customHeight="1">
      <c r="A1744" s="25"/>
      <c r="B1744" s="39"/>
      <c r="C1744" s="155"/>
      <c r="D1744" s="155"/>
      <c r="E1744" s="40"/>
      <c r="F1744" s="314"/>
      <c r="H1744" s="315"/>
      <c r="I1744" s="315"/>
      <c r="BA1744" s="30"/>
      <c r="BB1744" s="155"/>
      <c r="BC1744" s="314"/>
      <c r="BD1744" s="314"/>
      <c r="BE1744" s="314"/>
      <c r="BF1744" s="314"/>
      <c r="BG1744" s="314"/>
      <c r="BH1744" s="314"/>
      <c r="BI1744" s="314"/>
      <c r="BJ1744" s="314"/>
      <c r="BK1744" s="40"/>
      <c r="BL1744" s="40"/>
      <c r="BM1744" s="40"/>
      <c r="BN1744" s="40"/>
      <c r="BO1744" s="40"/>
      <c r="BP1744" s="155"/>
      <c r="BQ1744" s="314"/>
      <c r="BR1744" s="314"/>
      <c r="BS1744" s="314"/>
      <c r="BT1744" s="314"/>
      <c r="BU1744" s="314"/>
      <c r="BV1744" s="314"/>
      <c r="BW1744" s="314"/>
      <c r="BX1744" s="155"/>
    </row>
    <row r="1745" spans="1:76" ht="15.75" customHeight="1">
      <c r="A1745" s="25"/>
      <c r="B1745" s="39"/>
      <c r="C1745" s="155"/>
      <c r="D1745" s="155"/>
      <c r="E1745" s="40"/>
      <c r="F1745" s="314"/>
      <c r="H1745" s="315"/>
      <c r="I1745" s="315"/>
      <c r="BA1745" s="30"/>
      <c r="BB1745" s="155"/>
      <c r="BC1745" s="322"/>
      <c r="BD1745" s="322"/>
      <c r="BE1745" s="322"/>
      <c r="BF1745" s="322"/>
      <c r="BG1745" s="322"/>
      <c r="BH1745" s="322"/>
      <c r="BI1745" s="322"/>
      <c r="BJ1745" s="322"/>
      <c r="BK1745" s="341"/>
      <c r="BL1745" s="40"/>
      <c r="BM1745" s="40"/>
      <c r="BN1745" s="40"/>
      <c r="BO1745" s="40"/>
      <c r="BP1745" s="155"/>
      <c r="BQ1745" s="314"/>
      <c r="BR1745" s="314"/>
      <c r="BS1745" s="314"/>
      <c r="BT1745" s="314"/>
      <c r="BU1745" s="314"/>
      <c r="BV1745" s="314"/>
      <c r="BW1745" s="314"/>
      <c r="BX1745" s="155"/>
    </row>
    <row r="1746" spans="1:76" ht="15.75" customHeight="1">
      <c r="A1746" s="25"/>
      <c r="B1746" s="39"/>
      <c r="C1746" s="155"/>
      <c r="D1746" s="155"/>
      <c r="E1746" s="40"/>
      <c r="F1746" s="314"/>
      <c r="H1746" s="315"/>
      <c r="I1746" s="315"/>
      <c r="BA1746" s="30"/>
      <c r="BB1746" s="155"/>
      <c r="BC1746" s="314"/>
      <c r="BD1746" s="314"/>
      <c r="BE1746" s="314"/>
      <c r="BF1746" s="314"/>
      <c r="BG1746" s="314"/>
      <c r="BH1746" s="314"/>
      <c r="BI1746" s="314"/>
      <c r="BJ1746" s="314"/>
      <c r="BK1746" s="40"/>
      <c r="BL1746" s="40"/>
      <c r="BM1746" s="40"/>
      <c r="BN1746" s="40"/>
      <c r="BO1746" s="40"/>
      <c r="BP1746" s="155"/>
      <c r="BQ1746" s="314"/>
      <c r="BR1746" s="314"/>
      <c r="BS1746" s="314"/>
      <c r="BT1746" s="314"/>
      <c r="BU1746" s="314"/>
      <c r="BV1746" s="314"/>
      <c r="BW1746" s="314"/>
      <c r="BX1746" s="155"/>
    </row>
    <row r="1747" spans="1:76" ht="15.75" customHeight="1">
      <c r="A1747" s="25"/>
      <c r="B1747" s="39"/>
      <c r="C1747" s="155"/>
      <c r="D1747" s="155"/>
      <c r="E1747" s="40"/>
      <c r="F1747" s="314"/>
      <c r="H1747" s="315"/>
      <c r="I1747" s="315"/>
      <c r="BA1747" s="30"/>
      <c r="BB1747" s="155"/>
      <c r="BC1747" s="314"/>
      <c r="BD1747" s="314"/>
      <c r="BE1747" s="314"/>
      <c r="BF1747" s="314"/>
      <c r="BG1747" s="314"/>
      <c r="BH1747" s="314"/>
      <c r="BI1747" s="314"/>
      <c r="BJ1747" s="314"/>
      <c r="BK1747" s="40"/>
      <c r="BL1747" s="40"/>
      <c r="BM1747" s="40"/>
      <c r="BN1747" s="40"/>
      <c r="BO1747" s="40"/>
      <c r="BP1747" s="155"/>
      <c r="BQ1747" s="314"/>
      <c r="BR1747" s="314"/>
      <c r="BS1747" s="314"/>
      <c r="BT1747" s="314"/>
      <c r="BU1747" s="314"/>
      <c r="BV1747" s="314"/>
      <c r="BW1747" s="314"/>
      <c r="BX1747" s="155"/>
    </row>
    <row r="1748" spans="1:76" ht="15.75" customHeight="1">
      <c r="A1748" s="25"/>
      <c r="B1748" s="39"/>
      <c r="C1748" s="155"/>
      <c r="D1748" s="155"/>
      <c r="E1748" s="40"/>
      <c r="F1748" s="314"/>
      <c r="H1748" s="315"/>
      <c r="I1748" s="315"/>
      <c r="BA1748" s="30"/>
      <c r="BB1748" s="155"/>
      <c r="BC1748" s="314"/>
      <c r="BD1748" s="314"/>
      <c r="BE1748" s="314"/>
      <c r="BF1748" s="314"/>
      <c r="BG1748" s="314"/>
      <c r="BH1748" s="314"/>
      <c r="BI1748" s="314"/>
      <c r="BJ1748" s="314"/>
      <c r="BK1748" s="40"/>
      <c r="BL1748" s="40"/>
      <c r="BM1748" s="40"/>
      <c r="BN1748" s="40"/>
      <c r="BO1748" s="40"/>
      <c r="BP1748" s="155"/>
      <c r="BQ1748" s="314"/>
      <c r="BR1748" s="314"/>
      <c r="BS1748" s="314"/>
      <c r="BT1748" s="314"/>
      <c r="BU1748" s="314"/>
      <c r="BV1748" s="314"/>
      <c r="BW1748" s="314"/>
      <c r="BX1748" s="155"/>
    </row>
    <row r="1749" spans="1:76" ht="15.75" customHeight="1">
      <c r="A1749" s="25"/>
      <c r="B1749" s="39"/>
      <c r="C1749" s="155"/>
      <c r="D1749" s="155"/>
      <c r="E1749" s="40"/>
      <c r="F1749" s="314"/>
      <c r="H1749" s="315"/>
      <c r="I1749" s="315"/>
      <c r="BA1749" s="30"/>
      <c r="BB1749" s="155"/>
      <c r="BC1749" s="314"/>
      <c r="BD1749" s="314"/>
      <c r="BE1749" s="314"/>
      <c r="BF1749" s="314"/>
      <c r="BG1749" s="314"/>
      <c r="BH1749" s="314"/>
      <c r="BI1749" s="314"/>
      <c r="BJ1749" s="314"/>
      <c r="BK1749" s="40"/>
      <c r="BL1749" s="40"/>
      <c r="BM1749" s="40"/>
      <c r="BN1749" s="40"/>
      <c r="BO1749" s="40"/>
      <c r="BP1749" s="155"/>
      <c r="BQ1749" s="314"/>
      <c r="BR1749" s="314"/>
      <c r="BS1749" s="314"/>
      <c r="BT1749" s="314"/>
      <c r="BU1749" s="314"/>
      <c r="BV1749" s="314"/>
      <c r="BW1749" s="314"/>
      <c r="BX1749" s="155"/>
    </row>
    <row r="1750" spans="1:76" ht="15.75" customHeight="1">
      <c r="A1750" s="25"/>
      <c r="B1750" s="39"/>
      <c r="C1750" s="155"/>
      <c r="D1750" s="155"/>
      <c r="E1750" s="40"/>
      <c r="F1750" s="314"/>
      <c r="H1750" s="315"/>
      <c r="I1750" s="315"/>
      <c r="BA1750" s="30"/>
      <c r="BB1750" s="155"/>
      <c r="BC1750" s="314"/>
      <c r="BD1750" s="314"/>
      <c r="BE1750" s="314"/>
      <c r="BF1750" s="314"/>
      <c r="BG1750" s="314"/>
      <c r="BH1750" s="314"/>
      <c r="BI1750" s="314"/>
      <c r="BJ1750" s="314"/>
      <c r="BK1750" s="40"/>
      <c r="BL1750" s="40"/>
      <c r="BM1750" s="40"/>
      <c r="BN1750" s="40"/>
      <c r="BO1750" s="40"/>
      <c r="BP1750" s="155"/>
      <c r="BQ1750" s="314"/>
      <c r="BR1750" s="314"/>
      <c r="BS1750" s="314"/>
      <c r="BT1750" s="314"/>
      <c r="BU1750" s="314"/>
      <c r="BV1750" s="314"/>
      <c r="BW1750" s="314"/>
      <c r="BX1750" s="155"/>
    </row>
    <row r="1751" spans="1:76" ht="15.75" customHeight="1">
      <c r="A1751" s="25"/>
      <c r="B1751" s="39"/>
      <c r="C1751" s="155"/>
      <c r="D1751" s="155"/>
      <c r="E1751" s="40"/>
      <c r="F1751" s="314"/>
      <c r="H1751" s="315"/>
      <c r="I1751" s="315"/>
      <c r="BA1751" s="30"/>
      <c r="BB1751" s="155"/>
      <c r="BC1751" s="314"/>
      <c r="BD1751" s="314"/>
      <c r="BE1751" s="314"/>
      <c r="BF1751" s="314"/>
      <c r="BG1751" s="314"/>
      <c r="BH1751" s="314"/>
      <c r="BI1751" s="314"/>
      <c r="BJ1751" s="314"/>
      <c r="BK1751" s="40"/>
      <c r="BL1751" s="40"/>
      <c r="BM1751" s="40"/>
      <c r="BN1751" s="40"/>
      <c r="BO1751" s="40"/>
      <c r="BP1751" s="155"/>
      <c r="BQ1751" s="314"/>
      <c r="BR1751" s="314"/>
      <c r="BS1751" s="314"/>
      <c r="BT1751" s="314"/>
      <c r="BU1751" s="314"/>
      <c r="BV1751" s="314"/>
      <c r="BW1751" s="314"/>
      <c r="BX1751" s="155"/>
    </row>
    <row r="1752" spans="1:76" ht="15.75" customHeight="1">
      <c r="A1752" s="25"/>
      <c r="B1752" s="39"/>
      <c r="C1752" s="155"/>
      <c r="D1752" s="155"/>
      <c r="E1752" s="40"/>
      <c r="F1752" s="314"/>
      <c r="H1752" s="315"/>
      <c r="I1752" s="315"/>
      <c r="BA1752" s="30"/>
      <c r="BB1752" s="155"/>
      <c r="BC1752" s="314"/>
      <c r="BD1752" s="314"/>
      <c r="BE1752" s="314"/>
      <c r="BF1752" s="314"/>
      <c r="BG1752" s="314"/>
      <c r="BH1752" s="314"/>
      <c r="BI1752" s="314"/>
      <c r="BJ1752" s="314"/>
      <c r="BK1752" s="40"/>
      <c r="BL1752" s="40"/>
      <c r="BM1752" s="40"/>
      <c r="BN1752" s="40"/>
      <c r="BO1752" s="40"/>
      <c r="BP1752" s="155"/>
      <c r="BQ1752" s="314"/>
      <c r="BR1752" s="314"/>
      <c r="BS1752" s="314"/>
      <c r="BT1752" s="314"/>
      <c r="BU1752" s="314"/>
      <c r="BV1752" s="314"/>
      <c r="BW1752" s="314"/>
      <c r="BX1752" s="155"/>
    </row>
    <row r="1753" spans="1:76" ht="15.75" customHeight="1">
      <c r="A1753" s="25"/>
      <c r="B1753" s="39"/>
      <c r="C1753" s="155"/>
      <c r="D1753" s="155"/>
      <c r="E1753" s="40"/>
      <c r="F1753" s="314"/>
      <c r="H1753" s="315"/>
      <c r="I1753" s="315"/>
      <c r="BA1753" s="30"/>
      <c r="BB1753" s="155"/>
      <c r="BC1753" s="314"/>
      <c r="BD1753" s="314"/>
      <c r="BE1753" s="314"/>
      <c r="BF1753" s="314"/>
      <c r="BG1753" s="314"/>
      <c r="BH1753" s="314"/>
      <c r="BI1753" s="314"/>
      <c r="BJ1753" s="314"/>
      <c r="BK1753" s="40"/>
      <c r="BL1753" s="40"/>
      <c r="BM1753" s="40"/>
      <c r="BN1753" s="40"/>
      <c r="BO1753" s="40"/>
      <c r="BP1753" s="155"/>
      <c r="BQ1753" s="314"/>
      <c r="BR1753" s="314"/>
      <c r="BS1753" s="314"/>
      <c r="BT1753" s="314"/>
      <c r="BU1753" s="314"/>
      <c r="BV1753" s="314"/>
      <c r="BW1753" s="314"/>
      <c r="BX1753" s="155"/>
    </row>
    <row r="1754" spans="1:76" ht="15.75" customHeight="1">
      <c r="A1754" s="25"/>
      <c r="B1754" s="39"/>
      <c r="C1754" s="155"/>
      <c r="D1754" s="155"/>
      <c r="E1754" s="40"/>
      <c r="F1754" s="314"/>
      <c r="H1754" s="315"/>
      <c r="I1754" s="315"/>
      <c r="BA1754" s="30"/>
      <c r="BB1754" s="155"/>
      <c r="BC1754" s="314"/>
      <c r="BD1754" s="314"/>
      <c r="BE1754" s="314"/>
      <c r="BF1754" s="314"/>
      <c r="BG1754" s="314"/>
      <c r="BH1754" s="314"/>
      <c r="BI1754" s="314"/>
      <c r="BJ1754" s="314"/>
      <c r="BK1754" s="40"/>
      <c r="BL1754" s="40"/>
      <c r="BM1754" s="40"/>
      <c r="BN1754" s="40"/>
      <c r="BO1754" s="40"/>
      <c r="BP1754" s="155"/>
      <c r="BQ1754" s="314"/>
      <c r="BR1754" s="314"/>
      <c r="BS1754" s="314"/>
      <c r="BT1754" s="314"/>
      <c r="BU1754" s="314"/>
      <c r="BV1754" s="314"/>
      <c r="BW1754" s="314"/>
      <c r="BX1754" s="155"/>
    </row>
    <row r="1755" spans="1:76" ht="15.75" customHeight="1">
      <c r="A1755" s="25"/>
      <c r="B1755" s="39"/>
      <c r="C1755" s="155"/>
      <c r="D1755" s="155"/>
      <c r="E1755" s="40"/>
      <c r="F1755" s="314"/>
      <c r="H1755" s="315"/>
      <c r="I1755" s="315"/>
      <c r="BA1755" s="30"/>
      <c r="BB1755" s="155"/>
      <c r="BC1755" s="314"/>
      <c r="BD1755" s="314"/>
      <c r="BE1755" s="314"/>
      <c r="BF1755" s="314"/>
      <c r="BG1755" s="314"/>
      <c r="BH1755" s="314"/>
      <c r="BI1755" s="314"/>
      <c r="BJ1755" s="314"/>
      <c r="BK1755" s="40"/>
      <c r="BL1755" s="40"/>
      <c r="BM1755" s="40"/>
      <c r="BN1755" s="40"/>
      <c r="BO1755" s="40"/>
      <c r="BP1755" s="155"/>
      <c r="BQ1755" s="314"/>
      <c r="BR1755" s="314"/>
      <c r="BS1755" s="314"/>
      <c r="BT1755" s="314"/>
      <c r="BU1755" s="314"/>
      <c r="BV1755" s="314"/>
      <c r="BW1755" s="314"/>
      <c r="BX1755" s="155"/>
    </row>
    <row r="1756" spans="1:76" ht="15.75" customHeight="1">
      <c r="A1756" s="25"/>
      <c r="B1756" s="39"/>
      <c r="C1756" s="155"/>
      <c r="D1756" s="155"/>
      <c r="E1756" s="40"/>
      <c r="F1756" s="314"/>
      <c r="H1756" s="315"/>
      <c r="I1756" s="315"/>
      <c r="BA1756" s="30"/>
      <c r="BB1756" s="155"/>
      <c r="BC1756" s="314"/>
      <c r="BD1756" s="314"/>
      <c r="BE1756" s="314"/>
      <c r="BF1756" s="314"/>
      <c r="BG1756" s="314"/>
      <c r="BH1756" s="314"/>
      <c r="BI1756" s="314"/>
      <c r="BJ1756" s="314"/>
      <c r="BK1756" s="40"/>
      <c r="BL1756" s="40"/>
      <c r="BM1756" s="40"/>
      <c r="BN1756" s="40"/>
      <c r="BO1756" s="40"/>
      <c r="BP1756" s="155"/>
      <c r="BQ1756" s="314"/>
      <c r="BR1756" s="314"/>
      <c r="BS1756" s="314"/>
      <c r="BT1756" s="314"/>
      <c r="BU1756" s="314"/>
      <c r="BV1756" s="314"/>
      <c r="BW1756" s="314"/>
      <c r="BX1756" s="155"/>
    </row>
    <row r="1757" spans="1:76" ht="15.75" customHeight="1">
      <c r="A1757" s="25"/>
      <c r="B1757" s="39"/>
      <c r="C1757" s="155"/>
      <c r="D1757" s="155"/>
      <c r="E1757" s="40"/>
      <c r="F1757" s="314"/>
      <c r="H1757" s="315"/>
      <c r="I1757" s="315"/>
      <c r="BA1757" s="30"/>
      <c r="BB1757" s="155"/>
      <c r="BC1757" s="314"/>
      <c r="BD1757" s="314"/>
      <c r="BE1757" s="314"/>
      <c r="BF1757" s="314"/>
      <c r="BG1757" s="314"/>
      <c r="BH1757" s="314"/>
      <c r="BI1757" s="314"/>
      <c r="BJ1757" s="314"/>
      <c r="BK1757" s="40"/>
      <c r="BL1757" s="40"/>
      <c r="BM1757" s="40"/>
      <c r="BN1757" s="40"/>
      <c r="BO1757" s="40"/>
      <c r="BP1757" s="155"/>
      <c r="BQ1757" s="314"/>
      <c r="BR1757" s="314"/>
      <c r="BS1757" s="314"/>
      <c r="BT1757" s="314"/>
      <c r="BU1757" s="314"/>
      <c r="BV1757" s="314"/>
      <c r="BW1757" s="314"/>
      <c r="BX1757" s="155"/>
    </row>
    <row r="1758" spans="1:76" ht="15.75" customHeight="1">
      <c r="A1758" s="25"/>
      <c r="B1758" s="39"/>
      <c r="C1758" s="155"/>
      <c r="D1758" s="155"/>
      <c r="E1758" s="40"/>
      <c r="F1758" s="314"/>
      <c r="H1758" s="315"/>
      <c r="I1758" s="315"/>
      <c r="BA1758" s="30"/>
      <c r="BB1758" s="155"/>
      <c r="BC1758" s="314"/>
      <c r="BD1758" s="314"/>
      <c r="BE1758" s="314"/>
      <c r="BF1758" s="314"/>
      <c r="BG1758" s="314"/>
      <c r="BH1758" s="314"/>
      <c r="BI1758" s="314"/>
      <c r="BJ1758" s="314"/>
      <c r="BK1758" s="40"/>
      <c r="BL1758" s="40"/>
      <c r="BM1758" s="40"/>
      <c r="BN1758" s="40"/>
      <c r="BO1758" s="40"/>
      <c r="BP1758" s="155"/>
      <c r="BQ1758" s="314"/>
      <c r="BR1758" s="314"/>
      <c r="BS1758" s="314"/>
      <c r="BT1758" s="314"/>
      <c r="BU1758" s="314"/>
      <c r="BV1758" s="314"/>
      <c r="BW1758" s="314"/>
      <c r="BX1758" s="155"/>
    </row>
    <row r="1759" spans="1:76" ht="15.75" customHeight="1">
      <c r="A1759" s="25"/>
      <c r="B1759" s="39"/>
      <c r="C1759" s="155"/>
      <c r="D1759" s="155"/>
      <c r="E1759" s="40"/>
      <c r="F1759" s="314"/>
      <c r="H1759" s="315"/>
      <c r="I1759" s="315"/>
      <c r="BA1759" s="30"/>
      <c r="BB1759" s="155"/>
      <c r="BC1759" s="314"/>
      <c r="BD1759" s="314"/>
      <c r="BE1759" s="314"/>
      <c r="BF1759" s="314"/>
      <c r="BG1759" s="314"/>
      <c r="BH1759" s="314"/>
      <c r="BI1759" s="314"/>
      <c r="BJ1759" s="314"/>
      <c r="BK1759" s="40"/>
      <c r="BL1759" s="40"/>
      <c r="BM1759" s="40"/>
      <c r="BN1759" s="40"/>
      <c r="BO1759" s="40"/>
      <c r="BP1759" s="155"/>
      <c r="BQ1759" s="314"/>
      <c r="BR1759" s="314"/>
      <c r="BS1759" s="314"/>
      <c r="BT1759" s="314"/>
      <c r="BU1759" s="314"/>
      <c r="BV1759" s="314"/>
      <c r="BW1759" s="314"/>
      <c r="BX1759" s="155"/>
    </row>
    <row r="1760" spans="1:76" ht="15.75" customHeight="1">
      <c r="A1760" s="25"/>
      <c r="B1760" s="39"/>
      <c r="C1760" s="155"/>
      <c r="D1760" s="155"/>
      <c r="E1760" s="40"/>
      <c r="F1760" s="314"/>
      <c r="H1760" s="315"/>
      <c r="I1760" s="315"/>
      <c r="BA1760" s="30"/>
      <c r="BB1760" s="155"/>
      <c r="BC1760" s="314"/>
      <c r="BD1760" s="314"/>
      <c r="BE1760" s="314"/>
      <c r="BF1760" s="314"/>
      <c r="BG1760" s="314"/>
      <c r="BH1760" s="314"/>
      <c r="BI1760" s="314"/>
      <c r="BJ1760" s="314"/>
      <c r="BK1760" s="40"/>
      <c r="BL1760" s="40"/>
      <c r="BM1760" s="40"/>
      <c r="BN1760" s="40"/>
      <c r="BO1760" s="40"/>
      <c r="BP1760" s="155"/>
      <c r="BQ1760" s="314"/>
      <c r="BR1760" s="314"/>
      <c r="BS1760" s="314"/>
      <c r="BT1760" s="314"/>
      <c r="BU1760" s="314"/>
      <c r="BV1760" s="314"/>
      <c r="BW1760" s="314"/>
      <c r="BX1760" s="155"/>
    </row>
    <row r="1761" spans="1:76" ht="15.75" customHeight="1">
      <c r="A1761" s="25"/>
      <c r="B1761" s="39"/>
      <c r="C1761" s="155"/>
      <c r="D1761" s="155"/>
      <c r="E1761" s="40"/>
      <c r="F1761" s="314"/>
      <c r="H1761" s="315"/>
      <c r="I1761" s="315"/>
      <c r="BA1761" s="30"/>
      <c r="BB1761" s="155"/>
      <c r="BC1761" s="314"/>
      <c r="BD1761" s="314"/>
      <c r="BE1761" s="314"/>
      <c r="BF1761" s="314"/>
      <c r="BG1761" s="314"/>
      <c r="BH1761" s="314"/>
      <c r="BI1761" s="314"/>
      <c r="BJ1761" s="314"/>
      <c r="BK1761" s="40"/>
      <c r="BL1761" s="40"/>
      <c r="BM1761" s="40"/>
      <c r="BN1761" s="40"/>
      <c r="BO1761" s="40"/>
      <c r="BP1761" s="155"/>
      <c r="BQ1761" s="314"/>
      <c r="BR1761" s="314"/>
      <c r="BS1761" s="314"/>
      <c r="BT1761" s="314"/>
      <c r="BU1761" s="314"/>
      <c r="BV1761" s="314"/>
      <c r="BW1761" s="314"/>
      <c r="BX1761" s="155"/>
    </row>
    <row r="1762" spans="1:76" ht="15.75" customHeight="1">
      <c r="A1762" s="25"/>
      <c r="B1762" s="39"/>
      <c r="C1762" s="155"/>
      <c r="D1762" s="155"/>
      <c r="E1762" s="40"/>
      <c r="F1762" s="314"/>
      <c r="H1762" s="315"/>
      <c r="I1762" s="315"/>
      <c r="BA1762" s="30"/>
      <c r="BB1762" s="155"/>
      <c r="BC1762" s="314"/>
      <c r="BD1762" s="314"/>
      <c r="BE1762" s="314"/>
      <c r="BF1762" s="314"/>
      <c r="BG1762" s="314"/>
      <c r="BH1762" s="314"/>
      <c r="BI1762" s="314"/>
      <c r="BJ1762" s="314"/>
      <c r="BK1762" s="40"/>
      <c r="BL1762" s="40"/>
      <c r="BM1762" s="40"/>
      <c r="BN1762" s="40"/>
      <c r="BO1762" s="40"/>
      <c r="BP1762" s="155"/>
      <c r="BQ1762" s="314"/>
      <c r="BR1762" s="314"/>
      <c r="BS1762" s="314"/>
      <c r="BT1762" s="314"/>
      <c r="BU1762" s="314"/>
      <c r="BV1762" s="314"/>
      <c r="BW1762" s="314"/>
      <c r="BX1762" s="155"/>
    </row>
    <row r="1763" spans="1:76" ht="15.75" customHeight="1">
      <c r="A1763" s="25"/>
      <c r="B1763" s="39"/>
      <c r="C1763" s="155"/>
      <c r="D1763" s="155"/>
      <c r="E1763" s="40"/>
      <c r="F1763" s="314"/>
      <c r="H1763" s="315"/>
      <c r="I1763" s="315"/>
      <c r="BA1763" s="30"/>
      <c r="BB1763" s="155"/>
      <c r="BC1763" s="314"/>
      <c r="BD1763" s="314"/>
      <c r="BE1763" s="314"/>
      <c r="BF1763" s="314"/>
      <c r="BG1763" s="314"/>
      <c r="BH1763" s="314"/>
      <c r="BI1763" s="314"/>
      <c r="BJ1763" s="314"/>
      <c r="BK1763" s="40"/>
      <c r="BL1763" s="40"/>
      <c r="BM1763" s="40"/>
      <c r="BN1763" s="40"/>
      <c r="BO1763" s="40"/>
      <c r="BP1763" s="155"/>
      <c r="BQ1763" s="314"/>
      <c r="BR1763" s="314"/>
      <c r="BS1763" s="314"/>
      <c r="BT1763" s="314"/>
      <c r="BU1763" s="314"/>
      <c r="BV1763" s="314"/>
      <c r="BW1763" s="314"/>
      <c r="BX1763" s="155"/>
    </row>
    <row r="1764" spans="1:76" ht="15.75" customHeight="1">
      <c r="A1764" s="25"/>
      <c r="B1764" s="39"/>
      <c r="C1764" s="155"/>
      <c r="D1764" s="155"/>
      <c r="E1764" s="40"/>
      <c r="F1764" s="314"/>
      <c r="H1764" s="315"/>
      <c r="I1764" s="315"/>
      <c r="BA1764" s="30"/>
      <c r="BB1764" s="155"/>
      <c r="BC1764" s="314"/>
      <c r="BD1764" s="314"/>
      <c r="BE1764" s="314"/>
      <c r="BF1764" s="314"/>
      <c r="BG1764" s="314"/>
      <c r="BH1764" s="314"/>
      <c r="BI1764" s="314"/>
      <c r="BJ1764" s="314"/>
      <c r="BK1764" s="40"/>
      <c r="BL1764" s="40"/>
      <c r="BM1764" s="40"/>
      <c r="BN1764" s="40"/>
      <c r="BO1764" s="40"/>
      <c r="BP1764" s="155"/>
      <c r="BQ1764" s="314"/>
      <c r="BR1764" s="314"/>
      <c r="BS1764" s="314"/>
      <c r="BT1764" s="314"/>
      <c r="BU1764" s="314"/>
      <c r="BV1764" s="314"/>
      <c r="BW1764" s="314"/>
      <c r="BX1764" s="155"/>
    </row>
    <row r="1765" spans="1:76" ht="15.75" customHeight="1">
      <c r="A1765" s="25"/>
      <c r="B1765" s="39"/>
      <c r="C1765" s="155"/>
      <c r="D1765" s="155"/>
      <c r="E1765" s="40"/>
      <c r="F1765" s="314"/>
      <c r="H1765" s="315"/>
      <c r="I1765" s="315"/>
      <c r="BA1765" s="30"/>
      <c r="BB1765" s="155"/>
      <c r="BC1765" s="314"/>
      <c r="BD1765" s="314"/>
      <c r="BE1765" s="314"/>
      <c r="BF1765" s="314"/>
      <c r="BG1765" s="314"/>
      <c r="BH1765" s="314"/>
      <c r="BI1765" s="314"/>
      <c r="BJ1765" s="314"/>
      <c r="BK1765" s="40"/>
      <c r="BL1765" s="40"/>
      <c r="BM1765" s="40"/>
      <c r="BN1765" s="40"/>
      <c r="BO1765" s="40"/>
      <c r="BP1765" s="155"/>
      <c r="BQ1765" s="314"/>
      <c r="BR1765" s="314"/>
      <c r="BS1765" s="314"/>
      <c r="BT1765" s="314"/>
      <c r="BU1765" s="314"/>
      <c r="BV1765" s="314"/>
      <c r="BW1765" s="314"/>
      <c r="BX1765" s="155"/>
    </row>
    <row r="1766" spans="1:76" ht="15.75" customHeight="1">
      <c r="A1766" s="25"/>
      <c r="B1766" s="39"/>
      <c r="C1766" s="155"/>
      <c r="D1766" s="155"/>
      <c r="E1766" s="40"/>
      <c r="F1766" s="314"/>
      <c r="H1766" s="315"/>
      <c r="I1766" s="315"/>
      <c r="BA1766" s="30"/>
      <c r="BB1766" s="155"/>
      <c r="BC1766" s="314"/>
      <c r="BD1766" s="314"/>
      <c r="BE1766" s="314"/>
      <c r="BF1766" s="314"/>
      <c r="BG1766" s="314"/>
      <c r="BH1766" s="314"/>
      <c r="BI1766" s="314"/>
      <c r="BJ1766" s="314"/>
      <c r="BK1766" s="40"/>
      <c r="BL1766" s="40"/>
      <c r="BM1766" s="40"/>
      <c r="BN1766" s="40"/>
      <c r="BO1766" s="40"/>
      <c r="BP1766" s="155"/>
      <c r="BQ1766" s="314"/>
      <c r="BR1766" s="314"/>
      <c r="BS1766" s="314"/>
      <c r="BT1766" s="314"/>
      <c r="BU1766" s="314"/>
      <c r="BV1766" s="314"/>
      <c r="BW1766" s="314"/>
      <c r="BX1766" s="155"/>
    </row>
    <row r="1767" spans="1:76" ht="15.75" customHeight="1">
      <c r="A1767" s="25"/>
      <c r="B1767" s="39"/>
      <c r="C1767" s="155"/>
      <c r="D1767" s="155"/>
      <c r="E1767" s="40"/>
      <c r="F1767" s="314"/>
      <c r="H1767" s="315"/>
      <c r="I1767" s="315"/>
      <c r="BA1767" s="30"/>
      <c r="BB1767" s="155"/>
      <c r="BC1767" s="314"/>
      <c r="BD1767" s="314"/>
      <c r="BE1767" s="314"/>
      <c r="BF1767" s="314"/>
      <c r="BG1767" s="314"/>
      <c r="BH1767" s="314"/>
      <c r="BI1767" s="314"/>
      <c r="BJ1767" s="314"/>
      <c r="BK1767" s="40"/>
      <c r="BL1767" s="40"/>
      <c r="BM1767" s="40"/>
      <c r="BN1767" s="40"/>
      <c r="BO1767" s="40"/>
      <c r="BP1767" s="155"/>
      <c r="BQ1767" s="314"/>
      <c r="BR1767" s="314"/>
      <c r="BS1767" s="314"/>
      <c r="BT1767" s="314"/>
      <c r="BU1767" s="314"/>
      <c r="BV1767" s="314"/>
      <c r="BW1767" s="314"/>
      <c r="BX1767" s="155"/>
    </row>
    <row r="1768" spans="1:76" ht="15.75" customHeight="1">
      <c r="A1768" s="25"/>
      <c r="B1768" s="39"/>
      <c r="C1768" s="155"/>
      <c r="D1768" s="155"/>
      <c r="E1768" s="40"/>
      <c r="F1768" s="314"/>
      <c r="H1768" s="315"/>
      <c r="I1768" s="315"/>
      <c r="BA1768" s="30"/>
      <c r="BB1768" s="155"/>
      <c r="BC1768" s="314"/>
      <c r="BD1768" s="314"/>
      <c r="BE1768" s="314"/>
      <c r="BF1768" s="314"/>
      <c r="BG1768" s="314"/>
      <c r="BH1768" s="314"/>
      <c r="BI1768" s="314"/>
      <c r="BJ1768" s="314"/>
      <c r="BK1768" s="40"/>
      <c r="BL1768" s="40"/>
      <c r="BM1768" s="40"/>
      <c r="BN1768" s="40"/>
      <c r="BO1768" s="40"/>
      <c r="BP1768" s="155"/>
      <c r="BQ1768" s="314"/>
      <c r="BR1768" s="314"/>
      <c r="BS1768" s="314"/>
      <c r="BT1768" s="314"/>
      <c r="BU1768" s="314"/>
      <c r="BV1768" s="314"/>
      <c r="BW1768" s="314"/>
      <c r="BX1768" s="155"/>
    </row>
    <row r="1769" spans="1:76" ht="15.75" customHeight="1">
      <c r="A1769" s="25"/>
      <c r="B1769" s="39"/>
      <c r="C1769" s="155"/>
      <c r="D1769" s="155"/>
      <c r="E1769" s="40"/>
      <c r="F1769" s="314"/>
      <c r="H1769" s="315"/>
      <c r="I1769" s="315"/>
      <c r="BA1769" s="30"/>
      <c r="BB1769" s="155"/>
      <c r="BC1769" s="314"/>
      <c r="BD1769" s="314"/>
      <c r="BE1769" s="314"/>
      <c r="BF1769" s="314"/>
      <c r="BG1769" s="314"/>
      <c r="BH1769" s="314"/>
      <c r="BI1769" s="314"/>
      <c r="BJ1769" s="314"/>
      <c r="BK1769" s="40"/>
      <c r="BL1769" s="40"/>
      <c r="BM1769" s="40"/>
      <c r="BN1769" s="40"/>
      <c r="BO1769" s="40"/>
      <c r="BP1769" s="155"/>
      <c r="BQ1769" s="314"/>
      <c r="BR1769" s="314"/>
      <c r="BS1769" s="314"/>
      <c r="BT1769" s="314"/>
      <c r="BU1769" s="314"/>
      <c r="BV1769" s="314"/>
      <c r="BW1769" s="314"/>
      <c r="BX1769" s="155"/>
    </row>
    <row r="1770" spans="1:76" ht="15.75" customHeight="1">
      <c r="A1770" s="25"/>
      <c r="B1770" s="39"/>
      <c r="C1770" s="155"/>
      <c r="D1770" s="155"/>
      <c r="E1770" s="40"/>
      <c r="F1770" s="314"/>
      <c r="H1770" s="315"/>
      <c r="I1770" s="315"/>
      <c r="BA1770" s="30"/>
      <c r="BB1770" s="155"/>
      <c r="BC1770" s="314"/>
      <c r="BD1770" s="314"/>
      <c r="BE1770" s="314"/>
      <c r="BF1770" s="314"/>
      <c r="BG1770" s="314"/>
      <c r="BH1770" s="314"/>
      <c r="BI1770" s="314"/>
      <c r="BJ1770" s="314"/>
      <c r="BK1770" s="40"/>
      <c r="BL1770" s="40"/>
      <c r="BM1770" s="40"/>
      <c r="BN1770" s="40"/>
      <c r="BO1770" s="40"/>
      <c r="BP1770" s="155"/>
      <c r="BQ1770" s="314"/>
      <c r="BR1770" s="314"/>
      <c r="BS1770" s="314"/>
      <c r="BT1770" s="314"/>
      <c r="BU1770" s="314"/>
      <c r="BV1770" s="314"/>
      <c r="BW1770" s="314"/>
      <c r="BX1770" s="155"/>
    </row>
    <row r="1771" spans="1:76" ht="15.75" customHeight="1">
      <c r="A1771" s="25"/>
      <c r="B1771" s="39"/>
      <c r="C1771" s="155"/>
      <c r="D1771" s="155"/>
      <c r="E1771" s="40"/>
      <c r="F1771" s="314"/>
      <c r="H1771" s="315"/>
      <c r="I1771" s="315"/>
      <c r="BA1771" s="30"/>
      <c r="BB1771" s="155"/>
      <c r="BC1771" s="314"/>
      <c r="BD1771" s="314"/>
      <c r="BE1771" s="314"/>
      <c r="BF1771" s="314"/>
      <c r="BG1771" s="314"/>
      <c r="BH1771" s="314"/>
      <c r="BI1771" s="314"/>
      <c r="BJ1771" s="314"/>
      <c r="BK1771" s="40"/>
      <c r="BL1771" s="40"/>
      <c r="BM1771" s="40"/>
      <c r="BN1771" s="40"/>
      <c r="BO1771" s="40"/>
      <c r="BP1771" s="155"/>
      <c r="BQ1771" s="314"/>
      <c r="BR1771" s="314"/>
      <c r="BS1771" s="314"/>
      <c r="BT1771" s="314"/>
      <c r="BU1771" s="314"/>
      <c r="BV1771" s="314"/>
      <c r="BW1771" s="314"/>
      <c r="BX1771" s="155"/>
    </row>
    <row r="1772" spans="1:76" ht="15.75" customHeight="1">
      <c r="A1772" s="25"/>
      <c r="B1772" s="39"/>
      <c r="C1772" s="155"/>
      <c r="D1772" s="155"/>
      <c r="E1772" s="40"/>
      <c r="F1772" s="314"/>
      <c r="H1772" s="315"/>
      <c r="I1772" s="315"/>
      <c r="BA1772" s="30"/>
      <c r="BB1772" s="155"/>
      <c r="BC1772" s="314"/>
      <c r="BD1772" s="314"/>
      <c r="BE1772" s="314"/>
      <c r="BF1772" s="314"/>
      <c r="BG1772" s="314"/>
      <c r="BH1772" s="314"/>
      <c r="BI1772" s="314"/>
      <c r="BJ1772" s="314"/>
      <c r="BK1772" s="40"/>
      <c r="BL1772" s="40"/>
      <c r="BM1772" s="40"/>
      <c r="BN1772" s="40"/>
      <c r="BO1772" s="40"/>
      <c r="BP1772" s="155"/>
      <c r="BQ1772" s="314"/>
      <c r="BR1772" s="314"/>
      <c r="BS1772" s="314"/>
      <c r="BT1772" s="314"/>
      <c r="BU1772" s="314"/>
      <c r="BV1772" s="314"/>
      <c r="BW1772" s="314"/>
      <c r="BX1772" s="155"/>
    </row>
    <row r="1773" spans="1:76" ht="15.75" customHeight="1">
      <c r="A1773" s="25"/>
      <c r="B1773" s="39"/>
      <c r="C1773" s="155"/>
      <c r="D1773" s="155"/>
      <c r="E1773" s="40"/>
      <c r="F1773" s="314"/>
      <c r="H1773" s="315"/>
      <c r="I1773" s="315"/>
      <c r="BA1773" s="30"/>
      <c r="BB1773" s="155"/>
      <c r="BC1773" s="314"/>
      <c r="BD1773" s="314"/>
      <c r="BE1773" s="314"/>
      <c r="BF1773" s="314"/>
      <c r="BG1773" s="314"/>
      <c r="BH1773" s="314"/>
      <c r="BI1773" s="314"/>
      <c r="BJ1773" s="314"/>
      <c r="BK1773" s="40"/>
      <c r="BL1773" s="40"/>
      <c r="BM1773" s="40"/>
      <c r="BN1773" s="40"/>
      <c r="BO1773" s="40"/>
      <c r="BP1773" s="155"/>
      <c r="BQ1773" s="314"/>
      <c r="BR1773" s="314"/>
      <c r="BS1773" s="314"/>
      <c r="BT1773" s="314"/>
      <c r="BU1773" s="314"/>
      <c r="BV1773" s="314"/>
      <c r="BW1773" s="314"/>
      <c r="BX1773" s="155"/>
    </row>
    <row r="1774" spans="1:76" ht="15.75" customHeight="1">
      <c r="A1774" s="25"/>
      <c r="B1774" s="39"/>
      <c r="C1774" s="155"/>
      <c r="D1774" s="155"/>
      <c r="E1774" s="40"/>
      <c r="F1774" s="314"/>
      <c r="H1774" s="315"/>
      <c r="I1774" s="315"/>
      <c r="BA1774" s="30"/>
      <c r="BB1774" s="155"/>
      <c r="BC1774" s="314"/>
      <c r="BD1774" s="314"/>
      <c r="BE1774" s="314"/>
      <c r="BF1774" s="314"/>
      <c r="BG1774" s="314"/>
      <c r="BH1774" s="314"/>
      <c r="BI1774" s="314"/>
      <c r="BJ1774" s="314"/>
      <c r="BK1774" s="40"/>
      <c r="BL1774" s="40"/>
      <c r="BM1774" s="40"/>
      <c r="BN1774" s="40"/>
      <c r="BO1774" s="40"/>
      <c r="BP1774" s="155"/>
      <c r="BQ1774" s="314"/>
      <c r="BR1774" s="314"/>
      <c r="BS1774" s="314"/>
      <c r="BT1774" s="314"/>
      <c r="BU1774" s="314"/>
      <c r="BV1774" s="314"/>
      <c r="BW1774" s="314"/>
      <c r="BX1774" s="155"/>
    </row>
    <row r="1775" spans="1:76" ht="15.75" customHeight="1">
      <c r="A1775" s="25"/>
      <c r="B1775" s="39"/>
      <c r="C1775" s="155"/>
      <c r="D1775" s="155"/>
      <c r="E1775" s="40"/>
      <c r="F1775" s="314"/>
      <c r="H1775" s="315"/>
      <c r="I1775" s="315"/>
      <c r="BA1775" s="30"/>
      <c r="BB1775" s="155"/>
      <c r="BC1775" s="314"/>
      <c r="BD1775" s="314"/>
      <c r="BE1775" s="314"/>
      <c r="BF1775" s="314"/>
      <c r="BG1775" s="314"/>
      <c r="BH1775" s="314"/>
      <c r="BI1775" s="314"/>
      <c r="BJ1775" s="314"/>
      <c r="BK1775" s="40"/>
      <c r="BL1775" s="40"/>
      <c r="BM1775" s="40"/>
      <c r="BN1775" s="40"/>
      <c r="BO1775" s="40"/>
      <c r="BP1775" s="155"/>
      <c r="BQ1775" s="314"/>
      <c r="BR1775" s="314"/>
      <c r="BS1775" s="314"/>
      <c r="BT1775" s="314"/>
      <c r="BU1775" s="314"/>
      <c r="BV1775" s="314"/>
      <c r="BW1775" s="314"/>
      <c r="BX1775" s="155"/>
    </row>
    <row r="1776" spans="1:76" ht="15.75" customHeight="1">
      <c r="A1776" s="25"/>
      <c r="B1776" s="39"/>
      <c r="C1776" s="155"/>
      <c r="D1776" s="155"/>
      <c r="E1776" s="40"/>
      <c r="F1776" s="314"/>
      <c r="H1776" s="315"/>
      <c r="I1776" s="315"/>
      <c r="BA1776" s="30"/>
      <c r="BB1776" s="155"/>
      <c r="BC1776" s="314"/>
      <c r="BD1776" s="314"/>
      <c r="BE1776" s="314"/>
      <c r="BF1776" s="314"/>
      <c r="BG1776" s="314"/>
      <c r="BH1776" s="314"/>
      <c r="BI1776" s="314"/>
      <c r="BJ1776" s="314"/>
      <c r="BK1776" s="40"/>
      <c r="BL1776" s="40"/>
      <c r="BM1776" s="40"/>
      <c r="BN1776" s="40"/>
      <c r="BO1776" s="40"/>
      <c r="BP1776" s="155"/>
      <c r="BQ1776" s="314"/>
      <c r="BR1776" s="314"/>
      <c r="BS1776" s="314"/>
      <c r="BT1776" s="314"/>
      <c r="BU1776" s="314"/>
      <c r="BV1776" s="314"/>
      <c r="BW1776" s="314"/>
      <c r="BX1776" s="155"/>
    </row>
    <row r="1777" spans="1:76" ht="15.75" customHeight="1">
      <c r="A1777" s="25"/>
      <c r="B1777" s="39"/>
      <c r="C1777" s="155"/>
      <c r="D1777" s="155"/>
      <c r="E1777" s="40"/>
      <c r="F1777" s="314"/>
      <c r="H1777" s="315"/>
      <c r="I1777" s="315"/>
      <c r="BA1777" s="30"/>
      <c r="BB1777" s="155"/>
      <c r="BC1777" s="314"/>
      <c r="BD1777" s="314"/>
      <c r="BE1777" s="314"/>
      <c r="BF1777" s="314"/>
      <c r="BG1777" s="314"/>
      <c r="BH1777" s="314"/>
      <c r="BI1777" s="314"/>
      <c r="BJ1777" s="314"/>
      <c r="BK1777" s="40"/>
      <c r="BL1777" s="40"/>
      <c r="BM1777" s="40"/>
      <c r="BN1777" s="40"/>
      <c r="BO1777" s="40"/>
      <c r="BP1777" s="155"/>
      <c r="BQ1777" s="314"/>
      <c r="BR1777" s="314"/>
      <c r="BS1777" s="314"/>
      <c r="BT1777" s="314"/>
      <c r="BU1777" s="314"/>
      <c r="BV1777" s="314"/>
      <c r="BW1777" s="314"/>
      <c r="BX1777" s="155"/>
    </row>
    <row r="1778" spans="1:76" ht="15.75" customHeight="1">
      <c r="A1778" s="25"/>
      <c r="B1778" s="39"/>
      <c r="C1778" s="155"/>
      <c r="D1778" s="155"/>
      <c r="E1778" s="40"/>
      <c r="F1778" s="314"/>
      <c r="H1778" s="315"/>
      <c r="I1778" s="315"/>
      <c r="BA1778" s="30"/>
      <c r="BB1778" s="155"/>
      <c r="BC1778" s="314"/>
      <c r="BD1778" s="314"/>
      <c r="BE1778" s="314"/>
      <c r="BF1778" s="314"/>
      <c r="BG1778" s="314"/>
      <c r="BH1778" s="314"/>
      <c r="BI1778" s="314"/>
      <c r="BJ1778" s="314"/>
      <c r="BK1778" s="40"/>
      <c r="BL1778" s="40"/>
      <c r="BM1778" s="40"/>
      <c r="BN1778" s="40"/>
      <c r="BO1778" s="40"/>
      <c r="BP1778" s="155"/>
      <c r="BQ1778" s="314"/>
      <c r="BR1778" s="314"/>
      <c r="BS1778" s="314"/>
      <c r="BT1778" s="314"/>
      <c r="BU1778" s="314"/>
      <c r="BV1778" s="314"/>
      <c r="BW1778" s="314"/>
      <c r="BX1778" s="155"/>
    </row>
    <row r="1779" spans="1:76" ht="15.75" customHeight="1">
      <c r="A1779" s="25"/>
      <c r="B1779" s="39"/>
      <c r="C1779" s="155"/>
      <c r="D1779" s="155"/>
      <c r="E1779" s="40"/>
      <c r="F1779" s="314"/>
      <c r="H1779" s="315"/>
      <c r="I1779" s="315"/>
      <c r="BA1779" s="30"/>
      <c r="BB1779" s="155"/>
      <c r="BC1779" s="314"/>
      <c r="BD1779" s="314"/>
      <c r="BE1779" s="314"/>
      <c r="BF1779" s="314"/>
      <c r="BG1779" s="314"/>
      <c r="BH1779" s="314"/>
      <c r="BI1779" s="314"/>
      <c r="BJ1779" s="314"/>
      <c r="BK1779" s="40"/>
      <c r="BL1779" s="40"/>
      <c r="BM1779" s="40"/>
      <c r="BN1779" s="40"/>
      <c r="BO1779" s="40"/>
      <c r="BP1779" s="155"/>
      <c r="BQ1779" s="314"/>
      <c r="BR1779" s="314"/>
      <c r="BS1779" s="314"/>
      <c r="BT1779" s="314"/>
      <c r="BU1779" s="314"/>
      <c r="BV1779" s="314"/>
      <c r="BW1779" s="314"/>
      <c r="BX1779" s="155"/>
    </row>
    <row r="1780" spans="1:76" ht="15.75" customHeight="1">
      <c r="A1780" s="25"/>
      <c r="B1780" s="39"/>
      <c r="C1780" s="155"/>
      <c r="D1780" s="155"/>
      <c r="E1780" s="40"/>
      <c r="F1780" s="314"/>
      <c r="H1780" s="315"/>
      <c r="I1780" s="315"/>
      <c r="BA1780" s="30"/>
      <c r="BB1780" s="155"/>
      <c r="BC1780" s="314"/>
      <c r="BD1780" s="314"/>
      <c r="BE1780" s="314"/>
      <c r="BF1780" s="314"/>
      <c r="BG1780" s="314"/>
      <c r="BH1780" s="314"/>
      <c r="BI1780" s="314"/>
      <c r="BJ1780" s="314"/>
      <c r="BK1780" s="40"/>
      <c r="BL1780" s="40"/>
      <c r="BM1780" s="40"/>
      <c r="BN1780" s="40"/>
      <c r="BO1780" s="40"/>
      <c r="BP1780" s="155"/>
      <c r="BQ1780" s="314"/>
      <c r="BR1780" s="314"/>
      <c r="BS1780" s="314"/>
      <c r="BT1780" s="314"/>
      <c r="BU1780" s="314"/>
      <c r="BV1780" s="314"/>
      <c r="BW1780" s="314"/>
      <c r="BX1780" s="155"/>
    </row>
    <row r="1781" spans="1:76" ht="15.75" customHeight="1">
      <c r="A1781" s="25"/>
      <c r="B1781" s="39"/>
      <c r="C1781" s="155"/>
      <c r="D1781" s="155"/>
      <c r="E1781" s="40"/>
      <c r="F1781" s="314"/>
      <c r="H1781" s="315"/>
      <c r="I1781" s="315"/>
      <c r="BA1781" s="30"/>
      <c r="BB1781" s="155"/>
      <c r="BC1781" s="314"/>
      <c r="BD1781" s="314"/>
      <c r="BE1781" s="314"/>
      <c r="BF1781" s="314"/>
      <c r="BG1781" s="314"/>
      <c r="BH1781" s="314"/>
      <c r="BI1781" s="314"/>
      <c r="BJ1781" s="314"/>
      <c r="BK1781" s="40"/>
      <c r="BL1781" s="40"/>
      <c r="BM1781" s="40"/>
      <c r="BN1781" s="40"/>
      <c r="BO1781" s="40"/>
      <c r="BP1781" s="155"/>
      <c r="BQ1781" s="314"/>
      <c r="BR1781" s="314"/>
      <c r="BS1781" s="314"/>
      <c r="BT1781" s="314"/>
      <c r="BU1781" s="314"/>
      <c r="BV1781" s="314"/>
      <c r="BW1781" s="314"/>
      <c r="BX1781" s="155"/>
    </row>
    <row r="1782" spans="1:76" ht="15.75" customHeight="1">
      <c r="A1782" s="25"/>
      <c r="B1782" s="39"/>
      <c r="C1782" s="155"/>
      <c r="D1782" s="155"/>
      <c r="E1782" s="40"/>
      <c r="F1782" s="314"/>
      <c r="H1782" s="315"/>
      <c r="I1782" s="315"/>
      <c r="BA1782" s="30"/>
      <c r="BB1782" s="155"/>
      <c r="BC1782" s="314"/>
      <c r="BD1782" s="314"/>
      <c r="BE1782" s="314"/>
      <c r="BF1782" s="314"/>
      <c r="BG1782" s="314"/>
      <c r="BH1782" s="314"/>
      <c r="BI1782" s="314"/>
      <c r="BJ1782" s="314"/>
      <c r="BK1782" s="40"/>
      <c r="BL1782" s="40"/>
      <c r="BM1782" s="40"/>
      <c r="BN1782" s="40"/>
      <c r="BO1782" s="40"/>
      <c r="BP1782" s="155"/>
      <c r="BQ1782" s="314"/>
      <c r="BR1782" s="314"/>
      <c r="BS1782" s="314"/>
      <c r="BT1782" s="314"/>
      <c r="BU1782" s="314"/>
      <c r="BV1782" s="314"/>
      <c r="BW1782" s="314"/>
      <c r="BX1782" s="155"/>
    </row>
    <row r="1783" spans="1:76" ht="15.75" customHeight="1">
      <c r="A1783" s="25"/>
      <c r="B1783" s="39"/>
      <c r="C1783" s="155"/>
      <c r="D1783" s="155"/>
      <c r="E1783" s="40"/>
      <c r="F1783" s="314"/>
      <c r="H1783" s="315"/>
      <c r="I1783" s="315"/>
      <c r="BA1783" s="30"/>
      <c r="BB1783" s="155"/>
      <c r="BC1783" s="314"/>
      <c r="BD1783" s="314"/>
      <c r="BE1783" s="314"/>
      <c r="BF1783" s="314"/>
      <c r="BG1783" s="314"/>
      <c r="BH1783" s="314"/>
      <c r="BI1783" s="314"/>
      <c r="BJ1783" s="314"/>
      <c r="BK1783" s="40"/>
      <c r="BL1783" s="40"/>
      <c r="BM1783" s="40"/>
      <c r="BN1783" s="40"/>
      <c r="BO1783" s="40"/>
      <c r="BP1783" s="155"/>
      <c r="BQ1783" s="314"/>
      <c r="BR1783" s="314"/>
      <c r="BS1783" s="314"/>
      <c r="BT1783" s="314"/>
      <c r="BU1783" s="314"/>
      <c r="BV1783" s="314"/>
      <c r="BW1783" s="314"/>
      <c r="BX1783" s="155"/>
    </row>
    <row r="1784" spans="1:76" ht="15.75" customHeight="1">
      <c r="A1784" s="25"/>
      <c r="B1784" s="39"/>
      <c r="C1784" s="155"/>
      <c r="D1784" s="155"/>
      <c r="E1784" s="40"/>
      <c r="F1784" s="314"/>
      <c r="H1784" s="315"/>
      <c r="I1784" s="315"/>
      <c r="BA1784" s="30"/>
      <c r="BB1784" s="155"/>
      <c r="BC1784" s="314"/>
      <c r="BD1784" s="314"/>
      <c r="BE1784" s="314"/>
      <c r="BF1784" s="314"/>
      <c r="BG1784" s="314"/>
      <c r="BH1784" s="314"/>
      <c r="BI1784" s="314"/>
      <c r="BJ1784" s="314"/>
      <c r="BK1784" s="40"/>
      <c r="BL1784" s="40"/>
      <c r="BM1784" s="40"/>
      <c r="BN1784" s="40"/>
      <c r="BO1784" s="40"/>
      <c r="BP1784" s="155"/>
      <c r="BQ1784" s="314"/>
      <c r="BR1784" s="314"/>
      <c r="BS1784" s="314"/>
      <c r="BT1784" s="314"/>
      <c r="BU1784" s="314"/>
      <c r="BV1784" s="314"/>
      <c r="BW1784" s="314"/>
      <c r="BX1784" s="155"/>
    </row>
    <row r="1785" spans="1:76" ht="15.75" customHeight="1">
      <c r="A1785" s="25"/>
      <c r="B1785" s="39"/>
      <c r="C1785" s="155"/>
      <c r="D1785" s="155"/>
      <c r="E1785" s="40"/>
      <c r="F1785" s="314"/>
      <c r="H1785" s="315"/>
      <c r="I1785" s="315"/>
      <c r="BA1785" s="30"/>
      <c r="BB1785" s="155"/>
      <c r="BC1785" s="314"/>
      <c r="BD1785" s="314"/>
      <c r="BE1785" s="314"/>
      <c r="BF1785" s="314"/>
      <c r="BG1785" s="314"/>
      <c r="BH1785" s="314"/>
      <c r="BI1785" s="314"/>
      <c r="BJ1785" s="314"/>
      <c r="BK1785" s="40"/>
      <c r="BL1785" s="40"/>
      <c r="BM1785" s="40"/>
      <c r="BN1785" s="40"/>
      <c r="BO1785" s="40"/>
      <c r="BP1785" s="155"/>
      <c r="BQ1785" s="314"/>
      <c r="BR1785" s="314"/>
      <c r="BS1785" s="314"/>
      <c r="BT1785" s="314"/>
      <c r="BU1785" s="314"/>
      <c r="BV1785" s="314"/>
      <c r="BW1785" s="314"/>
      <c r="BX1785" s="155"/>
    </row>
    <row r="1786" spans="1:76" ht="15.75" customHeight="1">
      <c r="A1786" s="25"/>
      <c r="B1786" s="39"/>
      <c r="C1786" s="155"/>
      <c r="D1786" s="155"/>
      <c r="E1786" s="40"/>
      <c r="F1786" s="314"/>
      <c r="H1786" s="315"/>
      <c r="I1786" s="315"/>
      <c r="BA1786" s="30"/>
      <c r="BB1786" s="155"/>
      <c r="BC1786" s="314"/>
      <c r="BD1786" s="314"/>
      <c r="BE1786" s="314"/>
      <c r="BF1786" s="314"/>
      <c r="BG1786" s="314"/>
      <c r="BH1786" s="314"/>
      <c r="BI1786" s="314"/>
      <c r="BJ1786" s="314"/>
      <c r="BK1786" s="40"/>
      <c r="BL1786" s="40"/>
      <c r="BM1786" s="40"/>
      <c r="BN1786" s="40"/>
      <c r="BO1786" s="40"/>
      <c r="BP1786" s="155"/>
      <c r="BQ1786" s="314"/>
      <c r="BR1786" s="314"/>
      <c r="BS1786" s="314"/>
      <c r="BT1786" s="314"/>
      <c r="BU1786" s="314"/>
      <c r="BV1786" s="314"/>
      <c r="BW1786" s="314"/>
      <c r="BX1786" s="155"/>
    </row>
    <row r="1787" spans="1:76" ht="15.75" customHeight="1">
      <c r="A1787" s="25"/>
      <c r="B1787" s="39"/>
      <c r="C1787" s="155"/>
      <c r="D1787" s="155"/>
      <c r="E1787" s="40"/>
      <c r="F1787" s="314"/>
      <c r="H1787" s="315"/>
      <c r="I1787" s="315"/>
      <c r="BA1787" s="30"/>
      <c r="BB1787" s="155"/>
      <c r="BC1787" s="314"/>
      <c r="BD1787" s="314"/>
      <c r="BE1787" s="314"/>
      <c r="BF1787" s="314"/>
      <c r="BG1787" s="314"/>
      <c r="BH1787" s="314"/>
      <c r="BI1787" s="314"/>
      <c r="BJ1787" s="314"/>
      <c r="BK1787" s="40"/>
      <c r="BL1787" s="40"/>
      <c r="BM1787" s="40"/>
      <c r="BN1787" s="40"/>
      <c r="BO1787" s="40"/>
      <c r="BP1787" s="155"/>
      <c r="BQ1787" s="314"/>
      <c r="BR1787" s="314"/>
      <c r="BS1787" s="314"/>
      <c r="BT1787" s="314"/>
      <c r="BU1787" s="314"/>
      <c r="BV1787" s="314"/>
      <c r="BW1787" s="314"/>
      <c r="BX1787" s="155"/>
    </row>
    <row r="1788" spans="1:76" ht="15.75" customHeight="1">
      <c r="A1788" s="25"/>
      <c r="B1788" s="39"/>
      <c r="C1788" s="155"/>
      <c r="D1788" s="155"/>
      <c r="E1788" s="40"/>
      <c r="F1788" s="314"/>
      <c r="H1788" s="315"/>
      <c r="I1788" s="315"/>
      <c r="BA1788" s="30"/>
      <c r="BB1788" s="155"/>
      <c r="BC1788" s="314"/>
      <c r="BD1788" s="314"/>
      <c r="BE1788" s="314"/>
      <c r="BF1788" s="314"/>
      <c r="BG1788" s="314"/>
      <c r="BH1788" s="314"/>
      <c r="BI1788" s="314"/>
      <c r="BJ1788" s="314"/>
      <c r="BK1788" s="40"/>
      <c r="BL1788" s="40"/>
      <c r="BM1788" s="40"/>
      <c r="BN1788" s="40"/>
      <c r="BO1788" s="40"/>
      <c r="BP1788" s="155"/>
      <c r="BQ1788" s="314"/>
      <c r="BR1788" s="314"/>
      <c r="BS1788" s="314"/>
      <c r="BT1788" s="314"/>
      <c r="BU1788" s="314"/>
      <c r="BV1788" s="314"/>
      <c r="BW1788" s="314"/>
      <c r="BX1788" s="155"/>
    </row>
    <row r="1789" spans="1:76" ht="15.75" customHeight="1">
      <c r="A1789" s="25"/>
      <c r="B1789" s="39"/>
      <c r="C1789" s="155"/>
      <c r="D1789" s="155"/>
      <c r="E1789" s="40"/>
      <c r="F1789" s="314"/>
      <c r="H1789" s="315"/>
      <c r="I1789" s="315"/>
      <c r="BA1789" s="30"/>
      <c r="BB1789" s="155"/>
      <c r="BC1789" s="314"/>
      <c r="BD1789" s="314"/>
      <c r="BE1789" s="314"/>
      <c r="BF1789" s="314"/>
      <c r="BG1789" s="314"/>
      <c r="BH1789" s="314"/>
      <c r="BI1789" s="314"/>
      <c r="BJ1789" s="314"/>
      <c r="BK1789" s="40"/>
      <c r="BL1789" s="40"/>
      <c r="BM1789" s="40"/>
      <c r="BN1789" s="40"/>
      <c r="BO1789" s="40"/>
      <c r="BP1789" s="155"/>
      <c r="BQ1789" s="314"/>
      <c r="BR1789" s="314"/>
      <c r="BS1789" s="314"/>
      <c r="BT1789" s="314"/>
      <c r="BU1789" s="314"/>
      <c r="BV1789" s="314"/>
      <c r="BW1789" s="314"/>
      <c r="BX1789" s="155"/>
    </row>
    <row r="1790" spans="1:76" ht="15.75" customHeight="1">
      <c r="A1790" s="25"/>
      <c r="B1790" s="39"/>
      <c r="C1790" s="155"/>
      <c r="D1790" s="155"/>
      <c r="E1790" s="40"/>
      <c r="F1790" s="314"/>
      <c r="H1790" s="315"/>
      <c r="I1790" s="315"/>
      <c r="BA1790" s="30"/>
      <c r="BB1790" s="155"/>
      <c r="BC1790" s="314"/>
      <c r="BD1790" s="314"/>
      <c r="BE1790" s="314"/>
      <c r="BF1790" s="314"/>
      <c r="BG1790" s="314"/>
      <c r="BH1790" s="314"/>
      <c r="BI1790" s="314"/>
      <c r="BJ1790" s="314"/>
      <c r="BK1790" s="40"/>
      <c r="BL1790" s="40"/>
      <c r="BM1790" s="40"/>
      <c r="BN1790" s="40"/>
      <c r="BO1790" s="40"/>
      <c r="BP1790" s="155"/>
      <c r="BQ1790" s="314"/>
      <c r="BR1790" s="314"/>
      <c r="BS1790" s="314"/>
      <c r="BT1790" s="314"/>
      <c r="BU1790" s="314"/>
      <c r="BV1790" s="314"/>
      <c r="BW1790" s="314"/>
      <c r="BX1790" s="155"/>
    </row>
    <row r="1791" spans="1:76" ht="15.75" customHeight="1">
      <c r="A1791" s="25"/>
      <c r="B1791" s="39"/>
      <c r="C1791" s="155"/>
      <c r="D1791" s="155"/>
      <c r="E1791" s="40"/>
      <c r="F1791" s="314"/>
      <c r="H1791" s="315"/>
      <c r="I1791" s="315"/>
      <c r="BA1791" s="30"/>
      <c r="BB1791" s="155"/>
      <c r="BC1791" s="314"/>
      <c r="BD1791" s="314"/>
      <c r="BE1791" s="314"/>
      <c r="BF1791" s="314"/>
      <c r="BG1791" s="314"/>
      <c r="BH1791" s="314"/>
      <c r="BI1791" s="314"/>
      <c r="BJ1791" s="314"/>
      <c r="BK1791" s="40"/>
      <c r="BL1791" s="40"/>
      <c r="BM1791" s="40"/>
      <c r="BN1791" s="40"/>
      <c r="BO1791" s="40"/>
      <c r="BP1791" s="155"/>
      <c r="BQ1791" s="314"/>
      <c r="BR1791" s="314"/>
      <c r="BS1791" s="314"/>
      <c r="BT1791" s="314"/>
      <c r="BU1791" s="314"/>
      <c r="BV1791" s="314"/>
      <c r="BW1791" s="314"/>
      <c r="BX1791" s="155"/>
    </row>
    <row r="1792" spans="1:76" ht="15.75" customHeight="1">
      <c r="A1792" s="25"/>
      <c r="B1792" s="39"/>
      <c r="C1792" s="155"/>
      <c r="D1792" s="155"/>
      <c r="E1792" s="40"/>
      <c r="F1792" s="314"/>
      <c r="H1792" s="315"/>
      <c r="I1792" s="315"/>
      <c r="BA1792" s="30"/>
      <c r="BB1792" s="155"/>
      <c r="BC1792" s="314"/>
      <c r="BD1792" s="314"/>
      <c r="BE1792" s="314"/>
      <c r="BF1792" s="314"/>
      <c r="BG1792" s="314"/>
      <c r="BH1792" s="314"/>
      <c r="BI1792" s="314"/>
      <c r="BJ1792" s="314"/>
      <c r="BK1792" s="40"/>
      <c r="BL1792" s="40"/>
      <c r="BM1792" s="40"/>
      <c r="BN1792" s="40"/>
      <c r="BO1792" s="40"/>
      <c r="BP1792" s="155"/>
      <c r="BQ1792" s="314"/>
      <c r="BR1792" s="314"/>
      <c r="BS1792" s="314"/>
      <c r="BT1792" s="314"/>
      <c r="BU1792" s="314"/>
      <c r="BV1792" s="314"/>
      <c r="BW1792" s="314"/>
      <c r="BX1792" s="155"/>
    </row>
    <row r="1793" spans="1:76" ht="15.75" customHeight="1">
      <c r="A1793" s="25"/>
      <c r="B1793" s="39"/>
      <c r="C1793" s="155"/>
      <c r="D1793" s="155"/>
      <c r="E1793" s="40"/>
      <c r="F1793" s="314"/>
      <c r="H1793" s="315"/>
      <c r="I1793" s="315"/>
      <c r="BA1793" s="30"/>
      <c r="BB1793" s="155"/>
      <c r="BC1793" s="314"/>
      <c r="BD1793" s="314"/>
      <c r="BE1793" s="314"/>
      <c r="BF1793" s="314"/>
      <c r="BG1793" s="314"/>
      <c r="BH1793" s="314"/>
      <c r="BI1793" s="314"/>
      <c r="BJ1793" s="314"/>
      <c r="BK1793" s="40"/>
      <c r="BL1793" s="40"/>
      <c r="BM1793" s="40"/>
      <c r="BN1793" s="40"/>
      <c r="BO1793" s="40"/>
      <c r="BP1793" s="155"/>
      <c r="BQ1793" s="314"/>
      <c r="BR1793" s="314"/>
      <c r="BS1793" s="314"/>
      <c r="BT1793" s="314"/>
      <c r="BU1793" s="314"/>
      <c r="BV1793" s="314"/>
      <c r="BW1793" s="314"/>
      <c r="BX1793" s="155"/>
    </row>
    <row r="1794" spans="1:76" ht="15.75" customHeight="1">
      <c r="A1794" s="25"/>
      <c r="B1794" s="39"/>
      <c r="C1794" s="155"/>
      <c r="D1794" s="155"/>
      <c r="E1794" s="40"/>
      <c r="F1794" s="314"/>
      <c r="H1794" s="315"/>
      <c r="I1794" s="315"/>
      <c r="BA1794" s="30"/>
      <c r="BB1794" s="155"/>
      <c r="BC1794" s="314"/>
      <c r="BD1794" s="314"/>
      <c r="BE1794" s="314"/>
      <c r="BF1794" s="314"/>
      <c r="BG1794" s="314"/>
      <c r="BH1794" s="314"/>
      <c r="BI1794" s="314"/>
      <c r="BJ1794" s="314"/>
      <c r="BK1794" s="40"/>
      <c r="BL1794" s="40"/>
      <c r="BM1794" s="40"/>
      <c r="BN1794" s="40"/>
      <c r="BO1794" s="40"/>
      <c r="BP1794" s="155"/>
      <c r="BQ1794" s="314"/>
      <c r="BR1794" s="314"/>
      <c r="BS1794" s="314"/>
      <c r="BT1794" s="314"/>
      <c r="BU1794" s="314"/>
      <c r="BV1794" s="314"/>
      <c r="BW1794" s="314"/>
      <c r="BX1794" s="155"/>
    </row>
    <row r="1795" spans="1:76" ht="15.75" customHeight="1">
      <c r="A1795" s="25"/>
      <c r="B1795" s="39"/>
      <c r="C1795" s="155"/>
      <c r="D1795" s="155"/>
      <c r="E1795" s="40"/>
      <c r="F1795" s="314"/>
      <c r="H1795" s="315"/>
      <c r="I1795" s="315"/>
      <c r="BA1795" s="30"/>
      <c r="BB1795" s="155"/>
      <c r="BC1795" s="314"/>
      <c r="BD1795" s="314"/>
      <c r="BE1795" s="314"/>
      <c r="BF1795" s="314"/>
      <c r="BG1795" s="314"/>
      <c r="BH1795" s="314"/>
      <c r="BI1795" s="314"/>
      <c r="BJ1795" s="314"/>
      <c r="BK1795" s="40"/>
      <c r="BL1795" s="40"/>
      <c r="BM1795" s="40"/>
      <c r="BN1795" s="40"/>
      <c r="BO1795" s="40"/>
      <c r="BP1795" s="155"/>
      <c r="BQ1795" s="314"/>
      <c r="BR1795" s="314"/>
      <c r="BS1795" s="314"/>
      <c r="BT1795" s="314"/>
      <c r="BU1795" s="314"/>
      <c r="BV1795" s="314"/>
      <c r="BW1795" s="314"/>
      <c r="BX1795" s="155"/>
    </row>
    <row r="1796" spans="1:76" ht="15.75" customHeight="1">
      <c r="A1796" s="25"/>
      <c r="B1796" s="39"/>
      <c r="C1796" s="155"/>
      <c r="D1796" s="155"/>
      <c r="E1796" s="40"/>
      <c r="F1796" s="314"/>
      <c r="H1796" s="315"/>
      <c r="I1796" s="315"/>
      <c r="BA1796" s="30"/>
      <c r="BB1796" s="155"/>
      <c r="BC1796" s="314"/>
      <c r="BD1796" s="314"/>
      <c r="BE1796" s="314"/>
      <c r="BF1796" s="314"/>
      <c r="BG1796" s="314"/>
      <c r="BH1796" s="314"/>
      <c r="BI1796" s="314"/>
      <c r="BJ1796" s="314"/>
      <c r="BK1796" s="40"/>
      <c r="BL1796" s="40"/>
      <c r="BM1796" s="40"/>
      <c r="BN1796" s="40"/>
      <c r="BO1796" s="40"/>
      <c r="BP1796" s="155"/>
      <c r="BQ1796" s="314"/>
      <c r="BR1796" s="314"/>
      <c r="BS1796" s="314"/>
      <c r="BT1796" s="314"/>
      <c r="BU1796" s="314"/>
      <c r="BV1796" s="314"/>
      <c r="BW1796" s="314"/>
      <c r="BX1796" s="155"/>
    </row>
    <row r="1797" spans="1:76" ht="15.75" customHeight="1">
      <c r="A1797" s="25"/>
      <c r="B1797" s="39"/>
      <c r="C1797" s="155"/>
      <c r="D1797" s="155"/>
      <c r="E1797" s="40"/>
      <c r="F1797" s="314"/>
      <c r="H1797" s="315"/>
      <c r="I1797" s="315"/>
      <c r="BA1797" s="30"/>
      <c r="BB1797" s="155"/>
      <c r="BC1797" s="314"/>
      <c r="BD1797" s="314"/>
      <c r="BE1797" s="314"/>
      <c r="BF1797" s="314"/>
      <c r="BG1797" s="314"/>
      <c r="BH1797" s="314"/>
      <c r="BI1797" s="314"/>
      <c r="BJ1797" s="314"/>
      <c r="BK1797" s="40"/>
      <c r="BL1797" s="40"/>
      <c r="BM1797" s="40"/>
      <c r="BN1797" s="40"/>
      <c r="BO1797" s="40"/>
      <c r="BP1797" s="155"/>
      <c r="BQ1797" s="314"/>
      <c r="BR1797" s="314"/>
      <c r="BS1797" s="314"/>
      <c r="BT1797" s="314"/>
      <c r="BU1797" s="314"/>
      <c r="BV1797" s="314"/>
      <c r="BW1797" s="314"/>
      <c r="BX1797" s="155"/>
    </row>
    <row r="1798" spans="1:76" ht="15.75" customHeight="1">
      <c r="A1798" s="25"/>
      <c r="B1798" s="39"/>
      <c r="C1798" s="155"/>
      <c r="D1798" s="155"/>
      <c r="E1798" s="40"/>
      <c r="F1798" s="314"/>
      <c r="H1798" s="315"/>
      <c r="I1798" s="315"/>
      <c r="BA1798" s="30"/>
      <c r="BB1798" s="155"/>
      <c r="BC1798" s="314"/>
      <c r="BD1798" s="314"/>
      <c r="BE1798" s="314"/>
      <c r="BF1798" s="314"/>
      <c r="BG1798" s="314"/>
      <c r="BH1798" s="314"/>
      <c r="BI1798" s="314"/>
      <c r="BJ1798" s="314"/>
      <c r="BK1798" s="40"/>
      <c r="BL1798" s="40"/>
      <c r="BM1798" s="40"/>
      <c r="BN1798" s="40"/>
      <c r="BO1798" s="40"/>
      <c r="BP1798" s="155"/>
      <c r="BQ1798" s="314"/>
      <c r="BR1798" s="314"/>
      <c r="BS1798" s="314"/>
      <c r="BT1798" s="314"/>
      <c r="BU1798" s="314"/>
      <c r="BV1798" s="314"/>
      <c r="BW1798" s="314"/>
      <c r="BX1798" s="155"/>
    </row>
    <row r="1799" spans="1:76" ht="15.75" customHeight="1">
      <c r="A1799" s="25"/>
      <c r="B1799" s="39"/>
      <c r="C1799" s="155"/>
      <c r="D1799" s="155"/>
      <c r="E1799" s="40"/>
      <c r="F1799" s="314"/>
      <c r="H1799" s="315"/>
      <c r="I1799" s="315"/>
      <c r="BA1799" s="30"/>
      <c r="BB1799" s="155"/>
      <c r="BC1799" s="314"/>
      <c r="BD1799" s="314"/>
      <c r="BE1799" s="314"/>
      <c r="BF1799" s="314"/>
      <c r="BG1799" s="314"/>
      <c r="BH1799" s="314"/>
      <c r="BI1799" s="314"/>
      <c r="BJ1799" s="314"/>
      <c r="BK1799" s="40"/>
      <c r="BL1799" s="40"/>
      <c r="BM1799" s="40"/>
      <c r="BN1799" s="40"/>
      <c r="BO1799" s="40"/>
      <c r="BP1799" s="155"/>
      <c r="BQ1799" s="314"/>
      <c r="BR1799" s="314"/>
      <c r="BS1799" s="314"/>
      <c r="BT1799" s="314"/>
      <c r="BU1799" s="314"/>
      <c r="BV1799" s="314"/>
      <c r="BW1799" s="314"/>
      <c r="BX1799" s="155"/>
    </row>
    <row r="1800" spans="1:76" ht="15.75" customHeight="1">
      <c r="A1800" s="25"/>
      <c r="B1800" s="39"/>
      <c r="C1800" s="155"/>
      <c r="D1800" s="155"/>
      <c r="E1800" s="40"/>
      <c r="F1800" s="314"/>
      <c r="H1800" s="315"/>
      <c r="I1800" s="315"/>
      <c r="BA1800" s="30"/>
      <c r="BB1800" s="155"/>
      <c r="BC1800" s="314"/>
      <c r="BD1800" s="314"/>
      <c r="BE1800" s="314"/>
      <c r="BF1800" s="314"/>
      <c r="BG1800" s="314"/>
      <c r="BH1800" s="314"/>
      <c r="BI1800" s="314"/>
      <c r="BJ1800" s="314"/>
      <c r="BK1800" s="40"/>
      <c r="BL1800" s="40"/>
      <c r="BM1800" s="40"/>
      <c r="BN1800" s="40"/>
      <c r="BO1800" s="40"/>
      <c r="BP1800" s="155"/>
      <c r="BQ1800" s="314"/>
      <c r="BR1800" s="314"/>
      <c r="BS1800" s="314"/>
      <c r="BT1800" s="314"/>
      <c r="BU1800" s="314"/>
      <c r="BV1800" s="314"/>
      <c r="BW1800" s="314"/>
      <c r="BX1800" s="155"/>
    </row>
    <row r="1801" spans="1:76" ht="15.75" customHeight="1">
      <c r="A1801" s="25"/>
      <c r="B1801" s="39"/>
      <c r="C1801" s="155"/>
      <c r="D1801" s="155"/>
      <c r="E1801" s="40"/>
      <c r="F1801" s="314"/>
      <c r="H1801" s="315"/>
      <c r="I1801" s="315"/>
      <c r="BA1801" s="30"/>
      <c r="BB1801" s="155"/>
      <c r="BC1801" s="314"/>
      <c r="BD1801" s="314"/>
      <c r="BE1801" s="314"/>
      <c r="BF1801" s="314"/>
      <c r="BG1801" s="314"/>
      <c r="BH1801" s="314"/>
      <c r="BI1801" s="314"/>
      <c r="BJ1801" s="314"/>
      <c r="BK1801" s="40"/>
      <c r="BL1801" s="40"/>
      <c r="BM1801" s="40"/>
      <c r="BN1801" s="40"/>
      <c r="BO1801" s="40"/>
      <c r="BP1801" s="155"/>
      <c r="BQ1801" s="314"/>
      <c r="BR1801" s="314"/>
      <c r="BS1801" s="314"/>
      <c r="BT1801" s="314"/>
      <c r="BU1801" s="314"/>
      <c r="BV1801" s="314"/>
      <c r="BW1801" s="314"/>
      <c r="BX1801" s="155"/>
    </row>
    <row r="1802" spans="1:76" ht="15.75" customHeight="1">
      <c r="A1802" s="25"/>
      <c r="B1802" s="39"/>
      <c r="C1802" s="155"/>
      <c r="D1802" s="155"/>
      <c r="E1802" s="40"/>
      <c r="F1802" s="314"/>
      <c r="H1802" s="315"/>
      <c r="I1802" s="315"/>
      <c r="BA1802" s="30"/>
      <c r="BB1802" s="155"/>
      <c r="BC1802" s="314"/>
      <c r="BD1802" s="314"/>
      <c r="BE1802" s="314"/>
      <c r="BF1802" s="314"/>
      <c r="BG1802" s="314"/>
      <c r="BH1802" s="314"/>
      <c r="BI1802" s="314"/>
      <c r="BJ1802" s="314"/>
      <c r="BK1802" s="40"/>
      <c r="BL1802" s="40"/>
      <c r="BM1802" s="40"/>
      <c r="BN1802" s="40"/>
      <c r="BO1802" s="40"/>
      <c r="BP1802" s="155"/>
      <c r="BQ1802" s="314"/>
      <c r="BR1802" s="314"/>
      <c r="BS1802" s="314"/>
      <c r="BT1802" s="314"/>
      <c r="BU1802" s="314"/>
      <c r="BV1802" s="314"/>
      <c r="BW1802" s="314"/>
      <c r="BX1802" s="155"/>
    </row>
    <row r="1803" spans="1:76" ht="15.75" customHeight="1">
      <c r="A1803" s="25"/>
      <c r="B1803" s="39"/>
      <c r="C1803" s="155"/>
      <c r="D1803" s="155"/>
      <c r="E1803" s="40"/>
      <c r="F1803" s="314"/>
      <c r="H1803" s="315"/>
      <c r="I1803" s="315"/>
      <c r="BA1803" s="30"/>
      <c r="BB1803" s="155"/>
      <c r="BC1803" s="314"/>
      <c r="BD1803" s="314"/>
      <c r="BE1803" s="314"/>
      <c r="BF1803" s="314"/>
      <c r="BG1803" s="314"/>
      <c r="BH1803" s="314"/>
      <c r="BI1803" s="314"/>
      <c r="BJ1803" s="314"/>
      <c r="BK1803" s="40"/>
      <c r="BL1803" s="40"/>
      <c r="BM1803" s="40"/>
      <c r="BN1803" s="40"/>
      <c r="BO1803" s="40"/>
      <c r="BP1803" s="155"/>
      <c r="BQ1803" s="314"/>
      <c r="BR1803" s="314"/>
      <c r="BS1803" s="314"/>
      <c r="BT1803" s="314"/>
      <c r="BU1803" s="314"/>
      <c r="BV1803" s="314"/>
      <c r="BW1803" s="314"/>
      <c r="BX1803" s="155"/>
    </row>
    <row r="1804" spans="1:76" ht="15.75" customHeight="1">
      <c r="A1804" s="25"/>
      <c r="B1804" s="39"/>
      <c r="C1804" s="155"/>
      <c r="D1804" s="155"/>
      <c r="E1804" s="40"/>
      <c r="F1804" s="314"/>
      <c r="H1804" s="315"/>
      <c r="I1804" s="315"/>
      <c r="BA1804" s="30"/>
      <c r="BB1804" s="155"/>
      <c r="BC1804" s="314"/>
      <c r="BD1804" s="314"/>
      <c r="BE1804" s="314"/>
      <c r="BF1804" s="314"/>
      <c r="BG1804" s="314"/>
      <c r="BH1804" s="314"/>
      <c r="BI1804" s="314"/>
      <c r="BJ1804" s="314"/>
      <c r="BK1804" s="40"/>
      <c r="BL1804" s="40"/>
      <c r="BM1804" s="40"/>
      <c r="BN1804" s="40"/>
      <c r="BO1804" s="40"/>
      <c r="BP1804" s="155"/>
      <c r="BQ1804" s="314"/>
      <c r="BR1804" s="314"/>
      <c r="BS1804" s="314"/>
      <c r="BT1804" s="314"/>
      <c r="BU1804" s="314"/>
      <c r="BV1804" s="314"/>
      <c r="BW1804" s="314"/>
      <c r="BX1804" s="155"/>
    </row>
    <row r="1805" spans="1:76" ht="15.75" customHeight="1">
      <c r="A1805" s="25"/>
      <c r="B1805" s="39"/>
      <c r="C1805" s="155"/>
      <c r="D1805" s="155"/>
      <c r="E1805" s="40"/>
      <c r="F1805" s="314"/>
      <c r="H1805" s="315"/>
      <c r="I1805" s="315"/>
      <c r="BA1805" s="30"/>
      <c r="BB1805" s="155"/>
      <c r="BC1805" s="314"/>
      <c r="BD1805" s="314"/>
      <c r="BE1805" s="314"/>
      <c r="BF1805" s="314"/>
      <c r="BG1805" s="314"/>
      <c r="BH1805" s="314"/>
      <c r="BI1805" s="314"/>
      <c r="BJ1805" s="314"/>
      <c r="BK1805" s="40"/>
      <c r="BL1805" s="40"/>
      <c r="BM1805" s="40"/>
      <c r="BN1805" s="40"/>
      <c r="BO1805" s="40"/>
      <c r="BP1805" s="155"/>
      <c r="BQ1805" s="314"/>
      <c r="BR1805" s="314"/>
      <c r="BS1805" s="314"/>
      <c r="BT1805" s="314"/>
      <c r="BU1805" s="314"/>
      <c r="BV1805" s="314"/>
      <c r="BW1805" s="314"/>
      <c r="BX1805" s="155"/>
    </row>
    <row r="1806" spans="1:76" ht="15.75" customHeight="1">
      <c r="A1806" s="25"/>
      <c r="B1806" s="39"/>
      <c r="C1806" s="155"/>
      <c r="D1806" s="155"/>
      <c r="E1806" s="40"/>
      <c r="F1806" s="314"/>
      <c r="H1806" s="315"/>
      <c r="I1806" s="315"/>
      <c r="BA1806" s="30"/>
      <c r="BB1806" s="155"/>
      <c r="BC1806" s="314"/>
      <c r="BD1806" s="314"/>
      <c r="BE1806" s="314"/>
      <c r="BF1806" s="314"/>
      <c r="BG1806" s="314"/>
      <c r="BH1806" s="314"/>
      <c r="BI1806" s="314"/>
      <c r="BJ1806" s="314"/>
      <c r="BK1806" s="40"/>
      <c r="BL1806" s="40"/>
      <c r="BM1806" s="40"/>
      <c r="BN1806" s="40"/>
      <c r="BO1806" s="40"/>
      <c r="BP1806" s="155"/>
      <c r="BQ1806" s="314"/>
      <c r="BR1806" s="314"/>
      <c r="BS1806" s="314"/>
      <c r="BT1806" s="314"/>
      <c r="BU1806" s="314"/>
      <c r="BV1806" s="314"/>
      <c r="BW1806" s="314"/>
      <c r="BX1806" s="155"/>
    </row>
    <row r="1807" spans="1:76" ht="15.75" customHeight="1">
      <c r="A1807" s="25"/>
      <c r="B1807" s="39"/>
      <c r="C1807" s="155"/>
      <c r="D1807" s="155"/>
      <c r="E1807" s="40"/>
      <c r="F1807" s="314"/>
      <c r="H1807" s="315"/>
      <c r="I1807" s="315"/>
      <c r="BA1807" s="30"/>
      <c r="BB1807" s="155"/>
      <c r="BC1807" s="314"/>
      <c r="BD1807" s="314"/>
      <c r="BE1807" s="314"/>
      <c r="BF1807" s="314"/>
      <c r="BG1807" s="314"/>
      <c r="BH1807" s="314"/>
      <c r="BI1807" s="314"/>
      <c r="BJ1807" s="314"/>
      <c r="BK1807" s="40"/>
      <c r="BL1807" s="40"/>
      <c r="BM1807" s="40"/>
      <c r="BN1807" s="40"/>
      <c r="BO1807" s="40"/>
      <c r="BP1807" s="155"/>
      <c r="BQ1807" s="314"/>
      <c r="BR1807" s="314"/>
      <c r="BS1807" s="314"/>
      <c r="BT1807" s="314"/>
      <c r="BU1807" s="314"/>
      <c r="BV1807" s="314"/>
      <c r="BW1807" s="314"/>
      <c r="BX1807" s="155"/>
    </row>
    <row r="1808" spans="1:76" ht="15.75" customHeight="1">
      <c r="A1808" s="25"/>
      <c r="B1808" s="39"/>
      <c r="C1808" s="155"/>
      <c r="D1808" s="155"/>
      <c r="E1808" s="40"/>
      <c r="F1808" s="314"/>
      <c r="H1808" s="315"/>
      <c r="I1808" s="315"/>
      <c r="BA1808" s="30"/>
      <c r="BB1808" s="155"/>
      <c r="BC1808" s="314"/>
      <c r="BD1808" s="314"/>
      <c r="BE1808" s="314"/>
      <c r="BF1808" s="314"/>
      <c r="BG1808" s="314"/>
      <c r="BH1808" s="314"/>
      <c r="BI1808" s="314"/>
      <c r="BJ1808" s="314"/>
      <c r="BK1808" s="40"/>
      <c r="BL1808" s="40"/>
      <c r="BM1808" s="40"/>
      <c r="BN1808" s="40"/>
      <c r="BO1808" s="40"/>
      <c r="BP1808" s="155"/>
      <c r="BQ1808" s="314"/>
      <c r="BR1808" s="314"/>
      <c r="BS1808" s="314"/>
      <c r="BT1808" s="314"/>
      <c r="BU1808" s="314"/>
      <c r="BV1808" s="314"/>
      <c r="BW1808" s="314"/>
      <c r="BX1808" s="155"/>
    </row>
    <row r="1809" spans="1:76" ht="15.75" customHeight="1">
      <c r="A1809" s="25"/>
      <c r="B1809" s="39"/>
      <c r="C1809" s="155"/>
      <c r="D1809" s="155"/>
      <c r="E1809" s="40"/>
      <c r="F1809" s="314"/>
      <c r="H1809" s="315"/>
      <c r="I1809" s="315"/>
      <c r="BA1809" s="30"/>
      <c r="BB1809" s="155"/>
      <c r="BC1809" s="314"/>
      <c r="BD1809" s="314"/>
      <c r="BE1809" s="314"/>
      <c r="BF1809" s="314"/>
      <c r="BG1809" s="314"/>
      <c r="BH1809" s="314"/>
      <c r="BI1809" s="314"/>
      <c r="BJ1809" s="314"/>
      <c r="BK1809" s="40"/>
      <c r="BL1809" s="40"/>
      <c r="BM1809" s="40"/>
      <c r="BN1809" s="40"/>
      <c r="BO1809" s="40"/>
      <c r="BP1809" s="155"/>
      <c r="BQ1809" s="314"/>
      <c r="BR1809" s="314"/>
      <c r="BS1809" s="314"/>
      <c r="BT1809" s="314"/>
      <c r="BU1809" s="314"/>
      <c r="BV1809" s="314"/>
      <c r="BW1809" s="314"/>
      <c r="BX1809" s="155"/>
    </row>
    <row r="1810" spans="1:76" ht="15.75" customHeight="1">
      <c r="A1810" s="25"/>
      <c r="B1810" s="39"/>
      <c r="C1810" s="155"/>
      <c r="D1810" s="155"/>
      <c r="E1810" s="40"/>
      <c r="F1810" s="314"/>
      <c r="H1810" s="315"/>
      <c r="I1810" s="315"/>
      <c r="BA1810" s="30"/>
      <c r="BB1810" s="155"/>
      <c r="BC1810" s="314"/>
      <c r="BD1810" s="314"/>
      <c r="BE1810" s="314"/>
      <c r="BF1810" s="314"/>
      <c r="BG1810" s="314"/>
      <c r="BH1810" s="314"/>
      <c r="BI1810" s="314"/>
      <c r="BJ1810" s="314"/>
      <c r="BK1810" s="40"/>
      <c r="BL1810" s="40"/>
      <c r="BM1810" s="40"/>
      <c r="BN1810" s="40"/>
      <c r="BO1810" s="40"/>
      <c r="BP1810" s="155"/>
      <c r="BQ1810" s="314"/>
      <c r="BR1810" s="314"/>
      <c r="BS1810" s="314"/>
      <c r="BT1810" s="314"/>
      <c r="BU1810" s="314"/>
      <c r="BV1810" s="314"/>
      <c r="BW1810" s="314"/>
      <c r="BX1810" s="155"/>
    </row>
    <row r="1811" spans="1:76" ht="15.75" customHeight="1">
      <c r="A1811" s="25"/>
      <c r="B1811" s="39"/>
      <c r="C1811" s="155"/>
      <c r="D1811" s="155"/>
      <c r="E1811" s="40"/>
      <c r="F1811" s="314"/>
      <c r="H1811" s="315"/>
      <c r="I1811" s="315"/>
      <c r="BA1811" s="30"/>
      <c r="BB1811" s="155"/>
      <c r="BC1811" s="314"/>
      <c r="BD1811" s="314"/>
      <c r="BE1811" s="314"/>
      <c r="BF1811" s="314"/>
      <c r="BG1811" s="314"/>
      <c r="BH1811" s="314"/>
      <c r="BI1811" s="314"/>
      <c r="BJ1811" s="314"/>
      <c r="BK1811" s="40"/>
      <c r="BL1811" s="40"/>
      <c r="BM1811" s="40"/>
      <c r="BN1811" s="40"/>
      <c r="BO1811" s="40"/>
      <c r="BP1811" s="155"/>
      <c r="BQ1811" s="314"/>
      <c r="BR1811" s="314"/>
      <c r="BS1811" s="314"/>
      <c r="BT1811" s="314"/>
      <c r="BU1811" s="314"/>
      <c r="BV1811" s="314"/>
      <c r="BW1811" s="314"/>
      <c r="BX1811" s="155"/>
    </row>
    <row r="1812" spans="1:76" ht="15.75" customHeight="1">
      <c r="A1812" s="25"/>
      <c r="B1812" s="39"/>
      <c r="C1812" s="155"/>
      <c r="D1812" s="155"/>
      <c r="E1812" s="40"/>
      <c r="F1812" s="314"/>
      <c r="H1812" s="315"/>
      <c r="I1812" s="315"/>
      <c r="BA1812" s="30"/>
      <c r="BB1812" s="155"/>
      <c r="BC1812" s="314"/>
      <c r="BD1812" s="314"/>
      <c r="BE1812" s="314"/>
      <c r="BF1812" s="314"/>
      <c r="BG1812" s="314"/>
      <c r="BH1812" s="314"/>
      <c r="BI1812" s="314"/>
      <c r="BJ1812" s="314"/>
      <c r="BK1812" s="40"/>
      <c r="BL1812" s="40"/>
      <c r="BM1812" s="40"/>
      <c r="BN1812" s="40"/>
      <c r="BO1812" s="40"/>
      <c r="BP1812" s="155"/>
      <c r="BQ1812" s="314"/>
      <c r="BR1812" s="314"/>
      <c r="BS1812" s="314"/>
      <c r="BT1812" s="314"/>
      <c r="BU1812" s="314"/>
      <c r="BV1812" s="314"/>
      <c r="BW1812" s="314"/>
      <c r="BX1812" s="155"/>
    </row>
    <row r="1813" spans="1:76" ht="15.75" customHeight="1">
      <c r="A1813" s="25"/>
      <c r="B1813" s="39"/>
      <c r="C1813" s="155"/>
      <c r="D1813" s="155"/>
      <c r="E1813" s="40"/>
      <c r="F1813" s="314"/>
      <c r="H1813" s="315"/>
      <c r="I1813" s="315"/>
      <c r="BA1813" s="30"/>
      <c r="BB1813" s="155"/>
      <c r="BC1813" s="314"/>
      <c r="BD1813" s="314"/>
      <c r="BE1813" s="314"/>
      <c r="BF1813" s="314"/>
      <c r="BG1813" s="314"/>
      <c r="BH1813" s="314"/>
      <c r="BI1813" s="314"/>
      <c r="BJ1813" s="314"/>
      <c r="BK1813" s="40"/>
      <c r="BL1813" s="40"/>
      <c r="BM1813" s="40"/>
      <c r="BN1813" s="40"/>
      <c r="BO1813" s="40"/>
      <c r="BP1813" s="155"/>
      <c r="BQ1813" s="314"/>
      <c r="BR1813" s="314"/>
      <c r="BS1813" s="314"/>
      <c r="BT1813" s="314"/>
      <c r="BU1813" s="314"/>
      <c r="BV1813" s="314"/>
      <c r="BW1813" s="314"/>
      <c r="BX1813" s="155"/>
    </row>
    <row r="1814" spans="1:76" ht="15.75" customHeight="1">
      <c r="A1814" s="25"/>
      <c r="B1814" s="39"/>
      <c r="C1814" s="155"/>
      <c r="D1814" s="155"/>
      <c r="E1814" s="40"/>
      <c r="F1814" s="314"/>
      <c r="H1814" s="315"/>
      <c r="I1814" s="315"/>
      <c r="BA1814" s="30"/>
      <c r="BB1814" s="155"/>
      <c r="BC1814" s="314"/>
      <c r="BD1814" s="314"/>
      <c r="BE1814" s="314"/>
      <c r="BF1814" s="314"/>
      <c r="BG1814" s="314"/>
      <c r="BH1814" s="314"/>
      <c r="BI1814" s="314"/>
      <c r="BJ1814" s="314"/>
      <c r="BK1814" s="40"/>
      <c r="BL1814" s="40"/>
      <c r="BM1814" s="40"/>
      <c r="BN1814" s="40"/>
      <c r="BO1814" s="40"/>
      <c r="BP1814" s="155"/>
      <c r="BQ1814" s="314"/>
      <c r="BR1814" s="314"/>
      <c r="BS1814" s="314"/>
      <c r="BT1814" s="314"/>
      <c r="BU1814" s="314"/>
      <c r="BV1814" s="314"/>
      <c r="BW1814" s="314"/>
      <c r="BX1814" s="155"/>
    </row>
    <row r="1815" spans="1:76" ht="15.75" customHeight="1">
      <c r="A1815" s="25"/>
      <c r="B1815" s="39"/>
      <c r="C1815" s="155"/>
      <c r="D1815" s="155"/>
      <c r="E1815" s="40"/>
      <c r="F1815" s="314"/>
      <c r="H1815" s="315"/>
      <c r="I1815" s="315"/>
      <c r="BA1815" s="30"/>
      <c r="BB1815" s="155"/>
      <c r="BC1815" s="314"/>
      <c r="BD1815" s="314"/>
      <c r="BE1815" s="314"/>
      <c r="BF1815" s="314"/>
      <c r="BG1815" s="314"/>
      <c r="BH1815" s="314"/>
      <c r="BI1815" s="314"/>
      <c r="BJ1815" s="314"/>
      <c r="BK1815" s="40"/>
      <c r="BL1815" s="40"/>
      <c r="BM1815" s="40"/>
      <c r="BN1815" s="40"/>
      <c r="BO1815" s="40"/>
      <c r="BP1815" s="155"/>
      <c r="BQ1815" s="314"/>
      <c r="BR1815" s="314"/>
      <c r="BS1815" s="314"/>
      <c r="BT1815" s="314"/>
      <c r="BU1815" s="314"/>
      <c r="BV1815" s="314"/>
      <c r="BW1815" s="314"/>
      <c r="BX1815" s="155"/>
    </row>
    <row r="1816" spans="1:76" ht="15.75" customHeight="1">
      <c r="A1816" s="25"/>
      <c r="B1816" s="39"/>
      <c r="C1816" s="155"/>
      <c r="D1816" s="155"/>
      <c r="E1816" s="40"/>
      <c r="F1816" s="314"/>
      <c r="H1816" s="315"/>
      <c r="I1816" s="315"/>
      <c r="BA1816" s="30"/>
      <c r="BB1816" s="155"/>
      <c r="BC1816" s="314"/>
      <c r="BD1816" s="314"/>
      <c r="BE1816" s="314"/>
      <c r="BF1816" s="314"/>
      <c r="BG1816" s="314"/>
      <c r="BH1816" s="314"/>
      <c r="BI1816" s="314"/>
      <c r="BJ1816" s="314"/>
      <c r="BK1816" s="40"/>
      <c r="BL1816" s="40"/>
      <c r="BM1816" s="40"/>
      <c r="BN1816" s="40"/>
      <c r="BO1816" s="40"/>
      <c r="BP1816" s="155"/>
      <c r="BQ1816" s="314"/>
      <c r="BR1816" s="314"/>
      <c r="BS1816" s="314"/>
      <c r="BT1816" s="314"/>
      <c r="BU1816" s="314"/>
      <c r="BV1816" s="314"/>
      <c r="BW1816" s="314"/>
      <c r="BX1816" s="155"/>
    </row>
    <row r="1817" spans="1:76" ht="15.75" customHeight="1">
      <c r="A1817" s="25"/>
      <c r="B1817" s="39"/>
      <c r="C1817" s="155"/>
      <c r="D1817" s="155"/>
      <c r="E1817" s="40"/>
      <c r="F1817" s="314"/>
      <c r="H1817" s="315"/>
      <c r="I1817" s="315"/>
      <c r="BA1817" s="30"/>
      <c r="BB1817" s="155"/>
      <c r="BC1817" s="322"/>
      <c r="BD1817" s="322"/>
      <c r="BE1817" s="322"/>
      <c r="BF1817" s="322"/>
      <c r="BG1817" s="322"/>
      <c r="BH1817" s="322"/>
      <c r="BI1817" s="322"/>
      <c r="BJ1817" s="322"/>
      <c r="BK1817" s="341"/>
      <c r="BL1817" s="40"/>
      <c r="BM1817" s="40"/>
      <c r="BN1817" s="40"/>
      <c r="BO1817" s="40"/>
      <c r="BP1817" s="155"/>
      <c r="BQ1817" s="314"/>
      <c r="BR1817" s="314"/>
      <c r="BS1817" s="314"/>
      <c r="BT1817" s="314"/>
      <c r="BU1817" s="314"/>
      <c r="BV1817" s="314"/>
      <c r="BW1817" s="314"/>
      <c r="BX1817" s="155"/>
    </row>
    <row r="1818" spans="1:76" ht="15.75" customHeight="1">
      <c r="A1818" s="25"/>
      <c r="B1818" s="39"/>
      <c r="C1818" s="155"/>
      <c r="D1818" s="155"/>
      <c r="E1818" s="40"/>
      <c r="F1818" s="314"/>
      <c r="H1818" s="315"/>
      <c r="I1818" s="315"/>
      <c r="BA1818" s="30"/>
      <c r="BB1818" s="155"/>
      <c r="BC1818" s="314"/>
      <c r="BD1818" s="314"/>
      <c r="BE1818" s="314"/>
      <c r="BF1818" s="314"/>
      <c r="BG1818" s="314"/>
      <c r="BH1818" s="314"/>
      <c r="BI1818" s="314"/>
      <c r="BJ1818" s="314"/>
      <c r="BK1818" s="40"/>
      <c r="BL1818" s="40"/>
      <c r="BM1818" s="40"/>
      <c r="BN1818" s="40"/>
      <c r="BO1818" s="40"/>
      <c r="BP1818" s="155"/>
      <c r="BQ1818" s="314"/>
      <c r="BR1818" s="314"/>
      <c r="BS1818" s="314"/>
      <c r="BT1818" s="314"/>
      <c r="BU1818" s="314"/>
      <c r="BV1818" s="314"/>
      <c r="BW1818" s="314"/>
      <c r="BX1818" s="155"/>
    </row>
    <row r="1819" spans="1:76" ht="15.75" customHeight="1">
      <c r="A1819" s="25"/>
      <c r="B1819" s="39"/>
      <c r="C1819" s="155"/>
      <c r="D1819" s="155"/>
      <c r="E1819" s="40"/>
      <c r="F1819" s="314"/>
      <c r="H1819" s="315"/>
      <c r="I1819" s="315"/>
      <c r="BA1819" s="30"/>
      <c r="BB1819" s="155"/>
      <c r="BC1819" s="314"/>
      <c r="BD1819" s="314"/>
      <c r="BE1819" s="314"/>
      <c r="BF1819" s="314"/>
      <c r="BG1819" s="314"/>
      <c r="BH1819" s="314"/>
      <c r="BI1819" s="314"/>
      <c r="BJ1819" s="314"/>
      <c r="BK1819" s="40"/>
      <c r="BL1819" s="40"/>
      <c r="BM1819" s="40"/>
      <c r="BN1819" s="40"/>
      <c r="BO1819" s="40"/>
      <c r="BP1819" s="155"/>
      <c r="BQ1819" s="314"/>
      <c r="BR1819" s="314"/>
      <c r="BS1819" s="314"/>
      <c r="BT1819" s="314"/>
      <c r="BU1819" s="314"/>
      <c r="BV1819" s="314"/>
      <c r="BW1819" s="314"/>
      <c r="BX1819" s="155"/>
    </row>
    <row r="1820" spans="1:76" ht="15.75" customHeight="1">
      <c r="A1820" s="25"/>
      <c r="B1820" s="39"/>
      <c r="C1820" s="155"/>
      <c r="D1820" s="155"/>
      <c r="E1820" s="40"/>
      <c r="F1820" s="314"/>
      <c r="H1820" s="315"/>
      <c r="I1820" s="315"/>
      <c r="BA1820" s="30"/>
      <c r="BB1820" s="155"/>
      <c r="BC1820" s="314"/>
      <c r="BD1820" s="314"/>
      <c r="BE1820" s="314"/>
      <c r="BF1820" s="314"/>
      <c r="BG1820" s="314"/>
      <c r="BH1820" s="314"/>
      <c r="BI1820" s="314"/>
      <c r="BJ1820" s="314"/>
      <c r="BK1820" s="40"/>
      <c r="BL1820" s="40"/>
      <c r="BM1820" s="40"/>
      <c r="BN1820" s="40"/>
      <c r="BO1820" s="40"/>
      <c r="BP1820" s="155"/>
      <c r="BQ1820" s="314"/>
      <c r="BR1820" s="314"/>
      <c r="BS1820" s="314"/>
      <c r="BT1820" s="314"/>
      <c r="BU1820" s="314"/>
      <c r="BV1820" s="314"/>
      <c r="BW1820" s="314"/>
      <c r="BX1820" s="155"/>
    </row>
    <row r="1821" spans="1:76" ht="15.75" customHeight="1">
      <c r="A1821" s="25"/>
      <c r="B1821" s="39"/>
      <c r="C1821" s="155"/>
      <c r="D1821" s="155"/>
      <c r="E1821" s="40"/>
      <c r="F1821" s="314"/>
      <c r="H1821" s="315"/>
      <c r="I1821" s="315"/>
      <c r="BA1821" s="30"/>
      <c r="BB1821" s="155"/>
      <c r="BC1821" s="314"/>
      <c r="BD1821" s="314"/>
      <c r="BE1821" s="314"/>
      <c r="BF1821" s="314"/>
      <c r="BG1821" s="314"/>
      <c r="BH1821" s="314"/>
      <c r="BI1821" s="314"/>
      <c r="BJ1821" s="314"/>
      <c r="BK1821" s="40"/>
      <c r="BL1821" s="40"/>
      <c r="BM1821" s="40"/>
      <c r="BN1821" s="40"/>
      <c r="BO1821" s="40"/>
      <c r="BP1821" s="155"/>
      <c r="BQ1821" s="314"/>
      <c r="BR1821" s="314"/>
      <c r="BS1821" s="314"/>
      <c r="BT1821" s="314"/>
      <c r="BU1821" s="314"/>
      <c r="BV1821" s="314"/>
      <c r="BW1821" s="314"/>
      <c r="BX1821" s="155"/>
    </row>
    <row r="1822" spans="1:76" ht="15.75" customHeight="1">
      <c r="A1822" s="25"/>
      <c r="B1822" s="39"/>
      <c r="C1822" s="155"/>
      <c r="D1822" s="155"/>
      <c r="E1822" s="40"/>
      <c r="F1822" s="314"/>
      <c r="H1822" s="315"/>
      <c r="I1822" s="315"/>
      <c r="BA1822" s="30"/>
      <c r="BB1822" s="155"/>
      <c r="BC1822" s="314"/>
      <c r="BD1822" s="314"/>
      <c r="BE1822" s="314"/>
      <c r="BF1822" s="314"/>
      <c r="BG1822" s="314"/>
      <c r="BH1822" s="314"/>
      <c r="BI1822" s="314"/>
      <c r="BJ1822" s="314"/>
      <c r="BK1822" s="40"/>
      <c r="BL1822" s="40"/>
      <c r="BM1822" s="40"/>
      <c r="BN1822" s="40"/>
      <c r="BO1822" s="40"/>
      <c r="BP1822" s="155"/>
      <c r="BQ1822" s="314"/>
      <c r="BR1822" s="314"/>
      <c r="BS1822" s="314"/>
      <c r="BT1822" s="314"/>
      <c r="BU1822" s="314"/>
      <c r="BV1822" s="314"/>
      <c r="BW1822" s="314"/>
      <c r="BX1822" s="155"/>
    </row>
    <row r="1823" spans="1:76" ht="15.75" customHeight="1">
      <c r="A1823" s="25"/>
      <c r="B1823" s="39"/>
      <c r="C1823" s="155"/>
      <c r="D1823" s="155"/>
      <c r="E1823" s="40"/>
      <c r="F1823" s="314"/>
      <c r="H1823" s="315"/>
      <c r="I1823" s="315"/>
      <c r="BA1823" s="30"/>
      <c r="BB1823" s="155"/>
      <c r="BC1823" s="314"/>
      <c r="BD1823" s="314"/>
      <c r="BE1823" s="314"/>
      <c r="BF1823" s="314"/>
      <c r="BG1823" s="314"/>
      <c r="BH1823" s="314"/>
      <c r="BI1823" s="314"/>
      <c r="BJ1823" s="314"/>
      <c r="BK1823" s="40"/>
      <c r="BL1823" s="40"/>
      <c r="BM1823" s="40"/>
      <c r="BN1823" s="40"/>
      <c r="BO1823" s="40"/>
      <c r="BP1823" s="155"/>
      <c r="BQ1823" s="314"/>
      <c r="BR1823" s="314"/>
      <c r="BS1823" s="314"/>
      <c r="BT1823" s="314"/>
      <c r="BU1823" s="314"/>
      <c r="BV1823" s="314"/>
      <c r="BW1823" s="314"/>
      <c r="BX1823" s="155"/>
    </row>
    <row r="1824" spans="1:76" ht="15.75" customHeight="1">
      <c r="A1824" s="25"/>
      <c r="B1824" s="39"/>
      <c r="C1824" s="155"/>
      <c r="D1824" s="155"/>
      <c r="E1824" s="40"/>
      <c r="F1824" s="314"/>
      <c r="H1824" s="315"/>
      <c r="I1824" s="315"/>
      <c r="BA1824" s="30"/>
      <c r="BB1824" s="155"/>
      <c r="BC1824" s="314"/>
      <c r="BD1824" s="314"/>
      <c r="BE1824" s="314"/>
      <c r="BF1824" s="314"/>
      <c r="BG1824" s="314"/>
      <c r="BH1824" s="314"/>
      <c r="BI1824" s="314"/>
      <c r="BJ1824" s="314"/>
      <c r="BK1824" s="40"/>
      <c r="BL1824" s="40"/>
      <c r="BM1824" s="40"/>
      <c r="BN1824" s="40"/>
      <c r="BO1824" s="40"/>
      <c r="BP1824" s="155"/>
      <c r="BQ1824" s="314"/>
      <c r="BR1824" s="314"/>
      <c r="BS1824" s="314"/>
      <c r="BT1824" s="314"/>
      <c r="BU1824" s="314"/>
      <c r="BV1824" s="314"/>
      <c r="BW1824" s="314"/>
      <c r="BX1824" s="155"/>
    </row>
    <row r="1825" spans="1:76" ht="15.75" customHeight="1">
      <c r="A1825" s="25"/>
      <c r="B1825" s="39"/>
      <c r="C1825" s="155"/>
      <c r="D1825" s="155"/>
      <c r="E1825" s="40"/>
      <c r="F1825" s="314"/>
      <c r="H1825" s="315"/>
      <c r="I1825" s="315"/>
      <c r="BA1825" s="30"/>
      <c r="BB1825" s="155"/>
      <c r="BC1825" s="314"/>
      <c r="BD1825" s="314"/>
      <c r="BE1825" s="314"/>
      <c r="BF1825" s="314"/>
      <c r="BG1825" s="314"/>
      <c r="BH1825" s="314"/>
      <c r="BI1825" s="314"/>
      <c r="BJ1825" s="314"/>
      <c r="BK1825" s="40"/>
      <c r="BL1825" s="40"/>
      <c r="BM1825" s="40"/>
      <c r="BN1825" s="40"/>
      <c r="BO1825" s="40"/>
      <c r="BP1825" s="155"/>
      <c r="BQ1825" s="314"/>
      <c r="BR1825" s="314"/>
      <c r="BS1825" s="314"/>
      <c r="BT1825" s="314"/>
      <c r="BU1825" s="314"/>
      <c r="BV1825" s="314"/>
      <c r="BW1825" s="314"/>
      <c r="BX1825" s="155"/>
    </row>
    <row r="1826" spans="1:76" ht="15.75" customHeight="1">
      <c r="A1826" s="25"/>
      <c r="B1826" s="39"/>
      <c r="C1826" s="155"/>
      <c r="D1826" s="155"/>
      <c r="E1826" s="40"/>
      <c r="F1826" s="314"/>
      <c r="H1826" s="315"/>
      <c r="I1826" s="315"/>
      <c r="BA1826" s="30"/>
      <c r="BB1826" s="155"/>
      <c r="BC1826" s="314"/>
      <c r="BD1826" s="314"/>
      <c r="BE1826" s="314"/>
      <c r="BF1826" s="314"/>
      <c r="BG1826" s="314"/>
      <c r="BH1826" s="314"/>
      <c r="BI1826" s="314"/>
      <c r="BJ1826" s="314"/>
      <c r="BK1826" s="40"/>
      <c r="BL1826" s="40"/>
      <c r="BM1826" s="40"/>
      <c r="BN1826" s="40"/>
      <c r="BO1826" s="40"/>
      <c r="BP1826" s="155"/>
      <c r="BQ1826" s="314"/>
      <c r="BR1826" s="314"/>
      <c r="BS1826" s="314"/>
      <c r="BT1826" s="314"/>
      <c r="BU1826" s="314"/>
      <c r="BV1826" s="314"/>
      <c r="BW1826" s="314"/>
      <c r="BX1826" s="155"/>
    </row>
    <row r="1827" spans="1:76" ht="15.75" customHeight="1">
      <c r="A1827" s="25"/>
      <c r="B1827" s="39"/>
      <c r="C1827" s="155"/>
      <c r="D1827" s="155"/>
      <c r="E1827" s="40"/>
      <c r="F1827" s="314"/>
      <c r="H1827" s="315"/>
      <c r="I1827" s="315"/>
      <c r="BA1827" s="30"/>
      <c r="BB1827" s="155"/>
      <c r="BC1827" s="314"/>
      <c r="BD1827" s="314"/>
      <c r="BE1827" s="314"/>
      <c r="BF1827" s="314"/>
      <c r="BG1827" s="314"/>
      <c r="BH1827" s="314"/>
      <c r="BI1827" s="314"/>
      <c r="BJ1827" s="314"/>
      <c r="BK1827" s="40"/>
      <c r="BL1827" s="40"/>
      <c r="BM1827" s="40"/>
      <c r="BN1827" s="40"/>
      <c r="BO1827" s="40"/>
      <c r="BP1827" s="155"/>
      <c r="BQ1827" s="314"/>
      <c r="BR1827" s="314"/>
      <c r="BS1827" s="314"/>
      <c r="BT1827" s="314"/>
      <c r="BU1827" s="314"/>
      <c r="BV1827" s="314"/>
      <c r="BW1827" s="314"/>
      <c r="BX1827" s="155"/>
    </row>
    <row r="1828" spans="1:76" ht="15.75" customHeight="1">
      <c r="A1828" s="25"/>
      <c r="B1828" s="39"/>
      <c r="C1828" s="155"/>
      <c r="D1828" s="155"/>
      <c r="E1828" s="40"/>
      <c r="F1828" s="314"/>
      <c r="H1828" s="315"/>
      <c r="I1828" s="315"/>
      <c r="BA1828" s="30"/>
      <c r="BB1828" s="155"/>
      <c r="BC1828" s="314"/>
      <c r="BD1828" s="314"/>
      <c r="BE1828" s="314"/>
      <c r="BF1828" s="314"/>
      <c r="BG1828" s="314"/>
      <c r="BH1828" s="314"/>
      <c r="BI1828" s="314"/>
      <c r="BJ1828" s="314"/>
      <c r="BK1828" s="40"/>
      <c r="BL1828" s="40"/>
      <c r="BM1828" s="40"/>
      <c r="BN1828" s="40"/>
      <c r="BO1828" s="40"/>
      <c r="BP1828" s="155"/>
      <c r="BQ1828" s="314"/>
      <c r="BR1828" s="314"/>
      <c r="BS1828" s="314"/>
      <c r="BT1828" s="314"/>
      <c r="BU1828" s="314"/>
      <c r="BV1828" s="314"/>
      <c r="BW1828" s="314"/>
      <c r="BX1828" s="155"/>
    </row>
    <row r="1829" spans="1:76" ht="15.75" customHeight="1">
      <c r="A1829" s="25"/>
      <c r="B1829" s="39"/>
      <c r="C1829" s="155"/>
      <c r="D1829" s="155"/>
      <c r="E1829" s="40"/>
      <c r="F1829" s="314"/>
      <c r="H1829" s="315"/>
      <c r="I1829" s="315"/>
      <c r="BA1829" s="30"/>
      <c r="BB1829" s="155"/>
      <c r="BC1829" s="314"/>
      <c r="BD1829" s="314"/>
      <c r="BE1829" s="314"/>
      <c r="BF1829" s="314"/>
      <c r="BG1829" s="314"/>
      <c r="BH1829" s="314"/>
      <c r="BI1829" s="314"/>
      <c r="BJ1829" s="314"/>
      <c r="BK1829" s="40"/>
      <c r="BL1829" s="40"/>
      <c r="BM1829" s="40"/>
      <c r="BN1829" s="40"/>
      <c r="BO1829" s="40"/>
      <c r="BP1829" s="155"/>
      <c r="BQ1829" s="314"/>
      <c r="BR1829" s="314"/>
      <c r="BS1829" s="314"/>
      <c r="BT1829" s="314"/>
      <c r="BU1829" s="314"/>
      <c r="BV1829" s="314"/>
      <c r="BW1829" s="314"/>
      <c r="BX1829" s="155"/>
    </row>
    <row r="1830" spans="1:76" ht="15.75" customHeight="1">
      <c r="A1830" s="25"/>
      <c r="B1830" s="39"/>
      <c r="C1830" s="155"/>
      <c r="D1830" s="155"/>
      <c r="E1830" s="40"/>
      <c r="F1830" s="314"/>
      <c r="H1830" s="315"/>
      <c r="I1830" s="315"/>
      <c r="BA1830" s="30"/>
      <c r="BB1830" s="155"/>
      <c r="BC1830" s="314"/>
      <c r="BD1830" s="314"/>
      <c r="BE1830" s="314"/>
      <c r="BF1830" s="314"/>
      <c r="BG1830" s="314"/>
      <c r="BH1830" s="314"/>
      <c r="BI1830" s="314"/>
      <c r="BJ1830" s="314"/>
      <c r="BK1830" s="40"/>
      <c r="BL1830" s="40"/>
      <c r="BM1830" s="40"/>
      <c r="BN1830" s="40"/>
      <c r="BO1830" s="40"/>
      <c r="BP1830" s="155"/>
      <c r="BQ1830" s="314"/>
      <c r="BR1830" s="314"/>
      <c r="BS1830" s="314"/>
      <c r="BT1830" s="314"/>
      <c r="BU1830" s="314"/>
      <c r="BV1830" s="314"/>
      <c r="BW1830" s="314"/>
      <c r="BX1830" s="155"/>
    </row>
    <row r="1831" spans="1:76" ht="15.75" customHeight="1">
      <c r="A1831" s="25"/>
      <c r="B1831" s="39"/>
      <c r="C1831" s="155"/>
      <c r="D1831" s="155"/>
      <c r="E1831" s="40"/>
      <c r="F1831" s="314"/>
      <c r="H1831" s="315"/>
      <c r="I1831" s="315"/>
      <c r="BA1831" s="30"/>
      <c r="BB1831" s="155"/>
      <c r="BC1831" s="314"/>
      <c r="BD1831" s="314"/>
      <c r="BE1831" s="314"/>
      <c r="BF1831" s="314"/>
      <c r="BG1831" s="314"/>
      <c r="BH1831" s="314"/>
      <c r="BI1831" s="314"/>
      <c r="BJ1831" s="314"/>
      <c r="BK1831" s="40"/>
      <c r="BL1831" s="40"/>
      <c r="BM1831" s="40"/>
      <c r="BN1831" s="40"/>
      <c r="BO1831" s="40"/>
      <c r="BP1831" s="155"/>
      <c r="BQ1831" s="314"/>
      <c r="BR1831" s="314"/>
      <c r="BS1831" s="314"/>
      <c r="BT1831" s="314"/>
      <c r="BU1831" s="314"/>
      <c r="BV1831" s="314"/>
      <c r="BW1831" s="314"/>
      <c r="BX1831" s="155"/>
    </row>
    <row r="1832" spans="1:76" ht="15.75" customHeight="1">
      <c r="A1832" s="25"/>
      <c r="B1832" s="39"/>
      <c r="C1832" s="155"/>
      <c r="D1832" s="155"/>
      <c r="E1832" s="40"/>
      <c r="F1832" s="314"/>
      <c r="H1832" s="315"/>
      <c r="I1832" s="315"/>
      <c r="BA1832" s="30"/>
      <c r="BB1832" s="155"/>
      <c r="BC1832" s="314"/>
      <c r="BD1832" s="314"/>
      <c r="BE1832" s="314"/>
      <c r="BF1832" s="314"/>
      <c r="BG1832" s="314"/>
      <c r="BH1832" s="314"/>
      <c r="BI1832" s="314"/>
      <c r="BJ1832" s="314"/>
      <c r="BK1832" s="40"/>
      <c r="BL1832" s="40"/>
      <c r="BM1832" s="40"/>
      <c r="BN1832" s="40"/>
      <c r="BO1832" s="40"/>
      <c r="BP1832" s="155"/>
      <c r="BQ1832" s="314"/>
      <c r="BR1832" s="314"/>
      <c r="BS1832" s="314"/>
      <c r="BT1832" s="314"/>
      <c r="BU1832" s="314"/>
      <c r="BV1832" s="314"/>
      <c r="BW1832" s="314"/>
      <c r="BX1832" s="155"/>
    </row>
    <row r="1833" spans="1:76" ht="15.75" customHeight="1">
      <c r="A1833" s="25"/>
      <c r="B1833" s="39"/>
      <c r="C1833" s="155"/>
      <c r="D1833" s="155"/>
      <c r="E1833" s="40"/>
      <c r="F1833" s="314"/>
      <c r="H1833" s="315"/>
      <c r="I1833" s="315"/>
      <c r="BA1833" s="30"/>
      <c r="BB1833" s="155"/>
      <c r="BC1833" s="314"/>
      <c r="BD1833" s="314"/>
      <c r="BE1833" s="314"/>
      <c r="BF1833" s="314"/>
      <c r="BG1833" s="314"/>
      <c r="BH1833" s="314"/>
      <c r="BI1833" s="314"/>
      <c r="BJ1833" s="314"/>
      <c r="BK1833" s="40"/>
      <c r="BL1833" s="40"/>
      <c r="BM1833" s="40"/>
      <c r="BN1833" s="40"/>
      <c r="BO1833" s="40"/>
      <c r="BP1833" s="155"/>
      <c r="BQ1833" s="314"/>
      <c r="BR1833" s="314"/>
      <c r="BS1833" s="314"/>
      <c r="BT1833" s="314"/>
      <c r="BU1833" s="314"/>
      <c r="BV1833" s="314"/>
      <c r="BW1833" s="314"/>
      <c r="BX1833" s="155"/>
    </row>
    <row r="1834" spans="1:76" ht="15.75" customHeight="1">
      <c r="A1834" s="25"/>
      <c r="B1834" s="39"/>
      <c r="C1834" s="155"/>
      <c r="D1834" s="155"/>
      <c r="E1834" s="40"/>
      <c r="F1834" s="314"/>
      <c r="H1834" s="315"/>
      <c r="I1834" s="315"/>
      <c r="BA1834" s="30"/>
      <c r="BB1834" s="155"/>
      <c r="BC1834" s="314"/>
      <c r="BD1834" s="314"/>
      <c r="BE1834" s="314"/>
      <c r="BF1834" s="314"/>
      <c r="BG1834" s="314"/>
      <c r="BH1834" s="314"/>
      <c r="BI1834" s="314"/>
      <c r="BJ1834" s="314"/>
      <c r="BK1834" s="40"/>
      <c r="BL1834" s="40"/>
      <c r="BM1834" s="40"/>
      <c r="BN1834" s="40"/>
      <c r="BO1834" s="40"/>
      <c r="BP1834" s="155"/>
      <c r="BQ1834" s="314"/>
      <c r="BR1834" s="314"/>
      <c r="BS1834" s="314"/>
      <c r="BT1834" s="314"/>
      <c r="BU1834" s="314"/>
      <c r="BV1834" s="314"/>
      <c r="BW1834" s="314"/>
      <c r="BX1834" s="155"/>
    </row>
    <row r="1835" spans="1:76" ht="15.75" customHeight="1">
      <c r="A1835" s="25"/>
      <c r="B1835" s="39"/>
      <c r="C1835" s="155"/>
      <c r="D1835" s="155"/>
      <c r="E1835" s="40"/>
      <c r="F1835" s="314"/>
      <c r="H1835" s="315"/>
      <c r="I1835" s="315"/>
      <c r="BA1835" s="30"/>
      <c r="BB1835" s="155"/>
      <c r="BC1835" s="314"/>
      <c r="BD1835" s="314"/>
      <c r="BE1835" s="314"/>
      <c r="BF1835" s="314"/>
      <c r="BG1835" s="314"/>
      <c r="BH1835" s="314"/>
      <c r="BI1835" s="314"/>
      <c r="BJ1835" s="314"/>
      <c r="BK1835" s="40"/>
      <c r="BL1835" s="40"/>
      <c r="BM1835" s="40"/>
      <c r="BN1835" s="40"/>
      <c r="BO1835" s="40"/>
      <c r="BP1835" s="155"/>
      <c r="BQ1835" s="314"/>
      <c r="BR1835" s="314"/>
      <c r="BS1835" s="314"/>
      <c r="BT1835" s="314"/>
      <c r="BU1835" s="314"/>
      <c r="BV1835" s="314"/>
      <c r="BW1835" s="314"/>
      <c r="BX1835" s="155"/>
    </row>
    <row r="1836" spans="1:76" ht="15.75" customHeight="1">
      <c r="A1836" s="25"/>
      <c r="B1836" s="39"/>
      <c r="C1836" s="155"/>
      <c r="D1836" s="155"/>
      <c r="E1836" s="40"/>
      <c r="F1836" s="314"/>
      <c r="H1836" s="315"/>
      <c r="I1836" s="315"/>
      <c r="BA1836" s="30"/>
      <c r="BB1836" s="155"/>
      <c r="BC1836" s="322"/>
      <c r="BD1836" s="322"/>
      <c r="BE1836" s="322"/>
      <c r="BF1836" s="322"/>
      <c r="BG1836" s="322"/>
      <c r="BH1836" s="322"/>
      <c r="BI1836" s="322"/>
      <c r="BJ1836" s="322"/>
      <c r="BK1836" s="341"/>
      <c r="BL1836" s="40"/>
      <c r="BM1836" s="40"/>
      <c r="BN1836" s="40"/>
      <c r="BO1836" s="40"/>
      <c r="BP1836" s="155"/>
      <c r="BQ1836" s="314"/>
      <c r="BR1836" s="314"/>
      <c r="BS1836" s="314"/>
      <c r="BT1836" s="314"/>
      <c r="BU1836" s="314"/>
      <c r="BV1836" s="314"/>
      <c r="BW1836" s="314"/>
      <c r="BX1836" s="155"/>
    </row>
    <row r="1837" spans="1:76" ht="15.75" customHeight="1">
      <c r="A1837" s="25"/>
      <c r="B1837" s="39"/>
      <c r="C1837" s="155"/>
      <c r="D1837" s="155"/>
      <c r="E1837" s="40"/>
      <c r="F1837" s="314"/>
      <c r="H1837" s="315"/>
      <c r="I1837" s="315"/>
      <c r="BA1837" s="30"/>
      <c r="BB1837" s="155"/>
      <c r="BC1837" s="314"/>
      <c r="BD1837" s="314"/>
      <c r="BE1837" s="314"/>
      <c r="BF1837" s="314"/>
      <c r="BG1837" s="314"/>
      <c r="BH1837" s="314"/>
      <c r="BI1837" s="314"/>
      <c r="BJ1837" s="314"/>
      <c r="BK1837" s="40"/>
      <c r="BL1837" s="40"/>
      <c r="BM1837" s="40"/>
      <c r="BN1837" s="40"/>
      <c r="BO1837" s="40"/>
      <c r="BP1837" s="155"/>
      <c r="BQ1837" s="314"/>
      <c r="BR1837" s="314"/>
      <c r="BS1837" s="314"/>
      <c r="BT1837" s="314"/>
      <c r="BU1837" s="314"/>
      <c r="BV1837" s="314"/>
      <c r="BW1837" s="314"/>
      <c r="BX1837" s="155"/>
    </row>
    <row r="1838" spans="1:76" ht="15.75" customHeight="1">
      <c r="A1838" s="25"/>
      <c r="B1838" s="39"/>
      <c r="C1838" s="155"/>
      <c r="D1838" s="155"/>
      <c r="E1838" s="40"/>
      <c r="F1838" s="314"/>
      <c r="H1838" s="315"/>
      <c r="I1838" s="315"/>
      <c r="BA1838" s="30"/>
      <c r="BB1838" s="155"/>
      <c r="BC1838" s="314"/>
      <c r="BD1838" s="314"/>
      <c r="BE1838" s="314"/>
      <c r="BF1838" s="314"/>
      <c r="BG1838" s="314"/>
      <c r="BH1838" s="314"/>
      <c r="BI1838" s="314"/>
      <c r="BJ1838" s="314"/>
      <c r="BK1838" s="40"/>
      <c r="BL1838" s="40"/>
      <c r="BM1838" s="40"/>
      <c r="BN1838" s="40"/>
      <c r="BO1838" s="40"/>
      <c r="BP1838" s="155"/>
      <c r="BQ1838" s="314"/>
      <c r="BR1838" s="314"/>
      <c r="BS1838" s="314"/>
      <c r="BT1838" s="314"/>
      <c r="BU1838" s="314"/>
      <c r="BV1838" s="314"/>
      <c r="BW1838" s="314"/>
      <c r="BX1838" s="155"/>
    </row>
    <row r="1839" spans="1:76" ht="15.75" customHeight="1">
      <c r="A1839" s="25"/>
      <c r="B1839" s="39"/>
      <c r="C1839" s="155"/>
      <c r="D1839" s="155"/>
      <c r="E1839" s="40"/>
      <c r="F1839" s="314"/>
      <c r="H1839" s="315"/>
      <c r="I1839" s="315"/>
      <c r="BA1839" s="30"/>
      <c r="BB1839" s="155"/>
      <c r="BC1839" s="314"/>
      <c r="BD1839" s="314"/>
      <c r="BE1839" s="314"/>
      <c r="BF1839" s="314"/>
      <c r="BG1839" s="314"/>
      <c r="BH1839" s="314"/>
      <c r="BI1839" s="314"/>
      <c r="BJ1839" s="314"/>
      <c r="BK1839" s="40"/>
      <c r="BL1839" s="40"/>
      <c r="BM1839" s="40"/>
      <c r="BN1839" s="40"/>
      <c r="BO1839" s="40"/>
      <c r="BP1839" s="155"/>
      <c r="BQ1839" s="314"/>
      <c r="BR1839" s="314"/>
      <c r="BS1839" s="314"/>
      <c r="BT1839" s="314"/>
      <c r="BU1839" s="314"/>
      <c r="BV1839" s="314"/>
      <c r="BW1839" s="314"/>
      <c r="BX1839" s="155"/>
    </row>
    <row r="1840" spans="1:76" ht="15.75" customHeight="1">
      <c r="A1840" s="25"/>
      <c r="B1840" s="39"/>
      <c r="C1840" s="155"/>
      <c r="D1840" s="155"/>
      <c r="E1840" s="40"/>
      <c r="F1840" s="314"/>
      <c r="H1840" s="315"/>
      <c r="I1840" s="315"/>
      <c r="BA1840" s="30"/>
      <c r="BB1840" s="155"/>
      <c r="BC1840" s="314"/>
      <c r="BD1840" s="314"/>
      <c r="BE1840" s="314"/>
      <c r="BF1840" s="314"/>
      <c r="BG1840" s="314"/>
      <c r="BH1840" s="314"/>
      <c r="BI1840" s="314"/>
      <c r="BJ1840" s="314"/>
      <c r="BK1840" s="40"/>
      <c r="BL1840" s="40"/>
      <c r="BM1840" s="40"/>
      <c r="BN1840" s="40"/>
      <c r="BO1840" s="40"/>
      <c r="BP1840" s="155"/>
      <c r="BQ1840" s="314"/>
      <c r="BR1840" s="314"/>
      <c r="BS1840" s="314"/>
      <c r="BT1840" s="314"/>
      <c r="BU1840" s="314"/>
      <c r="BV1840" s="314"/>
      <c r="BW1840" s="314"/>
      <c r="BX1840" s="155"/>
    </row>
    <row r="1841" spans="1:76" ht="15.75" customHeight="1">
      <c r="A1841" s="25"/>
      <c r="B1841" s="39"/>
      <c r="C1841" s="155"/>
      <c r="D1841" s="155"/>
      <c r="E1841" s="40"/>
      <c r="F1841" s="314"/>
      <c r="H1841" s="315"/>
      <c r="I1841" s="315"/>
      <c r="BA1841" s="30"/>
      <c r="BB1841" s="155"/>
      <c r="BC1841" s="314"/>
      <c r="BD1841" s="314"/>
      <c r="BE1841" s="314"/>
      <c r="BF1841" s="314"/>
      <c r="BG1841" s="314"/>
      <c r="BH1841" s="314"/>
      <c r="BI1841" s="314"/>
      <c r="BJ1841" s="314"/>
      <c r="BK1841" s="40"/>
      <c r="BL1841" s="40"/>
      <c r="BM1841" s="40"/>
      <c r="BN1841" s="40"/>
      <c r="BO1841" s="40"/>
      <c r="BP1841" s="155"/>
      <c r="BQ1841" s="314"/>
      <c r="BR1841" s="314"/>
      <c r="BS1841" s="314"/>
      <c r="BT1841" s="314"/>
      <c r="BU1841" s="314"/>
      <c r="BV1841" s="314"/>
      <c r="BW1841" s="314"/>
      <c r="BX1841" s="155"/>
    </row>
    <row r="1842" spans="1:76" ht="15.75" customHeight="1">
      <c r="A1842" s="25"/>
      <c r="B1842" s="39"/>
      <c r="C1842" s="155"/>
      <c r="D1842" s="155"/>
      <c r="E1842" s="40"/>
      <c r="F1842" s="314"/>
      <c r="H1842" s="315"/>
      <c r="I1842" s="315"/>
      <c r="BA1842" s="30"/>
      <c r="BB1842" s="155"/>
      <c r="BC1842" s="314"/>
      <c r="BD1842" s="314"/>
      <c r="BE1842" s="314"/>
      <c r="BF1842" s="314"/>
      <c r="BG1842" s="314"/>
      <c r="BH1842" s="314"/>
      <c r="BI1842" s="314"/>
      <c r="BJ1842" s="314"/>
      <c r="BK1842" s="40"/>
      <c r="BL1842" s="40"/>
      <c r="BM1842" s="40"/>
      <c r="BN1842" s="40"/>
      <c r="BO1842" s="40"/>
      <c r="BP1842" s="155"/>
      <c r="BQ1842" s="314"/>
      <c r="BR1842" s="314"/>
      <c r="BS1842" s="314"/>
      <c r="BT1842" s="314"/>
      <c r="BU1842" s="314"/>
      <c r="BV1842" s="314"/>
      <c r="BW1842" s="314"/>
      <c r="BX1842" s="155"/>
    </row>
    <row r="1843" spans="1:76" ht="15.75" customHeight="1">
      <c r="A1843" s="25"/>
      <c r="B1843" s="39"/>
      <c r="C1843" s="155"/>
      <c r="D1843" s="155"/>
      <c r="E1843" s="40"/>
      <c r="F1843" s="314"/>
      <c r="H1843" s="315"/>
      <c r="I1843" s="315"/>
      <c r="BA1843" s="30"/>
      <c r="BB1843" s="155"/>
      <c r="BC1843" s="314"/>
      <c r="BD1843" s="314"/>
      <c r="BE1843" s="314"/>
      <c r="BF1843" s="314"/>
      <c r="BG1843" s="314"/>
      <c r="BH1843" s="314"/>
      <c r="BI1843" s="314"/>
      <c r="BJ1843" s="314"/>
      <c r="BK1843" s="40"/>
      <c r="BL1843" s="40"/>
      <c r="BM1843" s="40"/>
      <c r="BN1843" s="40"/>
      <c r="BO1843" s="40"/>
      <c r="BP1843" s="155"/>
      <c r="BQ1843" s="314"/>
      <c r="BR1843" s="314"/>
      <c r="BS1843" s="314"/>
      <c r="BT1843" s="314"/>
      <c r="BU1843" s="314"/>
      <c r="BV1843" s="314"/>
      <c r="BW1843" s="314"/>
      <c r="BX1843" s="155"/>
    </row>
    <row r="1844" spans="1:76" ht="15.75" customHeight="1">
      <c r="A1844" s="25"/>
      <c r="B1844" s="39"/>
      <c r="C1844" s="155"/>
      <c r="D1844" s="155"/>
      <c r="E1844" s="40"/>
      <c r="F1844" s="314"/>
      <c r="H1844" s="315"/>
      <c r="I1844" s="315"/>
      <c r="BA1844" s="30"/>
      <c r="BB1844" s="155"/>
      <c r="BC1844" s="314"/>
      <c r="BD1844" s="314"/>
      <c r="BE1844" s="314"/>
      <c r="BF1844" s="314"/>
      <c r="BG1844" s="314"/>
      <c r="BH1844" s="314"/>
      <c r="BI1844" s="314"/>
      <c r="BJ1844" s="314"/>
      <c r="BK1844" s="40"/>
      <c r="BL1844" s="40"/>
      <c r="BM1844" s="40"/>
      <c r="BN1844" s="40"/>
      <c r="BO1844" s="40"/>
      <c r="BP1844" s="155"/>
      <c r="BQ1844" s="314"/>
      <c r="BR1844" s="314"/>
      <c r="BS1844" s="314"/>
      <c r="BT1844" s="314"/>
      <c r="BU1844" s="314"/>
      <c r="BV1844" s="314"/>
      <c r="BW1844" s="314"/>
      <c r="BX1844" s="155"/>
    </row>
    <row r="1845" spans="1:76" ht="15.75" customHeight="1">
      <c r="A1845" s="25"/>
      <c r="B1845" s="39"/>
      <c r="C1845" s="155"/>
      <c r="D1845" s="155"/>
      <c r="E1845" s="40"/>
      <c r="F1845" s="314"/>
      <c r="H1845" s="315"/>
      <c r="I1845" s="315"/>
      <c r="BA1845" s="30"/>
      <c r="BB1845" s="155"/>
      <c r="BC1845" s="314"/>
      <c r="BD1845" s="314"/>
      <c r="BE1845" s="314"/>
      <c r="BF1845" s="314"/>
      <c r="BG1845" s="314"/>
      <c r="BH1845" s="314"/>
      <c r="BI1845" s="314"/>
      <c r="BJ1845" s="314"/>
      <c r="BK1845" s="40"/>
      <c r="BL1845" s="40"/>
      <c r="BM1845" s="40"/>
      <c r="BN1845" s="40"/>
      <c r="BO1845" s="40"/>
      <c r="BP1845" s="155"/>
      <c r="BQ1845" s="314"/>
      <c r="BR1845" s="314"/>
      <c r="BS1845" s="314"/>
      <c r="BT1845" s="314"/>
      <c r="BU1845" s="314"/>
      <c r="BV1845" s="314"/>
      <c r="BW1845" s="314"/>
      <c r="BX1845" s="155"/>
    </row>
    <row r="1846" spans="1:76" ht="15.75" customHeight="1">
      <c r="A1846" s="25"/>
      <c r="B1846" s="39"/>
      <c r="C1846" s="155"/>
      <c r="D1846" s="155"/>
      <c r="E1846" s="40"/>
      <c r="F1846" s="314"/>
      <c r="H1846" s="315"/>
      <c r="I1846" s="315"/>
      <c r="BA1846" s="30"/>
      <c r="BB1846" s="155"/>
      <c r="BC1846" s="314"/>
      <c r="BD1846" s="314"/>
      <c r="BE1846" s="314"/>
      <c r="BF1846" s="314"/>
      <c r="BG1846" s="314"/>
      <c r="BH1846" s="314"/>
      <c r="BI1846" s="314"/>
      <c r="BJ1846" s="314"/>
      <c r="BK1846" s="40"/>
      <c r="BL1846" s="40"/>
      <c r="BM1846" s="40"/>
      <c r="BN1846" s="40"/>
      <c r="BO1846" s="40"/>
      <c r="BP1846" s="155"/>
      <c r="BQ1846" s="314"/>
      <c r="BR1846" s="314"/>
      <c r="BS1846" s="314"/>
      <c r="BT1846" s="314"/>
      <c r="BU1846" s="314"/>
      <c r="BV1846" s="314"/>
      <c r="BW1846" s="314"/>
      <c r="BX1846" s="155"/>
    </row>
    <row r="1847" spans="1:76" ht="15.75" customHeight="1">
      <c r="A1847" s="25"/>
      <c r="B1847" s="39"/>
      <c r="C1847" s="155"/>
      <c r="D1847" s="155"/>
      <c r="E1847" s="40"/>
      <c r="F1847" s="314"/>
      <c r="H1847" s="315"/>
      <c r="I1847" s="315"/>
      <c r="BA1847" s="30"/>
      <c r="BB1847" s="155"/>
      <c r="BC1847" s="314"/>
      <c r="BD1847" s="314"/>
      <c r="BE1847" s="314"/>
      <c r="BF1847" s="314"/>
      <c r="BG1847" s="314"/>
      <c r="BH1847" s="314"/>
      <c r="BI1847" s="314"/>
      <c r="BJ1847" s="314"/>
      <c r="BK1847" s="40"/>
      <c r="BL1847" s="40"/>
      <c r="BM1847" s="40"/>
      <c r="BN1847" s="40"/>
      <c r="BO1847" s="40"/>
      <c r="BP1847" s="155"/>
      <c r="BQ1847" s="314"/>
      <c r="BR1847" s="314"/>
      <c r="BS1847" s="314"/>
      <c r="BT1847" s="314"/>
      <c r="BU1847" s="314"/>
      <c r="BV1847" s="314"/>
      <c r="BW1847" s="314"/>
      <c r="BX1847" s="155"/>
    </row>
    <row r="1848" spans="1:76" ht="15.75" customHeight="1">
      <c r="A1848" s="25"/>
      <c r="B1848" s="39"/>
      <c r="C1848" s="155"/>
      <c r="D1848" s="155"/>
      <c r="E1848" s="40"/>
      <c r="F1848" s="314"/>
      <c r="H1848" s="315"/>
      <c r="I1848" s="315"/>
      <c r="BA1848" s="30"/>
      <c r="BB1848" s="155"/>
      <c r="BC1848" s="314"/>
      <c r="BD1848" s="314"/>
      <c r="BE1848" s="314"/>
      <c r="BF1848" s="314"/>
      <c r="BG1848" s="314"/>
      <c r="BH1848" s="314"/>
      <c r="BI1848" s="314"/>
      <c r="BJ1848" s="314"/>
      <c r="BK1848" s="40"/>
      <c r="BL1848" s="40"/>
      <c r="BM1848" s="40"/>
      <c r="BN1848" s="40"/>
      <c r="BO1848" s="40"/>
      <c r="BP1848" s="155"/>
      <c r="BQ1848" s="314"/>
      <c r="BR1848" s="314"/>
      <c r="BS1848" s="314"/>
      <c r="BT1848" s="314"/>
      <c r="BU1848" s="314"/>
      <c r="BV1848" s="314"/>
      <c r="BW1848" s="314"/>
      <c r="BX1848" s="155"/>
    </row>
    <row r="1849" spans="1:76" ht="15.75" customHeight="1">
      <c r="A1849" s="25"/>
      <c r="B1849" s="39"/>
      <c r="C1849" s="155"/>
      <c r="D1849" s="155"/>
      <c r="E1849" s="40"/>
      <c r="F1849" s="314"/>
      <c r="H1849" s="315"/>
      <c r="I1849" s="315"/>
      <c r="BA1849" s="30"/>
      <c r="BB1849" s="155"/>
      <c r="BC1849" s="314"/>
      <c r="BD1849" s="314"/>
      <c r="BE1849" s="314"/>
      <c r="BF1849" s="314"/>
      <c r="BG1849" s="314"/>
      <c r="BH1849" s="314"/>
      <c r="BI1849" s="314"/>
      <c r="BJ1849" s="314"/>
      <c r="BK1849" s="40"/>
      <c r="BL1849" s="40"/>
      <c r="BM1849" s="40"/>
      <c r="BN1849" s="40"/>
      <c r="BO1849" s="40"/>
      <c r="BP1849" s="155"/>
      <c r="BQ1849" s="314"/>
      <c r="BR1849" s="314"/>
      <c r="BS1849" s="314"/>
      <c r="BT1849" s="314"/>
      <c r="BU1849" s="314"/>
      <c r="BV1849" s="314"/>
      <c r="BW1849" s="314"/>
      <c r="BX1849" s="155"/>
    </row>
    <row r="1850" spans="1:76" ht="15.75" customHeight="1">
      <c r="A1850" s="25"/>
      <c r="B1850" s="39"/>
      <c r="C1850" s="155"/>
      <c r="D1850" s="155"/>
      <c r="E1850" s="40"/>
      <c r="F1850" s="314"/>
      <c r="H1850" s="315"/>
      <c r="I1850" s="315"/>
      <c r="BA1850" s="30"/>
      <c r="BB1850" s="155"/>
      <c r="BC1850" s="314"/>
      <c r="BD1850" s="314"/>
      <c r="BE1850" s="314"/>
      <c r="BF1850" s="314"/>
      <c r="BG1850" s="314"/>
      <c r="BH1850" s="314"/>
      <c r="BI1850" s="314"/>
      <c r="BJ1850" s="314"/>
      <c r="BK1850" s="40"/>
      <c r="BL1850" s="40"/>
      <c r="BM1850" s="40"/>
      <c r="BN1850" s="40"/>
      <c r="BO1850" s="40"/>
      <c r="BP1850" s="155"/>
      <c r="BQ1850" s="314"/>
      <c r="BR1850" s="314"/>
      <c r="BS1850" s="314"/>
      <c r="BT1850" s="314"/>
      <c r="BU1850" s="314"/>
      <c r="BV1850" s="314"/>
      <c r="BW1850" s="314"/>
      <c r="BX1850" s="155"/>
    </row>
    <row r="1851" spans="1:76" ht="15.75" customHeight="1">
      <c r="A1851" s="25"/>
      <c r="B1851" s="39"/>
      <c r="C1851" s="155"/>
      <c r="D1851" s="155"/>
      <c r="E1851" s="40"/>
      <c r="F1851" s="314"/>
      <c r="H1851" s="315"/>
      <c r="I1851" s="315"/>
      <c r="BA1851" s="30"/>
      <c r="BB1851" s="155"/>
      <c r="BC1851" s="314"/>
      <c r="BD1851" s="314"/>
      <c r="BE1851" s="314"/>
      <c r="BF1851" s="314"/>
      <c r="BG1851" s="314"/>
      <c r="BH1851" s="314"/>
      <c r="BI1851" s="314"/>
      <c r="BJ1851" s="314"/>
      <c r="BK1851" s="40"/>
      <c r="BL1851" s="40"/>
      <c r="BM1851" s="40"/>
      <c r="BN1851" s="40"/>
      <c r="BO1851" s="40"/>
      <c r="BP1851" s="155"/>
      <c r="BQ1851" s="314"/>
      <c r="BR1851" s="314"/>
      <c r="BS1851" s="314"/>
      <c r="BT1851" s="314"/>
      <c r="BU1851" s="314"/>
      <c r="BV1851" s="314"/>
      <c r="BW1851" s="314"/>
      <c r="BX1851" s="155"/>
    </row>
    <row r="1852" spans="1:76" ht="15.75" customHeight="1">
      <c r="A1852" s="25"/>
      <c r="B1852" s="39"/>
      <c r="C1852" s="155"/>
      <c r="D1852" s="155"/>
      <c r="E1852" s="40"/>
      <c r="F1852" s="314"/>
      <c r="H1852" s="315"/>
      <c r="I1852" s="315"/>
      <c r="BA1852" s="30"/>
      <c r="BB1852" s="155"/>
      <c r="BC1852" s="314"/>
      <c r="BD1852" s="314"/>
      <c r="BE1852" s="314"/>
      <c r="BF1852" s="314"/>
      <c r="BG1852" s="314"/>
      <c r="BH1852" s="314"/>
      <c r="BI1852" s="314"/>
      <c r="BJ1852" s="314"/>
      <c r="BK1852" s="40"/>
      <c r="BL1852" s="40"/>
      <c r="BM1852" s="40"/>
      <c r="BN1852" s="40"/>
      <c r="BO1852" s="40"/>
      <c r="BP1852" s="155"/>
      <c r="BQ1852" s="314"/>
      <c r="BR1852" s="314"/>
      <c r="BS1852" s="314"/>
      <c r="BT1852" s="314"/>
      <c r="BU1852" s="314"/>
      <c r="BV1852" s="314"/>
      <c r="BW1852" s="314"/>
      <c r="BX1852" s="155"/>
    </row>
    <row r="1853" spans="1:76" ht="15.75" customHeight="1">
      <c r="A1853" s="25"/>
      <c r="B1853" s="39"/>
      <c r="C1853" s="155"/>
      <c r="D1853" s="155"/>
      <c r="E1853" s="40"/>
      <c r="F1853" s="314"/>
      <c r="H1853" s="315"/>
      <c r="I1853" s="315"/>
      <c r="BA1853" s="30"/>
      <c r="BB1853" s="155"/>
      <c r="BC1853" s="314"/>
      <c r="BD1853" s="314"/>
      <c r="BE1853" s="314"/>
      <c r="BF1853" s="314"/>
      <c r="BG1853" s="314"/>
      <c r="BH1853" s="314"/>
      <c r="BI1853" s="314"/>
      <c r="BJ1853" s="314"/>
      <c r="BK1853" s="40"/>
      <c r="BL1853" s="40"/>
      <c r="BM1853" s="40"/>
      <c r="BN1853" s="40"/>
      <c r="BO1853" s="40"/>
      <c r="BP1853" s="155"/>
      <c r="BQ1853" s="314"/>
      <c r="BR1853" s="314"/>
      <c r="BS1853" s="314"/>
      <c r="BT1853" s="314"/>
      <c r="BU1853" s="314"/>
      <c r="BV1853" s="314"/>
      <c r="BW1853" s="314"/>
      <c r="BX1853" s="155"/>
    </row>
    <row r="1854" spans="1:76" ht="15.75" customHeight="1">
      <c r="A1854" s="25"/>
      <c r="B1854" s="39"/>
      <c r="C1854" s="155"/>
      <c r="D1854" s="155"/>
      <c r="E1854" s="40"/>
      <c r="F1854" s="314"/>
      <c r="H1854" s="315"/>
      <c r="I1854" s="315"/>
      <c r="BA1854" s="30"/>
      <c r="BB1854" s="155"/>
      <c r="BC1854" s="314"/>
      <c r="BD1854" s="314"/>
      <c r="BE1854" s="314"/>
      <c r="BF1854" s="314"/>
      <c r="BG1854" s="314"/>
      <c r="BH1854" s="314"/>
      <c r="BI1854" s="314"/>
      <c r="BJ1854" s="314"/>
      <c r="BK1854" s="40"/>
      <c r="BL1854" s="40"/>
      <c r="BM1854" s="40"/>
      <c r="BN1854" s="40"/>
      <c r="BO1854" s="40"/>
      <c r="BP1854" s="155"/>
      <c r="BQ1854" s="314"/>
      <c r="BR1854" s="314"/>
      <c r="BS1854" s="314"/>
      <c r="BT1854" s="314"/>
      <c r="BU1854" s="314"/>
      <c r="BV1854" s="314"/>
      <c r="BW1854" s="314"/>
      <c r="BX1854" s="155"/>
    </row>
    <row r="1855" spans="1:76" ht="15.75" customHeight="1">
      <c r="A1855" s="25"/>
      <c r="B1855" s="39"/>
      <c r="C1855" s="155"/>
      <c r="D1855" s="155"/>
      <c r="E1855" s="40"/>
      <c r="F1855" s="314"/>
      <c r="H1855" s="315"/>
      <c r="I1855" s="315"/>
      <c r="BA1855" s="30"/>
      <c r="BB1855" s="155"/>
      <c r="BC1855" s="314"/>
      <c r="BD1855" s="314"/>
      <c r="BE1855" s="314"/>
      <c r="BF1855" s="314"/>
      <c r="BG1855" s="314"/>
      <c r="BH1855" s="314"/>
      <c r="BI1855" s="314"/>
      <c r="BJ1855" s="314"/>
      <c r="BK1855" s="40"/>
      <c r="BL1855" s="40"/>
      <c r="BM1855" s="40"/>
      <c r="BN1855" s="40"/>
      <c r="BO1855" s="40"/>
      <c r="BP1855" s="155"/>
      <c r="BQ1855" s="314"/>
      <c r="BR1855" s="314"/>
      <c r="BS1855" s="314"/>
      <c r="BT1855" s="314"/>
      <c r="BU1855" s="314"/>
      <c r="BV1855" s="314"/>
      <c r="BW1855" s="314"/>
      <c r="BX1855" s="155"/>
    </row>
    <row r="1856" spans="1:76" ht="15.75" customHeight="1">
      <c r="A1856" s="25"/>
      <c r="B1856" s="39"/>
      <c r="C1856" s="155"/>
      <c r="D1856" s="155"/>
      <c r="E1856" s="40"/>
      <c r="F1856" s="314"/>
      <c r="H1856" s="315"/>
      <c r="I1856" s="315"/>
      <c r="BA1856" s="30"/>
      <c r="BB1856" s="155"/>
      <c r="BC1856" s="314"/>
      <c r="BD1856" s="314"/>
      <c r="BE1856" s="314"/>
      <c r="BF1856" s="314"/>
      <c r="BG1856" s="314"/>
      <c r="BH1856" s="314"/>
      <c r="BI1856" s="314"/>
      <c r="BJ1856" s="314"/>
      <c r="BK1856" s="40"/>
      <c r="BL1856" s="40"/>
      <c r="BM1856" s="40"/>
      <c r="BN1856" s="40"/>
      <c r="BO1856" s="40"/>
      <c r="BP1856" s="155"/>
      <c r="BQ1856" s="314"/>
      <c r="BR1856" s="314"/>
      <c r="BS1856" s="314"/>
      <c r="BT1856" s="314"/>
      <c r="BU1856" s="314"/>
      <c r="BV1856" s="314"/>
      <c r="BW1856" s="314"/>
      <c r="BX1856" s="155"/>
    </row>
    <row r="1857" spans="1:76" ht="15.75" customHeight="1">
      <c r="A1857" s="25"/>
      <c r="B1857" s="39"/>
      <c r="C1857" s="155"/>
      <c r="D1857" s="155"/>
      <c r="E1857" s="40"/>
      <c r="F1857" s="314"/>
      <c r="H1857" s="315"/>
      <c r="I1857" s="315"/>
      <c r="BA1857" s="30"/>
      <c r="BB1857" s="155"/>
      <c r="BC1857" s="314"/>
      <c r="BD1857" s="314"/>
      <c r="BE1857" s="314"/>
      <c r="BF1857" s="314"/>
      <c r="BG1857" s="314"/>
      <c r="BH1857" s="314"/>
      <c r="BI1857" s="314"/>
      <c r="BJ1857" s="314"/>
      <c r="BK1857" s="40"/>
      <c r="BL1857" s="40"/>
      <c r="BM1857" s="40"/>
      <c r="BN1857" s="40"/>
      <c r="BO1857" s="40"/>
      <c r="BP1857" s="155"/>
      <c r="BQ1857" s="314"/>
      <c r="BR1857" s="314"/>
      <c r="BS1857" s="314"/>
      <c r="BT1857" s="314"/>
      <c r="BU1857" s="314"/>
      <c r="BV1857" s="314"/>
      <c r="BW1857" s="314"/>
      <c r="BX1857" s="155"/>
    </row>
    <row r="1858" spans="1:76" ht="15.75" customHeight="1">
      <c r="A1858" s="25"/>
      <c r="B1858" s="39"/>
      <c r="C1858" s="155"/>
      <c r="D1858" s="155"/>
      <c r="E1858" s="40"/>
      <c r="F1858" s="314"/>
      <c r="H1858" s="315"/>
      <c r="I1858" s="315"/>
      <c r="BA1858" s="30"/>
      <c r="BB1858" s="155"/>
      <c r="BC1858" s="314"/>
      <c r="BD1858" s="314"/>
      <c r="BE1858" s="314"/>
      <c r="BF1858" s="314"/>
      <c r="BG1858" s="314"/>
      <c r="BH1858" s="314"/>
      <c r="BI1858" s="314"/>
      <c r="BJ1858" s="314"/>
      <c r="BK1858" s="40"/>
      <c r="BL1858" s="40"/>
      <c r="BM1858" s="40"/>
      <c r="BN1858" s="40"/>
      <c r="BO1858" s="40"/>
      <c r="BP1858" s="155"/>
      <c r="BQ1858" s="314"/>
      <c r="BR1858" s="314"/>
      <c r="BS1858" s="314"/>
      <c r="BT1858" s="314"/>
      <c r="BU1858" s="314"/>
      <c r="BV1858" s="314"/>
      <c r="BW1858" s="314"/>
      <c r="BX1858" s="155"/>
    </row>
    <row r="1859" spans="1:76" ht="15.75" customHeight="1">
      <c r="A1859" s="25"/>
      <c r="B1859" s="39"/>
      <c r="C1859" s="155"/>
      <c r="D1859" s="155"/>
      <c r="E1859" s="40"/>
      <c r="F1859" s="314"/>
      <c r="H1859" s="315"/>
      <c r="I1859" s="315"/>
      <c r="BA1859" s="30"/>
      <c r="BB1859" s="155"/>
      <c r="BC1859" s="314"/>
      <c r="BD1859" s="314"/>
      <c r="BE1859" s="314"/>
      <c r="BF1859" s="314"/>
      <c r="BG1859" s="314"/>
      <c r="BH1859" s="314"/>
      <c r="BI1859" s="314"/>
      <c r="BJ1859" s="314"/>
      <c r="BK1859" s="40"/>
      <c r="BL1859" s="40"/>
      <c r="BM1859" s="40"/>
      <c r="BN1859" s="40"/>
      <c r="BO1859" s="40"/>
      <c r="BP1859" s="155"/>
      <c r="BQ1859" s="314"/>
      <c r="BR1859" s="314"/>
      <c r="BS1859" s="314"/>
      <c r="BT1859" s="314"/>
      <c r="BU1859" s="314"/>
      <c r="BV1859" s="314"/>
      <c r="BW1859" s="314"/>
      <c r="BX1859" s="155"/>
    </row>
    <row r="1860" spans="1:76" ht="15.75" customHeight="1">
      <c r="A1860" s="25"/>
      <c r="B1860" s="39"/>
      <c r="C1860" s="155"/>
      <c r="D1860" s="155"/>
      <c r="E1860" s="40"/>
      <c r="F1860" s="314"/>
      <c r="H1860" s="315"/>
      <c r="I1860" s="315"/>
      <c r="BA1860" s="30"/>
      <c r="BB1860" s="155"/>
      <c r="BC1860" s="314"/>
      <c r="BD1860" s="314"/>
      <c r="BE1860" s="314"/>
      <c r="BF1860" s="314"/>
      <c r="BG1860" s="314"/>
      <c r="BH1860" s="314"/>
      <c r="BI1860" s="314"/>
      <c r="BJ1860" s="314"/>
      <c r="BK1860" s="40"/>
      <c r="BL1860" s="40"/>
      <c r="BM1860" s="40"/>
      <c r="BN1860" s="40"/>
      <c r="BO1860" s="40"/>
      <c r="BP1860" s="155"/>
      <c r="BQ1860" s="314"/>
      <c r="BR1860" s="314"/>
      <c r="BS1860" s="314"/>
      <c r="BT1860" s="314"/>
      <c r="BU1860" s="314"/>
      <c r="BV1860" s="314"/>
      <c r="BW1860" s="314"/>
      <c r="BX1860" s="155"/>
    </row>
    <row r="1861" spans="1:76" ht="15.75" customHeight="1">
      <c r="A1861" s="25"/>
      <c r="B1861" s="39"/>
      <c r="C1861" s="155"/>
      <c r="D1861" s="155"/>
      <c r="E1861" s="40"/>
      <c r="F1861" s="314"/>
      <c r="H1861" s="315"/>
      <c r="I1861" s="315"/>
      <c r="BA1861" s="30"/>
      <c r="BB1861" s="155"/>
      <c r="BC1861" s="314"/>
      <c r="BD1861" s="314"/>
      <c r="BE1861" s="314"/>
      <c r="BF1861" s="314"/>
      <c r="BG1861" s="314"/>
      <c r="BH1861" s="314"/>
      <c r="BI1861" s="314"/>
      <c r="BJ1861" s="314"/>
      <c r="BK1861" s="40"/>
      <c r="BL1861" s="40"/>
      <c r="BM1861" s="40"/>
      <c r="BN1861" s="40"/>
      <c r="BO1861" s="40"/>
      <c r="BP1861" s="155"/>
      <c r="BQ1861" s="314"/>
      <c r="BR1861" s="314"/>
      <c r="BS1861" s="314"/>
      <c r="BT1861" s="314"/>
      <c r="BU1861" s="314"/>
      <c r="BV1861" s="314"/>
      <c r="BW1861" s="314"/>
      <c r="BX1861" s="155"/>
    </row>
    <row r="1862" spans="1:76" ht="15.75" customHeight="1">
      <c r="A1862" s="25"/>
      <c r="B1862" s="39"/>
      <c r="C1862" s="155"/>
      <c r="D1862" s="155"/>
      <c r="E1862" s="40"/>
      <c r="F1862" s="314"/>
      <c r="H1862" s="315"/>
      <c r="I1862" s="315"/>
      <c r="BA1862" s="30"/>
      <c r="BB1862" s="155"/>
      <c r="BC1862" s="314"/>
      <c r="BD1862" s="314"/>
      <c r="BE1862" s="314"/>
      <c r="BF1862" s="314"/>
      <c r="BG1862" s="314"/>
      <c r="BH1862" s="314"/>
      <c r="BI1862" s="314"/>
      <c r="BJ1862" s="314"/>
      <c r="BK1862" s="40"/>
      <c r="BL1862" s="40"/>
      <c r="BM1862" s="40"/>
      <c r="BN1862" s="40"/>
      <c r="BO1862" s="40"/>
      <c r="BP1862" s="155"/>
      <c r="BQ1862" s="314"/>
      <c r="BR1862" s="314"/>
      <c r="BS1862" s="314"/>
      <c r="BT1862" s="314"/>
      <c r="BU1862" s="314"/>
      <c r="BV1862" s="314"/>
      <c r="BW1862" s="314"/>
      <c r="BX1862" s="155"/>
    </row>
    <row r="1863" spans="1:76" ht="15.75" customHeight="1">
      <c r="A1863" s="25"/>
      <c r="B1863" s="39"/>
      <c r="C1863" s="155"/>
      <c r="D1863" s="155"/>
      <c r="E1863" s="40"/>
      <c r="F1863" s="314"/>
      <c r="H1863" s="315"/>
      <c r="I1863" s="315"/>
      <c r="BA1863" s="30"/>
      <c r="BB1863" s="155"/>
      <c r="BC1863" s="314"/>
      <c r="BD1863" s="314"/>
      <c r="BE1863" s="314"/>
      <c r="BF1863" s="314"/>
      <c r="BG1863" s="314"/>
      <c r="BH1863" s="314"/>
      <c r="BI1863" s="314"/>
      <c r="BJ1863" s="314"/>
      <c r="BK1863" s="40"/>
      <c r="BL1863" s="40"/>
      <c r="BM1863" s="40"/>
      <c r="BN1863" s="40"/>
      <c r="BO1863" s="40"/>
      <c r="BP1863" s="155"/>
      <c r="BQ1863" s="314"/>
      <c r="BR1863" s="314"/>
      <c r="BS1863" s="314"/>
      <c r="BT1863" s="314"/>
      <c r="BU1863" s="314"/>
      <c r="BV1863" s="314"/>
      <c r="BW1863" s="314"/>
      <c r="BX1863" s="155"/>
    </row>
    <row r="1864" spans="1:76" ht="15.75" customHeight="1">
      <c r="A1864" s="25"/>
      <c r="B1864" s="39"/>
      <c r="C1864" s="155"/>
      <c r="D1864" s="155"/>
      <c r="E1864" s="40"/>
      <c r="F1864" s="314"/>
      <c r="H1864" s="315"/>
      <c r="I1864" s="315"/>
      <c r="BA1864" s="30"/>
      <c r="BB1864" s="155"/>
      <c r="BC1864" s="314"/>
      <c r="BD1864" s="314"/>
      <c r="BE1864" s="314"/>
      <c r="BF1864" s="314"/>
      <c r="BG1864" s="314"/>
      <c r="BH1864" s="314"/>
      <c r="BI1864" s="314"/>
      <c r="BJ1864" s="314"/>
      <c r="BK1864" s="40"/>
      <c r="BL1864" s="40"/>
      <c r="BM1864" s="40"/>
      <c r="BN1864" s="40"/>
      <c r="BO1864" s="40"/>
      <c r="BP1864" s="155"/>
      <c r="BQ1864" s="314"/>
      <c r="BR1864" s="314"/>
      <c r="BS1864" s="314"/>
      <c r="BT1864" s="314"/>
      <c r="BU1864" s="314"/>
      <c r="BV1864" s="314"/>
      <c r="BW1864" s="314"/>
      <c r="BX1864" s="155"/>
    </row>
    <row r="1865" spans="1:76" ht="15.75" customHeight="1">
      <c r="A1865" s="25"/>
      <c r="B1865" s="39"/>
      <c r="C1865" s="155"/>
      <c r="D1865" s="155"/>
      <c r="E1865" s="40"/>
      <c r="F1865" s="314"/>
      <c r="H1865" s="315"/>
      <c r="I1865" s="315"/>
      <c r="BA1865" s="30"/>
      <c r="BB1865" s="155"/>
      <c r="BC1865" s="314"/>
      <c r="BD1865" s="314"/>
      <c r="BE1865" s="314"/>
      <c r="BF1865" s="314"/>
      <c r="BG1865" s="314"/>
      <c r="BH1865" s="314"/>
      <c r="BI1865" s="314"/>
      <c r="BJ1865" s="314"/>
      <c r="BK1865" s="40"/>
      <c r="BL1865" s="40"/>
      <c r="BM1865" s="40"/>
      <c r="BN1865" s="40"/>
      <c r="BO1865" s="40"/>
      <c r="BP1865" s="155"/>
      <c r="BQ1865" s="314"/>
      <c r="BR1865" s="314"/>
      <c r="BS1865" s="314"/>
      <c r="BT1865" s="314"/>
      <c r="BU1865" s="314"/>
      <c r="BV1865" s="314"/>
      <c r="BW1865" s="314"/>
      <c r="BX1865" s="155"/>
    </row>
    <row r="1866" spans="1:76" ht="15.75" customHeight="1">
      <c r="A1866" s="25"/>
      <c r="B1866" s="39"/>
      <c r="C1866" s="155"/>
      <c r="D1866" s="155"/>
      <c r="E1866" s="40"/>
      <c r="F1866" s="314"/>
      <c r="H1866" s="315"/>
      <c r="I1866" s="315"/>
      <c r="BA1866" s="30"/>
      <c r="BB1866" s="155"/>
      <c r="BC1866" s="314"/>
      <c r="BD1866" s="314"/>
      <c r="BE1866" s="314"/>
      <c r="BF1866" s="314"/>
      <c r="BG1866" s="314"/>
      <c r="BH1866" s="314"/>
      <c r="BI1866" s="314"/>
      <c r="BJ1866" s="314"/>
      <c r="BK1866" s="40"/>
      <c r="BL1866" s="40"/>
      <c r="BM1866" s="40"/>
      <c r="BN1866" s="40"/>
      <c r="BO1866" s="40"/>
      <c r="BP1866" s="155"/>
      <c r="BQ1866" s="314"/>
      <c r="BR1866" s="314"/>
      <c r="BS1866" s="314"/>
      <c r="BT1866" s="314"/>
      <c r="BU1866" s="314"/>
      <c r="BV1866" s="314"/>
      <c r="BW1866" s="314"/>
      <c r="BX1866" s="155"/>
    </row>
    <row r="1867" spans="1:76" ht="15.75" customHeight="1">
      <c r="A1867" s="25"/>
      <c r="B1867" s="39"/>
      <c r="C1867" s="155"/>
      <c r="D1867" s="155"/>
      <c r="E1867" s="40"/>
      <c r="F1867" s="314"/>
      <c r="H1867" s="315"/>
      <c r="I1867" s="315"/>
      <c r="BA1867" s="30"/>
      <c r="BB1867" s="155"/>
      <c r="BC1867" s="314"/>
      <c r="BD1867" s="314"/>
      <c r="BE1867" s="314"/>
      <c r="BF1867" s="314"/>
      <c r="BG1867" s="314"/>
      <c r="BH1867" s="314"/>
      <c r="BI1867" s="314"/>
      <c r="BJ1867" s="314"/>
      <c r="BK1867" s="40"/>
      <c r="BL1867" s="40"/>
      <c r="BM1867" s="40"/>
      <c r="BN1867" s="40"/>
      <c r="BO1867" s="40"/>
      <c r="BP1867" s="155"/>
      <c r="BQ1867" s="314"/>
      <c r="BR1867" s="314"/>
      <c r="BS1867" s="314"/>
      <c r="BT1867" s="314"/>
      <c r="BU1867" s="314"/>
      <c r="BV1867" s="314"/>
      <c r="BW1867" s="314"/>
      <c r="BX1867" s="155"/>
    </row>
    <row r="1868" spans="1:76" ht="15.75" customHeight="1">
      <c r="A1868" s="25"/>
      <c r="B1868" s="39"/>
      <c r="C1868" s="155"/>
      <c r="D1868" s="155"/>
      <c r="E1868" s="40"/>
      <c r="F1868" s="314"/>
      <c r="H1868" s="315"/>
      <c r="I1868" s="315"/>
      <c r="BA1868" s="30"/>
      <c r="BB1868" s="155"/>
      <c r="BC1868" s="314"/>
      <c r="BD1868" s="314"/>
      <c r="BE1868" s="314"/>
      <c r="BF1868" s="314"/>
      <c r="BG1868" s="314"/>
      <c r="BH1868" s="314"/>
      <c r="BI1868" s="314"/>
      <c r="BJ1868" s="314"/>
      <c r="BK1868" s="40"/>
      <c r="BL1868" s="40"/>
      <c r="BM1868" s="40"/>
      <c r="BN1868" s="40"/>
      <c r="BO1868" s="40"/>
      <c r="BP1868" s="155"/>
      <c r="BQ1868" s="314"/>
      <c r="BR1868" s="314"/>
      <c r="BS1868" s="314"/>
      <c r="BT1868" s="314"/>
      <c r="BU1868" s="314"/>
      <c r="BV1868" s="314"/>
      <c r="BW1868" s="314"/>
      <c r="BX1868" s="155"/>
    </row>
    <row r="1869" spans="1:76" ht="15.75" customHeight="1">
      <c r="A1869" s="25"/>
      <c r="B1869" s="39"/>
      <c r="C1869" s="155"/>
      <c r="D1869" s="155"/>
      <c r="E1869" s="40"/>
      <c r="F1869" s="314"/>
      <c r="H1869" s="315"/>
      <c r="I1869" s="315"/>
      <c r="BA1869" s="30"/>
      <c r="BB1869" s="155"/>
      <c r="BC1869" s="314"/>
      <c r="BD1869" s="314"/>
      <c r="BE1869" s="314"/>
      <c r="BF1869" s="314"/>
      <c r="BG1869" s="314"/>
      <c r="BH1869" s="314"/>
      <c r="BI1869" s="314"/>
      <c r="BJ1869" s="314"/>
      <c r="BK1869" s="40"/>
      <c r="BL1869" s="40"/>
      <c r="BM1869" s="40"/>
      <c r="BN1869" s="40"/>
      <c r="BO1869" s="40"/>
      <c r="BP1869" s="155"/>
      <c r="BQ1869" s="314"/>
      <c r="BR1869" s="314"/>
      <c r="BS1869" s="314"/>
      <c r="BT1869" s="314"/>
      <c r="BU1869" s="314"/>
      <c r="BV1869" s="314"/>
      <c r="BW1869" s="314"/>
      <c r="BX1869" s="155"/>
    </row>
    <row r="1870" spans="1:76" ht="15.75" customHeight="1">
      <c r="A1870" s="25"/>
      <c r="B1870" s="39"/>
      <c r="C1870" s="155"/>
      <c r="D1870" s="155"/>
      <c r="E1870" s="40"/>
      <c r="F1870" s="314"/>
      <c r="H1870" s="315"/>
      <c r="I1870" s="315"/>
      <c r="BA1870" s="30"/>
      <c r="BB1870" s="155"/>
      <c r="BC1870" s="314"/>
      <c r="BD1870" s="314"/>
      <c r="BE1870" s="314"/>
      <c r="BF1870" s="314"/>
      <c r="BG1870" s="314"/>
      <c r="BH1870" s="314"/>
      <c r="BI1870" s="314"/>
      <c r="BJ1870" s="314"/>
      <c r="BK1870" s="40"/>
      <c r="BL1870" s="40"/>
      <c r="BM1870" s="40"/>
      <c r="BN1870" s="40"/>
      <c r="BO1870" s="40"/>
      <c r="BP1870" s="155"/>
      <c r="BQ1870" s="314"/>
      <c r="BR1870" s="314"/>
      <c r="BS1870" s="314"/>
      <c r="BT1870" s="314"/>
      <c r="BU1870" s="314"/>
      <c r="BV1870" s="314"/>
      <c r="BW1870" s="314"/>
      <c r="BX1870" s="155"/>
    </row>
    <row r="1871" spans="1:76" ht="15.75" customHeight="1">
      <c r="A1871" s="25"/>
      <c r="B1871" s="39"/>
      <c r="C1871" s="155"/>
      <c r="D1871" s="155"/>
      <c r="E1871" s="40"/>
      <c r="F1871" s="314"/>
      <c r="H1871" s="315"/>
      <c r="I1871" s="315"/>
      <c r="BA1871" s="30"/>
      <c r="BB1871" s="155"/>
      <c r="BC1871" s="314"/>
      <c r="BD1871" s="314"/>
      <c r="BE1871" s="314"/>
      <c r="BF1871" s="314"/>
      <c r="BG1871" s="314"/>
      <c r="BH1871" s="314"/>
      <c r="BI1871" s="314"/>
      <c r="BJ1871" s="314"/>
      <c r="BK1871" s="40"/>
      <c r="BL1871" s="40"/>
      <c r="BM1871" s="40"/>
      <c r="BN1871" s="40"/>
      <c r="BO1871" s="40"/>
      <c r="BP1871" s="155"/>
      <c r="BQ1871" s="314"/>
      <c r="BR1871" s="314"/>
      <c r="BS1871" s="314"/>
      <c r="BT1871" s="314"/>
      <c r="BU1871" s="314"/>
      <c r="BV1871" s="314"/>
      <c r="BW1871" s="314"/>
      <c r="BX1871" s="155"/>
    </row>
    <row r="1872" spans="1:76" ht="15.75" customHeight="1">
      <c r="A1872" s="25"/>
      <c r="B1872" s="39"/>
      <c r="C1872" s="155"/>
      <c r="D1872" s="155"/>
      <c r="E1872" s="40"/>
      <c r="F1872" s="314"/>
      <c r="H1872" s="315"/>
      <c r="I1872" s="315"/>
      <c r="BA1872" s="30"/>
      <c r="BB1872" s="155"/>
      <c r="BC1872" s="322"/>
      <c r="BD1872" s="322"/>
      <c r="BE1872" s="322"/>
      <c r="BF1872" s="322"/>
      <c r="BG1872" s="322"/>
      <c r="BH1872" s="322"/>
      <c r="BI1872" s="322"/>
      <c r="BJ1872" s="322"/>
      <c r="BK1872" s="341"/>
      <c r="BL1872" s="40"/>
      <c r="BM1872" s="40"/>
      <c r="BN1872" s="40"/>
      <c r="BO1872" s="40"/>
      <c r="BP1872" s="155"/>
      <c r="BQ1872" s="314"/>
      <c r="BR1872" s="314"/>
      <c r="BS1872" s="314"/>
      <c r="BT1872" s="314"/>
      <c r="BU1872" s="314"/>
      <c r="BV1872" s="314"/>
      <c r="BW1872" s="314"/>
      <c r="BX1872" s="155"/>
    </row>
    <row r="1873" spans="1:76" ht="15.75" customHeight="1">
      <c r="A1873" s="25"/>
      <c r="B1873" s="39"/>
      <c r="C1873" s="155"/>
      <c r="D1873" s="155"/>
      <c r="E1873" s="40"/>
      <c r="F1873" s="314"/>
      <c r="H1873" s="315"/>
      <c r="I1873" s="315"/>
      <c r="BA1873" s="30"/>
      <c r="BB1873" s="155"/>
      <c r="BC1873" s="314"/>
      <c r="BD1873" s="314"/>
      <c r="BE1873" s="314"/>
      <c r="BF1873" s="314"/>
      <c r="BG1873" s="314"/>
      <c r="BH1873" s="314"/>
      <c r="BI1873" s="314"/>
      <c r="BJ1873" s="314"/>
      <c r="BK1873" s="40"/>
      <c r="BL1873" s="40"/>
      <c r="BM1873" s="40"/>
      <c r="BN1873" s="40"/>
      <c r="BO1873" s="40"/>
      <c r="BP1873" s="155"/>
      <c r="BQ1873" s="314"/>
      <c r="BR1873" s="314"/>
      <c r="BS1873" s="314"/>
      <c r="BT1873" s="314"/>
      <c r="BU1873" s="314"/>
      <c r="BV1873" s="314"/>
      <c r="BW1873" s="314"/>
      <c r="BX1873" s="155"/>
    </row>
    <row r="1874" spans="1:76" ht="15.75" customHeight="1">
      <c r="A1874" s="25"/>
      <c r="B1874" s="39"/>
      <c r="C1874" s="155"/>
      <c r="D1874" s="155"/>
      <c r="E1874" s="40"/>
      <c r="F1874" s="314"/>
      <c r="H1874" s="315"/>
      <c r="I1874" s="315"/>
      <c r="BA1874" s="30"/>
      <c r="BB1874" s="155"/>
      <c r="BC1874" s="314"/>
      <c r="BD1874" s="314"/>
      <c r="BE1874" s="314"/>
      <c r="BF1874" s="314"/>
      <c r="BG1874" s="314"/>
      <c r="BH1874" s="314"/>
      <c r="BI1874" s="314"/>
      <c r="BJ1874" s="314"/>
      <c r="BK1874" s="40"/>
      <c r="BL1874" s="40"/>
      <c r="BM1874" s="40"/>
      <c r="BN1874" s="40"/>
      <c r="BO1874" s="40"/>
      <c r="BP1874" s="155"/>
      <c r="BQ1874" s="314"/>
      <c r="BR1874" s="314"/>
      <c r="BS1874" s="314"/>
      <c r="BT1874" s="314"/>
      <c r="BU1874" s="314"/>
      <c r="BV1874" s="314"/>
      <c r="BW1874" s="314"/>
      <c r="BX1874" s="155"/>
    </row>
    <row r="1875" spans="1:76" ht="15.75" customHeight="1">
      <c r="A1875" s="25"/>
      <c r="B1875" s="39"/>
      <c r="C1875" s="155"/>
      <c r="D1875" s="155"/>
      <c r="E1875" s="40"/>
      <c r="F1875" s="314"/>
      <c r="H1875" s="315"/>
      <c r="I1875" s="315"/>
      <c r="BA1875" s="30"/>
      <c r="BB1875" s="155"/>
      <c r="BC1875" s="314"/>
      <c r="BD1875" s="314"/>
      <c r="BE1875" s="314"/>
      <c r="BF1875" s="314"/>
      <c r="BG1875" s="314"/>
      <c r="BH1875" s="314"/>
      <c r="BI1875" s="314"/>
      <c r="BJ1875" s="314"/>
      <c r="BK1875" s="40"/>
      <c r="BL1875" s="40"/>
      <c r="BM1875" s="40"/>
      <c r="BN1875" s="40"/>
      <c r="BO1875" s="40"/>
      <c r="BP1875" s="155"/>
      <c r="BQ1875" s="314"/>
      <c r="BR1875" s="314"/>
      <c r="BS1875" s="314"/>
      <c r="BT1875" s="314"/>
      <c r="BU1875" s="314"/>
      <c r="BV1875" s="314"/>
      <c r="BW1875" s="314"/>
      <c r="BX1875" s="155"/>
    </row>
    <row r="1876" spans="1:76" ht="15.75" customHeight="1">
      <c r="A1876" s="25"/>
      <c r="B1876" s="39"/>
      <c r="C1876" s="155"/>
      <c r="D1876" s="155"/>
      <c r="E1876" s="40"/>
      <c r="F1876" s="314"/>
      <c r="H1876" s="315"/>
      <c r="I1876" s="315"/>
      <c r="BA1876" s="30"/>
      <c r="BB1876" s="155"/>
      <c r="BC1876" s="314"/>
      <c r="BD1876" s="314"/>
      <c r="BE1876" s="314"/>
      <c r="BF1876" s="314"/>
      <c r="BG1876" s="314"/>
      <c r="BH1876" s="314"/>
      <c r="BI1876" s="314"/>
      <c r="BJ1876" s="314"/>
      <c r="BK1876" s="40"/>
      <c r="BL1876" s="40"/>
      <c r="BM1876" s="40"/>
      <c r="BN1876" s="40"/>
      <c r="BO1876" s="40"/>
      <c r="BP1876" s="155"/>
      <c r="BQ1876" s="314"/>
      <c r="BR1876" s="314"/>
      <c r="BS1876" s="314"/>
      <c r="BT1876" s="314"/>
      <c r="BU1876" s="314"/>
      <c r="BV1876" s="314"/>
      <c r="BW1876" s="314"/>
      <c r="BX1876" s="155"/>
    </row>
    <row r="1877" spans="1:76" ht="15.75" customHeight="1">
      <c r="A1877" s="25"/>
      <c r="B1877" s="39"/>
      <c r="C1877" s="155"/>
      <c r="D1877" s="155"/>
      <c r="E1877" s="40"/>
      <c r="F1877" s="314"/>
      <c r="H1877" s="315"/>
      <c r="I1877" s="315"/>
      <c r="BA1877" s="30"/>
      <c r="BB1877" s="155"/>
      <c r="BC1877" s="314"/>
      <c r="BD1877" s="314"/>
      <c r="BE1877" s="314"/>
      <c r="BF1877" s="314"/>
      <c r="BG1877" s="314"/>
      <c r="BH1877" s="314"/>
      <c r="BI1877" s="314"/>
      <c r="BJ1877" s="314"/>
      <c r="BK1877" s="40"/>
      <c r="BL1877" s="40"/>
      <c r="BM1877" s="40"/>
      <c r="BN1877" s="40"/>
      <c r="BO1877" s="40"/>
      <c r="BP1877" s="155"/>
      <c r="BQ1877" s="314"/>
      <c r="BR1877" s="314"/>
      <c r="BS1877" s="314"/>
      <c r="BT1877" s="314"/>
      <c r="BU1877" s="314"/>
      <c r="BV1877" s="314"/>
      <c r="BW1877" s="314"/>
      <c r="BX1877" s="155"/>
    </row>
    <row r="1878" spans="1:76" ht="15.75" customHeight="1">
      <c r="A1878" s="25"/>
      <c r="B1878" s="39"/>
      <c r="C1878" s="155"/>
      <c r="D1878" s="155"/>
      <c r="E1878" s="40"/>
      <c r="F1878" s="314"/>
      <c r="H1878" s="315"/>
      <c r="I1878" s="315"/>
      <c r="BA1878" s="30"/>
      <c r="BB1878" s="155"/>
      <c r="BC1878" s="314"/>
      <c r="BD1878" s="314"/>
      <c r="BE1878" s="314"/>
      <c r="BF1878" s="314"/>
      <c r="BG1878" s="314"/>
      <c r="BH1878" s="314"/>
      <c r="BI1878" s="314"/>
      <c r="BJ1878" s="314"/>
      <c r="BK1878" s="40"/>
      <c r="BL1878" s="40"/>
      <c r="BM1878" s="40"/>
      <c r="BN1878" s="40"/>
      <c r="BO1878" s="40"/>
      <c r="BP1878" s="155"/>
      <c r="BQ1878" s="314"/>
      <c r="BR1878" s="314"/>
      <c r="BS1878" s="314"/>
      <c r="BT1878" s="314"/>
      <c r="BU1878" s="314"/>
      <c r="BV1878" s="314"/>
      <c r="BW1878" s="314"/>
      <c r="BX1878" s="155"/>
    </row>
    <row r="1879" spans="1:76" ht="15.75" customHeight="1">
      <c r="A1879" s="25"/>
      <c r="B1879" s="39"/>
      <c r="C1879" s="155"/>
      <c r="D1879" s="155"/>
      <c r="E1879" s="40"/>
      <c r="F1879" s="314"/>
      <c r="H1879" s="315"/>
      <c r="I1879" s="315"/>
      <c r="BA1879" s="30"/>
      <c r="BB1879" s="155"/>
      <c r="BC1879" s="314"/>
      <c r="BD1879" s="314"/>
      <c r="BE1879" s="314"/>
      <c r="BF1879" s="314"/>
      <c r="BG1879" s="314"/>
      <c r="BH1879" s="314"/>
      <c r="BI1879" s="314"/>
      <c r="BJ1879" s="314"/>
      <c r="BK1879" s="40"/>
      <c r="BL1879" s="40"/>
      <c r="BM1879" s="40"/>
      <c r="BN1879" s="40"/>
      <c r="BO1879" s="40"/>
      <c r="BP1879" s="155"/>
      <c r="BQ1879" s="314"/>
      <c r="BR1879" s="314"/>
      <c r="BS1879" s="314"/>
      <c r="BT1879" s="314"/>
      <c r="BU1879" s="314"/>
      <c r="BV1879" s="314"/>
      <c r="BW1879" s="314"/>
      <c r="BX1879" s="155"/>
    </row>
    <row r="1880" spans="1:76" ht="15.75" customHeight="1">
      <c r="A1880" s="25"/>
      <c r="B1880" s="39"/>
      <c r="C1880" s="155"/>
      <c r="D1880" s="155"/>
      <c r="E1880" s="40"/>
      <c r="F1880" s="314"/>
      <c r="H1880" s="315"/>
      <c r="I1880" s="315"/>
      <c r="BA1880" s="30"/>
      <c r="BB1880" s="155"/>
      <c r="BC1880" s="314"/>
      <c r="BD1880" s="314"/>
      <c r="BE1880" s="314"/>
      <c r="BF1880" s="314"/>
      <c r="BG1880" s="314"/>
      <c r="BH1880" s="314"/>
      <c r="BI1880" s="314"/>
      <c r="BJ1880" s="314"/>
      <c r="BK1880" s="40"/>
      <c r="BL1880" s="40"/>
      <c r="BM1880" s="40"/>
      <c r="BN1880" s="40"/>
      <c r="BO1880" s="40"/>
      <c r="BP1880" s="155"/>
      <c r="BQ1880" s="314"/>
      <c r="BR1880" s="314"/>
      <c r="BS1880" s="314"/>
      <c r="BT1880" s="314"/>
      <c r="BU1880" s="314"/>
      <c r="BV1880" s="314"/>
      <c r="BW1880" s="314"/>
      <c r="BX1880" s="155"/>
    </row>
    <row r="1881" spans="1:76" ht="15.75" customHeight="1">
      <c r="A1881" s="25"/>
      <c r="B1881" s="39"/>
      <c r="C1881" s="155"/>
      <c r="D1881" s="155"/>
      <c r="E1881" s="40"/>
      <c r="F1881" s="314"/>
      <c r="H1881" s="315"/>
      <c r="I1881" s="315"/>
      <c r="BA1881" s="30"/>
      <c r="BB1881" s="155"/>
      <c r="BC1881" s="314"/>
      <c r="BD1881" s="314"/>
      <c r="BE1881" s="314"/>
      <c r="BF1881" s="314"/>
      <c r="BG1881" s="314"/>
      <c r="BH1881" s="314"/>
      <c r="BI1881" s="314"/>
      <c r="BJ1881" s="314"/>
      <c r="BK1881" s="40"/>
      <c r="BL1881" s="40"/>
      <c r="BM1881" s="40"/>
      <c r="BN1881" s="40"/>
      <c r="BO1881" s="40"/>
      <c r="BP1881" s="155"/>
      <c r="BQ1881" s="314"/>
      <c r="BR1881" s="314"/>
      <c r="BS1881" s="314"/>
      <c r="BT1881" s="314"/>
      <c r="BU1881" s="314"/>
      <c r="BV1881" s="314"/>
      <c r="BW1881" s="314"/>
      <c r="BX1881" s="155"/>
    </row>
    <row r="1882" spans="1:76" ht="15.75" customHeight="1">
      <c r="A1882" s="25"/>
      <c r="B1882" s="39"/>
      <c r="C1882" s="155"/>
      <c r="D1882" s="155"/>
      <c r="E1882" s="40"/>
      <c r="F1882" s="314"/>
      <c r="H1882" s="315"/>
      <c r="I1882" s="315"/>
      <c r="BA1882" s="30"/>
      <c r="BB1882" s="155"/>
      <c r="BC1882" s="314"/>
      <c r="BD1882" s="314"/>
      <c r="BE1882" s="314"/>
      <c r="BF1882" s="314"/>
      <c r="BG1882" s="314"/>
      <c r="BH1882" s="314"/>
      <c r="BI1882" s="314"/>
      <c r="BJ1882" s="314"/>
      <c r="BK1882" s="40"/>
      <c r="BL1882" s="40"/>
      <c r="BM1882" s="40"/>
      <c r="BN1882" s="40"/>
      <c r="BO1882" s="40"/>
      <c r="BP1882" s="155"/>
      <c r="BQ1882" s="314"/>
      <c r="BR1882" s="314"/>
      <c r="BS1882" s="314"/>
      <c r="BT1882" s="314"/>
      <c r="BU1882" s="314"/>
      <c r="BV1882" s="314"/>
      <c r="BW1882" s="314"/>
      <c r="BX1882" s="155"/>
    </row>
    <row r="1883" spans="1:76" ht="15.75" customHeight="1">
      <c r="A1883" s="25"/>
      <c r="B1883" s="39"/>
      <c r="C1883" s="155"/>
      <c r="D1883" s="155"/>
      <c r="E1883" s="40"/>
      <c r="F1883" s="314"/>
      <c r="H1883" s="315"/>
      <c r="I1883" s="315"/>
      <c r="BA1883" s="30"/>
      <c r="BB1883" s="155"/>
      <c r="BC1883" s="314"/>
      <c r="BD1883" s="314"/>
      <c r="BE1883" s="314"/>
      <c r="BF1883" s="314"/>
      <c r="BG1883" s="314"/>
      <c r="BH1883" s="314"/>
      <c r="BI1883" s="314"/>
      <c r="BJ1883" s="314"/>
      <c r="BK1883" s="40"/>
      <c r="BL1883" s="40"/>
      <c r="BM1883" s="40"/>
      <c r="BN1883" s="40"/>
      <c r="BO1883" s="40"/>
      <c r="BP1883" s="155"/>
      <c r="BQ1883" s="314"/>
      <c r="BR1883" s="314"/>
      <c r="BS1883" s="314"/>
      <c r="BT1883" s="314"/>
      <c r="BU1883" s="314"/>
      <c r="BV1883" s="314"/>
      <c r="BW1883" s="314"/>
      <c r="BX1883" s="155"/>
    </row>
    <row r="1884" spans="1:76" ht="15.75" customHeight="1">
      <c r="A1884" s="25"/>
      <c r="B1884" s="39"/>
      <c r="C1884" s="155"/>
      <c r="D1884" s="155"/>
      <c r="E1884" s="40"/>
      <c r="F1884" s="314"/>
      <c r="H1884" s="315"/>
      <c r="I1884" s="315"/>
      <c r="BA1884" s="30"/>
      <c r="BB1884" s="155"/>
      <c r="BC1884" s="314"/>
      <c r="BD1884" s="314"/>
      <c r="BE1884" s="314"/>
      <c r="BF1884" s="314"/>
      <c r="BG1884" s="314"/>
      <c r="BH1884" s="314"/>
      <c r="BI1884" s="314"/>
      <c r="BJ1884" s="314"/>
      <c r="BK1884" s="40"/>
      <c r="BL1884" s="40"/>
      <c r="BM1884" s="40"/>
      <c r="BN1884" s="40"/>
      <c r="BO1884" s="40"/>
      <c r="BP1884" s="155"/>
      <c r="BQ1884" s="314"/>
      <c r="BR1884" s="314"/>
      <c r="BS1884" s="314"/>
      <c r="BT1884" s="314"/>
      <c r="BU1884" s="314"/>
      <c r="BV1884" s="314"/>
      <c r="BW1884" s="314"/>
      <c r="BX1884" s="155"/>
    </row>
    <row r="1885" spans="1:76" ht="15.75" customHeight="1">
      <c r="A1885" s="25"/>
      <c r="B1885" s="39"/>
      <c r="C1885" s="155"/>
      <c r="D1885" s="155"/>
      <c r="E1885" s="40"/>
      <c r="F1885" s="314"/>
      <c r="H1885" s="315"/>
      <c r="I1885" s="315"/>
      <c r="BA1885" s="30"/>
      <c r="BB1885" s="155"/>
      <c r="BC1885" s="314"/>
      <c r="BD1885" s="314"/>
      <c r="BE1885" s="314"/>
      <c r="BF1885" s="314"/>
      <c r="BG1885" s="314"/>
      <c r="BH1885" s="314"/>
      <c r="BI1885" s="314"/>
      <c r="BJ1885" s="314"/>
      <c r="BK1885" s="40"/>
      <c r="BL1885" s="40"/>
      <c r="BM1885" s="40"/>
      <c r="BN1885" s="40"/>
      <c r="BO1885" s="40"/>
      <c r="BP1885" s="155"/>
      <c r="BQ1885" s="314"/>
      <c r="BR1885" s="314"/>
      <c r="BS1885" s="314"/>
      <c r="BT1885" s="314"/>
      <c r="BU1885" s="314"/>
      <c r="BV1885" s="314"/>
      <c r="BW1885" s="314"/>
      <c r="BX1885" s="155"/>
    </row>
    <row r="1886" spans="1:76" ht="15.75" customHeight="1">
      <c r="A1886" s="25"/>
      <c r="B1886" s="39"/>
      <c r="C1886" s="155"/>
      <c r="D1886" s="155"/>
      <c r="E1886" s="40"/>
      <c r="F1886" s="314"/>
      <c r="H1886" s="315"/>
      <c r="I1886" s="315"/>
      <c r="BA1886" s="30"/>
      <c r="BB1886" s="155"/>
      <c r="BC1886" s="314"/>
      <c r="BD1886" s="314"/>
      <c r="BE1886" s="314"/>
      <c r="BF1886" s="314"/>
      <c r="BG1886" s="314"/>
      <c r="BH1886" s="314"/>
      <c r="BI1886" s="314"/>
      <c r="BJ1886" s="314"/>
      <c r="BK1886" s="40"/>
      <c r="BL1886" s="40"/>
      <c r="BM1886" s="40"/>
      <c r="BN1886" s="40"/>
      <c r="BO1886" s="40"/>
      <c r="BP1886" s="155"/>
      <c r="BQ1886" s="314"/>
      <c r="BR1886" s="314"/>
      <c r="BS1886" s="314"/>
      <c r="BT1886" s="314"/>
      <c r="BU1886" s="314"/>
      <c r="BV1886" s="314"/>
      <c r="BW1886" s="314"/>
      <c r="BX1886" s="155"/>
    </row>
    <row r="1887" spans="1:76" ht="15.75" customHeight="1">
      <c r="A1887" s="25"/>
      <c r="B1887" s="39"/>
      <c r="C1887" s="155"/>
      <c r="D1887" s="155"/>
      <c r="E1887" s="40"/>
      <c r="F1887" s="314"/>
      <c r="H1887" s="315"/>
      <c r="I1887" s="315"/>
      <c r="BA1887" s="30"/>
      <c r="BB1887" s="155"/>
      <c r="BC1887" s="314"/>
      <c r="BD1887" s="314"/>
      <c r="BE1887" s="314"/>
      <c r="BF1887" s="314"/>
      <c r="BG1887" s="314"/>
      <c r="BH1887" s="314"/>
      <c r="BI1887" s="314"/>
      <c r="BJ1887" s="314"/>
      <c r="BK1887" s="40"/>
      <c r="BL1887" s="40"/>
      <c r="BM1887" s="40"/>
      <c r="BN1887" s="40"/>
      <c r="BO1887" s="40"/>
      <c r="BP1887" s="155"/>
      <c r="BQ1887" s="314"/>
      <c r="BR1887" s="314"/>
      <c r="BS1887" s="314"/>
      <c r="BT1887" s="314"/>
      <c r="BU1887" s="314"/>
      <c r="BV1887" s="314"/>
      <c r="BW1887" s="314"/>
      <c r="BX1887" s="155"/>
    </row>
    <row r="1888" spans="1:76" ht="15.75" customHeight="1">
      <c r="A1888" s="25"/>
      <c r="B1888" s="39"/>
      <c r="C1888" s="155"/>
      <c r="D1888" s="155"/>
      <c r="E1888" s="40"/>
      <c r="F1888" s="314"/>
      <c r="H1888" s="315"/>
      <c r="I1888" s="315"/>
      <c r="BA1888" s="30"/>
      <c r="BB1888" s="155"/>
      <c r="BC1888" s="314"/>
      <c r="BD1888" s="314"/>
      <c r="BE1888" s="314"/>
      <c r="BF1888" s="314"/>
      <c r="BG1888" s="314"/>
      <c r="BH1888" s="314"/>
      <c r="BI1888" s="314"/>
      <c r="BJ1888" s="314"/>
      <c r="BK1888" s="40"/>
      <c r="BL1888" s="40"/>
      <c r="BM1888" s="40"/>
      <c r="BN1888" s="40"/>
      <c r="BO1888" s="40"/>
      <c r="BP1888" s="155"/>
      <c r="BQ1888" s="314"/>
      <c r="BR1888" s="314"/>
      <c r="BS1888" s="314"/>
      <c r="BT1888" s="314"/>
      <c r="BU1888" s="314"/>
      <c r="BV1888" s="314"/>
      <c r="BW1888" s="314"/>
      <c r="BX1888" s="155"/>
    </row>
    <row r="1889" spans="1:76" ht="15.75" customHeight="1">
      <c r="A1889" s="25"/>
      <c r="B1889" s="39"/>
      <c r="C1889" s="155"/>
      <c r="D1889" s="155"/>
      <c r="E1889" s="40"/>
      <c r="F1889" s="314"/>
      <c r="H1889" s="315"/>
      <c r="I1889" s="315"/>
      <c r="BA1889" s="30"/>
      <c r="BB1889" s="155"/>
      <c r="BC1889" s="314"/>
      <c r="BD1889" s="314"/>
      <c r="BE1889" s="314"/>
      <c r="BF1889" s="314"/>
      <c r="BG1889" s="314"/>
      <c r="BH1889" s="314"/>
      <c r="BI1889" s="314"/>
      <c r="BJ1889" s="314"/>
      <c r="BK1889" s="40"/>
      <c r="BL1889" s="40"/>
      <c r="BM1889" s="40"/>
      <c r="BN1889" s="40"/>
      <c r="BO1889" s="40"/>
      <c r="BP1889" s="155"/>
      <c r="BQ1889" s="314"/>
      <c r="BR1889" s="314"/>
      <c r="BS1889" s="314"/>
      <c r="BT1889" s="314"/>
      <c r="BU1889" s="314"/>
      <c r="BV1889" s="314"/>
      <c r="BW1889" s="314"/>
      <c r="BX1889" s="155"/>
    </row>
    <row r="1890" spans="1:76" ht="15.75" customHeight="1">
      <c r="A1890" s="25"/>
      <c r="B1890" s="39"/>
      <c r="C1890" s="155"/>
      <c r="D1890" s="155"/>
      <c r="E1890" s="40"/>
      <c r="F1890" s="314"/>
      <c r="H1890" s="315"/>
      <c r="I1890" s="315"/>
      <c r="BA1890" s="30"/>
      <c r="BB1890" s="155"/>
      <c r="BC1890" s="314"/>
      <c r="BD1890" s="314"/>
      <c r="BE1890" s="314"/>
      <c r="BF1890" s="314"/>
      <c r="BG1890" s="314"/>
      <c r="BH1890" s="314"/>
      <c r="BI1890" s="314"/>
      <c r="BJ1890" s="314"/>
      <c r="BK1890" s="40"/>
      <c r="BL1890" s="40"/>
      <c r="BM1890" s="40"/>
      <c r="BN1890" s="40"/>
      <c r="BO1890" s="40"/>
      <c r="BP1890" s="155"/>
      <c r="BQ1890" s="314"/>
      <c r="BR1890" s="314"/>
      <c r="BS1890" s="314"/>
      <c r="BT1890" s="314"/>
      <c r="BU1890" s="314"/>
      <c r="BV1890" s="314"/>
      <c r="BW1890" s="314"/>
      <c r="BX1890" s="155"/>
    </row>
    <row r="1891" spans="1:76" ht="15.75" customHeight="1">
      <c r="A1891" s="25"/>
      <c r="B1891" s="39"/>
      <c r="C1891" s="155"/>
      <c r="D1891" s="155"/>
      <c r="E1891" s="40"/>
      <c r="F1891" s="314"/>
      <c r="H1891" s="315"/>
      <c r="I1891" s="315"/>
      <c r="BA1891" s="30"/>
      <c r="BB1891" s="155"/>
      <c r="BC1891" s="314"/>
      <c r="BD1891" s="314"/>
      <c r="BE1891" s="314"/>
      <c r="BF1891" s="314"/>
      <c r="BG1891" s="314"/>
      <c r="BH1891" s="314"/>
      <c r="BI1891" s="314"/>
      <c r="BJ1891" s="314"/>
      <c r="BK1891" s="40"/>
      <c r="BL1891" s="40"/>
      <c r="BM1891" s="40"/>
      <c r="BN1891" s="40"/>
      <c r="BO1891" s="40"/>
      <c r="BP1891" s="155"/>
      <c r="BQ1891" s="314"/>
      <c r="BR1891" s="314"/>
      <c r="BS1891" s="314"/>
      <c r="BT1891" s="314"/>
      <c r="BU1891" s="314"/>
      <c r="BV1891" s="314"/>
      <c r="BW1891" s="314"/>
      <c r="BX1891" s="155"/>
    </row>
    <row r="1892" spans="1:76" ht="15.75" customHeight="1">
      <c r="A1892" s="25"/>
      <c r="B1892" s="39"/>
      <c r="C1892" s="155"/>
      <c r="D1892" s="155"/>
      <c r="E1892" s="40"/>
      <c r="F1892" s="314"/>
      <c r="H1892" s="315"/>
      <c r="I1892" s="315"/>
      <c r="BA1892" s="30"/>
      <c r="BB1892" s="155"/>
      <c r="BC1892" s="314"/>
      <c r="BD1892" s="314"/>
      <c r="BE1892" s="314"/>
      <c r="BF1892" s="314"/>
      <c r="BG1892" s="314"/>
      <c r="BH1892" s="314"/>
      <c r="BI1892" s="314"/>
      <c r="BJ1892" s="314"/>
      <c r="BK1892" s="40"/>
      <c r="BL1892" s="40"/>
      <c r="BM1892" s="40"/>
      <c r="BN1892" s="40"/>
      <c r="BO1892" s="40"/>
      <c r="BP1892" s="155"/>
      <c r="BQ1892" s="314"/>
      <c r="BR1892" s="314"/>
      <c r="BS1892" s="314"/>
      <c r="BT1892" s="314"/>
      <c r="BU1892" s="314"/>
      <c r="BV1892" s="314"/>
      <c r="BW1892" s="314"/>
      <c r="BX1892" s="155"/>
    </row>
    <row r="1893" spans="1:76" ht="15.75" customHeight="1">
      <c r="A1893" s="25"/>
      <c r="B1893" s="39"/>
      <c r="C1893" s="155"/>
      <c r="D1893" s="155"/>
      <c r="E1893" s="40"/>
      <c r="F1893" s="314"/>
      <c r="H1893" s="315"/>
      <c r="I1893" s="315"/>
      <c r="BA1893" s="30"/>
      <c r="BB1893" s="155"/>
      <c r="BC1893" s="314"/>
      <c r="BD1893" s="314"/>
      <c r="BE1893" s="314"/>
      <c r="BF1893" s="314"/>
      <c r="BG1893" s="314"/>
      <c r="BH1893" s="314"/>
      <c r="BI1893" s="314"/>
      <c r="BJ1893" s="314"/>
      <c r="BK1893" s="40"/>
      <c r="BL1893" s="40"/>
      <c r="BM1893" s="40"/>
      <c r="BN1893" s="40"/>
      <c r="BO1893" s="40"/>
      <c r="BP1893" s="155"/>
      <c r="BQ1893" s="314"/>
      <c r="BR1893" s="314"/>
      <c r="BS1893" s="314"/>
      <c r="BT1893" s="314"/>
      <c r="BU1893" s="314"/>
      <c r="BV1893" s="314"/>
      <c r="BW1893" s="314"/>
      <c r="BX1893" s="155"/>
    </row>
    <row r="1894" spans="1:76" ht="15.75" customHeight="1">
      <c r="A1894" s="25"/>
      <c r="B1894" s="39"/>
      <c r="C1894" s="155"/>
      <c r="D1894" s="155"/>
      <c r="E1894" s="40"/>
      <c r="F1894" s="314"/>
      <c r="H1894" s="315"/>
      <c r="I1894" s="315"/>
      <c r="BA1894" s="30"/>
      <c r="BB1894" s="155"/>
      <c r="BC1894" s="314"/>
      <c r="BD1894" s="314"/>
      <c r="BE1894" s="314"/>
      <c r="BF1894" s="314"/>
      <c r="BG1894" s="314"/>
      <c r="BH1894" s="314"/>
      <c r="BI1894" s="314"/>
      <c r="BJ1894" s="314"/>
      <c r="BK1894" s="40"/>
      <c r="BL1894" s="40"/>
      <c r="BM1894" s="40"/>
      <c r="BN1894" s="40"/>
      <c r="BO1894" s="40"/>
      <c r="BP1894" s="155"/>
      <c r="BQ1894" s="314"/>
      <c r="BR1894" s="314"/>
      <c r="BS1894" s="314"/>
      <c r="BT1894" s="314"/>
      <c r="BU1894" s="314"/>
      <c r="BV1894" s="314"/>
      <c r="BW1894" s="314"/>
      <c r="BX1894" s="155"/>
    </row>
    <row r="1895" spans="1:76" ht="15.75" customHeight="1">
      <c r="A1895" s="25"/>
      <c r="B1895" s="39"/>
      <c r="C1895" s="155"/>
      <c r="D1895" s="155"/>
      <c r="E1895" s="40"/>
      <c r="F1895" s="314"/>
      <c r="H1895" s="315"/>
      <c r="I1895" s="315"/>
      <c r="BA1895" s="30"/>
      <c r="BB1895" s="155"/>
      <c r="BC1895" s="314"/>
      <c r="BD1895" s="314"/>
      <c r="BE1895" s="314"/>
      <c r="BF1895" s="314"/>
      <c r="BG1895" s="314"/>
      <c r="BH1895" s="314"/>
      <c r="BI1895" s="314"/>
      <c r="BJ1895" s="314"/>
      <c r="BK1895" s="40"/>
      <c r="BL1895" s="40"/>
      <c r="BM1895" s="40"/>
      <c r="BN1895" s="40"/>
      <c r="BO1895" s="40"/>
      <c r="BP1895" s="155"/>
      <c r="BQ1895" s="314"/>
      <c r="BR1895" s="314"/>
      <c r="BS1895" s="314"/>
      <c r="BT1895" s="314"/>
      <c r="BU1895" s="314"/>
      <c r="BV1895" s="314"/>
      <c r="BW1895" s="314"/>
      <c r="BX1895" s="155"/>
    </row>
    <row r="1896" spans="1:76" ht="15.75" customHeight="1">
      <c r="A1896" s="25"/>
      <c r="B1896" s="39"/>
      <c r="C1896" s="155"/>
      <c r="D1896" s="155"/>
      <c r="E1896" s="40"/>
      <c r="F1896" s="314"/>
      <c r="H1896" s="315"/>
      <c r="I1896" s="315"/>
      <c r="BA1896" s="30"/>
      <c r="BB1896" s="155"/>
      <c r="BC1896" s="314"/>
      <c r="BD1896" s="314"/>
      <c r="BE1896" s="314"/>
      <c r="BF1896" s="314"/>
      <c r="BG1896" s="314"/>
      <c r="BH1896" s="314"/>
      <c r="BI1896" s="314"/>
      <c r="BJ1896" s="314"/>
      <c r="BK1896" s="40"/>
      <c r="BL1896" s="40"/>
      <c r="BM1896" s="40"/>
      <c r="BN1896" s="40"/>
      <c r="BO1896" s="40"/>
      <c r="BP1896" s="155"/>
      <c r="BQ1896" s="314"/>
      <c r="BR1896" s="314"/>
      <c r="BS1896" s="314"/>
      <c r="BT1896" s="314"/>
      <c r="BU1896" s="314"/>
      <c r="BV1896" s="314"/>
      <c r="BW1896" s="314"/>
      <c r="BX1896" s="155"/>
    </row>
    <row r="1897" spans="1:76" ht="15.75" customHeight="1">
      <c r="A1897" s="25"/>
      <c r="B1897" s="39"/>
      <c r="C1897" s="155"/>
      <c r="D1897" s="155"/>
      <c r="E1897" s="40"/>
      <c r="F1897" s="314"/>
      <c r="H1897" s="315"/>
      <c r="I1897" s="315"/>
      <c r="BA1897" s="30"/>
      <c r="BB1897" s="155"/>
      <c r="BC1897" s="314"/>
      <c r="BD1897" s="314"/>
      <c r="BE1897" s="314"/>
      <c r="BF1897" s="314"/>
      <c r="BG1897" s="314"/>
      <c r="BH1897" s="314"/>
      <c r="BI1897" s="314"/>
      <c r="BJ1897" s="314"/>
      <c r="BK1897" s="40"/>
      <c r="BL1897" s="40"/>
      <c r="BM1897" s="40"/>
      <c r="BN1897" s="40"/>
      <c r="BO1897" s="40"/>
      <c r="BP1897" s="155"/>
      <c r="BQ1897" s="314"/>
      <c r="BR1897" s="314"/>
      <c r="BS1897" s="314"/>
      <c r="BT1897" s="314"/>
      <c r="BU1897" s="314"/>
      <c r="BV1897" s="314"/>
      <c r="BW1897" s="314"/>
      <c r="BX1897" s="155"/>
    </row>
    <row r="1898" spans="1:76" ht="15.75" customHeight="1">
      <c r="A1898" s="25"/>
      <c r="B1898" s="39"/>
      <c r="C1898" s="155"/>
      <c r="D1898" s="155"/>
      <c r="E1898" s="40"/>
      <c r="F1898" s="314"/>
      <c r="H1898" s="315"/>
      <c r="I1898" s="315"/>
      <c r="BA1898" s="30"/>
      <c r="BB1898" s="155"/>
      <c r="BC1898" s="314"/>
      <c r="BD1898" s="314"/>
      <c r="BE1898" s="314"/>
      <c r="BF1898" s="314"/>
      <c r="BG1898" s="314"/>
      <c r="BH1898" s="314"/>
      <c r="BI1898" s="314"/>
      <c r="BJ1898" s="314"/>
      <c r="BK1898" s="40"/>
      <c r="BL1898" s="40"/>
      <c r="BM1898" s="40"/>
      <c r="BN1898" s="40"/>
      <c r="BO1898" s="40"/>
      <c r="BP1898" s="155"/>
      <c r="BQ1898" s="314"/>
      <c r="BR1898" s="314"/>
      <c r="BS1898" s="314"/>
      <c r="BT1898" s="314"/>
      <c r="BU1898" s="314"/>
      <c r="BV1898" s="314"/>
      <c r="BW1898" s="314"/>
      <c r="BX1898" s="155"/>
    </row>
    <row r="1899" spans="1:76" ht="15.75" customHeight="1">
      <c r="A1899" s="25"/>
      <c r="B1899" s="39"/>
      <c r="C1899" s="155"/>
      <c r="D1899" s="155"/>
      <c r="E1899" s="40"/>
      <c r="F1899" s="314"/>
      <c r="H1899" s="315"/>
      <c r="I1899" s="315"/>
      <c r="BA1899" s="30"/>
      <c r="BB1899" s="155"/>
      <c r="BC1899" s="314"/>
      <c r="BD1899" s="314"/>
      <c r="BE1899" s="314"/>
      <c r="BF1899" s="314"/>
      <c r="BG1899" s="314"/>
      <c r="BH1899" s="314"/>
      <c r="BI1899" s="314"/>
      <c r="BJ1899" s="314"/>
      <c r="BK1899" s="40"/>
      <c r="BL1899" s="40"/>
      <c r="BM1899" s="40"/>
      <c r="BN1899" s="40"/>
      <c r="BO1899" s="40"/>
      <c r="BP1899" s="155"/>
      <c r="BQ1899" s="314"/>
      <c r="BR1899" s="314"/>
      <c r="BS1899" s="314"/>
      <c r="BT1899" s="314"/>
      <c r="BU1899" s="314"/>
      <c r="BV1899" s="314"/>
      <c r="BW1899" s="314"/>
      <c r="BX1899" s="155"/>
    </row>
    <row r="1900" spans="1:76" ht="15.75" customHeight="1">
      <c r="A1900" s="25"/>
      <c r="B1900" s="39"/>
      <c r="C1900" s="155"/>
      <c r="D1900" s="155"/>
      <c r="E1900" s="40"/>
      <c r="F1900" s="314"/>
      <c r="H1900" s="315"/>
      <c r="I1900" s="315"/>
      <c r="BA1900" s="30"/>
      <c r="BB1900" s="155"/>
      <c r="BC1900" s="314"/>
      <c r="BD1900" s="314"/>
      <c r="BE1900" s="314"/>
      <c r="BF1900" s="314"/>
      <c r="BG1900" s="314"/>
      <c r="BH1900" s="314"/>
      <c r="BI1900" s="314"/>
      <c r="BJ1900" s="314"/>
      <c r="BK1900" s="40"/>
      <c r="BL1900" s="40"/>
      <c r="BM1900" s="40"/>
      <c r="BN1900" s="40"/>
      <c r="BO1900" s="40"/>
      <c r="BP1900" s="155"/>
      <c r="BQ1900" s="314"/>
      <c r="BR1900" s="314"/>
      <c r="BS1900" s="314"/>
      <c r="BT1900" s="314"/>
      <c r="BU1900" s="314"/>
      <c r="BV1900" s="314"/>
      <c r="BW1900" s="314"/>
      <c r="BX1900" s="155"/>
    </row>
    <row r="1901" spans="1:76" ht="15.75" customHeight="1">
      <c r="A1901" s="25"/>
      <c r="B1901" s="39"/>
      <c r="C1901" s="155"/>
      <c r="D1901" s="155"/>
      <c r="E1901" s="40"/>
      <c r="F1901" s="314"/>
      <c r="H1901" s="315"/>
      <c r="I1901" s="315"/>
      <c r="BA1901" s="30"/>
      <c r="BB1901" s="155"/>
      <c r="BC1901" s="314"/>
      <c r="BD1901" s="314"/>
      <c r="BE1901" s="314"/>
      <c r="BF1901" s="314"/>
      <c r="BG1901" s="314"/>
      <c r="BH1901" s="314"/>
      <c r="BI1901" s="314"/>
      <c r="BJ1901" s="314"/>
      <c r="BK1901" s="40"/>
      <c r="BL1901" s="40"/>
      <c r="BM1901" s="40"/>
      <c r="BN1901" s="40"/>
      <c r="BO1901" s="40"/>
      <c r="BP1901" s="155"/>
      <c r="BQ1901" s="314"/>
      <c r="BR1901" s="314"/>
      <c r="BS1901" s="314"/>
      <c r="BT1901" s="314"/>
      <c r="BU1901" s="314"/>
      <c r="BV1901" s="314"/>
      <c r="BW1901" s="314"/>
      <c r="BX1901" s="155"/>
    </row>
    <row r="1902" spans="1:76" ht="15.75" customHeight="1">
      <c r="A1902" s="25"/>
      <c r="B1902" s="39"/>
      <c r="C1902" s="155"/>
      <c r="D1902" s="155"/>
      <c r="E1902" s="40"/>
      <c r="F1902" s="314"/>
      <c r="H1902" s="315"/>
      <c r="I1902" s="315"/>
      <c r="BA1902" s="30"/>
      <c r="BB1902" s="155"/>
      <c r="BC1902" s="314"/>
      <c r="BD1902" s="314"/>
      <c r="BE1902" s="314"/>
      <c r="BF1902" s="314"/>
      <c r="BG1902" s="314"/>
      <c r="BH1902" s="314"/>
      <c r="BI1902" s="314"/>
      <c r="BJ1902" s="314"/>
      <c r="BK1902" s="40"/>
      <c r="BL1902" s="40"/>
      <c r="BM1902" s="40"/>
      <c r="BN1902" s="40"/>
      <c r="BO1902" s="40"/>
      <c r="BP1902" s="155"/>
      <c r="BQ1902" s="314"/>
      <c r="BR1902" s="314"/>
      <c r="BS1902" s="314"/>
      <c r="BT1902" s="314"/>
      <c r="BU1902" s="314"/>
      <c r="BV1902" s="314"/>
      <c r="BW1902" s="314"/>
      <c r="BX1902" s="155"/>
    </row>
    <row r="1903" spans="1:76" ht="15.75" customHeight="1">
      <c r="A1903" s="25"/>
      <c r="B1903" s="39"/>
      <c r="C1903" s="155"/>
      <c r="D1903" s="155"/>
      <c r="E1903" s="40"/>
      <c r="F1903" s="314"/>
      <c r="H1903" s="315"/>
      <c r="I1903" s="315"/>
      <c r="BA1903" s="30"/>
      <c r="BB1903" s="155"/>
      <c r="BC1903" s="314"/>
      <c r="BD1903" s="314"/>
      <c r="BE1903" s="314"/>
      <c r="BF1903" s="314"/>
      <c r="BG1903" s="314"/>
      <c r="BH1903" s="314"/>
      <c r="BI1903" s="314"/>
      <c r="BJ1903" s="314"/>
      <c r="BK1903" s="40"/>
      <c r="BL1903" s="40"/>
      <c r="BM1903" s="40"/>
      <c r="BN1903" s="40"/>
      <c r="BO1903" s="40"/>
      <c r="BP1903" s="155"/>
      <c r="BQ1903" s="314"/>
      <c r="BR1903" s="314"/>
      <c r="BS1903" s="314"/>
      <c r="BT1903" s="314"/>
      <c r="BU1903" s="314"/>
      <c r="BV1903" s="314"/>
      <c r="BW1903" s="314"/>
      <c r="BX1903" s="155"/>
    </row>
    <row r="1904" spans="1:76" ht="15.75" customHeight="1">
      <c r="A1904" s="25"/>
      <c r="B1904" s="39"/>
      <c r="C1904" s="155"/>
      <c r="D1904" s="155"/>
      <c r="E1904" s="40"/>
      <c r="F1904" s="314"/>
      <c r="H1904" s="315"/>
      <c r="I1904" s="315"/>
      <c r="BA1904" s="30"/>
      <c r="BB1904" s="155"/>
      <c r="BC1904" s="314"/>
      <c r="BD1904" s="314"/>
      <c r="BE1904" s="314"/>
      <c r="BF1904" s="314"/>
      <c r="BG1904" s="314"/>
      <c r="BH1904" s="314"/>
      <c r="BI1904" s="314"/>
      <c r="BJ1904" s="314"/>
      <c r="BK1904" s="40"/>
      <c r="BL1904" s="40"/>
      <c r="BM1904" s="40"/>
      <c r="BN1904" s="40"/>
      <c r="BO1904" s="40"/>
      <c r="BP1904" s="155"/>
      <c r="BQ1904" s="314"/>
      <c r="BR1904" s="314"/>
      <c r="BS1904" s="314"/>
      <c r="BT1904" s="314"/>
      <c r="BU1904" s="314"/>
      <c r="BV1904" s="314"/>
      <c r="BW1904" s="314"/>
      <c r="BX1904" s="155"/>
    </row>
    <row r="1905" spans="1:76" ht="15.75" customHeight="1">
      <c r="A1905" s="25"/>
      <c r="B1905" s="39"/>
      <c r="C1905" s="155"/>
      <c r="D1905" s="155"/>
      <c r="E1905" s="40"/>
      <c r="F1905" s="314"/>
      <c r="H1905" s="315"/>
      <c r="I1905" s="315"/>
      <c r="BA1905" s="30"/>
      <c r="BB1905" s="155"/>
      <c r="BC1905" s="314"/>
      <c r="BD1905" s="314"/>
      <c r="BE1905" s="314"/>
      <c r="BF1905" s="314"/>
      <c r="BG1905" s="314"/>
      <c r="BH1905" s="314"/>
      <c r="BI1905" s="314"/>
      <c r="BJ1905" s="314"/>
      <c r="BK1905" s="40"/>
      <c r="BL1905" s="40"/>
      <c r="BM1905" s="40"/>
      <c r="BN1905" s="40"/>
      <c r="BO1905" s="40"/>
      <c r="BP1905" s="155"/>
      <c r="BQ1905" s="314"/>
      <c r="BR1905" s="314"/>
      <c r="BS1905" s="314"/>
      <c r="BT1905" s="314"/>
      <c r="BU1905" s="314"/>
      <c r="BV1905" s="314"/>
      <c r="BW1905" s="314"/>
      <c r="BX1905" s="155"/>
    </row>
    <row r="1906" spans="1:76" ht="15.75" customHeight="1">
      <c r="A1906" s="25"/>
      <c r="B1906" s="39"/>
      <c r="C1906" s="155"/>
      <c r="D1906" s="155"/>
      <c r="E1906" s="40"/>
      <c r="F1906" s="314"/>
      <c r="H1906" s="315"/>
      <c r="I1906" s="315"/>
      <c r="BA1906" s="30"/>
      <c r="BB1906" s="155"/>
      <c r="BC1906" s="314"/>
      <c r="BD1906" s="314"/>
      <c r="BE1906" s="314"/>
      <c r="BF1906" s="314"/>
      <c r="BG1906" s="314"/>
      <c r="BH1906" s="314"/>
      <c r="BI1906" s="314"/>
      <c r="BJ1906" s="314"/>
      <c r="BK1906" s="40"/>
      <c r="BL1906" s="40"/>
      <c r="BM1906" s="40"/>
      <c r="BN1906" s="40"/>
      <c r="BO1906" s="40"/>
      <c r="BP1906" s="155"/>
      <c r="BQ1906" s="314"/>
      <c r="BR1906" s="314"/>
      <c r="BS1906" s="314"/>
      <c r="BT1906" s="314"/>
      <c r="BU1906" s="314"/>
      <c r="BV1906" s="314"/>
      <c r="BW1906" s="314"/>
      <c r="BX1906" s="155"/>
    </row>
    <row r="1907" spans="1:76" ht="15.75" customHeight="1">
      <c r="A1907" s="25"/>
      <c r="B1907" s="39"/>
      <c r="C1907" s="155"/>
      <c r="D1907" s="155"/>
      <c r="E1907" s="40"/>
      <c r="F1907" s="314"/>
      <c r="H1907" s="315"/>
      <c r="I1907" s="315"/>
      <c r="BA1907" s="30"/>
      <c r="BB1907" s="155"/>
      <c r="BC1907" s="314"/>
      <c r="BD1907" s="314"/>
      <c r="BE1907" s="314"/>
      <c r="BF1907" s="314"/>
      <c r="BG1907" s="314"/>
      <c r="BH1907" s="314"/>
      <c r="BI1907" s="314"/>
      <c r="BJ1907" s="314"/>
      <c r="BK1907" s="40"/>
      <c r="BL1907" s="40"/>
      <c r="BM1907" s="40"/>
      <c r="BN1907" s="40"/>
      <c r="BO1907" s="40"/>
      <c r="BP1907" s="155"/>
      <c r="BQ1907" s="314"/>
      <c r="BR1907" s="314"/>
      <c r="BS1907" s="314"/>
      <c r="BT1907" s="314"/>
      <c r="BU1907" s="314"/>
      <c r="BV1907" s="314"/>
      <c r="BW1907" s="314"/>
      <c r="BX1907" s="155"/>
    </row>
    <row r="1908" spans="1:76" ht="15.75" customHeight="1">
      <c r="A1908" s="25"/>
      <c r="B1908" s="39"/>
      <c r="C1908" s="155"/>
      <c r="D1908" s="155"/>
      <c r="E1908" s="40"/>
      <c r="F1908" s="314"/>
      <c r="H1908" s="315"/>
      <c r="I1908" s="315"/>
      <c r="BA1908" s="30"/>
      <c r="BB1908" s="155"/>
      <c r="BC1908" s="314"/>
      <c r="BD1908" s="314"/>
      <c r="BE1908" s="314"/>
      <c r="BF1908" s="314"/>
      <c r="BG1908" s="314"/>
      <c r="BH1908" s="314"/>
      <c r="BI1908" s="314"/>
      <c r="BJ1908" s="314"/>
      <c r="BK1908" s="40"/>
      <c r="BL1908" s="40"/>
      <c r="BM1908" s="40"/>
      <c r="BN1908" s="40"/>
      <c r="BO1908" s="40"/>
      <c r="BP1908" s="155"/>
      <c r="BQ1908" s="314"/>
      <c r="BR1908" s="314"/>
      <c r="BS1908" s="314"/>
      <c r="BT1908" s="314"/>
      <c r="BU1908" s="314"/>
      <c r="BV1908" s="314"/>
      <c r="BW1908" s="314"/>
      <c r="BX1908" s="155"/>
    </row>
    <row r="1909" spans="1:76" ht="15.75" customHeight="1">
      <c r="A1909" s="25"/>
      <c r="B1909" s="39"/>
      <c r="C1909" s="155"/>
      <c r="D1909" s="155"/>
      <c r="E1909" s="40"/>
      <c r="F1909" s="314"/>
      <c r="H1909" s="315"/>
      <c r="I1909" s="315"/>
      <c r="BA1909" s="30"/>
      <c r="BB1909" s="155"/>
      <c r="BC1909" s="314"/>
      <c r="BD1909" s="314"/>
      <c r="BE1909" s="314"/>
      <c r="BF1909" s="314"/>
      <c r="BG1909" s="314"/>
      <c r="BH1909" s="314"/>
      <c r="BI1909" s="314"/>
      <c r="BJ1909" s="314"/>
      <c r="BK1909" s="40"/>
      <c r="BL1909" s="40"/>
      <c r="BM1909" s="40"/>
      <c r="BN1909" s="40"/>
      <c r="BO1909" s="40"/>
      <c r="BP1909" s="155"/>
      <c r="BQ1909" s="314"/>
      <c r="BR1909" s="314"/>
      <c r="BS1909" s="314"/>
      <c r="BT1909" s="314"/>
      <c r="BU1909" s="314"/>
      <c r="BV1909" s="314"/>
      <c r="BW1909" s="314"/>
      <c r="BX1909" s="155"/>
    </row>
    <row r="1910" spans="1:76" ht="15.75" customHeight="1">
      <c r="A1910" s="25"/>
      <c r="B1910" s="39"/>
      <c r="C1910" s="155"/>
      <c r="D1910" s="155"/>
      <c r="E1910" s="40"/>
      <c r="F1910" s="314"/>
      <c r="H1910" s="315"/>
      <c r="I1910" s="315"/>
      <c r="BA1910" s="30"/>
      <c r="BB1910" s="155"/>
      <c r="BC1910" s="314"/>
      <c r="BD1910" s="314"/>
      <c r="BE1910" s="314"/>
      <c r="BF1910" s="314"/>
      <c r="BG1910" s="314"/>
      <c r="BH1910" s="314"/>
      <c r="BI1910" s="314"/>
      <c r="BJ1910" s="314"/>
      <c r="BK1910" s="40"/>
      <c r="BL1910" s="40"/>
      <c r="BM1910" s="40"/>
      <c r="BN1910" s="40"/>
      <c r="BO1910" s="40"/>
      <c r="BP1910" s="155"/>
      <c r="BQ1910" s="314"/>
      <c r="BR1910" s="314"/>
      <c r="BS1910" s="314"/>
      <c r="BT1910" s="314"/>
      <c r="BU1910" s="314"/>
      <c r="BV1910" s="314"/>
      <c r="BW1910" s="314"/>
      <c r="BX1910" s="155"/>
    </row>
    <row r="1911" spans="1:76" ht="15.75" customHeight="1">
      <c r="A1911" s="25"/>
      <c r="B1911" s="39"/>
      <c r="C1911" s="155"/>
      <c r="D1911" s="155"/>
      <c r="E1911" s="40"/>
      <c r="F1911" s="314"/>
      <c r="H1911" s="315"/>
      <c r="I1911" s="315"/>
      <c r="BA1911" s="30"/>
      <c r="BB1911" s="155"/>
      <c r="BC1911" s="314"/>
      <c r="BD1911" s="314"/>
      <c r="BE1911" s="314"/>
      <c r="BF1911" s="314"/>
      <c r="BG1911" s="314"/>
      <c r="BH1911" s="314"/>
      <c r="BI1911" s="314"/>
      <c r="BJ1911" s="314"/>
      <c r="BK1911" s="40"/>
      <c r="BL1911" s="40"/>
      <c r="BM1911" s="40"/>
      <c r="BN1911" s="40"/>
      <c r="BO1911" s="40"/>
      <c r="BP1911" s="155"/>
      <c r="BQ1911" s="314"/>
      <c r="BR1911" s="314"/>
      <c r="BS1911" s="314"/>
      <c r="BT1911" s="314"/>
      <c r="BU1911" s="314"/>
      <c r="BV1911" s="314"/>
      <c r="BW1911" s="314"/>
      <c r="BX1911" s="155"/>
    </row>
    <row r="1912" spans="1:76" ht="15.75" customHeight="1">
      <c r="A1912" s="25"/>
      <c r="B1912" s="39"/>
      <c r="C1912" s="155"/>
      <c r="D1912" s="155"/>
      <c r="E1912" s="40"/>
      <c r="F1912" s="314"/>
      <c r="H1912" s="315"/>
      <c r="I1912" s="315"/>
      <c r="BA1912" s="30"/>
      <c r="BB1912" s="155"/>
      <c r="BC1912" s="314"/>
      <c r="BD1912" s="314"/>
      <c r="BE1912" s="314"/>
      <c r="BF1912" s="314"/>
      <c r="BG1912" s="314"/>
      <c r="BH1912" s="314"/>
      <c r="BI1912" s="314"/>
      <c r="BJ1912" s="314"/>
      <c r="BK1912" s="40"/>
      <c r="BL1912" s="40"/>
      <c r="BM1912" s="40"/>
      <c r="BN1912" s="40"/>
      <c r="BO1912" s="40"/>
      <c r="BP1912" s="155"/>
      <c r="BQ1912" s="314"/>
      <c r="BR1912" s="314"/>
      <c r="BS1912" s="314"/>
      <c r="BT1912" s="314"/>
      <c r="BU1912" s="314"/>
      <c r="BV1912" s="314"/>
      <c r="BW1912" s="314"/>
      <c r="BX1912" s="155"/>
    </row>
    <row r="1913" spans="1:76" ht="15.75" customHeight="1">
      <c r="A1913" s="25"/>
      <c r="B1913" s="39"/>
      <c r="C1913" s="155"/>
      <c r="D1913" s="155"/>
      <c r="E1913" s="40"/>
      <c r="F1913" s="314"/>
      <c r="H1913" s="315"/>
      <c r="I1913" s="315"/>
      <c r="BA1913" s="30"/>
      <c r="BB1913" s="155"/>
      <c r="BC1913" s="314"/>
      <c r="BD1913" s="314"/>
      <c r="BE1913" s="314"/>
      <c r="BF1913" s="314"/>
      <c r="BG1913" s="314"/>
      <c r="BH1913" s="314"/>
      <c r="BI1913" s="314"/>
      <c r="BJ1913" s="314"/>
      <c r="BK1913" s="40"/>
      <c r="BL1913" s="40"/>
      <c r="BM1913" s="40"/>
      <c r="BN1913" s="40"/>
      <c r="BO1913" s="40"/>
      <c r="BP1913" s="155"/>
      <c r="BQ1913" s="314"/>
      <c r="BR1913" s="314"/>
      <c r="BS1913" s="314"/>
      <c r="BT1913" s="314"/>
      <c r="BU1913" s="314"/>
      <c r="BV1913" s="314"/>
      <c r="BW1913" s="314"/>
      <c r="BX1913" s="155"/>
    </row>
    <row r="1914" spans="1:76" ht="15.75" customHeight="1">
      <c r="A1914" s="25"/>
      <c r="B1914" s="39"/>
      <c r="C1914" s="155"/>
      <c r="D1914" s="155"/>
      <c r="E1914" s="40"/>
      <c r="F1914" s="314"/>
      <c r="H1914" s="315"/>
      <c r="I1914" s="315"/>
      <c r="BA1914" s="30"/>
      <c r="BB1914" s="155"/>
      <c r="BC1914" s="314"/>
      <c r="BD1914" s="314"/>
      <c r="BE1914" s="314"/>
      <c r="BF1914" s="314"/>
      <c r="BG1914" s="314"/>
      <c r="BH1914" s="314"/>
      <c r="BI1914" s="314"/>
      <c r="BJ1914" s="314"/>
      <c r="BK1914" s="40"/>
      <c r="BL1914" s="40"/>
      <c r="BM1914" s="40"/>
      <c r="BN1914" s="40"/>
      <c r="BO1914" s="40"/>
      <c r="BP1914" s="155"/>
      <c r="BQ1914" s="314"/>
      <c r="BR1914" s="314"/>
      <c r="BS1914" s="314"/>
      <c r="BT1914" s="314"/>
      <c r="BU1914" s="314"/>
      <c r="BV1914" s="314"/>
      <c r="BW1914" s="314"/>
      <c r="BX1914" s="155"/>
    </row>
    <row r="1915" spans="1:76" ht="15.75" customHeight="1">
      <c r="A1915" s="25"/>
      <c r="B1915" s="39"/>
      <c r="C1915" s="155"/>
      <c r="D1915" s="155"/>
      <c r="E1915" s="40"/>
      <c r="F1915" s="314"/>
      <c r="H1915" s="315"/>
      <c r="I1915" s="315"/>
      <c r="BA1915" s="30"/>
      <c r="BB1915" s="155"/>
      <c r="BC1915" s="314"/>
      <c r="BD1915" s="314"/>
      <c r="BE1915" s="314"/>
      <c r="BF1915" s="314"/>
      <c r="BG1915" s="314"/>
      <c r="BH1915" s="314"/>
      <c r="BI1915" s="314"/>
      <c r="BJ1915" s="314"/>
      <c r="BK1915" s="40"/>
      <c r="BL1915" s="40"/>
      <c r="BM1915" s="40"/>
      <c r="BN1915" s="40"/>
      <c r="BO1915" s="40"/>
      <c r="BP1915" s="155"/>
      <c r="BQ1915" s="314"/>
      <c r="BR1915" s="314"/>
      <c r="BS1915" s="314"/>
      <c r="BT1915" s="314"/>
      <c r="BU1915" s="314"/>
      <c r="BV1915" s="314"/>
      <c r="BW1915" s="314"/>
      <c r="BX1915" s="155"/>
    </row>
    <row r="1916" spans="1:76" ht="15.75" customHeight="1">
      <c r="A1916" s="25"/>
      <c r="B1916" s="39"/>
      <c r="C1916" s="155"/>
      <c r="D1916" s="155"/>
      <c r="E1916" s="40"/>
      <c r="F1916" s="314"/>
      <c r="H1916" s="315"/>
      <c r="I1916" s="315"/>
      <c r="BA1916" s="30"/>
      <c r="BB1916" s="155"/>
      <c r="BC1916" s="314"/>
      <c r="BD1916" s="314"/>
      <c r="BE1916" s="314"/>
      <c r="BF1916" s="314"/>
      <c r="BG1916" s="314"/>
      <c r="BH1916" s="314"/>
      <c r="BI1916" s="314"/>
      <c r="BJ1916" s="314"/>
      <c r="BK1916" s="40"/>
      <c r="BL1916" s="40"/>
      <c r="BM1916" s="40"/>
      <c r="BN1916" s="40"/>
      <c r="BO1916" s="40"/>
      <c r="BP1916" s="155"/>
      <c r="BQ1916" s="314"/>
      <c r="BR1916" s="314"/>
      <c r="BS1916" s="314"/>
      <c r="BT1916" s="314"/>
      <c r="BU1916" s="314"/>
      <c r="BV1916" s="314"/>
      <c r="BW1916" s="314"/>
      <c r="BX1916" s="155"/>
    </row>
    <row r="1917" spans="1:76" ht="15.75" customHeight="1">
      <c r="A1917" s="25"/>
      <c r="B1917" s="39"/>
      <c r="C1917" s="155"/>
      <c r="D1917" s="155"/>
      <c r="E1917" s="40"/>
      <c r="F1917" s="314"/>
      <c r="H1917" s="315"/>
      <c r="I1917" s="315"/>
      <c r="BA1917" s="30"/>
      <c r="BB1917" s="155"/>
      <c r="BC1917" s="314"/>
      <c r="BD1917" s="314"/>
      <c r="BE1917" s="314"/>
      <c r="BF1917" s="314"/>
      <c r="BG1917" s="314"/>
      <c r="BH1917" s="314"/>
      <c r="BI1917" s="314"/>
      <c r="BJ1917" s="314"/>
      <c r="BK1917" s="40"/>
      <c r="BL1917" s="40"/>
      <c r="BM1917" s="40"/>
      <c r="BN1917" s="40"/>
      <c r="BO1917" s="40"/>
      <c r="BP1917" s="155"/>
      <c r="BQ1917" s="314"/>
      <c r="BR1917" s="314"/>
      <c r="BS1917" s="314"/>
      <c r="BT1917" s="314"/>
      <c r="BU1917" s="314"/>
      <c r="BV1917" s="314"/>
      <c r="BW1917" s="314"/>
      <c r="BX1917" s="155"/>
    </row>
    <row r="1918" spans="1:76" ht="15.75" customHeight="1">
      <c r="A1918" s="25"/>
      <c r="B1918" s="39"/>
      <c r="C1918" s="155"/>
      <c r="D1918" s="155"/>
      <c r="E1918" s="40"/>
      <c r="F1918" s="314"/>
      <c r="H1918" s="315"/>
      <c r="I1918" s="315"/>
      <c r="BA1918" s="30"/>
      <c r="BB1918" s="155"/>
      <c r="BC1918" s="314"/>
      <c r="BD1918" s="314"/>
      <c r="BE1918" s="314"/>
      <c r="BF1918" s="314"/>
      <c r="BG1918" s="314"/>
      <c r="BH1918" s="314"/>
      <c r="BI1918" s="314"/>
      <c r="BJ1918" s="314"/>
      <c r="BK1918" s="40"/>
      <c r="BL1918" s="40"/>
      <c r="BM1918" s="40"/>
      <c r="BN1918" s="40"/>
      <c r="BO1918" s="40"/>
      <c r="BP1918" s="155"/>
      <c r="BQ1918" s="314"/>
      <c r="BR1918" s="314"/>
      <c r="BS1918" s="314"/>
      <c r="BT1918" s="314"/>
      <c r="BU1918" s="314"/>
      <c r="BV1918" s="314"/>
      <c r="BW1918" s="314"/>
      <c r="BX1918" s="155"/>
    </row>
    <row r="1919" spans="1:76" ht="15.75" customHeight="1">
      <c r="A1919" s="25"/>
      <c r="B1919" s="39"/>
      <c r="C1919" s="155"/>
      <c r="D1919" s="155"/>
      <c r="E1919" s="40"/>
      <c r="F1919" s="314"/>
      <c r="H1919" s="315"/>
      <c r="I1919" s="315"/>
      <c r="BA1919" s="30"/>
      <c r="BB1919" s="155"/>
      <c r="BC1919" s="314"/>
      <c r="BD1919" s="314"/>
      <c r="BE1919" s="314"/>
      <c r="BF1919" s="314"/>
      <c r="BG1919" s="314"/>
      <c r="BH1919" s="314"/>
      <c r="BI1919" s="314"/>
      <c r="BJ1919" s="314"/>
      <c r="BK1919" s="40"/>
      <c r="BL1919" s="40"/>
      <c r="BM1919" s="40"/>
      <c r="BN1919" s="40"/>
      <c r="BO1919" s="40"/>
      <c r="BP1919" s="155"/>
      <c r="BQ1919" s="314"/>
      <c r="BR1919" s="314"/>
      <c r="BS1919" s="314"/>
      <c r="BT1919" s="314"/>
      <c r="BU1919" s="314"/>
      <c r="BV1919" s="314"/>
      <c r="BW1919" s="314"/>
      <c r="BX1919" s="155"/>
    </row>
    <row r="1920" spans="1:76" ht="15.75" customHeight="1">
      <c r="A1920" s="25"/>
      <c r="B1920" s="39"/>
      <c r="C1920" s="155"/>
      <c r="D1920" s="155"/>
      <c r="E1920" s="40"/>
      <c r="F1920" s="314"/>
      <c r="H1920" s="315"/>
      <c r="I1920" s="315"/>
      <c r="BA1920" s="30"/>
      <c r="BB1920" s="155"/>
      <c r="BC1920" s="314"/>
      <c r="BD1920" s="314"/>
      <c r="BE1920" s="314"/>
      <c r="BF1920" s="314"/>
      <c r="BG1920" s="314"/>
      <c r="BH1920" s="314"/>
      <c r="BI1920" s="314"/>
      <c r="BJ1920" s="314"/>
      <c r="BK1920" s="40"/>
      <c r="BL1920" s="40"/>
      <c r="BM1920" s="40"/>
      <c r="BN1920" s="40"/>
      <c r="BO1920" s="40"/>
      <c r="BP1920" s="155"/>
      <c r="BQ1920" s="314"/>
      <c r="BR1920" s="314"/>
      <c r="BS1920" s="314"/>
      <c r="BT1920" s="314"/>
      <c r="BU1920" s="314"/>
      <c r="BV1920" s="314"/>
      <c r="BW1920" s="314"/>
      <c r="BX1920" s="155"/>
    </row>
    <row r="1921" spans="1:76" ht="15.75" customHeight="1">
      <c r="A1921" s="25"/>
      <c r="B1921" s="39"/>
      <c r="C1921" s="155"/>
      <c r="D1921" s="155"/>
      <c r="E1921" s="40"/>
      <c r="F1921" s="314"/>
      <c r="H1921" s="315"/>
      <c r="I1921" s="315"/>
      <c r="BA1921" s="30"/>
      <c r="BB1921" s="155"/>
      <c r="BC1921" s="314"/>
      <c r="BD1921" s="314"/>
      <c r="BE1921" s="314"/>
      <c r="BF1921" s="314"/>
      <c r="BG1921" s="314"/>
      <c r="BH1921" s="314"/>
      <c r="BI1921" s="314"/>
      <c r="BJ1921" s="314"/>
      <c r="BK1921" s="40"/>
      <c r="BL1921" s="40"/>
      <c r="BM1921" s="40"/>
      <c r="BN1921" s="40"/>
      <c r="BO1921" s="40"/>
      <c r="BP1921" s="155"/>
      <c r="BQ1921" s="314"/>
      <c r="BR1921" s="314"/>
      <c r="BS1921" s="314"/>
      <c r="BT1921" s="314"/>
      <c r="BU1921" s="314"/>
      <c r="BV1921" s="314"/>
      <c r="BW1921" s="314"/>
      <c r="BX1921" s="155"/>
    </row>
    <row r="1922" spans="1:76" ht="15.75" customHeight="1">
      <c r="A1922" s="25"/>
      <c r="B1922" s="39"/>
      <c r="C1922" s="155"/>
      <c r="D1922" s="155"/>
      <c r="E1922" s="40"/>
      <c r="F1922" s="314"/>
      <c r="H1922" s="315"/>
      <c r="I1922" s="315"/>
      <c r="BA1922" s="30"/>
      <c r="BB1922" s="155"/>
      <c r="BC1922" s="314"/>
      <c r="BD1922" s="314"/>
      <c r="BE1922" s="314"/>
      <c r="BF1922" s="314"/>
      <c r="BG1922" s="314"/>
      <c r="BH1922" s="314"/>
      <c r="BI1922" s="314"/>
      <c r="BJ1922" s="314"/>
      <c r="BK1922" s="40"/>
      <c r="BL1922" s="40"/>
      <c r="BM1922" s="40"/>
      <c r="BN1922" s="40"/>
      <c r="BO1922" s="40"/>
      <c r="BP1922" s="155"/>
      <c r="BQ1922" s="314"/>
      <c r="BR1922" s="314"/>
      <c r="BS1922" s="314"/>
      <c r="BT1922" s="314"/>
      <c r="BU1922" s="314"/>
      <c r="BV1922" s="314"/>
      <c r="BW1922" s="314"/>
      <c r="BX1922" s="155"/>
    </row>
    <row r="1923" spans="1:76" ht="15.75" customHeight="1">
      <c r="A1923" s="25"/>
      <c r="B1923" s="39"/>
      <c r="C1923" s="155"/>
      <c r="D1923" s="155"/>
      <c r="E1923" s="40"/>
      <c r="F1923" s="314"/>
      <c r="H1923" s="315"/>
      <c r="I1923" s="315"/>
      <c r="BA1923" s="30"/>
      <c r="BB1923" s="155"/>
      <c r="BC1923" s="314"/>
      <c r="BD1923" s="314"/>
      <c r="BE1923" s="314"/>
      <c r="BF1923" s="314"/>
      <c r="BG1923" s="314"/>
      <c r="BH1923" s="314"/>
      <c r="BI1923" s="314"/>
      <c r="BJ1923" s="314"/>
      <c r="BK1923" s="40"/>
      <c r="BL1923" s="40"/>
      <c r="BM1923" s="40"/>
      <c r="BN1923" s="40"/>
      <c r="BO1923" s="40"/>
      <c r="BP1923" s="155"/>
      <c r="BQ1923" s="314"/>
      <c r="BR1923" s="314"/>
      <c r="BS1923" s="314"/>
      <c r="BT1923" s="314"/>
      <c r="BU1923" s="314"/>
      <c r="BV1923" s="314"/>
      <c r="BW1923" s="314"/>
      <c r="BX1923" s="155"/>
    </row>
    <row r="1924" spans="1:76" ht="15.75" customHeight="1">
      <c r="A1924" s="25"/>
      <c r="B1924" s="39"/>
      <c r="C1924" s="155"/>
      <c r="D1924" s="155"/>
      <c r="E1924" s="40"/>
      <c r="F1924" s="314"/>
      <c r="H1924" s="315"/>
      <c r="I1924" s="315"/>
      <c r="BA1924" s="30"/>
      <c r="BB1924" s="155"/>
      <c r="BC1924" s="314"/>
      <c r="BD1924" s="314"/>
      <c r="BE1924" s="314"/>
      <c r="BF1924" s="314"/>
      <c r="BG1924" s="314"/>
      <c r="BH1924" s="314"/>
      <c r="BI1924" s="314"/>
      <c r="BJ1924" s="314"/>
      <c r="BK1924" s="40"/>
      <c r="BL1924" s="40"/>
      <c r="BM1924" s="40"/>
      <c r="BN1924" s="40"/>
      <c r="BO1924" s="40"/>
      <c r="BP1924" s="155"/>
      <c r="BQ1924" s="314"/>
      <c r="BR1924" s="314"/>
      <c r="BS1924" s="314"/>
      <c r="BT1924" s="314"/>
      <c r="BU1924" s="314"/>
      <c r="BV1924" s="314"/>
      <c r="BW1924" s="314"/>
      <c r="BX1924" s="155"/>
    </row>
    <row r="1925" spans="1:76" ht="15.75" customHeight="1">
      <c r="A1925" s="25"/>
      <c r="B1925" s="39"/>
      <c r="C1925" s="155"/>
      <c r="D1925" s="155"/>
      <c r="E1925" s="40"/>
      <c r="F1925" s="314"/>
      <c r="H1925" s="315"/>
      <c r="I1925" s="315"/>
      <c r="BA1925" s="30"/>
      <c r="BB1925" s="155"/>
      <c r="BC1925" s="322"/>
      <c r="BD1925" s="322"/>
      <c r="BE1925" s="322"/>
      <c r="BF1925" s="322"/>
      <c r="BG1925" s="322"/>
      <c r="BH1925" s="322"/>
      <c r="BI1925" s="322"/>
      <c r="BJ1925" s="322"/>
      <c r="BK1925" s="341"/>
      <c r="BL1925" s="40"/>
      <c r="BM1925" s="40"/>
      <c r="BN1925" s="40"/>
      <c r="BO1925" s="40"/>
      <c r="BP1925" s="155"/>
      <c r="BQ1925" s="314"/>
      <c r="BR1925" s="314"/>
      <c r="BS1925" s="314"/>
      <c r="BT1925" s="314"/>
      <c r="BU1925" s="314"/>
      <c r="BV1925" s="314"/>
      <c r="BW1925" s="314"/>
      <c r="BX1925" s="155"/>
    </row>
    <row r="1926" spans="1:76" ht="15.75" customHeight="1">
      <c r="A1926" s="25"/>
      <c r="B1926" s="39"/>
      <c r="C1926" s="155"/>
      <c r="D1926" s="155"/>
      <c r="E1926" s="40"/>
      <c r="F1926" s="314"/>
      <c r="H1926" s="315"/>
      <c r="I1926" s="315"/>
      <c r="BA1926" s="30"/>
      <c r="BB1926" s="155"/>
      <c r="BC1926" s="314"/>
      <c r="BD1926" s="314"/>
      <c r="BE1926" s="314"/>
      <c r="BF1926" s="314"/>
      <c r="BG1926" s="314"/>
      <c r="BH1926" s="314"/>
      <c r="BI1926" s="314"/>
      <c r="BJ1926" s="314"/>
      <c r="BK1926" s="40"/>
      <c r="BL1926" s="40"/>
      <c r="BM1926" s="40"/>
      <c r="BN1926" s="40"/>
      <c r="BO1926" s="40"/>
      <c r="BP1926" s="155"/>
      <c r="BQ1926" s="314"/>
      <c r="BR1926" s="314"/>
      <c r="BS1926" s="314"/>
      <c r="BT1926" s="314"/>
      <c r="BU1926" s="314"/>
      <c r="BV1926" s="314"/>
      <c r="BW1926" s="314"/>
      <c r="BX1926" s="155"/>
    </row>
    <row r="1927" spans="1:76" ht="15.75" customHeight="1">
      <c r="A1927" s="25"/>
      <c r="B1927" s="39"/>
      <c r="C1927" s="155"/>
      <c r="D1927" s="155"/>
      <c r="E1927" s="40"/>
      <c r="F1927" s="314"/>
      <c r="H1927" s="315"/>
      <c r="I1927" s="315"/>
      <c r="BA1927" s="30"/>
      <c r="BB1927" s="155"/>
      <c r="BC1927" s="314"/>
      <c r="BD1927" s="314"/>
      <c r="BE1927" s="314"/>
      <c r="BF1927" s="314"/>
      <c r="BG1927" s="314"/>
      <c r="BH1927" s="314"/>
      <c r="BI1927" s="314"/>
      <c r="BJ1927" s="314"/>
      <c r="BK1927" s="40"/>
      <c r="BL1927" s="40"/>
      <c r="BM1927" s="40"/>
      <c r="BN1927" s="40"/>
      <c r="BO1927" s="40"/>
      <c r="BP1927" s="155"/>
      <c r="BQ1927" s="314"/>
      <c r="BR1927" s="314"/>
      <c r="BS1927" s="314"/>
      <c r="BT1927" s="314"/>
      <c r="BU1927" s="314"/>
      <c r="BV1927" s="314"/>
      <c r="BW1927" s="314"/>
      <c r="BX1927" s="155"/>
    </row>
    <row r="1928" spans="1:76" ht="15.75" customHeight="1">
      <c r="A1928" s="25"/>
      <c r="B1928" s="39"/>
      <c r="C1928" s="155"/>
      <c r="D1928" s="155"/>
      <c r="E1928" s="40"/>
      <c r="F1928" s="314"/>
      <c r="H1928" s="315"/>
      <c r="I1928" s="315"/>
      <c r="BA1928" s="30"/>
      <c r="BB1928" s="155"/>
      <c r="BC1928" s="314"/>
      <c r="BD1928" s="314"/>
      <c r="BE1928" s="314"/>
      <c r="BF1928" s="314"/>
      <c r="BG1928" s="314"/>
      <c r="BH1928" s="314"/>
      <c r="BI1928" s="314"/>
      <c r="BJ1928" s="314"/>
      <c r="BK1928" s="40"/>
      <c r="BL1928" s="40"/>
      <c r="BM1928" s="40"/>
      <c r="BN1928" s="40"/>
      <c r="BO1928" s="40"/>
      <c r="BP1928" s="155"/>
      <c r="BQ1928" s="314"/>
      <c r="BR1928" s="314"/>
      <c r="BS1928" s="314"/>
      <c r="BT1928" s="314"/>
      <c r="BU1928" s="314"/>
      <c r="BV1928" s="314"/>
      <c r="BW1928" s="314"/>
      <c r="BX1928" s="155"/>
    </row>
    <row r="1929" spans="1:76" ht="15.75" customHeight="1">
      <c r="A1929" s="25"/>
      <c r="B1929" s="39"/>
      <c r="C1929" s="155"/>
      <c r="D1929" s="155"/>
      <c r="E1929" s="40"/>
      <c r="F1929" s="314"/>
      <c r="H1929" s="315"/>
      <c r="I1929" s="315"/>
      <c r="BA1929" s="30"/>
      <c r="BB1929" s="155"/>
      <c r="BC1929" s="314"/>
      <c r="BD1929" s="314"/>
      <c r="BE1929" s="314"/>
      <c r="BF1929" s="314"/>
      <c r="BG1929" s="314"/>
      <c r="BH1929" s="314"/>
      <c r="BI1929" s="314"/>
      <c r="BJ1929" s="314"/>
      <c r="BK1929" s="40"/>
      <c r="BL1929" s="40"/>
      <c r="BM1929" s="40"/>
      <c r="BN1929" s="40"/>
      <c r="BO1929" s="40"/>
      <c r="BP1929" s="155"/>
      <c r="BQ1929" s="314"/>
      <c r="BR1929" s="314"/>
      <c r="BS1929" s="314"/>
      <c r="BT1929" s="314"/>
      <c r="BU1929" s="314"/>
      <c r="BV1929" s="314"/>
      <c r="BW1929" s="314"/>
      <c r="BX1929" s="155"/>
    </row>
    <row r="1930" spans="1:76" ht="15.75" customHeight="1">
      <c r="A1930" s="25"/>
      <c r="B1930" s="39"/>
      <c r="C1930" s="155"/>
      <c r="D1930" s="155"/>
      <c r="E1930" s="40"/>
      <c r="F1930" s="314"/>
      <c r="H1930" s="315"/>
      <c r="I1930" s="315"/>
      <c r="BA1930" s="30"/>
      <c r="BB1930" s="155"/>
      <c r="BC1930" s="314"/>
      <c r="BD1930" s="314"/>
      <c r="BE1930" s="314"/>
      <c r="BF1930" s="314"/>
      <c r="BG1930" s="314"/>
      <c r="BH1930" s="314"/>
      <c r="BI1930" s="314"/>
      <c r="BJ1930" s="314"/>
      <c r="BK1930" s="40"/>
      <c r="BL1930" s="40"/>
      <c r="BM1930" s="40"/>
      <c r="BN1930" s="40"/>
      <c r="BO1930" s="40"/>
      <c r="BP1930" s="155"/>
      <c r="BQ1930" s="314"/>
      <c r="BR1930" s="314"/>
      <c r="BS1930" s="314"/>
      <c r="BT1930" s="314"/>
      <c r="BU1930" s="314"/>
      <c r="BV1930" s="314"/>
      <c r="BW1930" s="314"/>
      <c r="BX1930" s="155"/>
    </row>
    <row r="1931" spans="1:76" ht="15.75" customHeight="1">
      <c r="A1931" s="25"/>
      <c r="B1931" s="39"/>
      <c r="C1931" s="155"/>
      <c r="D1931" s="155"/>
      <c r="E1931" s="40"/>
      <c r="F1931" s="314"/>
      <c r="H1931" s="315"/>
      <c r="I1931" s="315"/>
      <c r="BA1931" s="30"/>
      <c r="BB1931" s="155"/>
      <c r="BC1931" s="314"/>
      <c r="BD1931" s="314"/>
      <c r="BE1931" s="314"/>
      <c r="BF1931" s="314"/>
      <c r="BG1931" s="314"/>
      <c r="BH1931" s="314"/>
      <c r="BI1931" s="314"/>
      <c r="BJ1931" s="314"/>
      <c r="BK1931" s="40"/>
      <c r="BL1931" s="40"/>
      <c r="BM1931" s="40"/>
      <c r="BN1931" s="40"/>
      <c r="BO1931" s="40"/>
      <c r="BP1931" s="155"/>
      <c r="BQ1931" s="314"/>
      <c r="BR1931" s="314"/>
      <c r="BS1931" s="314"/>
      <c r="BT1931" s="314"/>
      <c r="BU1931" s="314"/>
      <c r="BV1931" s="314"/>
      <c r="BW1931" s="314"/>
      <c r="BX1931" s="155"/>
    </row>
    <row r="1932" spans="1:76" ht="15.75" customHeight="1">
      <c r="A1932" s="25"/>
      <c r="B1932" s="39"/>
      <c r="C1932" s="155"/>
      <c r="D1932" s="155"/>
      <c r="E1932" s="40"/>
      <c r="F1932" s="314"/>
      <c r="H1932" s="315"/>
      <c r="I1932" s="315"/>
      <c r="BA1932" s="30"/>
      <c r="BB1932" s="155"/>
      <c r="BC1932" s="314"/>
      <c r="BD1932" s="314"/>
      <c r="BE1932" s="314"/>
      <c r="BF1932" s="314"/>
      <c r="BG1932" s="314"/>
      <c r="BH1932" s="314"/>
      <c r="BI1932" s="314"/>
      <c r="BJ1932" s="314"/>
      <c r="BK1932" s="40"/>
      <c r="BL1932" s="40"/>
      <c r="BM1932" s="40"/>
      <c r="BN1932" s="40"/>
      <c r="BO1932" s="40"/>
      <c r="BP1932" s="155"/>
      <c r="BQ1932" s="314"/>
      <c r="BR1932" s="314"/>
      <c r="BS1932" s="314"/>
      <c r="BT1932" s="314"/>
      <c r="BU1932" s="314"/>
      <c r="BV1932" s="314"/>
      <c r="BW1932" s="314"/>
      <c r="BX1932" s="155"/>
    </row>
    <row r="1933" spans="1:76" ht="15.75" customHeight="1">
      <c r="A1933" s="25"/>
      <c r="B1933" s="39"/>
      <c r="C1933" s="155"/>
      <c r="D1933" s="155"/>
      <c r="E1933" s="40"/>
      <c r="F1933" s="314"/>
      <c r="H1933" s="315"/>
      <c r="I1933" s="315"/>
      <c r="BA1933" s="30"/>
      <c r="BB1933" s="155"/>
      <c r="BC1933" s="314"/>
      <c r="BD1933" s="314"/>
      <c r="BE1933" s="314"/>
      <c r="BF1933" s="314"/>
      <c r="BG1933" s="314"/>
      <c r="BH1933" s="314"/>
      <c r="BI1933" s="314"/>
      <c r="BJ1933" s="314"/>
      <c r="BK1933" s="40"/>
      <c r="BL1933" s="40"/>
      <c r="BM1933" s="40"/>
      <c r="BN1933" s="40"/>
      <c r="BO1933" s="40"/>
      <c r="BP1933" s="155"/>
      <c r="BQ1933" s="314"/>
      <c r="BR1933" s="314"/>
      <c r="BS1933" s="314"/>
      <c r="BT1933" s="314"/>
      <c r="BU1933" s="314"/>
      <c r="BV1933" s="314"/>
      <c r="BW1933" s="314"/>
      <c r="BX1933" s="155"/>
    </row>
    <row r="1934" spans="1:76" ht="15.75" customHeight="1">
      <c r="A1934" s="25"/>
      <c r="B1934" s="39"/>
      <c r="C1934" s="155"/>
      <c r="D1934" s="155"/>
      <c r="E1934" s="40"/>
      <c r="F1934" s="314"/>
      <c r="H1934" s="315"/>
      <c r="I1934" s="315"/>
      <c r="BA1934" s="30"/>
      <c r="BB1934" s="155"/>
      <c r="BC1934" s="314"/>
      <c r="BD1934" s="314"/>
      <c r="BE1934" s="314"/>
      <c r="BF1934" s="314"/>
      <c r="BG1934" s="314"/>
      <c r="BH1934" s="314"/>
      <c r="BI1934" s="314"/>
      <c r="BJ1934" s="314"/>
      <c r="BK1934" s="40"/>
      <c r="BL1934" s="40"/>
      <c r="BM1934" s="40"/>
      <c r="BN1934" s="40"/>
      <c r="BO1934" s="40"/>
      <c r="BP1934" s="155"/>
      <c r="BQ1934" s="314"/>
      <c r="BR1934" s="314"/>
      <c r="BS1934" s="314"/>
      <c r="BT1934" s="314"/>
      <c r="BU1934" s="314"/>
      <c r="BV1934" s="314"/>
      <c r="BW1934" s="314"/>
      <c r="BX1934" s="155"/>
    </row>
    <row r="1935" spans="1:76" ht="15.75" customHeight="1">
      <c r="A1935" s="25"/>
      <c r="B1935" s="39"/>
      <c r="C1935" s="155"/>
      <c r="D1935" s="155"/>
      <c r="E1935" s="40"/>
      <c r="F1935" s="314"/>
      <c r="H1935" s="315"/>
      <c r="I1935" s="315"/>
      <c r="BA1935" s="30"/>
      <c r="BB1935" s="155"/>
      <c r="BC1935" s="314"/>
      <c r="BD1935" s="314"/>
      <c r="BE1935" s="314"/>
      <c r="BF1935" s="314"/>
      <c r="BG1935" s="314"/>
      <c r="BH1935" s="314"/>
      <c r="BI1935" s="314"/>
      <c r="BJ1935" s="314"/>
      <c r="BK1935" s="40"/>
      <c r="BL1935" s="40"/>
      <c r="BM1935" s="40"/>
      <c r="BN1935" s="40"/>
      <c r="BO1935" s="40"/>
      <c r="BP1935" s="155"/>
      <c r="BQ1935" s="314"/>
      <c r="BR1935" s="314"/>
      <c r="BS1935" s="314"/>
      <c r="BT1935" s="314"/>
      <c r="BU1935" s="314"/>
      <c r="BV1935" s="314"/>
      <c r="BW1935" s="314"/>
      <c r="BX1935" s="155"/>
    </row>
    <row r="1936" spans="1:76" ht="15.75" customHeight="1">
      <c r="A1936" s="25"/>
      <c r="B1936" s="39"/>
      <c r="C1936" s="155"/>
      <c r="D1936" s="155"/>
      <c r="E1936" s="40"/>
      <c r="F1936" s="314"/>
      <c r="H1936" s="315"/>
      <c r="I1936" s="315"/>
      <c r="BA1936" s="30"/>
      <c r="BB1936" s="155"/>
      <c r="BC1936" s="314"/>
      <c r="BD1936" s="314"/>
      <c r="BE1936" s="314"/>
      <c r="BF1936" s="314"/>
      <c r="BG1936" s="314"/>
      <c r="BH1936" s="314"/>
      <c r="BI1936" s="314"/>
      <c r="BJ1936" s="314"/>
      <c r="BK1936" s="40"/>
      <c r="BL1936" s="40"/>
      <c r="BM1936" s="40"/>
      <c r="BN1936" s="40"/>
      <c r="BO1936" s="40"/>
      <c r="BP1936" s="155"/>
      <c r="BQ1936" s="314"/>
      <c r="BR1936" s="314"/>
      <c r="BS1936" s="314"/>
      <c r="BT1936" s="314"/>
      <c r="BU1936" s="314"/>
      <c r="BV1936" s="314"/>
      <c r="BW1936" s="314"/>
      <c r="BX1936" s="155"/>
    </row>
    <row r="1937" spans="1:76" ht="15.75" customHeight="1">
      <c r="A1937" s="25"/>
      <c r="B1937" s="39"/>
      <c r="C1937" s="155"/>
      <c r="D1937" s="155"/>
      <c r="E1937" s="40"/>
      <c r="F1937" s="314"/>
      <c r="H1937" s="315"/>
      <c r="I1937" s="315"/>
      <c r="BA1937" s="30"/>
      <c r="BB1937" s="155"/>
      <c r="BC1937" s="314"/>
      <c r="BD1937" s="314"/>
      <c r="BE1937" s="314"/>
      <c r="BF1937" s="314"/>
      <c r="BG1937" s="314"/>
      <c r="BH1937" s="314"/>
      <c r="BI1937" s="314"/>
      <c r="BJ1937" s="314"/>
      <c r="BK1937" s="40"/>
      <c r="BL1937" s="40"/>
      <c r="BM1937" s="40"/>
      <c r="BN1937" s="40"/>
      <c r="BO1937" s="40"/>
      <c r="BP1937" s="155"/>
      <c r="BQ1937" s="314"/>
      <c r="BR1937" s="314"/>
      <c r="BS1937" s="314"/>
      <c r="BT1937" s="314"/>
      <c r="BU1937" s="314"/>
      <c r="BV1937" s="314"/>
      <c r="BW1937" s="314"/>
      <c r="BX1937" s="155"/>
    </row>
    <row r="1938" spans="1:76" ht="15.75" customHeight="1">
      <c r="A1938" s="25"/>
      <c r="B1938" s="39"/>
      <c r="C1938" s="155"/>
      <c r="D1938" s="155"/>
      <c r="E1938" s="40"/>
      <c r="F1938" s="314"/>
      <c r="H1938" s="315"/>
      <c r="I1938" s="315"/>
      <c r="BA1938" s="30"/>
      <c r="BB1938" s="155"/>
      <c r="BC1938" s="314"/>
      <c r="BD1938" s="314"/>
      <c r="BE1938" s="314"/>
      <c r="BF1938" s="314"/>
      <c r="BG1938" s="314"/>
      <c r="BH1938" s="314"/>
      <c r="BI1938" s="314"/>
      <c r="BJ1938" s="314"/>
      <c r="BK1938" s="40"/>
      <c r="BL1938" s="40"/>
      <c r="BM1938" s="40"/>
      <c r="BN1938" s="40"/>
      <c r="BO1938" s="40"/>
      <c r="BP1938" s="155"/>
      <c r="BQ1938" s="314"/>
      <c r="BR1938" s="314"/>
      <c r="BS1938" s="314"/>
      <c r="BT1938" s="314"/>
      <c r="BU1938" s="314"/>
      <c r="BV1938" s="314"/>
      <c r="BW1938" s="314"/>
      <c r="BX1938" s="155"/>
    </row>
    <row r="1939" spans="1:76" ht="15.75" customHeight="1">
      <c r="A1939" s="25"/>
      <c r="B1939" s="39"/>
      <c r="C1939" s="155"/>
      <c r="D1939" s="155"/>
      <c r="E1939" s="40"/>
      <c r="F1939" s="314"/>
      <c r="H1939" s="315"/>
      <c r="I1939" s="315"/>
      <c r="BA1939" s="30"/>
      <c r="BB1939" s="155"/>
      <c r="BC1939" s="314"/>
      <c r="BD1939" s="314"/>
      <c r="BE1939" s="314"/>
      <c r="BF1939" s="314"/>
      <c r="BG1939" s="314"/>
      <c r="BH1939" s="314"/>
      <c r="BI1939" s="314"/>
      <c r="BJ1939" s="314"/>
      <c r="BK1939" s="40"/>
      <c r="BL1939" s="40"/>
      <c r="BM1939" s="40"/>
      <c r="BN1939" s="40"/>
      <c r="BO1939" s="40"/>
      <c r="BP1939" s="155"/>
      <c r="BQ1939" s="314"/>
      <c r="BR1939" s="314"/>
      <c r="BS1939" s="314"/>
      <c r="BT1939" s="314"/>
      <c r="BU1939" s="314"/>
      <c r="BV1939" s="314"/>
      <c r="BW1939" s="314"/>
      <c r="BX1939" s="155"/>
    </row>
    <row r="1940" spans="1:76" ht="15.75" customHeight="1">
      <c r="A1940" s="25"/>
      <c r="B1940" s="39"/>
      <c r="C1940" s="155"/>
      <c r="D1940" s="155"/>
      <c r="E1940" s="40"/>
      <c r="F1940" s="314"/>
      <c r="H1940" s="315"/>
      <c r="I1940" s="315"/>
      <c r="BA1940" s="30"/>
      <c r="BB1940" s="155"/>
      <c r="BC1940" s="314"/>
      <c r="BD1940" s="314"/>
      <c r="BE1940" s="314"/>
      <c r="BF1940" s="314"/>
      <c r="BG1940" s="314"/>
      <c r="BH1940" s="314"/>
      <c r="BI1940" s="314"/>
      <c r="BJ1940" s="314"/>
      <c r="BK1940" s="40"/>
      <c r="BL1940" s="40"/>
      <c r="BM1940" s="40"/>
      <c r="BN1940" s="40"/>
      <c r="BO1940" s="40"/>
      <c r="BP1940" s="155"/>
      <c r="BQ1940" s="314"/>
      <c r="BR1940" s="314"/>
      <c r="BS1940" s="314"/>
      <c r="BT1940" s="314"/>
      <c r="BU1940" s="314"/>
      <c r="BV1940" s="314"/>
      <c r="BW1940" s="314"/>
      <c r="BX1940" s="155"/>
    </row>
    <row r="1941" spans="1:76" ht="15.75" customHeight="1">
      <c r="A1941" s="25"/>
      <c r="B1941" s="39"/>
      <c r="C1941" s="155"/>
      <c r="D1941" s="155"/>
      <c r="E1941" s="40"/>
      <c r="F1941" s="314"/>
      <c r="H1941" s="315"/>
      <c r="I1941" s="315"/>
      <c r="BA1941" s="30"/>
      <c r="BB1941" s="155"/>
      <c r="BC1941" s="314"/>
      <c r="BD1941" s="314"/>
      <c r="BE1941" s="314"/>
      <c r="BF1941" s="314"/>
      <c r="BG1941" s="314"/>
      <c r="BH1941" s="314"/>
      <c r="BI1941" s="314"/>
      <c r="BJ1941" s="314"/>
      <c r="BK1941" s="40"/>
      <c r="BL1941" s="40"/>
      <c r="BM1941" s="40"/>
      <c r="BN1941" s="40"/>
      <c r="BO1941" s="40"/>
      <c r="BP1941" s="155"/>
      <c r="BQ1941" s="314"/>
      <c r="BR1941" s="314"/>
      <c r="BS1941" s="314"/>
      <c r="BT1941" s="314"/>
      <c r="BU1941" s="314"/>
      <c r="BV1941" s="314"/>
      <c r="BW1941" s="314"/>
      <c r="BX1941" s="155"/>
    </row>
    <row r="1942" spans="1:76" ht="15.75" customHeight="1">
      <c r="A1942" s="25"/>
      <c r="B1942" s="39"/>
      <c r="C1942" s="155"/>
      <c r="D1942" s="155"/>
      <c r="E1942" s="40"/>
      <c r="F1942" s="314"/>
      <c r="H1942" s="315"/>
      <c r="I1942" s="315"/>
      <c r="BA1942" s="30"/>
      <c r="BB1942" s="155"/>
      <c r="BC1942" s="314"/>
      <c r="BD1942" s="314"/>
      <c r="BE1942" s="314"/>
      <c r="BF1942" s="314"/>
      <c r="BG1942" s="314"/>
      <c r="BH1942" s="314"/>
      <c r="BI1942" s="314"/>
      <c r="BJ1942" s="314"/>
      <c r="BK1942" s="40"/>
      <c r="BL1942" s="40"/>
      <c r="BM1942" s="40"/>
      <c r="BN1942" s="40"/>
      <c r="BO1942" s="40"/>
      <c r="BP1942" s="155"/>
      <c r="BQ1942" s="314"/>
      <c r="BR1942" s="314"/>
      <c r="BS1942" s="314"/>
      <c r="BT1942" s="314"/>
      <c r="BU1942" s="314"/>
      <c r="BV1942" s="314"/>
      <c r="BW1942" s="314"/>
      <c r="BX1942" s="155"/>
    </row>
    <row r="1943" spans="1:76" ht="15.75" customHeight="1">
      <c r="A1943" s="25"/>
      <c r="B1943" s="39"/>
      <c r="C1943" s="155"/>
      <c r="D1943" s="155"/>
      <c r="E1943" s="40"/>
      <c r="F1943" s="314"/>
      <c r="H1943" s="315"/>
      <c r="I1943" s="315"/>
      <c r="BA1943" s="30"/>
      <c r="BB1943" s="155"/>
      <c r="BC1943" s="314"/>
      <c r="BD1943" s="314"/>
      <c r="BE1943" s="314"/>
      <c r="BF1943" s="314"/>
      <c r="BG1943" s="314"/>
      <c r="BH1943" s="314"/>
      <c r="BI1943" s="314"/>
      <c r="BJ1943" s="314"/>
      <c r="BK1943" s="40"/>
      <c r="BL1943" s="40"/>
      <c r="BM1943" s="40"/>
      <c r="BN1943" s="40"/>
      <c r="BO1943" s="40"/>
      <c r="BP1943" s="155"/>
      <c r="BQ1943" s="314"/>
      <c r="BR1943" s="314"/>
      <c r="BS1943" s="314"/>
      <c r="BT1943" s="314"/>
      <c r="BU1943" s="314"/>
      <c r="BV1943" s="314"/>
      <c r="BW1943" s="314"/>
      <c r="BX1943" s="155"/>
    </row>
    <row r="1944" spans="1:76" ht="15.75" customHeight="1">
      <c r="A1944" s="25"/>
      <c r="B1944" s="39"/>
      <c r="C1944" s="155"/>
      <c r="D1944" s="155"/>
      <c r="E1944" s="40"/>
      <c r="F1944" s="314"/>
      <c r="H1944" s="315"/>
      <c r="I1944" s="315"/>
      <c r="BA1944" s="30"/>
      <c r="BB1944" s="155"/>
      <c r="BC1944" s="314"/>
      <c r="BD1944" s="314"/>
      <c r="BE1944" s="314"/>
      <c r="BF1944" s="314"/>
      <c r="BG1944" s="314"/>
      <c r="BH1944" s="314"/>
      <c r="BI1944" s="314"/>
      <c r="BJ1944" s="314"/>
      <c r="BK1944" s="40"/>
      <c r="BL1944" s="40"/>
      <c r="BM1944" s="40"/>
      <c r="BN1944" s="40"/>
      <c r="BO1944" s="40"/>
      <c r="BP1944" s="155"/>
      <c r="BQ1944" s="314"/>
      <c r="BR1944" s="314"/>
      <c r="BS1944" s="314"/>
      <c r="BT1944" s="314"/>
      <c r="BU1944" s="314"/>
      <c r="BV1944" s="314"/>
      <c r="BW1944" s="314"/>
      <c r="BX1944" s="155"/>
    </row>
    <row r="1945" spans="1:76" ht="15.75" customHeight="1">
      <c r="A1945" s="25"/>
      <c r="B1945" s="39"/>
      <c r="C1945" s="155"/>
      <c r="D1945" s="155"/>
      <c r="E1945" s="40"/>
      <c r="F1945" s="314"/>
      <c r="H1945" s="315"/>
      <c r="I1945" s="315"/>
      <c r="BA1945" s="30"/>
      <c r="BB1945" s="155"/>
      <c r="BC1945" s="314"/>
      <c r="BD1945" s="314"/>
      <c r="BE1945" s="314"/>
      <c r="BF1945" s="314"/>
      <c r="BG1945" s="314"/>
      <c r="BH1945" s="314"/>
      <c r="BI1945" s="314"/>
      <c r="BJ1945" s="314"/>
      <c r="BK1945" s="40"/>
      <c r="BL1945" s="40"/>
      <c r="BM1945" s="40"/>
      <c r="BN1945" s="40"/>
      <c r="BO1945" s="40"/>
      <c r="BP1945" s="155"/>
      <c r="BQ1945" s="314"/>
      <c r="BR1945" s="314"/>
      <c r="BS1945" s="314"/>
      <c r="BT1945" s="314"/>
      <c r="BU1945" s="314"/>
      <c r="BV1945" s="314"/>
      <c r="BW1945" s="314"/>
      <c r="BX1945" s="155"/>
    </row>
    <row r="1946" spans="1:76" ht="15.75" customHeight="1">
      <c r="A1946" s="25"/>
      <c r="B1946" s="39"/>
      <c r="C1946" s="155"/>
      <c r="D1946" s="155"/>
      <c r="E1946" s="40"/>
      <c r="F1946" s="314"/>
      <c r="H1946" s="315"/>
      <c r="I1946" s="315"/>
      <c r="BA1946" s="30"/>
      <c r="BB1946" s="155"/>
      <c r="BC1946" s="314"/>
      <c r="BD1946" s="314"/>
      <c r="BE1946" s="314"/>
      <c r="BF1946" s="314"/>
      <c r="BG1946" s="314"/>
      <c r="BH1946" s="314"/>
      <c r="BI1946" s="314"/>
      <c r="BJ1946" s="314"/>
      <c r="BK1946" s="40"/>
      <c r="BL1946" s="40"/>
      <c r="BM1946" s="40"/>
      <c r="BN1946" s="40"/>
      <c r="BO1946" s="40"/>
      <c r="BP1946" s="155"/>
      <c r="BQ1946" s="314"/>
      <c r="BR1946" s="314"/>
      <c r="BS1946" s="314"/>
      <c r="BT1946" s="314"/>
      <c r="BU1946" s="314"/>
      <c r="BV1946" s="314"/>
      <c r="BW1946" s="314"/>
      <c r="BX1946" s="155"/>
    </row>
    <row r="1947" spans="1:76" ht="15.75" customHeight="1">
      <c r="A1947" s="25"/>
      <c r="B1947" s="39"/>
      <c r="C1947" s="155"/>
      <c r="D1947" s="155"/>
      <c r="E1947" s="40"/>
      <c r="F1947" s="314"/>
      <c r="H1947" s="315"/>
      <c r="I1947" s="315"/>
      <c r="BA1947" s="30"/>
      <c r="BB1947" s="155"/>
      <c r="BC1947" s="314"/>
      <c r="BD1947" s="314"/>
      <c r="BE1947" s="314"/>
      <c r="BF1947" s="314"/>
      <c r="BG1947" s="314"/>
      <c r="BH1947" s="314"/>
      <c r="BI1947" s="314"/>
      <c r="BJ1947" s="314"/>
      <c r="BK1947" s="40"/>
      <c r="BL1947" s="40"/>
      <c r="BM1947" s="40"/>
      <c r="BN1947" s="40"/>
      <c r="BO1947" s="40"/>
      <c r="BP1947" s="155"/>
      <c r="BQ1947" s="314"/>
      <c r="BR1947" s="314"/>
      <c r="BS1947" s="314"/>
      <c r="BT1947" s="314"/>
      <c r="BU1947" s="314"/>
      <c r="BV1947" s="314"/>
      <c r="BW1947" s="314"/>
      <c r="BX1947" s="155"/>
    </row>
    <row r="1948" spans="1:76" ht="15.75" customHeight="1">
      <c r="A1948" s="25"/>
      <c r="B1948" s="39"/>
      <c r="C1948" s="155"/>
      <c r="D1948" s="155"/>
      <c r="E1948" s="40"/>
      <c r="F1948" s="314"/>
      <c r="H1948" s="315"/>
      <c r="I1948" s="315"/>
      <c r="BA1948" s="30"/>
      <c r="BB1948" s="155"/>
      <c r="BC1948" s="322"/>
      <c r="BD1948" s="322"/>
      <c r="BE1948" s="322"/>
      <c r="BF1948" s="322"/>
      <c r="BG1948" s="322"/>
      <c r="BH1948" s="322"/>
      <c r="BI1948" s="322"/>
      <c r="BJ1948" s="322"/>
      <c r="BK1948" s="341"/>
      <c r="BL1948" s="40"/>
      <c r="BM1948" s="40"/>
      <c r="BN1948" s="40"/>
      <c r="BO1948" s="40"/>
      <c r="BP1948" s="155"/>
      <c r="BQ1948" s="314"/>
      <c r="BR1948" s="314"/>
      <c r="BS1948" s="314"/>
      <c r="BT1948" s="314"/>
      <c r="BU1948" s="314"/>
      <c r="BV1948" s="314"/>
      <c r="BW1948" s="314"/>
      <c r="BX1948" s="155"/>
    </row>
    <row r="1949" spans="1:76" ht="15.75" customHeight="1">
      <c r="A1949" s="25"/>
      <c r="B1949" s="39"/>
      <c r="C1949" s="155"/>
      <c r="D1949" s="155"/>
      <c r="E1949" s="40"/>
      <c r="F1949" s="314"/>
      <c r="H1949" s="315"/>
      <c r="I1949" s="315"/>
      <c r="BA1949" s="30"/>
      <c r="BB1949" s="155"/>
      <c r="BC1949" s="314"/>
      <c r="BD1949" s="314"/>
      <c r="BE1949" s="314"/>
      <c r="BF1949" s="314"/>
      <c r="BG1949" s="314"/>
      <c r="BH1949" s="314"/>
      <c r="BI1949" s="314"/>
      <c r="BJ1949" s="314"/>
      <c r="BK1949" s="40"/>
      <c r="BL1949" s="40"/>
      <c r="BM1949" s="40"/>
      <c r="BN1949" s="40"/>
      <c r="BO1949" s="40"/>
      <c r="BP1949" s="155"/>
      <c r="BQ1949" s="314"/>
      <c r="BR1949" s="314"/>
      <c r="BS1949" s="314"/>
      <c r="BT1949" s="314"/>
      <c r="BU1949" s="314"/>
      <c r="BV1949" s="314"/>
      <c r="BW1949" s="314"/>
      <c r="BX1949" s="155"/>
    </row>
    <row r="1950" spans="1:76" ht="15.75" customHeight="1">
      <c r="A1950" s="25"/>
      <c r="B1950" s="39"/>
      <c r="C1950" s="155"/>
      <c r="D1950" s="155"/>
      <c r="E1950" s="40"/>
      <c r="F1950" s="314"/>
      <c r="H1950" s="315"/>
      <c r="I1950" s="315"/>
      <c r="BA1950" s="30"/>
      <c r="BB1950" s="155"/>
      <c r="BC1950" s="314"/>
      <c r="BD1950" s="314"/>
      <c r="BE1950" s="314"/>
      <c r="BF1950" s="314"/>
      <c r="BG1950" s="314"/>
      <c r="BH1950" s="314"/>
      <c r="BI1950" s="314"/>
      <c r="BJ1950" s="314"/>
      <c r="BK1950" s="40"/>
      <c r="BL1950" s="40"/>
      <c r="BM1950" s="40"/>
      <c r="BN1950" s="40"/>
      <c r="BO1950" s="40"/>
      <c r="BP1950" s="155"/>
      <c r="BQ1950" s="314"/>
      <c r="BR1950" s="314"/>
      <c r="BS1950" s="314"/>
      <c r="BT1950" s="314"/>
      <c r="BU1950" s="314"/>
      <c r="BV1950" s="314"/>
      <c r="BW1950" s="314"/>
      <c r="BX1950" s="155"/>
    </row>
    <row r="1951" spans="1:76" ht="15.75" customHeight="1">
      <c r="A1951" s="25"/>
      <c r="B1951" s="39"/>
      <c r="C1951" s="155"/>
      <c r="D1951" s="155"/>
      <c r="E1951" s="40"/>
      <c r="F1951" s="314"/>
      <c r="H1951" s="315"/>
      <c r="I1951" s="315"/>
      <c r="BA1951" s="30"/>
      <c r="BB1951" s="155"/>
      <c r="BC1951" s="314"/>
      <c r="BD1951" s="314"/>
      <c r="BE1951" s="314"/>
      <c r="BF1951" s="314"/>
      <c r="BG1951" s="314"/>
      <c r="BH1951" s="314"/>
      <c r="BI1951" s="314"/>
      <c r="BJ1951" s="314"/>
      <c r="BK1951" s="40"/>
      <c r="BL1951" s="40"/>
      <c r="BM1951" s="40"/>
      <c r="BN1951" s="40"/>
      <c r="BO1951" s="40"/>
      <c r="BP1951" s="155"/>
      <c r="BQ1951" s="314"/>
      <c r="BR1951" s="314"/>
      <c r="BS1951" s="314"/>
      <c r="BT1951" s="314"/>
      <c r="BU1951" s="314"/>
      <c r="BV1951" s="314"/>
      <c r="BW1951" s="314"/>
      <c r="BX1951" s="155"/>
    </row>
    <row r="1952" spans="1:76" ht="15.75" customHeight="1">
      <c r="A1952" s="25"/>
      <c r="B1952" s="39"/>
      <c r="C1952" s="155"/>
      <c r="D1952" s="155"/>
      <c r="E1952" s="40"/>
      <c r="F1952" s="314"/>
      <c r="H1952" s="315"/>
      <c r="I1952" s="315"/>
      <c r="BA1952" s="30"/>
      <c r="BB1952" s="155"/>
      <c r="BC1952" s="314"/>
      <c r="BD1952" s="314"/>
      <c r="BE1952" s="314"/>
      <c r="BF1952" s="314"/>
      <c r="BG1952" s="314"/>
      <c r="BH1952" s="314"/>
      <c r="BI1952" s="314"/>
      <c r="BJ1952" s="314"/>
      <c r="BK1952" s="40"/>
      <c r="BL1952" s="40"/>
      <c r="BM1952" s="40"/>
      <c r="BN1952" s="40"/>
      <c r="BO1952" s="40"/>
      <c r="BP1952" s="155"/>
      <c r="BQ1952" s="314"/>
      <c r="BR1952" s="314"/>
      <c r="BS1952" s="314"/>
      <c r="BT1952" s="314"/>
      <c r="BU1952" s="314"/>
      <c r="BV1952" s="314"/>
      <c r="BW1952" s="314"/>
      <c r="BX1952" s="155"/>
    </row>
    <row r="1953" spans="1:76" ht="15.75" customHeight="1">
      <c r="A1953" s="25"/>
      <c r="B1953" s="39"/>
      <c r="C1953" s="155"/>
      <c r="D1953" s="155"/>
      <c r="E1953" s="40"/>
      <c r="F1953" s="314"/>
      <c r="H1953" s="315"/>
      <c r="I1953" s="315"/>
      <c r="BA1953" s="30"/>
      <c r="BB1953" s="155"/>
      <c r="BC1953" s="314"/>
      <c r="BD1953" s="314"/>
      <c r="BE1953" s="314"/>
      <c r="BF1953" s="314"/>
      <c r="BG1953" s="314"/>
      <c r="BH1953" s="314"/>
      <c r="BI1953" s="314"/>
      <c r="BJ1953" s="314"/>
      <c r="BK1953" s="40"/>
      <c r="BL1953" s="40"/>
      <c r="BM1953" s="40"/>
      <c r="BN1953" s="40"/>
      <c r="BO1953" s="40"/>
      <c r="BP1953" s="155"/>
      <c r="BQ1953" s="314"/>
      <c r="BR1953" s="314"/>
      <c r="BS1953" s="314"/>
      <c r="BT1953" s="314"/>
      <c r="BU1953" s="314"/>
      <c r="BV1953" s="314"/>
      <c r="BW1953" s="314"/>
      <c r="BX1953" s="155"/>
    </row>
    <row r="1954" spans="1:76" ht="15.75" customHeight="1">
      <c r="A1954" s="25"/>
      <c r="B1954" s="39"/>
      <c r="C1954" s="155"/>
      <c r="D1954" s="155"/>
      <c r="E1954" s="40"/>
      <c r="F1954" s="314"/>
      <c r="H1954" s="315"/>
      <c r="I1954" s="315"/>
      <c r="BA1954" s="30"/>
      <c r="BB1954" s="155"/>
      <c r="BC1954" s="314"/>
      <c r="BD1954" s="314"/>
      <c r="BE1954" s="314"/>
      <c r="BF1954" s="314"/>
      <c r="BG1954" s="314"/>
      <c r="BH1954" s="314"/>
      <c r="BI1954" s="314"/>
      <c r="BJ1954" s="314"/>
      <c r="BK1954" s="40"/>
      <c r="BL1954" s="40"/>
      <c r="BM1954" s="40"/>
      <c r="BN1954" s="40"/>
      <c r="BO1954" s="40"/>
      <c r="BP1954" s="155"/>
      <c r="BQ1954" s="314"/>
      <c r="BR1954" s="314"/>
      <c r="BS1954" s="314"/>
      <c r="BT1954" s="314"/>
      <c r="BU1954" s="314"/>
      <c r="BV1954" s="314"/>
      <c r="BW1954" s="314"/>
      <c r="BX1954" s="155"/>
    </row>
    <row r="1955" spans="1:76" ht="15.75" customHeight="1">
      <c r="A1955" s="25"/>
      <c r="B1955" s="39"/>
      <c r="C1955" s="155"/>
      <c r="D1955" s="155"/>
      <c r="E1955" s="40"/>
      <c r="F1955" s="314"/>
      <c r="H1955" s="315"/>
      <c r="I1955" s="315"/>
      <c r="BA1955" s="30"/>
      <c r="BB1955" s="155"/>
      <c r="BC1955" s="314"/>
      <c r="BD1955" s="314"/>
      <c r="BE1955" s="314"/>
      <c r="BF1955" s="314"/>
      <c r="BG1955" s="314"/>
      <c r="BH1955" s="314"/>
      <c r="BI1955" s="314"/>
      <c r="BJ1955" s="314"/>
      <c r="BK1955" s="40"/>
      <c r="BL1955" s="40"/>
      <c r="BM1955" s="40"/>
      <c r="BN1955" s="40"/>
      <c r="BO1955" s="40"/>
      <c r="BP1955" s="155"/>
      <c r="BQ1955" s="314"/>
      <c r="BR1955" s="314"/>
      <c r="BS1955" s="314"/>
      <c r="BT1955" s="314"/>
      <c r="BU1955" s="314"/>
      <c r="BV1955" s="314"/>
      <c r="BW1955" s="314"/>
      <c r="BX1955" s="155"/>
    </row>
    <row r="1956" spans="1:76" ht="15.75" customHeight="1">
      <c r="A1956" s="25"/>
      <c r="B1956" s="39"/>
      <c r="C1956" s="155"/>
      <c r="D1956" s="155"/>
      <c r="E1956" s="40"/>
      <c r="F1956" s="314"/>
      <c r="H1956" s="315"/>
      <c r="I1956" s="315"/>
      <c r="BA1956" s="30"/>
      <c r="BB1956" s="155"/>
      <c r="BC1956" s="314"/>
      <c r="BD1956" s="314"/>
      <c r="BE1956" s="314"/>
      <c r="BF1956" s="314"/>
      <c r="BG1956" s="314"/>
      <c r="BH1956" s="314"/>
      <c r="BI1956" s="314"/>
      <c r="BJ1956" s="314"/>
      <c r="BK1956" s="40"/>
      <c r="BL1956" s="40"/>
      <c r="BM1956" s="40"/>
      <c r="BN1956" s="40"/>
      <c r="BO1956" s="40"/>
      <c r="BP1956" s="155"/>
      <c r="BQ1956" s="314"/>
      <c r="BR1956" s="314"/>
      <c r="BS1956" s="314"/>
      <c r="BT1956" s="314"/>
      <c r="BU1956" s="314"/>
      <c r="BV1956" s="314"/>
      <c r="BW1956" s="314"/>
      <c r="BX1956" s="155"/>
    </row>
    <row r="1957" spans="1:76" ht="15.75" customHeight="1">
      <c r="A1957" s="25"/>
      <c r="B1957" s="39"/>
      <c r="C1957" s="155"/>
      <c r="D1957" s="155"/>
      <c r="E1957" s="40"/>
      <c r="F1957" s="314"/>
      <c r="H1957" s="315"/>
      <c r="I1957" s="315"/>
      <c r="BA1957" s="30"/>
      <c r="BB1957" s="155"/>
      <c r="BC1957" s="314"/>
      <c r="BD1957" s="314"/>
      <c r="BE1957" s="314"/>
      <c r="BF1957" s="314"/>
      <c r="BG1957" s="314"/>
      <c r="BH1957" s="314"/>
      <c r="BI1957" s="314"/>
      <c r="BJ1957" s="314"/>
      <c r="BK1957" s="40"/>
      <c r="BL1957" s="40"/>
      <c r="BM1957" s="40"/>
      <c r="BN1957" s="40"/>
      <c r="BO1957" s="40"/>
      <c r="BP1957" s="155"/>
      <c r="BQ1957" s="314"/>
      <c r="BR1957" s="314"/>
      <c r="BS1957" s="314"/>
      <c r="BT1957" s="314"/>
      <c r="BU1957" s="314"/>
      <c r="BV1957" s="314"/>
      <c r="BW1957" s="314"/>
      <c r="BX1957" s="155"/>
    </row>
    <row r="1958" spans="1:76" ht="15.75" customHeight="1">
      <c r="A1958" s="25"/>
      <c r="B1958" s="39"/>
      <c r="C1958" s="155"/>
      <c r="D1958" s="155"/>
      <c r="E1958" s="40"/>
      <c r="F1958" s="314"/>
      <c r="H1958" s="315"/>
      <c r="I1958" s="315"/>
      <c r="BA1958" s="30"/>
      <c r="BB1958" s="155"/>
      <c r="BC1958" s="314"/>
      <c r="BD1958" s="314"/>
      <c r="BE1958" s="314"/>
      <c r="BF1958" s="314"/>
      <c r="BG1958" s="314"/>
      <c r="BH1958" s="314"/>
      <c r="BI1958" s="314"/>
      <c r="BJ1958" s="314"/>
      <c r="BK1958" s="40"/>
      <c r="BL1958" s="40"/>
      <c r="BM1958" s="40"/>
      <c r="BN1958" s="40"/>
      <c r="BO1958" s="40"/>
      <c r="BP1958" s="155"/>
      <c r="BQ1958" s="314"/>
      <c r="BR1958" s="314"/>
      <c r="BS1958" s="314"/>
      <c r="BT1958" s="314"/>
      <c r="BU1958" s="314"/>
      <c r="BV1958" s="314"/>
      <c r="BW1958" s="314"/>
      <c r="BX1958" s="155"/>
    </row>
    <row r="1959" spans="1:76" ht="15.75" customHeight="1">
      <c r="A1959" s="25"/>
      <c r="B1959" s="39"/>
      <c r="C1959" s="155"/>
      <c r="D1959" s="155"/>
      <c r="E1959" s="40"/>
      <c r="F1959" s="314"/>
      <c r="H1959" s="315"/>
      <c r="I1959" s="315"/>
      <c r="BA1959" s="30"/>
      <c r="BB1959" s="155"/>
      <c r="BC1959" s="314"/>
      <c r="BD1959" s="314"/>
      <c r="BE1959" s="314"/>
      <c r="BF1959" s="314"/>
      <c r="BG1959" s="314"/>
      <c r="BH1959" s="314"/>
      <c r="BI1959" s="314"/>
      <c r="BJ1959" s="314"/>
      <c r="BK1959" s="40"/>
      <c r="BL1959" s="40"/>
      <c r="BM1959" s="40"/>
      <c r="BN1959" s="40"/>
      <c r="BO1959" s="40"/>
      <c r="BP1959" s="155"/>
      <c r="BQ1959" s="314"/>
      <c r="BR1959" s="314"/>
      <c r="BS1959" s="314"/>
      <c r="BT1959" s="314"/>
      <c r="BU1959" s="314"/>
      <c r="BV1959" s="314"/>
      <c r="BW1959" s="314"/>
      <c r="BX1959" s="155"/>
    </row>
    <row r="1960" spans="1:76" ht="15.75" customHeight="1">
      <c r="A1960" s="25"/>
      <c r="B1960" s="39"/>
      <c r="C1960" s="155"/>
      <c r="D1960" s="155"/>
      <c r="E1960" s="40"/>
      <c r="F1960" s="314"/>
      <c r="H1960" s="315"/>
      <c r="I1960" s="315"/>
      <c r="BA1960" s="30"/>
      <c r="BB1960" s="155"/>
      <c r="BC1960" s="314"/>
      <c r="BD1960" s="314"/>
      <c r="BE1960" s="314"/>
      <c r="BF1960" s="314"/>
      <c r="BG1960" s="314"/>
      <c r="BH1960" s="314"/>
      <c r="BI1960" s="314"/>
      <c r="BJ1960" s="314"/>
      <c r="BK1960" s="40"/>
      <c r="BL1960" s="40"/>
      <c r="BM1960" s="40"/>
      <c r="BN1960" s="40"/>
      <c r="BO1960" s="40"/>
      <c r="BP1960" s="155"/>
      <c r="BQ1960" s="314"/>
      <c r="BR1960" s="314"/>
      <c r="BS1960" s="314"/>
      <c r="BT1960" s="314"/>
      <c r="BU1960" s="314"/>
      <c r="BV1960" s="314"/>
      <c r="BW1960" s="314"/>
      <c r="BX1960" s="155"/>
    </row>
    <row r="1961" spans="1:76" ht="15.75" customHeight="1">
      <c r="A1961" s="25"/>
      <c r="B1961" s="39"/>
      <c r="C1961" s="155"/>
      <c r="D1961" s="155"/>
      <c r="E1961" s="40"/>
      <c r="F1961" s="314"/>
      <c r="H1961" s="315"/>
      <c r="I1961" s="315"/>
      <c r="BA1961" s="30"/>
      <c r="BB1961" s="155"/>
      <c r="BC1961" s="314"/>
      <c r="BD1961" s="314"/>
      <c r="BE1961" s="314"/>
      <c r="BF1961" s="314"/>
      <c r="BG1961" s="314"/>
      <c r="BH1961" s="314"/>
      <c r="BI1961" s="314"/>
      <c r="BJ1961" s="314"/>
      <c r="BK1961" s="40"/>
      <c r="BL1961" s="40"/>
      <c r="BM1961" s="40"/>
      <c r="BN1961" s="40"/>
      <c r="BO1961" s="40"/>
      <c r="BP1961" s="155"/>
      <c r="BQ1961" s="314"/>
      <c r="BR1961" s="314"/>
      <c r="BS1961" s="314"/>
      <c r="BT1961" s="314"/>
      <c r="BU1961" s="314"/>
      <c r="BV1961" s="314"/>
      <c r="BW1961" s="314"/>
      <c r="BX1961" s="155"/>
    </row>
    <row r="1962" spans="1:76" ht="15.75" customHeight="1">
      <c r="A1962" s="25"/>
      <c r="B1962" s="39"/>
      <c r="C1962" s="155"/>
      <c r="D1962" s="155"/>
      <c r="E1962" s="40"/>
      <c r="F1962" s="314"/>
      <c r="H1962" s="315"/>
      <c r="I1962" s="315"/>
      <c r="BA1962" s="30"/>
      <c r="BB1962" s="155"/>
      <c r="BC1962" s="314"/>
      <c r="BD1962" s="314"/>
      <c r="BE1962" s="314"/>
      <c r="BF1962" s="314"/>
      <c r="BG1962" s="314"/>
      <c r="BH1962" s="314"/>
      <c r="BI1962" s="314"/>
      <c r="BJ1962" s="314"/>
      <c r="BK1962" s="40"/>
      <c r="BL1962" s="40"/>
      <c r="BM1962" s="40"/>
      <c r="BN1962" s="40"/>
      <c r="BO1962" s="40"/>
      <c r="BP1962" s="155"/>
      <c r="BQ1962" s="314"/>
      <c r="BR1962" s="314"/>
      <c r="BS1962" s="314"/>
      <c r="BT1962" s="314"/>
      <c r="BU1962" s="314"/>
      <c r="BV1962" s="314"/>
      <c r="BW1962" s="314"/>
      <c r="BX1962" s="155"/>
    </row>
    <row r="1963" spans="1:76" ht="15.75" customHeight="1">
      <c r="A1963" s="25"/>
      <c r="B1963" s="39"/>
      <c r="C1963" s="155"/>
      <c r="D1963" s="155"/>
      <c r="E1963" s="40"/>
      <c r="F1963" s="314"/>
      <c r="H1963" s="315"/>
      <c r="I1963" s="315"/>
      <c r="BA1963" s="30"/>
      <c r="BB1963" s="155"/>
      <c r="BC1963" s="314"/>
      <c r="BD1963" s="314"/>
      <c r="BE1963" s="314"/>
      <c r="BF1963" s="314"/>
      <c r="BG1963" s="314"/>
      <c r="BH1963" s="314"/>
      <c r="BI1963" s="314"/>
      <c r="BJ1963" s="314"/>
      <c r="BK1963" s="40"/>
      <c r="BL1963" s="40"/>
      <c r="BM1963" s="40"/>
      <c r="BN1963" s="40"/>
      <c r="BO1963" s="40"/>
      <c r="BP1963" s="155"/>
      <c r="BQ1963" s="314"/>
      <c r="BR1963" s="314"/>
      <c r="BS1963" s="314"/>
      <c r="BT1963" s="314"/>
      <c r="BU1963" s="314"/>
      <c r="BV1963" s="314"/>
      <c r="BW1963" s="314"/>
      <c r="BX1963" s="155"/>
    </row>
    <row r="1964" spans="1:76" ht="15.75" customHeight="1">
      <c r="A1964" s="25"/>
      <c r="B1964" s="39"/>
      <c r="C1964" s="155"/>
      <c r="D1964" s="155"/>
      <c r="E1964" s="40"/>
      <c r="F1964" s="314"/>
      <c r="H1964" s="315"/>
      <c r="I1964" s="315"/>
      <c r="BA1964" s="30"/>
      <c r="BB1964" s="155"/>
      <c r="BC1964" s="314"/>
      <c r="BD1964" s="314"/>
      <c r="BE1964" s="314"/>
      <c r="BF1964" s="314"/>
      <c r="BG1964" s="314"/>
      <c r="BH1964" s="314"/>
      <c r="BI1964" s="314"/>
      <c r="BJ1964" s="314"/>
      <c r="BK1964" s="40"/>
      <c r="BL1964" s="40"/>
      <c r="BM1964" s="40"/>
      <c r="BN1964" s="40"/>
      <c r="BO1964" s="40"/>
      <c r="BP1964" s="155"/>
      <c r="BQ1964" s="314"/>
      <c r="BR1964" s="314"/>
      <c r="BS1964" s="314"/>
      <c r="BT1964" s="314"/>
      <c r="BU1964" s="314"/>
      <c r="BV1964" s="314"/>
      <c r="BW1964" s="314"/>
      <c r="BX1964" s="155"/>
    </row>
    <row r="1965" spans="1:76" ht="15.75" customHeight="1">
      <c r="A1965" s="25"/>
      <c r="B1965" s="39"/>
      <c r="C1965" s="155"/>
      <c r="D1965" s="155"/>
      <c r="E1965" s="40"/>
      <c r="F1965" s="314"/>
      <c r="H1965" s="315"/>
      <c r="I1965" s="315"/>
      <c r="BA1965" s="30"/>
      <c r="BB1965" s="155"/>
      <c r="BC1965" s="314"/>
      <c r="BD1965" s="314"/>
      <c r="BE1965" s="314"/>
      <c r="BF1965" s="314"/>
      <c r="BG1965" s="314"/>
      <c r="BH1965" s="314"/>
      <c r="BI1965" s="314"/>
      <c r="BJ1965" s="314"/>
      <c r="BK1965" s="40"/>
      <c r="BL1965" s="40"/>
      <c r="BM1965" s="40"/>
      <c r="BN1965" s="40"/>
      <c r="BO1965" s="40"/>
      <c r="BP1965" s="155"/>
      <c r="BQ1965" s="314"/>
      <c r="BR1965" s="314"/>
      <c r="BS1965" s="314"/>
      <c r="BT1965" s="314"/>
      <c r="BU1965" s="314"/>
      <c r="BV1965" s="314"/>
      <c r="BW1965" s="314"/>
      <c r="BX1965" s="155"/>
    </row>
    <row r="1966" spans="1:76" ht="15.75" customHeight="1">
      <c r="A1966" s="25"/>
      <c r="B1966" s="39"/>
      <c r="C1966" s="155"/>
      <c r="D1966" s="155"/>
      <c r="E1966" s="40"/>
      <c r="F1966" s="314"/>
      <c r="H1966" s="315"/>
      <c r="I1966" s="315"/>
      <c r="BA1966" s="30"/>
      <c r="BB1966" s="155"/>
      <c r="BC1966" s="314"/>
      <c r="BD1966" s="314"/>
      <c r="BE1966" s="314"/>
      <c r="BF1966" s="314"/>
      <c r="BG1966" s="314"/>
      <c r="BH1966" s="314"/>
      <c r="BI1966" s="314"/>
      <c r="BJ1966" s="314"/>
      <c r="BK1966" s="40"/>
      <c r="BL1966" s="40"/>
      <c r="BM1966" s="40"/>
      <c r="BN1966" s="40"/>
      <c r="BO1966" s="40"/>
      <c r="BP1966" s="155"/>
      <c r="BQ1966" s="314"/>
      <c r="BR1966" s="314"/>
      <c r="BS1966" s="314"/>
      <c r="BT1966" s="314"/>
      <c r="BU1966" s="314"/>
      <c r="BV1966" s="314"/>
      <c r="BW1966" s="314"/>
      <c r="BX1966" s="155"/>
    </row>
    <row r="1967" spans="1:76" ht="15.75" customHeight="1">
      <c r="A1967" s="25"/>
      <c r="B1967" s="39"/>
      <c r="C1967" s="155"/>
      <c r="D1967" s="155"/>
      <c r="E1967" s="40"/>
      <c r="F1967" s="314"/>
      <c r="H1967" s="315"/>
      <c r="I1967" s="315"/>
      <c r="BA1967" s="30"/>
      <c r="BB1967" s="155"/>
      <c r="BC1967" s="314"/>
      <c r="BD1967" s="314"/>
      <c r="BE1967" s="314"/>
      <c r="BF1967" s="314"/>
      <c r="BG1967" s="314"/>
      <c r="BH1967" s="314"/>
      <c r="BI1967" s="314"/>
      <c r="BJ1967" s="314"/>
      <c r="BK1967" s="40"/>
      <c r="BL1967" s="40"/>
      <c r="BM1967" s="40"/>
      <c r="BN1967" s="40"/>
      <c r="BO1967" s="40"/>
      <c r="BP1967" s="155"/>
      <c r="BQ1967" s="314"/>
      <c r="BR1967" s="314"/>
      <c r="BS1967" s="314"/>
      <c r="BT1967" s="314"/>
      <c r="BU1967" s="314"/>
      <c r="BV1967" s="314"/>
      <c r="BW1967" s="314"/>
      <c r="BX1967" s="155"/>
    </row>
    <row r="1968" spans="1:76" ht="15.75" customHeight="1">
      <c r="A1968" s="25"/>
      <c r="B1968" s="39"/>
      <c r="C1968" s="155"/>
      <c r="D1968" s="155"/>
      <c r="E1968" s="40"/>
      <c r="F1968" s="314"/>
      <c r="H1968" s="315"/>
      <c r="I1968" s="315"/>
      <c r="BA1968" s="30"/>
      <c r="BB1968" s="155"/>
      <c r="BC1968" s="314"/>
      <c r="BD1968" s="314"/>
      <c r="BE1968" s="314"/>
      <c r="BF1968" s="314"/>
      <c r="BG1968" s="314"/>
      <c r="BH1968" s="314"/>
      <c r="BI1968" s="314"/>
      <c r="BJ1968" s="314"/>
      <c r="BK1968" s="40"/>
      <c r="BL1968" s="40"/>
      <c r="BM1968" s="40"/>
      <c r="BN1968" s="40"/>
      <c r="BO1968" s="40"/>
      <c r="BP1968" s="155"/>
      <c r="BQ1968" s="314"/>
      <c r="BR1968" s="314"/>
      <c r="BS1968" s="314"/>
      <c r="BT1968" s="314"/>
      <c r="BU1968" s="314"/>
      <c r="BV1968" s="314"/>
      <c r="BW1968" s="314"/>
      <c r="BX1968" s="155"/>
    </row>
    <row r="1969" spans="1:76" ht="15.75" customHeight="1">
      <c r="A1969" s="25"/>
      <c r="B1969" s="39"/>
      <c r="C1969" s="155"/>
      <c r="D1969" s="155"/>
      <c r="E1969" s="40"/>
      <c r="F1969" s="314"/>
      <c r="H1969" s="315"/>
      <c r="I1969" s="315"/>
      <c r="BA1969" s="30"/>
      <c r="BB1969" s="155"/>
      <c r="BC1969" s="314"/>
      <c r="BD1969" s="314"/>
      <c r="BE1969" s="314"/>
      <c r="BF1969" s="314"/>
      <c r="BG1969" s="314"/>
      <c r="BH1969" s="314"/>
      <c r="BI1969" s="314"/>
      <c r="BJ1969" s="314"/>
      <c r="BK1969" s="40"/>
      <c r="BL1969" s="40"/>
      <c r="BM1969" s="40"/>
      <c r="BN1969" s="40"/>
      <c r="BO1969" s="40"/>
      <c r="BP1969" s="155"/>
      <c r="BQ1969" s="314"/>
      <c r="BR1969" s="314"/>
      <c r="BS1969" s="314"/>
      <c r="BT1969" s="314"/>
      <c r="BU1969" s="314"/>
      <c r="BV1969" s="314"/>
      <c r="BW1969" s="314"/>
      <c r="BX1969" s="155"/>
    </row>
    <row r="1970" spans="1:76" ht="15.75" customHeight="1">
      <c r="A1970" s="25"/>
      <c r="B1970" s="39"/>
      <c r="C1970" s="155"/>
      <c r="D1970" s="155"/>
      <c r="E1970" s="40"/>
      <c r="F1970" s="314"/>
      <c r="H1970" s="315"/>
      <c r="I1970" s="315"/>
      <c r="BA1970" s="30"/>
      <c r="BB1970" s="155"/>
      <c r="BC1970" s="314"/>
      <c r="BD1970" s="314"/>
      <c r="BE1970" s="314"/>
      <c r="BF1970" s="314"/>
      <c r="BG1970" s="314"/>
      <c r="BH1970" s="314"/>
      <c r="BI1970" s="314"/>
      <c r="BJ1970" s="314"/>
      <c r="BK1970" s="40"/>
      <c r="BL1970" s="40"/>
      <c r="BM1970" s="40"/>
      <c r="BN1970" s="40"/>
      <c r="BO1970" s="40"/>
      <c r="BP1970" s="155"/>
      <c r="BQ1970" s="314"/>
      <c r="BR1970" s="314"/>
      <c r="BS1970" s="314"/>
      <c r="BT1970" s="314"/>
      <c r="BU1970" s="314"/>
      <c r="BV1970" s="314"/>
      <c r="BW1970" s="314"/>
      <c r="BX1970" s="155"/>
    </row>
    <row r="1971" spans="1:76" ht="15.75" customHeight="1">
      <c r="A1971" s="25"/>
      <c r="B1971" s="39"/>
      <c r="C1971" s="155"/>
      <c r="D1971" s="155"/>
      <c r="E1971" s="40"/>
      <c r="F1971" s="314"/>
      <c r="H1971" s="315"/>
      <c r="I1971" s="315"/>
      <c r="BA1971" s="30"/>
      <c r="BB1971" s="155"/>
      <c r="BC1971" s="314"/>
      <c r="BD1971" s="314"/>
      <c r="BE1971" s="314"/>
      <c r="BF1971" s="314"/>
      <c r="BG1971" s="314"/>
      <c r="BH1971" s="314"/>
      <c r="BI1971" s="314"/>
      <c r="BJ1971" s="314"/>
      <c r="BK1971" s="40"/>
      <c r="BL1971" s="40"/>
      <c r="BM1971" s="40"/>
      <c r="BN1971" s="40"/>
      <c r="BO1971" s="40"/>
      <c r="BP1971" s="155"/>
      <c r="BQ1971" s="314"/>
      <c r="BR1971" s="314"/>
      <c r="BS1971" s="314"/>
      <c r="BT1971" s="314"/>
      <c r="BU1971" s="314"/>
      <c r="BV1971" s="314"/>
      <c r="BW1971" s="314"/>
      <c r="BX1971" s="155"/>
    </row>
    <row r="1972" spans="1:76" ht="15.75" customHeight="1">
      <c r="A1972" s="25"/>
      <c r="B1972" s="39"/>
      <c r="C1972" s="155"/>
      <c r="D1972" s="155"/>
      <c r="E1972" s="40"/>
      <c r="F1972" s="314"/>
      <c r="H1972" s="315"/>
      <c r="I1972" s="315"/>
      <c r="BA1972" s="30"/>
      <c r="BB1972" s="155"/>
      <c r="BC1972" s="314"/>
      <c r="BD1972" s="314"/>
      <c r="BE1972" s="314"/>
      <c r="BF1972" s="314"/>
      <c r="BG1972" s="314"/>
      <c r="BH1972" s="314"/>
      <c r="BI1972" s="314"/>
      <c r="BJ1972" s="314"/>
      <c r="BK1972" s="40"/>
      <c r="BL1972" s="40"/>
      <c r="BM1972" s="40"/>
      <c r="BN1972" s="40"/>
      <c r="BO1972" s="40"/>
      <c r="BP1972" s="155"/>
      <c r="BQ1972" s="314"/>
      <c r="BR1972" s="314"/>
      <c r="BS1972" s="314"/>
      <c r="BT1972" s="314"/>
      <c r="BU1972" s="314"/>
      <c r="BV1972" s="314"/>
      <c r="BW1972" s="314"/>
      <c r="BX1972" s="155"/>
    </row>
    <row r="1973" spans="1:76" ht="15.75" customHeight="1">
      <c r="A1973" s="25"/>
      <c r="B1973" s="39"/>
      <c r="C1973" s="155"/>
      <c r="D1973" s="155"/>
      <c r="E1973" s="40"/>
      <c r="F1973" s="314"/>
      <c r="H1973" s="315"/>
      <c r="I1973" s="315"/>
      <c r="BA1973" s="30"/>
      <c r="BB1973" s="155"/>
      <c r="BC1973" s="314"/>
      <c r="BD1973" s="314"/>
      <c r="BE1973" s="314"/>
      <c r="BF1973" s="314"/>
      <c r="BG1973" s="314"/>
      <c r="BH1973" s="314"/>
      <c r="BI1973" s="314"/>
      <c r="BJ1973" s="314"/>
      <c r="BK1973" s="40"/>
      <c r="BL1973" s="40"/>
      <c r="BM1973" s="40"/>
      <c r="BN1973" s="40"/>
      <c r="BO1973" s="40"/>
      <c r="BP1973" s="155"/>
      <c r="BQ1973" s="314"/>
      <c r="BR1973" s="314"/>
      <c r="BS1973" s="314"/>
      <c r="BT1973" s="314"/>
      <c r="BU1973" s="314"/>
      <c r="BV1973" s="314"/>
      <c r="BW1973" s="314"/>
      <c r="BX1973" s="155"/>
    </row>
    <row r="1974" spans="1:76" ht="15.75" customHeight="1">
      <c r="A1974" s="25"/>
      <c r="B1974" s="39"/>
      <c r="C1974" s="155"/>
      <c r="D1974" s="155"/>
      <c r="E1974" s="40"/>
      <c r="F1974" s="314"/>
      <c r="H1974" s="315"/>
      <c r="I1974" s="315"/>
      <c r="BA1974" s="30"/>
      <c r="BB1974" s="155"/>
      <c r="BC1974" s="314"/>
      <c r="BD1974" s="314"/>
      <c r="BE1974" s="314"/>
      <c r="BF1974" s="314"/>
      <c r="BG1974" s="314"/>
      <c r="BH1974" s="314"/>
      <c r="BI1974" s="314"/>
      <c r="BJ1974" s="314"/>
      <c r="BK1974" s="40"/>
      <c r="BL1974" s="40"/>
      <c r="BM1974" s="40"/>
      <c r="BN1974" s="40"/>
      <c r="BO1974" s="40"/>
      <c r="BP1974" s="155"/>
      <c r="BQ1974" s="314"/>
      <c r="BR1974" s="314"/>
      <c r="BS1974" s="314"/>
      <c r="BT1974" s="314"/>
      <c r="BU1974" s="314"/>
      <c r="BV1974" s="314"/>
      <c r="BW1974" s="314"/>
      <c r="BX1974" s="155"/>
    </row>
    <row r="1975" spans="1:76" ht="15.75" customHeight="1">
      <c r="A1975" s="25"/>
      <c r="B1975" s="39"/>
      <c r="C1975" s="155"/>
      <c r="D1975" s="155"/>
      <c r="E1975" s="40"/>
      <c r="F1975" s="314"/>
      <c r="H1975" s="315"/>
      <c r="I1975" s="315"/>
      <c r="BA1975" s="30"/>
      <c r="BB1975" s="155"/>
      <c r="BC1975" s="314"/>
      <c r="BD1975" s="314"/>
      <c r="BE1975" s="314"/>
      <c r="BF1975" s="314"/>
      <c r="BG1975" s="314"/>
      <c r="BH1975" s="314"/>
      <c r="BI1975" s="314"/>
      <c r="BJ1975" s="314"/>
      <c r="BK1975" s="40"/>
      <c r="BL1975" s="40"/>
      <c r="BM1975" s="40"/>
      <c r="BN1975" s="40"/>
      <c r="BO1975" s="40"/>
      <c r="BP1975" s="155"/>
      <c r="BQ1975" s="314"/>
      <c r="BR1975" s="314"/>
      <c r="BS1975" s="314"/>
      <c r="BT1975" s="314"/>
      <c r="BU1975" s="314"/>
      <c r="BV1975" s="314"/>
      <c r="BW1975" s="314"/>
      <c r="BX1975" s="155"/>
    </row>
    <row r="1976" spans="1:76" ht="15.75" customHeight="1">
      <c r="A1976" s="25"/>
      <c r="B1976" s="39"/>
      <c r="C1976" s="155"/>
      <c r="D1976" s="155"/>
      <c r="E1976" s="40"/>
      <c r="F1976" s="314"/>
      <c r="H1976" s="315"/>
      <c r="I1976" s="315"/>
      <c r="BA1976" s="30"/>
      <c r="BB1976" s="155"/>
      <c r="BC1976" s="314"/>
      <c r="BD1976" s="314"/>
      <c r="BE1976" s="314"/>
      <c r="BF1976" s="314"/>
      <c r="BG1976" s="314"/>
      <c r="BH1976" s="314"/>
      <c r="BI1976" s="314"/>
      <c r="BJ1976" s="314"/>
      <c r="BK1976" s="40"/>
      <c r="BL1976" s="40"/>
      <c r="BM1976" s="40"/>
      <c r="BN1976" s="40"/>
      <c r="BO1976" s="40"/>
      <c r="BP1976" s="155"/>
      <c r="BQ1976" s="314"/>
      <c r="BR1976" s="314"/>
      <c r="BS1976" s="314"/>
      <c r="BT1976" s="314"/>
      <c r="BU1976" s="314"/>
      <c r="BV1976" s="314"/>
      <c r="BW1976" s="314"/>
      <c r="BX1976" s="155"/>
    </row>
    <row r="1977" spans="1:76" ht="15.75" customHeight="1">
      <c r="A1977" s="25"/>
      <c r="B1977" s="39"/>
      <c r="C1977" s="155"/>
      <c r="D1977" s="155"/>
      <c r="E1977" s="40"/>
      <c r="F1977" s="314"/>
      <c r="H1977" s="315"/>
      <c r="I1977" s="315"/>
      <c r="BA1977" s="30"/>
      <c r="BB1977" s="155"/>
      <c r="BC1977" s="314"/>
      <c r="BD1977" s="314"/>
      <c r="BE1977" s="314"/>
      <c r="BF1977" s="314"/>
      <c r="BG1977" s="314"/>
      <c r="BH1977" s="314"/>
      <c r="BI1977" s="314"/>
      <c r="BJ1977" s="314"/>
      <c r="BK1977" s="40"/>
      <c r="BL1977" s="40"/>
      <c r="BM1977" s="40"/>
      <c r="BN1977" s="40"/>
      <c r="BO1977" s="40"/>
      <c r="BP1977" s="155"/>
      <c r="BQ1977" s="314"/>
      <c r="BR1977" s="314"/>
      <c r="BS1977" s="314"/>
      <c r="BT1977" s="314"/>
      <c r="BU1977" s="314"/>
      <c r="BV1977" s="314"/>
      <c r="BW1977" s="314"/>
      <c r="BX1977" s="155"/>
    </row>
    <row r="1978" spans="1:76" ht="15.75" customHeight="1">
      <c r="A1978" s="25"/>
      <c r="B1978" s="39"/>
      <c r="C1978" s="155"/>
      <c r="D1978" s="155"/>
      <c r="E1978" s="40"/>
      <c r="F1978" s="314"/>
      <c r="H1978" s="315"/>
      <c r="I1978" s="315"/>
      <c r="BA1978" s="30"/>
      <c r="BB1978" s="155"/>
      <c r="BC1978" s="314"/>
      <c r="BD1978" s="314"/>
      <c r="BE1978" s="314"/>
      <c r="BF1978" s="314"/>
      <c r="BG1978" s="314"/>
      <c r="BH1978" s="314"/>
      <c r="BI1978" s="314"/>
      <c r="BJ1978" s="314"/>
      <c r="BK1978" s="40"/>
      <c r="BL1978" s="40"/>
      <c r="BM1978" s="40"/>
      <c r="BN1978" s="40"/>
      <c r="BO1978" s="40"/>
      <c r="BP1978" s="155"/>
      <c r="BQ1978" s="314"/>
      <c r="BR1978" s="314"/>
      <c r="BS1978" s="314"/>
      <c r="BT1978" s="314"/>
      <c r="BU1978" s="314"/>
      <c r="BV1978" s="314"/>
      <c r="BW1978" s="314"/>
      <c r="BX1978" s="155"/>
    </row>
    <row r="1979" spans="1:76" ht="15.75" customHeight="1">
      <c r="A1979" s="25"/>
      <c r="B1979" s="39"/>
      <c r="C1979" s="155"/>
      <c r="D1979" s="155"/>
      <c r="E1979" s="40"/>
      <c r="F1979" s="314"/>
      <c r="H1979" s="315"/>
      <c r="I1979" s="315"/>
      <c r="BA1979" s="30"/>
      <c r="BB1979" s="155"/>
      <c r="BC1979" s="314"/>
      <c r="BD1979" s="314"/>
      <c r="BE1979" s="314"/>
      <c r="BF1979" s="314"/>
      <c r="BG1979" s="314"/>
      <c r="BH1979" s="314"/>
      <c r="BI1979" s="314"/>
      <c r="BJ1979" s="314"/>
      <c r="BK1979" s="40"/>
      <c r="BL1979" s="40"/>
      <c r="BM1979" s="40"/>
      <c r="BN1979" s="40"/>
      <c r="BO1979" s="40"/>
      <c r="BP1979" s="155"/>
      <c r="BQ1979" s="314"/>
      <c r="BR1979" s="314"/>
      <c r="BS1979" s="314"/>
      <c r="BT1979" s="314"/>
      <c r="BU1979" s="314"/>
      <c r="BV1979" s="314"/>
      <c r="BW1979" s="314"/>
      <c r="BX1979" s="155"/>
    </row>
    <row r="1980" spans="1:76" ht="15.75" customHeight="1">
      <c r="A1980" s="25"/>
      <c r="B1980" s="39"/>
      <c r="C1980" s="155"/>
      <c r="D1980" s="155"/>
      <c r="E1980" s="40"/>
      <c r="F1980" s="314"/>
      <c r="H1980" s="315"/>
      <c r="I1980" s="315"/>
      <c r="BA1980" s="30"/>
      <c r="BB1980" s="155"/>
      <c r="BC1980" s="314"/>
      <c r="BD1980" s="314"/>
      <c r="BE1980" s="314"/>
      <c r="BF1980" s="314"/>
      <c r="BG1980" s="314"/>
      <c r="BH1980" s="314"/>
      <c r="BI1980" s="314"/>
      <c r="BJ1980" s="314"/>
      <c r="BK1980" s="40"/>
      <c r="BL1980" s="40"/>
      <c r="BM1980" s="40"/>
      <c r="BN1980" s="40"/>
      <c r="BO1980" s="40"/>
      <c r="BP1980" s="155"/>
      <c r="BQ1980" s="314"/>
      <c r="BR1980" s="314"/>
      <c r="BS1980" s="314"/>
      <c r="BT1980" s="314"/>
      <c r="BU1980" s="314"/>
      <c r="BV1980" s="314"/>
      <c r="BW1980" s="314"/>
      <c r="BX1980" s="155"/>
    </row>
    <row r="1981" spans="1:76" ht="15.75" customHeight="1">
      <c r="A1981" s="25"/>
      <c r="B1981" s="39"/>
      <c r="C1981" s="155"/>
      <c r="D1981" s="155"/>
      <c r="E1981" s="40"/>
      <c r="F1981" s="314"/>
      <c r="H1981" s="315"/>
      <c r="I1981" s="315"/>
      <c r="BA1981" s="30"/>
      <c r="BB1981" s="155"/>
      <c r="BC1981" s="314"/>
      <c r="BD1981" s="314"/>
      <c r="BE1981" s="314"/>
      <c r="BF1981" s="314"/>
      <c r="BG1981" s="314"/>
      <c r="BH1981" s="314"/>
      <c r="BI1981" s="314"/>
      <c r="BJ1981" s="314"/>
      <c r="BK1981" s="40"/>
      <c r="BL1981" s="40"/>
      <c r="BM1981" s="40"/>
      <c r="BN1981" s="40"/>
      <c r="BO1981" s="40"/>
      <c r="BP1981" s="155"/>
      <c r="BQ1981" s="314"/>
      <c r="BR1981" s="314"/>
      <c r="BS1981" s="314"/>
      <c r="BT1981" s="314"/>
      <c r="BU1981" s="314"/>
      <c r="BV1981" s="314"/>
      <c r="BW1981" s="314"/>
      <c r="BX1981" s="155"/>
    </row>
    <row r="1982" spans="1:76" ht="15.75" customHeight="1">
      <c r="A1982" s="25"/>
      <c r="B1982" s="39"/>
      <c r="C1982" s="155"/>
      <c r="D1982" s="155"/>
      <c r="E1982" s="40"/>
      <c r="F1982" s="314"/>
      <c r="H1982" s="315"/>
      <c r="I1982" s="315"/>
      <c r="BA1982" s="30"/>
      <c r="BB1982" s="155"/>
      <c r="BC1982" s="314"/>
      <c r="BD1982" s="314"/>
      <c r="BE1982" s="314"/>
      <c r="BF1982" s="314"/>
      <c r="BG1982" s="314"/>
      <c r="BH1982" s="314"/>
      <c r="BI1982" s="314"/>
      <c r="BJ1982" s="314"/>
      <c r="BK1982" s="40"/>
      <c r="BL1982" s="40"/>
      <c r="BM1982" s="40"/>
      <c r="BN1982" s="40"/>
      <c r="BO1982" s="40"/>
      <c r="BP1982" s="155"/>
      <c r="BQ1982" s="314"/>
      <c r="BR1982" s="314"/>
      <c r="BS1982" s="314"/>
      <c r="BT1982" s="314"/>
      <c r="BU1982" s="314"/>
      <c r="BV1982" s="314"/>
      <c r="BW1982" s="314"/>
      <c r="BX1982" s="155"/>
    </row>
    <row r="1983" spans="1:76" ht="15.75" customHeight="1">
      <c r="A1983" s="25"/>
      <c r="B1983" s="39"/>
      <c r="C1983" s="155"/>
      <c r="D1983" s="155"/>
      <c r="E1983" s="40"/>
      <c r="F1983" s="314"/>
      <c r="H1983" s="315"/>
      <c r="I1983" s="315"/>
      <c r="BA1983" s="30"/>
      <c r="BB1983" s="155"/>
      <c r="BC1983" s="314"/>
      <c r="BD1983" s="314"/>
      <c r="BE1983" s="314"/>
      <c r="BF1983" s="314"/>
      <c r="BG1983" s="314"/>
      <c r="BH1983" s="314"/>
      <c r="BI1983" s="314"/>
      <c r="BJ1983" s="314"/>
      <c r="BK1983" s="40"/>
      <c r="BL1983" s="40"/>
      <c r="BM1983" s="40"/>
      <c r="BN1983" s="40"/>
      <c r="BO1983" s="40"/>
      <c r="BP1983" s="155"/>
      <c r="BQ1983" s="314"/>
      <c r="BR1983" s="314"/>
      <c r="BS1983" s="314"/>
      <c r="BT1983" s="314"/>
      <c r="BU1983" s="314"/>
      <c r="BV1983" s="314"/>
      <c r="BW1983" s="314"/>
      <c r="BX1983" s="155"/>
    </row>
    <row r="1984" spans="1:76" ht="15.75" customHeight="1">
      <c r="A1984" s="25"/>
      <c r="B1984" s="39"/>
      <c r="C1984" s="155"/>
      <c r="D1984" s="155"/>
      <c r="E1984" s="40"/>
      <c r="F1984" s="314"/>
      <c r="H1984" s="315"/>
      <c r="I1984" s="315"/>
      <c r="BA1984" s="30"/>
      <c r="BB1984" s="155"/>
      <c r="BC1984" s="314"/>
      <c r="BD1984" s="314"/>
      <c r="BE1984" s="314"/>
      <c r="BF1984" s="314"/>
      <c r="BG1984" s="314"/>
      <c r="BH1984" s="314"/>
      <c r="BI1984" s="314"/>
      <c r="BJ1984" s="314"/>
      <c r="BK1984" s="40"/>
      <c r="BL1984" s="40"/>
      <c r="BM1984" s="40"/>
      <c r="BN1984" s="40"/>
      <c r="BO1984" s="40"/>
      <c r="BP1984" s="155"/>
      <c r="BQ1984" s="314"/>
      <c r="BR1984" s="314"/>
      <c r="BS1984" s="314"/>
      <c r="BT1984" s="314"/>
      <c r="BU1984" s="314"/>
      <c r="BV1984" s="314"/>
      <c r="BW1984" s="314"/>
      <c r="BX1984" s="155"/>
    </row>
    <row r="1985" spans="1:76" ht="15.75" customHeight="1">
      <c r="A1985" s="25"/>
      <c r="B1985" s="39"/>
      <c r="C1985" s="155"/>
      <c r="D1985" s="155"/>
      <c r="E1985" s="40"/>
      <c r="F1985" s="314"/>
      <c r="H1985" s="315"/>
      <c r="I1985" s="315"/>
      <c r="BA1985" s="30"/>
      <c r="BB1985" s="155"/>
      <c r="BC1985" s="314"/>
      <c r="BD1985" s="314"/>
      <c r="BE1985" s="314"/>
      <c r="BF1985" s="314"/>
      <c r="BG1985" s="314"/>
      <c r="BH1985" s="314"/>
      <c r="BI1985" s="314"/>
      <c r="BJ1985" s="314"/>
      <c r="BK1985" s="40"/>
      <c r="BL1985" s="40"/>
      <c r="BM1985" s="40"/>
      <c r="BN1985" s="40"/>
      <c r="BO1985" s="40"/>
      <c r="BP1985" s="155"/>
      <c r="BQ1985" s="314"/>
      <c r="BR1985" s="314"/>
      <c r="BS1985" s="314"/>
      <c r="BT1985" s="314"/>
      <c r="BU1985" s="314"/>
      <c r="BV1985" s="314"/>
      <c r="BW1985" s="314"/>
      <c r="BX1985" s="155"/>
    </row>
    <row r="1986" spans="1:76" ht="15.75" customHeight="1">
      <c r="A1986" s="25"/>
      <c r="B1986" s="39"/>
      <c r="C1986" s="155"/>
      <c r="D1986" s="155"/>
      <c r="E1986" s="40"/>
      <c r="F1986" s="314"/>
      <c r="H1986" s="315"/>
      <c r="I1986" s="315"/>
      <c r="BA1986" s="30"/>
      <c r="BB1986" s="155"/>
      <c r="BC1986" s="314"/>
      <c r="BD1986" s="314"/>
      <c r="BE1986" s="314"/>
      <c r="BF1986" s="314"/>
      <c r="BG1986" s="314"/>
      <c r="BH1986" s="314"/>
      <c r="BI1986" s="314"/>
      <c r="BJ1986" s="314"/>
      <c r="BK1986" s="40"/>
      <c r="BL1986" s="40"/>
      <c r="BM1986" s="40"/>
      <c r="BN1986" s="40"/>
      <c r="BO1986" s="40"/>
      <c r="BP1986" s="155"/>
      <c r="BQ1986" s="314"/>
      <c r="BR1986" s="314"/>
      <c r="BS1986" s="314"/>
      <c r="BT1986" s="314"/>
      <c r="BU1986" s="314"/>
      <c r="BV1986" s="314"/>
      <c r="BW1986" s="314"/>
      <c r="BX1986" s="155"/>
    </row>
    <row r="1987" spans="1:76" ht="15.75" customHeight="1">
      <c r="A1987" s="25"/>
      <c r="B1987" s="39"/>
      <c r="C1987" s="155"/>
      <c r="D1987" s="155"/>
      <c r="E1987" s="40"/>
      <c r="F1987" s="314"/>
      <c r="H1987" s="315"/>
      <c r="I1987" s="315"/>
      <c r="BA1987" s="30"/>
      <c r="BB1987" s="155"/>
      <c r="BC1987" s="314"/>
      <c r="BD1987" s="314"/>
      <c r="BE1987" s="314"/>
      <c r="BF1987" s="314"/>
      <c r="BG1987" s="314"/>
      <c r="BH1987" s="314"/>
      <c r="BI1987" s="314"/>
      <c r="BJ1987" s="314"/>
      <c r="BK1987" s="40"/>
      <c r="BL1987" s="40"/>
      <c r="BM1987" s="40"/>
      <c r="BN1987" s="40"/>
      <c r="BO1987" s="40"/>
      <c r="BP1987" s="155"/>
      <c r="BQ1987" s="314"/>
      <c r="BR1987" s="314"/>
      <c r="BS1987" s="314"/>
      <c r="BT1987" s="314"/>
      <c r="BU1987" s="314"/>
      <c r="BV1987" s="314"/>
      <c r="BW1987" s="314"/>
      <c r="BX1987" s="155"/>
    </row>
    <row r="1988" spans="1:76" ht="15.75" customHeight="1">
      <c r="A1988" s="25"/>
      <c r="B1988" s="39"/>
      <c r="C1988" s="155"/>
      <c r="D1988" s="155"/>
      <c r="E1988" s="40"/>
      <c r="F1988" s="314"/>
      <c r="H1988" s="315"/>
      <c r="I1988" s="315"/>
      <c r="BA1988" s="30"/>
      <c r="BB1988" s="155"/>
      <c r="BC1988" s="314"/>
      <c r="BD1988" s="314"/>
      <c r="BE1988" s="314"/>
      <c r="BF1988" s="314"/>
      <c r="BG1988" s="314"/>
      <c r="BH1988" s="314"/>
      <c r="BI1988" s="314"/>
      <c r="BJ1988" s="314"/>
      <c r="BK1988" s="40"/>
      <c r="BL1988" s="40"/>
      <c r="BM1988" s="40"/>
      <c r="BN1988" s="40"/>
      <c r="BO1988" s="40"/>
      <c r="BP1988" s="155"/>
      <c r="BQ1988" s="314"/>
      <c r="BR1988" s="314"/>
      <c r="BS1988" s="314"/>
      <c r="BT1988" s="314"/>
      <c r="BU1988" s="314"/>
      <c r="BV1988" s="314"/>
      <c r="BW1988" s="314"/>
      <c r="BX1988" s="155"/>
    </row>
    <row r="1989" spans="1:76" ht="15.75" customHeight="1">
      <c r="A1989" s="25"/>
      <c r="B1989" s="39"/>
      <c r="C1989" s="155"/>
      <c r="D1989" s="155"/>
      <c r="E1989" s="40"/>
      <c r="F1989" s="314"/>
      <c r="H1989" s="315"/>
      <c r="I1989" s="315"/>
      <c r="BA1989" s="30"/>
      <c r="BB1989" s="155"/>
      <c r="BC1989" s="314"/>
      <c r="BD1989" s="314"/>
      <c r="BE1989" s="314"/>
      <c r="BF1989" s="314"/>
      <c r="BG1989" s="314"/>
      <c r="BH1989" s="314"/>
      <c r="BI1989" s="314"/>
      <c r="BJ1989" s="314"/>
      <c r="BK1989" s="40"/>
      <c r="BL1989" s="40"/>
      <c r="BM1989" s="40"/>
      <c r="BN1989" s="40"/>
      <c r="BO1989" s="40"/>
      <c r="BP1989" s="155"/>
      <c r="BQ1989" s="314"/>
      <c r="BR1989" s="314"/>
      <c r="BS1989" s="314"/>
      <c r="BT1989" s="314"/>
      <c r="BU1989" s="314"/>
      <c r="BV1989" s="314"/>
      <c r="BW1989" s="314"/>
      <c r="BX1989" s="155"/>
    </row>
    <row r="1990" spans="1:76" ht="15.75" customHeight="1">
      <c r="A1990" s="25"/>
      <c r="B1990" s="39"/>
      <c r="C1990" s="155"/>
      <c r="D1990" s="155"/>
      <c r="E1990" s="40"/>
      <c r="F1990" s="314"/>
      <c r="H1990" s="315"/>
      <c r="I1990" s="315"/>
      <c r="BA1990" s="30"/>
      <c r="BB1990" s="155"/>
      <c r="BC1990" s="322"/>
      <c r="BD1990" s="322"/>
      <c r="BE1990" s="322"/>
      <c r="BF1990" s="322"/>
      <c r="BG1990" s="322"/>
      <c r="BH1990" s="322"/>
      <c r="BI1990" s="322"/>
      <c r="BJ1990" s="322"/>
      <c r="BK1990" s="341"/>
      <c r="BL1990" s="40"/>
      <c r="BM1990" s="40"/>
      <c r="BN1990" s="40"/>
      <c r="BO1990" s="40"/>
      <c r="BP1990" s="155"/>
      <c r="BQ1990" s="314"/>
      <c r="BR1990" s="314"/>
      <c r="BS1990" s="314"/>
      <c r="BT1990" s="314"/>
      <c r="BU1990" s="314"/>
      <c r="BV1990" s="314"/>
      <c r="BW1990" s="314"/>
      <c r="BX1990" s="155"/>
    </row>
    <row r="1991" spans="1:76" ht="15.75" customHeight="1">
      <c r="A1991" s="25"/>
      <c r="B1991" s="39"/>
      <c r="C1991" s="155"/>
      <c r="D1991" s="155"/>
      <c r="E1991" s="40"/>
      <c r="F1991" s="314"/>
      <c r="H1991" s="315"/>
      <c r="I1991" s="315"/>
      <c r="BA1991" s="30"/>
      <c r="BB1991" s="155"/>
      <c r="BC1991" s="314"/>
      <c r="BD1991" s="314"/>
      <c r="BE1991" s="314"/>
      <c r="BF1991" s="314"/>
      <c r="BG1991" s="314"/>
      <c r="BH1991" s="314"/>
      <c r="BI1991" s="314"/>
      <c r="BJ1991" s="314"/>
      <c r="BK1991" s="40"/>
      <c r="BL1991" s="40"/>
      <c r="BM1991" s="40"/>
      <c r="BN1991" s="40"/>
      <c r="BO1991" s="40"/>
      <c r="BP1991" s="155"/>
      <c r="BQ1991" s="314"/>
      <c r="BR1991" s="314"/>
      <c r="BS1991" s="314"/>
      <c r="BT1991" s="314"/>
      <c r="BU1991" s="314"/>
      <c r="BV1991" s="314"/>
      <c r="BW1991" s="314"/>
      <c r="BX1991" s="155"/>
    </row>
    <row r="1992" spans="1:76" ht="15.75" customHeight="1">
      <c r="A1992" s="25"/>
      <c r="B1992" s="39"/>
      <c r="C1992" s="155"/>
      <c r="D1992" s="155"/>
      <c r="E1992" s="40"/>
      <c r="F1992" s="314"/>
      <c r="H1992" s="315"/>
      <c r="I1992" s="315"/>
      <c r="BA1992" s="30"/>
      <c r="BB1992" s="155"/>
      <c r="BC1992" s="314"/>
      <c r="BD1992" s="314"/>
      <c r="BE1992" s="314"/>
      <c r="BF1992" s="314"/>
      <c r="BG1992" s="314"/>
      <c r="BH1992" s="314"/>
      <c r="BI1992" s="314"/>
      <c r="BJ1992" s="314"/>
      <c r="BK1992" s="40"/>
      <c r="BL1992" s="40"/>
      <c r="BM1992" s="40"/>
      <c r="BN1992" s="40"/>
      <c r="BO1992" s="40"/>
      <c r="BP1992" s="155"/>
      <c r="BQ1992" s="314"/>
      <c r="BR1992" s="314"/>
      <c r="BS1992" s="314"/>
      <c r="BT1992" s="314"/>
      <c r="BU1992" s="314"/>
      <c r="BV1992" s="314"/>
      <c r="BW1992" s="314"/>
      <c r="BX1992" s="155"/>
    </row>
    <row r="1993" spans="1:76" ht="15.75" customHeight="1">
      <c r="A1993" s="25"/>
      <c r="B1993" s="39"/>
      <c r="C1993" s="155"/>
      <c r="D1993" s="155"/>
      <c r="E1993" s="40"/>
      <c r="F1993" s="314"/>
      <c r="H1993" s="315"/>
      <c r="I1993" s="315"/>
      <c r="BA1993" s="30"/>
      <c r="BB1993" s="155"/>
      <c r="BC1993" s="314"/>
      <c r="BD1993" s="314"/>
      <c r="BE1993" s="314"/>
      <c r="BF1993" s="314"/>
      <c r="BG1993" s="314"/>
      <c r="BH1993" s="314"/>
      <c r="BI1993" s="314"/>
      <c r="BJ1993" s="314"/>
      <c r="BK1993" s="40"/>
      <c r="BL1993" s="40"/>
      <c r="BM1993" s="40"/>
      <c r="BN1993" s="40"/>
      <c r="BO1993" s="40"/>
      <c r="BP1993" s="155"/>
      <c r="BQ1993" s="314"/>
      <c r="BR1993" s="314"/>
      <c r="BS1993" s="314"/>
      <c r="BT1993" s="314"/>
      <c r="BU1993" s="314"/>
      <c r="BV1993" s="314"/>
      <c r="BW1993" s="314"/>
      <c r="BX1993" s="155"/>
    </row>
    <row r="1994" spans="1:76" ht="15.75" customHeight="1">
      <c r="A1994" s="25"/>
      <c r="B1994" s="39"/>
      <c r="C1994" s="155"/>
      <c r="D1994" s="155"/>
      <c r="E1994" s="40"/>
      <c r="F1994" s="314"/>
      <c r="H1994" s="315"/>
      <c r="I1994" s="315"/>
      <c r="BA1994" s="30"/>
      <c r="BB1994" s="155"/>
      <c r="BC1994" s="314"/>
      <c r="BD1994" s="314"/>
      <c r="BE1994" s="314"/>
      <c r="BF1994" s="314"/>
      <c r="BG1994" s="314"/>
      <c r="BH1994" s="314"/>
      <c r="BI1994" s="314"/>
      <c r="BJ1994" s="314"/>
      <c r="BK1994" s="40"/>
      <c r="BL1994" s="40"/>
      <c r="BM1994" s="40"/>
      <c r="BN1994" s="40"/>
      <c r="BO1994" s="40"/>
      <c r="BP1994" s="155"/>
      <c r="BQ1994" s="314"/>
      <c r="BR1994" s="314"/>
      <c r="BS1994" s="314"/>
      <c r="BT1994" s="314"/>
      <c r="BU1994" s="314"/>
      <c r="BV1994" s="314"/>
      <c r="BW1994" s="314"/>
      <c r="BX1994" s="155"/>
    </row>
    <row r="1995" spans="1:76" ht="15.75" customHeight="1">
      <c r="A1995" s="25"/>
      <c r="B1995" s="39"/>
      <c r="C1995" s="155"/>
      <c r="D1995" s="155"/>
      <c r="E1995" s="40"/>
      <c r="F1995" s="314"/>
      <c r="H1995" s="315"/>
      <c r="I1995" s="315"/>
      <c r="BA1995" s="30"/>
      <c r="BB1995" s="155"/>
      <c r="BC1995" s="314"/>
      <c r="BD1995" s="314"/>
      <c r="BE1995" s="314"/>
      <c r="BF1995" s="314"/>
      <c r="BG1995" s="314"/>
      <c r="BH1995" s="314"/>
      <c r="BI1995" s="314"/>
      <c r="BJ1995" s="314"/>
      <c r="BK1995" s="40"/>
      <c r="BL1995" s="40"/>
      <c r="BM1995" s="40"/>
      <c r="BN1995" s="40"/>
      <c r="BO1995" s="40"/>
      <c r="BP1995" s="155"/>
      <c r="BQ1995" s="314"/>
      <c r="BR1995" s="314"/>
      <c r="BS1995" s="314"/>
      <c r="BT1995" s="314"/>
      <c r="BU1995" s="314"/>
      <c r="BV1995" s="314"/>
      <c r="BW1995" s="314"/>
      <c r="BX1995" s="155"/>
    </row>
    <row r="1996" spans="1:76" ht="15.75" customHeight="1">
      <c r="A1996" s="25"/>
      <c r="B1996" s="39"/>
      <c r="C1996" s="155"/>
      <c r="D1996" s="155"/>
      <c r="E1996" s="40"/>
      <c r="F1996" s="314"/>
      <c r="H1996" s="315"/>
      <c r="I1996" s="315"/>
      <c r="BA1996" s="30"/>
      <c r="BB1996" s="155"/>
      <c r="BC1996" s="314"/>
      <c r="BD1996" s="314"/>
      <c r="BE1996" s="314"/>
      <c r="BF1996" s="314"/>
      <c r="BG1996" s="314"/>
      <c r="BH1996" s="314"/>
      <c r="BI1996" s="314"/>
      <c r="BJ1996" s="314"/>
      <c r="BK1996" s="40"/>
      <c r="BL1996" s="40"/>
      <c r="BM1996" s="40"/>
      <c r="BN1996" s="40"/>
      <c r="BO1996" s="40"/>
      <c r="BP1996" s="155"/>
      <c r="BQ1996" s="314"/>
      <c r="BR1996" s="314"/>
      <c r="BS1996" s="314"/>
      <c r="BT1996" s="314"/>
      <c r="BU1996" s="314"/>
      <c r="BV1996" s="314"/>
      <c r="BW1996" s="314"/>
      <c r="BX1996" s="155"/>
    </row>
    <row r="1997" spans="1:76" ht="15.75" customHeight="1">
      <c r="A1997" s="25"/>
      <c r="B1997" s="39"/>
      <c r="C1997" s="155"/>
      <c r="D1997" s="155"/>
      <c r="E1997" s="40"/>
      <c r="F1997" s="314"/>
      <c r="H1997" s="315"/>
      <c r="I1997" s="315"/>
      <c r="BA1997" s="30"/>
      <c r="BB1997" s="155"/>
      <c r="BC1997" s="314"/>
      <c r="BD1997" s="314"/>
      <c r="BE1997" s="314"/>
      <c r="BF1997" s="314"/>
      <c r="BG1997" s="314"/>
      <c r="BH1997" s="314"/>
      <c r="BI1997" s="314"/>
      <c r="BJ1997" s="314"/>
      <c r="BK1997" s="40"/>
      <c r="BL1997" s="40"/>
      <c r="BM1997" s="40"/>
      <c r="BN1997" s="40"/>
      <c r="BO1997" s="40"/>
      <c r="BP1997" s="155"/>
      <c r="BQ1997" s="314"/>
      <c r="BR1997" s="314"/>
      <c r="BS1997" s="314"/>
      <c r="BT1997" s="314"/>
      <c r="BU1997" s="314"/>
      <c r="BV1997" s="314"/>
      <c r="BW1997" s="314"/>
      <c r="BX1997" s="155"/>
    </row>
    <row r="1998" spans="1:76" ht="15.75" customHeight="1">
      <c r="A1998" s="25"/>
      <c r="B1998" s="39"/>
      <c r="C1998" s="155"/>
      <c r="D1998" s="155"/>
      <c r="E1998" s="40"/>
      <c r="F1998" s="314"/>
      <c r="H1998" s="315"/>
      <c r="I1998" s="315"/>
      <c r="BA1998" s="30"/>
      <c r="BB1998" s="155"/>
      <c r="BC1998" s="314"/>
      <c r="BD1998" s="314"/>
      <c r="BE1998" s="314"/>
      <c r="BF1998" s="314"/>
      <c r="BG1998" s="314"/>
      <c r="BH1998" s="314"/>
      <c r="BI1998" s="314"/>
      <c r="BJ1998" s="314"/>
      <c r="BK1998" s="40"/>
      <c r="BL1998" s="40"/>
      <c r="BM1998" s="40"/>
      <c r="BN1998" s="40"/>
      <c r="BO1998" s="40"/>
      <c r="BP1998" s="155"/>
      <c r="BQ1998" s="314"/>
      <c r="BR1998" s="314"/>
      <c r="BS1998" s="314"/>
      <c r="BT1998" s="314"/>
      <c r="BU1998" s="314"/>
      <c r="BV1998" s="314"/>
      <c r="BW1998" s="314"/>
      <c r="BX1998" s="155"/>
    </row>
    <row r="1999" spans="1:76" ht="15.75" customHeight="1">
      <c r="A1999" s="25"/>
      <c r="B1999" s="39"/>
      <c r="C1999" s="155"/>
      <c r="D1999" s="155"/>
      <c r="E1999" s="40"/>
      <c r="F1999" s="314"/>
      <c r="H1999" s="315"/>
      <c r="I1999" s="315"/>
      <c r="BA1999" s="30"/>
      <c r="BB1999" s="155"/>
      <c r="BC1999" s="314"/>
      <c r="BD1999" s="314"/>
      <c r="BE1999" s="314"/>
      <c r="BF1999" s="314"/>
      <c r="BG1999" s="314"/>
      <c r="BH1999" s="314"/>
      <c r="BI1999" s="314"/>
      <c r="BJ1999" s="314"/>
      <c r="BK1999" s="40"/>
      <c r="BL1999" s="40"/>
      <c r="BM1999" s="40"/>
      <c r="BN1999" s="40"/>
      <c r="BO1999" s="40"/>
      <c r="BP1999" s="155"/>
      <c r="BQ1999" s="314"/>
      <c r="BR1999" s="314"/>
      <c r="BS1999" s="314"/>
      <c r="BT1999" s="314"/>
      <c r="BU1999" s="314"/>
      <c r="BV1999" s="314"/>
      <c r="BW1999" s="314"/>
      <c r="BX1999" s="155"/>
    </row>
    <row r="2000" spans="1:76" ht="15.75" customHeight="1">
      <c r="A2000" s="25"/>
      <c r="B2000" s="39"/>
      <c r="C2000" s="155"/>
      <c r="D2000" s="155"/>
      <c r="E2000" s="40"/>
      <c r="F2000" s="314"/>
      <c r="H2000" s="315"/>
      <c r="I2000" s="315"/>
      <c r="BA2000" s="30"/>
      <c r="BB2000" s="155"/>
      <c r="BC2000" s="314"/>
      <c r="BD2000" s="314"/>
      <c r="BE2000" s="314"/>
      <c r="BF2000" s="314"/>
      <c r="BG2000" s="314"/>
      <c r="BH2000" s="314"/>
      <c r="BI2000" s="314"/>
      <c r="BJ2000" s="314"/>
      <c r="BK2000" s="40"/>
      <c r="BL2000" s="40"/>
      <c r="BM2000" s="40"/>
      <c r="BN2000" s="40"/>
      <c r="BO2000" s="40"/>
      <c r="BP2000" s="155"/>
      <c r="BQ2000" s="314"/>
      <c r="BR2000" s="314"/>
      <c r="BS2000" s="314"/>
      <c r="BT2000" s="314"/>
      <c r="BU2000" s="314"/>
      <c r="BV2000" s="314"/>
      <c r="BW2000" s="314"/>
      <c r="BX2000" s="155"/>
    </row>
    <row r="2001" spans="1:76" ht="15.75" customHeight="1">
      <c r="A2001" s="25"/>
      <c r="B2001" s="39"/>
      <c r="C2001" s="155"/>
      <c r="D2001" s="155"/>
      <c r="E2001" s="40"/>
      <c r="F2001" s="314"/>
      <c r="H2001" s="315"/>
      <c r="I2001" s="315"/>
      <c r="BA2001" s="30"/>
      <c r="BB2001" s="155"/>
      <c r="BC2001" s="314"/>
      <c r="BD2001" s="314"/>
      <c r="BE2001" s="314"/>
      <c r="BF2001" s="314"/>
      <c r="BG2001" s="314"/>
      <c r="BH2001" s="314"/>
      <c r="BI2001" s="314"/>
      <c r="BJ2001" s="314"/>
      <c r="BK2001" s="40"/>
      <c r="BL2001" s="40"/>
      <c r="BM2001" s="40"/>
      <c r="BN2001" s="40"/>
      <c r="BO2001" s="40"/>
      <c r="BP2001" s="155"/>
      <c r="BQ2001" s="314"/>
      <c r="BR2001" s="314"/>
      <c r="BS2001" s="314"/>
      <c r="BT2001" s="314"/>
      <c r="BU2001" s="314"/>
      <c r="BV2001" s="314"/>
      <c r="BW2001" s="314"/>
      <c r="BX2001" s="155"/>
    </row>
    <row r="2002" spans="1:76" ht="15.75" customHeight="1">
      <c r="A2002" s="25"/>
      <c r="B2002" s="39"/>
      <c r="C2002" s="155"/>
      <c r="D2002" s="155"/>
      <c r="E2002" s="40"/>
      <c r="F2002" s="314"/>
      <c r="H2002" s="315"/>
      <c r="I2002" s="315"/>
      <c r="BA2002" s="30"/>
      <c r="BB2002" s="155"/>
      <c r="BC2002" s="314"/>
      <c r="BD2002" s="314"/>
      <c r="BE2002" s="314"/>
      <c r="BF2002" s="314"/>
      <c r="BG2002" s="314"/>
      <c r="BH2002" s="314"/>
      <c r="BI2002" s="314"/>
      <c r="BJ2002" s="314"/>
      <c r="BK2002" s="40"/>
      <c r="BL2002" s="40"/>
      <c r="BM2002" s="40"/>
      <c r="BN2002" s="40"/>
      <c r="BO2002" s="40"/>
      <c r="BP2002" s="155"/>
      <c r="BQ2002" s="314"/>
      <c r="BR2002" s="314"/>
      <c r="BS2002" s="314"/>
      <c r="BT2002" s="314"/>
      <c r="BU2002" s="314"/>
      <c r="BV2002" s="314"/>
      <c r="BW2002" s="314"/>
      <c r="BX2002" s="155"/>
    </row>
    <row r="2003" spans="1:76" ht="15.75" customHeight="1">
      <c r="A2003" s="25"/>
      <c r="B2003" s="39"/>
      <c r="C2003" s="155"/>
      <c r="D2003" s="155"/>
      <c r="E2003" s="40"/>
      <c r="F2003" s="314"/>
      <c r="H2003" s="315"/>
      <c r="I2003" s="315"/>
      <c r="BA2003" s="30"/>
      <c r="BB2003" s="155"/>
      <c r="BC2003" s="314"/>
      <c r="BD2003" s="314"/>
      <c r="BE2003" s="314"/>
      <c r="BF2003" s="314"/>
      <c r="BG2003" s="314"/>
      <c r="BH2003" s="314"/>
      <c r="BI2003" s="314"/>
      <c r="BJ2003" s="314"/>
      <c r="BK2003" s="40"/>
      <c r="BL2003" s="40"/>
      <c r="BM2003" s="40"/>
      <c r="BN2003" s="40"/>
      <c r="BO2003" s="40"/>
      <c r="BP2003" s="155"/>
      <c r="BQ2003" s="314"/>
      <c r="BR2003" s="314"/>
      <c r="BS2003" s="314"/>
      <c r="BT2003" s="314"/>
      <c r="BU2003" s="314"/>
      <c r="BV2003" s="314"/>
      <c r="BW2003" s="314"/>
      <c r="BX2003" s="155"/>
    </row>
    <row r="2004" spans="1:76" ht="15.75" customHeight="1">
      <c r="A2004" s="25"/>
      <c r="B2004" s="39"/>
      <c r="C2004" s="155"/>
      <c r="D2004" s="155"/>
      <c r="E2004" s="40"/>
      <c r="F2004" s="314"/>
      <c r="H2004" s="315"/>
      <c r="I2004" s="315"/>
      <c r="BA2004" s="30"/>
      <c r="BB2004" s="155"/>
      <c r="BC2004" s="314"/>
      <c r="BD2004" s="314"/>
      <c r="BE2004" s="314"/>
      <c r="BF2004" s="314"/>
      <c r="BG2004" s="314"/>
      <c r="BH2004" s="314"/>
      <c r="BI2004" s="314"/>
      <c r="BJ2004" s="314"/>
      <c r="BK2004" s="40"/>
      <c r="BL2004" s="40"/>
      <c r="BM2004" s="40"/>
      <c r="BN2004" s="40"/>
      <c r="BO2004" s="40"/>
      <c r="BP2004" s="155"/>
      <c r="BQ2004" s="314"/>
      <c r="BR2004" s="314"/>
      <c r="BS2004" s="314"/>
      <c r="BT2004" s="314"/>
      <c r="BU2004" s="314"/>
      <c r="BV2004" s="314"/>
      <c r="BW2004" s="314"/>
      <c r="BX2004" s="155"/>
    </row>
    <row r="2005" spans="1:76" ht="15.75" customHeight="1">
      <c r="A2005" s="25"/>
      <c r="B2005" s="39"/>
      <c r="C2005" s="155"/>
      <c r="D2005" s="155"/>
      <c r="E2005" s="40"/>
      <c r="F2005" s="314"/>
      <c r="H2005" s="315"/>
      <c r="I2005" s="315"/>
      <c r="BA2005" s="30"/>
      <c r="BB2005" s="155"/>
      <c r="BC2005" s="314"/>
      <c r="BD2005" s="314"/>
      <c r="BE2005" s="314"/>
      <c r="BF2005" s="314"/>
      <c r="BG2005" s="314"/>
      <c r="BH2005" s="314"/>
      <c r="BI2005" s="314"/>
      <c r="BJ2005" s="314"/>
      <c r="BK2005" s="40"/>
      <c r="BL2005" s="40"/>
      <c r="BM2005" s="40"/>
      <c r="BN2005" s="40"/>
      <c r="BO2005" s="40"/>
      <c r="BP2005" s="155"/>
      <c r="BQ2005" s="314"/>
      <c r="BR2005" s="314"/>
      <c r="BS2005" s="314"/>
      <c r="BT2005" s="314"/>
      <c r="BU2005" s="314"/>
      <c r="BV2005" s="314"/>
      <c r="BW2005" s="314"/>
      <c r="BX2005" s="155"/>
    </row>
    <row r="2006" spans="1:76" ht="15.75" customHeight="1">
      <c r="A2006" s="25"/>
      <c r="B2006" s="39"/>
      <c r="C2006" s="155"/>
      <c r="D2006" s="155"/>
      <c r="E2006" s="40"/>
      <c r="F2006" s="314"/>
      <c r="H2006" s="315"/>
      <c r="I2006" s="315"/>
      <c r="BA2006" s="30"/>
      <c r="BB2006" s="155"/>
      <c r="BC2006" s="314"/>
      <c r="BD2006" s="314"/>
      <c r="BE2006" s="314"/>
      <c r="BF2006" s="314"/>
      <c r="BG2006" s="314"/>
      <c r="BH2006" s="314"/>
      <c r="BI2006" s="314"/>
      <c r="BJ2006" s="314"/>
      <c r="BK2006" s="40"/>
      <c r="BL2006" s="40"/>
      <c r="BM2006" s="40"/>
      <c r="BN2006" s="40"/>
      <c r="BO2006" s="40"/>
      <c r="BP2006" s="155"/>
      <c r="BQ2006" s="314"/>
      <c r="BR2006" s="314"/>
      <c r="BS2006" s="314"/>
      <c r="BT2006" s="314"/>
      <c r="BU2006" s="314"/>
      <c r="BV2006" s="314"/>
      <c r="BW2006" s="314"/>
      <c r="BX2006" s="155"/>
    </row>
    <row r="2007" spans="1:76" ht="15.75" customHeight="1">
      <c r="A2007" s="25"/>
      <c r="B2007" s="39"/>
      <c r="C2007" s="155"/>
      <c r="D2007" s="155"/>
      <c r="E2007" s="40"/>
      <c r="F2007" s="314"/>
      <c r="H2007" s="315"/>
      <c r="I2007" s="315"/>
      <c r="BA2007" s="30"/>
      <c r="BB2007" s="155"/>
      <c r="BC2007" s="314"/>
      <c r="BD2007" s="314"/>
      <c r="BE2007" s="314"/>
      <c r="BF2007" s="314"/>
      <c r="BG2007" s="314"/>
      <c r="BH2007" s="314"/>
      <c r="BI2007" s="314"/>
      <c r="BJ2007" s="314"/>
      <c r="BK2007" s="40"/>
      <c r="BL2007" s="40"/>
      <c r="BM2007" s="40"/>
      <c r="BN2007" s="40"/>
      <c r="BO2007" s="40"/>
      <c r="BP2007" s="155"/>
      <c r="BQ2007" s="314"/>
      <c r="BR2007" s="314"/>
      <c r="BS2007" s="314"/>
      <c r="BT2007" s="314"/>
      <c r="BU2007" s="314"/>
      <c r="BV2007" s="314"/>
      <c r="BW2007" s="314"/>
      <c r="BX2007" s="155"/>
    </row>
    <row r="2008" spans="1:76" ht="15.75" customHeight="1">
      <c r="A2008" s="25"/>
      <c r="B2008" s="39"/>
      <c r="C2008" s="155"/>
      <c r="D2008" s="155"/>
      <c r="E2008" s="40"/>
      <c r="F2008" s="314"/>
      <c r="H2008" s="315"/>
      <c r="I2008" s="315"/>
      <c r="BA2008" s="30"/>
      <c r="BB2008" s="155"/>
      <c r="BC2008" s="314"/>
      <c r="BD2008" s="314"/>
      <c r="BE2008" s="314"/>
      <c r="BF2008" s="314"/>
      <c r="BG2008" s="314"/>
      <c r="BH2008" s="314"/>
      <c r="BI2008" s="314"/>
      <c r="BJ2008" s="314"/>
      <c r="BK2008" s="40"/>
      <c r="BL2008" s="40"/>
      <c r="BM2008" s="40"/>
      <c r="BN2008" s="40"/>
      <c r="BO2008" s="40"/>
      <c r="BP2008" s="155"/>
      <c r="BQ2008" s="314"/>
      <c r="BR2008" s="314"/>
      <c r="BS2008" s="314"/>
      <c r="BT2008" s="314"/>
      <c r="BU2008" s="314"/>
      <c r="BV2008" s="314"/>
      <c r="BW2008" s="314"/>
      <c r="BX2008" s="155"/>
    </row>
    <row r="2009" spans="1:76" ht="15.75" customHeight="1">
      <c r="A2009" s="25"/>
      <c r="B2009" s="39"/>
      <c r="C2009" s="155"/>
      <c r="D2009" s="155"/>
      <c r="E2009" s="40"/>
      <c r="F2009" s="314"/>
      <c r="H2009" s="315"/>
      <c r="I2009" s="315"/>
      <c r="BA2009" s="30"/>
      <c r="BB2009" s="155"/>
      <c r="BC2009" s="314"/>
      <c r="BD2009" s="314"/>
      <c r="BE2009" s="314"/>
      <c r="BF2009" s="314"/>
      <c r="BG2009" s="314"/>
      <c r="BH2009" s="314"/>
      <c r="BI2009" s="314"/>
      <c r="BJ2009" s="314"/>
      <c r="BK2009" s="40"/>
      <c r="BL2009" s="40"/>
      <c r="BM2009" s="40"/>
      <c r="BN2009" s="40"/>
      <c r="BO2009" s="40"/>
      <c r="BP2009" s="155"/>
      <c r="BQ2009" s="314"/>
      <c r="BR2009" s="314"/>
      <c r="BS2009" s="314"/>
      <c r="BT2009" s="314"/>
      <c r="BU2009" s="314"/>
      <c r="BV2009" s="314"/>
      <c r="BW2009" s="314"/>
      <c r="BX2009" s="155"/>
    </row>
    <row r="2010" spans="1:76" ht="15.75" customHeight="1">
      <c r="A2010" s="25"/>
      <c r="B2010" s="39"/>
      <c r="C2010" s="155"/>
      <c r="D2010" s="155"/>
      <c r="E2010" s="40"/>
      <c r="F2010" s="314"/>
      <c r="H2010" s="315"/>
      <c r="I2010" s="315"/>
      <c r="BA2010" s="30"/>
      <c r="BB2010" s="155"/>
      <c r="BC2010" s="314"/>
      <c r="BD2010" s="314"/>
      <c r="BE2010" s="314"/>
      <c r="BF2010" s="314"/>
      <c r="BG2010" s="314"/>
      <c r="BH2010" s="314"/>
      <c r="BI2010" s="314"/>
      <c r="BJ2010" s="314"/>
      <c r="BK2010" s="40"/>
      <c r="BL2010" s="40"/>
      <c r="BM2010" s="40"/>
      <c r="BN2010" s="40"/>
      <c r="BO2010" s="40"/>
      <c r="BP2010" s="155"/>
      <c r="BQ2010" s="314"/>
      <c r="BR2010" s="314"/>
      <c r="BS2010" s="314"/>
      <c r="BT2010" s="314"/>
      <c r="BU2010" s="314"/>
      <c r="BV2010" s="314"/>
      <c r="BW2010" s="314"/>
      <c r="BX2010" s="155"/>
    </row>
    <row r="2011" spans="1:76" ht="15.75" customHeight="1">
      <c r="A2011" s="25"/>
      <c r="B2011" s="39"/>
      <c r="C2011" s="155"/>
      <c r="D2011" s="155"/>
      <c r="E2011" s="40"/>
      <c r="F2011" s="314"/>
      <c r="H2011" s="315"/>
      <c r="I2011" s="315"/>
      <c r="BA2011" s="30"/>
      <c r="BB2011" s="155"/>
      <c r="BC2011" s="314"/>
      <c r="BD2011" s="314"/>
      <c r="BE2011" s="314"/>
      <c r="BF2011" s="314"/>
      <c r="BG2011" s="314"/>
      <c r="BH2011" s="314"/>
      <c r="BI2011" s="314"/>
      <c r="BJ2011" s="314"/>
      <c r="BK2011" s="40"/>
      <c r="BL2011" s="40"/>
      <c r="BM2011" s="40"/>
      <c r="BN2011" s="40"/>
      <c r="BO2011" s="40"/>
      <c r="BP2011" s="155"/>
      <c r="BQ2011" s="314"/>
      <c r="BR2011" s="314"/>
      <c r="BS2011" s="314"/>
      <c r="BT2011" s="314"/>
      <c r="BU2011" s="314"/>
      <c r="BV2011" s="314"/>
      <c r="BW2011" s="314"/>
      <c r="BX2011" s="155"/>
    </row>
    <row r="2012" spans="1:76" ht="15.75" customHeight="1">
      <c r="A2012" s="25"/>
      <c r="B2012" s="39"/>
      <c r="C2012" s="155"/>
      <c r="D2012" s="155"/>
      <c r="E2012" s="40"/>
      <c r="F2012" s="314"/>
      <c r="H2012" s="315"/>
      <c r="I2012" s="315"/>
      <c r="BA2012" s="30"/>
      <c r="BB2012" s="155"/>
      <c r="BC2012" s="314"/>
      <c r="BD2012" s="314"/>
      <c r="BE2012" s="314"/>
      <c r="BF2012" s="314"/>
      <c r="BG2012" s="314"/>
      <c r="BH2012" s="314"/>
      <c r="BI2012" s="314"/>
      <c r="BJ2012" s="314"/>
      <c r="BK2012" s="40"/>
      <c r="BL2012" s="40"/>
      <c r="BM2012" s="40"/>
      <c r="BN2012" s="40"/>
      <c r="BO2012" s="40"/>
      <c r="BP2012" s="155"/>
      <c r="BQ2012" s="314"/>
      <c r="BR2012" s="314"/>
      <c r="BS2012" s="314"/>
      <c r="BT2012" s="314"/>
      <c r="BU2012" s="314"/>
      <c r="BV2012" s="314"/>
      <c r="BW2012" s="314"/>
      <c r="BX2012" s="155"/>
    </row>
    <row r="2013" spans="1:76" ht="15.75" customHeight="1">
      <c r="A2013" s="25"/>
      <c r="B2013" s="39"/>
      <c r="C2013" s="155"/>
      <c r="D2013" s="155"/>
      <c r="E2013" s="40"/>
      <c r="F2013" s="314"/>
      <c r="H2013" s="315"/>
      <c r="I2013" s="315"/>
      <c r="BA2013" s="30"/>
      <c r="BB2013" s="155"/>
      <c r="BC2013" s="314"/>
      <c r="BD2013" s="314"/>
      <c r="BE2013" s="314"/>
      <c r="BF2013" s="314"/>
      <c r="BG2013" s="314"/>
      <c r="BH2013" s="314"/>
      <c r="BI2013" s="314"/>
      <c r="BJ2013" s="314"/>
      <c r="BK2013" s="40"/>
      <c r="BL2013" s="40"/>
      <c r="BM2013" s="40"/>
      <c r="BN2013" s="40"/>
      <c r="BO2013" s="40"/>
      <c r="BP2013" s="155"/>
      <c r="BQ2013" s="314"/>
      <c r="BR2013" s="314"/>
      <c r="BS2013" s="314"/>
      <c r="BT2013" s="314"/>
      <c r="BU2013" s="314"/>
      <c r="BV2013" s="314"/>
      <c r="BW2013" s="314"/>
      <c r="BX2013" s="155"/>
    </row>
    <row r="2014" spans="1:76" ht="15.75" customHeight="1">
      <c r="A2014" s="25"/>
      <c r="B2014" s="39"/>
      <c r="C2014" s="155"/>
      <c r="D2014" s="155"/>
      <c r="E2014" s="40"/>
      <c r="F2014" s="314"/>
      <c r="H2014" s="315"/>
      <c r="I2014" s="315"/>
      <c r="BA2014" s="30"/>
      <c r="BB2014" s="155"/>
      <c r="BC2014" s="314"/>
      <c r="BD2014" s="314"/>
      <c r="BE2014" s="314"/>
      <c r="BF2014" s="314"/>
      <c r="BG2014" s="314"/>
      <c r="BH2014" s="314"/>
      <c r="BI2014" s="314"/>
      <c r="BJ2014" s="314"/>
      <c r="BK2014" s="40"/>
      <c r="BL2014" s="40"/>
      <c r="BM2014" s="40"/>
      <c r="BN2014" s="40"/>
      <c r="BO2014" s="40"/>
      <c r="BP2014" s="155"/>
      <c r="BQ2014" s="314"/>
      <c r="BR2014" s="314"/>
      <c r="BS2014" s="314"/>
      <c r="BT2014" s="314"/>
      <c r="BU2014" s="314"/>
      <c r="BV2014" s="314"/>
      <c r="BW2014" s="314"/>
      <c r="BX2014" s="155"/>
    </row>
    <row r="2015" spans="1:76" ht="15.75" customHeight="1">
      <c r="A2015" s="25"/>
      <c r="B2015" s="39"/>
      <c r="C2015" s="155"/>
      <c r="D2015" s="155"/>
      <c r="E2015" s="40"/>
      <c r="F2015" s="314"/>
      <c r="H2015" s="315"/>
      <c r="I2015" s="315"/>
      <c r="BA2015" s="30"/>
      <c r="BB2015" s="155"/>
      <c r="BC2015" s="314"/>
      <c r="BD2015" s="314"/>
      <c r="BE2015" s="314"/>
      <c r="BF2015" s="314"/>
      <c r="BG2015" s="314"/>
      <c r="BH2015" s="314"/>
      <c r="BI2015" s="314"/>
      <c r="BJ2015" s="314"/>
      <c r="BK2015" s="40"/>
      <c r="BL2015" s="40"/>
      <c r="BM2015" s="40"/>
      <c r="BN2015" s="40"/>
      <c r="BO2015" s="40"/>
      <c r="BP2015" s="155"/>
      <c r="BQ2015" s="314"/>
      <c r="BR2015" s="314"/>
      <c r="BS2015" s="314"/>
      <c r="BT2015" s="314"/>
      <c r="BU2015" s="314"/>
      <c r="BV2015" s="314"/>
      <c r="BW2015" s="314"/>
      <c r="BX2015" s="155"/>
    </row>
    <row r="2016" spans="1:76" ht="15.75" customHeight="1">
      <c r="A2016" s="25"/>
      <c r="B2016" s="39"/>
      <c r="C2016" s="155"/>
      <c r="D2016" s="155"/>
      <c r="E2016" s="40"/>
      <c r="F2016" s="314"/>
      <c r="H2016" s="315"/>
      <c r="I2016" s="315"/>
      <c r="BA2016" s="30"/>
      <c r="BB2016" s="155"/>
      <c r="BC2016" s="314"/>
      <c r="BD2016" s="314"/>
      <c r="BE2016" s="314"/>
      <c r="BF2016" s="314"/>
      <c r="BG2016" s="314"/>
      <c r="BH2016" s="314"/>
      <c r="BI2016" s="314"/>
      <c r="BJ2016" s="314"/>
      <c r="BK2016" s="40"/>
      <c r="BL2016" s="40"/>
      <c r="BM2016" s="40"/>
      <c r="BN2016" s="40"/>
      <c r="BO2016" s="40"/>
      <c r="BP2016" s="155"/>
      <c r="BQ2016" s="314"/>
      <c r="BR2016" s="314"/>
      <c r="BS2016" s="314"/>
      <c r="BT2016" s="314"/>
      <c r="BU2016" s="314"/>
      <c r="BV2016" s="314"/>
      <c r="BW2016" s="314"/>
      <c r="BX2016" s="155"/>
    </row>
    <row r="2017" spans="1:76" ht="15.75" customHeight="1">
      <c r="A2017" s="25"/>
      <c r="B2017" s="39"/>
      <c r="C2017" s="155"/>
      <c r="D2017" s="155"/>
      <c r="E2017" s="40"/>
      <c r="F2017" s="314"/>
      <c r="H2017" s="315"/>
      <c r="I2017" s="315"/>
      <c r="BA2017" s="30"/>
      <c r="BB2017" s="155"/>
      <c r="BC2017" s="314"/>
      <c r="BD2017" s="314"/>
      <c r="BE2017" s="314"/>
      <c r="BF2017" s="314"/>
      <c r="BG2017" s="314"/>
      <c r="BH2017" s="314"/>
      <c r="BI2017" s="314"/>
      <c r="BJ2017" s="314"/>
      <c r="BK2017" s="40"/>
      <c r="BL2017" s="40"/>
      <c r="BM2017" s="40"/>
      <c r="BN2017" s="40"/>
      <c r="BO2017" s="40"/>
      <c r="BP2017" s="155"/>
      <c r="BQ2017" s="314"/>
      <c r="BR2017" s="314"/>
      <c r="BS2017" s="314"/>
      <c r="BT2017" s="314"/>
      <c r="BU2017" s="314"/>
      <c r="BV2017" s="314"/>
      <c r="BW2017" s="314"/>
      <c r="BX2017" s="155"/>
    </row>
    <row r="2018" spans="1:76" ht="15.75" customHeight="1">
      <c r="A2018" s="25"/>
      <c r="B2018" s="39"/>
      <c r="C2018" s="155"/>
      <c r="D2018" s="155"/>
      <c r="E2018" s="40"/>
      <c r="F2018" s="314"/>
      <c r="H2018" s="315"/>
      <c r="I2018" s="315"/>
      <c r="BA2018" s="30"/>
      <c r="BB2018" s="155"/>
      <c r="BC2018" s="314"/>
      <c r="BD2018" s="314"/>
      <c r="BE2018" s="314"/>
      <c r="BF2018" s="314"/>
      <c r="BG2018" s="314"/>
      <c r="BH2018" s="314"/>
      <c r="BI2018" s="314"/>
      <c r="BJ2018" s="314"/>
      <c r="BK2018" s="40"/>
      <c r="BL2018" s="40"/>
      <c r="BM2018" s="40"/>
      <c r="BN2018" s="40"/>
      <c r="BO2018" s="40"/>
      <c r="BP2018" s="155"/>
      <c r="BQ2018" s="314"/>
      <c r="BR2018" s="314"/>
      <c r="BS2018" s="314"/>
      <c r="BT2018" s="314"/>
      <c r="BU2018" s="314"/>
      <c r="BV2018" s="314"/>
      <c r="BW2018" s="314"/>
      <c r="BX2018" s="155"/>
    </row>
    <row r="2019" spans="1:76" ht="15.75" customHeight="1">
      <c r="A2019" s="25"/>
      <c r="B2019" s="39"/>
      <c r="C2019" s="155"/>
      <c r="D2019" s="155"/>
      <c r="E2019" s="40"/>
      <c r="F2019" s="314"/>
      <c r="H2019" s="315"/>
      <c r="I2019" s="315"/>
      <c r="BA2019" s="30"/>
      <c r="BB2019" s="155"/>
      <c r="BC2019" s="314"/>
      <c r="BD2019" s="314"/>
      <c r="BE2019" s="314"/>
      <c r="BF2019" s="314"/>
      <c r="BG2019" s="314"/>
      <c r="BH2019" s="314"/>
      <c r="BI2019" s="314"/>
      <c r="BJ2019" s="314"/>
      <c r="BK2019" s="40"/>
      <c r="BL2019" s="40"/>
      <c r="BM2019" s="40"/>
      <c r="BN2019" s="40"/>
      <c r="BO2019" s="40"/>
      <c r="BP2019" s="155"/>
      <c r="BQ2019" s="314"/>
      <c r="BR2019" s="314"/>
      <c r="BS2019" s="314"/>
      <c r="BT2019" s="314"/>
      <c r="BU2019" s="314"/>
      <c r="BV2019" s="314"/>
      <c r="BW2019" s="314"/>
      <c r="BX2019" s="155"/>
    </row>
    <row r="2020" spans="1:76" ht="15.75" customHeight="1">
      <c r="A2020" s="25"/>
      <c r="B2020" s="39"/>
      <c r="C2020" s="155"/>
      <c r="D2020" s="155"/>
      <c r="E2020" s="40"/>
      <c r="F2020" s="314"/>
      <c r="H2020" s="315"/>
      <c r="I2020" s="315"/>
      <c r="BA2020" s="30"/>
      <c r="BB2020" s="155"/>
      <c r="BC2020" s="314"/>
      <c r="BD2020" s="314"/>
      <c r="BE2020" s="314"/>
      <c r="BF2020" s="314"/>
      <c r="BG2020" s="314"/>
      <c r="BH2020" s="314"/>
      <c r="BI2020" s="314"/>
      <c r="BJ2020" s="314"/>
      <c r="BK2020" s="40"/>
      <c r="BL2020" s="40"/>
      <c r="BM2020" s="40"/>
      <c r="BN2020" s="40"/>
      <c r="BO2020" s="40"/>
      <c r="BP2020" s="155"/>
      <c r="BQ2020" s="314"/>
      <c r="BR2020" s="314"/>
      <c r="BS2020" s="314"/>
      <c r="BT2020" s="314"/>
      <c r="BU2020" s="314"/>
      <c r="BV2020" s="314"/>
      <c r="BW2020" s="314"/>
      <c r="BX2020" s="155"/>
    </row>
    <row r="2021" spans="1:76" ht="15.75" customHeight="1">
      <c r="A2021" s="25"/>
      <c r="B2021" s="39"/>
      <c r="C2021" s="155"/>
      <c r="D2021" s="155"/>
      <c r="E2021" s="40"/>
      <c r="F2021" s="314"/>
      <c r="H2021" s="315"/>
      <c r="I2021" s="315"/>
      <c r="BA2021" s="30"/>
      <c r="BB2021" s="155"/>
      <c r="BC2021" s="314"/>
      <c r="BD2021" s="314"/>
      <c r="BE2021" s="314"/>
      <c r="BF2021" s="314"/>
      <c r="BG2021" s="314"/>
      <c r="BH2021" s="314"/>
      <c r="BI2021" s="314"/>
      <c r="BJ2021" s="314"/>
      <c r="BK2021" s="40"/>
      <c r="BL2021" s="40"/>
      <c r="BM2021" s="40"/>
      <c r="BN2021" s="40"/>
      <c r="BO2021" s="40"/>
      <c r="BP2021" s="155"/>
      <c r="BQ2021" s="314"/>
      <c r="BR2021" s="314"/>
      <c r="BS2021" s="314"/>
      <c r="BT2021" s="314"/>
      <c r="BU2021" s="314"/>
      <c r="BV2021" s="314"/>
      <c r="BW2021" s="314"/>
      <c r="BX2021" s="155"/>
    </row>
    <row r="2022" spans="1:76" ht="15.75" customHeight="1">
      <c r="A2022" s="25"/>
      <c r="B2022" s="39"/>
      <c r="C2022" s="155"/>
      <c r="D2022" s="155"/>
      <c r="E2022" s="40"/>
      <c r="F2022" s="314"/>
      <c r="H2022" s="315"/>
      <c r="I2022" s="315"/>
      <c r="BA2022" s="30"/>
      <c r="BB2022" s="155"/>
      <c r="BC2022" s="314"/>
      <c r="BD2022" s="314"/>
      <c r="BE2022" s="314"/>
      <c r="BF2022" s="314"/>
      <c r="BG2022" s="314"/>
      <c r="BH2022" s="314"/>
      <c r="BI2022" s="314"/>
      <c r="BJ2022" s="314"/>
      <c r="BK2022" s="40"/>
      <c r="BL2022" s="40"/>
      <c r="BM2022" s="40"/>
      <c r="BN2022" s="40"/>
      <c r="BO2022" s="40"/>
      <c r="BP2022" s="155"/>
      <c r="BQ2022" s="314"/>
      <c r="BR2022" s="314"/>
      <c r="BS2022" s="314"/>
      <c r="BT2022" s="314"/>
      <c r="BU2022" s="314"/>
      <c r="BV2022" s="314"/>
      <c r="BW2022" s="314"/>
      <c r="BX2022" s="155"/>
    </row>
    <row r="2023" spans="1:76" ht="15.75" customHeight="1">
      <c r="A2023" s="25"/>
      <c r="B2023" s="39"/>
      <c r="C2023" s="155"/>
      <c r="D2023" s="155"/>
      <c r="E2023" s="40"/>
      <c r="F2023" s="314"/>
      <c r="H2023" s="315"/>
      <c r="I2023" s="315"/>
      <c r="BA2023" s="30"/>
      <c r="BB2023" s="155"/>
      <c r="BC2023" s="314"/>
      <c r="BD2023" s="314"/>
      <c r="BE2023" s="314"/>
      <c r="BF2023" s="314"/>
      <c r="BG2023" s="314"/>
      <c r="BH2023" s="314"/>
      <c r="BI2023" s="314"/>
      <c r="BJ2023" s="314"/>
      <c r="BK2023" s="40"/>
      <c r="BL2023" s="40"/>
      <c r="BM2023" s="40"/>
      <c r="BN2023" s="40"/>
      <c r="BO2023" s="40"/>
      <c r="BP2023" s="155"/>
      <c r="BQ2023" s="314"/>
      <c r="BR2023" s="314"/>
      <c r="BS2023" s="314"/>
      <c r="BT2023" s="314"/>
      <c r="BU2023" s="314"/>
      <c r="BV2023" s="314"/>
      <c r="BW2023" s="314"/>
      <c r="BX2023" s="155"/>
    </row>
    <row r="2024" spans="1:76" ht="15.75" customHeight="1">
      <c r="A2024" s="25"/>
      <c r="B2024" s="39"/>
      <c r="C2024" s="155"/>
      <c r="D2024" s="155"/>
      <c r="E2024" s="40"/>
      <c r="F2024" s="314"/>
      <c r="H2024" s="315"/>
      <c r="I2024" s="315"/>
      <c r="BA2024" s="30"/>
      <c r="BB2024" s="155"/>
      <c r="BC2024" s="314"/>
      <c r="BD2024" s="314"/>
      <c r="BE2024" s="314"/>
      <c r="BF2024" s="314"/>
      <c r="BG2024" s="314"/>
      <c r="BH2024" s="314"/>
      <c r="BI2024" s="314"/>
      <c r="BJ2024" s="314"/>
      <c r="BK2024" s="40"/>
      <c r="BL2024" s="40"/>
      <c r="BM2024" s="40"/>
      <c r="BN2024" s="40"/>
      <c r="BO2024" s="40"/>
      <c r="BP2024" s="155"/>
      <c r="BQ2024" s="314"/>
      <c r="BR2024" s="314"/>
      <c r="BS2024" s="314"/>
      <c r="BT2024" s="314"/>
      <c r="BU2024" s="314"/>
      <c r="BV2024" s="314"/>
      <c r="BW2024" s="314"/>
      <c r="BX2024" s="155"/>
    </row>
    <row r="2025" spans="1:76" ht="15.75" customHeight="1">
      <c r="A2025" s="25"/>
      <c r="B2025" s="39"/>
      <c r="C2025" s="155"/>
      <c r="D2025" s="155"/>
      <c r="E2025" s="40"/>
      <c r="F2025" s="314"/>
      <c r="H2025" s="315"/>
      <c r="I2025" s="315"/>
      <c r="BA2025" s="30"/>
      <c r="BB2025" s="155"/>
      <c r="BC2025" s="314"/>
      <c r="BD2025" s="314"/>
      <c r="BE2025" s="314"/>
      <c r="BF2025" s="314"/>
      <c r="BG2025" s="314"/>
      <c r="BH2025" s="314"/>
      <c r="BI2025" s="314"/>
      <c r="BJ2025" s="314"/>
      <c r="BK2025" s="40"/>
      <c r="BL2025" s="40"/>
      <c r="BM2025" s="40"/>
      <c r="BN2025" s="40"/>
      <c r="BO2025" s="40"/>
      <c r="BP2025" s="155"/>
      <c r="BQ2025" s="314"/>
      <c r="BR2025" s="314"/>
      <c r="BS2025" s="314"/>
      <c r="BT2025" s="314"/>
      <c r="BU2025" s="314"/>
      <c r="BV2025" s="314"/>
      <c r="BW2025" s="314"/>
      <c r="BX2025" s="155"/>
    </row>
    <row r="2026" spans="1:76" ht="15.75" customHeight="1">
      <c r="A2026" s="25"/>
      <c r="B2026" s="39"/>
      <c r="C2026" s="155"/>
      <c r="D2026" s="155"/>
      <c r="E2026" s="40"/>
      <c r="F2026" s="314"/>
      <c r="H2026" s="315"/>
      <c r="I2026" s="315"/>
      <c r="BA2026" s="30"/>
      <c r="BB2026" s="155"/>
      <c r="BC2026" s="314"/>
      <c r="BD2026" s="314"/>
      <c r="BE2026" s="314"/>
      <c r="BF2026" s="314"/>
      <c r="BG2026" s="314"/>
      <c r="BH2026" s="314"/>
      <c r="BI2026" s="314"/>
      <c r="BJ2026" s="314"/>
      <c r="BK2026" s="40"/>
      <c r="BL2026" s="40"/>
      <c r="BM2026" s="40"/>
      <c r="BN2026" s="40"/>
      <c r="BO2026" s="40"/>
      <c r="BP2026" s="155"/>
      <c r="BQ2026" s="314"/>
      <c r="BR2026" s="314"/>
      <c r="BS2026" s="314"/>
      <c r="BT2026" s="314"/>
      <c r="BU2026" s="314"/>
      <c r="BV2026" s="314"/>
      <c r="BW2026" s="314"/>
      <c r="BX2026" s="155"/>
    </row>
    <row r="2027" spans="1:76" ht="15.75" customHeight="1">
      <c r="A2027" s="25"/>
      <c r="B2027" s="39"/>
      <c r="C2027" s="155"/>
      <c r="D2027" s="155"/>
      <c r="E2027" s="40"/>
      <c r="F2027" s="314"/>
      <c r="H2027" s="315"/>
      <c r="I2027" s="315"/>
      <c r="BA2027" s="30"/>
      <c r="BB2027" s="155"/>
      <c r="BC2027" s="314"/>
      <c r="BD2027" s="314"/>
      <c r="BE2027" s="314"/>
      <c r="BF2027" s="314"/>
      <c r="BG2027" s="314"/>
      <c r="BH2027" s="314"/>
      <c r="BI2027" s="314"/>
      <c r="BJ2027" s="314"/>
      <c r="BK2027" s="40"/>
      <c r="BL2027" s="40"/>
      <c r="BM2027" s="40"/>
      <c r="BN2027" s="40"/>
      <c r="BO2027" s="40"/>
      <c r="BP2027" s="155"/>
      <c r="BQ2027" s="314"/>
      <c r="BR2027" s="314"/>
      <c r="BS2027" s="314"/>
      <c r="BT2027" s="314"/>
      <c r="BU2027" s="314"/>
      <c r="BV2027" s="314"/>
      <c r="BW2027" s="314"/>
      <c r="BX2027" s="155"/>
    </row>
    <row r="2028" spans="1:76" ht="15.75" customHeight="1">
      <c r="A2028" s="25"/>
      <c r="B2028" s="39"/>
      <c r="C2028" s="155"/>
      <c r="D2028" s="155"/>
      <c r="E2028" s="40"/>
      <c r="F2028" s="314"/>
      <c r="H2028" s="315"/>
      <c r="I2028" s="315"/>
      <c r="BA2028" s="30"/>
      <c r="BB2028" s="155"/>
      <c r="BC2028" s="314"/>
      <c r="BD2028" s="314"/>
      <c r="BE2028" s="314"/>
      <c r="BF2028" s="314"/>
      <c r="BG2028" s="314"/>
      <c r="BH2028" s="314"/>
      <c r="BI2028" s="314"/>
      <c r="BJ2028" s="314"/>
      <c r="BK2028" s="40"/>
      <c r="BL2028" s="40"/>
      <c r="BM2028" s="40"/>
      <c r="BN2028" s="40"/>
      <c r="BO2028" s="40"/>
      <c r="BP2028" s="155"/>
      <c r="BQ2028" s="314"/>
      <c r="BR2028" s="314"/>
      <c r="BS2028" s="314"/>
      <c r="BT2028" s="314"/>
      <c r="BU2028" s="314"/>
      <c r="BV2028" s="314"/>
      <c r="BW2028" s="314"/>
      <c r="BX2028" s="155"/>
    </row>
    <row r="2029" spans="1:76" ht="15.75" customHeight="1">
      <c r="A2029" s="25"/>
      <c r="B2029" s="39"/>
      <c r="C2029" s="155"/>
      <c r="D2029" s="155"/>
      <c r="E2029" s="40"/>
      <c r="F2029" s="314"/>
      <c r="H2029" s="315"/>
      <c r="I2029" s="315"/>
      <c r="BA2029" s="30"/>
      <c r="BB2029" s="155"/>
      <c r="BC2029" s="314"/>
      <c r="BD2029" s="314"/>
      <c r="BE2029" s="314"/>
      <c r="BF2029" s="314"/>
      <c r="BG2029" s="314"/>
      <c r="BH2029" s="314"/>
      <c r="BI2029" s="314"/>
      <c r="BJ2029" s="314"/>
      <c r="BK2029" s="40"/>
      <c r="BL2029" s="40"/>
      <c r="BM2029" s="40"/>
      <c r="BN2029" s="40"/>
      <c r="BO2029" s="40"/>
      <c r="BP2029" s="155"/>
      <c r="BQ2029" s="314"/>
      <c r="BR2029" s="314"/>
      <c r="BS2029" s="314"/>
      <c r="BT2029" s="314"/>
      <c r="BU2029" s="314"/>
      <c r="BV2029" s="314"/>
      <c r="BW2029" s="314"/>
      <c r="BX2029" s="155"/>
    </row>
    <row r="2030" spans="1:76" ht="15.75" customHeight="1">
      <c r="A2030" s="25"/>
      <c r="B2030" s="39"/>
      <c r="C2030" s="155"/>
      <c r="D2030" s="155"/>
      <c r="E2030" s="40"/>
      <c r="F2030" s="314"/>
      <c r="H2030" s="315"/>
      <c r="I2030" s="315"/>
      <c r="BA2030" s="30"/>
      <c r="BB2030" s="155"/>
      <c r="BC2030" s="314"/>
      <c r="BD2030" s="314"/>
      <c r="BE2030" s="314"/>
      <c r="BF2030" s="314"/>
      <c r="BG2030" s="314"/>
      <c r="BH2030" s="314"/>
      <c r="BI2030" s="314"/>
      <c r="BJ2030" s="314"/>
      <c r="BK2030" s="40"/>
      <c r="BL2030" s="40"/>
      <c r="BM2030" s="40"/>
      <c r="BN2030" s="40"/>
      <c r="BO2030" s="40"/>
      <c r="BP2030" s="155"/>
      <c r="BQ2030" s="314"/>
      <c r="BR2030" s="314"/>
      <c r="BS2030" s="314"/>
      <c r="BT2030" s="314"/>
      <c r="BU2030" s="314"/>
      <c r="BV2030" s="314"/>
      <c r="BW2030" s="314"/>
      <c r="BX2030" s="155"/>
    </row>
    <row r="2031" spans="1:76" ht="15.75" customHeight="1">
      <c r="A2031" s="25"/>
      <c r="B2031" s="39"/>
      <c r="C2031" s="155"/>
      <c r="D2031" s="155"/>
      <c r="E2031" s="40"/>
      <c r="F2031" s="314"/>
      <c r="H2031" s="315"/>
      <c r="I2031" s="315"/>
      <c r="BA2031" s="30"/>
      <c r="BB2031" s="155"/>
      <c r="BC2031" s="314"/>
      <c r="BD2031" s="314"/>
      <c r="BE2031" s="314"/>
      <c r="BF2031" s="314"/>
      <c r="BG2031" s="314"/>
      <c r="BH2031" s="314"/>
      <c r="BI2031" s="314"/>
      <c r="BJ2031" s="314"/>
      <c r="BK2031" s="40"/>
      <c r="BL2031" s="40"/>
      <c r="BM2031" s="40"/>
      <c r="BN2031" s="40"/>
      <c r="BO2031" s="40"/>
      <c r="BP2031" s="155"/>
      <c r="BQ2031" s="314"/>
      <c r="BR2031" s="314"/>
      <c r="BS2031" s="314"/>
      <c r="BT2031" s="314"/>
      <c r="BU2031" s="314"/>
      <c r="BV2031" s="314"/>
      <c r="BW2031" s="314"/>
      <c r="BX2031" s="155"/>
    </row>
    <row r="2032" spans="1:76" ht="15.75" customHeight="1">
      <c r="A2032" s="25"/>
      <c r="B2032" s="39"/>
      <c r="C2032" s="155"/>
      <c r="D2032" s="155"/>
      <c r="E2032" s="40"/>
      <c r="F2032" s="314"/>
      <c r="H2032" s="315"/>
      <c r="I2032" s="315"/>
      <c r="BA2032" s="30"/>
      <c r="BB2032" s="155"/>
      <c r="BC2032" s="314"/>
      <c r="BD2032" s="314"/>
      <c r="BE2032" s="314"/>
      <c r="BF2032" s="314"/>
      <c r="BG2032" s="314"/>
      <c r="BH2032" s="314"/>
      <c r="BI2032" s="314"/>
      <c r="BJ2032" s="314"/>
      <c r="BK2032" s="40"/>
      <c r="BL2032" s="40"/>
      <c r="BM2032" s="40"/>
      <c r="BN2032" s="40"/>
      <c r="BO2032" s="40"/>
      <c r="BP2032" s="155"/>
      <c r="BQ2032" s="314"/>
      <c r="BR2032" s="314"/>
      <c r="BS2032" s="314"/>
      <c r="BT2032" s="314"/>
      <c r="BU2032" s="314"/>
      <c r="BV2032" s="314"/>
      <c r="BW2032" s="314"/>
      <c r="BX2032" s="155"/>
    </row>
    <row r="2033" spans="1:76" ht="15.75" customHeight="1">
      <c r="A2033" s="25"/>
      <c r="B2033" s="39"/>
      <c r="C2033" s="155"/>
      <c r="D2033" s="155"/>
      <c r="E2033" s="40"/>
      <c r="F2033" s="314"/>
      <c r="H2033" s="315"/>
      <c r="I2033" s="315"/>
      <c r="BA2033" s="30"/>
      <c r="BB2033" s="155"/>
      <c r="BC2033" s="314"/>
      <c r="BD2033" s="314"/>
      <c r="BE2033" s="314"/>
      <c r="BF2033" s="314"/>
      <c r="BG2033" s="314"/>
      <c r="BH2033" s="314"/>
      <c r="BI2033" s="314"/>
      <c r="BJ2033" s="314"/>
      <c r="BK2033" s="40"/>
      <c r="BL2033" s="40"/>
      <c r="BM2033" s="40"/>
      <c r="BN2033" s="40"/>
      <c r="BO2033" s="40"/>
      <c r="BP2033" s="155"/>
      <c r="BQ2033" s="314"/>
      <c r="BR2033" s="314"/>
      <c r="BS2033" s="314"/>
      <c r="BT2033" s="314"/>
      <c r="BU2033" s="314"/>
      <c r="BV2033" s="314"/>
      <c r="BW2033" s="314"/>
      <c r="BX2033" s="155"/>
    </row>
    <row r="2034" spans="1:76" ht="15.75" customHeight="1">
      <c r="A2034" s="25"/>
      <c r="B2034" s="39"/>
      <c r="C2034" s="155"/>
      <c r="D2034" s="155"/>
      <c r="E2034" s="40"/>
      <c r="F2034" s="314"/>
      <c r="H2034" s="315"/>
      <c r="I2034" s="315"/>
      <c r="BA2034" s="30"/>
      <c r="BB2034" s="155"/>
      <c r="BC2034" s="314"/>
      <c r="BD2034" s="314"/>
      <c r="BE2034" s="314"/>
      <c r="BF2034" s="314"/>
      <c r="BG2034" s="314"/>
      <c r="BH2034" s="314"/>
      <c r="BI2034" s="314"/>
      <c r="BJ2034" s="314"/>
      <c r="BK2034" s="40"/>
      <c r="BL2034" s="40"/>
      <c r="BM2034" s="40"/>
      <c r="BN2034" s="40"/>
      <c r="BO2034" s="40"/>
      <c r="BP2034" s="155"/>
      <c r="BQ2034" s="314"/>
      <c r="BR2034" s="314"/>
      <c r="BS2034" s="314"/>
      <c r="BT2034" s="314"/>
      <c r="BU2034" s="314"/>
      <c r="BV2034" s="314"/>
      <c r="BW2034" s="314"/>
      <c r="BX2034" s="155"/>
    </row>
    <row r="2035" spans="1:76" ht="15.75" customHeight="1">
      <c r="A2035" s="25"/>
      <c r="B2035" s="39"/>
      <c r="C2035" s="155"/>
      <c r="D2035" s="155"/>
      <c r="E2035" s="40"/>
      <c r="F2035" s="314"/>
      <c r="H2035" s="315"/>
      <c r="I2035" s="315"/>
      <c r="BA2035" s="30"/>
      <c r="BB2035" s="155"/>
      <c r="BC2035" s="314"/>
      <c r="BD2035" s="314"/>
      <c r="BE2035" s="314"/>
      <c r="BF2035" s="314"/>
      <c r="BG2035" s="314"/>
      <c r="BH2035" s="314"/>
      <c r="BI2035" s="314"/>
      <c r="BJ2035" s="314"/>
      <c r="BK2035" s="40"/>
      <c r="BL2035" s="40"/>
      <c r="BM2035" s="40"/>
      <c r="BN2035" s="40"/>
      <c r="BO2035" s="40"/>
      <c r="BP2035" s="155"/>
      <c r="BQ2035" s="314"/>
      <c r="BR2035" s="314"/>
      <c r="BS2035" s="314"/>
      <c r="BT2035" s="314"/>
      <c r="BU2035" s="314"/>
      <c r="BV2035" s="314"/>
      <c r="BW2035" s="314"/>
      <c r="BX2035" s="155"/>
    </row>
    <row r="2036" spans="1:76" ht="15.75" customHeight="1">
      <c r="A2036" s="25"/>
      <c r="B2036" s="39"/>
      <c r="C2036" s="155"/>
      <c r="D2036" s="155"/>
      <c r="E2036" s="40"/>
      <c r="F2036" s="314"/>
      <c r="H2036" s="315"/>
      <c r="I2036" s="315"/>
      <c r="BA2036" s="30"/>
      <c r="BB2036" s="155"/>
      <c r="BC2036" s="322"/>
      <c r="BD2036" s="322"/>
      <c r="BE2036" s="322"/>
      <c r="BF2036" s="322"/>
      <c r="BG2036" s="322"/>
      <c r="BH2036" s="322"/>
      <c r="BI2036" s="322"/>
      <c r="BJ2036" s="322"/>
      <c r="BK2036" s="341"/>
      <c r="BL2036" s="40"/>
      <c r="BM2036" s="40"/>
      <c r="BN2036" s="40"/>
      <c r="BO2036" s="40"/>
      <c r="BP2036" s="155"/>
      <c r="BQ2036" s="314"/>
      <c r="BR2036" s="314"/>
      <c r="BS2036" s="314"/>
      <c r="BT2036" s="314"/>
      <c r="BU2036" s="314"/>
      <c r="BV2036" s="314"/>
      <c r="BW2036" s="314"/>
      <c r="BX2036" s="155"/>
    </row>
    <row r="2037" spans="1:76" ht="15.75" customHeight="1">
      <c r="A2037" s="25"/>
      <c r="B2037" s="39"/>
      <c r="C2037" s="155"/>
      <c r="D2037" s="155"/>
      <c r="E2037" s="40"/>
      <c r="F2037" s="314"/>
      <c r="H2037" s="315"/>
      <c r="I2037" s="315"/>
      <c r="BA2037" s="30"/>
      <c r="BB2037" s="155"/>
      <c r="BC2037" s="314"/>
      <c r="BD2037" s="314"/>
      <c r="BE2037" s="314"/>
      <c r="BF2037" s="314"/>
      <c r="BG2037" s="314"/>
      <c r="BH2037" s="314"/>
      <c r="BI2037" s="314"/>
      <c r="BJ2037" s="314"/>
      <c r="BK2037" s="40"/>
      <c r="BL2037" s="40"/>
      <c r="BM2037" s="40"/>
      <c r="BN2037" s="40"/>
      <c r="BO2037" s="40"/>
      <c r="BP2037" s="155"/>
      <c r="BQ2037" s="314"/>
      <c r="BR2037" s="314"/>
      <c r="BS2037" s="314"/>
      <c r="BT2037" s="314"/>
      <c r="BU2037" s="314"/>
      <c r="BV2037" s="314"/>
      <c r="BW2037" s="314"/>
      <c r="BX2037" s="155"/>
    </row>
    <row r="2038" spans="1:76" ht="15.75" customHeight="1">
      <c r="A2038" s="25"/>
      <c r="B2038" s="39"/>
      <c r="C2038" s="155"/>
      <c r="D2038" s="155"/>
      <c r="E2038" s="40"/>
      <c r="F2038" s="314"/>
      <c r="H2038" s="315"/>
      <c r="I2038" s="315"/>
      <c r="BA2038" s="30"/>
      <c r="BB2038" s="155"/>
      <c r="BC2038" s="314"/>
      <c r="BD2038" s="314"/>
      <c r="BE2038" s="314"/>
      <c r="BF2038" s="314"/>
      <c r="BG2038" s="314"/>
      <c r="BH2038" s="314"/>
      <c r="BI2038" s="314"/>
      <c r="BJ2038" s="314"/>
      <c r="BK2038" s="40"/>
      <c r="BL2038" s="40"/>
      <c r="BM2038" s="40"/>
      <c r="BN2038" s="40"/>
      <c r="BO2038" s="40"/>
      <c r="BP2038" s="155"/>
      <c r="BQ2038" s="314"/>
      <c r="BR2038" s="314"/>
      <c r="BS2038" s="314"/>
      <c r="BT2038" s="314"/>
      <c r="BU2038" s="314"/>
      <c r="BV2038" s="314"/>
      <c r="BW2038" s="314"/>
      <c r="BX2038" s="155"/>
    </row>
    <row r="2039" spans="1:76" ht="15.75" customHeight="1">
      <c r="A2039" s="25"/>
      <c r="B2039" s="39"/>
      <c r="C2039" s="155"/>
      <c r="D2039" s="155"/>
      <c r="E2039" s="40"/>
      <c r="F2039" s="314"/>
      <c r="H2039" s="315"/>
      <c r="I2039" s="315"/>
      <c r="BA2039" s="30"/>
      <c r="BB2039" s="155"/>
      <c r="BC2039" s="314"/>
      <c r="BD2039" s="314"/>
      <c r="BE2039" s="314"/>
      <c r="BF2039" s="314"/>
      <c r="BG2039" s="314"/>
      <c r="BH2039" s="314"/>
      <c r="BI2039" s="314"/>
      <c r="BJ2039" s="314"/>
      <c r="BK2039" s="40"/>
      <c r="BL2039" s="40"/>
      <c r="BM2039" s="40"/>
      <c r="BN2039" s="40"/>
      <c r="BO2039" s="40"/>
      <c r="BP2039" s="155"/>
      <c r="BQ2039" s="314"/>
      <c r="BR2039" s="314"/>
      <c r="BS2039" s="314"/>
      <c r="BT2039" s="314"/>
      <c r="BU2039" s="314"/>
      <c r="BV2039" s="314"/>
      <c r="BW2039" s="314"/>
      <c r="BX2039" s="155"/>
    </row>
    <row r="2040" spans="1:76" ht="15.75" customHeight="1">
      <c r="A2040" s="25"/>
      <c r="B2040" s="39"/>
      <c r="C2040" s="155"/>
      <c r="D2040" s="155"/>
      <c r="E2040" s="40"/>
      <c r="F2040" s="314"/>
      <c r="H2040" s="315"/>
      <c r="I2040" s="315"/>
      <c r="BA2040" s="30"/>
      <c r="BB2040" s="155"/>
      <c r="BC2040" s="314"/>
      <c r="BD2040" s="314"/>
      <c r="BE2040" s="314"/>
      <c r="BF2040" s="314"/>
      <c r="BG2040" s="314"/>
      <c r="BH2040" s="314"/>
      <c r="BI2040" s="314"/>
      <c r="BJ2040" s="314"/>
      <c r="BK2040" s="40"/>
      <c r="BL2040" s="40"/>
      <c r="BM2040" s="40"/>
      <c r="BN2040" s="40"/>
      <c r="BO2040" s="40"/>
      <c r="BP2040" s="155"/>
      <c r="BQ2040" s="314"/>
      <c r="BR2040" s="314"/>
      <c r="BS2040" s="314"/>
      <c r="BT2040" s="314"/>
      <c r="BU2040" s="314"/>
      <c r="BV2040" s="314"/>
      <c r="BW2040" s="314"/>
      <c r="BX2040" s="155"/>
    </row>
    <row r="2041" spans="1:76" ht="15.75" customHeight="1">
      <c r="A2041" s="25"/>
      <c r="B2041" s="39"/>
      <c r="C2041" s="155"/>
      <c r="D2041" s="155"/>
      <c r="E2041" s="40"/>
      <c r="F2041" s="314"/>
      <c r="H2041" s="315"/>
      <c r="I2041" s="315"/>
      <c r="BA2041" s="30"/>
      <c r="BB2041" s="155"/>
      <c r="BC2041" s="314"/>
      <c r="BD2041" s="314"/>
      <c r="BE2041" s="314"/>
      <c r="BF2041" s="314"/>
      <c r="BG2041" s="314"/>
      <c r="BH2041" s="314"/>
      <c r="BI2041" s="314"/>
      <c r="BJ2041" s="314"/>
      <c r="BK2041" s="40"/>
      <c r="BL2041" s="40"/>
      <c r="BM2041" s="40"/>
      <c r="BN2041" s="40"/>
      <c r="BO2041" s="40"/>
      <c r="BP2041" s="155"/>
      <c r="BQ2041" s="314"/>
      <c r="BR2041" s="314"/>
      <c r="BS2041" s="314"/>
      <c r="BT2041" s="314"/>
      <c r="BU2041" s="314"/>
      <c r="BV2041" s="314"/>
      <c r="BW2041" s="314"/>
      <c r="BX2041" s="155"/>
    </row>
    <row r="2042" spans="1:76" ht="15.75" customHeight="1">
      <c r="A2042" s="25"/>
      <c r="B2042" s="39"/>
      <c r="C2042" s="155"/>
      <c r="D2042" s="155"/>
      <c r="E2042" s="40"/>
      <c r="F2042" s="314"/>
      <c r="H2042" s="315"/>
      <c r="I2042" s="315"/>
      <c r="BA2042" s="30"/>
      <c r="BB2042" s="155"/>
      <c r="BC2042" s="314"/>
      <c r="BD2042" s="314"/>
      <c r="BE2042" s="314"/>
      <c r="BF2042" s="314"/>
      <c r="BG2042" s="314"/>
      <c r="BH2042" s="314"/>
      <c r="BI2042" s="314"/>
      <c r="BJ2042" s="314"/>
      <c r="BK2042" s="40"/>
      <c r="BL2042" s="40"/>
      <c r="BM2042" s="40"/>
      <c r="BN2042" s="40"/>
      <c r="BO2042" s="40"/>
      <c r="BP2042" s="155"/>
      <c r="BQ2042" s="314"/>
      <c r="BR2042" s="314"/>
      <c r="BS2042" s="314"/>
      <c r="BT2042" s="314"/>
      <c r="BU2042" s="314"/>
      <c r="BV2042" s="314"/>
      <c r="BW2042" s="314"/>
      <c r="BX2042" s="155"/>
    </row>
    <row r="2043" spans="1:76" ht="15.75" customHeight="1">
      <c r="A2043" s="25"/>
      <c r="B2043" s="39"/>
      <c r="C2043" s="155"/>
      <c r="D2043" s="155"/>
      <c r="E2043" s="40"/>
      <c r="F2043" s="314"/>
      <c r="H2043" s="315"/>
      <c r="I2043" s="315"/>
      <c r="BA2043" s="30"/>
      <c r="BB2043" s="155"/>
      <c r="BC2043" s="314"/>
      <c r="BD2043" s="314"/>
      <c r="BE2043" s="314"/>
      <c r="BF2043" s="314"/>
      <c r="BG2043" s="314"/>
      <c r="BH2043" s="314"/>
      <c r="BI2043" s="314"/>
      <c r="BJ2043" s="314"/>
      <c r="BK2043" s="40"/>
      <c r="BL2043" s="40"/>
      <c r="BM2043" s="40"/>
      <c r="BN2043" s="40"/>
      <c r="BO2043" s="40"/>
      <c r="BP2043" s="155"/>
      <c r="BQ2043" s="314"/>
      <c r="BR2043" s="314"/>
      <c r="BS2043" s="314"/>
      <c r="BT2043" s="314"/>
      <c r="BU2043" s="314"/>
      <c r="BV2043" s="314"/>
      <c r="BW2043" s="314"/>
      <c r="BX2043" s="155"/>
    </row>
    <row r="2044" spans="1:76" ht="15.75" customHeight="1">
      <c r="A2044" s="25"/>
      <c r="B2044" s="39"/>
      <c r="C2044" s="155"/>
      <c r="D2044" s="155"/>
      <c r="E2044" s="40"/>
      <c r="F2044" s="314"/>
      <c r="H2044" s="315"/>
      <c r="I2044" s="315"/>
      <c r="BA2044" s="30"/>
      <c r="BB2044" s="155"/>
      <c r="BC2044" s="314"/>
      <c r="BD2044" s="314"/>
      <c r="BE2044" s="314"/>
      <c r="BF2044" s="314"/>
      <c r="BG2044" s="314"/>
      <c r="BH2044" s="314"/>
      <c r="BI2044" s="314"/>
      <c r="BJ2044" s="314"/>
      <c r="BK2044" s="40"/>
      <c r="BL2044" s="40"/>
      <c r="BM2044" s="40"/>
      <c r="BN2044" s="40"/>
      <c r="BO2044" s="40"/>
      <c r="BP2044" s="155"/>
      <c r="BQ2044" s="314"/>
      <c r="BR2044" s="314"/>
      <c r="BS2044" s="314"/>
      <c r="BT2044" s="314"/>
      <c r="BU2044" s="314"/>
      <c r="BV2044" s="314"/>
      <c r="BW2044" s="314"/>
      <c r="BX2044" s="155"/>
    </row>
    <row r="2045" spans="1:76" ht="15.75" customHeight="1">
      <c r="A2045" s="25"/>
      <c r="B2045" s="39"/>
      <c r="C2045" s="155"/>
      <c r="D2045" s="155"/>
      <c r="E2045" s="40"/>
      <c r="F2045" s="314"/>
      <c r="H2045" s="315"/>
      <c r="I2045" s="315"/>
      <c r="BA2045" s="30"/>
      <c r="BB2045" s="155"/>
      <c r="BC2045" s="314"/>
      <c r="BD2045" s="314"/>
      <c r="BE2045" s="314"/>
      <c r="BF2045" s="314"/>
      <c r="BG2045" s="314"/>
      <c r="BH2045" s="314"/>
      <c r="BI2045" s="314"/>
      <c r="BJ2045" s="314"/>
      <c r="BK2045" s="40"/>
      <c r="BL2045" s="40"/>
      <c r="BM2045" s="40"/>
      <c r="BN2045" s="40"/>
      <c r="BO2045" s="40"/>
      <c r="BP2045" s="155"/>
      <c r="BQ2045" s="314"/>
      <c r="BR2045" s="314"/>
      <c r="BS2045" s="314"/>
      <c r="BT2045" s="314"/>
      <c r="BU2045" s="314"/>
      <c r="BV2045" s="314"/>
      <c r="BW2045" s="314"/>
      <c r="BX2045" s="155"/>
    </row>
    <row r="2046" spans="1:76" ht="15.75" customHeight="1">
      <c r="A2046" s="25"/>
      <c r="B2046" s="39"/>
      <c r="C2046" s="155"/>
      <c r="D2046" s="155"/>
      <c r="E2046" s="40"/>
      <c r="F2046" s="314"/>
      <c r="H2046" s="315"/>
      <c r="I2046" s="315"/>
      <c r="BA2046" s="30"/>
      <c r="BB2046" s="155"/>
      <c r="BC2046" s="314"/>
      <c r="BD2046" s="314"/>
      <c r="BE2046" s="314"/>
      <c r="BF2046" s="314"/>
      <c r="BG2046" s="314"/>
      <c r="BH2046" s="314"/>
      <c r="BI2046" s="314"/>
      <c r="BJ2046" s="314"/>
      <c r="BK2046" s="40"/>
      <c r="BL2046" s="40"/>
      <c r="BM2046" s="40"/>
      <c r="BN2046" s="40"/>
      <c r="BO2046" s="40"/>
      <c r="BP2046" s="155"/>
      <c r="BQ2046" s="314"/>
      <c r="BR2046" s="314"/>
      <c r="BS2046" s="314"/>
      <c r="BT2046" s="314"/>
      <c r="BU2046" s="314"/>
      <c r="BV2046" s="314"/>
      <c r="BW2046" s="314"/>
      <c r="BX2046" s="155"/>
    </row>
    <row r="2047" spans="1:76" ht="15.75" customHeight="1">
      <c r="A2047" s="25"/>
      <c r="B2047" s="39"/>
      <c r="C2047" s="155"/>
      <c r="D2047" s="155"/>
      <c r="E2047" s="40"/>
      <c r="F2047" s="314"/>
      <c r="H2047" s="315"/>
      <c r="I2047" s="315"/>
      <c r="BA2047" s="30"/>
      <c r="BB2047" s="155"/>
      <c r="BC2047" s="314"/>
      <c r="BD2047" s="314"/>
      <c r="BE2047" s="314"/>
      <c r="BF2047" s="314"/>
      <c r="BG2047" s="314"/>
      <c r="BH2047" s="314"/>
      <c r="BI2047" s="314"/>
      <c r="BJ2047" s="314"/>
      <c r="BK2047" s="40"/>
      <c r="BL2047" s="40"/>
      <c r="BM2047" s="40"/>
      <c r="BN2047" s="40"/>
      <c r="BO2047" s="40"/>
      <c r="BP2047" s="155"/>
      <c r="BQ2047" s="314"/>
      <c r="BR2047" s="314"/>
      <c r="BS2047" s="314"/>
      <c r="BT2047" s="314"/>
      <c r="BU2047" s="314"/>
      <c r="BV2047" s="314"/>
      <c r="BW2047" s="314"/>
      <c r="BX2047" s="155"/>
    </row>
    <row r="2048" spans="1:76" ht="15.75" customHeight="1">
      <c r="A2048" s="25"/>
      <c r="B2048" s="39"/>
      <c r="C2048" s="155"/>
      <c r="D2048" s="155"/>
      <c r="E2048" s="40"/>
      <c r="F2048" s="314"/>
      <c r="H2048" s="315"/>
      <c r="I2048" s="315"/>
      <c r="BA2048" s="30"/>
      <c r="BB2048" s="155"/>
      <c r="BC2048" s="314"/>
      <c r="BD2048" s="314"/>
      <c r="BE2048" s="314"/>
      <c r="BF2048" s="314"/>
      <c r="BG2048" s="314"/>
      <c r="BH2048" s="314"/>
      <c r="BI2048" s="314"/>
      <c r="BJ2048" s="314"/>
      <c r="BK2048" s="40"/>
      <c r="BL2048" s="40"/>
      <c r="BM2048" s="40"/>
      <c r="BN2048" s="40"/>
      <c r="BO2048" s="40"/>
      <c r="BP2048" s="155"/>
      <c r="BQ2048" s="314"/>
      <c r="BR2048" s="314"/>
      <c r="BS2048" s="314"/>
      <c r="BT2048" s="314"/>
      <c r="BU2048" s="314"/>
      <c r="BV2048" s="314"/>
      <c r="BW2048" s="314"/>
      <c r="BX2048" s="155"/>
    </row>
    <row r="2049" spans="1:76" ht="15.75" customHeight="1">
      <c r="A2049" s="25"/>
      <c r="B2049" s="39"/>
      <c r="C2049" s="155"/>
      <c r="D2049" s="155"/>
      <c r="E2049" s="40"/>
      <c r="F2049" s="314"/>
      <c r="H2049" s="315"/>
      <c r="I2049" s="315"/>
      <c r="BA2049" s="30"/>
      <c r="BB2049" s="155"/>
      <c r="BC2049" s="314"/>
      <c r="BD2049" s="314"/>
      <c r="BE2049" s="314"/>
      <c r="BF2049" s="314"/>
      <c r="BG2049" s="314"/>
      <c r="BH2049" s="314"/>
      <c r="BI2049" s="314"/>
      <c r="BJ2049" s="314"/>
      <c r="BK2049" s="40"/>
      <c r="BL2049" s="40"/>
      <c r="BM2049" s="40"/>
      <c r="BN2049" s="40"/>
      <c r="BO2049" s="40"/>
      <c r="BP2049" s="155"/>
      <c r="BQ2049" s="314"/>
      <c r="BR2049" s="314"/>
      <c r="BS2049" s="314"/>
      <c r="BT2049" s="314"/>
      <c r="BU2049" s="314"/>
      <c r="BV2049" s="314"/>
      <c r="BW2049" s="314"/>
      <c r="BX2049" s="155"/>
    </row>
    <row r="2050" spans="1:76" ht="15.75" customHeight="1">
      <c r="A2050" s="25"/>
      <c r="B2050" s="39"/>
      <c r="C2050" s="155"/>
      <c r="D2050" s="155"/>
      <c r="E2050" s="40"/>
      <c r="F2050" s="314"/>
      <c r="H2050" s="315"/>
      <c r="I2050" s="315"/>
      <c r="BA2050" s="30"/>
      <c r="BB2050" s="155"/>
      <c r="BC2050" s="314"/>
      <c r="BD2050" s="314"/>
      <c r="BE2050" s="314"/>
      <c r="BF2050" s="314"/>
      <c r="BG2050" s="314"/>
      <c r="BH2050" s="314"/>
      <c r="BI2050" s="314"/>
      <c r="BJ2050" s="314"/>
      <c r="BK2050" s="40"/>
      <c r="BL2050" s="40"/>
      <c r="BM2050" s="40"/>
      <c r="BN2050" s="40"/>
      <c r="BO2050" s="40"/>
      <c r="BP2050" s="155"/>
      <c r="BQ2050" s="314"/>
      <c r="BR2050" s="314"/>
      <c r="BS2050" s="314"/>
      <c r="BT2050" s="314"/>
      <c r="BU2050" s="314"/>
      <c r="BV2050" s="314"/>
      <c r="BW2050" s="314"/>
      <c r="BX2050" s="155"/>
    </row>
    <row r="2051" spans="1:76" ht="15.75" customHeight="1">
      <c r="A2051" s="25"/>
      <c r="B2051" s="39"/>
      <c r="C2051" s="155"/>
      <c r="D2051" s="155"/>
      <c r="E2051" s="40"/>
      <c r="F2051" s="314"/>
      <c r="H2051" s="315"/>
      <c r="I2051" s="315"/>
      <c r="BA2051" s="30"/>
      <c r="BB2051" s="155"/>
      <c r="BC2051" s="314"/>
      <c r="BD2051" s="314"/>
      <c r="BE2051" s="314"/>
      <c r="BF2051" s="314"/>
      <c r="BG2051" s="314"/>
      <c r="BH2051" s="314"/>
      <c r="BI2051" s="314"/>
      <c r="BJ2051" s="314"/>
      <c r="BK2051" s="40"/>
      <c r="BL2051" s="40"/>
      <c r="BM2051" s="40"/>
      <c r="BN2051" s="40"/>
      <c r="BO2051" s="40"/>
      <c r="BP2051" s="155"/>
      <c r="BQ2051" s="314"/>
      <c r="BR2051" s="314"/>
      <c r="BS2051" s="314"/>
      <c r="BT2051" s="314"/>
      <c r="BU2051" s="314"/>
      <c r="BV2051" s="314"/>
      <c r="BW2051" s="314"/>
      <c r="BX2051" s="155"/>
    </row>
    <row r="2052" spans="1:76" ht="15.75" customHeight="1">
      <c r="A2052" s="25"/>
      <c r="B2052" s="39"/>
      <c r="C2052" s="155"/>
      <c r="D2052" s="155"/>
      <c r="E2052" s="40"/>
      <c r="F2052" s="314"/>
      <c r="H2052" s="315"/>
      <c r="I2052" s="315"/>
      <c r="BA2052" s="30"/>
      <c r="BB2052" s="155"/>
      <c r="BC2052" s="314"/>
      <c r="BD2052" s="314"/>
      <c r="BE2052" s="314"/>
      <c r="BF2052" s="314"/>
      <c r="BG2052" s="314"/>
      <c r="BH2052" s="314"/>
      <c r="BI2052" s="314"/>
      <c r="BJ2052" s="314"/>
      <c r="BK2052" s="40"/>
      <c r="BL2052" s="40"/>
      <c r="BM2052" s="40"/>
      <c r="BN2052" s="40"/>
      <c r="BO2052" s="40"/>
      <c r="BP2052" s="155"/>
      <c r="BQ2052" s="314"/>
      <c r="BR2052" s="314"/>
      <c r="BS2052" s="314"/>
      <c r="BT2052" s="314"/>
      <c r="BU2052" s="314"/>
      <c r="BV2052" s="314"/>
      <c r="BW2052" s="314"/>
      <c r="BX2052" s="155"/>
    </row>
    <row r="2053" spans="1:76" ht="15.75" customHeight="1">
      <c r="A2053" s="25"/>
      <c r="B2053" s="39"/>
      <c r="C2053" s="155"/>
      <c r="D2053" s="155"/>
      <c r="E2053" s="40"/>
      <c r="F2053" s="314"/>
      <c r="H2053" s="315"/>
      <c r="I2053" s="315"/>
      <c r="BA2053" s="30"/>
      <c r="BB2053" s="155"/>
      <c r="BC2053" s="314"/>
      <c r="BD2053" s="314"/>
      <c r="BE2053" s="314"/>
      <c r="BF2053" s="314"/>
      <c r="BG2053" s="314"/>
      <c r="BH2053" s="314"/>
      <c r="BI2053" s="314"/>
      <c r="BJ2053" s="314"/>
      <c r="BK2053" s="40"/>
      <c r="BL2053" s="40"/>
      <c r="BM2053" s="40"/>
      <c r="BN2053" s="40"/>
      <c r="BO2053" s="40"/>
      <c r="BP2053" s="155"/>
      <c r="BQ2053" s="314"/>
      <c r="BR2053" s="314"/>
      <c r="BS2053" s="314"/>
      <c r="BT2053" s="314"/>
      <c r="BU2053" s="314"/>
      <c r="BV2053" s="314"/>
      <c r="BW2053" s="314"/>
      <c r="BX2053" s="155"/>
    </row>
    <row r="2054" spans="1:76" ht="15.75" customHeight="1">
      <c r="A2054" s="25"/>
      <c r="B2054" s="39"/>
      <c r="C2054" s="155"/>
      <c r="D2054" s="155"/>
      <c r="E2054" s="40"/>
      <c r="F2054" s="314"/>
      <c r="H2054" s="315"/>
      <c r="I2054" s="315"/>
      <c r="BA2054" s="30"/>
      <c r="BB2054" s="155"/>
      <c r="BC2054" s="314"/>
      <c r="BD2054" s="314"/>
      <c r="BE2054" s="314"/>
      <c r="BF2054" s="314"/>
      <c r="BG2054" s="314"/>
      <c r="BH2054" s="314"/>
      <c r="BI2054" s="314"/>
      <c r="BJ2054" s="314"/>
      <c r="BK2054" s="40"/>
      <c r="BL2054" s="40"/>
      <c r="BM2054" s="40"/>
      <c r="BN2054" s="40"/>
      <c r="BO2054" s="40"/>
      <c r="BP2054" s="155"/>
      <c r="BQ2054" s="314"/>
      <c r="BR2054" s="314"/>
      <c r="BS2054" s="314"/>
      <c r="BT2054" s="314"/>
      <c r="BU2054" s="314"/>
      <c r="BV2054" s="314"/>
      <c r="BW2054" s="314"/>
      <c r="BX2054" s="155"/>
    </row>
    <row r="2055" spans="1:76" ht="15.75" customHeight="1">
      <c r="A2055" s="25"/>
      <c r="B2055" s="39"/>
      <c r="C2055" s="155"/>
      <c r="D2055" s="155"/>
      <c r="E2055" s="40"/>
      <c r="F2055" s="314"/>
      <c r="H2055" s="315"/>
      <c r="I2055" s="315"/>
      <c r="BA2055" s="30"/>
      <c r="BB2055" s="155"/>
      <c r="BC2055" s="314"/>
      <c r="BD2055" s="314"/>
      <c r="BE2055" s="314"/>
      <c r="BF2055" s="314"/>
      <c r="BG2055" s="314"/>
      <c r="BH2055" s="314"/>
      <c r="BI2055" s="314"/>
      <c r="BJ2055" s="314"/>
      <c r="BK2055" s="40"/>
      <c r="BL2055" s="40"/>
      <c r="BM2055" s="40"/>
      <c r="BN2055" s="40"/>
      <c r="BO2055" s="40"/>
      <c r="BP2055" s="155"/>
      <c r="BQ2055" s="314"/>
      <c r="BR2055" s="314"/>
      <c r="BS2055" s="314"/>
      <c r="BT2055" s="314"/>
      <c r="BU2055" s="314"/>
      <c r="BV2055" s="314"/>
      <c r="BW2055" s="314"/>
      <c r="BX2055" s="155"/>
    </row>
    <row r="2056" spans="1:76" ht="15.75" customHeight="1">
      <c r="A2056" s="25"/>
      <c r="B2056" s="39"/>
      <c r="C2056" s="155"/>
      <c r="D2056" s="155"/>
      <c r="E2056" s="40"/>
      <c r="F2056" s="314"/>
      <c r="H2056" s="315"/>
      <c r="I2056" s="315"/>
      <c r="BA2056" s="30"/>
      <c r="BB2056" s="155"/>
      <c r="BC2056" s="314"/>
      <c r="BD2056" s="314"/>
      <c r="BE2056" s="314"/>
      <c r="BF2056" s="314"/>
      <c r="BG2056" s="314"/>
      <c r="BH2056" s="314"/>
      <c r="BI2056" s="314"/>
      <c r="BJ2056" s="314"/>
      <c r="BK2056" s="40"/>
      <c r="BL2056" s="40"/>
      <c r="BM2056" s="40"/>
      <c r="BN2056" s="40"/>
      <c r="BO2056" s="40"/>
      <c r="BP2056" s="155"/>
      <c r="BQ2056" s="314"/>
      <c r="BR2056" s="314"/>
      <c r="BS2056" s="314"/>
      <c r="BT2056" s="314"/>
      <c r="BU2056" s="314"/>
      <c r="BV2056" s="314"/>
      <c r="BW2056" s="314"/>
      <c r="BX2056" s="155"/>
    </row>
    <row r="2057" spans="1:76" ht="15.75" customHeight="1">
      <c r="A2057" s="25"/>
      <c r="B2057" s="39"/>
      <c r="C2057" s="155"/>
      <c r="D2057" s="155"/>
      <c r="E2057" s="40"/>
      <c r="F2057" s="314"/>
      <c r="H2057" s="315"/>
      <c r="I2057" s="315"/>
      <c r="BA2057" s="30"/>
      <c r="BB2057" s="155"/>
      <c r="BC2057" s="314"/>
      <c r="BD2057" s="314"/>
      <c r="BE2057" s="314"/>
      <c r="BF2057" s="314"/>
      <c r="BG2057" s="314"/>
      <c r="BH2057" s="314"/>
      <c r="BI2057" s="314"/>
      <c r="BJ2057" s="314"/>
      <c r="BK2057" s="40"/>
      <c r="BL2057" s="40"/>
      <c r="BM2057" s="40"/>
      <c r="BN2057" s="40"/>
      <c r="BO2057" s="40"/>
      <c r="BP2057" s="155"/>
      <c r="BQ2057" s="314"/>
      <c r="BR2057" s="314"/>
      <c r="BS2057" s="314"/>
      <c r="BT2057" s="314"/>
      <c r="BU2057" s="314"/>
      <c r="BV2057" s="314"/>
      <c r="BW2057" s="314"/>
      <c r="BX2057" s="155"/>
    </row>
    <row r="2058" spans="1:76" ht="15.75" customHeight="1">
      <c r="A2058" s="25"/>
      <c r="B2058" s="39"/>
      <c r="C2058" s="155"/>
      <c r="D2058" s="155"/>
      <c r="E2058" s="40"/>
      <c r="F2058" s="314"/>
      <c r="H2058" s="315"/>
      <c r="I2058" s="315"/>
      <c r="BA2058" s="30"/>
      <c r="BB2058" s="155"/>
      <c r="BC2058" s="314"/>
      <c r="BD2058" s="314"/>
      <c r="BE2058" s="314"/>
      <c r="BF2058" s="314"/>
      <c r="BG2058" s="314"/>
      <c r="BH2058" s="314"/>
      <c r="BI2058" s="314"/>
      <c r="BJ2058" s="314"/>
      <c r="BK2058" s="40"/>
      <c r="BL2058" s="40"/>
      <c r="BM2058" s="40"/>
      <c r="BN2058" s="40"/>
      <c r="BO2058" s="40"/>
      <c r="BP2058" s="155"/>
      <c r="BQ2058" s="314"/>
      <c r="BR2058" s="314"/>
      <c r="BS2058" s="314"/>
      <c r="BT2058" s="314"/>
      <c r="BU2058" s="314"/>
      <c r="BV2058" s="314"/>
      <c r="BW2058" s="314"/>
      <c r="BX2058" s="155"/>
    </row>
    <row r="2059" spans="1:76" ht="15.75" customHeight="1">
      <c r="A2059" s="25"/>
      <c r="B2059" s="39"/>
      <c r="C2059" s="155"/>
      <c r="D2059" s="155"/>
      <c r="E2059" s="40"/>
      <c r="F2059" s="314"/>
      <c r="H2059" s="315"/>
      <c r="I2059" s="315"/>
      <c r="BA2059" s="30"/>
      <c r="BB2059" s="155"/>
      <c r="BC2059" s="314"/>
      <c r="BD2059" s="314"/>
      <c r="BE2059" s="314"/>
      <c r="BF2059" s="314"/>
      <c r="BG2059" s="314"/>
      <c r="BH2059" s="314"/>
      <c r="BI2059" s="314"/>
      <c r="BJ2059" s="314"/>
      <c r="BK2059" s="40"/>
      <c r="BL2059" s="40"/>
      <c r="BM2059" s="40"/>
      <c r="BN2059" s="40"/>
      <c r="BO2059" s="40"/>
      <c r="BP2059" s="155"/>
      <c r="BQ2059" s="314"/>
      <c r="BR2059" s="314"/>
      <c r="BS2059" s="314"/>
      <c r="BT2059" s="314"/>
      <c r="BU2059" s="314"/>
      <c r="BV2059" s="314"/>
      <c r="BW2059" s="314"/>
      <c r="BX2059" s="155"/>
    </row>
    <row r="2060" spans="1:76" ht="15.75" customHeight="1">
      <c r="A2060" s="25"/>
      <c r="B2060" s="39"/>
      <c r="C2060" s="155"/>
      <c r="D2060" s="155"/>
      <c r="E2060" s="40"/>
      <c r="F2060" s="314"/>
      <c r="H2060" s="315"/>
      <c r="I2060" s="315"/>
      <c r="BA2060" s="30"/>
      <c r="BB2060" s="155"/>
      <c r="BC2060" s="314"/>
      <c r="BD2060" s="314"/>
      <c r="BE2060" s="314"/>
      <c r="BF2060" s="314"/>
      <c r="BG2060" s="314"/>
      <c r="BH2060" s="314"/>
      <c r="BI2060" s="314"/>
      <c r="BJ2060" s="314"/>
      <c r="BK2060" s="40"/>
      <c r="BL2060" s="40"/>
      <c r="BM2060" s="40"/>
      <c r="BN2060" s="40"/>
      <c r="BO2060" s="40"/>
      <c r="BP2060" s="155"/>
      <c r="BQ2060" s="314"/>
      <c r="BR2060" s="314"/>
      <c r="BS2060" s="314"/>
      <c r="BT2060" s="314"/>
      <c r="BU2060" s="314"/>
      <c r="BV2060" s="314"/>
      <c r="BW2060" s="314"/>
      <c r="BX2060" s="155"/>
    </row>
    <row r="2061" spans="1:76" ht="15.75" customHeight="1">
      <c r="A2061" s="25"/>
      <c r="B2061" s="39"/>
      <c r="C2061" s="155"/>
      <c r="D2061" s="155"/>
      <c r="E2061" s="40"/>
      <c r="F2061" s="314"/>
      <c r="H2061" s="315"/>
      <c r="I2061" s="315"/>
      <c r="BA2061" s="30"/>
      <c r="BB2061" s="155"/>
      <c r="BC2061" s="314"/>
      <c r="BD2061" s="314"/>
      <c r="BE2061" s="314"/>
      <c r="BF2061" s="314"/>
      <c r="BG2061" s="314"/>
      <c r="BH2061" s="314"/>
      <c r="BI2061" s="314"/>
      <c r="BJ2061" s="314"/>
      <c r="BK2061" s="40"/>
      <c r="BL2061" s="40"/>
      <c r="BM2061" s="40"/>
      <c r="BN2061" s="40"/>
      <c r="BO2061" s="40"/>
      <c r="BP2061" s="155"/>
      <c r="BQ2061" s="314"/>
      <c r="BR2061" s="314"/>
      <c r="BS2061" s="314"/>
      <c r="BT2061" s="314"/>
      <c r="BU2061" s="314"/>
      <c r="BV2061" s="314"/>
      <c r="BW2061" s="314"/>
      <c r="BX2061" s="155"/>
    </row>
    <row r="2062" spans="1:76" ht="15.75" customHeight="1">
      <c r="A2062" s="25"/>
      <c r="B2062" s="39"/>
      <c r="C2062" s="155"/>
      <c r="D2062" s="155"/>
      <c r="E2062" s="40"/>
      <c r="F2062" s="314"/>
      <c r="H2062" s="315"/>
      <c r="I2062" s="315"/>
      <c r="BA2062" s="30"/>
      <c r="BB2062" s="155"/>
      <c r="BC2062" s="314"/>
      <c r="BD2062" s="314"/>
      <c r="BE2062" s="314"/>
      <c r="BF2062" s="314"/>
      <c r="BG2062" s="314"/>
      <c r="BH2062" s="314"/>
      <c r="BI2062" s="314"/>
      <c r="BJ2062" s="314"/>
      <c r="BK2062" s="40"/>
      <c r="BL2062" s="40"/>
      <c r="BM2062" s="40"/>
      <c r="BN2062" s="40"/>
      <c r="BO2062" s="40"/>
      <c r="BP2062" s="155"/>
      <c r="BQ2062" s="314"/>
      <c r="BR2062" s="314"/>
      <c r="BS2062" s="314"/>
      <c r="BT2062" s="314"/>
      <c r="BU2062" s="314"/>
      <c r="BV2062" s="314"/>
      <c r="BW2062" s="314"/>
      <c r="BX2062" s="155"/>
    </row>
    <row r="2063" spans="1:76" ht="15.75" customHeight="1">
      <c r="A2063" s="25"/>
      <c r="B2063" s="39"/>
      <c r="C2063" s="155"/>
      <c r="D2063" s="155"/>
      <c r="E2063" s="40"/>
      <c r="F2063" s="314"/>
      <c r="H2063" s="315"/>
      <c r="I2063" s="315"/>
      <c r="BA2063" s="30"/>
      <c r="BB2063" s="155"/>
      <c r="BC2063" s="314"/>
      <c r="BD2063" s="314"/>
      <c r="BE2063" s="314"/>
      <c r="BF2063" s="314"/>
      <c r="BG2063" s="314"/>
      <c r="BH2063" s="314"/>
      <c r="BI2063" s="314"/>
      <c r="BJ2063" s="314"/>
      <c r="BK2063" s="40"/>
      <c r="BL2063" s="40"/>
      <c r="BM2063" s="40"/>
      <c r="BN2063" s="40"/>
      <c r="BO2063" s="40"/>
      <c r="BP2063" s="155"/>
      <c r="BQ2063" s="314"/>
      <c r="BR2063" s="314"/>
      <c r="BS2063" s="314"/>
      <c r="BT2063" s="314"/>
      <c r="BU2063" s="314"/>
      <c r="BV2063" s="314"/>
      <c r="BW2063" s="314"/>
      <c r="BX2063" s="155"/>
    </row>
    <row r="2064" spans="1:76" ht="15.75" customHeight="1">
      <c r="A2064" s="25"/>
      <c r="B2064" s="39"/>
      <c r="C2064" s="155"/>
      <c r="D2064" s="155"/>
      <c r="E2064" s="40"/>
      <c r="F2064" s="314"/>
      <c r="H2064" s="315"/>
      <c r="I2064" s="315"/>
      <c r="BA2064" s="30"/>
      <c r="BB2064" s="155"/>
      <c r="BC2064" s="314"/>
      <c r="BD2064" s="314"/>
      <c r="BE2064" s="314"/>
      <c r="BF2064" s="314"/>
      <c r="BG2064" s="314"/>
      <c r="BH2064" s="314"/>
      <c r="BI2064" s="314"/>
      <c r="BJ2064" s="314"/>
      <c r="BK2064" s="40"/>
      <c r="BL2064" s="40"/>
      <c r="BM2064" s="40"/>
      <c r="BN2064" s="40"/>
      <c r="BO2064" s="40"/>
      <c r="BP2064" s="155"/>
      <c r="BQ2064" s="314"/>
      <c r="BR2064" s="314"/>
      <c r="BS2064" s="314"/>
      <c r="BT2064" s="314"/>
      <c r="BU2064" s="314"/>
      <c r="BV2064" s="314"/>
      <c r="BW2064" s="314"/>
      <c r="BX2064" s="155"/>
    </row>
    <row r="2065" spans="1:76" ht="15.75" customHeight="1">
      <c r="A2065" s="25"/>
      <c r="B2065" s="39"/>
      <c r="C2065" s="155"/>
      <c r="D2065" s="155"/>
      <c r="E2065" s="40"/>
      <c r="F2065" s="314"/>
      <c r="H2065" s="315"/>
      <c r="I2065" s="315"/>
      <c r="BA2065" s="30"/>
      <c r="BB2065" s="155"/>
      <c r="BC2065" s="314"/>
      <c r="BD2065" s="314"/>
      <c r="BE2065" s="314"/>
      <c r="BF2065" s="314"/>
      <c r="BG2065" s="314"/>
      <c r="BH2065" s="314"/>
      <c r="BI2065" s="314"/>
      <c r="BJ2065" s="314"/>
      <c r="BK2065" s="40"/>
      <c r="BL2065" s="40"/>
      <c r="BM2065" s="40"/>
      <c r="BN2065" s="40"/>
      <c r="BO2065" s="40"/>
      <c r="BP2065" s="155"/>
      <c r="BQ2065" s="314"/>
      <c r="BR2065" s="314"/>
      <c r="BS2065" s="314"/>
      <c r="BT2065" s="314"/>
      <c r="BU2065" s="314"/>
      <c r="BV2065" s="314"/>
      <c r="BW2065" s="314"/>
      <c r="BX2065" s="155"/>
    </row>
    <row r="2066" spans="1:76" ht="15.75" customHeight="1">
      <c r="A2066" s="25"/>
      <c r="B2066" s="39"/>
      <c r="C2066" s="155"/>
      <c r="D2066" s="155"/>
      <c r="E2066" s="40"/>
      <c r="F2066" s="314"/>
      <c r="H2066" s="315"/>
      <c r="I2066" s="315"/>
      <c r="BA2066" s="30"/>
      <c r="BB2066" s="155"/>
      <c r="BC2066" s="314"/>
      <c r="BD2066" s="314"/>
      <c r="BE2066" s="314"/>
      <c r="BF2066" s="314"/>
      <c r="BG2066" s="314"/>
      <c r="BH2066" s="314"/>
      <c r="BI2066" s="314"/>
      <c r="BJ2066" s="314"/>
      <c r="BK2066" s="40"/>
      <c r="BL2066" s="40"/>
      <c r="BM2066" s="40"/>
      <c r="BN2066" s="40"/>
      <c r="BO2066" s="40"/>
      <c r="BP2066" s="155"/>
      <c r="BQ2066" s="314"/>
      <c r="BR2066" s="314"/>
      <c r="BS2066" s="314"/>
      <c r="BT2066" s="314"/>
      <c r="BU2066" s="314"/>
      <c r="BV2066" s="314"/>
      <c r="BW2066" s="314"/>
      <c r="BX2066" s="155"/>
    </row>
    <row r="2067" spans="1:76" ht="15.75" customHeight="1">
      <c r="A2067" s="25"/>
      <c r="B2067" s="39"/>
      <c r="C2067" s="155"/>
      <c r="D2067" s="155"/>
      <c r="E2067" s="40"/>
      <c r="F2067" s="314"/>
      <c r="H2067" s="315"/>
      <c r="I2067" s="315"/>
      <c r="BA2067" s="30"/>
      <c r="BB2067" s="155"/>
      <c r="BC2067" s="314"/>
      <c r="BD2067" s="314"/>
      <c r="BE2067" s="314"/>
      <c r="BF2067" s="314"/>
      <c r="BG2067" s="314"/>
      <c r="BH2067" s="314"/>
      <c r="BI2067" s="314"/>
      <c r="BJ2067" s="314"/>
      <c r="BK2067" s="40"/>
      <c r="BL2067" s="40"/>
      <c r="BM2067" s="40"/>
      <c r="BN2067" s="40"/>
      <c r="BO2067" s="40"/>
      <c r="BP2067" s="155"/>
      <c r="BQ2067" s="314"/>
      <c r="BR2067" s="314"/>
      <c r="BS2067" s="314"/>
      <c r="BT2067" s="314"/>
      <c r="BU2067" s="314"/>
      <c r="BV2067" s="314"/>
      <c r="BW2067" s="314"/>
      <c r="BX2067" s="155"/>
    </row>
    <row r="2068" spans="1:76" ht="15.75" customHeight="1">
      <c r="A2068" s="25"/>
      <c r="B2068" s="39"/>
      <c r="C2068" s="155"/>
      <c r="D2068" s="155"/>
      <c r="E2068" s="40"/>
      <c r="F2068" s="314"/>
      <c r="H2068" s="315"/>
      <c r="I2068" s="315"/>
      <c r="BA2068" s="30"/>
      <c r="BB2068" s="155"/>
      <c r="BC2068" s="314"/>
      <c r="BD2068" s="314"/>
      <c r="BE2068" s="314"/>
      <c r="BF2068" s="314"/>
      <c r="BG2068" s="314"/>
      <c r="BH2068" s="314"/>
      <c r="BI2068" s="314"/>
      <c r="BJ2068" s="314"/>
      <c r="BK2068" s="40"/>
      <c r="BL2068" s="40"/>
      <c r="BM2068" s="40"/>
      <c r="BN2068" s="40"/>
      <c r="BO2068" s="40"/>
      <c r="BP2068" s="155"/>
      <c r="BQ2068" s="314"/>
      <c r="BR2068" s="314"/>
      <c r="BS2068" s="314"/>
      <c r="BT2068" s="314"/>
      <c r="BU2068" s="314"/>
      <c r="BV2068" s="314"/>
      <c r="BW2068" s="314"/>
      <c r="BX2068" s="155"/>
    </row>
    <row r="2069" spans="1:76" ht="15.75" customHeight="1">
      <c r="A2069" s="25"/>
      <c r="B2069" s="39"/>
      <c r="C2069" s="155"/>
      <c r="D2069" s="155"/>
      <c r="E2069" s="40"/>
      <c r="F2069" s="314"/>
      <c r="H2069" s="315"/>
      <c r="I2069" s="315"/>
      <c r="BA2069" s="30"/>
      <c r="BB2069" s="155"/>
      <c r="BC2069" s="322"/>
      <c r="BD2069" s="322"/>
      <c r="BE2069" s="322"/>
      <c r="BF2069" s="322"/>
      <c r="BG2069" s="322"/>
      <c r="BH2069" s="322"/>
      <c r="BI2069" s="322"/>
      <c r="BJ2069" s="322"/>
      <c r="BK2069" s="341"/>
      <c r="BL2069" s="40"/>
      <c r="BM2069" s="40"/>
      <c r="BN2069" s="40"/>
      <c r="BO2069" s="40"/>
      <c r="BP2069" s="155"/>
      <c r="BQ2069" s="314"/>
      <c r="BR2069" s="314"/>
      <c r="BS2069" s="314"/>
      <c r="BT2069" s="314"/>
      <c r="BU2069" s="314"/>
      <c r="BV2069" s="314"/>
      <c r="BW2069" s="314"/>
      <c r="BX2069" s="155"/>
    </row>
    <row r="2070" spans="1:76" ht="15.75" customHeight="1">
      <c r="A2070" s="25"/>
      <c r="B2070" s="39"/>
      <c r="C2070" s="155"/>
      <c r="D2070" s="155"/>
      <c r="E2070" s="40"/>
      <c r="F2070" s="314"/>
      <c r="H2070" s="315"/>
      <c r="I2070" s="315"/>
      <c r="BA2070" s="30"/>
      <c r="BB2070" s="155"/>
      <c r="BC2070" s="314"/>
      <c r="BD2070" s="314"/>
      <c r="BE2070" s="314"/>
      <c r="BF2070" s="314"/>
      <c r="BG2070" s="314"/>
      <c r="BH2070" s="314"/>
      <c r="BI2070" s="314"/>
      <c r="BJ2070" s="314"/>
      <c r="BK2070" s="40"/>
      <c r="BL2070" s="40"/>
      <c r="BM2070" s="40"/>
      <c r="BN2070" s="40"/>
      <c r="BO2070" s="40"/>
      <c r="BP2070" s="155"/>
      <c r="BQ2070" s="314"/>
      <c r="BR2070" s="314"/>
      <c r="BS2070" s="314"/>
      <c r="BT2070" s="314"/>
      <c r="BU2070" s="314"/>
      <c r="BV2070" s="314"/>
      <c r="BW2070" s="314"/>
      <c r="BX2070" s="155"/>
    </row>
    <row r="2071" spans="1:76" ht="15.75" customHeight="1">
      <c r="A2071" s="25"/>
      <c r="B2071" s="39"/>
      <c r="C2071" s="155"/>
      <c r="D2071" s="155"/>
      <c r="E2071" s="40"/>
      <c r="F2071" s="314"/>
      <c r="H2071" s="315"/>
      <c r="I2071" s="315"/>
      <c r="BA2071" s="30"/>
      <c r="BB2071" s="155"/>
      <c r="BC2071" s="314"/>
      <c r="BD2071" s="314"/>
      <c r="BE2071" s="314"/>
      <c r="BF2071" s="314"/>
      <c r="BG2071" s="314"/>
      <c r="BH2071" s="314"/>
      <c r="BI2071" s="314"/>
      <c r="BJ2071" s="314"/>
      <c r="BK2071" s="40"/>
      <c r="BL2071" s="40"/>
      <c r="BM2071" s="40"/>
      <c r="BN2071" s="40"/>
      <c r="BO2071" s="40"/>
      <c r="BP2071" s="155"/>
      <c r="BQ2071" s="314"/>
      <c r="BR2071" s="314"/>
      <c r="BS2071" s="314"/>
      <c r="BT2071" s="314"/>
      <c r="BU2071" s="314"/>
      <c r="BV2071" s="314"/>
      <c r="BW2071" s="314"/>
      <c r="BX2071" s="155"/>
    </row>
    <row r="2072" spans="1:76" ht="15.75" customHeight="1">
      <c r="A2072" s="25"/>
      <c r="B2072" s="39"/>
      <c r="C2072" s="155"/>
      <c r="D2072" s="155"/>
      <c r="E2072" s="40"/>
      <c r="F2072" s="314"/>
      <c r="H2072" s="315"/>
      <c r="I2072" s="315"/>
      <c r="BA2072" s="30"/>
      <c r="BB2072" s="155"/>
      <c r="BC2072" s="314"/>
      <c r="BD2072" s="314"/>
      <c r="BE2072" s="314"/>
      <c r="BF2072" s="314"/>
      <c r="BG2072" s="314"/>
      <c r="BH2072" s="314"/>
      <c r="BI2072" s="314"/>
      <c r="BJ2072" s="314"/>
      <c r="BK2072" s="40"/>
      <c r="BL2072" s="40"/>
      <c r="BM2072" s="40"/>
      <c r="BN2072" s="40"/>
      <c r="BO2072" s="40"/>
      <c r="BP2072" s="155"/>
      <c r="BQ2072" s="314"/>
      <c r="BR2072" s="314"/>
      <c r="BS2072" s="314"/>
      <c r="BT2072" s="314"/>
      <c r="BU2072" s="314"/>
      <c r="BV2072" s="314"/>
      <c r="BW2072" s="314"/>
      <c r="BX2072" s="155"/>
    </row>
    <row r="2073" spans="1:76" ht="15.75" customHeight="1">
      <c r="A2073" s="25"/>
      <c r="B2073" s="39"/>
      <c r="C2073" s="155"/>
      <c r="D2073" s="155"/>
      <c r="E2073" s="40"/>
      <c r="F2073" s="314"/>
      <c r="H2073" s="315"/>
      <c r="I2073" s="315"/>
      <c r="BA2073" s="30"/>
      <c r="BB2073" s="155"/>
      <c r="BC2073" s="314"/>
      <c r="BD2073" s="314"/>
      <c r="BE2073" s="314"/>
      <c r="BF2073" s="314"/>
      <c r="BG2073" s="314"/>
      <c r="BH2073" s="314"/>
      <c r="BI2073" s="314"/>
      <c r="BJ2073" s="314"/>
      <c r="BK2073" s="40"/>
      <c r="BL2073" s="40"/>
      <c r="BM2073" s="40"/>
      <c r="BN2073" s="40"/>
      <c r="BO2073" s="40"/>
      <c r="BP2073" s="155"/>
      <c r="BQ2073" s="314"/>
      <c r="BR2073" s="314"/>
      <c r="BS2073" s="314"/>
      <c r="BT2073" s="314"/>
      <c r="BU2073" s="314"/>
      <c r="BV2073" s="314"/>
      <c r="BW2073" s="314"/>
      <c r="BX2073" s="155"/>
    </row>
    <row r="2074" spans="1:76" ht="15.75" customHeight="1">
      <c r="A2074" s="25"/>
      <c r="B2074" s="39"/>
      <c r="C2074" s="155"/>
      <c r="D2074" s="155"/>
      <c r="E2074" s="40"/>
      <c r="F2074" s="314"/>
      <c r="H2074" s="315"/>
      <c r="I2074" s="315"/>
      <c r="BA2074" s="30"/>
      <c r="BB2074" s="155"/>
      <c r="BC2074" s="314"/>
      <c r="BD2074" s="314"/>
      <c r="BE2074" s="314"/>
      <c r="BF2074" s="314"/>
      <c r="BG2074" s="314"/>
      <c r="BH2074" s="314"/>
      <c r="BI2074" s="314"/>
      <c r="BJ2074" s="314"/>
      <c r="BK2074" s="40"/>
      <c r="BL2074" s="40"/>
      <c r="BM2074" s="40"/>
      <c r="BN2074" s="40"/>
      <c r="BO2074" s="40"/>
      <c r="BP2074" s="155"/>
      <c r="BQ2074" s="314"/>
      <c r="BR2074" s="314"/>
      <c r="BS2074" s="314"/>
      <c r="BT2074" s="314"/>
      <c r="BU2074" s="314"/>
      <c r="BV2074" s="314"/>
      <c r="BW2074" s="314"/>
      <c r="BX2074" s="155"/>
    </row>
    <row r="2075" spans="1:76" ht="15.75" customHeight="1">
      <c r="A2075" s="25"/>
      <c r="B2075" s="39"/>
      <c r="C2075" s="155"/>
      <c r="D2075" s="155"/>
      <c r="E2075" s="40"/>
      <c r="F2075" s="314"/>
      <c r="H2075" s="315"/>
      <c r="I2075" s="315"/>
      <c r="BA2075" s="30"/>
      <c r="BB2075" s="155"/>
      <c r="BC2075" s="314"/>
      <c r="BD2075" s="314"/>
      <c r="BE2075" s="314"/>
      <c r="BF2075" s="314"/>
      <c r="BG2075" s="314"/>
      <c r="BH2075" s="314"/>
      <c r="BI2075" s="314"/>
      <c r="BJ2075" s="314"/>
      <c r="BK2075" s="40"/>
      <c r="BL2075" s="40"/>
      <c r="BM2075" s="40"/>
      <c r="BN2075" s="40"/>
      <c r="BO2075" s="40"/>
      <c r="BP2075" s="155"/>
      <c r="BQ2075" s="314"/>
      <c r="BR2075" s="314"/>
      <c r="BS2075" s="314"/>
      <c r="BT2075" s="314"/>
      <c r="BU2075" s="314"/>
      <c r="BV2075" s="314"/>
      <c r="BW2075" s="314"/>
      <c r="BX2075" s="155"/>
    </row>
    <row r="2076" spans="1:76" ht="15.75" customHeight="1">
      <c r="A2076" s="25"/>
      <c r="B2076" s="39"/>
      <c r="C2076" s="155"/>
      <c r="D2076" s="155"/>
      <c r="E2076" s="40"/>
      <c r="F2076" s="314"/>
      <c r="H2076" s="315"/>
      <c r="I2076" s="315"/>
      <c r="BA2076" s="30"/>
      <c r="BB2076" s="155"/>
      <c r="BC2076" s="314"/>
      <c r="BD2076" s="314"/>
      <c r="BE2076" s="314"/>
      <c r="BF2076" s="314"/>
      <c r="BG2076" s="314"/>
      <c r="BH2076" s="314"/>
      <c r="BI2076" s="314"/>
      <c r="BJ2076" s="314"/>
      <c r="BK2076" s="40"/>
      <c r="BL2076" s="40"/>
      <c r="BM2076" s="40"/>
      <c r="BN2076" s="40"/>
      <c r="BO2076" s="40"/>
      <c r="BP2076" s="155"/>
      <c r="BQ2076" s="314"/>
      <c r="BR2076" s="314"/>
      <c r="BS2076" s="314"/>
      <c r="BT2076" s="314"/>
      <c r="BU2076" s="314"/>
      <c r="BV2076" s="314"/>
      <c r="BW2076" s="314"/>
      <c r="BX2076" s="155"/>
    </row>
    <row r="2077" spans="1:76" ht="15.75" customHeight="1">
      <c r="A2077" s="25"/>
      <c r="B2077" s="39"/>
      <c r="C2077" s="155"/>
      <c r="D2077" s="155"/>
      <c r="E2077" s="40"/>
      <c r="F2077" s="314"/>
      <c r="H2077" s="315"/>
      <c r="I2077" s="315"/>
      <c r="BA2077" s="30"/>
      <c r="BB2077" s="155"/>
      <c r="BC2077" s="314"/>
      <c r="BD2077" s="314"/>
      <c r="BE2077" s="314"/>
      <c r="BF2077" s="314"/>
      <c r="BG2077" s="314"/>
      <c r="BH2077" s="314"/>
      <c r="BI2077" s="314"/>
      <c r="BJ2077" s="314"/>
      <c r="BK2077" s="40"/>
      <c r="BL2077" s="40"/>
      <c r="BM2077" s="40"/>
      <c r="BN2077" s="40"/>
      <c r="BO2077" s="40"/>
      <c r="BP2077" s="155"/>
      <c r="BQ2077" s="314"/>
      <c r="BR2077" s="314"/>
      <c r="BS2077" s="314"/>
      <c r="BT2077" s="314"/>
      <c r="BU2077" s="314"/>
      <c r="BV2077" s="314"/>
      <c r="BW2077" s="314"/>
      <c r="BX2077" s="155"/>
    </row>
    <row r="2078" spans="1:76" ht="15.75" customHeight="1">
      <c r="A2078" s="25"/>
      <c r="B2078" s="39"/>
      <c r="C2078" s="155"/>
      <c r="D2078" s="155"/>
      <c r="E2078" s="40"/>
      <c r="F2078" s="314"/>
      <c r="H2078" s="315"/>
      <c r="I2078" s="315"/>
      <c r="BA2078" s="30"/>
      <c r="BB2078" s="155"/>
      <c r="BC2078" s="314"/>
      <c r="BD2078" s="314"/>
      <c r="BE2078" s="314"/>
      <c r="BF2078" s="314"/>
      <c r="BG2078" s="314"/>
      <c r="BH2078" s="314"/>
      <c r="BI2078" s="314"/>
      <c r="BJ2078" s="314"/>
      <c r="BK2078" s="40"/>
      <c r="BL2078" s="40"/>
      <c r="BM2078" s="40"/>
      <c r="BN2078" s="40"/>
      <c r="BO2078" s="40"/>
      <c r="BP2078" s="155"/>
      <c r="BQ2078" s="314"/>
      <c r="BR2078" s="314"/>
      <c r="BS2078" s="314"/>
      <c r="BT2078" s="314"/>
      <c r="BU2078" s="314"/>
      <c r="BV2078" s="314"/>
      <c r="BW2078" s="314"/>
      <c r="BX2078" s="155"/>
    </row>
    <row r="2079" spans="1:76" ht="15.75" customHeight="1">
      <c r="A2079" s="25"/>
      <c r="B2079" s="39"/>
      <c r="C2079" s="155"/>
      <c r="D2079" s="155"/>
      <c r="E2079" s="40"/>
      <c r="F2079" s="314"/>
      <c r="H2079" s="315"/>
      <c r="I2079" s="315"/>
      <c r="BA2079" s="30"/>
      <c r="BB2079" s="155"/>
      <c r="BC2079" s="314"/>
      <c r="BD2079" s="314"/>
      <c r="BE2079" s="314"/>
      <c r="BF2079" s="314"/>
      <c r="BG2079" s="314"/>
      <c r="BH2079" s="314"/>
      <c r="BI2079" s="314"/>
      <c r="BJ2079" s="314"/>
      <c r="BK2079" s="40"/>
      <c r="BL2079" s="40"/>
      <c r="BM2079" s="40"/>
      <c r="BN2079" s="40"/>
      <c r="BO2079" s="40"/>
      <c r="BP2079" s="155"/>
      <c r="BQ2079" s="314"/>
      <c r="BR2079" s="314"/>
      <c r="BS2079" s="314"/>
      <c r="BT2079" s="314"/>
      <c r="BU2079" s="314"/>
      <c r="BV2079" s="314"/>
      <c r="BW2079" s="314"/>
      <c r="BX2079" s="155"/>
    </row>
    <row r="2080" spans="1:76" ht="15.75" customHeight="1">
      <c r="A2080" s="25"/>
      <c r="B2080" s="39"/>
      <c r="C2080" s="155"/>
      <c r="D2080" s="155"/>
      <c r="E2080" s="40"/>
      <c r="F2080" s="314"/>
      <c r="H2080" s="315"/>
      <c r="I2080" s="315"/>
      <c r="BA2080" s="30"/>
      <c r="BB2080" s="155"/>
      <c r="BC2080" s="314"/>
      <c r="BD2080" s="314"/>
      <c r="BE2080" s="314"/>
      <c r="BF2080" s="314"/>
      <c r="BG2080" s="314"/>
      <c r="BH2080" s="314"/>
      <c r="BI2080" s="314"/>
      <c r="BJ2080" s="314"/>
      <c r="BK2080" s="40"/>
      <c r="BL2080" s="40"/>
      <c r="BM2080" s="40"/>
      <c r="BN2080" s="40"/>
      <c r="BO2080" s="40"/>
      <c r="BP2080" s="155"/>
      <c r="BQ2080" s="314"/>
      <c r="BR2080" s="314"/>
      <c r="BS2080" s="314"/>
      <c r="BT2080" s="314"/>
      <c r="BU2080" s="314"/>
      <c r="BV2080" s="314"/>
      <c r="BW2080" s="314"/>
      <c r="BX2080" s="155"/>
    </row>
    <row r="2081" spans="1:76" ht="15.75" customHeight="1">
      <c r="A2081" s="25"/>
      <c r="B2081" s="39"/>
      <c r="C2081" s="155"/>
      <c r="D2081" s="155"/>
      <c r="E2081" s="40"/>
      <c r="F2081" s="314"/>
      <c r="H2081" s="315"/>
      <c r="I2081" s="315"/>
      <c r="BA2081" s="30"/>
      <c r="BB2081" s="155"/>
      <c r="BC2081" s="314"/>
      <c r="BD2081" s="314"/>
      <c r="BE2081" s="314"/>
      <c r="BF2081" s="314"/>
      <c r="BG2081" s="314"/>
      <c r="BH2081" s="314"/>
      <c r="BI2081" s="314"/>
      <c r="BJ2081" s="314"/>
      <c r="BK2081" s="40"/>
      <c r="BL2081" s="40"/>
      <c r="BM2081" s="40"/>
      <c r="BN2081" s="40"/>
      <c r="BO2081" s="40"/>
      <c r="BP2081" s="155"/>
      <c r="BQ2081" s="314"/>
      <c r="BR2081" s="314"/>
      <c r="BS2081" s="314"/>
      <c r="BT2081" s="314"/>
      <c r="BU2081" s="314"/>
      <c r="BV2081" s="314"/>
      <c r="BW2081" s="314"/>
      <c r="BX2081" s="155"/>
    </row>
    <row r="2082" spans="1:76" ht="15.75" customHeight="1">
      <c r="A2082" s="25"/>
      <c r="B2082" s="39"/>
      <c r="C2082" s="155"/>
      <c r="D2082" s="155"/>
      <c r="E2082" s="40"/>
      <c r="F2082" s="314"/>
      <c r="H2082" s="315"/>
      <c r="I2082" s="315"/>
      <c r="BA2082" s="30"/>
      <c r="BB2082" s="155"/>
      <c r="BC2082" s="314"/>
      <c r="BD2082" s="314"/>
      <c r="BE2082" s="314"/>
      <c r="BF2082" s="314"/>
      <c r="BG2082" s="314"/>
      <c r="BH2082" s="314"/>
      <c r="BI2082" s="314"/>
      <c r="BJ2082" s="314"/>
      <c r="BK2082" s="40"/>
      <c r="BL2082" s="40"/>
      <c r="BM2082" s="40"/>
      <c r="BN2082" s="40"/>
      <c r="BO2082" s="40"/>
      <c r="BP2082" s="155"/>
      <c r="BQ2082" s="314"/>
      <c r="BR2082" s="314"/>
      <c r="BS2082" s="314"/>
      <c r="BT2082" s="314"/>
      <c r="BU2082" s="314"/>
      <c r="BV2082" s="314"/>
      <c r="BW2082" s="314"/>
      <c r="BX2082" s="155"/>
    </row>
    <row r="2083" spans="1:76" ht="15.75" customHeight="1">
      <c r="A2083" s="25"/>
      <c r="B2083" s="39"/>
      <c r="C2083" s="155"/>
      <c r="D2083" s="155"/>
      <c r="E2083" s="40"/>
      <c r="F2083" s="314"/>
      <c r="H2083" s="315"/>
      <c r="I2083" s="315"/>
      <c r="BA2083" s="30"/>
      <c r="BB2083" s="155"/>
      <c r="BC2083" s="314"/>
      <c r="BD2083" s="314"/>
      <c r="BE2083" s="314"/>
      <c r="BF2083" s="314"/>
      <c r="BG2083" s="314"/>
      <c r="BH2083" s="314"/>
      <c r="BI2083" s="314"/>
      <c r="BJ2083" s="314"/>
      <c r="BK2083" s="40"/>
      <c r="BL2083" s="40"/>
      <c r="BM2083" s="40"/>
      <c r="BN2083" s="40"/>
      <c r="BO2083" s="40"/>
      <c r="BP2083" s="155"/>
      <c r="BQ2083" s="314"/>
      <c r="BR2083" s="314"/>
      <c r="BS2083" s="314"/>
      <c r="BT2083" s="314"/>
      <c r="BU2083" s="314"/>
      <c r="BV2083" s="314"/>
      <c r="BW2083" s="314"/>
      <c r="BX2083" s="155"/>
    </row>
    <row r="2084" spans="1:76" ht="15.75" customHeight="1">
      <c r="A2084" s="25"/>
      <c r="B2084" s="39"/>
      <c r="C2084" s="155"/>
      <c r="D2084" s="155"/>
      <c r="E2084" s="40"/>
      <c r="F2084" s="314"/>
      <c r="H2084" s="315"/>
      <c r="I2084" s="315"/>
      <c r="BA2084" s="30"/>
      <c r="BB2084" s="155"/>
      <c r="BC2084" s="314"/>
      <c r="BD2084" s="314"/>
      <c r="BE2084" s="314"/>
      <c r="BF2084" s="314"/>
      <c r="BG2084" s="314"/>
      <c r="BH2084" s="314"/>
      <c r="BI2084" s="314"/>
      <c r="BJ2084" s="314"/>
      <c r="BK2084" s="40"/>
      <c r="BL2084" s="40"/>
      <c r="BM2084" s="40"/>
      <c r="BN2084" s="40"/>
      <c r="BO2084" s="40"/>
      <c r="BP2084" s="155"/>
      <c r="BQ2084" s="314"/>
      <c r="BR2084" s="314"/>
      <c r="BS2084" s="314"/>
      <c r="BT2084" s="314"/>
      <c r="BU2084" s="314"/>
      <c r="BV2084" s="314"/>
      <c r="BW2084" s="314"/>
      <c r="BX2084" s="155"/>
    </row>
    <row r="2085" spans="1:76" ht="15.75" customHeight="1">
      <c r="A2085" s="25"/>
      <c r="B2085" s="39"/>
      <c r="C2085" s="155"/>
      <c r="D2085" s="155"/>
      <c r="E2085" s="40"/>
      <c r="F2085" s="314"/>
      <c r="H2085" s="315"/>
      <c r="I2085" s="315"/>
      <c r="BA2085" s="30"/>
      <c r="BB2085" s="155"/>
      <c r="BC2085" s="314"/>
      <c r="BD2085" s="314"/>
      <c r="BE2085" s="314"/>
      <c r="BF2085" s="314"/>
      <c r="BG2085" s="314"/>
      <c r="BH2085" s="314"/>
      <c r="BI2085" s="314"/>
      <c r="BJ2085" s="314"/>
      <c r="BK2085" s="40"/>
      <c r="BL2085" s="40"/>
      <c r="BM2085" s="40"/>
      <c r="BN2085" s="40"/>
      <c r="BO2085" s="40"/>
      <c r="BP2085" s="155"/>
      <c r="BQ2085" s="314"/>
      <c r="BR2085" s="314"/>
      <c r="BS2085" s="314"/>
      <c r="BT2085" s="314"/>
      <c r="BU2085" s="314"/>
      <c r="BV2085" s="314"/>
      <c r="BW2085" s="314"/>
      <c r="BX2085" s="155"/>
    </row>
    <row r="2086" spans="1:76" ht="15.75" customHeight="1">
      <c r="A2086" s="25"/>
      <c r="B2086" s="39"/>
      <c r="C2086" s="155"/>
      <c r="D2086" s="155"/>
      <c r="E2086" s="40"/>
      <c r="F2086" s="314"/>
      <c r="H2086" s="315"/>
      <c r="I2086" s="315"/>
      <c r="BA2086" s="30"/>
      <c r="BB2086" s="155"/>
      <c r="BC2086" s="314"/>
      <c r="BD2086" s="314"/>
      <c r="BE2086" s="314"/>
      <c r="BF2086" s="314"/>
      <c r="BG2086" s="314"/>
      <c r="BH2086" s="314"/>
      <c r="BI2086" s="314"/>
      <c r="BJ2086" s="314"/>
      <c r="BK2086" s="40"/>
      <c r="BL2086" s="40"/>
      <c r="BM2086" s="40"/>
      <c r="BN2086" s="40"/>
      <c r="BO2086" s="40"/>
      <c r="BP2086" s="155"/>
      <c r="BQ2086" s="314"/>
      <c r="BR2086" s="314"/>
      <c r="BS2086" s="314"/>
      <c r="BT2086" s="314"/>
      <c r="BU2086" s="314"/>
      <c r="BV2086" s="314"/>
      <c r="BW2086" s="314"/>
      <c r="BX2086" s="155"/>
    </row>
    <row r="2087" spans="1:76" ht="15.75" customHeight="1">
      <c r="A2087" s="25"/>
      <c r="B2087" s="39"/>
      <c r="C2087" s="155"/>
      <c r="D2087" s="155"/>
      <c r="E2087" s="40"/>
      <c r="F2087" s="314"/>
      <c r="H2087" s="315"/>
      <c r="I2087" s="315"/>
      <c r="BA2087" s="30"/>
      <c r="BB2087" s="155"/>
      <c r="BC2087" s="314"/>
      <c r="BD2087" s="314"/>
      <c r="BE2087" s="314"/>
      <c r="BF2087" s="314"/>
      <c r="BG2087" s="314"/>
      <c r="BH2087" s="314"/>
      <c r="BI2087" s="314"/>
      <c r="BJ2087" s="314"/>
      <c r="BK2087" s="40"/>
      <c r="BL2087" s="40"/>
      <c r="BM2087" s="40"/>
      <c r="BN2087" s="40"/>
      <c r="BO2087" s="40"/>
      <c r="BP2087" s="155"/>
      <c r="BQ2087" s="314"/>
      <c r="BR2087" s="314"/>
      <c r="BS2087" s="314"/>
      <c r="BT2087" s="314"/>
      <c r="BU2087" s="314"/>
      <c r="BV2087" s="314"/>
      <c r="BW2087" s="314"/>
      <c r="BX2087" s="155"/>
    </row>
    <row r="2088" spans="1:76" ht="15.75" customHeight="1">
      <c r="A2088" s="25"/>
      <c r="B2088" s="39"/>
      <c r="C2088" s="155"/>
      <c r="D2088" s="155"/>
      <c r="E2088" s="40"/>
      <c r="F2088" s="314"/>
      <c r="H2088" s="315"/>
      <c r="I2088" s="315"/>
      <c r="BA2088" s="30"/>
      <c r="BB2088" s="155"/>
      <c r="BC2088" s="314"/>
      <c r="BD2088" s="314"/>
      <c r="BE2088" s="314"/>
      <c r="BF2088" s="314"/>
      <c r="BG2088" s="314"/>
      <c r="BH2088" s="314"/>
      <c r="BI2088" s="314"/>
      <c r="BJ2088" s="314"/>
      <c r="BK2088" s="40"/>
      <c r="BL2088" s="40"/>
      <c r="BM2088" s="40"/>
      <c r="BN2088" s="40"/>
      <c r="BO2088" s="40"/>
      <c r="BP2088" s="155"/>
      <c r="BQ2088" s="314"/>
      <c r="BR2088" s="314"/>
      <c r="BS2088" s="314"/>
      <c r="BT2088" s="314"/>
      <c r="BU2088" s="314"/>
      <c r="BV2088" s="314"/>
      <c r="BW2088" s="314"/>
      <c r="BX2088" s="155"/>
    </row>
    <row r="2089" spans="1:76" ht="15.75" customHeight="1">
      <c r="A2089" s="25"/>
      <c r="B2089" s="39"/>
      <c r="C2089" s="155"/>
      <c r="D2089" s="155"/>
      <c r="E2089" s="40"/>
      <c r="F2089" s="314"/>
      <c r="H2089" s="315"/>
      <c r="I2089" s="315"/>
      <c r="BA2089" s="30"/>
      <c r="BB2089" s="155"/>
      <c r="BC2089" s="314"/>
      <c r="BD2089" s="314"/>
      <c r="BE2089" s="314"/>
      <c r="BF2089" s="314"/>
      <c r="BG2089" s="314"/>
      <c r="BH2089" s="314"/>
      <c r="BI2089" s="314"/>
      <c r="BJ2089" s="314"/>
      <c r="BK2089" s="40"/>
      <c r="BL2089" s="40"/>
      <c r="BM2089" s="40"/>
      <c r="BN2089" s="40"/>
      <c r="BO2089" s="40"/>
      <c r="BP2089" s="155"/>
      <c r="BQ2089" s="314"/>
      <c r="BR2089" s="314"/>
      <c r="BS2089" s="314"/>
      <c r="BT2089" s="314"/>
      <c r="BU2089" s="314"/>
      <c r="BV2089" s="314"/>
      <c r="BW2089" s="314"/>
      <c r="BX2089" s="155"/>
    </row>
    <row r="2090" spans="1:76" ht="15.75" customHeight="1">
      <c r="A2090" s="25"/>
      <c r="B2090" s="39"/>
      <c r="C2090" s="155"/>
      <c r="D2090" s="155"/>
      <c r="E2090" s="40"/>
      <c r="F2090" s="314"/>
      <c r="H2090" s="315"/>
      <c r="I2090" s="315"/>
      <c r="BA2090" s="30"/>
      <c r="BB2090" s="155"/>
      <c r="BC2090" s="314"/>
      <c r="BD2090" s="314"/>
      <c r="BE2090" s="314"/>
      <c r="BF2090" s="314"/>
      <c r="BG2090" s="314"/>
      <c r="BH2090" s="314"/>
      <c r="BI2090" s="314"/>
      <c r="BJ2090" s="314"/>
      <c r="BK2090" s="40"/>
      <c r="BL2090" s="40"/>
      <c r="BM2090" s="40"/>
      <c r="BN2090" s="40"/>
      <c r="BO2090" s="40"/>
      <c r="BP2090" s="155"/>
      <c r="BQ2090" s="314"/>
      <c r="BR2090" s="314"/>
      <c r="BS2090" s="314"/>
      <c r="BT2090" s="314"/>
      <c r="BU2090" s="314"/>
      <c r="BV2090" s="314"/>
      <c r="BW2090" s="314"/>
      <c r="BX2090" s="155"/>
    </row>
    <row r="2091" spans="1:76" ht="15.75" customHeight="1">
      <c r="A2091" s="25"/>
      <c r="B2091" s="39"/>
      <c r="C2091" s="155"/>
      <c r="D2091" s="155"/>
      <c r="E2091" s="40"/>
      <c r="F2091" s="314"/>
      <c r="H2091" s="315"/>
      <c r="I2091" s="315"/>
      <c r="BA2091" s="30"/>
      <c r="BB2091" s="155"/>
      <c r="BC2091" s="314"/>
      <c r="BD2091" s="314"/>
      <c r="BE2091" s="314"/>
      <c r="BF2091" s="314"/>
      <c r="BG2091" s="314"/>
      <c r="BH2091" s="314"/>
      <c r="BI2091" s="314"/>
      <c r="BJ2091" s="314"/>
      <c r="BK2091" s="40"/>
      <c r="BL2091" s="40"/>
      <c r="BM2091" s="40"/>
      <c r="BN2091" s="40"/>
      <c r="BO2091" s="40"/>
      <c r="BP2091" s="155"/>
      <c r="BQ2091" s="314"/>
      <c r="BR2091" s="314"/>
      <c r="BS2091" s="314"/>
      <c r="BT2091" s="314"/>
      <c r="BU2091" s="314"/>
      <c r="BV2091" s="314"/>
      <c r="BW2091" s="314"/>
      <c r="BX2091" s="155"/>
    </row>
    <row r="2092" spans="1:76" ht="15.75" customHeight="1">
      <c r="A2092" s="25"/>
      <c r="B2092" s="39"/>
      <c r="C2092" s="155"/>
      <c r="D2092" s="155"/>
      <c r="E2092" s="40"/>
      <c r="F2092" s="314"/>
      <c r="H2092" s="315"/>
      <c r="I2092" s="315"/>
      <c r="BA2092" s="30"/>
      <c r="BB2092" s="155"/>
      <c r="BC2092" s="314"/>
      <c r="BD2092" s="314"/>
      <c r="BE2092" s="314"/>
      <c r="BF2092" s="314"/>
      <c r="BG2092" s="314"/>
      <c r="BH2092" s="314"/>
      <c r="BI2092" s="314"/>
      <c r="BJ2092" s="314"/>
      <c r="BK2092" s="40"/>
      <c r="BL2092" s="40"/>
      <c r="BM2092" s="40"/>
      <c r="BN2092" s="40"/>
      <c r="BO2092" s="40"/>
      <c r="BP2092" s="155"/>
      <c r="BQ2092" s="314"/>
      <c r="BR2092" s="314"/>
      <c r="BS2092" s="314"/>
      <c r="BT2092" s="314"/>
      <c r="BU2092" s="314"/>
      <c r="BV2092" s="314"/>
      <c r="BW2092" s="314"/>
      <c r="BX2092" s="155"/>
    </row>
    <row r="2093" spans="1:76" ht="15.75" customHeight="1">
      <c r="A2093" s="25"/>
      <c r="B2093" s="39"/>
      <c r="C2093" s="155"/>
      <c r="D2093" s="155"/>
      <c r="E2093" s="40"/>
      <c r="F2093" s="314"/>
      <c r="H2093" s="315"/>
      <c r="I2093" s="315"/>
      <c r="BA2093" s="30"/>
      <c r="BB2093" s="155"/>
      <c r="BC2093" s="314"/>
      <c r="BD2093" s="314"/>
      <c r="BE2093" s="314"/>
      <c r="BF2093" s="314"/>
      <c r="BG2093" s="314"/>
      <c r="BH2093" s="314"/>
      <c r="BI2093" s="314"/>
      <c r="BJ2093" s="314"/>
      <c r="BK2093" s="40"/>
      <c r="BL2093" s="40"/>
      <c r="BM2093" s="40"/>
      <c r="BN2093" s="40"/>
      <c r="BO2093" s="40"/>
      <c r="BP2093" s="155"/>
      <c r="BQ2093" s="314"/>
      <c r="BR2093" s="314"/>
      <c r="BS2093" s="314"/>
      <c r="BT2093" s="314"/>
      <c r="BU2093" s="314"/>
      <c r="BV2093" s="314"/>
      <c r="BW2093" s="314"/>
      <c r="BX2093" s="155"/>
    </row>
    <row r="2094" spans="1:76" ht="15.75" customHeight="1">
      <c r="A2094" s="25"/>
      <c r="B2094" s="39"/>
      <c r="C2094" s="155"/>
      <c r="D2094" s="155"/>
      <c r="E2094" s="40"/>
      <c r="F2094" s="314"/>
      <c r="H2094" s="315"/>
      <c r="I2094" s="315"/>
      <c r="BA2094" s="30"/>
      <c r="BB2094" s="155"/>
      <c r="BC2094" s="314"/>
      <c r="BD2094" s="314"/>
      <c r="BE2094" s="314"/>
      <c r="BF2094" s="314"/>
      <c r="BG2094" s="314"/>
      <c r="BH2094" s="314"/>
      <c r="BI2094" s="314"/>
      <c r="BJ2094" s="314"/>
      <c r="BK2094" s="40"/>
      <c r="BL2094" s="40"/>
      <c r="BM2094" s="40"/>
      <c r="BN2094" s="40"/>
      <c r="BO2094" s="40"/>
      <c r="BP2094" s="155"/>
      <c r="BQ2094" s="314"/>
      <c r="BR2094" s="314"/>
      <c r="BS2094" s="314"/>
      <c r="BT2094" s="314"/>
      <c r="BU2094" s="314"/>
      <c r="BV2094" s="314"/>
      <c r="BW2094" s="314"/>
      <c r="BX2094" s="155"/>
    </row>
    <row r="2095" spans="1:76" ht="15.75" customHeight="1">
      <c r="A2095" s="25"/>
      <c r="B2095" s="39"/>
      <c r="C2095" s="155"/>
      <c r="D2095" s="155"/>
      <c r="E2095" s="40"/>
      <c r="F2095" s="314"/>
      <c r="H2095" s="315"/>
      <c r="I2095" s="315"/>
      <c r="BA2095" s="30"/>
      <c r="BB2095" s="155"/>
      <c r="BC2095" s="314"/>
      <c r="BD2095" s="314"/>
      <c r="BE2095" s="314"/>
      <c r="BF2095" s="314"/>
      <c r="BG2095" s="314"/>
      <c r="BH2095" s="314"/>
      <c r="BI2095" s="314"/>
      <c r="BJ2095" s="314"/>
      <c r="BK2095" s="40"/>
      <c r="BL2095" s="40"/>
      <c r="BM2095" s="40"/>
      <c r="BN2095" s="40"/>
      <c r="BO2095" s="40"/>
      <c r="BP2095" s="155"/>
      <c r="BQ2095" s="314"/>
      <c r="BR2095" s="314"/>
      <c r="BS2095" s="314"/>
      <c r="BT2095" s="314"/>
      <c r="BU2095" s="314"/>
      <c r="BV2095" s="314"/>
      <c r="BW2095" s="314"/>
      <c r="BX2095" s="155"/>
    </row>
    <row r="2096" spans="1:76" ht="15.75" customHeight="1">
      <c r="A2096" s="25"/>
      <c r="B2096" s="39"/>
      <c r="C2096" s="155"/>
      <c r="D2096" s="155"/>
      <c r="E2096" s="40"/>
      <c r="F2096" s="314"/>
      <c r="H2096" s="315"/>
      <c r="I2096" s="315"/>
      <c r="BA2096" s="30"/>
      <c r="BB2096" s="155"/>
      <c r="BC2096" s="314"/>
      <c r="BD2096" s="314"/>
      <c r="BE2096" s="314"/>
      <c r="BF2096" s="314"/>
      <c r="BG2096" s="314"/>
      <c r="BH2096" s="314"/>
      <c r="BI2096" s="314"/>
      <c r="BJ2096" s="314"/>
      <c r="BK2096" s="40"/>
      <c r="BL2096" s="40"/>
      <c r="BM2096" s="40"/>
      <c r="BN2096" s="40"/>
      <c r="BO2096" s="40"/>
      <c r="BP2096" s="155"/>
      <c r="BQ2096" s="314"/>
      <c r="BR2096" s="314"/>
      <c r="BS2096" s="314"/>
      <c r="BT2096" s="314"/>
      <c r="BU2096" s="314"/>
      <c r="BV2096" s="314"/>
      <c r="BW2096" s="314"/>
      <c r="BX2096" s="155"/>
    </row>
    <row r="2097" spans="1:76" ht="15.75" customHeight="1">
      <c r="A2097" s="25"/>
      <c r="B2097" s="39"/>
      <c r="C2097" s="155"/>
      <c r="D2097" s="155"/>
      <c r="E2097" s="40"/>
      <c r="F2097" s="314"/>
      <c r="H2097" s="315"/>
      <c r="I2097" s="315"/>
      <c r="BA2097" s="30"/>
      <c r="BB2097" s="155"/>
      <c r="BC2097" s="314"/>
      <c r="BD2097" s="314"/>
      <c r="BE2097" s="314"/>
      <c r="BF2097" s="314"/>
      <c r="BG2097" s="314"/>
      <c r="BH2097" s="314"/>
      <c r="BI2097" s="314"/>
      <c r="BJ2097" s="314"/>
      <c r="BK2097" s="40"/>
      <c r="BL2097" s="40"/>
      <c r="BM2097" s="40"/>
      <c r="BN2097" s="40"/>
      <c r="BO2097" s="40"/>
      <c r="BP2097" s="155"/>
      <c r="BQ2097" s="314"/>
      <c r="BR2097" s="314"/>
      <c r="BS2097" s="314"/>
      <c r="BT2097" s="314"/>
      <c r="BU2097" s="314"/>
      <c r="BV2097" s="314"/>
      <c r="BW2097" s="314"/>
      <c r="BX2097" s="155"/>
    </row>
    <row r="2098" spans="1:76" ht="15.75" customHeight="1">
      <c r="A2098" s="25"/>
      <c r="B2098" s="39"/>
      <c r="C2098" s="155"/>
      <c r="D2098" s="155"/>
      <c r="E2098" s="40"/>
      <c r="F2098" s="314"/>
      <c r="H2098" s="315"/>
      <c r="I2098" s="315"/>
      <c r="BA2098" s="30"/>
      <c r="BB2098" s="155"/>
      <c r="BC2098" s="314"/>
      <c r="BD2098" s="314"/>
      <c r="BE2098" s="314"/>
      <c r="BF2098" s="314"/>
      <c r="BG2098" s="314"/>
      <c r="BH2098" s="314"/>
      <c r="BI2098" s="314"/>
      <c r="BJ2098" s="314"/>
      <c r="BK2098" s="40"/>
      <c r="BL2098" s="40"/>
      <c r="BM2098" s="40"/>
      <c r="BN2098" s="40"/>
      <c r="BO2098" s="40"/>
      <c r="BP2098" s="155"/>
      <c r="BQ2098" s="314"/>
      <c r="BR2098" s="314"/>
      <c r="BS2098" s="314"/>
      <c r="BT2098" s="314"/>
      <c r="BU2098" s="314"/>
      <c r="BV2098" s="314"/>
      <c r="BW2098" s="314"/>
      <c r="BX2098" s="155"/>
    </row>
    <row r="2099" spans="1:76" ht="15.75" customHeight="1">
      <c r="A2099" s="25"/>
      <c r="B2099" s="39"/>
      <c r="C2099" s="155"/>
      <c r="D2099" s="155"/>
      <c r="E2099" s="40"/>
      <c r="F2099" s="314"/>
      <c r="H2099" s="315"/>
      <c r="I2099" s="315"/>
      <c r="BA2099" s="30"/>
      <c r="BB2099" s="155"/>
      <c r="BC2099" s="314"/>
      <c r="BD2099" s="314"/>
      <c r="BE2099" s="314"/>
      <c r="BF2099" s="314"/>
      <c r="BG2099" s="314"/>
      <c r="BH2099" s="314"/>
      <c r="BI2099" s="314"/>
      <c r="BJ2099" s="314"/>
      <c r="BK2099" s="40"/>
      <c r="BL2099" s="40"/>
      <c r="BM2099" s="40"/>
      <c r="BN2099" s="40"/>
      <c r="BO2099" s="40"/>
      <c r="BP2099" s="155"/>
      <c r="BQ2099" s="314"/>
      <c r="BR2099" s="314"/>
      <c r="BS2099" s="314"/>
      <c r="BT2099" s="314"/>
      <c r="BU2099" s="314"/>
      <c r="BV2099" s="314"/>
      <c r="BW2099" s="314"/>
      <c r="BX2099" s="155"/>
    </row>
    <row r="2100" spans="1:76" ht="15.75" customHeight="1">
      <c r="A2100" s="25"/>
      <c r="B2100" s="39"/>
      <c r="C2100" s="155"/>
      <c r="D2100" s="155"/>
      <c r="E2100" s="40"/>
      <c r="F2100" s="314"/>
      <c r="H2100" s="315"/>
      <c r="I2100" s="315"/>
      <c r="BA2100" s="30"/>
      <c r="BB2100" s="155"/>
      <c r="BC2100" s="314"/>
      <c r="BD2100" s="314"/>
      <c r="BE2100" s="314"/>
      <c r="BF2100" s="314"/>
      <c r="BG2100" s="314"/>
      <c r="BH2100" s="314"/>
      <c r="BI2100" s="314"/>
      <c r="BJ2100" s="314"/>
      <c r="BK2100" s="40"/>
      <c r="BL2100" s="40"/>
      <c r="BM2100" s="40"/>
      <c r="BN2100" s="40"/>
      <c r="BO2100" s="40"/>
      <c r="BP2100" s="155"/>
      <c r="BQ2100" s="314"/>
      <c r="BR2100" s="314"/>
      <c r="BS2100" s="314"/>
      <c r="BT2100" s="314"/>
      <c r="BU2100" s="314"/>
      <c r="BV2100" s="314"/>
      <c r="BW2100" s="314"/>
      <c r="BX2100" s="155"/>
    </row>
    <row r="2101" spans="1:76" ht="15.75" customHeight="1">
      <c r="A2101" s="25"/>
      <c r="B2101" s="39"/>
      <c r="C2101" s="155"/>
      <c r="D2101" s="155"/>
      <c r="E2101" s="40"/>
      <c r="F2101" s="314"/>
      <c r="H2101" s="315"/>
      <c r="I2101" s="315"/>
      <c r="BA2101" s="30"/>
      <c r="BB2101" s="155"/>
      <c r="BC2101" s="314"/>
      <c r="BD2101" s="314"/>
      <c r="BE2101" s="314"/>
      <c r="BF2101" s="314"/>
      <c r="BG2101" s="314"/>
      <c r="BH2101" s="314"/>
      <c r="BI2101" s="314"/>
      <c r="BJ2101" s="314"/>
      <c r="BK2101" s="40"/>
      <c r="BL2101" s="40"/>
      <c r="BM2101" s="40"/>
      <c r="BN2101" s="40"/>
      <c r="BO2101" s="40"/>
      <c r="BP2101" s="155"/>
      <c r="BQ2101" s="314"/>
      <c r="BR2101" s="314"/>
      <c r="BS2101" s="314"/>
      <c r="BT2101" s="314"/>
      <c r="BU2101" s="314"/>
      <c r="BV2101" s="314"/>
      <c r="BW2101" s="314"/>
      <c r="BX2101" s="155"/>
    </row>
    <row r="2102" spans="1:76" ht="15.75" customHeight="1">
      <c r="A2102" s="25"/>
      <c r="B2102" s="39"/>
      <c r="C2102" s="155"/>
      <c r="D2102" s="155"/>
      <c r="E2102" s="40"/>
      <c r="F2102" s="314"/>
      <c r="H2102" s="315"/>
      <c r="I2102" s="315"/>
      <c r="BA2102" s="30"/>
      <c r="BB2102" s="155"/>
      <c r="BC2102" s="314"/>
      <c r="BD2102" s="314"/>
      <c r="BE2102" s="314"/>
      <c r="BF2102" s="314"/>
      <c r="BG2102" s="314"/>
      <c r="BH2102" s="314"/>
      <c r="BI2102" s="314"/>
      <c r="BJ2102" s="314"/>
      <c r="BK2102" s="40"/>
      <c r="BL2102" s="40"/>
      <c r="BM2102" s="40"/>
      <c r="BN2102" s="40"/>
      <c r="BO2102" s="40"/>
      <c r="BP2102" s="155"/>
      <c r="BQ2102" s="314"/>
      <c r="BR2102" s="314"/>
      <c r="BS2102" s="314"/>
      <c r="BT2102" s="314"/>
      <c r="BU2102" s="314"/>
      <c r="BV2102" s="314"/>
      <c r="BW2102" s="314"/>
      <c r="BX2102" s="155"/>
    </row>
    <row r="2103" spans="1:76" ht="15.75" customHeight="1">
      <c r="A2103" s="25"/>
      <c r="B2103" s="39"/>
      <c r="C2103" s="155"/>
      <c r="D2103" s="155"/>
      <c r="E2103" s="40"/>
      <c r="F2103" s="314"/>
      <c r="H2103" s="315"/>
      <c r="I2103" s="315"/>
      <c r="BA2103" s="30"/>
      <c r="BB2103" s="155"/>
      <c r="BC2103" s="314"/>
      <c r="BD2103" s="314"/>
      <c r="BE2103" s="314"/>
      <c r="BF2103" s="314"/>
      <c r="BG2103" s="314"/>
      <c r="BH2103" s="314"/>
      <c r="BI2103" s="314"/>
      <c r="BJ2103" s="314"/>
      <c r="BK2103" s="40"/>
      <c r="BL2103" s="40"/>
      <c r="BM2103" s="40"/>
      <c r="BN2103" s="40"/>
      <c r="BO2103" s="40"/>
      <c r="BP2103" s="155"/>
      <c r="BQ2103" s="314"/>
      <c r="BR2103" s="314"/>
      <c r="BS2103" s="314"/>
      <c r="BT2103" s="314"/>
      <c r="BU2103" s="314"/>
      <c r="BV2103" s="314"/>
      <c r="BW2103" s="314"/>
      <c r="BX2103" s="155"/>
    </row>
    <row r="2104" spans="1:76" ht="15.75" customHeight="1">
      <c r="A2104" s="25"/>
      <c r="B2104" s="39"/>
      <c r="C2104" s="155"/>
      <c r="D2104" s="155"/>
      <c r="E2104" s="40"/>
      <c r="F2104" s="314"/>
      <c r="H2104" s="315"/>
      <c r="I2104" s="315"/>
      <c r="BA2104" s="30"/>
      <c r="BB2104" s="155"/>
      <c r="BC2104" s="314"/>
      <c r="BD2104" s="314"/>
      <c r="BE2104" s="314"/>
      <c r="BF2104" s="314"/>
      <c r="BG2104" s="314"/>
      <c r="BH2104" s="314"/>
      <c r="BI2104" s="314"/>
      <c r="BJ2104" s="314"/>
      <c r="BK2104" s="40"/>
      <c r="BL2104" s="40"/>
      <c r="BM2104" s="40"/>
      <c r="BN2104" s="40"/>
      <c r="BO2104" s="40"/>
      <c r="BP2104" s="155"/>
      <c r="BQ2104" s="314"/>
      <c r="BR2104" s="314"/>
      <c r="BS2104" s="314"/>
      <c r="BT2104" s="314"/>
      <c r="BU2104" s="314"/>
      <c r="BV2104" s="314"/>
      <c r="BW2104" s="314"/>
      <c r="BX2104" s="155"/>
    </row>
    <row r="2105" spans="1:76" ht="15.75" customHeight="1">
      <c r="A2105" s="25"/>
      <c r="B2105" s="39"/>
      <c r="C2105" s="155"/>
      <c r="D2105" s="155"/>
      <c r="E2105" s="40"/>
      <c r="F2105" s="314"/>
      <c r="H2105" s="315"/>
      <c r="I2105" s="315"/>
      <c r="BA2105" s="30"/>
      <c r="BB2105" s="155"/>
      <c r="BC2105" s="314"/>
      <c r="BD2105" s="314"/>
      <c r="BE2105" s="314"/>
      <c r="BF2105" s="314"/>
      <c r="BG2105" s="314"/>
      <c r="BH2105" s="314"/>
      <c r="BI2105" s="314"/>
      <c r="BJ2105" s="314"/>
      <c r="BK2105" s="40"/>
      <c r="BL2105" s="40"/>
      <c r="BM2105" s="40"/>
      <c r="BN2105" s="40"/>
      <c r="BO2105" s="40"/>
      <c r="BP2105" s="155"/>
      <c r="BQ2105" s="314"/>
      <c r="BR2105" s="314"/>
      <c r="BS2105" s="314"/>
      <c r="BT2105" s="314"/>
      <c r="BU2105" s="314"/>
      <c r="BV2105" s="314"/>
      <c r="BW2105" s="314"/>
      <c r="BX2105" s="155"/>
    </row>
    <row r="2106" spans="1:76" ht="15.75" customHeight="1">
      <c r="A2106" s="25"/>
      <c r="B2106" s="39"/>
      <c r="C2106" s="155"/>
      <c r="D2106" s="155"/>
      <c r="E2106" s="40"/>
      <c r="F2106" s="314"/>
      <c r="H2106" s="315"/>
      <c r="I2106" s="315"/>
      <c r="BA2106" s="30"/>
      <c r="BB2106" s="155"/>
      <c r="BC2106" s="314"/>
      <c r="BD2106" s="314"/>
      <c r="BE2106" s="314"/>
      <c r="BF2106" s="314"/>
      <c r="BG2106" s="314"/>
      <c r="BH2106" s="314"/>
      <c r="BI2106" s="314"/>
      <c r="BJ2106" s="314"/>
      <c r="BK2106" s="40"/>
      <c r="BL2106" s="40"/>
      <c r="BM2106" s="40"/>
      <c r="BN2106" s="40"/>
      <c r="BO2106" s="40"/>
      <c r="BP2106" s="155"/>
      <c r="BQ2106" s="314"/>
      <c r="BR2106" s="314"/>
      <c r="BS2106" s="314"/>
      <c r="BT2106" s="314"/>
      <c r="BU2106" s="314"/>
      <c r="BV2106" s="314"/>
      <c r="BW2106" s="314"/>
      <c r="BX2106" s="155"/>
    </row>
    <row r="2107" spans="1:76" ht="15.75" customHeight="1">
      <c r="A2107" s="25"/>
      <c r="B2107" s="39"/>
      <c r="C2107" s="155"/>
      <c r="D2107" s="155"/>
      <c r="E2107" s="40"/>
      <c r="F2107" s="314"/>
      <c r="H2107" s="315"/>
      <c r="I2107" s="315"/>
      <c r="BA2107" s="30"/>
      <c r="BB2107" s="155"/>
      <c r="BC2107" s="314"/>
      <c r="BD2107" s="314"/>
      <c r="BE2107" s="314"/>
      <c r="BF2107" s="314"/>
      <c r="BG2107" s="314"/>
      <c r="BH2107" s="314"/>
      <c r="BI2107" s="314"/>
      <c r="BJ2107" s="314"/>
      <c r="BK2107" s="40"/>
      <c r="BL2107" s="40"/>
      <c r="BM2107" s="40"/>
      <c r="BN2107" s="40"/>
      <c r="BO2107" s="40"/>
      <c r="BP2107" s="155"/>
      <c r="BQ2107" s="314"/>
      <c r="BR2107" s="314"/>
      <c r="BS2107" s="314"/>
      <c r="BT2107" s="314"/>
      <c r="BU2107" s="314"/>
      <c r="BV2107" s="314"/>
      <c r="BW2107" s="314"/>
      <c r="BX2107" s="155"/>
    </row>
    <row r="2108" spans="1:76" ht="15.75" customHeight="1">
      <c r="A2108" s="25"/>
      <c r="B2108" s="39"/>
      <c r="C2108" s="155"/>
      <c r="D2108" s="155"/>
      <c r="E2108" s="40"/>
      <c r="F2108" s="314"/>
      <c r="H2108" s="315"/>
      <c r="I2108" s="315"/>
      <c r="BA2108" s="30"/>
      <c r="BB2108" s="155"/>
      <c r="BC2108" s="314"/>
      <c r="BD2108" s="314"/>
      <c r="BE2108" s="314"/>
      <c r="BF2108" s="314"/>
      <c r="BG2108" s="314"/>
      <c r="BH2108" s="314"/>
      <c r="BI2108" s="314"/>
      <c r="BJ2108" s="314"/>
      <c r="BK2108" s="40"/>
      <c r="BL2108" s="40"/>
      <c r="BM2108" s="40"/>
      <c r="BN2108" s="40"/>
      <c r="BO2108" s="40"/>
      <c r="BP2108" s="155"/>
      <c r="BQ2108" s="314"/>
      <c r="BR2108" s="314"/>
      <c r="BS2108" s="314"/>
      <c r="BT2108" s="314"/>
      <c r="BU2108" s="314"/>
      <c r="BV2108" s="314"/>
      <c r="BW2108" s="314"/>
      <c r="BX2108" s="155"/>
    </row>
    <row r="2109" spans="1:76" ht="15.75" customHeight="1">
      <c r="A2109" s="25"/>
      <c r="B2109" s="39"/>
      <c r="C2109" s="155"/>
      <c r="D2109" s="155"/>
      <c r="E2109" s="40"/>
      <c r="F2109" s="314"/>
      <c r="H2109" s="315"/>
      <c r="I2109" s="315"/>
      <c r="BA2109" s="30"/>
      <c r="BB2109" s="155"/>
      <c r="BC2109" s="314"/>
      <c r="BD2109" s="314"/>
      <c r="BE2109" s="314"/>
      <c r="BF2109" s="314"/>
      <c r="BG2109" s="314"/>
      <c r="BH2109" s="314"/>
      <c r="BI2109" s="314"/>
      <c r="BJ2109" s="314"/>
      <c r="BK2109" s="40"/>
      <c r="BL2109" s="40"/>
      <c r="BM2109" s="40"/>
      <c r="BN2109" s="40"/>
      <c r="BO2109" s="40"/>
      <c r="BP2109" s="155"/>
      <c r="BQ2109" s="314"/>
      <c r="BR2109" s="314"/>
      <c r="BS2109" s="314"/>
      <c r="BT2109" s="314"/>
      <c r="BU2109" s="314"/>
      <c r="BV2109" s="314"/>
      <c r="BW2109" s="314"/>
      <c r="BX2109" s="155"/>
    </row>
    <row r="2110" spans="1:76" ht="15.75" customHeight="1">
      <c r="A2110" s="25"/>
      <c r="B2110" s="39"/>
      <c r="C2110" s="155"/>
      <c r="D2110" s="155"/>
      <c r="E2110" s="40"/>
      <c r="F2110" s="314"/>
      <c r="H2110" s="315"/>
      <c r="I2110" s="315"/>
      <c r="BA2110" s="30"/>
      <c r="BB2110" s="155"/>
      <c r="BC2110" s="314"/>
      <c r="BD2110" s="314"/>
      <c r="BE2110" s="314"/>
      <c r="BF2110" s="314"/>
      <c r="BG2110" s="314"/>
      <c r="BH2110" s="314"/>
      <c r="BI2110" s="314"/>
      <c r="BJ2110" s="314"/>
      <c r="BK2110" s="40"/>
      <c r="BL2110" s="40"/>
      <c r="BM2110" s="40"/>
      <c r="BN2110" s="40"/>
      <c r="BO2110" s="40"/>
      <c r="BP2110" s="155"/>
      <c r="BQ2110" s="314"/>
      <c r="BR2110" s="314"/>
      <c r="BS2110" s="314"/>
      <c r="BT2110" s="314"/>
      <c r="BU2110" s="314"/>
      <c r="BV2110" s="314"/>
      <c r="BW2110" s="314"/>
      <c r="BX2110" s="155"/>
    </row>
    <row r="2111" spans="1:76" ht="15.75" customHeight="1">
      <c r="A2111" s="25"/>
      <c r="B2111" s="39"/>
      <c r="C2111" s="155"/>
      <c r="D2111" s="155"/>
      <c r="E2111" s="40"/>
      <c r="F2111" s="314"/>
      <c r="H2111" s="315"/>
      <c r="I2111" s="315"/>
      <c r="BA2111" s="30"/>
      <c r="BB2111" s="155"/>
      <c r="BC2111" s="314"/>
      <c r="BD2111" s="314"/>
      <c r="BE2111" s="314"/>
      <c r="BF2111" s="314"/>
      <c r="BG2111" s="314"/>
      <c r="BH2111" s="314"/>
      <c r="BI2111" s="314"/>
      <c r="BJ2111" s="314"/>
      <c r="BK2111" s="40"/>
      <c r="BL2111" s="40"/>
      <c r="BM2111" s="40"/>
      <c r="BN2111" s="40"/>
      <c r="BO2111" s="40"/>
      <c r="BP2111" s="155"/>
      <c r="BQ2111" s="314"/>
      <c r="BR2111" s="314"/>
      <c r="BS2111" s="314"/>
      <c r="BT2111" s="314"/>
      <c r="BU2111" s="314"/>
      <c r="BV2111" s="314"/>
      <c r="BW2111" s="314"/>
      <c r="BX2111" s="155"/>
    </row>
    <row r="2112" spans="1:76" ht="15.75" customHeight="1">
      <c r="A2112" s="25"/>
      <c r="B2112" s="39"/>
      <c r="C2112" s="155"/>
      <c r="D2112" s="155"/>
      <c r="E2112" s="40"/>
      <c r="F2112" s="314"/>
      <c r="H2112" s="315"/>
      <c r="I2112" s="315"/>
      <c r="BA2112" s="30"/>
      <c r="BB2112" s="155"/>
      <c r="BC2112" s="314"/>
      <c r="BD2112" s="314"/>
      <c r="BE2112" s="314"/>
      <c r="BF2112" s="314"/>
      <c r="BG2112" s="314"/>
      <c r="BH2112" s="314"/>
      <c r="BI2112" s="314"/>
      <c r="BJ2112" s="314"/>
      <c r="BK2112" s="40"/>
      <c r="BL2112" s="40"/>
      <c r="BM2112" s="40"/>
      <c r="BN2112" s="40"/>
      <c r="BO2112" s="40"/>
      <c r="BP2112" s="155"/>
      <c r="BQ2112" s="314"/>
      <c r="BR2112" s="314"/>
      <c r="BS2112" s="314"/>
      <c r="BT2112" s="314"/>
      <c r="BU2112" s="314"/>
      <c r="BV2112" s="314"/>
      <c r="BW2112" s="314"/>
      <c r="BX2112" s="155"/>
    </row>
    <row r="2113" spans="1:76" ht="15.75" customHeight="1">
      <c r="A2113" s="25"/>
      <c r="B2113" s="39"/>
      <c r="C2113" s="155"/>
      <c r="D2113" s="155"/>
      <c r="E2113" s="40"/>
      <c r="F2113" s="314"/>
      <c r="H2113" s="315"/>
      <c r="I2113" s="315"/>
      <c r="BA2113" s="30"/>
      <c r="BB2113" s="155"/>
      <c r="BC2113" s="314"/>
      <c r="BD2113" s="314"/>
      <c r="BE2113" s="314"/>
      <c r="BF2113" s="314"/>
      <c r="BG2113" s="314"/>
      <c r="BH2113" s="314"/>
      <c r="BI2113" s="314"/>
      <c r="BJ2113" s="314"/>
      <c r="BK2113" s="40"/>
      <c r="BL2113" s="40"/>
      <c r="BM2113" s="40"/>
      <c r="BN2113" s="40"/>
      <c r="BO2113" s="40"/>
      <c r="BP2113" s="155"/>
      <c r="BQ2113" s="314"/>
      <c r="BR2113" s="314"/>
      <c r="BS2113" s="314"/>
      <c r="BT2113" s="314"/>
      <c r="BU2113" s="314"/>
      <c r="BV2113" s="314"/>
      <c r="BW2113" s="314"/>
      <c r="BX2113" s="155"/>
    </row>
    <row r="2114" spans="1:76" ht="15.75" customHeight="1">
      <c r="A2114" s="25"/>
      <c r="B2114" s="39"/>
      <c r="C2114" s="155"/>
      <c r="D2114" s="155"/>
      <c r="E2114" s="40"/>
      <c r="F2114" s="314"/>
      <c r="H2114" s="315"/>
      <c r="I2114" s="315"/>
      <c r="BA2114" s="30"/>
      <c r="BB2114" s="155"/>
      <c r="BC2114" s="314"/>
      <c r="BD2114" s="314"/>
      <c r="BE2114" s="314"/>
      <c r="BF2114" s="314"/>
      <c r="BG2114" s="314"/>
      <c r="BH2114" s="314"/>
      <c r="BI2114" s="314"/>
      <c r="BJ2114" s="314"/>
      <c r="BK2114" s="40"/>
      <c r="BL2114" s="40"/>
      <c r="BM2114" s="40"/>
      <c r="BN2114" s="40"/>
      <c r="BO2114" s="40"/>
      <c r="BP2114" s="155"/>
      <c r="BQ2114" s="314"/>
      <c r="BR2114" s="314"/>
      <c r="BS2114" s="314"/>
      <c r="BT2114" s="314"/>
      <c r="BU2114" s="314"/>
      <c r="BV2114" s="314"/>
      <c r="BW2114" s="314"/>
      <c r="BX2114" s="155"/>
    </row>
    <row r="2115" spans="1:76" ht="15.75" customHeight="1">
      <c r="A2115" s="25"/>
      <c r="B2115" s="39"/>
      <c r="C2115" s="155"/>
      <c r="D2115" s="155"/>
      <c r="E2115" s="40"/>
      <c r="F2115" s="314"/>
      <c r="H2115" s="315"/>
      <c r="I2115" s="315"/>
      <c r="BA2115" s="30"/>
      <c r="BB2115" s="155"/>
      <c r="BC2115" s="314"/>
      <c r="BD2115" s="314"/>
      <c r="BE2115" s="314"/>
      <c r="BF2115" s="314"/>
      <c r="BG2115" s="314"/>
      <c r="BH2115" s="314"/>
      <c r="BI2115" s="314"/>
      <c r="BJ2115" s="314"/>
      <c r="BK2115" s="40"/>
      <c r="BL2115" s="40"/>
      <c r="BM2115" s="40"/>
      <c r="BN2115" s="40"/>
      <c r="BO2115" s="40"/>
      <c r="BP2115" s="155"/>
      <c r="BQ2115" s="314"/>
      <c r="BR2115" s="314"/>
      <c r="BS2115" s="314"/>
      <c r="BT2115" s="314"/>
      <c r="BU2115" s="314"/>
      <c r="BV2115" s="314"/>
      <c r="BW2115" s="314"/>
      <c r="BX2115" s="155"/>
    </row>
    <row r="2116" spans="1:76" ht="15.75" customHeight="1">
      <c r="A2116" s="25"/>
      <c r="B2116" s="39"/>
      <c r="C2116" s="155"/>
      <c r="D2116" s="155"/>
      <c r="E2116" s="40"/>
      <c r="F2116" s="314"/>
      <c r="H2116" s="315"/>
      <c r="I2116" s="315"/>
      <c r="BA2116" s="30"/>
      <c r="BB2116" s="155"/>
      <c r="BC2116" s="314"/>
      <c r="BD2116" s="314"/>
      <c r="BE2116" s="314"/>
      <c r="BF2116" s="314"/>
      <c r="BG2116" s="314"/>
      <c r="BH2116" s="314"/>
      <c r="BI2116" s="314"/>
      <c r="BJ2116" s="314"/>
      <c r="BK2116" s="40"/>
      <c r="BL2116" s="40"/>
      <c r="BM2116" s="40"/>
      <c r="BN2116" s="40"/>
      <c r="BO2116" s="40"/>
      <c r="BP2116" s="155"/>
      <c r="BQ2116" s="314"/>
      <c r="BR2116" s="314"/>
      <c r="BS2116" s="314"/>
      <c r="BT2116" s="314"/>
      <c r="BU2116" s="314"/>
      <c r="BV2116" s="314"/>
      <c r="BW2116" s="314"/>
      <c r="BX2116" s="155"/>
    </row>
    <row r="2117" spans="1:76" ht="15.75" customHeight="1">
      <c r="A2117" s="25"/>
      <c r="B2117" s="39"/>
      <c r="C2117" s="155"/>
      <c r="D2117" s="155"/>
      <c r="E2117" s="40"/>
      <c r="F2117" s="314"/>
      <c r="H2117" s="315"/>
      <c r="I2117" s="315"/>
      <c r="BA2117" s="30"/>
      <c r="BB2117" s="155"/>
      <c r="BC2117" s="314"/>
      <c r="BD2117" s="314"/>
      <c r="BE2117" s="314"/>
      <c r="BF2117" s="314"/>
      <c r="BG2117" s="314"/>
      <c r="BH2117" s="314"/>
      <c r="BI2117" s="314"/>
      <c r="BJ2117" s="314"/>
      <c r="BK2117" s="40"/>
      <c r="BL2117" s="40"/>
      <c r="BM2117" s="40"/>
      <c r="BN2117" s="40"/>
      <c r="BO2117" s="40"/>
      <c r="BP2117" s="155"/>
      <c r="BQ2117" s="314"/>
      <c r="BR2117" s="314"/>
      <c r="BS2117" s="314"/>
      <c r="BT2117" s="314"/>
      <c r="BU2117" s="314"/>
      <c r="BV2117" s="314"/>
      <c r="BW2117" s="314"/>
      <c r="BX2117" s="155"/>
    </row>
    <row r="2118" spans="1:76" ht="15.75" customHeight="1">
      <c r="A2118" s="25"/>
      <c r="B2118" s="39"/>
      <c r="C2118" s="155"/>
      <c r="D2118" s="155"/>
      <c r="E2118" s="40"/>
      <c r="F2118" s="314"/>
      <c r="H2118" s="315"/>
      <c r="I2118" s="315"/>
      <c r="BA2118" s="30"/>
      <c r="BB2118" s="155"/>
      <c r="BC2118" s="314"/>
      <c r="BD2118" s="314"/>
      <c r="BE2118" s="314"/>
      <c r="BF2118" s="314"/>
      <c r="BG2118" s="314"/>
      <c r="BH2118" s="314"/>
      <c r="BI2118" s="314"/>
      <c r="BJ2118" s="314"/>
      <c r="BK2118" s="40"/>
      <c r="BL2118" s="40"/>
      <c r="BM2118" s="40"/>
      <c r="BN2118" s="40"/>
      <c r="BO2118" s="40"/>
      <c r="BP2118" s="155"/>
      <c r="BQ2118" s="314"/>
      <c r="BR2118" s="314"/>
      <c r="BS2118" s="314"/>
      <c r="BT2118" s="314"/>
      <c r="BU2118" s="314"/>
      <c r="BV2118" s="314"/>
      <c r="BW2118" s="314"/>
      <c r="BX2118" s="155"/>
    </row>
    <row r="2119" spans="1:76" ht="15.75" customHeight="1">
      <c r="A2119" s="25"/>
      <c r="B2119" s="39"/>
      <c r="C2119" s="155"/>
      <c r="D2119" s="155"/>
      <c r="E2119" s="40"/>
      <c r="F2119" s="314"/>
      <c r="H2119" s="315"/>
      <c r="I2119" s="315"/>
      <c r="BA2119" s="30"/>
      <c r="BB2119" s="155"/>
      <c r="BC2119" s="314"/>
      <c r="BD2119" s="314"/>
      <c r="BE2119" s="314"/>
      <c r="BF2119" s="314"/>
      <c r="BG2119" s="314"/>
      <c r="BH2119" s="314"/>
      <c r="BI2119" s="314"/>
      <c r="BJ2119" s="314"/>
      <c r="BK2119" s="40"/>
      <c r="BL2119" s="40"/>
      <c r="BM2119" s="40"/>
      <c r="BN2119" s="40"/>
      <c r="BO2119" s="40"/>
      <c r="BP2119" s="155"/>
      <c r="BQ2119" s="314"/>
      <c r="BR2119" s="314"/>
      <c r="BS2119" s="314"/>
      <c r="BT2119" s="314"/>
      <c r="BU2119" s="314"/>
      <c r="BV2119" s="314"/>
      <c r="BW2119" s="314"/>
      <c r="BX2119" s="155"/>
    </row>
    <row r="2120" spans="1:76" ht="15.75" customHeight="1">
      <c r="A2120" s="25"/>
      <c r="B2120" s="39"/>
      <c r="C2120" s="155"/>
      <c r="D2120" s="155"/>
      <c r="E2120" s="40"/>
      <c r="F2120" s="314"/>
      <c r="H2120" s="315"/>
      <c r="I2120" s="315"/>
      <c r="BA2120" s="30"/>
      <c r="BB2120" s="155"/>
      <c r="BC2120" s="314"/>
      <c r="BD2120" s="314"/>
      <c r="BE2120" s="314"/>
      <c r="BF2120" s="314"/>
      <c r="BG2120" s="314"/>
      <c r="BH2120" s="314"/>
      <c r="BI2120" s="314"/>
      <c r="BJ2120" s="314"/>
      <c r="BK2120" s="40"/>
      <c r="BL2120" s="40"/>
      <c r="BM2120" s="40"/>
      <c r="BN2120" s="40"/>
      <c r="BO2120" s="40"/>
      <c r="BP2120" s="155"/>
      <c r="BQ2120" s="314"/>
      <c r="BR2120" s="314"/>
      <c r="BS2120" s="314"/>
      <c r="BT2120" s="314"/>
      <c r="BU2120" s="314"/>
      <c r="BV2120" s="314"/>
      <c r="BW2120" s="314"/>
      <c r="BX2120" s="155"/>
    </row>
    <row r="2121" spans="1:76" ht="15.75" customHeight="1">
      <c r="A2121" s="25"/>
      <c r="B2121" s="39"/>
      <c r="C2121" s="155"/>
      <c r="D2121" s="155"/>
      <c r="E2121" s="40"/>
      <c r="F2121" s="314"/>
      <c r="H2121" s="315"/>
      <c r="I2121" s="315"/>
      <c r="BA2121" s="30"/>
      <c r="BB2121" s="155"/>
      <c r="BC2121" s="314"/>
      <c r="BD2121" s="314"/>
      <c r="BE2121" s="314"/>
      <c r="BF2121" s="314"/>
      <c r="BG2121" s="314"/>
      <c r="BH2121" s="314"/>
      <c r="BI2121" s="314"/>
      <c r="BJ2121" s="314"/>
      <c r="BK2121" s="40"/>
      <c r="BL2121" s="40"/>
      <c r="BM2121" s="40"/>
      <c r="BN2121" s="40"/>
      <c r="BO2121" s="40"/>
      <c r="BP2121" s="155"/>
      <c r="BQ2121" s="314"/>
      <c r="BR2121" s="314"/>
      <c r="BS2121" s="314"/>
      <c r="BT2121" s="314"/>
      <c r="BU2121" s="314"/>
      <c r="BV2121" s="314"/>
      <c r="BW2121" s="314"/>
      <c r="BX2121" s="155"/>
    </row>
    <row r="2122" spans="1:76" ht="15.75" customHeight="1">
      <c r="A2122" s="25"/>
      <c r="B2122" s="39"/>
      <c r="C2122" s="155"/>
      <c r="D2122" s="155"/>
      <c r="E2122" s="40"/>
      <c r="F2122" s="314"/>
      <c r="H2122" s="315"/>
      <c r="I2122" s="315"/>
      <c r="BA2122" s="30"/>
      <c r="BB2122" s="155"/>
      <c r="BC2122" s="314"/>
      <c r="BD2122" s="314"/>
      <c r="BE2122" s="314"/>
      <c r="BF2122" s="314"/>
      <c r="BG2122" s="314"/>
      <c r="BH2122" s="314"/>
      <c r="BI2122" s="314"/>
      <c r="BJ2122" s="314"/>
      <c r="BK2122" s="40"/>
      <c r="BL2122" s="40"/>
      <c r="BM2122" s="40"/>
      <c r="BN2122" s="40"/>
      <c r="BO2122" s="40"/>
      <c r="BP2122" s="155"/>
      <c r="BQ2122" s="314"/>
      <c r="BR2122" s="314"/>
      <c r="BS2122" s="314"/>
      <c r="BT2122" s="314"/>
      <c r="BU2122" s="314"/>
      <c r="BV2122" s="314"/>
      <c r="BW2122" s="314"/>
      <c r="BX2122" s="155"/>
    </row>
    <row r="2123" spans="1:76" ht="15.75" customHeight="1">
      <c r="A2123" s="25"/>
      <c r="B2123" s="39"/>
      <c r="C2123" s="155"/>
      <c r="D2123" s="155"/>
      <c r="E2123" s="40"/>
      <c r="F2123" s="314"/>
      <c r="H2123" s="315"/>
      <c r="I2123" s="315"/>
      <c r="BA2123" s="30"/>
      <c r="BB2123" s="155"/>
      <c r="BC2123" s="314"/>
      <c r="BD2123" s="314"/>
      <c r="BE2123" s="314"/>
      <c r="BF2123" s="314"/>
      <c r="BG2123" s="314"/>
      <c r="BH2123" s="314"/>
      <c r="BI2123" s="314"/>
      <c r="BJ2123" s="314"/>
      <c r="BK2123" s="40"/>
      <c r="BL2123" s="40"/>
      <c r="BM2123" s="40"/>
      <c r="BN2123" s="40"/>
      <c r="BO2123" s="40"/>
      <c r="BP2123" s="155"/>
      <c r="BQ2123" s="314"/>
      <c r="BR2123" s="314"/>
      <c r="BS2123" s="314"/>
      <c r="BT2123" s="314"/>
      <c r="BU2123" s="314"/>
      <c r="BV2123" s="314"/>
      <c r="BW2123" s="314"/>
      <c r="BX2123" s="155"/>
    </row>
    <row r="2124" spans="1:76" ht="15.75" customHeight="1">
      <c r="A2124" s="25"/>
      <c r="B2124" s="39"/>
      <c r="C2124" s="155"/>
      <c r="D2124" s="155"/>
      <c r="E2124" s="40"/>
      <c r="F2124" s="314"/>
      <c r="H2124" s="315"/>
      <c r="I2124" s="315"/>
      <c r="BA2124" s="30"/>
      <c r="BB2124" s="155"/>
      <c r="BC2124" s="322"/>
      <c r="BD2124" s="322"/>
      <c r="BE2124" s="322"/>
      <c r="BF2124" s="322"/>
      <c r="BG2124" s="322"/>
      <c r="BH2124" s="322"/>
      <c r="BI2124" s="322"/>
      <c r="BJ2124" s="322"/>
      <c r="BK2124" s="341"/>
      <c r="BL2124" s="40"/>
      <c r="BM2124" s="40"/>
      <c r="BN2124" s="40"/>
      <c r="BO2124" s="40"/>
      <c r="BP2124" s="155"/>
      <c r="BQ2124" s="314"/>
      <c r="BR2124" s="314"/>
      <c r="BS2124" s="314"/>
      <c r="BT2124" s="314"/>
      <c r="BU2124" s="314"/>
      <c r="BV2124" s="314"/>
      <c r="BW2124" s="314"/>
      <c r="BX2124" s="155"/>
    </row>
    <row r="2125" spans="1:76" ht="15.75" customHeight="1">
      <c r="A2125" s="25"/>
      <c r="B2125" s="39"/>
      <c r="C2125" s="155"/>
      <c r="D2125" s="155"/>
      <c r="E2125" s="40"/>
      <c r="F2125" s="314"/>
      <c r="H2125" s="315"/>
      <c r="I2125" s="315"/>
      <c r="BA2125" s="30"/>
      <c r="BB2125" s="155"/>
      <c r="BC2125" s="314"/>
      <c r="BD2125" s="314"/>
      <c r="BE2125" s="314"/>
      <c r="BF2125" s="314"/>
      <c r="BG2125" s="314"/>
      <c r="BH2125" s="314"/>
      <c r="BI2125" s="314"/>
      <c r="BJ2125" s="314"/>
      <c r="BK2125" s="40"/>
      <c r="BL2125" s="40"/>
      <c r="BM2125" s="40"/>
      <c r="BN2125" s="40"/>
      <c r="BO2125" s="40"/>
      <c r="BP2125" s="155"/>
      <c r="BQ2125" s="314"/>
      <c r="BR2125" s="314"/>
      <c r="BS2125" s="314"/>
      <c r="BT2125" s="314"/>
      <c r="BU2125" s="314"/>
      <c r="BV2125" s="314"/>
      <c r="BW2125" s="314"/>
      <c r="BX2125" s="155"/>
    </row>
    <row r="2126" spans="1:76" ht="15.75" customHeight="1">
      <c r="A2126" s="25"/>
      <c r="B2126" s="39"/>
      <c r="C2126" s="155"/>
      <c r="D2126" s="155"/>
      <c r="E2126" s="40"/>
      <c r="F2126" s="314"/>
      <c r="H2126" s="315"/>
      <c r="I2126" s="315"/>
      <c r="BA2126" s="30"/>
      <c r="BB2126" s="155"/>
      <c r="BC2126" s="314"/>
      <c r="BD2126" s="314"/>
      <c r="BE2126" s="314"/>
      <c r="BF2126" s="314"/>
      <c r="BG2126" s="314"/>
      <c r="BH2126" s="314"/>
      <c r="BI2126" s="314"/>
      <c r="BJ2126" s="314"/>
      <c r="BK2126" s="40"/>
      <c r="BL2126" s="40"/>
      <c r="BM2126" s="40"/>
      <c r="BN2126" s="40"/>
      <c r="BO2126" s="40"/>
      <c r="BP2126" s="155"/>
      <c r="BQ2126" s="314"/>
      <c r="BR2126" s="314"/>
      <c r="BS2126" s="314"/>
      <c r="BT2126" s="314"/>
      <c r="BU2126" s="314"/>
      <c r="BV2126" s="314"/>
      <c r="BW2126" s="314"/>
      <c r="BX2126" s="155"/>
    </row>
    <row r="2127" spans="1:76" ht="15.75" customHeight="1">
      <c r="A2127" s="25"/>
      <c r="B2127" s="39"/>
      <c r="C2127" s="155"/>
      <c r="D2127" s="155"/>
      <c r="E2127" s="40"/>
      <c r="F2127" s="314"/>
      <c r="H2127" s="315"/>
      <c r="I2127" s="315"/>
      <c r="BA2127" s="30"/>
      <c r="BB2127" s="155"/>
      <c r="BC2127" s="314"/>
      <c r="BD2127" s="314"/>
      <c r="BE2127" s="314"/>
      <c r="BF2127" s="314"/>
      <c r="BG2127" s="314"/>
      <c r="BH2127" s="314"/>
      <c r="BI2127" s="314"/>
      <c r="BJ2127" s="314"/>
      <c r="BK2127" s="40"/>
      <c r="BL2127" s="40"/>
      <c r="BM2127" s="40"/>
      <c r="BN2127" s="40"/>
      <c r="BO2127" s="40"/>
      <c r="BP2127" s="155"/>
      <c r="BQ2127" s="314"/>
      <c r="BR2127" s="314"/>
      <c r="BS2127" s="314"/>
      <c r="BT2127" s="314"/>
      <c r="BU2127" s="314"/>
      <c r="BV2127" s="314"/>
      <c r="BW2127" s="314"/>
      <c r="BX2127" s="155"/>
    </row>
    <row r="2128" spans="1:76" ht="15.75" customHeight="1">
      <c r="A2128" s="25"/>
      <c r="B2128" s="39"/>
      <c r="C2128" s="155"/>
      <c r="D2128" s="155"/>
      <c r="E2128" s="40"/>
      <c r="F2128" s="314"/>
      <c r="H2128" s="315"/>
      <c r="I2128" s="315"/>
      <c r="BA2128" s="30"/>
      <c r="BB2128" s="155"/>
      <c r="BC2128" s="314"/>
      <c r="BD2128" s="314"/>
      <c r="BE2128" s="314"/>
      <c r="BF2128" s="314"/>
      <c r="BG2128" s="314"/>
      <c r="BH2128" s="314"/>
      <c r="BI2128" s="314"/>
      <c r="BJ2128" s="314"/>
      <c r="BK2128" s="40"/>
      <c r="BL2128" s="40"/>
      <c r="BM2128" s="40"/>
      <c r="BN2128" s="40"/>
      <c r="BO2128" s="40"/>
      <c r="BP2128" s="155"/>
      <c r="BQ2128" s="314"/>
      <c r="BR2128" s="314"/>
      <c r="BS2128" s="314"/>
      <c r="BT2128" s="314"/>
      <c r="BU2128" s="314"/>
      <c r="BV2128" s="314"/>
      <c r="BW2128" s="314"/>
      <c r="BX2128" s="155"/>
    </row>
    <row r="2129" spans="1:76" ht="15.75" customHeight="1">
      <c r="A2129" s="25"/>
      <c r="B2129" s="39"/>
      <c r="C2129" s="155"/>
      <c r="D2129" s="155"/>
      <c r="E2129" s="40"/>
      <c r="F2129" s="314"/>
      <c r="H2129" s="315"/>
      <c r="I2129" s="315"/>
      <c r="BA2129" s="30"/>
      <c r="BB2129" s="155"/>
      <c r="BC2129" s="314"/>
      <c r="BD2129" s="314"/>
      <c r="BE2129" s="314"/>
      <c r="BF2129" s="314"/>
      <c r="BG2129" s="314"/>
      <c r="BH2129" s="314"/>
      <c r="BI2129" s="314"/>
      <c r="BJ2129" s="314"/>
      <c r="BK2129" s="40"/>
      <c r="BL2129" s="40"/>
      <c r="BM2129" s="40"/>
      <c r="BN2129" s="40"/>
      <c r="BO2129" s="40"/>
      <c r="BP2129" s="155"/>
      <c r="BQ2129" s="314"/>
      <c r="BR2129" s="314"/>
      <c r="BS2129" s="314"/>
      <c r="BT2129" s="314"/>
      <c r="BU2129" s="314"/>
      <c r="BV2129" s="314"/>
      <c r="BW2129" s="314"/>
      <c r="BX2129" s="155"/>
    </row>
    <row r="2130" spans="1:76" ht="15.75" customHeight="1">
      <c r="A2130" s="25"/>
      <c r="B2130" s="39"/>
      <c r="C2130" s="155"/>
      <c r="D2130" s="155"/>
      <c r="E2130" s="40"/>
      <c r="F2130" s="314"/>
      <c r="H2130" s="315"/>
      <c r="I2130" s="315"/>
      <c r="BA2130" s="30"/>
      <c r="BB2130" s="155"/>
      <c r="BC2130" s="314"/>
      <c r="BD2130" s="314"/>
      <c r="BE2130" s="314"/>
      <c r="BF2130" s="314"/>
      <c r="BG2130" s="314"/>
      <c r="BH2130" s="314"/>
      <c r="BI2130" s="314"/>
      <c r="BJ2130" s="314"/>
      <c r="BK2130" s="40"/>
      <c r="BL2130" s="40"/>
      <c r="BM2130" s="40"/>
      <c r="BN2130" s="40"/>
      <c r="BO2130" s="40"/>
      <c r="BP2130" s="155"/>
      <c r="BQ2130" s="314"/>
      <c r="BR2130" s="314"/>
      <c r="BS2130" s="314"/>
      <c r="BT2130" s="314"/>
      <c r="BU2130" s="314"/>
      <c r="BV2130" s="314"/>
      <c r="BW2130" s="314"/>
      <c r="BX2130" s="155"/>
    </row>
    <row r="2131" spans="1:76" ht="15.75" customHeight="1">
      <c r="A2131" s="25"/>
      <c r="B2131" s="39"/>
      <c r="C2131" s="155"/>
      <c r="D2131" s="155"/>
      <c r="E2131" s="40"/>
      <c r="F2131" s="314"/>
      <c r="H2131" s="315"/>
      <c r="I2131" s="315"/>
      <c r="BA2131" s="30"/>
      <c r="BB2131" s="155"/>
      <c r="BC2131" s="314"/>
      <c r="BD2131" s="314"/>
      <c r="BE2131" s="314"/>
      <c r="BF2131" s="314"/>
      <c r="BG2131" s="314"/>
      <c r="BH2131" s="314"/>
      <c r="BI2131" s="314"/>
      <c r="BJ2131" s="314"/>
      <c r="BK2131" s="40"/>
      <c r="BL2131" s="40"/>
      <c r="BM2131" s="40"/>
      <c r="BN2131" s="40"/>
      <c r="BO2131" s="40"/>
      <c r="BP2131" s="155"/>
      <c r="BQ2131" s="314"/>
      <c r="BR2131" s="314"/>
      <c r="BS2131" s="314"/>
      <c r="BT2131" s="314"/>
      <c r="BU2131" s="314"/>
      <c r="BV2131" s="314"/>
      <c r="BW2131" s="314"/>
      <c r="BX2131" s="155"/>
    </row>
    <row r="2132" spans="1:76" ht="15.75" customHeight="1">
      <c r="A2132" s="25"/>
      <c r="B2132" s="39"/>
      <c r="C2132" s="155"/>
      <c r="D2132" s="155"/>
      <c r="E2132" s="40"/>
      <c r="F2132" s="314"/>
      <c r="H2132" s="315"/>
      <c r="I2132" s="315"/>
      <c r="BA2132" s="30"/>
      <c r="BB2132" s="155"/>
      <c r="BC2132" s="314"/>
      <c r="BD2132" s="314"/>
      <c r="BE2132" s="314"/>
      <c r="BF2132" s="314"/>
      <c r="BG2132" s="314"/>
      <c r="BH2132" s="314"/>
      <c r="BI2132" s="314"/>
      <c r="BJ2132" s="314"/>
      <c r="BK2132" s="40"/>
      <c r="BL2132" s="40"/>
      <c r="BM2132" s="40"/>
      <c r="BN2132" s="40"/>
      <c r="BO2132" s="40"/>
      <c r="BP2132" s="155"/>
      <c r="BQ2132" s="314"/>
      <c r="BR2132" s="314"/>
      <c r="BS2132" s="314"/>
      <c r="BT2132" s="314"/>
      <c r="BU2132" s="314"/>
      <c r="BV2132" s="314"/>
      <c r="BW2132" s="314"/>
      <c r="BX2132" s="155"/>
    </row>
    <row r="2133" spans="1:76" ht="15.75" customHeight="1">
      <c r="A2133" s="25"/>
      <c r="B2133" s="39"/>
      <c r="C2133" s="155"/>
      <c r="D2133" s="155"/>
      <c r="E2133" s="40"/>
      <c r="F2133" s="314"/>
      <c r="H2133" s="315"/>
      <c r="I2133" s="315"/>
      <c r="BA2133" s="30"/>
      <c r="BB2133" s="155"/>
      <c r="BC2133" s="314"/>
      <c r="BD2133" s="314"/>
      <c r="BE2133" s="314"/>
      <c r="BF2133" s="314"/>
      <c r="BG2133" s="314"/>
      <c r="BH2133" s="314"/>
      <c r="BI2133" s="314"/>
      <c r="BJ2133" s="314"/>
      <c r="BK2133" s="40"/>
      <c r="BL2133" s="40"/>
      <c r="BM2133" s="40"/>
      <c r="BN2133" s="40"/>
      <c r="BO2133" s="40"/>
      <c r="BP2133" s="155"/>
      <c r="BQ2133" s="314"/>
      <c r="BR2133" s="314"/>
      <c r="BS2133" s="314"/>
      <c r="BT2133" s="314"/>
      <c r="BU2133" s="314"/>
      <c r="BV2133" s="314"/>
      <c r="BW2133" s="314"/>
      <c r="BX2133" s="155"/>
    </row>
    <row r="2134" spans="1:76" ht="15.75" customHeight="1">
      <c r="A2134" s="25"/>
      <c r="B2134" s="39"/>
      <c r="C2134" s="155"/>
      <c r="D2134" s="155"/>
      <c r="E2134" s="40"/>
      <c r="F2134" s="314"/>
      <c r="H2134" s="315"/>
      <c r="I2134" s="315"/>
      <c r="BA2134" s="30"/>
      <c r="BB2134" s="155"/>
      <c r="BC2134" s="314"/>
      <c r="BD2134" s="314"/>
      <c r="BE2134" s="314"/>
      <c r="BF2134" s="314"/>
      <c r="BG2134" s="314"/>
      <c r="BH2134" s="314"/>
      <c r="BI2134" s="314"/>
      <c r="BJ2134" s="314"/>
      <c r="BK2134" s="40"/>
      <c r="BL2134" s="40"/>
      <c r="BM2134" s="40"/>
      <c r="BN2134" s="40"/>
      <c r="BO2134" s="40"/>
      <c r="BP2134" s="155"/>
      <c r="BQ2134" s="314"/>
      <c r="BR2134" s="314"/>
      <c r="BS2134" s="314"/>
      <c r="BT2134" s="314"/>
      <c r="BU2134" s="314"/>
      <c r="BV2134" s="314"/>
      <c r="BW2134" s="314"/>
      <c r="BX2134" s="155"/>
    </row>
    <row r="2135" spans="1:76" ht="15.75" customHeight="1">
      <c r="A2135" s="25"/>
      <c r="B2135" s="39"/>
      <c r="C2135" s="155"/>
      <c r="D2135" s="155"/>
      <c r="E2135" s="40"/>
      <c r="F2135" s="314"/>
      <c r="H2135" s="315"/>
      <c r="I2135" s="315"/>
      <c r="BA2135" s="30"/>
      <c r="BB2135" s="155"/>
      <c r="BC2135" s="314"/>
      <c r="BD2135" s="314"/>
      <c r="BE2135" s="314"/>
      <c r="BF2135" s="314"/>
      <c r="BG2135" s="314"/>
      <c r="BH2135" s="314"/>
      <c r="BI2135" s="314"/>
      <c r="BJ2135" s="314"/>
      <c r="BK2135" s="40"/>
      <c r="BL2135" s="40"/>
      <c r="BM2135" s="40"/>
      <c r="BN2135" s="40"/>
      <c r="BO2135" s="40"/>
      <c r="BP2135" s="155"/>
      <c r="BQ2135" s="314"/>
      <c r="BR2135" s="314"/>
      <c r="BS2135" s="314"/>
      <c r="BT2135" s="314"/>
      <c r="BU2135" s="314"/>
      <c r="BV2135" s="314"/>
      <c r="BW2135" s="314"/>
      <c r="BX2135" s="155"/>
    </row>
    <row r="2136" spans="1:76" ht="15.75" customHeight="1">
      <c r="A2136" s="25"/>
      <c r="B2136" s="39"/>
      <c r="C2136" s="155"/>
      <c r="D2136" s="155"/>
      <c r="E2136" s="40"/>
      <c r="F2136" s="314"/>
      <c r="H2136" s="315"/>
      <c r="I2136" s="315"/>
      <c r="BA2136" s="30"/>
      <c r="BB2136" s="155"/>
      <c r="BC2136" s="314"/>
      <c r="BD2136" s="314"/>
      <c r="BE2136" s="314"/>
      <c r="BF2136" s="314"/>
      <c r="BG2136" s="314"/>
      <c r="BH2136" s="314"/>
      <c r="BI2136" s="314"/>
      <c r="BJ2136" s="314"/>
      <c r="BK2136" s="40"/>
      <c r="BL2136" s="40"/>
      <c r="BM2136" s="40"/>
      <c r="BN2136" s="40"/>
      <c r="BO2136" s="40"/>
      <c r="BP2136" s="155"/>
      <c r="BQ2136" s="314"/>
      <c r="BR2136" s="314"/>
      <c r="BS2136" s="314"/>
      <c r="BT2136" s="314"/>
      <c r="BU2136" s="314"/>
      <c r="BV2136" s="314"/>
      <c r="BW2136" s="314"/>
      <c r="BX2136" s="155"/>
    </row>
    <row r="2137" spans="1:76" ht="15.75" customHeight="1">
      <c r="A2137" s="25"/>
      <c r="B2137" s="39"/>
      <c r="C2137" s="155"/>
      <c r="D2137" s="155"/>
      <c r="E2137" s="40"/>
      <c r="F2137" s="314"/>
      <c r="H2137" s="315"/>
      <c r="I2137" s="315"/>
      <c r="BA2137" s="30"/>
      <c r="BB2137" s="155"/>
      <c r="BC2137" s="314"/>
      <c r="BD2137" s="314"/>
      <c r="BE2137" s="314"/>
      <c r="BF2137" s="314"/>
      <c r="BG2137" s="314"/>
      <c r="BH2137" s="314"/>
      <c r="BI2137" s="314"/>
      <c r="BJ2137" s="314"/>
      <c r="BK2137" s="40"/>
      <c r="BL2137" s="40"/>
      <c r="BM2137" s="40"/>
      <c r="BN2137" s="40"/>
      <c r="BO2137" s="40"/>
      <c r="BP2137" s="155"/>
      <c r="BQ2137" s="314"/>
      <c r="BR2137" s="314"/>
      <c r="BS2137" s="314"/>
      <c r="BT2137" s="314"/>
      <c r="BU2137" s="314"/>
      <c r="BV2137" s="314"/>
      <c r="BW2137" s="314"/>
      <c r="BX2137" s="155"/>
    </row>
    <row r="2138" spans="1:76" ht="15.75" customHeight="1">
      <c r="A2138" s="25"/>
      <c r="B2138" s="39"/>
      <c r="C2138" s="155"/>
      <c r="D2138" s="155"/>
      <c r="E2138" s="40"/>
      <c r="F2138" s="314"/>
      <c r="H2138" s="315"/>
      <c r="I2138" s="315"/>
      <c r="BA2138" s="30"/>
      <c r="BB2138" s="155"/>
      <c r="BC2138" s="314"/>
      <c r="BD2138" s="314"/>
      <c r="BE2138" s="314"/>
      <c r="BF2138" s="314"/>
      <c r="BG2138" s="314"/>
      <c r="BH2138" s="314"/>
      <c r="BI2138" s="314"/>
      <c r="BJ2138" s="314"/>
      <c r="BK2138" s="40"/>
      <c r="BL2138" s="40"/>
      <c r="BM2138" s="40"/>
      <c r="BN2138" s="40"/>
      <c r="BO2138" s="40"/>
      <c r="BP2138" s="155"/>
      <c r="BQ2138" s="314"/>
      <c r="BR2138" s="314"/>
      <c r="BS2138" s="314"/>
      <c r="BT2138" s="314"/>
      <c r="BU2138" s="314"/>
      <c r="BV2138" s="314"/>
      <c r="BW2138" s="314"/>
      <c r="BX2138" s="155"/>
    </row>
    <row r="2139" spans="1:76" ht="15.75" customHeight="1">
      <c r="A2139" s="25"/>
      <c r="B2139" s="39"/>
      <c r="C2139" s="155"/>
      <c r="D2139" s="155"/>
      <c r="E2139" s="40"/>
      <c r="F2139" s="314"/>
      <c r="H2139" s="315"/>
      <c r="I2139" s="315"/>
      <c r="BA2139" s="30"/>
      <c r="BB2139" s="155"/>
      <c r="BC2139" s="314"/>
      <c r="BD2139" s="314"/>
      <c r="BE2139" s="314"/>
      <c r="BF2139" s="314"/>
      <c r="BG2139" s="314"/>
      <c r="BH2139" s="314"/>
      <c r="BI2139" s="314"/>
      <c r="BJ2139" s="314"/>
      <c r="BK2139" s="40"/>
      <c r="BL2139" s="40"/>
      <c r="BM2139" s="40"/>
      <c r="BN2139" s="40"/>
      <c r="BO2139" s="40"/>
      <c r="BP2139" s="155"/>
      <c r="BQ2139" s="314"/>
      <c r="BR2139" s="314"/>
      <c r="BS2139" s="314"/>
      <c r="BT2139" s="314"/>
      <c r="BU2139" s="314"/>
      <c r="BV2139" s="314"/>
      <c r="BW2139" s="314"/>
      <c r="BX2139" s="155"/>
    </row>
    <row r="2140" spans="1:76" ht="15.75" customHeight="1">
      <c r="A2140" s="25"/>
      <c r="B2140" s="39"/>
      <c r="C2140" s="155"/>
      <c r="D2140" s="155"/>
      <c r="E2140" s="40"/>
      <c r="F2140" s="314"/>
      <c r="H2140" s="315"/>
      <c r="I2140" s="315"/>
      <c r="BA2140" s="30"/>
      <c r="BB2140" s="155"/>
      <c r="BC2140" s="314"/>
      <c r="BD2140" s="314"/>
      <c r="BE2140" s="314"/>
      <c r="BF2140" s="314"/>
      <c r="BG2140" s="314"/>
      <c r="BH2140" s="314"/>
      <c r="BI2140" s="314"/>
      <c r="BJ2140" s="314"/>
      <c r="BK2140" s="40"/>
      <c r="BL2140" s="40"/>
      <c r="BM2140" s="40"/>
      <c r="BN2140" s="40"/>
      <c r="BO2140" s="40"/>
      <c r="BP2140" s="155"/>
      <c r="BQ2140" s="314"/>
      <c r="BR2140" s="314"/>
      <c r="BS2140" s="314"/>
      <c r="BT2140" s="314"/>
      <c r="BU2140" s="314"/>
      <c r="BV2140" s="314"/>
      <c r="BW2140" s="314"/>
      <c r="BX2140" s="155"/>
    </row>
    <row r="2141" spans="1:76" ht="15.75" customHeight="1">
      <c r="A2141" s="25"/>
      <c r="B2141" s="39"/>
      <c r="C2141" s="155"/>
      <c r="D2141" s="155"/>
      <c r="E2141" s="40"/>
      <c r="F2141" s="314"/>
      <c r="H2141" s="315"/>
      <c r="I2141" s="315"/>
      <c r="BA2141" s="30"/>
      <c r="BB2141" s="155"/>
      <c r="BC2141" s="314"/>
      <c r="BD2141" s="314"/>
      <c r="BE2141" s="314"/>
      <c r="BF2141" s="314"/>
      <c r="BG2141" s="314"/>
      <c r="BH2141" s="314"/>
      <c r="BI2141" s="314"/>
      <c r="BJ2141" s="314"/>
      <c r="BK2141" s="40"/>
      <c r="BL2141" s="40"/>
      <c r="BM2141" s="40"/>
      <c r="BN2141" s="40"/>
      <c r="BO2141" s="40"/>
      <c r="BP2141" s="155"/>
      <c r="BQ2141" s="314"/>
      <c r="BR2141" s="314"/>
      <c r="BS2141" s="314"/>
      <c r="BT2141" s="314"/>
      <c r="BU2141" s="314"/>
      <c r="BV2141" s="314"/>
      <c r="BW2141" s="314"/>
      <c r="BX2141" s="155"/>
    </row>
    <row r="2142" spans="1:76" ht="15.75" customHeight="1">
      <c r="A2142" s="25"/>
      <c r="B2142" s="39"/>
      <c r="C2142" s="155"/>
      <c r="D2142" s="155"/>
      <c r="E2142" s="40"/>
      <c r="F2142" s="314"/>
      <c r="H2142" s="315"/>
      <c r="I2142" s="315"/>
      <c r="BA2142" s="30"/>
      <c r="BB2142" s="155"/>
      <c r="BC2142" s="314"/>
      <c r="BD2142" s="314"/>
      <c r="BE2142" s="314"/>
      <c r="BF2142" s="314"/>
      <c r="BG2142" s="314"/>
      <c r="BH2142" s="314"/>
      <c r="BI2142" s="314"/>
      <c r="BJ2142" s="314"/>
      <c r="BK2142" s="40"/>
      <c r="BL2142" s="40"/>
      <c r="BM2142" s="40"/>
      <c r="BN2142" s="40"/>
      <c r="BO2142" s="40"/>
      <c r="BP2142" s="155"/>
      <c r="BQ2142" s="314"/>
      <c r="BR2142" s="314"/>
      <c r="BS2142" s="314"/>
      <c r="BT2142" s="314"/>
      <c r="BU2142" s="314"/>
      <c r="BV2142" s="314"/>
      <c r="BW2142" s="314"/>
      <c r="BX2142" s="155"/>
    </row>
    <row r="2143" spans="1:76" ht="15.75" customHeight="1">
      <c r="A2143" s="25"/>
      <c r="B2143" s="39"/>
      <c r="C2143" s="155"/>
      <c r="D2143" s="155"/>
      <c r="E2143" s="40"/>
      <c r="F2143" s="314"/>
      <c r="H2143" s="315"/>
      <c r="I2143" s="315"/>
      <c r="BA2143" s="30"/>
      <c r="BB2143" s="155"/>
      <c r="BC2143" s="314"/>
      <c r="BD2143" s="314"/>
      <c r="BE2143" s="314"/>
      <c r="BF2143" s="314"/>
      <c r="BG2143" s="314"/>
      <c r="BH2143" s="314"/>
      <c r="BI2143" s="314"/>
      <c r="BJ2143" s="314"/>
      <c r="BK2143" s="40"/>
      <c r="BL2143" s="40"/>
      <c r="BM2143" s="40"/>
      <c r="BN2143" s="40"/>
      <c r="BO2143" s="40"/>
      <c r="BP2143" s="155"/>
      <c r="BQ2143" s="314"/>
      <c r="BR2143" s="314"/>
      <c r="BS2143" s="314"/>
      <c r="BT2143" s="314"/>
      <c r="BU2143" s="314"/>
      <c r="BV2143" s="314"/>
      <c r="BW2143" s="314"/>
      <c r="BX2143" s="155"/>
    </row>
    <row r="2144" spans="1:76" ht="15.75" customHeight="1">
      <c r="A2144" s="25"/>
      <c r="B2144" s="39"/>
      <c r="C2144" s="155"/>
      <c r="D2144" s="155"/>
      <c r="E2144" s="40"/>
      <c r="F2144" s="314"/>
      <c r="H2144" s="315"/>
      <c r="I2144" s="315"/>
      <c r="BA2144" s="30"/>
      <c r="BB2144" s="155"/>
      <c r="BC2144" s="314"/>
      <c r="BD2144" s="314"/>
      <c r="BE2144" s="314"/>
      <c r="BF2144" s="314"/>
      <c r="BG2144" s="314"/>
      <c r="BH2144" s="314"/>
      <c r="BI2144" s="314"/>
      <c r="BJ2144" s="314"/>
      <c r="BK2144" s="40"/>
      <c r="BL2144" s="40"/>
      <c r="BM2144" s="40"/>
      <c r="BN2144" s="40"/>
      <c r="BO2144" s="40"/>
      <c r="BP2144" s="155"/>
      <c r="BQ2144" s="314"/>
      <c r="BR2144" s="314"/>
      <c r="BS2144" s="314"/>
      <c r="BT2144" s="314"/>
      <c r="BU2144" s="314"/>
      <c r="BV2144" s="314"/>
      <c r="BW2144" s="314"/>
      <c r="BX2144" s="155"/>
    </row>
    <row r="2145" spans="1:76" ht="15.75" customHeight="1">
      <c r="A2145" s="25"/>
      <c r="B2145" s="39"/>
      <c r="C2145" s="155"/>
      <c r="D2145" s="155"/>
      <c r="E2145" s="40"/>
      <c r="F2145" s="314"/>
      <c r="H2145" s="315"/>
      <c r="I2145" s="315"/>
      <c r="BA2145" s="30"/>
      <c r="BB2145" s="155"/>
      <c r="BC2145" s="314"/>
      <c r="BD2145" s="314"/>
      <c r="BE2145" s="314"/>
      <c r="BF2145" s="314"/>
      <c r="BG2145" s="314"/>
      <c r="BH2145" s="314"/>
      <c r="BI2145" s="314"/>
      <c r="BJ2145" s="314"/>
      <c r="BK2145" s="40"/>
      <c r="BL2145" s="40"/>
      <c r="BM2145" s="40"/>
      <c r="BN2145" s="40"/>
      <c r="BO2145" s="40"/>
      <c r="BP2145" s="155"/>
      <c r="BQ2145" s="314"/>
      <c r="BR2145" s="314"/>
      <c r="BS2145" s="314"/>
      <c r="BT2145" s="314"/>
      <c r="BU2145" s="314"/>
      <c r="BV2145" s="314"/>
      <c r="BW2145" s="314"/>
      <c r="BX2145" s="155"/>
    </row>
    <row r="2146" spans="1:76" ht="15.75" customHeight="1">
      <c r="A2146" s="25"/>
      <c r="B2146" s="39"/>
      <c r="C2146" s="155"/>
      <c r="D2146" s="155"/>
      <c r="E2146" s="40"/>
      <c r="F2146" s="314"/>
      <c r="H2146" s="315"/>
      <c r="I2146" s="315"/>
      <c r="BA2146" s="30"/>
      <c r="BB2146" s="155"/>
      <c r="BC2146" s="314"/>
      <c r="BD2146" s="314"/>
      <c r="BE2146" s="314"/>
      <c r="BF2146" s="314"/>
      <c r="BG2146" s="314"/>
      <c r="BH2146" s="314"/>
      <c r="BI2146" s="314"/>
      <c r="BJ2146" s="314"/>
      <c r="BK2146" s="40"/>
      <c r="BL2146" s="40"/>
      <c r="BM2146" s="40"/>
      <c r="BN2146" s="40"/>
      <c r="BO2146" s="40"/>
      <c r="BP2146" s="155"/>
      <c r="BQ2146" s="314"/>
      <c r="BR2146" s="314"/>
      <c r="BS2146" s="314"/>
      <c r="BT2146" s="314"/>
      <c r="BU2146" s="314"/>
      <c r="BV2146" s="314"/>
      <c r="BW2146" s="314"/>
      <c r="BX2146" s="155"/>
    </row>
    <row r="2147" spans="1:76" ht="15.75" customHeight="1">
      <c r="A2147" s="25"/>
      <c r="B2147" s="39"/>
      <c r="C2147" s="155"/>
      <c r="D2147" s="155"/>
      <c r="E2147" s="40"/>
      <c r="F2147" s="314"/>
      <c r="H2147" s="315"/>
      <c r="I2147" s="315"/>
      <c r="BA2147" s="30"/>
      <c r="BB2147" s="155"/>
      <c r="BC2147" s="314"/>
      <c r="BD2147" s="314"/>
      <c r="BE2147" s="314"/>
      <c r="BF2147" s="314"/>
      <c r="BG2147" s="314"/>
      <c r="BH2147" s="314"/>
      <c r="BI2147" s="314"/>
      <c r="BJ2147" s="314"/>
      <c r="BK2147" s="40"/>
      <c r="BL2147" s="40"/>
      <c r="BM2147" s="40"/>
      <c r="BN2147" s="40"/>
      <c r="BO2147" s="40"/>
      <c r="BP2147" s="155"/>
      <c r="BQ2147" s="314"/>
      <c r="BR2147" s="314"/>
      <c r="BS2147" s="314"/>
      <c r="BT2147" s="314"/>
      <c r="BU2147" s="314"/>
      <c r="BV2147" s="314"/>
      <c r="BW2147" s="314"/>
      <c r="BX2147" s="155"/>
    </row>
    <row r="2148" spans="1:76" ht="15.75" customHeight="1">
      <c r="A2148" s="25"/>
      <c r="B2148" s="39"/>
      <c r="C2148" s="155"/>
      <c r="D2148" s="155"/>
      <c r="E2148" s="40"/>
      <c r="F2148" s="314"/>
      <c r="H2148" s="315"/>
      <c r="I2148" s="315"/>
      <c r="BA2148" s="30"/>
      <c r="BB2148" s="155"/>
      <c r="BC2148" s="314"/>
      <c r="BD2148" s="314"/>
      <c r="BE2148" s="314"/>
      <c r="BF2148" s="314"/>
      <c r="BG2148" s="314"/>
      <c r="BH2148" s="314"/>
      <c r="BI2148" s="314"/>
      <c r="BJ2148" s="314"/>
      <c r="BK2148" s="40"/>
      <c r="BL2148" s="40"/>
      <c r="BM2148" s="40"/>
      <c r="BN2148" s="40"/>
      <c r="BO2148" s="40"/>
      <c r="BP2148" s="155"/>
      <c r="BQ2148" s="314"/>
      <c r="BR2148" s="314"/>
      <c r="BS2148" s="314"/>
      <c r="BT2148" s="314"/>
      <c r="BU2148" s="314"/>
      <c r="BV2148" s="314"/>
      <c r="BW2148" s="314"/>
      <c r="BX2148" s="155"/>
    </row>
    <row r="2149" spans="1:76" ht="15.75" customHeight="1">
      <c r="A2149" s="25"/>
      <c r="B2149" s="39"/>
      <c r="C2149" s="155"/>
      <c r="D2149" s="155"/>
      <c r="E2149" s="40"/>
      <c r="F2149" s="314"/>
      <c r="H2149" s="315"/>
      <c r="I2149" s="315"/>
      <c r="BA2149" s="30"/>
      <c r="BB2149" s="155"/>
      <c r="BC2149" s="314"/>
      <c r="BD2149" s="314"/>
      <c r="BE2149" s="314"/>
      <c r="BF2149" s="314"/>
      <c r="BG2149" s="314"/>
      <c r="BH2149" s="314"/>
      <c r="BI2149" s="314"/>
      <c r="BJ2149" s="314"/>
      <c r="BK2149" s="40"/>
      <c r="BL2149" s="40"/>
      <c r="BM2149" s="40"/>
      <c r="BN2149" s="40"/>
      <c r="BO2149" s="40"/>
      <c r="BP2149" s="155"/>
      <c r="BQ2149" s="314"/>
      <c r="BR2149" s="314"/>
      <c r="BS2149" s="314"/>
      <c r="BT2149" s="314"/>
      <c r="BU2149" s="314"/>
      <c r="BV2149" s="314"/>
      <c r="BW2149" s="314"/>
      <c r="BX2149" s="155"/>
    </row>
    <row r="2150" spans="1:76" ht="15.75" customHeight="1">
      <c r="A2150" s="25"/>
      <c r="B2150" s="39"/>
      <c r="C2150" s="155"/>
      <c r="D2150" s="155"/>
      <c r="E2150" s="40"/>
      <c r="F2150" s="314"/>
      <c r="H2150" s="315"/>
      <c r="I2150" s="315"/>
      <c r="BA2150" s="30"/>
      <c r="BB2150" s="155"/>
      <c r="BC2150" s="314"/>
      <c r="BD2150" s="314"/>
      <c r="BE2150" s="314"/>
      <c r="BF2150" s="314"/>
      <c r="BG2150" s="314"/>
      <c r="BH2150" s="314"/>
      <c r="BI2150" s="314"/>
      <c r="BJ2150" s="314"/>
      <c r="BK2150" s="40"/>
      <c r="BL2150" s="40"/>
      <c r="BM2150" s="40"/>
      <c r="BN2150" s="40"/>
      <c r="BO2150" s="40"/>
      <c r="BP2150" s="155"/>
      <c r="BQ2150" s="314"/>
      <c r="BR2150" s="314"/>
      <c r="BS2150" s="314"/>
      <c r="BT2150" s="314"/>
      <c r="BU2150" s="314"/>
      <c r="BV2150" s="314"/>
      <c r="BW2150" s="314"/>
      <c r="BX2150" s="155"/>
    </row>
    <row r="2151" spans="1:76" ht="15.75" customHeight="1">
      <c r="A2151" s="25"/>
      <c r="B2151" s="39"/>
      <c r="C2151" s="155"/>
      <c r="D2151" s="155"/>
      <c r="E2151" s="40"/>
      <c r="F2151" s="314"/>
      <c r="H2151" s="315"/>
      <c r="I2151" s="315"/>
      <c r="BA2151" s="30"/>
      <c r="BB2151" s="155"/>
      <c r="BC2151" s="314"/>
      <c r="BD2151" s="314"/>
      <c r="BE2151" s="314"/>
      <c r="BF2151" s="314"/>
      <c r="BG2151" s="314"/>
      <c r="BH2151" s="314"/>
      <c r="BI2151" s="314"/>
      <c r="BJ2151" s="314"/>
      <c r="BK2151" s="40"/>
      <c r="BL2151" s="40"/>
      <c r="BM2151" s="40"/>
      <c r="BN2151" s="40"/>
      <c r="BO2151" s="40"/>
      <c r="BP2151" s="155"/>
      <c r="BQ2151" s="314"/>
      <c r="BR2151" s="314"/>
      <c r="BS2151" s="314"/>
      <c r="BT2151" s="314"/>
      <c r="BU2151" s="314"/>
      <c r="BV2151" s="314"/>
      <c r="BW2151" s="314"/>
      <c r="BX2151" s="155"/>
    </row>
    <row r="2152" spans="1:76" ht="15.75" customHeight="1">
      <c r="A2152" s="25"/>
      <c r="B2152" s="39"/>
      <c r="C2152" s="155"/>
      <c r="D2152" s="155"/>
      <c r="E2152" s="40"/>
      <c r="F2152" s="314"/>
      <c r="H2152" s="315"/>
      <c r="I2152" s="315"/>
      <c r="BA2152" s="30"/>
      <c r="BB2152" s="155"/>
      <c r="BC2152" s="314"/>
      <c r="BD2152" s="314"/>
      <c r="BE2152" s="314"/>
      <c r="BF2152" s="314"/>
      <c r="BG2152" s="314"/>
      <c r="BH2152" s="314"/>
      <c r="BI2152" s="314"/>
      <c r="BJ2152" s="314"/>
      <c r="BK2152" s="40"/>
      <c r="BL2152" s="40"/>
      <c r="BM2152" s="40"/>
      <c r="BN2152" s="40"/>
      <c r="BO2152" s="40"/>
      <c r="BP2152" s="155"/>
      <c r="BQ2152" s="314"/>
      <c r="BR2152" s="314"/>
      <c r="BS2152" s="314"/>
      <c r="BT2152" s="314"/>
      <c r="BU2152" s="314"/>
      <c r="BV2152" s="314"/>
      <c r="BW2152" s="314"/>
      <c r="BX2152" s="155"/>
    </row>
    <row r="2153" spans="1:76" ht="15.75" customHeight="1">
      <c r="A2153" s="25"/>
      <c r="B2153" s="39"/>
      <c r="C2153" s="155"/>
      <c r="D2153" s="155"/>
      <c r="E2153" s="40"/>
      <c r="F2153" s="314"/>
      <c r="H2153" s="315"/>
      <c r="I2153" s="315"/>
      <c r="BA2153" s="30"/>
      <c r="BB2153" s="155"/>
      <c r="BC2153" s="314"/>
      <c r="BD2153" s="314"/>
      <c r="BE2153" s="314"/>
      <c r="BF2153" s="314"/>
      <c r="BG2153" s="314"/>
      <c r="BH2153" s="314"/>
      <c r="BI2153" s="314"/>
      <c r="BJ2153" s="314"/>
      <c r="BK2153" s="40"/>
      <c r="BL2153" s="40"/>
      <c r="BM2153" s="40"/>
      <c r="BN2153" s="40"/>
      <c r="BO2153" s="40"/>
      <c r="BP2153" s="155"/>
      <c r="BQ2153" s="314"/>
      <c r="BR2153" s="314"/>
      <c r="BS2153" s="314"/>
      <c r="BT2153" s="314"/>
      <c r="BU2153" s="314"/>
      <c r="BV2153" s="314"/>
      <c r="BW2153" s="314"/>
      <c r="BX2153" s="155"/>
    </row>
    <row r="2154" spans="1:76" ht="15.75" customHeight="1">
      <c r="A2154" s="25"/>
      <c r="B2154" s="39"/>
      <c r="C2154" s="155"/>
      <c r="D2154" s="155"/>
      <c r="E2154" s="40"/>
      <c r="F2154" s="314"/>
      <c r="H2154" s="315"/>
      <c r="I2154" s="315"/>
      <c r="BA2154" s="30"/>
      <c r="BB2154" s="155"/>
      <c r="BC2154" s="314"/>
      <c r="BD2154" s="314"/>
      <c r="BE2154" s="314"/>
      <c r="BF2154" s="314"/>
      <c r="BG2154" s="314"/>
      <c r="BH2154" s="314"/>
      <c r="BI2154" s="314"/>
      <c r="BJ2154" s="314"/>
      <c r="BK2154" s="40"/>
      <c r="BL2154" s="40"/>
      <c r="BM2154" s="40"/>
      <c r="BN2154" s="40"/>
      <c r="BO2154" s="40"/>
      <c r="BP2154" s="155"/>
      <c r="BQ2154" s="314"/>
      <c r="BR2154" s="314"/>
      <c r="BS2154" s="314"/>
      <c r="BT2154" s="314"/>
      <c r="BU2154" s="314"/>
      <c r="BV2154" s="314"/>
      <c r="BW2154" s="314"/>
      <c r="BX2154" s="155"/>
    </row>
    <row r="2155" spans="1:76" ht="15.75" customHeight="1">
      <c r="A2155" s="25"/>
      <c r="B2155" s="39"/>
      <c r="C2155" s="155"/>
      <c r="D2155" s="155"/>
      <c r="E2155" s="40"/>
      <c r="F2155" s="314"/>
      <c r="H2155" s="315"/>
      <c r="I2155" s="315"/>
      <c r="BA2155" s="30"/>
      <c r="BB2155" s="155"/>
      <c r="BC2155" s="314"/>
      <c r="BD2155" s="314"/>
      <c r="BE2155" s="314"/>
      <c r="BF2155" s="314"/>
      <c r="BG2155" s="314"/>
      <c r="BH2155" s="314"/>
      <c r="BI2155" s="314"/>
      <c r="BJ2155" s="314"/>
      <c r="BK2155" s="40"/>
      <c r="BL2155" s="40"/>
      <c r="BM2155" s="40"/>
      <c r="BN2155" s="40"/>
      <c r="BO2155" s="40"/>
      <c r="BP2155" s="155"/>
      <c r="BQ2155" s="314"/>
      <c r="BR2155" s="314"/>
      <c r="BS2155" s="314"/>
      <c r="BT2155" s="314"/>
      <c r="BU2155" s="314"/>
      <c r="BV2155" s="314"/>
      <c r="BW2155" s="314"/>
      <c r="BX2155" s="155"/>
    </row>
    <row r="2156" spans="1:76" ht="15.75" customHeight="1">
      <c r="A2156" s="25"/>
      <c r="B2156" s="39"/>
      <c r="C2156" s="155"/>
      <c r="D2156" s="155"/>
      <c r="E2156" s="40"/>
      <c r="F2156" s="314"/>
      <c r="H2156" s="315"/>
      <c r="I2156" s="315"/>
      <c r="BA2156" s="30"/>
      <c r="BB2156" s="155"/>
      <c r="BC2156" s="314"/>
      <c r="BD2156" s="314"/>
      <c r="BE2156" s="314"/>
      <c r="BF2156" s="314"/>
      <c r="BG2156" s="314"/>
      <c r="BH2156" s="314"/>
      <c r="BI2156" s="314"/>
      <c r="BJ2156" s="314"/>
      <c r="BK2156" s="40"/>
      <c r="BL2156" s="40"/>
      <c r="BM2156" s="40"/>
      <c r="BN2156" s="40"/>
      <c r="BO2156" s="40"/>
      <c r="BP2156" s="155"/>
      <c r="BQ2156" s="314"/>
      <c r="BR2156" s="314"/>
      <c r="BS2156" s="314"/>
      <c r="BT2156" s="314"/>
      <c r="BU2156" s="314"/>
      <c r="BV2156" s="314"/>
      <c r="BW2156" s="314"/>
      <c r="BX2156" s="155"/>
    </row>
    <row r="2157" spans="1:76" ht="15.75" customHeight="1">
      <c r="A2157" s="25"/>
      <c r="B2157" s="39"/>
      <c r="C2157" s="155"/>
      <c r="D2157" s="155"/>
      <c r="E2157" s="40"/>
      <c r="F2157" s="314"/>
      <c r="H2157" s="315"/>
      <c r="I2157" s="315"/>
      <c r="BA2157" s="30"/>
      <c r="BB2157" s="155"/>
      <c r="BC2157" s="314"/>
      <c r="BD2157" s="314"/>
      <c r="BE2157" s="314"/>
      <c r="BF2157" s="314"/>
      <c r="BG2157" s="314"/>
      <c r="BH2157" s="314"/>
      <c r="BI2157" s="314"/>
      <c r="BJ2157" s="314"/>
      <c r="BK2157" s="40"/>
      <c r="BL2157" s="40"/>
      <c r="BM2157" s="40"/>
      <c r="BN2157" s="40"/>
      <c r="BO2157" s="40"/>
      <c r="BP2157" s="155"/>
      <c r="BQ2157" s="314"/>
      <c r="BR2157" s="314"/>
      <c r="BS2157" s="314"/>
      <c r="BT2157" s="314"/>
      <c r="BU2157" s="314"/>
      <c r="BV2157" s="314"/>
      <c r="BW2157" s="314"/>
      <c r="BX2157" s="155"/>
    </row>
    <row r="2158" spans="1:76" ht="15.75" customHeight="1">
      <c r="A2158" s="25"/>
      <c r="B2158" s="39"/>
      <c r="C2158" s="155"/>
      <c r="D2158" s="155"/>
      <c r="E2158" s="40"/>
      <c r="F2158" s="314"/>
      <c r="H2158" s="315"/>
      <c r="I2158" s="315"/>
      <c r="BA2158" s="30"/>
      <c r="BB2158" s="155"/>
      <c r="BC2158" s="314"/>
      <c r="BD2158" s="314"/>
      <c r="BE2158" s="314"/>
      <c r="BF2158" s="314"/>
      <c r="BG2158" s="314"/>
      <c r="BH2158" s="314"/>
      <c r="BI2158" s="314"/>
      <c r="BJ2158" s="314"/>
      <c r="BK2158" s="40"/>
      <c r="BL2158" s="40"/>
      <c r="BM2158" s="40"/>
      <c r="BN2158" s="40"/>
      <c r="BO2158" s="40"/>
      <c r="BP2158" s="155"/>
      <c r="BQ2158" s="314"/>
      <c r="BR2158" s="314"/>
      <c r="BS2158" s="314"/>
      <c r="BT2158" s="314"/>
      <c r="BU2158" s="314"/>
      <c r="BV2158" s="314"/>
      <c r="BW2158" s="314"/>
      <c r="BX2158" s="155"/>
    </row>
    <row r="2159" spans="1:76" ht="15.75" customHeight="1">
      <c r="A2159" s="25"/>
      <c r="B2159" s="39"/>
      <c r="C2159" s="155"/>
      <c r="D2159" s="155"/>
      <c r="E2159" s="40"/>
      <c r="F2159" s="314"/>
      <c r="H2159" s="315"/>
      <c r="I2159" s="315"/>
      <c r="BA2159" s="30"/>
      <c r="BB2159" s="155"/>
      <c r="BC2159" s="314"/>
      <c r="BD2159" s="314"/>
      <c r="BE2159" s="314"/>
      <c r="BF2159" s="314"/>
      <c r="BG2159" s="314"/>
      <c r="BH2159" s="314"/>
      <c r="BI2159" s="314"/>
      <c r="BJ2159" s="314"/>
      <c r="BK2159" s="40"/>
      <c r="BL2159" s="40"/>
      <c r="BM2159" s="40"/>
      <c r="BN2159" s="40"/>
      <c r="BO2159" s="40"/>
      <c r="BP2159" s="155"/>
      <c r="BQ2159" s="314"/>
      <c r="BR2159" s="314"/>
      <c r="BS2159" s="314"/>
      <c r="BT2159" s="314"/>
      <c r="BU2159" s="314"/>
      <c r="BV2159" s="314"/>
      <c r="BW2159" s="314"/>
      <c r="BX2159" s="155"/>
    </row>
    <row r="2160" spans="1:76" ht="15.75" customHeight="1">
      <c r="A2160" s="25"/>
      <c r="B2160" s="39"/>
      <c r="C2160" s="155"/>
      <c r="D2160" s="155"/>
      <c r="E2160" s="40"/>
      <c r="F2160" s="314"/>
      <c r="H2160" s="315"/>
      <c r="I2160" s="315"/>
      <c r="BA2160" s="30"/>
      <c r="BB2160" s="155"/>
      <c r="BC2160" s="314"/>
      <c r="BD2160" s="314"/>
      <c r="BE2160" s="314"/>
      <c r="BF2160" s="314"/>
      <c r="BG2160" s="314"/>
      <c r="BH2160" s="314"/>
      <c r="BI2160" s="314"/>
      <c r="BJ2160" s="314"/>
      <c r="BK2160" s="40"/>
      <c r="BL2160" s="40"/>
      <c r="BM2160" s="40"/>
      <c r="BN2160" s="40"/>
      <c r="BO2160" s="40"/>
      <c r="BP2160" s="155"/>
      <c r="BQ2160" s="314"/>
      <c r="BR2160" s="314"/>
      <c r="BS2160" s="314"/>
      <c r="BT2160" s="314"/>
      <c r="BU2160" s="314"/>
      <c r="BV2160" s="314"/>
      <c r="BW2160" s="314"/>
      <c r="BX2160" s="155"/>
    </row>
    <row r="2161" spans="1:76" ht="15.75" customHeight="1">
      <c r="A2161" s="25"/>
      <c r="B2161" s="39"/>
      <c r="C2161" s="155"/>
      <c r="D2161" s="155"/>
      <c r="E2161" s="40"/>
      <c r="F2161" s="314"/>
      <c r="H2161" s="315"/>
      <c r="I2161" s="315"/>
      <c r="BA2161" s="30"/>
      <c r="BB2161" s="155"/>
      <c r="BC2161" s="314"/>
      <c r="BD2161" s="314"/>
      <c r="BE2161" s="314"/>
      <c r="BF2161" s="314"/>
      <c r="BG2161" s="314"/>
      <c r="BH2161" s="314"/>
      <c r="BI2161" s="314"/>
      <c r="BJ2161" s="314"/>
      <c r="BK2161" s="40"/>
      <c r="BL2161" s="40"/>
      <c r="BM2161" s="40"/>
      <c r="BN2161" s="40"/>
      <c r="BO2161" s="40"/>
      <c r="BP2161" s="155"/>
      <c r="BQ2161" s="314"/>
      <c r="BR2161" s="314"/>
      <c r="BS2161" s="314"/>
      <c r="BT2161" s="314"/>
      <c r="BU2161" s="314"/>
      <c r="BV2161" s="314"/>
      <c r="BW2161" s="314"/>
      <c r="BX2161" s="155"/>
    </row>
    <row r="2162" spans="1:76" ht="15.75" customHeight="1">
      <c r="A2162" s="25"/>
      <c r="B2162" s="39"/>
      <c r="C2162" s="155"/>
      <c r="D2162" s="155"/>
      <c r="E2162" s="40"/>
      <c r="F2162" s="314"/>
      <c r="H2162" s="315"/>
      <c r="I2162" s="315"/>
      <c r="BA2162" s="30"/>
      <c r="BB2162" s="155"/>
      <c r="BC2162" s="314"/>
      <c r="BD2162" s="314"/>
      <c r="BE2162" s="314"/>
      <c r="BF2162" s="314"/>
      <c r="BG2162" s="314"/>
      <c r="BH2162" s="314"/>
      <c r="BI2162" s="314"/>
      <c r="BJ2162" s="314"/>
      <c r="BK2162" s="40"/>
      <c r="BL2162" s="40"/>
      <c r="BM2162" s="40"/>
      <c r="BN2162" s="40"/>
      <c r="BO2162" s="40"/>
      <c r="BP2162" s="155"/>
      <c r="BQ2162" s="314"/>
      <c r="BR2162" s="314"/>
      <c r="BS2162" s="314"/>
      <c r="BT2162" s="314"/>
      <c r="BU2162" s="314"/>
      <c r="BV2162" s="314"/>
      <c r="BW2162" s="314"/>
      <c r="BX2162" s="155"/>
    </row>
    <row r="2163" spans="1:76" ht="15.75" customHeight="1">
      <c r="A2163" s="25"/>
      <c r="B2163" s="39"/>
      <c r="C2163" s="155"/>
      <c r="D2163" s="155"/>
      <c r="E2163" s="40"/>
      <c r="F2163" s="314"/>
      <c r="H2163" s="315"/>
      <c r="I2163" s="315"/>
      <c r="BA2163" s="30"/>
      <c r="BB2163" s="155"/>
      <c r="BC2163" s="314"/>
      <c r="BD2163" s="314"/>
      <c r="BE2163" s="314"/>
      <c r="BF2163" s="314"/>
      <c r="BG2163" s="314"/>
      <c r="BH2163" s="314"/>
      <c r="BI2163" s="314"/>
      <c r="BJ2163" s="314"/>
      <c r="BK2163" s="40"/>
      <c r="BL2163" s="40"/>
      <c r="BM2163" s="40"/>
      <c r="BN2163" s="40"/>
      <c r="BO2163" s="40"/>
      <c r="BP2163" s="155"/>
      <c r="BQ2163" s="314"/>
      <c r="BR2163" s="314"/>
      <c r="BS2163" s="314"/>
      <c r="BT2163" s="314"/>
      <c r="BU2163" s="314"/>
      <c r="BV2163" s="314"/>
      <c r="BW2163" s="314"/>
      <c r="BX2163" s="155"/>
    </row>
    <row r="2164" spans="1:76" ht="15.75" customHeight="1">
      <c r="A2164" s="25"/>
      <c r="B2164" s="39"/>
      <c r="C2164" s="155"/>
      <c r="D2164" s="155"/>
      <c r="E2164" s="40"/>
      <c r="F2164" s="314"/>
      <c r="H2164" s="315"/>
      <c r="I2164" s="315"/>
      <c r="BA2164" s="30"/>
      <c r="BB2164" s="155"/>
      <c r="BC2164" s="314"/>
      <c r="BD2164" s="314"/>
      <c r="BE2164" s="314"/>
      <c r="BF2164" s="314"/>
      <c r="BG2164" s="314"/>
      <c r="BH2164" s="314"/>
      <c r="BI2164" s="314"/>
      <c r="BJ2164" s="314"/>
      <c r="BK2164" s="40"/>
      <c r="BL2164" s="40"/>
      <c r="BM2164" s="40"/>
      <c r="BN2164" s="40"/>
      <c r="BO2164" s="40"/>
      <c r="BP2164" s="155"/>
      <c r="BQ2164" s="314"/>
      <c r="BR2164" s="314"/>
      <c r="BS2164" s="314"/>
      <c r="BT2164" s="314"/>
      <c r="BU2164" s="314"/>
      <c r="BV2164" s="314"/>
      <c r="BW2164" s="314"/>
      <c r="BX2164" s="155"/>
    </row>
    <row r="2165" spans="1:76" ht="15.75" customHeight="1">
      <c r="A2165" s="25"/>
      <c r="B2165" s="39"/>
      <c r="C2165" s="155"/>
      <c r="D2165" s="155"/>
      <c r="E2165" s="40"/>
      <c r="F2165" s="314"/>
      <c r="H2165" s="315"/>
      <c r="I2165" s="315"/>
      <c r="BA2165" s="30"/>
      <c r="BB2165" s="155"/>
      <c r="BC2165" s="314"/>
      <c r="BD2165" s="314"/>
      <c r="BE2165" s="314"/>
      <c r="BF2165" s="314"/>
      <c r="BG2165" s="314"/>
      <c r="BH2165" s="314"/>
      <c r="BI2165" s="314"/>
      <c r="BJ2165" s="314"/>
      <c r="BK2165" s="40"/>
      <c r="BL2165" s="40"/>
      <c r="BM2165" s="40"/>
      <c r="BN2165" s="40"/>
      <c r="BO2165" s="40"/>
      <c r="BP2165" s="155"/>
      <c r="BQ2165" s="314"/>
      <c r="BR2165" s="314"/>
      <c r="BS2165" s="314"/>
      <c r="BT2165" s="314"/>
      <c r="BU2165" s="314"/>
      <c r="BV2165" s="314"/>
      <c r="BW2165" s="314"/>
      <c r="BX2165" s="155"/>
    </row>
    <row r="2166" spans="1:76" ht="15.75" customHeight="1">
      <c r="A2166" s="25"/>
      <c r="B2166" s="39"/>
      <c r="C2166" s="155"/>
      <c r="D2166" s="155"/>
      <c r="E2166" s="40"/>
      <c r="F2166" s="314"/>
      <c r="H2166" s="315"/>
      <c r="I2166" s="315"/>
      <c r="BA2166" s="30"/>
      <c r="BB2166" s="155"/>
      <c r="BC2166" s="314"/>
      <c r="BD2166" s="314"/>
      <c r="BE2166" s="314"/>
      <c r="BF2166" s="314"/>
      <c r="BG2166" s="314"/>
      <c r="BH2166" s="314"/>
      <c r="BI2166" s="314"/>
      <c r="BJ2166" s="314"/>
      <c r="BK2166" s="40"/>
      <c r="BL2166" s="40"/>
      <c r="BM2166" s="40"/>
      <c r="BN2166" s="40"/>
      <c r="BO2166" s="40"/>
      <c r="BP2166" s="155"/>
      <c r="BQ2166" s="314"/>
      <c r="BR2166" s="314"/>
      <c r="BS2166" s="314"/>
      <c r="BT2166" s="314"/>
      <c r="BU2166" s="314"/>
      <c r="BV2166" s="314"/>
      <c r="BW2166" s="314"/>
      <c r="BX2166" s="155"/>
    </row>
    <row r="2167" spans="1:76" ht="15.75" customHeight="1">
      <c r="A2167" s="25"/>
      <c r="B2167" s="39"/>
      <c r="C2167" s="155"/>
      <c r="D2167" s="155"/>
      <c r="E2167" s="40"/>
      <c r="F2167" s="314"/>
      <c r="H2167" s="315"/>
      <c r="I2167" s="315"/>
      <c r="BA2167" s="30"/>
      <c r="BB2167" s="155"/>
      <c r="BC2167" s="314"/>
      <c r="BD2167" s="314"/>
      <c r="BE2167" s="314"/>
      <c r="BF2167" s="314"/>
      <c r="BG2167" s="314"/>
      <c r="BH2167" s="314"/>
      <c r="BI2167" s="314"/>
      <c r="BJ2167" s="314"/>
      <c r="BK2167" s="40"/>
      <c r="BL2167" s="40"/>
      <c r="BM2167" s="40"/>
      <c r="BN2167" s="40"/>
      <c r="BO2167" s="40"/>
      <c r="BP2167" s="155"/>
      <c r="BQ2167" s="314"/>
      <c r="BR2167" s="314"/>
      <c r="BS2167" s="314"/>
      <c r="BT2167" s="314"/>
      <c r="BU2167" s="314"/>
      <c r="BV2167" s="314"/>
      <c r="BW2167" s="314"/>
      <c r="BX2167" s="155"/>
    </row>
    <row r="2168" spans="1:76" ht="15.75" customHeight="1">
      <c r="A2168" s="25"/>
      <c r="B2168" s="39"/>
      <c r="C2168" s="155"/>
      <c r="D2168" s="155"/>
      <c r="E2168" s="40"/>
      <c r="F2168" s="314"/>
      <c r="H2168" s="315"/>
      <c r="I2168" s="315"/>
      <c r="BA2168" s="30"/>
      <c r="BB2168" s="155"/>
      <c r="BC2168" s="314"/>
      <c r="BD2168" s="314"/>
      <c r="BE2168" s="314"/>
      <c r="BF2168" s="314"/>
      <c r="BG2168" s="314"/>
      <c r="BH2168" s="314"/>
      <c r="BI2168" s="314"/>
      <c r="BJ2168" s="314"/>
      <c r="BK2168" s="40"/>
      <c r="BL2168" s="40"/>
      <c r="BM2168" s="40"/>
      <c r="BN2168" s="40"/>
      <c r="BO2168" s="40"/>
      <c r="BP2168" s="155"/>
      <c r="BQ2168" s="314"/>
      <c r="BR2168" s="314"/>
      <c r="BS2168" s="314"/>
      <c r="BT2168" s="314"/>
      <c r="BU2168" s="314"/>
      <c r="BV2168" s="314"/>
      <c r="BW2168" s="314"/>
      <c r="BX2168" s="155"/>
    </row>
    <row r="2169" spans="1:76" ht="15.75" customHeight="1">
      <c r="A2169" s="25"/>
      <c r="B2169" s="39"/>
      <c r="C2169" s="155"/>
      <c r="D2169" s="155"/>
      <c r="E2169" s="40"/>
      <c r="F2169" s="314"/>
      <c r="H2169" s="315"/>
      <c r="I2169" s="315"/>
      <c r="BA2169" s="30"/>
      <c r="BB2169" s="155"/>
      <c r="BC2169" s="314"/>
      <c r="BD2169" s="314"/>
      <c r="BE2169" s="314"/>
      <c r="BF2169" s="314"/>
      <c r="BG2169" s="314"/>
      <c r="BH2169" s="314"/>
      <c r="BI2169" s="314"/>
      <c r="BJ2169" s="314"/>
      <c r="BK2169" s="40"/>
      <c r="BL2169" s="40"/>
      <c r="BM2169" s="40"/>
      <c r="BN2169" s="40"/>
      <c r="BO2169" s="40"/>
      <c r="BP2169" s="155"/>
      <c r="BQ2169" s="314"/>
      <c r="BR2169" s="314"/>
      <c r="BS2169" s="314"/>
      <c r="BT2169" s="314"/>
      <c r="BU2169" s="314"/>
      <c r="BV2169" s="314"/>
      <c r="BW2169" s="314"/>
      <c r="BX2169" s="155"/>
    </row>
    <row r="2170" spans="1:76" ht="15.75" customHeight="1">
      <c r="A2170" s="25"/>
      <c r="B2170" s="39"/>
      <c r="C2170" s="155"/>
      <c r="D2170" s="155"/>
      <c r="E2170" s="40"/>
      <c r="F2170" s="314"/>
      <c r="H2170" s="315"/>
      <c r="I2170" s="315"/>
      <c r="BA2170" s="30"/>
      <c r="BB2170" s="155"/>
      <c r="BC2170" s="314"/>
      <c r="BD2170" s="314"/>
      <c r="BE2170" s="314"/>
      <c r="BF2170" s="314"/>
      <c r="BG2170" s="314"/>
      <c r="BH2170" s="314"/>
      <c r="BI2170" s="314"/>
      <c r="BJ2170" s="314"/>
      <c r="BK2170" s="40"/>
      <c r="BL2170" s="40"/>
      <c r="BM2170" s="40"/>
      <c r="BN2170" s="40"/>
      <c r="BO2170" s="40"/>
      <c r="BP2170" s="155"/>
      <c r="BQ2170" s="314"/>
      <c r="BR2170" s="314"/>
      <c r="BS2170" s="314"/>
      <c r="BT2170" s="314"/>
      <c r="BU2170" s="314"/>
      <c r="BV2170" s="314"/>
      <c r="BW2170" s="314"/>
      <c r="BX2170" s="155"/>
    </row>
    <row r="2171" spans="1:76" ht="15.75" customHeight="1">
      <c r="A2171" s="25"/>
      <c r="B2171" s="39"/>
      <c r="C2171" s="155"/>
      <c r="D2171" s="155"/>
      <c r="E2171" s="40"/>
      <c r="F2171" s="314"/>
      <c r="H2171" s="315"/>
      <c r="I2171" s="315"/>
      <c r="BA2171" s="30"/>
      <c r="BB2171" s="155"/>
      <c r="BC2171" s="314"/>
      <c r="BD2171" s="314"/>
      <c r="BE2171" s="314"/>
      <c r="BF2171" s="314"/>
      <c r="BG2171" s="314"/>
      <c r="BH2171" s="314"/>
      <c r="BI2171" s="314"/>
      <c r="BJ2171" s="314"/>
      <c r="BK2171" s="40"/>
      <c r="BL2171" s="40"/>
      <c r="BM2171" s="40"/>
      <c r="BN2171" s="40"/>
      <c r="BO2171" s="40"/>
      <c r="BP2171" s="155"/>
      <c r="BQ2171" s="314"/>
      <c r="BR2171" s="314"/>
      <c r="BS2171" s="314"/>
      <c r="BT2171" s="314"/>
      <c r="BU2171" s="314"/>
      <c r="BV2171" s="314"/>
      <c r="BW2171" s="314"/>
      <c r="BX2171" s="155"/>
    </row>
    <row r="2172" spans="1:76" ht="15.75" customHeight="1">
      <c r="A2172" s="25"/>
      <c r="B2172" s="39"/>
      <c r="C2172" s="155"/>
      <c r="D2172" s="155"/>
      <c r="E2172" s="40"/>
      <c r="F2172" s="314"/>
      <c r="H2172" s="315"/>
      <c r="I2172" s="315"/>
      <c r="BA2172" s="30"/>
      <c r="BB2172" s="155"/>
      <c r="BC2172" s="314"/>
      <c r="BD2172" s="314"/>
      <c r="BE2172" s="314"/>
      <c r="BF2172" s="314"/>
      <c r="BG2172" s="314"/>
      <c r="BH2172" s="314"/>
      <c r="BI2172" s="314"/>
      <c r="BJ2172" s="314"/>
      <c r="BK2172" s="40"/>
      <c r="BL2172" s="40"/>
      <c r="BM2172" s="40"/>
      <c r="BN2172" s="40"/>
      <c r="BO2172" s="40"/>
      <c r="BP2172" s="155"/>
      <c r="BQ2172" s="314"/>
      <c r="BR2172" s="314"/>
      <c r="BS2172" s="314"/>
      <c r="BT2172" s="314"/>
      <c r="BU2172" s="314"/>
      <c r="BV2172" s="314"/>
      <c r="BW2172" s="314"/>
      <c r="BX2172" s="155"/>
    </row>
    <row r="2173" spans="1:76" ht="15.75" customHeight="1">
      <c r="A2173" s="25"/>
      <c r="B2173" s="39"/>
      <c r="C2173" s="155"/>
      <c r="D2173" s="155"/>
      <c r="E2173" s="40"/>
      <c r="F2173" s="314"/>
      <c r="H2173" s="315"/>
      <c r="I2173" s="315"/>
      <c r="BA2173" s="30"/>
      <c r="BB2173" s="155"/>
      <c r="BC2173" s="314"/>
      <c r="BD2173" s="314"/>
      <c r="BE2173" s="314"/>
      <c r="BF2173" s="314"/>
      <c r="BG2173" s="314"/>
      <c r="BH2173" s="314"/>
      <c r="BI2173" s="314"/>
      <c r="BJ2173" s="314"/>
      <c r="BK2173" s="40"/>
      <c r="BL2173" s="40"/>
      <c r="BM2173" s="40"/>
      <c r="BN2173" s="40"/>
      <c r="BO2173" s="40"/>
      <c r="BP2173" s="155"/>
      <c r="BQ2173" s="314"/>
      <c r="BR2173" s="314"/>
      <c r="BS2173" s="314"/>
      <c r="BT2173" s="314"/>
      <c r="BU2173" s="314"/>
      <c r="BV2173" s="314"/>
      <c r="BW2173" s="314"/>
      <c r="BX2173" s="155"/>
    </row>
    <row r="2174" spans="1:76" ht="15.75" customHeight="1">
      <c r="A2174" s="25"/>
      <c r="B2174" s="39"/>
      <c r="C2174" s="155"/>
      <c r="D2174" s="155"/>
      <c r="E2174" s="40"/>
      <c r="F2174" s="314"/>
      <c r="H2174" s="315"/>
      <c r="I2174" s="315"/>
      <c r="BA2174" s="30"/>
      <c r="BB2174" s="155"/>
      <c r="BC2174" s="314"/>
      <c r="BD2174" s="314"/>
      <c r="BE2174" s="314"/>
      <c r="BF2174" s="314"/>
      <c r="BG2174" s="314"/>
      <c r="BH2174" s="314"/>
      <c r="BI2174" s="314"/>
      <c r="BJ2174" s="314"/>
      <c r="BK2174" s="40"/>
      <c r="BL2174" s="40"/>
      <c r="BM2174" s="40"/>
      <c r="BN2174" s="40"/>
      <c r="BO2174" s="40"/>
      <c r="BP2174" s="155"/>
      <c r="BQ2174" s="314"/>
      <c r="BR2174" s="314"/>
      <c r="BS2174" s="314"/>
      <c r="BT2174" s="314"/>
      <c r="BU2174" s="314"/>
      <c r="BV2174" s="314"/>
      <c r="BW2174" s="314"/>
      <c r="BX2174" s="155"/>
    </row>
    <row r="2175" spans="1:76" ht="15.75" customHeight="1">
      <c r="A2175" s="25"/>
      <c r="B2175" s="39"/>
      <c r="C2175" s="155"/>
      <c r="D2175" s="155"/>
      <c r="E2175" s="40"/>
      <c r="F2175" s="314"/>
      <c r="H2175" s="315"/>
      <c r="I2175" s="315"/>
      <c r="BA2175" s="30"/>
      <c r="BB2175" s="155"/>
      <c r="BC2175" s="314"/>
      <c r="BD2175" s="314"/>
      <c r="BE2175" s="314"/>
      <c r="BF2175" s="314"/>
      <c r="BG2175" s="314"/>
      <c r="BH2175" s="314"/>
      <c r="BI2175" s="314"/>
      <c r="BJ2175" s="314"/>
      <c r="BK2175" s="40"/>
      <c r="BL2175" s="40"/>
      <c r="BM2175" s="40"/>
      <c r="BN2175" s="40"/>
      <c r="BO2175" s="40"/>
      <c r="BP2175" s="155"/>
      <c r="BQ2175" s="314"/>
      <c r="BR2175" s="314"/>
      <c r="BS2175" s="314"/>
      <c r="BT2175" s="314"/>
      <c r="BU2175" s="314"/>
      <c r="BV2175" s="314"/>
      <c r="BW2175" s="314"/>
      <c r="BX2175" s="155"/>
    </row>
    <row r="2176" spans="1:76" ht="15.75" customHeight="1">
      <c r="A2176" s="25"/>
      <c r="B2176" s="39"/>
      <c r="C2176" s="155"/>
      <c r="D2176" s="155"/>
      <c r="E2176" s="40"/>
      <c r="F2176" s="314"/>
      <c r="H2176" s="315"/>
      <c r="I2176" s="315"/>
      <c r="BA2176" s="30"/>
      <c r="BB2176" s="155"/>
      <c r="BC2176" s="314"/>
      <c r="BD2176" s="314"/>
      <c r="BE2176" s="314"/>
      <c r="BF2176" s="314"/>
      <c r="BG2176" s="314"/>
      <c r="BH2176" s="314"/>
      <c r="BI2176" s="314"/>
      <c r="BJ2176" s="314"/>
      <c r="BK2176" s="40"/>
      <c r="BL2176" s="40"/>
      <c r="BM2176" s="40"/>
      <c r="BN2176" s="40"/>
      <c r="BO2176" s="40"/>
      <c r="BP2176" s="155"/>
      <c r="BQ2176" s="314"/>
      <c r="BR2176" s="314"/>
      <c r="BS2176" s="314"/>
      <c r="BT2176" s="314"/>
      <c r="BU2176" s="314"/>
      <c r="BV2176" s="314"/>
      <c r="BW2176" s="314"/>
      <c r="BX2176" s="155"/>
    </row>
    <row r="2177" spans="1:76" ht="15.75" customHeight="1">
      <c r="A2177" s="25"/>
      <c r="B2177" s="39"/>
      <c r="C2177" s="155"/>
      <c r="D2177" s="155"/>
      <c r="E2177" s="40"/>
      <c r="F2177" s="314"/>
      <c r="H2177" s="315"/>
      <c r="I2177" s="315"/>
      <c r="BA2177" s="30"/>
      <c r="BB2177" s="155"/>
      <c r="BC2177" s="314"/>
      <c r="BD2177" s="314"/>
      <c r="BE2177" s="314"/>
      <c r="BF2177" s="314"/>
      <c r="BG2177" s="314"/>
      <c r="BH2177" s="314"/>
      <c r="BI2177" s="314"/>
      <c r="BJ2177" s="314"/>
      <c r="BK2177" s="40"/>
      <c r="BL2177" s="40"/>
      <c r="BM2177" s="40"/>
      <c r="BN2177" s="40"/>
      <c r="BO2177" s="40"/>
      <c r="BP2177" s="155"/>
      <c r="BQ2177" s="314"/>
      <c r="BR2177" s="314"/>
      <c r="BS2177" s="314"/>
      <c r="BT2177" s="314"/>
      <c r="BU2177" s="314"/>
      <c r="BV2177" s="314"/>
      <c r="BW2177" s="314"/>
      <c r="BX2177" s="155"/>
    </row>
    <row r="2178" spans="1:76" ht="15.75" customHeight="1">
      <c r="A2178" s="25"/>
      <c r="B2178" s="39"/>
      <c r="C2178" s="155"/>
      <c r="D2178" s="155"/>
      <c r="E2178" s="40"/>
      <c r="F2178" s="314"/>
      <c r="H2178" s="315"/>
      <c r="I2178" s="315"/>
      <c r="BA2178" s="30"/>
      <c r="BB2178" s="155"/>
      <c r="BC2178" s="314"/>
      <c r="BD2178" s="314"/>
      <c r="BE2178" s="314"/>
      <c r="BF2178" s="314"/>
      <c r="BG2178" s="314"/>
      <c r="BH2178" s="314"/>
      <c r="BI2178" s="314"/>
      <c r="BJ2178" s="314"/>
      <c r="BK2178" s="40"/>
      <c r="BL2178" s="40"/>
      <c r="BM2178" s="40"/>
      <c r="BN2178" s="40"/>
      <c r="BO2178" s="40"/>
      <c r="BP2178" s="155"/>
      <c r="BQ2178" s="314"/>
      <c r="BR2178" s="314"/>
      <c r="BS2178" s="314"/>
      <c r="BT2178" s="314"/>
      <c r="BU2178" s="314"/>
      <c r="BV2178" s="314"/>
      <c r="BW2178" s="314"/>
      <c r="BX2178" s="155"/>
    </row>
    <row r="2179" spans="1:76" ht="15.75" customHeight="1">
      <c r="A2179" s="25"/>
      <c r="B2179" s="39"/>
      <c r="C2179" s="155"/>
      <c r="D2179" s="155"/>
      <c r="E2179" s="40"/>
      <c r="F2179" s="314"/>
      <c r="H2179" s="315"/>
      <c r="I2179" s="315"/>
      <c r="BA2179" s="30"/>
      <c r="BB2179" s="155"/>
      <c r="BC2179" s="314"/>
      <c r="BD2179" s="314"/>
      <c r="BE2179" s="314"/>
      <c r="BF2179" s="314"/>
      <c r="BG2179" s="314"/>
      <c r="BH2179" s="314"/>
      <c r="BI2179" s="314"/>
      <c r="BJ2179" s="314"/>
      <c r="BK2179" s="40"/>
      <c r="BL2179" s="40"/>
      <c r="BM2179" s="40"/>
      <c r="BN2179" s="40"/>
      <c r="BO2179" s="40"/>
      <c r="BP2179" s="155"/>
      <c r="BQ2179" s="314"/>
      <c r="BR2179" s="314"/>
      <c r="BS2179" s="314"/>
      <c r="BT2179" s="314"/>
      <c r="BU2179" s="314"/>
      <c r="BV2179" s="314"/>
      <c r="BW2179" s="314"/>
      <c r="BX2179" s="155"/>
    </row>
    <row r="2180" spans="1:76" ht="15.75" customHeight="1">
      <c r="A2180" s="25"/>
      <c r="B2180" s="39"/>
      <c r="C2180" s="155"/>
      <c r="D2180" s="155"/>
      <c r="E2180" s="40"/>
      <c r="F2180" s="314"/>
      <c r="H2180" s="315"/>
      <c r="I2180" s="315"/>
      <c r="BA2180" s="30"/>
      <c r="BB2180" s="155"/>
      <c r="BC2180" s="314"/>
      <c r="BD2180" s="314"/>
      <c r="BE2180" s="314"/>
      <c r="BF2180" s="314"/>
      <c r="BG2180" s="314"/>
      <c r="BH2180" s="314"/>
      <c r="BI2180" s="314"/>
      <c r="BJ2180" s="314"/>
      <c r="BK2180" s="40"/>
      <c r="BL2180" s="40"/>
      <c r="BM2180" s="40"/>
      <c r="BN2180" s="40"/>
      <c r="BO2180" s="40"/>
      <c r="BP2180" s="155"/>
      <c r="BQ2180" s="314"/>
      <c r="BR2180" s="314"/>
      <c r="BS2180" s="314"/>
      <c r="BT2180" s="314"/>
      <c r="BU2180" s="314"/>
      <c r="BV2180" s="314"/>
      <c r="BW2180" s="314"/>
      <c r="BX2180" s="155"/>
    </row>
    <row r="2181" spans="1:76" ht="15.75" customHeight="1">
      <c r="A2181" s="25"/>
      <c r="B2181" s="39"/>
      <c r="C2181" s="155"/>
      <c r="D2181" s="155"/>
      <c r="E2181" s="40"/>
      <c r="F2181" s="314"/>
      <c r="H2181" s="315"/>
      <c r="I2181" s="315"/>
      <c r="BA2181" s="30"/>
      <c r="BB2181" s="155"/>
      <c r="BC2181" s="314"/>
      <c r="BD2181" s="314"/>
      <c r="BE2181" s="314"/>
      <c r="BF2181" s="314"/>
      <c r="BG2181" s="314"/>
      <c r="BH2181" s="314"/>
      <c r="BI2181" s="314"/>
      <c r="BJ2181" s="314"/>
      <c r="BK2181" s="40"/>
      <c r="BL2181" s="40"/>
      <c r="BM2181" s="40"/>
      <c r="BN2181" s="40"/>
      <c r="BO2181" s="40"/>
      <c r="BP2181" s="155"/>
      <c r="BQ2181" s="314"/>
      <c r="BR2181" s="314"/>
      <c r="BS2181" s="314"/>
      <c r="BT2181" s="314"/>
      <c r="BU2181" s="314"/>
      <c r="BV2181" s="314"/>
      <c r="BW2181" s="314"/>
      <c r="BX2181" s="155"/>
    </row>
    <row r="2182" spans="1:76" ht="15.75" customHeight="1">
      <c r="A2182" s="25"/>
      <c r="B2182" s="39"/>
      <c r="C2182" s="155"/>
      <c r="D2182" s="155"/>
      <c r="E2182" s="40"/>
      <c r="F2182" s="314"/>
      <c r="H2182" s="315"/>
      <c r="I2182" s="315"/>
      <c r="BA2182" s="30"/>
      <c r="BB2182" s="155"/>
      <c r="BC2182" s="322"/>
      <c r="BD2182" s="322"/>
      <c r="BE2182" s="322"/>
      <c r="BF2182" s="322"/>
      <c r="BG2182" s="322"/>
      <c r="BH2182" s="322"/>
      <c r="BI2182" s="322"/>
      <c r="BJ2182" s="322"/>
      <c r="BK2182" s="341"/>
      <c r="BL2182" s="40"/>
      <c r="BM2182" s="40"/>
      <c r="BN2182" s="40"/>
      <c r="BO2182" s="40"/>
      <c r="BP2182" s="155"/>
      <c r="BQ2182" s="314"/>
      <c r="BR2182" s="314"/>
      <c r="BS2182" s="314"/>
      <c r="BT2182" s="314"/>
      <c r="BU2182" s="314"/>
      <c r="BV2182" s="314"/>
      <c r="BW2182" s="314"/>
      <c r="BX2182" s="155"/>
    </row>
    <row r="2183" spans="1:76" ht="15.75" customHeight="1">
      <c r="A2183" s="25"/>
      <c r="B2183" s="39"/>
      <c r="C2183" s="155"/>
      <c r="D2183" s="155"/>
      <c r="E2183" s="40"/>
      <c r="F2183" s="314"/>
      <c r="H2183" s="315"/>
      <c r="I2183" s="315"/>
      <c r="BA2183" s="30"/>
      <c r="BB2183" s="155"/>
      <c r="BC2183" s="314"/>
      <c r="BD2183" s="314"/>
      <c r="BE2183" s="314"/>
      <c r="BF2183" s="314"/>
      <c r="BG2183" s="314"/>
      <c r="BH2183" s="314"/>
      <c r="BI2183" s="314"/>
      <c r="BJ2183" s="314"/>
      <c r="BK2183" s="40"/>
      <c r="BL2183" s="40"/>
      <c r="BM2183" s="40"/>
      <c r="BN2183" s="40"/>
      <c r="BO2183" s="40"/>
      <c r="BP2183" s="155"/>
      <c r="BQ2183" s="314"/>
      <c r="BR2183" s="314"/>
      <c r="BS2183" s="314"/>
      <c r="BT2183" s="314"/>
      <c r="BU2183" s="314"/>
      <c r="BV2183" s="314"/>
      <c r="BW2183" s="314"/>
      <c r="BX2183" s="155"/>
    </row>
    <row r="2184" spans="1:76" ht="15.75" customHeight="1">
      <c r="A2184" s="25"/>
      <c r="B2184" s="39"/>
      <c r="C2184" s="155"/>
      <c r="D2184" s="155"/>
      <c r="E2184" s="40"/>
      <c r="F2184" s="314"/>
      <c r="H2184" s="315"/>
      <c r="I2184" s="315"/>
      <c r="BA2184" s="30"/>
      <c r="BB2184" s="155"/>
      <c r="BC2184" s="314"/>
      <c r="BD2184" s="314"/>
      <c r="BE2184" s="314"/>
      <c r="BF2184" s="314"/>
      <c r="BG2184" s="314"/>
      <c r="BH2184" s="314"/>
      <c r="BI2184" s="314"/>
      <c r="BJ2184" s="314"/>
      <c r="BK2184" s="40"/>
      <c r="BL2184" s="40"/>
      <c r="BM2184" s="40"/>
      <c r="BN2184" s="40"/>
      <c r="BO2184" s="40"/>
      <c r="BP2184" s="155"/>
      <c r="BQ2184" s="314"/>
      <c r="BR2184" s="314"/>
      <c r="BS2184" s="314"/>
      <c r="BT2184" s="314"/>
      <c r="BU2184" s="314"/>
      <c r="BV2184" s="314"/>
      <c r="BW2184" s="314"/>
      <c r="BX2184" s="155"/>
    </row>
    <row r="2185" spans="1:76" ht="15.75" customHeight="1">
      <c r="A2185" s="25"/>
      <c r="B2185" s="39"/>
      <c r="C2185" s="155"/>
      <c r="D2185" s="155"/>
      <c r="E2185" s="40"/>
      <c r="F2185" s="314"/>
      <c r="H2185" s="315"/>
      <c r="I2185" s="315"/>
      <c r="BA2185" s="30"/>
      <c r="BB2185" s="155"/>
      <c r="BC2185" s="314"/>
      <c r="BD2185" s="314"/>
      <c r="BE2185" s="314"/>
      <c r="BF2185" s="314"/>
      <c r="BG2185" s="314"/>
      <c r="BH2185" s="314"/>
      <c r="BI2185" s="314"/>
      <c r="BJ2185" s="314"/>
      <c r="BK2185" s="40"/>
      <c r="BL2185" s="40"/>
      <c r="BM2185" s="40"/>
      <c r="BN2185" s="40"/>
      <c r="BO2185" s="40"/>
      <c r="BP2185" s="155"/>
      <c r="BQ2185" s="314"/>
      <c r="BR2185" s="314"/>
      <c r="BS2185" s="314"/>
      <c r="BT2185" s="314"/>
      <c r="BU2185" s="314"/>
      <c r="BV2185" s="314"/>
      <c r="BW2185" s="314"/>
      <c r="BX2185" s="155"/>
    </row>
    <row r="2186" spans="1:76" ht="15.75" customHeight="1">
      <c r="A2186" s="25"/>
      <c r="B2186" s="39"/>
      <c r="C2186" s="155"/>
      <c r="D2186" s="155"/>
      <c r="E2186" s="40"/>
      <c r="F2186" s="314"/>
      <c r="H2186" s="315"/>
      <c r="I2186" s="315"/>
      <c r="BA2186" s="30"/>
      <c r="BB2186" s="155"/>
      <c r="BC2186" s="314"/>
      <c r="BD2186" s="314"/>
      <c r="BE2186" s="314"/>
      <c r="BF2186" s="314"/>
      <c r="BG2186" s="314"/>
      <c r="BH2186" s="314"/>
      <c r="BI2186" s="314"/>
      <c r="BJ2186" s="314"/>
      <c r="BK2186" s="40"/>
      <c r="BL2186" s="40"/>
      <c r="BM2186" s="40"/>
      <c r="BN2186" s="40"/>
      <c r="BO2186" s="40"/>
      <c r="BP2186" s="155"/>
      <c r="BQ2186" s="314"/>
      <c r="BR2186" s="314"/>
      <c r="BS2186" s="314"/>
      <c r="BT2186" s="314"/>
      <c r="BU2186" s="314"/>
      <c r="BV2186" s="314"/>
      <c r="BW2186" s="314"/>
      <c r="BX2186" s="155"/>
    </row>
    <row r="2187" spans="1:76" ht="15.75" customHeight="1">
      <c r="A2187" s="25"/>
      <c r="B2187" s="39"/>
      <c r="C2187" s="155"/>
      <c r="D2187" s="155"/>
      <c r="E2187" s="40"/>
      <c r="F2187" s="314"/>
      <c r="H2187" s="315"/>
      <c r="I2187" s="315"/>
      <c r="BA2187" s="30"/>
      <c r="BB2187" s="155"/>
      <c r="BC2187" s="314"/>
      <c r="BD2187" s="314"/>
      <c r="BE2187" s="314"/>
      <c r="BF2187" s="314"/>
      <c r="BG2187" s="314"/>
      <c r="BH2187" s="314"/>
      <c r="BI2187" s="314"/>
      <c r="BJ2187" s="314"/>
      <c r="BK2187" s="40"/>
      <c r="BL2187" s="40"/>
      <c r="BM2187" s="40"/>
      <c r="BN2187" s="40"/>
      <c r="BO2187" s="40"/>
      <c r="BP2187" s="155"/>
      <c r="BQ2187" s="314"/>
      <c r="BR2187" s="314"/>
      <c r="BS2187" s="314"/>
      <c r="BT2187" s="314"/>
      <c r="BU2187" s="314"/>
      <c r="BV2187" s="314"/>
      <c r="BW2187" s="314"/>
      <c r="BX2187" s="155"/>
    </row>
    <row r="2188" spans="1:76" ht="15.75" customHeight="1">
      <c r="A2188" s="25"/>
      <c r="B2188" s="39"/>
      <c r="C2188" s="155"/>
      <c r="D2188" s="155"/>
      <c r="E2188" s="40"/>
      <c r="F2188" s="314"/>
      <c r="H2188" s="315"/>
      <c r="I2188" s="315"/>
      <c r="BA2188" s="30"/>
      <c r="BB2188" s="155"/>
      <c r="BC2188" s="314"/>
      <c r="BD2188" s="314"/>
      <c r="BE2188" s="314"/>
      <c r="BF2188" s="314"/>
      <c r="BG2188" s="314"/>
      <c r="BH2188" s="314"/>
      <c r="BI2188" s="314"/>
      <c r="BJ2188" s="314"/>
      <c r="BK2188" s="40"/>
      <c r="BL2188" s="40"/>
      <c r="BM2188" s="40"/>
      <c r="BN2188" s="40"/>
      <c r="BO2188" s="40"/>
      <c r="BP2188" s="155"/>
      <c r="BQ2188" s="314"/>
      <c r="BR2188" s="314"/>
      <c r="BS2188" s="314"/>
      <c r="BT2188" s="314"/>
      <c r="BU2188" s="314"/>
      <c r="BV2188" s="314"/>
      <c r="BW2188" s="314"/>
      <c r="BX2188" s="155"/>
    </row>
    <row r="2189" spans="1:76" ht="15.75" customHeight="1">
      <c r="A2189" s="25"/>
      <c r="B2189" s="39"/>
      <c r="C2189" s="155"/>
      <c r="D2189" s="155"/>
      <c r="E2189" s="40"/>
      <c r="F2189" s="314"/>
      <c r="H2189" s="315"/>
      <c r="I2189" s="315"/>
      <c r="BA2189" s="30"/>
      <c r="BB2189" s="155"/>
      <c r="BC2189" s="314"/>
      <c r="BD2189" s="314"/>
      <c r="BE2189" s="314"/>
      <c r="BF2189" s="314"/>
      <c r="BG2189" s="314"/>
      <c r="BH2189" s="314"/>
      <c r="BI2189" s="314"/>
      <c r="BJ2189" s="314"/>
      <c r="BK2189" s="40"/>
      <c r="BL2189" s="40"/>
      <c r="BM2189" s="40"/>
      <c r="BN2189" s="40"/>
      <c r="BO2189" s="40"/>
      <c r="BP2189" s="155"/>
      <c r="BQ2189" s="314"/>
      <c r="BR2189" s="314"/>
      <c r="BS2189" s="314"/>
      <c r="BT2189" s="314"/>
      <c r="BU2189" s="314"/>
      <c r="BV2189" s="314"/>
      <c r="BW2189" s="314"/>
      <c r="BX2189" s="155"/>
    </row>
    <row r="2190" spans="1:76" ht="15.75" customHeight="1">
      <c r="A2190" s="25"/>
      <c r="B2190" s="39"/>
      <c r="C2190" s="155"/>
      <c r="D2190" s="155"/>
      <c r="E2190" s="40"/>
      <c r="F2190" s="314"/>
      <c r="H2190" s="315"/>
      <c r="I2190" s="315"/>
      <c r="BA2190" s="30"/>
      <c r="BB2190" s="155"/>
      <c r="BC2190" s="314"/>
      <c r="BD2190" s="314"/>
      <c r="BE2190" s="314"/>
      <c r="BF2190" s="314"/>
      <c r="BG2190" s="314"/>
      <c r="BH2190" s="314"/>
      <c r="BI2190" s="314"/>
      <c r="BJ2190" s="314"/>
      <c r="BK2190" s="40"/>
      <c r="BL2190" s="40"/>
      <c r="BM2190" s="40"/>
      <c r="BN2190" s="40"/>
      <c r="BO2190" s="40"/>
      <c r="BP2190" s="155"/>
      <c r="BQ2190" s="314"/>
      <c r="BR2190" s="314"/>
      <c r="BS2190" s="314"/>
      <c r="BT2190" s="314"/>
      <c r="BU2190" s="314"/>
      <c r="BV2190" s="314"/>
      <c r="BW2190" s="314"/>
      <c r="BX2190" s="155"/>
    </row>
    <row r="2191" spans="1:76" ht="15.75" customHeight="1">
      <c r="A2191" s="25"/>
      <c r="B2191" s="39"/>
      <c r="C2191" s="155"/>
      <c r="D2191" s="155"/>
      <c r="E2191" s="40"/>
      <c r="F2191" s="314"/>
      <c r="H2191" s="315"/>
      <c r="I2191" s="315"/>
      <c r="BA2191" s="30"/>
      <c r="BB2191" s="155"/>
      <c r="BC2191" s="314"/>
      <c r="BD2191" s="314"/>
      <c r="BE2191" s="314"/>
      <c r="BF2191" s="314"/>
      <c r="BG2191" s="314"/>
      <c r="BH2191" s="314"/>
      <c r="BI2191" s="314"/>
      <c r="BJ2191" s="314"/>
      <c r="BK2191" s="40"/>
      <c r="BL2191" s="40"/>
      <c r="BM2191" s="40"/>
      <c r="BN2191" s="40"/>
      <c r="BO2191" s="40"/>
      <c r="BP2191" s="155"/>
      <c r="BQ2191" s="314"/>
      <c r="BR2191" s="314"/>
      <c r="BS2191" s="314"/>
      <c r="BT2191" s="314"/>
      <c r="BU2191" s="314"/>
      <c r="BV2191" s="314"/>
      <c r="BW2191" s="314"/>
      <c r="BX2191" s="155"/>
    </row>
    <row r="2192" spans="1:76" ht="15.75" customHeight="1">
      <c r="A2192" s="25"/>
      <c r="B2192" s="39"/>
      <c r="C2192" s="155"/>
      <c r="D2192" s="155"/>
      <c r="E2192" s="40"/>
      <c r="F2192" s="314"/>
      <c r="H2192" s="315"/>
      <c r="I2192" s="315"/>
      <c r="BA2192" s="30"/>
      <c r="BB2192" s="155"/>
      <c r="BC2192" s="314"/>
      <c r="BD2192" s="314"/>
      <c r="BE2192" s="314"/>
      <c r="BF2192" s="314"/>
      <c r="BG2192" s="314"/>
      <c r="BH2192" s="314"/>
      <c r="BI2192" s="314"/>
      <c r="BJ2192" s="314"/>
      <c r="BK2192" s="40"/>
      <c r="BL2192" s="40"/>
      <c r="BM2192" s="40"/>
      <c r="BN2192" s="40"/>
      <c r="BO2192" s="40"/>
      <c r="BP2192" s="155"/>
      <c r="BQ2192" s="314"/>
      <c r="BR2192" s="314"/>
      <c r="BS2192" s="314"/>
      <c r="BT2192" s="314"/>
      <c r="BU2192" s="314"/>
      <c r="BV2192" s="314"/>
      <c r="BW2192" s="314"/>
      <c r="BX2192" s="155"/>
    </row>
    <row r="2193" spans="1:76" ht="15.75" customHeight="1">
      <c r="A2193" s="25"/>
      <c r="B2193" s="39"/>
      <c r="C2193" s="155"/>
      <c r="D2193" s="155"/>
      <c r="E2193" s="40"/>
      <c r="F2193" s="314"/>
      <c r="H2193" s="315"/>
      <c r="I2193" s="315"/>
      <c r="BA2193" s="30"/>
      <c r="BB2193" s="155"/>
      <c r="BC2193" s="314"/>
      <c r="BD2193" s="314"/>
      <c r="BE2193" s="314"/>
      <c r="BF2193" s="314"/>
      <c r="BG2193" s="314"/>
      <c r="BH2193" s="314"/>
      <c r="BI2193" s="314"/>
      <c r="BJ2193" s="314"/>
      <c r="BK2193" s="40"/>
      <c r="BL2193" s="40"/>
      <c r="BM2193" s="40"/>
      <c r="BN2193" s="40"/>
      <c r="BO2193" s="40"/>
      <c r="BP2193" s="155"/>
      <c r="BQ2193" s="314"/>
      <c r="BR2193" s="314"/>
      <c r="BS2193" s="314"/>
      <c r="BT2193" s="314"/>
      <c r="BU2193" s="314"/>
      <c r="BV2193" s="314"/>
      <c r="BW2193" s="314"/>
      <c r="BX2193" s="155"/>
    </row>
    <row r="2194" spans="1:76" ht="15.75" customHeight="1">
      <c r="A2194" s="25"/>
      <c r="B2194" s="39"/>
      <c r="C2194" s="155"/>
      <c r="D2194" s="155"/>
      <c r="E2194" s="40"/>
      <c r="F2194" s="314"/>
      <c r="H2194" s="315"/>
      <c r="I2194" s="315"/>
      <c r="BA2194" s="30"/>
      <c r="BB2194" s="155"/>
      <c r="BC2194" s="314"/>
      <c r="BD2194" s="314"/>
      <c r="BE2194" s="314"/>
      <c r="BF2194" s="314"/>
      <c r="BG2194" s="314"/>
      <c r="BH2194" s="314"/>
      <c r="BI2194" s="314"/>
      <c r="BJ2194" s="314"/>
      <c r="BK2194" s="40"/>
      <c r="BL2194" s="40"/>
      <c r="BM2194" s="40"/>
      <c r="BN2194" s="40"/>
      <c r="BO2194" s="40"/>
      <c r="BP2194" s="155"/>
      <c r="BQ2194" s="314"/>
      <c r="BR2194" s="314"/>
      <c r="BS2194" s="314"/>
      <c r="BT2194" s="314"/>
      <c r="BU2194" s="314"/>
      <c r="BV2194" s="314"/>
      <c r="BW2194" s="314"/>
      <c r="BX2194" s="155"/>
    </row>
    <row r="2195" spans="1:76" ht="15.75" customHeight="1">
      <c r="A2195" s="25"/>
      <c r="B2195" s="39"/>
      <c r="C2195" s="155"/>
      <c r="D2195" s="155"/>
      <c r="E2195" s="40"/>
      <c r="F2195" s="314"/>
      <c r="H2195" s="315"/>
      <c r="I2195" s="315"/>
      <c r="BA2195" s="30"/>
      <c r="BB2195" s="155"/>
      <c r="BC2195" s="314"/>
      <c r="BD2195" s="314"/>
      <c r="BE2195" s="314"/>
      <c r="BF2195" s="314"/>
      <c r="BG2195" s="314"/>
      <c r="BH2195" s="314"/>
      <c r="BI2195" s="314"/>
      <c r="BJ2195" s="314"/>
      <c r="BK2195" s="40"/>
      <c r="BL2195" s="40"/>
      <c r="BM2195" s="40"/>
      <c r="BN2195" s="40"/>
      <c r="BO2195" s="40"/>
      <c r="BP2195" s="155"/>
      <c r="BQ2195" s="314"/>
      <c r="BR2195" s="314"/>
      <c r="BS2195" s="314"/>
      <c r="BT2195" s="314"/>
      <c r="BU2195" s="314"/>
      <c r="BV2195" s="314"/>
      <c r="BW2195" s="314"/>
      <c r="BX2195" s="155"/>
    </row>
    <row r="2196" spans="1:76" ht="15.75" customHeight="1">
      <c r="A2196" s="25"/>
      <c r="B2196" s="39"/>
      <c r="C2196" s="155"/>
      <c r="D2196" s="155"/>
      <c r="E2196" s="40"/>
      <c r="F2196" s="314"/>
      <c r="H2196" s="315"/>
      <c r="I2196" s="315"/>
      <c r="BA2196" s="30"/>
      <c r="BB2196" s="155"/>
      <c r="BC2196" s="314"/>
      <c r="BD2196" s="314"/>
      <c r="BE2196" s="314"/>
      <c r="BF2196" s="314"/>
      <c r="BG2196" s="314"/>
      <c r="BH2196" s="314"/>
      <c r="BI2196" s="314"/>
      <c r="BJ2196" s="314"/>
      <c r="BK2196" s="40"/>
      <c r="BL2196" s="40"/>
      <c r="BM2196" s="40"/>
      <c r="BN2196" s="40"/>
      <c r="BO2196" s="40"/>
      <c r="BP2196" s="155"/>
      <c r="BQ2196" s="314"/>
      <c r="BR2196" s="314"/>
      <c r="BS2196" s="314"/>
      <c r="BT2196" s="314"/>
      <c r="BU2196" s="314"/>
      <c r="BV2196" s="314"/>
      <c r="BW2196" s="314"/>
      <c r="BX2196" s="155"/>
    </row>
    <row r="2197" spans="1:76" ht="15.75" customHeight="1">
      <c r="A2197" s="25"/>
      <c r="B2197" s="39"/>
      <c r="C2197" s="155"/>
      <c r="D2197" s="155"/>
      <c r="E2197" s="40"/>
      <c r="F2197" s="314"/>
      <c r="H2197" s="315"/>
      <c r="I2197" s="315"/>
      <c r="BA2197" s="30"/>
      <c r="BB2197" s="155"/>
      <c r="BC2197" s="314"/>
      <c r="BD2197" s="314"/>
      <c r="BE2197" s="314"/>
      <c r="BF2197" s="314"/>
      <c r="BG2197" s="314"/>
      <c r="BH2197" s="314"/>
      <c r="BI2197" s="314"/>
      <c r="BJ2197" s="314"/>
      <c r="BK2197" s="40"/>
      <c r="BL2197" s="40"/>
      <c r="BM2197" s="40"/>
      <c r="BN2197" s="40"/>
      <c r="BO2197" s="40"/>
      <c r="BP2197" s="155"/>
      <c r="BQ2197" s="314"/>
      <c r="BR2197" s="314"/>
      <c r="BS2197" s="314"/>
      <c r="BT2197" s="314"/>
      <c r="BU2197" s="314"/>
      <c r="BV2197" s="314"/>
      <c r="BW2197" s="314"/>
      <c r="BX2197" s="155"/>
    </row>
    <row r="2198" spans="1:76" ht="15.75" customHeight="1">
      <c r="A2198" s="25"/>
      <c r="B2198" s="39"/>
      <c r="C2198" s="155"/>
      <c r="D2198" s="155"/>
      <c r="E2198" s="40"/>
      <c r="F2198" s="314"/>
      <c r="H2198" s="315"/>
      <c r="I2198" s="315"/>
      <c r="BA2198" s="30"/>
      <c r="BB2198" s="155"/>
      <c r="BC2198" s="314"/>
      <c r="BD2198" s="314"/>
      <c r="BE2198" s="314"/>
      <c r="BF2198" s="314"/>
      <c r="BG2198" s="314"/>
      <c r="BH2198" s="314"/>
      <c r="BI2198" s="314"/>
      <c r="BJ2198" s="314"/>
      <c r="BK2198" s="40"/>
      <c r="BL2198" s="40"/>
      <c r="BM2198" s="40"/>
      <c r="BN2198" s="40"/>
      <c r="BO2198" s="40"/>
      <c r="BP2198" s="155"/>
      <c r="BQ2198" s="314"/>
      <c r="BR2198" s="314"/>
      <c r="BS2198" s="314"/>
      <c r="BT2198" s="314"/>
      <c r="BU2198" s="314"/>
      <c r="BV2198" s="314"/>
      <c r="BW2198" s="314"/>
      <c r="BX2198" s="155"/>
    </row>
    <row r="2199" spans="1:76" ht="15.75" customHeight="1">
      <c r="A2199" s="25"/>
      <c r="B2199" s="39"/>
      <c r="C2199" s="155"/>
      <c r="D2199" s="155"/>
      <c r="E2199" s="40"/>
      <c r="F2199" s="314"/>
      <c r="H2199" s="315"/>
      <c r="I2199" s="315"/>
      <c r="BA2199" s="30"/>
      <c r="BB2199" s="155"/>
      <c r="BC2199" s="314"/>
      <c r="BD2199" s="314"/>
      <c r="BE2199" s="314"/>
      <c r="BF2199" s="314"/>
      <c r="BG2199" s="314"/>
      <c r="BH2199" s="314"/>
      <c r="BI2199" s="314"/>
      <c r="BJ2199" s="314"/>
      <c r="BK2199" s="40"/>
      <c r="BL2199" s="40"/>
      <c r="BM2199" s="40"/>
      <c r="BN2199" s="40"/>
      <c r="BO2199" s="40"/>
      <c r="BP2199" s="155"/>
      <c r="BQ2199" s="314"/>
      <c r="BR2199" s="314"/>
      <c r="BS2199" s="314"/>
      <c r="BT2199" s="314"/>
      <c r="BU2199" s="314"/>
      <c r="BV2199" s="314"/>
      <c r="BW2199" s="314"/>
      <c r="BX2199" s="155"/>
    </row>
    <row r="2200" spans="1:76" ht="15.75" customHeight="1">
      <c r="A2200" s="25"/>
      <c r="B2200" s="39"/>
      <c r="C2200" s="155"/>
      <c r="D2200" s="155"/>
      <c r="E2200" s="40"/>
      <c r="F2200" s="314"/>
      <c r="H2200" s="315"/>
      <c r="I2200" s="315"/>
      <c r="BA2200" s="30"/>
      <c r="BB2200" s="155"/>
      <c r="BC2200" s="322"/>
      <c r="BD2200" s="322"/>
      <c r="BE2200" s="322"/>
      <c r="BF2200" s="322"/>
      <c r="BG2200" s="322"/>
      <c r="BH2200" s="322"/>
      <c r="BI2200" s="322"/>
      <c r="BJ2200" s="322"/>
      <c r="BK2200" s="341"/>
      <c r="BL2200" s="40"/>
      <c r="BM2200" s="40"/>
      <c r="BN2200" s="40"/>
      <c r="BO2200" s="40"/>
      <c r="BP2200" s="155"/>
      <c r="BQ2200" s="314"/>
      <c r="BR2200" s="314"/>
      <c r="BS2200" s="314"/>
      <c r="BT2200" s="314"/>
      <c r="BU2200" s="314"/>
      <c r="BV2200" s="314"/>
      <c r="BW2200" s="314"/>
      <c r="BX2200" s="155"/>
    </row>
    <row r="2201" spans="1:76" ht="15.75" customHeight="1">
      <c r="A2201" s="25"/>
      <c r="B2201" s="39"/>
      <c r="C2201" s="155"/>
      <c r="D2201" s="155"/>
      <c r="E2201" s="40"/>
      <c r="F2201" s="314"/>
      <c r="H2201" s="315"/>
      <c r="I2201" s="315"/>
      <c r="BA2201" s="30"/>
      <c r="BB2201" s="155"/>
      <c r="BC2201" s="314"/>
      <c r="BD2201" s="314"/>
      <c r="BE2201" s="314"/>
      <c r="BF2201" s="314"/>
      <c r="BG2201" s="314"/>
      <c r="BH2201" s="314"/>
      <c r="BI2201" s="314"/>
      <c r="BJ2201" s="314"/>
      <c r="BK2201" s="40"/>
      <c r="BL2201" s="40"/>
      <c r="BM2201" s="40"/>
      <c r="BN2201" s="40"/>
      <c r="BO2201" s="40"/>
      <c r="BP2201" s="155"/>
      <c r="BQ2201" s="314"/>
      <c r="BR2201" s="314"/>
      <c r="BS2201" s="314"/>
      <c r="BT2201" s="314"/>
      <c r="BU2201" s="314"/>
      <c r="BV2201" s="314"/>
      <c r="BW2201" s="314"/>
      <c r="BX2201" s="155"/>
    </row>
    <row r="2202" spans="1:76" ht="15.75" customHeight="1">
      <c r="A2202" s="25"/>
      <c r="B2202" s="39"/>
      <c r="C2202" s="155"/>
      <c r="D2202" s="155"/>
      <c r="E2202" s="40"/>
      <c r="F2202" s="314"/>
      <c r="H2202" s="315"/>
      <c r="I2202" s="315"/>
      <c r="BA2202" s="30"/>
      <c r="BB2202" s="155"/>
      <c r="BC2202" s="314"/>
      <c r="BD2202" s="314"/>
      <c r="BE2202" s="314"/>
      <c r="BF2202" s="314"/>
      <c r="BG2202" s="314"/>
      <c r="BH2202" s="314"/>
      <c r="BI2202" s="314"/>
      <c r="BJ2202" s="314"/>
      <c r="BK2202" s="40"/>
      <c r="BL2202" s="40"/>
      <c r="BM2202" s="40"/>
      <c r="BN2202" s="40"/>
      <c r="BO2202" s="40"/>
      <c r="BP2202" s="155"/>
      <c r="BQ2202" s="314"/>
      <c r="BR2202" s="314"/>
      <c r="BS2202" s="314"/>
      <c r="BT2202" s="314"/>
      <c r="BU2202" s="314"/>
      <c r="BV2202" s="314"/>
      <c r="BW2202" s="314"/>
      <c r="BX2202" s="155"/>
    </row>
    <row r="2203" spans="1:76" ht="15.75" customHeight="1">
      <c r="A2203" s="25"/>
      <c r="B2203" s="39"/>
      <c r="C2203" s="155"/>
      <c r="D2203" s="155"/>
      <c r="E2203" s="40"/>
      <c r="F2203" s="314"/>
      <c r="H2203" s="315"/>
      <c r="I2203" s="315"/>
      <c r="BA2203" s="30"/>
      <c r="BB2203" s="155"/>
      <c r="BC2203" s="314"/>
      <c r="BD2203" s="314"/>
      <c r="BE2203" s="314"/>
      <c r="BF2203" s="314"/>
      <c r="BG2203" s="314"/>
      <c r="BH2203" s="314"/>
      <c r="BI2203" s="314"/>
      <c r="BJ2203" s="314"/>
      <c r="BK2203" s="40"/>
      <c r="BL2203" s="40"/>
      <c r="BM2203" s="40"/>
      <c r="BN2203" s="40"/>
      <c r="BO2203" s="40"/>
      <c r="BP2203" s="155"/>
      <c r="BQ2203" s="314"/>
      <c r="BR2203" s="314"/>
      <c r="BS2203" s="314"/>
      <c r="BT2203" s="314"/>
      <c r="BU2203" s="314"/>
      <c r="BV2203" s="314"/>
      <c r="BW2203" s="314"/>
      <c r="BX2203" s="155"/>
    </row>
    <row r="2204" spans="1:76" ht="15.75" customHeight="1">
      <c r="A2204" s="25"/>
      <c r="B2204" s="39"/>
      <c r="C2204" s="155"/>
      <c r="D2204" s="155"/>
      <c r="E2204" s="40"/>
      <c r="F2204" s="314"/>
      <c r="H2204" s="315"/>
      <c r="I2204" s="315"/>
      <c r="BA2204" s="30"/>
      <c r="BB2204" s="155"/>
      <c r="BC2204" s="314"/>
      <c r="BD2204" s="314"/>
      <c r="BE2204" s="314"/>
      <c r="BF2204" s="314"/>
      <c r="BG2204" s="314"/>
      <c r="BH2204" s="314"/>
      <c r="BI2204" s="314"/>
      <c r="BJ2204" s="314"/>
      <c r="BK2204" s="40"/>
      <c r="BL2204" s="40"/>
      <c r="BM2204" s="40"/>
      <c r="BN2204" s="40"/>
      <c r="BO2204" s="40"/>
      <c r="BP2204" s="155"/>
      <c r="BQ2204" s="314"/>
      <c r="BR2204" s="314"/>
      <c r="BS2204" s="314"/>
      <c r="BT2204" s="314"/>
      <c r="BU2204" s="314"/>
      <c r="BV2204" s="314"/>
      <c r="BW2204" s="314"/>
      <c r="BX2204" s="155"/>
    </row>
    <row r="2205" spans="1:76" ht="15.75" customHeight="1">
      <c r="A2205" s="25"/>
      <c r="B2205" s="39"/>
      <c r="C2205" s="155"/>
      <c r="D2205" s="155"/>
      <c r="E2205" s="40"/>
      <c r="F2205" s="314"/>
      <c r="H2205" s="315"/>
      <c r="I2205" s="315"/>
      <c r="BA2205" s="30"/>
      <c r="BB2205" s="155"/>
      <c r="BC2205" s="314"/>
      <c r="BD2205" s="314"/>
      <c r="BE2205" s="314"/>
      <c r="BF2205" s="314"/>
      <c r="BG2205" s="314"/>
      <c r="BH2205" s="314"/>
      <c r="BI2205" s="314"/>
      <c r="BJ2205" s="314"/>
      <c r="BK2205" s="40"/>
      <c r="BL2205" s="40"/>
      <c r="BM2205" s="40"/>
      <c r="BN2205" s="40"/>
      <c r="BO2205" s="40"/>
      <c r="BP2205" s="155"/>
      <c r="BQ2205" s="314"/>
      <c r="BR2205" s="314"/>
      <c r="BS2205" s="314"/>
      <c r="BT2205" s="314"/>
      <c r="BU2205" s="314"/>
      <c r="BV2205" s="314"/>
      <c r="BW2205" s="314"/>
      <c r="BX2205" s="155"/>
    </row>
    <row r="2206" spans="1:76" ht="15.75" customHeight="1">
      <c r="A2206" s="25"/>
      <c r="B2206" s="39"/>
      <c r="C2206" s="155"/>
      <c r="D2206" s="155"/>
      <c r="E2206" s="40"/>
      <c r="F2206" s="314"/>
      <c r="H2206" s="315"/>
      <c r="I2206" s="315"/>
      <c r="BA2206" s="30"/>
      <c r="BB2206" s="155"/>
      <c r="BC2206" s="314"/>
      <c r="BD2206" s="314"/>
      <c r="BE2206" s="314"/>
      <c r="BF2206" s="314"/>
      <c r="BG2206" s="314"/>
      <c r="BH2206" s="314"/>
      <c r="BI2206" s="314"/>
      <c r="BJ2206" s="314"/>
      <c r="BK2206" s="40"/>
      <c r="BL2206" s="40"/>
      <c r="BM2206" s="40"/>
      <c r="BN2206" s="40"/>
      <c r="BO2206" s="40"/>
      <c r="BP2206" s="155"/>
      <c r="BQ2206" s="314"/>
      <c r="BR2206" s="314"/>
      <c r="BS2206" s="314"/>
      <c r="BT2206" s="314"/>
      <c r="BU2206" s="314"/>
      <c r="BV2206" s="314"/>
      <c r="BW2206" s="314"/>
      <c r="BX2206" s="155"/>
    </row>
    <row r="2207" spans="1:76" ht="15.75" customHeight="1">
      <c r="A2207" s="25"/>
      <c r="B2207" s="39"/>
      <c r="C2207" s="155"/>
      <c r="D2207" s="155"/>
      <c r="E2207" s="40"/>
      <c r="F2207" s="314"/>
      <c r="H2207" s="315"/>
      <c r="I2207" s="315"/>
      <c r="BA2207" s="30"/>
      <c r="BB2207" s="155"/>
      <c r="BC2207" s="314"/>
      <c r="BD2207" s="314"/>
      <c r="BE2207" s="314"/>
      <c r="BF2207" s="314"/>
      <c r="BG2207" s="314"/>
      <c r="BH2207" s="314"/>
      <c r="BI2207" s="314"/>
      <c r="BJ2207" s="314"/>
      <c r="BK2207" s="40"/>
      <c r="BL2207" s="40"/>
      <c r="BM2207" s="40"/>
      <c r="BN2207" s="40"/>
      <c r="BO2207" s="40"/>
      <c r="BP2207" s="155"/>
      <c r="BQ2207" s="314"/>
      <c r="BR2207" s="314"/>
      <c r="BS2207" s="314"/>
      <c r="BT2207" s="314"/>
      <c r="BU2207" s="314"/>
      <c r="BV2207" s="314"/>
      <c r="BW2207" s="314"/>
      <c r="BX2207" s="155"/>
    </row>
    <row r="2208" spans="1:76" ht="15.75" customHeight="1">
      <c r="A2208" s="25"/>
      <c r="B2208" s="39"/>
      <c r="C2208" s="155"/>
      <c r="D2208" s="155"/>
      <c r="E2208" s="40"/>
      <c r="F2208" s="314"/>
      <c r="H2208" s="315"/>
      <c r="I2208" s="315"/>
      <c r="BA2208" s="30"/>
      <c r="BB2208" s="155"/>
      <c r="BC2208" s="314"/>
      <c r="BD2208" s="314"/>
      <c r="BE2208" s="314"/>
      <c r="BF2208" s="314"/>
      <c r="BG2208" s="314"/>
      <c r="BH2208" s="314"/>
      <c r="BI2208" s="314"/>
      <c r="BJ2208" s="314"/>
      <c r="BK2208" s="40"/>
      <c r="BL2208" s="40"/>
      <c r="BM2208" s="40"/>
      <c r="BN2208" s="40"/>
      <c r="BO2208" s="40"/>
      <c r="BP2208" s="155"/>
      <c r="BQ2208" s="314"/>
      <c r="BR2208" s="314"/>
      <c r="BS2208" s="314"/>
      <c r="BT2208" s="314"/>
      <c r="BU2208" s="314"/>
      <c r="BV2208" s="314"/>
      <c r="BW2208" s="314"/>
      <c r="BX2208" s="155"/>
    </row>
    <row r="2209" spans="1:76" ht="15.75" customHeight="1">
      <c r="A2209" s="25"/>
      <c r="B2209" s="39"/>
      <c r="C2209" s="155"/>
      <c r="D2209" s="155"/>
      <c r="E2209" s="40"/>
      <c r="F2209" s="314"/>
      <c r="H2209" s="315"/>
      <c r="I2209" s="315"/>
      <c r="BA2209" s="30"/>
      <c r="BB2209" s="155"/>
      <c r="BC2209" s="314"/>
      <c r="BD2209" s="314"/>
      <c r="BE2209" s="314"/>
      <c r="BF2209" s="314"/>
      <c r="BG2209" s="314"/>
      <c r="BH2209" s="314"/>
      <c r="BI2209" s="314"/>
      <c r="BJ2209" s="314"/>
      <c r="BK2209" s="40"/>
      <c r="BL2209" s="40"/>
      <c r="BM2209" s="40"/>
      <c r="BN2209" s="40"/>
      <c r="BO2209" s="40"/>
      <c r="BP2209" s="155"/>
      <c r="BQ2209" s="314"/>
      <c r="BR2209" s="314"/>
      <c r="BS2209" s="314"/>
      <c r="BT2209" s="314"/>
      <c r="BU2209" s="314"/>
      <c r="BV2209" s="314"/>
      <c r="BW2209" s="314"/>
      <c r="BX2209" s="155"/>
    </row>
    <row r="2210" spans="1:76" ht="15.75" customHeight="1">
      <c r="A2210" s="25"/>
      <c r="B2210" s="39"/>
      <c r="C2210" s="155"/>
      <c r="D2210" s="155"/>
      <c r="E2210" s="40"/>
      <c r="F2210" s="314"/>
      <c r="H2210" s="315"/>
      <c r="I2210" s="315"/>
      <c r="BA2210" s="30"/>
      <c r="BB2210" s="155"/>
      <c r="BC2210" s="314"/>
      <c r="BD2210" s="314"/>
      <c r="BE2210" s="314"/>
      <c r="BF2210" s="314"/>
      <c r="BG2210" s="314"/>
      <c r="BH2210" s="314"/>
      <c r="BI2210" s="314"/>
      <c r="BJ2210" s="314"/>
      <c r="BK2210" s="40"/>
      <c r="BL2210" s="40"/>
      <c r="BM2210" s="40"/>
      <c r="BN2210" s="40"/>
      <c r="BO2210" s="40"/>
      <c r="BP2210" s="155"/>
      <c r="BQ2210" s="314"/>
      <c r="BR2210" s="314"/>
      <c r="BS2210" s="314"/>
      <c r="BT2210" s="314"/>
      <c r="BU2210" s="314"/>
      <c r="BV2210" s="314"/>
      <c r="BW2210" s="314"/>
      <c r="BX2210" s="155"/>
    </row>
    <row r="2211" spans="1:76" ht="15.75" customHeight="1">
      <c r="A2211" s="25"/>
      <c r="B2211" s="39"/>
      <c r="C2211" s="155"/>
      <c r="D2211" s="155"/>
      <c r="E2211" s="40"/>
      <c r="F2211" s="314"/>
      <c r="H2211" s="315"/>
      <c r="I2211" s="315"/>
      <c r="BA2211" s="30"/>
      <c r="BB2211" s="155"/>
      <c r="BC2211" s="314"/>
      <c r="BD2211" s="314"/>
      <c r="BE2211" s="314"/>
      <c r="BF2211" s="314"/>
      <c r="BG2211" s="314"/>
      <c r="BH2211" s="314"/>
      <c r="BI2211" s="314"/>
      <c r="BJ2211" s="314"/>
      <c r="BK2211" s="40"/>
      <c r="BL2211" s="40"/>
      <c r="BM2211" s="40"/>
      <c r="BN2211" s="40"/>
      <c r="BO2211" s="40"/>
      <c r="BP2211" s="155"/>
      <c r="BQ2211" s="314"/>
      <c r="BR2211" s="314"/>
      <c r="BS2211" s="314"/>
      <c r="BT2211" s="314"/>
      <c r="BU2211" s="314"/>
      <c r="BV2211" s="314"/>
      <c r="BW2211" s="314"/>
      <c r="BX2211" s="155"/>
    </row>
    <row r="2212" spans="1:76" ht="15.75" customHeight="1">
      <c r="A2212" s="25"/>
      <c r="B2212" s="39"/>
      <c r="C2212" s="155"/>
      <c r="D2212" s="155"/>
      <c r="E2212" s="40"/>
      <c r="F2212" s="314"/>
      <c r="H2212" s="315"/>
      <c r="I2212" s="315"/>
      <c r="BA2212" s="30"/>
      <c r="BB2212" s="155"/>
      <c r="BC2212" s="314"/>
      <c r="BD2212" s="314"/>
      <c r="BE2212" s="314"/>
      <c r="BF2212" s="314"/>
      <c r="BG2212" s="314"/>
      <c r="BH2212" s="314"/>
      <c r="BI2212" s="314"/>
      <c r="BJ2212" s="314"/>
      <c r="BK2212" s="40"/>
      <c r="BL2212" s="40"/>
      <c r="BM2212" s="40"/>
      <c r="BN2212" s="40"/>
      <c r="BO2212" s="40"/>
      <c r="BP2212" s="155"/>
      <c r="BQ2212" s="314"/>
      <c r="BR2212" s="314"/>
      <c r="BS2212" s="314"/>
      <c r="BT2212" s="314"/>
      <c r="BU2212" s="314"/>
      <c r="BV2212" s="314"/>
      <c r="BW2212" s="314"/>
      <c r="BX2212" s="155"/>
    </row>
    <row r="2213" spans="1:76" ht="15.75" customHeight="1">
      <c r="A2213" s="25"/>
      <c r="B2213" s="39"/>
      <c r="C2213" s="155"/>
      <c r="D2213" s="155"/>
      <c r="E2213" s="40"/>
      <c r="F2213" s="314"/>
      <c r="H2213" s="315"/>
      <c r="I2213" s="315"/>
      <c r="BA2213" s="30"/>
      <c r="BB2213" s="155"/>
      <c r="BC2213" s="314"/>
      <c r="BD2213" s="314"/>
      <c r="BE2213" s="314"/>
      <c r="BF2213" s="314"/>
      <c r="BG2213" s="314"/>
      <c r="BH2213" s="314"/>
      <c r="BI2213" s="314"/>
      <c r="BJ2213" s="314"/>
      <c r="BK2213" s="40"/>
      <c r="BL2213" s="40"/>
      <c r="BM2213" s="40"/>
      <c r="BN2213" s="40"/>
      <c r="BO2213" s="40"/>
      <c r="BP2213" s="155"/>
      <c r="BQ2213" s="314"/>
      <c r="BR2213" s="314"/>
      <c r="BS2213" s="314"/>
      <c r="BT2213" s="314"/>
      <c r="BU2213" s="314"/>
      <c r="BV2213" s="314"/>
      <c r="BW2213" s="314"/>
      <c r="BX2213" s="155"/>
    </row>
    <row r="2214" spans="1:76" ht="15.75" customHeight="1">
      <c r="A2214" s="25"/>
      <c r="B2214" s="39"/>
      <c r="C2214" s="155"/>
      <c r="D2214" s="155"/>
      <c r="E2214" s="40"/>
      <c r="F2214" s="314"/>
      <c r="H2214" s="315"/>
      <c r="I2214" s="315"/>
      <c r="BA2214" s="30"/>
      <c r="BB2214" s="155"/>
      <c r="BC2214" s="314"/>
      <c r="BD2214" s="314"/>
      <c r="BE2214" s="314"/>
      <c r="BF2214" s="314"/>
      <c r="BG2214" s="314"/>
      <c r="BH2214" s="314"/>
      <c r="BI2214" s="314"/>
      <c r="BJ2214" s="314"/>
      <c r="BK2214" s="40"/>
      <c r="BL2214" s="40"/>
      <c r="BM2214" s="40"/>
      <c r="BN2214" s="40"/>
      <c r="BO2214" s="40"/>
      <c r="BP2214" s="155"/>
      <c r="BQ2214" s="314"/>
      <c r="BR2214" s="314"/>
      <c r="BS2214" s="314"/>
      <c r="BT2214" s="314"/>
      <c r="BU2214" s="314"/>
      <c r="BV2214" s="314"/>
      <c r="BW2214" s="314"/>
      <c r="BX2214" s="155"/>
    </row>
    <row r="2215" spans="1:76" ht="15.75" customHeight="1">
      <c r="A2215" s="25"/>
      <c r="B2215" s="39"/>
      <c r="C2215" s="155"/>
      <c r="D2215" s="155"/>
      <c r="E2215" s="40"/>
      <c r="F2215" s="314"/>
      <c r="H2215" s="315"/>
      <c r="I2215" s="315"/>
      <c r="BA2215" s="30"/>
      <c r="BB2215" s="155"/>
      <c r="BC2215" s="314"/>
      <c r="BD2215" s="314"/>
      <c r="BE2215" s="314"/>
      <c r="BF2215" s="314"/>
      <c r="BG2215" s="314"/>
      <c r="BH2215" s="314"/>
      <c r="BI2215" s="314"/>
      <c r="BJ2215" s="314"/>
      <c r="BK2215" s="40"/>
      <c r="BL2215" s="40"/>
      <c r="BM2215" s="40"/>
      <c r="BN2215" s="40"/>
      <c r="BO2215" s="40"/>
      <c r="BP2215" s="155"/>
      <c r="BQ2215" s="314"/>
      <c r="BR2215" s="314"/>
      <c r="BS2215" s="314"/>
      <c r="BT2215" s="314"/>
      <c r="BU2215" s="314"/>
      <c r="BV2215" s="314"/>
      <c r="BW2215" s="314"/>
      <c r="BX2215" s="155"/>
    </row>
    <row r="2216" spans="1:76" ht="15.75" customHeight="1">
      <c r="A2216" s="25"/>
      <c r="B2216" s="39"/>
      <c r="C2216" s="155"/>
      <c r="D2216" s="155"/>
      <c r="E2216" s="40"/>
      <c r="F2216" s="314"/>
      <c r="H2216" s="315"/>
      <c r="I2216" s="315"/>
      <c r="BA2216" s="30"/>
      <c r="BB2216" s="155"/>
      <c r="BC2216" s="314"/>
      <c r="BD2216" s="314"/>
      <c r="BE2216" s="314"/>
      <c r="BF2216" s="314"/>
      <c r="BG2216" s="314"/>
      <c r="BH2216" s="314"/>
      <c r="BI2216" s="314"/>
      <c r="BJ2216" s="314"/>
      <c r="BK2216" s="40"/>
      <c r="BL2216" s="40"/>
      <c r="BM2216" s="40"/>
      <c r="BN2216" s="40"/>
      <c r="BO2216" s="40"/>
      <c r="BP2216" s="155"/>
      <c r="BQ2216" s="314"/>
      <c r="BR2216" s="314"/>
      <c r="BS2216" s="314"/>
      <c r="BT2216" s="314"/>
      <c r="BU2216" s="314"/>
      <c r="BV2216" s="314"/>
      <c r="BW2216" s="314"/>
      <c r="BX2216" s="155"/>
    </row>
    <row r="2217" spans="1:76" ht="15.75" customHeight="1">
      <c r="A2217" s="25"/>
      <c r="B2217" s="39"/>
      <c r="C2217" s="155"/>
      <c r="D2217" s="155"/>
      <c r="E2217" s="40"/>
      <c r="F2217" s="314"/>
      <c r="H2217" s="315"/>
      <c r="I2217" s="315"/>
      <c r="BA2217" s="30"/>
      <c r="BB2217" s="155"/>
      <c r="BC2217" s="314"/>
      <c r="BD2217" s="314"/>
      <c r="BE2217" s="314"/>
      <c r="BF2217" s="314"/>
      <c r="BG2217" s="314"/>
      <c r="BH2217" s="314"/>
      <c r="BI2217" s="314"/>
      <c r="BJ2217" s="314"/>
      <c r="BK2217" s="40"/>
      <c r="BL2217" s="40"/>
      <c r="BM2217" s="40"/>
      <c r="BN2217" s="40"/>
      <c r="BO2217" s="40"/>
      <c r="BP2217" s="155"/>
      <c r="BQ2217" s="314"/>
      <c r="BR2217" s="314"/>
      <c r="BS2217" s="314"/>
      <c r="BT2217" s="314"/>
      <c r="BU2217" s="314"/>
      <c r="BV2217" s="314"/>
      <c r="BW2217" s="314"/>
      <c r="BX2217" s="155"/>
    </row>
    <row r="2218" spans="1:76" ht="15.75" customHeight="1">
      <c r="A2218" s="25"/>
      <c r="B2218" s="39"/>
      <c r="C2218" s="155"/>
      <c r="D2218" s="155"/>
      <c r="E2218" s="40"/>
      <c r="F2218" s="314"/>
      <c r="H2218" s="315"/>
      <c r="I2218" s="315"/>
      <c r="BA2218" s="30"/>
      <c r="BB2218" s="155"/>
      <c r="BC2218" s="314"/>
      <c r="BD2218" s="314"/>
      <c r="BE2218" s="314"/>
      <c r="BF2218" s="314"/>
      <c r="BG2218" s="314"/>
      <c r="BH2218" s="314"/>
      <c r="BI2218" s="314"/>
      <c r="BJ2218" s="314"/>
      <c r="BK2218" s="40"/>
      <c r="BL2218" s="40"/>
      <c r="BM2218" s="40"/>
      <c r="BN2218" s="40"/>
      <c r="BO2218" s="40"/>
      <c r="BP2218" s="155"/>
      <c r="BQ2218" s="314"/>
      <c r="BR2218" s="314"/>
      <c r="BS2218" s="314"/>
      <c r="BT2218" s="314"/>
      <c r="BU2218" s="314"/>
      <c r="BV2218" s="314"/>
      <c r="BW2218" s="314"/>
      <c r="BX2218" s="155"/>
    </row>
    <row r="2219" spans="1:76" ht="15.75" customHeight="1">
      <c r="A2219" s="25"/>
      <c r="B2219" s="39"/>
      <c r="C2219" s="155"/>
      <c r="D2219" s="155"/>
      <c r="E2219" s="40"/>
      <c r="F2219" s="314"/>
      <c r="H2219" s="315"/>
      <c r="I2219" s="315"/>
      <c r="BA2219" s="30"/>
      <c r="BB2219" s="155"/>
      <c r="BC2219" s="314"/>
      <c r="BD2219" s="314"/>
      <c r="BE2219" s="314"/>
      <c r="BF2219" s="314"/>
      <c r="BG2219" s="314"/>
      <c r="BH2219" s="314"/>
      <c r="BI2219" s="314"/>
      <c r="BJ2219" s="314"/>
      <c r="BK2219" s="40"/>
      <c r="BL2219" s="40"/>
      <c r="BM2219" s="40"/>
      <c r="BN2219" s="40"/>
      <c r="BO2219" s="40"/>
      <c r="BP2219" s="155"/>
      <c r="BQ2219" s="314"/>
      <c r="BR2219" s="314"/>
      <c r="BS2219" s="314"/>
      <c r="BT2219" s="314"/>
      <c r="BU2219" s="314"/>
      <c r="BV2219" s="314"/>
      <c r="BW2219" s="314"/>
      <c r="BX2219" s="155"/>
    </row>
    <row r="2220" spans="1:76" ht="15.75" customHeight="1">
      <c r="A2220" s="25"/>
      <c r="B2220" s="39"/>
      <c r="C2220" s="155"/>
      <c r="D2220" s="155"/>
      <c r="E2220" s="40"/>
      <c r="F2220" s="314"/>
      <c r="H2220" s="315"/>
      <c r="I2220" s="315"/>
      <c r="BA2220" s="30"/>
      <c r="BB2220" s="155"/>
      <c r="BC2220" s="314"/>
      <c r="BD2220" s="314"/>
      <c r="BE2220" s="314"/>
      <c r="BF2220" s="314"/>
      <c r="BG2220" s="314"/>
      <c r="BH2220" s="314"/>
      <c r="BI2220" s="314"/>
      <c r="BJ2220" s="314"/>
      <c r="BK2220" s="40"/>
      <c r="BL2220" s="40"/>
      <c r="BM2220" s="40"/>
      <c r="BN2220" s="40"/>
      <c r="BO2220" s="40"/>
      <c r="BP2220" s="155"/>
      <c r="BQ2220" s="314"/>
      <c r="BR2220" s="314"/>
      <c r="BS2220" s="314"/>
      <c r="BT2220" s="314"/>
      <c r="BU2220" s="314"/>
      <c r="BV2220" s="314"/>
      <c r="BW2220" s="314"/>
      <c r="BX2220" s="155"/>
    </row>
    <row r="2221" spans="1:76" ht="15.75" customHeight="1">
      <c r="A2221" s="25"/>
      <c r="B2221" s="39"/>
      <c r="C2221" s="155"/>
      <c r="D2221" s="155"/>
      <c r="E2221" s="40"/>
      <c r="F2221" s="314"/>
      <c r="H2221" s="315"/>
      <c r="I2221" s="315"/>
      <c r="BA2221" s="30"/>
      <c r="BB2221" s="155"/>
      <c r="BC2221" s="314"/>
      <c r="BD2221" s="314"/>
      <c r="BE2221" s="314"/>
      <c r="BF2221" s="314"/>
      <c r="BG2221" s="314"/>
      <c r="BH2221" s="314"/>
      <c r="BI2221" s="314"/>
      <c r="BJ2221" s="314"/>
      <c r="BK2221" s="40"/>
      <c r="BL2221" s="40"/>
      <c r="BM2221" s="40"/>
      <c r="BN2221" s="40"/>
      <c r="BO2221" s="40"/>
      <c r="BP2221" s="155"/>
      <c r="BQ2221" s="314"/>
      <c r="BR2221" s="314"/>
      <c r="BS2221" s="314"/>
      <c r="BT2221" s="314"/>
      <c r="BU2221" s="314"/>
      <c r="BV2221" s="314"/>
      <c r="BW2221" s="314"/>
      <c r="BX2221" s="155"/>
    </row>
    <row r="2222" spans="1:76" ht="15.75" customHeight="1">
      <c r="A2222" s="25"/>
      <c r="B2222" s="39"/>
      <c r="C2222" s="155"/>
      <c r="D2222" s="155"/>
      <c r="E2222" s="40"/>
      <c r="F2222" s="314"/>
      <c r="H2222" s="315"/>
      <c r="I2222" s="315"/>
      <c r="BA2222" s="30"/>
      <c r="BB2222" s="155"/>
      <c r="BC2222" s="314"/>
      <c r="BD2222" s="314"/>
      <c r="BE2222" s="314"/>
      <c r="BF2222" s="314"/>
      <c r="BG2222" s="314"/>
      <c r="BH2222" s="314"/>
      <c r="BI2222" s="314"/>
      <c r="BJ2222" s="314"/>
      <c r="BK2222" s="40"/>
      <c r="BL2222" s="40"/>
      <c r="BM2222" s="40"/>
      <c r="BN2222" s="40"/>
      <c r="BO2222" s="40"/>
      <c r="BP2222" s="155"/>
      <c r="BQ2222" s="314"/>
      <c r="BR2222" s="314"/>
      <c r="BS2222" s="314"/>
      <c r="BT2222" s="314"/>
      <c r="BU2222" s="314"/>
      <c r="BV2222" s="314"/>
      <c r="BW2222" s="314"/>
      <c r="BX2222" s="155"/>
    </row>
    <row r="2223" spans="1:76" ht="15.75" customHeight="1">
      <c r="A2223" s="25"/>
      <c r="B2223" s="39"/>
      <c r="C2223" s="155"/>
      <c r="D2223" s="155"/>
      <c r="E2223" s="40"/>
      <c r="F2223" s="314"/>
      <c r="H2223" s="315"/>
      <c r="I2223" s="315"/>
      <c r="BA2223" s="30"/>
      <c r="BB2223" s="155"/>
      <c r="BC2223" s="314"/>
      <c r="BD2223" s="314"/>
      <c r="BE2223" s="314"/>
      <c r="BF2223" s="314"/>
      <c r="BG2223" s="314"/>
      <c r="BH2223" s="314"/>
      <c r="BI2223" s="314"/>
      <c r="BJ2223" s="314"/>
      <c r="BK2223" s="40"/>
      <c r="BL2223" s="40"/>
      <c r="BM2223" s="40"/>
      <c r="BN2223" s="40"/>
      <c r="BO2223" s="40"/>
      <c r="BP2223" s="155"/>
      <c r="BQ2223" s="314"/>
      <c r="BR2223" s="314"/>
      <c r="BS2223" s="314"/>
      <c r="BT2223" s="314"/>
      <c r="BU2223" s="314"/>
      <c r="BV2223" s="314"/>
      <c r="BW2223" s="314"/>
      <c r="BX2223" s="155"/>
    </row>
    <row r="2224" spans="1:76" ht="15.75" customHeight="1">
      <c r="A2224" s="25"/>
      <c r="B2224" s="39"/>
      <c r="C2224" s="155"/>
      <c r="D2224" s="155"/>
      <c r="E2224" s="40"/>
      <c r="F2224" s="314"/>
      <c r="H2224" s="315"/>
      <c r="I2224" s="315"/>
      <c r="BA2224" s="30"/>
      <c r="BB2224" s="155"/>
      <c r="BC2224" s="314"/>
      <c r="BD2224" s="314"/>
      <c r="BE2224" s="314"/>
      <c r="BF2224" s="314"/>
      <c r="BG2224" s="314"/>
      <c r="BH2224" s="314"/>
      <c r="BI2224" s="314"/>
      <c r="BJ2224" s="314"/>
      <c r="BK2224" s="40"/>
      <c r="BL2224" s="40"/>
      <c r="BM2224" s="40"/>
      <c r="BN2224" s="40"/>
      <c r="BO2224" s="40"/>
      <c r="BP2224" s="155"/>
      <c r="BQ2224" s="314"/>
      <c r="BR2224" s="314"/>
      <c r="BS2224" s="314"/>
      <c r="BT2224" s="314"/>
      <c r="BU2224" s="314"/>
      <c r="BV2224" s="314"/>
      <c r="BW2224" s="314"/>
      <c r="BX2224" s="155"/>
    </row>
    <row r="2225" spans="1:76" ht="15.75" customHeight="1">
      <c r="A2225" s="25"/>
      <c r="B2225" s="39"/>
      <c r="C2225" s="155"/>
      <c r="D2225" s="155"/>
      <c r="E2225" s="40"/>
      <c r="F2225" s="314"/>
      <c r="H2225" s="315"/>
      <c r="I2225" s="315"/>
      <c r="BA2225" s="30"/>
      <c r="BB2225" s="155"/>
      <c r="BC2225" s="314"/>
      <c r="BD2225" s="314"/>
      <c r="BE2225" s="314"/>
      <c r="BF2225" s="314"/>
      <c r="BG2225" s="314"/>
      <c r="BH2225" s="314"/>
      <c r="BI2225" s="314"/>
      <c r="BJ2225" s="314"/>
      <c r="BK2225" s="40"/>
      <c r="BL2225" s="40"/>
      <c r="BM2225" s="40"/>
      <c r="BN2225" s="40"/>
      <c r="BO2225" s="40"/>
      <c r="BP2225" s="155"/>
      <c r="BQ2225" s="314"/>
      <c r="BR2225" s="314"/>
      <c r="BS2225" s="314"/>
      <c r="BT2225" s="314"/>
      <c r="BU2225" s="314"/>
      <c r="BV2225" s="314"/>
      <c r="BW2225" s="314"/>
      <c r="BX2225" s="155"/>
    </row>
    <row r="2226" spans="1:76" ht="15.75" customHeight="1">
      <c r="A2226" s="25"/>
      <c r="B2226" s="39"/>
      <c r="C2226" s="155"/>
      <c r="D2226" s="155"/>
      <c r="E2226" s="40"/>
      <c r="F2226" s="314"/>
      <c r="H2226" s="315"/>
      <c r="I2226" s="315"/>
      <c r="BA2226" s="30"/>
      <c r="BB2226" s="155"/>
      <c r="BC2226" s="314"/>
      <c r="BD2226" s="314"/>
      <c r="BE2226" s="314"/>
      <c r="BF2226" s="314"/>
      <c r="BG2226" s="314"/>
      <c r="BH2226" s="314"/>
      <c r="BI2226" s="314"/>
      <c r="BJ2226" s="314"/>
      <c r="BK2226" s="40"/>
      <c r="BL2226" s="40"/>
      <c r="BM2226" s="40"/>
      <c r="BN2226" s="40"/>
      <c r="BO2226" s="40"/>
      <c r="BP2226" s="155"/>
      <c r="BQ2226" s="314"/>
      <c r="BR2226" s="314"/>
      <c r="BS2226" s="314"/>
      <c r="BT2226" s="314"/>
      <c r="BU2226" s="314"/>
      <c r="BV2226" s="314"/>
      <c r="BW2226" s="314"/>
      <c r="BX2226" s="155"/>
    </row>
    <row r="2227" spans="1:76" ht="15.75" customHeight="1">
      <c r="A2227" s="25"/>
      <c r="B2227" s="39"/>
      <c r="C2227" s="155"/>
      <c r="D2227" s="155"/>
      <c r="E2227" s="40"/>
      <c r="F2227" s="314"/>
      <c r="H2227" s="315"/>
      <c r="I2227" s="315"/>
      <c r="BA2227" s="30"/>
      <c r="BB2227" s="155"/>
      <c r="BC2227" s="314"/>
      <c r="BD2227" s="314"/>
      <c r="BE2227" s="314"/>
      <c r="BF2227" s="314"/>
      <c r="BG2227" s="314"/>
      <c r="BH2227" s="314"/>
      <c r="BI2227" s="314"/>
      <c r="BJ2227" s="314"/>
      <c r="BK2227" s="40"/>
      <c r="BL2227" s="40"/>
      <c r="BM2227" s="40"/>
      <c r="BN2227" s="40"/>
      <c r="BO2227" s="40"/>
      <c r="BP2227" s="155"/>
      <c r="BQ2227" s="314"/>
      <c r="BR2227" s="314"/>
      <c r="BS2227" s="314"/>
      <c r="BT2227" s="314"/>
      <c r="BU2227" s="314"/>
      <c r="BV2227" s="314"/>
      <c r="BW2227" s="314"/>
      <c r="BX2227" s="155"/>
    </row>
    <row r="2228" spans="1:76" ht="15.75" customHeight="1">
      <c r="A2228" s="25"/>
      <c r="B2228" s="39"/>
      <c r="C2228" s="155"/>
      <c r="D2228" s="155"/>
      <c r="E2228" s="40"/>
      <c r="F2228" s="314"/>
      <c r="H2228" s="315"/>
      <c r="I2228" s="315"/>
      <c r="BA2228" s="30"/>
      <c r="BB2228" s="155"/>
      <c r="BC2228" s="314"/>
      <c r="BD2228" s="314"/>
      <c r="BE2228" s="314"/>
      <c r="BF2228" s="314"/>
      <c r="BG2228" s="314"/>
      <c r="BH2228" s="314"/>
      <c r="BI2228" s="314"/>
      <c r="BJ2228" s="314"/>
      <c r="BK2228" s="40"/>
      <c r="BL2228" s="40"/>
      <c r="BM2228" s="40"/>
      <c r="BN2228" s="40"/>
      <c r="BO2228" s="40"/>
      <c r="BP2228" s="155"/>
      <c r="BQ2228" s="314"/>
      <c r="BR2228" s="314"/>
      <c r="BS2228" s="314"/>
      <c r="BT2228" s="314"/>
      <c r="BU2228" s="314"/>
      <c r="BV2228" s="314"/>
      <c r="BW2228" s="314"/>
      <c r="BX2228" s="155"/>
    </row>
    <row r="2229" spans="1:76" ht="15.75" customHeight="1">
      <c r="A2229" s="25"/>
      <c r="B2229" s="39"/>
      <c r="C2229" s="155"/>
      <c r="D2229" s="155"/>
      <c r="E2229" s="40"/>
      <c r="F2229" s="314"/>
      <c r="H2229" s="315"/>
      <c r="I2229" s="315"/>
      <c r="BA2229" s="30"/>
      <c r="BB2229" s="155"/>
      <c r="BC2229" s="314"/>
      <c r="BD2229" s="314"/>
      <c r="BE2229" s="314"/>
      <c r="BF2229" s="314"/>
      <c r="BG2229" s="314"/>
      <c r="BH2229" s="314"/>
      <c r="BI2229" s="314"/>
      <c r="BJ2229" s="314"/>
      <c r="BK2229" s="40"/>
      <c r="BL2229" s="40"/>
      <c r="BM2229" s="40"/>
      <c r="BN2229" s="40"/>
      <c r="BO2229" s="40"/>
      <c r="BP2229" s="155"/>
      <c r="BQ2229" s="314"/>
      <c r="BR2229" s="314"/>
      <c r="BS2229" s="314"/>
      <c r="BT2229" s="314"/>
      <c r="BU2229" s="314"/>
      <c r="BV2229" s="314"/>
      <c r="BW2229" s="314"/>
      <c r="BX2229" s="155"/>
    </row>
    <row r="2230" spans="1:76" ht="15.75" customHeight="1">
      <c r="A2230" s="25"/>
      <c r="B2230" s="39"/>
      <c r="C2230" s="155"/>
      <c r="D2230" s="155"/>
      <c r="E2230" s="40"/>
      <c r="F2230" s="314"/>
      <c r="H2230" s="315"/>
      <c r="I2230" s="315"/>
      <c r="BA2230" s="30"/>
      <c r="BB2230" s="155"/>
      <c r="BC2230" s="314"/>
      <c r="BD2230" s="314"/>
      <c r="BE2230" s="314"/>
      <c r="BF2230" s="314"/>
      <c r="BG2230" s="314"/>
      <c r="BH2230" s="314"/>
      <c r="BI2230" s="314"/>
      <c r="BJ2230" s="314"/>
      <c r="BK2230" s="40"/>
      <c r="BL2230" s="40"/>
      <c r="BM2230" s="40"/>
      <c r="BN2230" s="40"/>
      <c r="BO2230" s="40"/>
      <c r="BP2230" s="155"/>
      <c r="BQ2230" s="314"/>
      <c r="BR2230" s="314"/>
      <c r="BS2230" s="314"/>
      <c r="BT2230" s="314"/>
      <c r="BU2230" s="314"/>
      <c r="BV2230" s="314"/>
      <c r="BW2230" s="314"/>
      <c r="BX2230" s="155"/>
    </row>
    <row r="2231" spans="1:76" ht="15.75" customHeight="1">
      <c r="A2231" s="25"/>
      <c r="B2231" s="39"/>
      <c r="C2231" s="155"/>
      <c r="D2231" s="155"/>
      <c r="E2231" s="40"/>
      <c r="F2231" s="314"/>
      <c r="H2231" s="315"/>
      <c r="I2231" s="315"/>
      <c r="BA2231" s="30"/>
      <c r="BB2231" s="155"/>
      <c r="BC2231" s="314"/>
      <c r="BD2231" s="314"/>
      <c r="BE2231" s="314"/>
      <c r="BF2231" s="314"/>
      <c r="BG2231" s="314"/>
      <c r="BH2231" s="314"/>
      <c r="BI2231" s="314"/>
      <c r="BJ2231" s="314"/>
      <c r="BK2231" s="40"/>
      <c r="BL2231" s="40"/>
      <c r="BM2231" s="40"/>
      <c r="BN2231" s="40"/>
      <c r="BO2231" s="40"/>
      <c r="BP2231" s="155"/>
      <c r="BQ2231" s="314"/>
      <c r="BR2231" s="314"/>
      <c r="BS2231" s="314"/>
      <c r="BT2231" s="314"/>
      <c r="BU2231" s="314"/>
      <c r="BV2231" s="314"/>
      <c r="BW2231" s="314"/>
      <c r="BX2231" s="155"/>
    </row>
    <row r="2232" spans="1:76" ht="15.75" customHeight="1">
      <c r="A2232" s="25"/>
      <c r="B2232" s="39"/>
      <c r="C2232" s="155"/>
      <c r="D2232" s="155"/>
      <c r="E2232" s="40"/>
      <c r="F2232" s="314"/>
      <c r="H2232" s="315"/>
      <c r="I2232" s="315"/>
      <c r="BA2232" s="30"/>
      <c r="BB2232" s="155"/>
      <c r="BC2232" s="314"/>
      <c r="BD2232" s="314"/>
      <c r="BE2232" s="314"/>
      <c r="BF2232" s="314"/>
      <c r="BG2232" s="314"/>
      <c r="BH2232" s="314"/>
      <c r="BI2232" s="314"/>
      <c r="BJ2232" s="314"/>
      <c r="BK2232" s="40"/>
      <c r="BL2232" s="40"/>
      <c r="BM2232" s="40"/>
      <c r="BN2232" s="40"/>
      <c r="BO2232" s="40"/>
      <c r="BP2232" s="155"/>
      <c r="BQ2232" s="314"/>
      <c r="BR2232" s="314"/>
      <c r="BS2232" s="314"/>
      <c r="BT2232" s="314"/>
      <c r="BU2232" s="314"/>
      <c r="BV2232" s="314"/>
      <c r="BW2232" s="314"/>
      <c r="BX2232" s="155"/>
    </row>
    <row r="2233" spans="1:76" ht="15.75" customHeight="1">
      <c r="A2233" s="25"/>
      <c r="B2233" s="39"/>
      <c r="C2233" s="155"/>
      <c r="D2233" s="155"/>
      <c r="E2233" s="40"/>
      <c r="F2233" s="314"/>
      <c r="H2233" s="315"/>
      <c r="I2233" s="315"/>
      <c r="BA2233" s="30"/>
      <c r="BB2233" s="155"/>
      <c r="BC2233" s="314"/>
      <c r="BD2233" s="314"/>
      <c r="BE2233" s="314"/>
      <c r="BF2233" s="314"/>
      <c r="BG2233" s="314"/>
      <c r="BH2233" s="314"/>
      <c r="BI2233" s="314"/>
      <c r="BJ2233" s="314"/>
      <c r="BK2233" s="40"/>
      <c r="BL2233" s="40"/>
      <c r="BM2233" s="40"/>
      <c r="BN2233" s="40"/>
      <c r="BO2233" s="40"/>
      <c r="BP2233" s="155"/>
      <c r="BQ2233" s="314"/>
      <c r="BR2233" s="314"/>
      <c r="BS2233" s="314"/>
      <c r="BT2233" s="314"/>
      <c r="BU2233" s="314"/>
      <c r="BV2233" s="314"/>
      <c r="BW2233" s="314"/>
      <c r="BX2233" s="155"/>
    </row>
    <row r="2234" spans="1:76" ht="15.75" customHeight="1">
      <c r="A2234" s="25"/>
      <c r="B2234" s="39"/>
      <c r="C2234" s="155"/>
      <c r="D2234" s="155"/>
      <c r="E2234" s="40"/>
      <c r="F2234" s="314"/>
      <c r="H2234" s="315"/>
      <c r="I2234" s="315"/>
      <c r="BA2234" s="30"/>
      <c r="BB2234" s="155"/>
      <c r="BC2234" s="314"/>
      <c r="BD2234" s="314"/>
      <c r="BE2234" s="314"/>
      <c r="BF2234" s="314"/>
      <c r="BG2234" s="314"/>
      <c r="BH2234" s="314"/>
      <c r="BI2234" s="314"/>
      <c r="BJ2234" s="314"/>
      <c r="BK2234" s="40"/>
      <c r="BL2234" s="40"/>
      <c r="BM2234" s="40"/>
      <c r="BN2234" s="40"/>
      <c r="BO2234" s="40"/>
      <c r="BP2234" s="155"/>
      <c r="BQ2234" s="314"/>
      <c r="BR2234" s="314"/>
      <c r="BS2234" s="314"/>
      <c r="BT2234" s="314"/>
      <c r="BU2234" s="314"/>
      <c r="BV2234" s="314"/>
      <c r="BW2234" s="314"/>
      <c r="BX2234" s="155"/>
    </row>
    <row r="2235" spans="1:76" ht="15.75" customHeight="1">
      <c r="A2235" s="25"/>
      <c r="B2235" s="39"/>
      <c r="C2235" s="155"/>
      <c r="D2235" s="155"/>
      <c r="E2235" s="40"/>
      <c r="F2235" s="314"/>
      <c r="H2235" s="315"/>
      <c r="I2235" s="315"/>
      <c r="BA2235" s="30"/>
      <c r="BB2235" s="155"/>
      <c r="BC2235" s="314"/>
      <c r="BD2235" s="314"/>
      <c r="BE2235" s="314"/>
      <c r="BF2235" s="314"/>
      <c r="BG2235" s="314"/>
      <c r="BH2235" s="314"/>
      <c r="BI2235" s="314"/>
      <c r="BJ2235" s="314"/>
      <c r="BK2235" s="40"/>
      <c r="BL2235" s="40"/>
      <c r="BM2235" s="40"/>
      <c r="BN2235" s="40"/>
      <c r="BO2235" s="40"/>
      <c r="BP2235" s="155"/>
      <c r="BQ2235" s="314"/>
      <c r="BR2235" s="314"/>
      <c r="BS2235" s="314"/>
      <c r="BT2235" s="314"/>
      <c r="BU2235" s="314"/>
      <c r="BV2235" s="314"/>
      <c r="BW2235" s="314"/>
      <c r="BX2235" s="155"/>
    </row>
    <row r="2236" spans="1:76" ht="15.75" customHeight="1">
      <c r="A2236" s="25"/>
      <c r="B2236" s="39"/>
      <c r="C2236" s="155"/>
      <c r="D2236" s="155"/>
      <c r="E2236" s="40"/>
      <c r="F2236" s="314"/>
      <c r="H2236" s="315"/>
      <c r="I2236" s="315"/>
      <c r="BA2236" s="30"/>
      <c r="BB2236" s="155"/>
      <c r="BC2236" s="314"/>
      <c r="BD2236" s="314"/>
      <c r="BE2236" s="314"/>
      <c r="BF2236" s="314"/>
      <c r="BG2236" s="314"/>
      <c r="BH2236" s="314"/>
      <c r="BI2236" s="314"/>
      <c r="BJ2236" s="314"/>
      <c r="BK2236" s="40"/>
      <c r="BL2236" s="40"/>
      <c r="BM2236" s="40"/>
      <c r="BN2236" s="40"/>
      <c r="BO2236" s="40"/>
      <c r="BP2236" s="155"/>
      <c r="BQ2236" s="314"/>
      <c r="BR2236" s="314"/>
      <c r="BS2236" s="314"/>
      <c r="BT2236" s="314"/>
      <c r="BU2236" s="314"/>
      <c r="BV2236" s="314"/>
      <c r="BW2236" s="314"/>
      <c r="BX2236" s="155"/>
    </row>
    <row r="2237" spans="1:76" ht="15.75" customHeight="1">
      <c r="A2237" s="25"/>
      <c r="B2237" s="39"/>
      <c r="C2237" s="155"/>
      <c r="D2237" s="155"/>
      <c r="E2237" s="40"/>
      <c r="F2237" s="314"/>
      <c r="H2237" s="315"/>
      <c r="I2237" s="315"/>
      <c r="BA2237" s="30"/>
      <c r="BB2237" s="155"/>
      <c r="BC2237" s="314"/>
      <c r="BD2237" s="314"/>
      <c r="BE2237" s="314"/>
      <c r="BF2237" s="314"/>
      <c r="BG2237" s="314"/>
      <c r="BH2237" s="314"/>
      <c r="BI2237" s="314"/>
      <c r="BJ2237" s="314"/>
      <c r="BK2237" s="40"/>
      <c r="BL2237" s="40"/>
      <c r="BM2237" s="40"/>
      <c r="BN2237" s="40"/>
      <c r="BO2237" s="40"/>
      <c r="BP2237" s="155"/>
      <c r="BQ2237" s="314"/>
      <c r="BR2237" s="314"/>
      <c r="BS2237" s="314"/>
      <c r="BT2237" s="314"/>
      <c r="BU2237" s="314"/>
      <c r="BV2237" s="314"/>
      <c r="BW2237" s="314"/>
      <c r="BX2237" s="155"/>
    </row>
    <row r="2238" spans="1:76" ht="15.75" customHeight="1">
      <c r="A2238" s="25"/>
      <c r="B2238" s="39"/>
      <c r="C2238" s="155"/>
      <c r="D2238" s="155"/>
      <c r="E2238" s="40"/>
      <c r="F2238" s="314"/>
      <c r="H2238" s="315"/>
      <c r="I2238" s="315"/>
      <c r="BA2238" s="30"/>
      <c r="BB2238" s="155"/>
      <c r="BC2238" s="314"/>
      <c r="BD2238" s="314"/>
      <c r="BE2238" s="314"/>
      <c r="BF2238" s="314"/>
      <c r="BG2238" s="314"/>
      <c r="BH2238" s="314"/>
      <c r="BI2238" s="314"/>
      <c r="BJ2238" s="314"/>
      <c r="BK2238" s="40"/>
      <c r="BL2238" s="40"/>
      <c r="BM2238" s="40"/>
      <c r="BN2238" s="40"/>
      <c r="BO2238" s="40"/>
      <c r="BP2238" s="155"/>
      <c r="BQ2238" s="314"/>
      <c r="BR2238" s="314"/>
      <c r="BS2238" s="314"/>
      <c r="BT2238" s="314"/>
      <c r="BU2238" s="314"/>
      <c r="BV2238" s="314"/>
      <c r="BW2238" s="314"/>
      <c r="BX2238" s="155"/>
    </row>
    <row r="2239" spans="1:76" ht="15.75" customHeight="1">
      <c r="A2239" s="25"/>
      <c r="B2239" s="39"/>
      <c r="C2239" s="155"/>
      <c r="D2239" s="155"/>
      <c r="E2239" s="40"/>
      <c r="F2239" s="314"/>
      <c r="H2239" s="315"/>
      <c r="I2239" s="315"/>
      <c r="BA2239" s="30"/>
      <c r="BB2239" s="155"/>
      <c r="BC2239" s="314"/>
      <c r="BD2239" s="314"/>
      <c r="BE2239" s="314"/>
      <c r="BF2239" s="314"/>
      <c r="BG2239" s="314"/>
      <c r="BH2239" s="314"/>
      <c r="BI2239" s="314"/>
      <c r="BJ2239" s="314"/>
      <c r="BK2239" s="40"/>
      <c r="BL2239" s="40"/>
      <c r="BM2239" s="40"/>
      <c r="BN2239" s="40"/>
      <c r="BO2239" s="40"/>
      <c r="BP2239" s="155"/>
      <c r="BQ2239" s="314"/>
      <c r="BR2239" s="314"/>
      <c r="BS2239" s="314"/>
      <c r="BT2239" s="314"/>
      <c r="BU2239" s="314"/>
      <c r="BV2239" s="314"/>
      <c r="BW2239" s="314"/>
      <c r="BX2239" s="155"/>
    </row>
    <row r="2240" spans="1:76" ht="15.75" customHeight="1">
      <c r="A2240" s="25"/>
      <c r="B2240" s="39"/>
      <c r="C2240" s="155"/>
      <c r="D2240" s="155"/>
      <c r="E2240" s="40"/>
      <c r="F2240" s="314"/>
      <c r="H2240" s="315"/>
      <c r="I2240" s="315"/>
      <c r="BA2240" s="30"/>
      <c r="BB2240" s="155"/>
      <c r="BC2240" s="322"/>
      <c r="BD2240" s="322"/>
      <c r="BE2240" s="322"/>
      <c r="BF2240" s="322"/>
      <c r="BG2240" s="322"/>
      <c r="BH2240" s="322"/>
      <c r="BI2240" s="322"/>
      <c r="BJ2240" s="322"/>
      <c r="BK2240" s="341"/>
      <c r="BL2240" s="40"/>
      <c r="BM2240" s="40"/>
      <c r="BN2240" s="40"/>
      <c r="BO2240" s="40"/>
      <c r="BP2240" s="155"/>
      <c r="BQ2240" s="314"/>
      <c r="BR2240" s="314"/>
      <c r="BS2240" s="314"/>
      <c r="BT2240" s="314"/>
      <c r="BU2240" s="314"/>
      <c r="BV2240" s="314"/>
      <c r="BW2240" s="314"/>
      <c r="BX2240" s="155"/>
    </row>
    <row r="2241" spans="1:76" ht="15.75" customHeight="1">
      <c r="A2241" s="25"/>
      <c r="B2241" s="39"/>
      <c r="C2241" s="155"/>
      <c r="D2241" s="155"/>
      <c r="E2241" s="40"/>
      <c r="F2241" s="314"/>
      <c r="H2241" s="315"/>
      <c r="I2241" s="315"/>
      <c r="BA2241" s="30"/>
      <c r="BB2241" s="155"/>
      <c r="BC2241" s="314"/>
      <c r="BD2241" s="314"/>
      <c r="BE2241" s="314"/>
      <c r="BF2241" s="314"/>
      <c r="BG2241" s="314"/>
      <c r="BH2241" s="314"/>
      <c r="BI2241" s="314"/>
      <c r="BJ2241" s="314"/>
      <c r="BK2241" s="40"/>
      <c r="BL2241" s="40"/>
      <c r="BM2241" s="40"/>
      <c r="BN2241" s="40"/>
      <c r="BO2241" s="40"/>
      <c r="BP2241" s="155"/>
      <c r="BQ2241" s="314"/>
      <c r="BR2241" s="314"/>
      <c r="BS2241" s="314"/>
      <c r="BT2241" s="314"/>
      <c r="BU2241" s="314"/>
      <c r="BV2241" s="314"/>
      <c r="BW2241" s="314"/>
      <c r="BX2241" s="155"/>
    </row>
    <row r="2242" spans="1:76" ht="15.75" customHeight="1">
      <c r="A2242" s="25"/>
      <c r="B2242" s="39"/>
      <c r="C2242" s="155"/>
      <c r="D2242" s="155"/>
      <c r="E2242" s="40"/>
      <c r="F2242" s="314"/>
      <c r="H2242" s="315"/>
      <c r="I2242" s="315"/>
      <c r="BA2242" s="30"/>
      <c r="BB2242" s="155"/>
      <c r="BC2242" s="314"/>
      <c r="BD2242" s="314"/>
      <c r="BE2242" s="314"/>
      <c r="BF2242" s="314"/>
      <c r="BG2242" s="314"/>
      <c r="BH2242" s="314"/>
      <c r="BI2242" s="314"/>
      <c r="BJ2242" s="314"/>
      <c r="BK2242" s="40"/>
      <c r="BL2242" s="40"/>
      <c r="BM2242" s="40"/>
      <c r="BN2242" s="40"/>
      <c r="BO2242" s="40"/>
      <c r="BP2242" s="155"/>
      <c r="BQ2242" s="314"/>
      <c r="BR2242" s="314"/>
      <c r="BS2242" s="314"/>
      <c r="BT2242" s="314"/>
      <c r="BU2242" s="314"/>
      <c r="BV2242" s="314"/>
      <c r="BW2242" s="314"/>
      <c r="BX2242" s="155"/>
    </row>
    <row r="2243" spans="1:76" ht="15.75" customHeight="1">
      <c r="A2243" s="25"/>
      <c r="B2243" s="39"/>
      <c r="C2243" s="155"/>
      <c r="D2243" s="155"/>
      <c r="E2243" s="40"/>
      <c r="F2243" s="314"/>
      <c r="H2243" s="315"/>
      <c r="I2243" s="315"/>
      <c r="BA2243" s="30"/>
      <c r="BB2243" s="155"/>
      <c r="BC2243" s="314"/>
      <c r="BD2243" s="314"/>
      <c r="BE2243" s="314"/>
      <c r="BF2243" s="314"/>
      <c r="BG2243" s="314"/>
      <c r="BH2243" s="314"/>
      <c r="BI2243" s="314"/>
      <c r="BJ2243" s="314"/>
      <c r="BK2243" s="40"/>
      <c r="BL2243" s="40"/>
      <c r="BM2243" s="40"/>
      <c r="BN2243" s="40"/>
      <c r="BO2243" s="40"/>
      <c r="BP2243" s="155"/>
      <c r="BQ2243" s="314"/>
      <c r="BR2243" s="314"/>
      <c r="BS2243" s="314"/>
      <c r="BT2243" s="314"/>
      <c r="BU2243" s="314"/>
      <c r="BV2243" s="314"/>
      <c r="BW2243" s="314"/>
      <c r="BX2243" s="155"/>
    </row>
    <row r="2244" spans="1:76" ht="15.75" customHeight="1">
      <c r="A2244" s="25"/>
      <c r="B2244" s="39"/>
      <c r="C2244" s="155"/>
      <c r="D2244" s="155"/>
      <c r="E2244" s="40"/>
      <c r="F2244" s="314"/>
      <c r="H2244" s="315"/>
      <c r="I2244" s="315"/>
      <c r="BA2244" s="30"/>
      <c r="BB2244" s="155"/>
      <c r="BC2244" s="314"/>
      <c r="BD2244" s="314"/>
      <c r="BE2244" s="314"/>
      <c r="BF2244" s="314"/>
      <c r="BG2244" s="314"/>
      <c r="BH2244" s="314"/>
      <c r="BI2244" s="314"/>
      <c r="BJ2244" s="314"/>
      <c r="BK2244" s="40"/>
      <c r="BL2244" s="40"/>
      <c r="BM2244" s="40"/>
      <c r="BN2244" s="40"/>
      <c r="BO2244" s="40"/>
      <c r="BP2244" s="155"/>
      <c r="BQ2244" s="314"/>
      <c r="BR2244" s="314"/>
      <c r="BS2244" s="314"/>
      <c r="BT2244" s="314"/>
      <c r="BU2244" s="314"/>
      <c r="BV2244" s="314"/>
      <c r="BW2244" s="314"/>
      <c r="BX2244" s="155"/>
    </row>
    <row r="2245" spans="1:76" ht="15.75" customHeight="1">
      <c r="A2245" s="25"/>
      <c r="B2245" s="39"/>
      <c r="C2245" s="155"/>
      <c r="D2245" s="155"/>
      <c r="E2245" s="40"/>
      <c r="F2245" s="314"/>
      <c r="H2245" s="315"/>
      <c r="I2245" s="315"/>
      <c r="BA2245" s="30"/>
      <c r="BB2245" s="155"/>
      <c r="BC2245" s="314"/>
      <c r="BD2245" s="314"/>
      <c r="BE2245" s="314"/>
      <c r="BF2245" s="314"/>
      <c r="BG2245" s="314"/>
      <c r="BH2245" s="314"/>
      <c r="BI2245" s="314"/>
      <c r="BJ2245" s="314"/>
      <c r="BK2245" s="40"/>
      <c r="BL2245" s="40"/>
      <c r="BM2245" s="40"/>
      <c r="BN2245" s="40"/>
      <c r="BO2245" s="40"/>
      <c r="BP2245" s="155"/>
      <c r="BQ2245" s="314"/>
      <c r="BR2245" s="314"/>
      <c r="BS2245" s="314"/>
      <c r="BT2245" s="314"/>
      <c r="BU2245" s="314"/>
      <c r="BV2245" s="314"/>
      <c r="BW2245" s="314"/>
      <c r="BX2245" s="155"/>
    </row>
    <row r="2246" spans="1:76" ht="15.75" customHeight="1">
      <c r="A2246" s="25"/>
      <c r="B2246" s="39"/>
      <c r="C2246" s="155"/>
      <c r="D2246" s="155"/>
      <c r="E2246" s="40"/>
      <c r="F2246" s="314"/>
      <c r="H2246" s="315"/>
      <c r="I2246" s="315"/>
      <c r="BA2246" s="30"/>
      <c r="BB2246" s="155"/>
      <c r="BC2246" s="314"/>
      <c r="BD2246" s="314"/>
      <c r="BE2246" s="314"/>
      <c r="BF2246" s="314"/>
      <c r="BG2246" s="314"/>
      <c r="BH2246" s="314"/>
      <c r="BI2246" s="314"/>
      <c r="BJ2246" s="314"/>
      <c r="BK2246" s="40"/>
      <c r="BL2246" s="40"/>
      <c r="BM2246" s="40"/>
      <c r="BN2246" s="40"/>
      <c r="BO2246" s="40"/>
      <c r="BP2246" s="155"/>
      <c r="BQ2246" s="314"/>
      <c r="BR2246" s="314"/>
      <c r="BS2246" s="314"/>
      <c r="BT2246" s="314"/>
      <c r="BU2246" s="314"/>
      <c r="BV2246" s="314"/>
      <c r="BW2246" s="314"/>
      <c r="BX2246" s="155"/>
    </row>
    <row r="2247" spans="1:76" ht="15.75" customHeight="1">
      <c r="A2247" s="25"/>
      <c r="B2247" s="39"/>
      <c r="C2247" s="155"/>
      <c r="D2247" s="155"/>
      <c r="E2247" s="40"/>
      <c r="F2247" s="314"/>
      <c r="H2247" s="315"/>
      <c r="I2247" s="315"/>
      <c r="BA2247" s="30"/>
      <c r="BB2247" s="155"/>
      <c r="BC2247" s="314"/>
      <c r="BD2247" s="314"/>
      <c r="BE2247" s="314"/>
      <c r="BF2247" s="314"/>
      <c r="BG2247" s="314"/>
      <c r="BH2247" s="314"/>
      <c r="BI2247" s="314"/>
      <c r="BJ2247" s="314"/>
      <c r="BK2247" s="40"/>
      <c r="BL2247" s="40"/>
      <c r="BM2247" s="40"/>
      <c r="BN2247" s="40"/>
      <c r="BO2247" s="40"/>
      <c r="BP2247" s="155"/>
      <c r="BQ2247" s="314"/>
      <c r="BR2247" s="314"/>
      <c r="BS2247" s="314"/>
      <c r="BT2247" s="314"/>
      <c r="BU2247" s="314"/>
      <c r="BV2247" s="314"/>
      <c r="BW2247" s="314"/>
      <c r="BX2247" s="155"/>
    </row>
    <row r="2248" spans="1:76" ht="15.75" customHeight="1">
      <c r="A2248" s="25"/>
      <c r="B2248" s="39"/>
      <c r="C2248" s="155"/>
      <c r="D2248" s="155"/>
      <c r="E2248" s="40"/>
      <c r="F2248" s="314"/>
      <c r="H2248" s="315"/>
      <c r="I2248" s="315"/>
      <c r="BA2248" s="30"/>
      <c r="BB2248" s="155"/>
      <c r="BC2248" s="314"/>
      <c r="BD2248" s="314"/>
      <c r="BE2248" s="314"/>
      <c r="BF2248" s="314"/>
      <c r="BG2248" s="314"/>
      <c r="BH2248" s="314"/>
      <c r="BI2248" s="314"/>
      <c r="BJ2248" s="314"/>
      <c r="BK2248" s="40"/>
      <c r="BL2248" s="40"/>
      <c r="BM2248" s="40"/>
      <c r="BN2248" s="40"/>
      <c r="BO2248" s="40"/>
      <c r="BP2248" s="155"/>
      <c r="BQ2248" s="314"/>
      <c r="BR2248" s="314"/>
      <c r="BS2248" s="314"/>
      <c r="BT2248" s="314"/>
      <c r="BU2248" s="314"/>
      <c r="BV2248" s="314"/>
      <c r="BW2248" s="314"/>
      <c r="BX2248" s="155"/>
    </row>
    <row r="2249" spans="1:76" ht="15.75" customHeight="1">
      <c r="A2249" s="25"/>
      <c r="B2249" s="39"/>
      <c r="C2249" s="155"/>
      <c r="D2249" s="155"/>
      <c r="E2249" s="40"/>
      <c r="F2249" s="314"/>
      <c r="H2249" s="315"/>
      <c r="I2249" s="315"/>
      <c r="BA2249" s="30"/>
      <c r="BB2249" s="155"/>
      <c r="BC2249" s="314"/>
      <c r="BD2249" s="314"/>
      <c r="BE2249" s="314"/>
      <c r="BF2249" s="314"/>
      <c r="BG2249" s="314"/>
      <c r="BH2249" s="314"/>
      <c r="BI2249" s="314"/>
      <c r="BJ2249" s="314"/>
      <c r="BK2249" s="40"/>
      <c r="BL2249" s="40"/>
      <c r="BM2249" s="40"/>
      <c r="BN2249" s="40"/>
      <c r="BO2249" s="40"/>
      <c r="BP2249" s="155"/>
      <c r="BQ2249" s="314"/>
      <c r="BR2249" s="314"/>
      <c r="BS2249" s="314"/>
      <c r="BT2249" s="314"/>
      <c r="BU2249" s="314"/>
      <c r="BV2249" s="314"/>
      <c r="BW2249" s="314"/>
      <c r="BX2249" s="155"/>
    </row>
    <row r="2250" spans="1:76" ht="15.75" customHeight="1">
      <c r="A2250" s="25"/>
      <c r="B2250" s="39"/>
      <c r="C2250" s="155"/>
      <c r="D2250" s="155"/>
      <c r="E2250" s="40"/>
      <c r="F2250" s="314"/>
      <c r="H2250" s="315"/>
      <c r="I2250" s="315"/>
      <c r="BA2250" s="30"/>
      <c r="BB2250" s="155"/>
      <c r="BC2250" s="314"/>
      <c r="BD2250" s="314"/>
      <c r="BE2250" s="314"/>
      <c r="BF2250" s="314"/>
      <c r="BG2250" s="314"/>
      <c r="BH2250" s="314"/>
      <c r="BI2250" s="314"/>
      <c r="BJ2250" s="314"/>
      <c r="BK2250" s="40"/>
      <c r="BL2250" s="40"/>
      <c r="BM2250" s="40"/>
      <c r="BN2250" s="40"/>
      <c r="BO2250" s="40"/>
      <c r="BP2250" s="155"/>
      <c r="BQ2250" s="314"/>
      <c r="BR2250" s="314"/>
      <c r="BS2250" s="314"/>
      <c r="BT2250" s="314"/>
      <c r="BU2250" s="314"/>
      <c r="BV2250" s="314"/>
      <c r="BW2250" s="314"/>
      <c r="BX2250" s="155"/>
    </row>
    <row r="2251" spans="1:76" ht="15.75" customHeight="1">
      <c r="A2251" s="25"/>
      <c r="B2251" s="39"/>
      <c r="C2251" s="155"/>
      <c r="D2251" s="155"/>
      <c r="E2251" s="40"/>
      <c r="F2251" s="314"/>
      <c r="H2251" s="315"/>
      <c r="I2251" s="315"/>
      <c r="BA2251" s="30"/>
      <c r="BB2251" s="155"/>
      <c r="BC2251" s="314"/>
      <c r="BD2251" s="314"/>
      <c r="BE2251" s="314"/>
      <c r="BF2251" s="314"/>
      <c r="BG2251" s="314"/>
      <c r="BH2251" s="314"/>
      <c r="BI2251" s="314"/>
      <c r="BJ2251" s="314"/>
      <c r="BK2251" s="40"/>
      <c r="BL2251" s="40"/>
      <c r="BM2251" s="40"/>
      <c r="BN2251" s="40"/>
      <c r="BO2251" s="40"/>
      <c r="BP2251" s="155"/>
      <c r="BQ2251" s="314"/>
      <c r="BR2251" s="314"/>
      <c r="BS2251" s="314"/>
      <c r="BT2251" s="314"/>
      <c r="BU2251" s="314"/>
      <c r="BV2251" s="314"/>
      <c r="BW2251" s="314"/>
      <c r="BX2251" s="155"/>
    </row>
    <row r="2252" spans="1:76" ht="15.75" customHeight="1">
      <c r="A2252" s="25"/>
      <c r="B2252" s="39"/>
      <c r="C2252" s="155"/>
      <c r="D2252" s="155"/>
      <c r="E2252" s="40"/>
      <c r="F2252" s="314"/>
      <c r="H2252" s="315"/>
      <c r="I2252" s="315"/>
      <c r="BA2252" s="30"/>
      <c r="BB2252" s="155"/>
      <c r="BC2252" s="314"/>
      <c r="BD2252" s="314"/>
      <c r="BE2252" s="314"/>
      <c r="BF2252" s="314"/>
      <c r="BG2252" s="314"/>
      <c r="BH2252" s="314"/>
      <c r="BI2252" s="314"/>
      <c r="BJ2252" s="314"/>
      <c r="BK2252" s="40"/>
      <c r="BL2252" s="40"/>
      <c r="BM2252" s="40"/>
      <c r="BN2252" s="40"/>
      <c r="BO2252" s="40"/>
      <c r="BP2252" s="155"/>
      <c r="BQ2252" s="314"/>
      <c r="BR2252" s="314"/>
      <c r="BS2252" s="314"/>
      <c r="BT2252" s="314"/>
      <c r="BU2252" s="314"/>
      <c r="BV2252" s="314"/>
      <c r="BW2252" s="314"/>
      <c r="BX2252" s="155"/>
    </row>
    <row r="2253" spans="1:76" ht="15.75" customHeight="1">
      <c r="A2253" s="25"/>
      <c r="B2253" s="39"/>
      <c r="C2253" s="155"/>
      <c r="D2253" s="155"/>
      <c r="E2253" s="40"/>
      <c r="F2253" s="314"/>
      <c r="H2253" s="315"/>
      <c r="I2253" s="315"/>
      <c r="BA2253" s="30"/>
      <c r="BB2253" s="155"/>
      <c r="BC2253" s="314"/>
      <c r="BD2253" s="314"/>
      <c r="BE2253" s="314"/>
      <c r="BF2253" s="314"/>
      <c r="BG2253" s="314"/>
      <c r="BH2253" s="314"/>
      <c r="BI2253" s="314"/>
      <c r="BJ2253" s="314"/>
      <c r="BK2253" s="40"/>
      <c r="BL2253" s="40"/>
      <c r="BM2253" s="40"/>
      <c r="BN2253" s="40"/>
      <c r="BO2253" s="40"/>
      <c r="BP2253" s="155"/>
      <c r="BQ2253" s="314"/>
      <c r="BR2253" s="314"/>
      <c r="BS2253" s="314"/>
      <c r="BT2253" s="314"/>
      <c r="BU2253" s="314"/>
      <c r="BV2253" s="314"/>
      <c r="BW2253" s="314"/>
      <c r="BX2253" s="155"/>
    </row>
    <row r="2254" spans="1:76" ht="15.75" customHeight="1">
      <c r="A2254" s="25"/>
      <c r="B2254" s="39"/>
      <c r="C2254" s="155"/>
      <c r="D2254" s="155"/>
      <c r="E2254" s="40"/>
      <c r="F2254" s="314"/>
      <c r="H2254" s="315"/>
      <c r="I2254" s="315"/>
      <c r="BA2254" s="30"/>
      <c r="BB2254" s="155"/>
      <c r="BC2254" s="314"/>
      <c r="BD2254" s="314"/>
      <c r="BE2254" s="314"/>
      <c r="BF2254" s="314"/>
      <c r="BG2254" s="314"/>
      <c r="BH2254" s="314"/>
      <c r="BI2254" s="314"/>
      <c r="BJ2254" s="314"/>
      <c r="BK2254" s="40"/>
      <c r="BL2254" s="40"/>
      <c r="BM2254" s="40"/>
      <c r="BN2254" s="40"/>
      <c r="BO2254" s="40"/>
      <c r="BP2254" s="155"/>
      <c r="BQ2254" s="314"/>
      <c r="BR2254" s="314"/>
      <c r="BS2254" s="314"/>
      <c r="BT2254" s="314"/>
      <c r="BU2254" s="314"/>
      <c r="BV2254" s="314"/>
      <c r="BW2254" s="314"/>
      <c r="BX2254" s="155"/>
    </row>
    <row r="2255" spans="1:76" ht="15.75" customHeight="1">
      <c r="A2255" s="25"/>
      <c r="B2255" s="39"/>
      <c r="C2255" s="155"/>
      <c r="D2255" s="155"/>
      <c r="E2255" s="40"/>
      <c r="F2255" s="314"/>
      <c r="H2255" s="315"/>
      <c r="I2255" s="315"/>
      <c r="BA2255" s="30"/>
      <c r="BB2255" s="155"/>
      <c r="BC2255" s="314"/>
      <c r="BD2255" s="314"/>
      <c r="BE2255" s="314"/>
      <c r="BF2255" s="314"/>
      <c r="BG2255" s="314"/>
      <c r="BH2255" s="314"/>
      <c r="BI2255" s="314"/>
      <c r="BJ2255" s="314"/>
      <c r="BK2255" s="40"/>
      <c r="BL2255" s="40"/>
      <c r="BM2255" s="40"/>
      <c r="BN2255" s="40"/>
      <c r="BO2255" s="40"/>
      <c r="BP2255" s="155"/>
      <c r="BQ2255" s="314"/>
      <c r="BR2255" s="314"/>
      <c r="BS2255" s="314"/>
      <c r="BT2255" s="314"/>
      <c r="BU2255" s="314"/>
      <c r="BV2255" s="314"/>
      <c r="BW2255" s="314"/>
      <c r="BX2255" s="155"/>
    </row>
    <row r="2256" spans="1:76" ht="15.75" customHeight="1">
      <c r="A2256" s="25"/>
      <c r="B2256" s="39"/>
      <c r="C2256" s="155"/>
      <c r="D2256" s="155"/>
      <c r="E2256" s="40"/>
      <c r="F2256" s="314"/>
      <c r="H2256" s="315"/>
      <c r="I2256" s="315"/>
      <c r="BA2256" s="30"/>
      <c r="BB2256" s="155"/>
      <c r="BC2256" s="314"/>
      <c r="BD2256" s="314"/>
      <c r="BE2256" s="314"/>
      <c r="BF2256" s="314"/>
      <c r="BG2256" s="314"/>
      <c r="BH2256" s="314"/>
      <c r="BI2256" s="314"/>
      <c r="BJ2256" s="314"/>
      <c r="BK2256" s="40"/>
      <c r="BL2256" s="40"/>
      <c r="BM2256" s="40"/>
      <c r="BN2256" s="40"/>
      <c r="BO2256" s="40"/>
      <c r="BP2256" s="155"/>
      <c r="BQ2256" s="314"/>
      <c r="BR2256" s="314"/>
      <c r="BS2256" s="314"/>
      <c r="BT2256" s="314"/>
      <c r="BU2256" s="314"/>
      <c r="BV2256" s="314"/>
      <c r="BW2256" s="314"/>
      <c r="BX2256" s="155"/>
    </row>
    <row r="2257" spans="1:76" ht="15.75" customHeight="1">
      <c r="A2257" s="25"/>
      <c r="B2257" s="39"/>
      <c r="C2257" s="155"/>
      <c r="D2257" s="155"/>
      <c r="E2257" s="40"/>
      <c r="F2257" s="314"/>
      <c r="H2257" s="315"/>
      <c r="I2257" s="315"/>
      <c r="BA2257" s="30"/>
      <c r="BB2257" s="155"/>
      <c r="BC2257" s="314"/>
      <c r="BD2257" s="314"/>
      <c r="BE2257" s="314"/>
      <c r="BF2257" s="314"/>
      <c r="BG2257" s="314"/>
      <c r="BH2257" s="314"/>
      <c r="BI2257" s="314"/>
      <c r="BJ2257" s="314"/>
      <c r="BK2257" s="40"/>
      <c r="BL2257" s="40"/>
      <c r="BM2257" s="40"/>
      <c r="BN2257" s="40"/>
      <c r="BO2257" s="40"/>
      <c r="BP2257" s="155"/>
      <c r="BQ2257" s="314"/>
      <c r="BR2257" s="314"/>
      <c r="BS2257" s="314"/>
      <c r="BT2257" s="314"/>
      <c r="BU2257" s="314"/>
      <c r="BV2257" s="314"/>
      <c r="BW2257" s="314"/>
      <c r="BX2257" s="155"/>
    </row>
    <row r="2258" spans="1:76" ht="15.75" customHeight="1">
      <c r="A2258" s="25"/>
      <c r="B2258" s="39"/>
      <c r="C2258" s="155"/>
      <c r="D2258" s="155"/>
      <c r="E2258" s="40"/>
      <c r="F2258" s="314"/>
      <c r="H2258" s="315"/>
      <c r="I2258" s="315"/>
      <c r="BA2258" s="30"/>
      <c r="BB2258" s="155"/>
      <c r="BC2258" s="314"/>
      <c r="BD2258" s="314"/>
      <c r="BE2258" s="314"/>
      <c r="BF2258" s="314"/>
      <c r="BG2258" s="314"/>
      <c r="BH2258" s="314"/>
      <c r="BI2258" s="314"/>
      <c r="BJ2258" s="314"/>
      <c r="BK2258" s="40"/>
      <c r="BL2258" s="40"/>
      <c r="BM2258" s="40"/>
      <c r="BN2258" s="40"/>
      <c r="BO2258" s="40"/>
      <c r="BP2258" s="155"/>
      <c r="BQ2258" s="314"/>
      <c r="BR2258" s="314"/>
      <c r="BS2258" s="314"/>
      <c r="BT2258" s="314"/>
      <c r="BU2258" s="314"/>
      <c r="BV2258" s="314"/>
      <c r="BW2258" s="314"/>
      <c r="BX2258" s="155"/>
    </row>
    <row r="2259" spans="1:76" ht="15.75" customHeight="1">
      <c r="A2259" s="25"/>
      <c r="B2259" s="39"/>
      <c r="C2259" s="155"/>
      <c r="D2259" s="155"/>
      <c r="E2259" s="40"/>
      <c r="F2259" s="314"/>
      <c r="H2259" s="315"/>
      <c r="I2259" s="315"/>
      <c r="BA2259" s="30"/>
      <c r="BB2259" s="155"/>
      <c r="BC2259" s="314"/>
      <c r="BD2259" s="314"/>
      <c r="BE2259" s="314"/>
      <c r="BF2259" s="314"/>
      <c r="BG2259" s="314"/>
      <c r="BH2259" s="314"/>
      <c r="BI2259" s="314"/>
      <c r="BJ2259" s="314"/>
      <c r="BK2259" s="40"/>
      <c r="BL2259" s="40"/>
      <c r="BM2259" s="40"/>
      <c r="BN2259" s="40"/>
      <c r="BO2259" s="40"/>
      <c r="BP2259" s="155"/>
      <c r="BQ2259" s="314"/>
      <c r="BR2259" s="314"/>
      <c r="BS2259" s="314"/>
      <c r="BT2259" s="314"/>
      <c r="BU2259" s="314"/>
      <c r="BV2259" s="314"/>
      <c r="BW2259" s="314"/>
      <c r="BX2259" s="155"/>
    </row>
    <row r="2260" spans="1:76" ht="15.75" customHeight="1">
      <c r="A2260" s="25"/>
      <c r="B2260" s="39"/>
      <c r="C2260" s="155"/>
      <c r="D2260" s="155"/>
      <c r="E2260" s="40"/>
      <c r="F2260" s="314"/>
      <c r="H2260" s="315"/>
      <c r="I2260" s="315"/>
      <c r="BA2260" s="30"/>
      <c r="BB2260" s="155"/>
      <c r="BC2260" s="314"/>
      <c r="BD2260" s="314"/>
      <c r="BE2260" s="314"/>
      <c r="BF2260" s="314"/>
      <c r="BG2260" s="314"/>
      <c r="BH2260" s="314"/>
      <c r="BI2260" s="314"/>
      <c r="BJ2260" s="314"/>
      <c r="BK2260" s="40"/>
      <c r="BL2260" s="40"/>
      <c r="BM2260" s="40"/>
      <c r="BN2260" s="40"/>
      <c r="BO2260" s="40"/>
      <c r="BP2260" s="155"/>
      <c r="BQ2260" s="314"/>
      <c r="BR2260" s="314"/>
      <c r="BS2260" s="314"/>
      <c r="BT2260" s="314"/>
      <c r="BU2260" s="314"/>
      <c r="BV2260" s="314"/>
      <c r="BW2260" s="314"/>
      <c r="BX2260" s="155"/>
    </row>
    <row r="2261" spans="1:76" ht="15.75" customHeight="1">
      <c r="A2261" s="25"/>
      <c r="B2261" s="39"/>
      <c r="C2261" s="155"/>
      <c r="D2261" s="155"/>
      <c r="E2261" s="40"/>
      <c r="F2261" s="314"/>
      <c r="H2261" s="315"/>
      <c r="I2261" s="315"/>
      <c r="BA2261" s="30"/>
      <c r="BB2261" s="155"/>
      <c r="BC2261" s="314"/>
      <c r="BD2261" s="314"/>
      <c r="BE2261" s="314"/>
      <c r="BF2261" s="314"/>
      <c r="BG2261" s="314"/>
      <c r="BH2261" s="314"/>
      <c r="BI2261" s="314"/>
      <c r="BJ2261" s="314"/>
      <c r="BK2261" s="40"/>
      <c r="BL2261" s="40"/>
      <c r="BM2261" s="40"/>
      <c r="BN2261" s="40"/>
      <c r="BO2261" s="40"/>
      <c r="BP2261" s="155"/>
      <c r="BQ2261" s="314"/>
      <c r="BR2261" s="314"/>
      <c r="BS2261" s="314"/>
      <c r="BT2261" s="314"/>
      <c r="BU2261" s="314"/>
      <c r="BV2261" s="314"/>
      <c r="BW2261" s="314"/>
      <c r="BX2261" s="155"/>
    </row>
    <row r="2262" spans="1:76" ht="15.75" customHeight="1">
      <c r="A2262" s="25"/>
      <c r="B2262" s="39"/>
      <c r="C2262" s="155"/>
      <c r="D2262" s="155"/>
      <c r="E2262" s="40"/>
      <c r="F2262" s="314"/>
      <c r="H2262" s="315"/>
      <c r="I2262" s="315"/>
      <c r="BA2262" s="30"/>
      <c r="BB2262" s="155"/>
      <c r="BC2262" s="314"/>
      <c r="BD2262" s="314"/>
      <c r="BE2262" s="314"/>
      <c r="BF2262" s="314"/>
      <c r="BG2262" s="314"/>
      <c r="BH2262" s="314"/>
      <c r="BI2262" s="314"/>
      <c r="BJ2262" s="314"/>
      <c r="BK2262" s="40"/>
      <c r="BL2262" s="40"/>
      <c r="BM2262" s="40"/>
      <c r="BN2262" s="40"/>
      <c r="BO2262" s="40"/>
      <c r="BP2262" s="155"/>
      <c r="BQ2262" s="314"/>
      <c r="BR2262" s="314"/>
      <c r="BS2262" s="314"/>
      <c r="BT2262" s="314"/>
      <c r="BU2262" s="314"/>
      <c r="BV2262" s="314"/>
      <c r="BW2262" s="314"/>
      <c r="BX2262" s="155"/>
    </row>
    <row r="2263" spans="1:76" ht="15.75" customHeight="1">
      <c r="A2263" s="25"/>
      <c r="B2263" s="39"/>
      <c r="C2263" s="155"/>
      <c r="D2263" s="155"/>
      <c r="E2263" s="40"/>
      <c r="F2263" s="314"/>
      <c r="H2263" s="315"/>
      <c r="I2263" s="315"/>
      <c r="BA2263" s="30"/>
      <c r="BB2263" s="155"/>
      <c r="BC2263" s="314"/>
      <c r="BD2263" s="314"/>
      <c r="BE2263" s="314"/>
      <c r="BF2263" s="314"/>
      <c r="BG2263" s="314"/>
      <c r="BH2263" s="314"/>
      <c r="BI2263" s="314"/>
      <c r="BJ2263" s="314"/>
      <c r="BK2263" s="40"/>
      <c r="BL2263" s="40"/>
      <c r="BM2263" s="40"/>
      <c r="BN2263" s="40"/>
      <c r="BO2263" s="40"/>
      <c r="BP2263" s="155"/>
      <c r="BQ2263" s="314"/>
      <c r="BR2263" s="314"/>
      <c r="BS2263" s="314"/>
      <c r="BT2263" s="314"/>
      <c r="BU2263" s="314"/>
      <c r="BV2263" s="314"/>
      <c r="BW2263" s="314"/>
      <c r="BX2263" s="155"/>
    </row>
    <row r="2264" spans="1:76" ht="15.75" customHeight="1">
      <c r="A2264" s="25"/>
      <c r="B2264" s="39"/>
      <c r="C2264" s="155"/>
      <c r="D2264" s="155"/>
      <c r="E2264" s="40"/>
      <c r="F2264" s="314"/>
      <c r="H2264" s="315"/>
      <c r="I2264" s="315"/>
      <c r="BA2264" s="30"/>
      <c r="BB2264" s="155"/>
      <c r="BC2264" s="314"/>
      <c r="BD2264" s="314"/>
      <c r="BE2264" s="314"/>
      <c r="BF2264" s="314"/>
      <c r="BG2264" s="314"/>
      <c r="BH2264" s="314"/>
      <c r="BI2264" s="314"/>
      <c r="BJ2264" s="314"/>
      <c r="BK2264" s="40"/>
      <c r="BL2264" s="40"/>
      <c r="BM2264" s="40"/>
      <c r="BN2264" s="40"/>
      <c r="BO2264" s="40"/>
      <c r="BP2264" s="155"/>
      <c r="BQ2264" s="314"/>
      <c r="BR2264" s="314"/>
      <c r="BS2264" s="314"/>
      <c r="BT2264" s="314"/>
      <c r="BU2264" s="314"/>
      <c r="BV2264" s="314"/>
      <c r="BW2264" s="314"/>
      <c r="BX2264" s="155"/>
    </row>
    <row r="2265" spans="1:76" ht="15.75" customHeight="1">
      <c r="A2265" s="25"/>
      <c r="B2265" s="39"/>
      <c r="C2265" s="155"/>
      <c r="D2265" s="155"/>
      <c r="E2265" s="40"/>
      <c r="F2265" s="314"/>
      <c r="H2265" s="315"/>
      <c r="I2265" s="315"/>
      <c r="BA2265" s="30"/>
      <c r="BB2265" s="155"/>
      <c r="BC2265" s="314"/>
      <c r="BD2265" s="314"/>
      <c r="BE2265" s="314"/>
      <c r="BF2265" s="314"/>
      <c r="BG2265" s="314"/>
      <c r="BH2265" s="314"/>
      <c r="BI2265" s="314"/>
      <c r="BJ2265" s="314"/>
      <c r="BK2265" s="40"/>
      <c r="BL2265" s="40"/>
      <c r="BM2265" s="40"/>
      <c r="BN2265" s="40"/>
      <c r="BO2265" s="40"/>
      <c r="BP2265" s="155"/>
      <c r="BQ2265" s="314"/>
      <c r="BR2265" s="314"/>
      <c r="BS2265" s="314"/>
      <c r="BT2265" s="314"/>
      <c r="BU2265" s="314"/>
      <c r="BV2265" s="314"/>
      <c r="BW2265" s="314"/>
      <c r="BX2265" s="155"/>
    </row>
    <row r="2266" spans="1:76" ht="15.75" customHeight="1">
      <c r="A2266" s="25"/>
      <c r="B2266" s="39"/>
      <c r="C2266" s="155"/>
      <c r="D2266" s="155"/>
      <c r="E2266" s="40"/>
      <c r="F2266" s="314"/>
      <c r="H2266" s="315"/>
      <c r="I2266" s="315"/>
      <c r="BA2266" s="30"/>
      <c r="BB2266" s="155"/>
      <c r="BC2266" s="314"/>
      <c r="BD2266" s="314"/>
      <c r="BE2266" s="314"/>
      <c r="BF2266" s="314"/>
      <c r="BG2266" s="314"/>
      <c r="BH2266" s="314"/>
      <c r="BI2266" s="314"/>
      <c r="BJ2266" s="314"/>
      <c r="BK2266" s="40"/>
      <c r="BL2266" s="40"/>
      <c r="BM2266" s="40"/>
      <c r="BN2266" s="40"/>
      <c r="BO2266" s="40"/>
      <c r="BP2266" s="155"/>
      <c r="BQ2266" s="314"/>
      <c r="BR2266" s="314"/>
      <c r="BS2266" s="314"/>
      <c r="BT2266" s="314"/>
      <c r="BU2266" s="314"/>
      <c r="BV2266" s="314"/>
      <c r="BW2266" s="314"/>
      <c r="BX2266" s="155"/>
    </row>
    <row r="2267" spans="1:76" ht="15.75" customHeight="1">
      <c r="A2267" s="25"/>
      <c r="B2267" s="39"/>
      <c r="C2267" s="155"/>
      <c r="D2267" s="155"/>
      <c r="E2267" s="40"/>
      <c r="F2267" s="314"/>
      <c r="H2267" s="315"/>
      <c r="I2267" s="315"/>
      <c r="BA2267" s="30"/>
      <c r="BB2267" s="155"/>
      <c r="BC2267" s="322"/>
      <c r="BD2267" s="322"/>
      <c r="BE2267" s="322"/>
      <c r="BF2267" s="322"/>
      <c r="BG2267" s="322"/>
      <c r="BH2267" s="322"/>
      <c r="BI2267" s="322"/>
      <c r="BJ2267" s="322"/>
      <c r="BK2267" s="341"/>
      <c r="BL2267" s="40"/>
      <c r="BM2267" s="40"/>
      <c r="BN2267" s="40"/>
      <c r="BO2267" s="40"/>
      <c r="BP2267" s="155"/>
      <c r="BQ2267" s="314"/>
      <c r="BR2267" s="314"/>
      <c r="BS2267" s="314"/>
      <c r="BT2267" s="314"/>
      <c r="BU2267" s="314"/>
      <c r="BV2267" s="314"/>
      <c r="BW2267" s="314"/>
      <c r="BX2267" s="155"/>
    </row>
    <row r="2268" spans="1:76" ht="15.75" customHeight="1">
      <c r="A2268" s="25"/>
      <c r="B2268" s="39"/>
      <c r="C2268" s="155"/>
      <c r="D2268" s="155"/>
      <c r="E2268" s="40"/>
      <c r="F2268" s="314"/>
      <c r="H2268" s="315"/>
      <c r="I2268" s="315"/>
      <c r="BA2268" s="30"/>
      <c r="BB2268" s="155"/>
      <c r="BC2268" s="314"/>
      <c r="BD2268" s="314"/>
      <c r="BE2268" s="314"/>
      <c r="BF2268" s="314"/>
      <c r="BG2268" s="314"/>
      <c r="BH2268" s="314"/>
      <c r="BI2268" s="314"/>
      <c r="BJ2268" s="314"/>
      <c r="BK2268" s="40"/>
      <c r="BL2268" s="40"/>
      <c r="BM2268" s="40"/>
      <c r="BN2268" s="40"/>
      <c r="BO2268" s="40"/>
      <c r="BP2268" s="155"/>
      <c r="BQ2268" s="314"/>
      <c r="BR2268" s="314"/>
      <c r="BS2268" s="314"/>
      <c r="BT2268" s="314"/>
      <c r="BU2268" s="314"/>
      <c r="BV2268" s="314"/>
      <c r="BW2268" s="314"/>
      <c r="BX2268" s="155"/>
    </row>
    <row r="2269" spans="1:76" ht="15.75" customHeight="1">
      <c r="A2269" s="25"/>
      <c r="B2269" s="39"/>
      <c r="C2269" s="155"/>
      <c r="D2269" s="155"/>
      <c r="E2269" s="40"/>
      <c r="F2269" s="314"/>
      <c r="H2269" s="315"/>
      <c r="I2269" s="315"/>
      <c r="BA2269" s="30"/>
      <c r="BB2269" s="155"/>
      <c r="BC2269" s="314"/>
      <c r="BD2269" s="314"/>
      <c r="BE2269" s="314"/>
      <c r="BF2269" s="314"/>
      <c r="BG2269" s="314"/>
      <c r="BH2269" s="314"/>
      <c r="BI2269" s="314"/>
      <c r="BJ2269" s="314"/>
      <c r="BK2269" s="40"/>
      <c r="BL2269" s="40"/>
      <c r="BM2269" s="40"/>
      <c r="BN2269" s="40"/>
      <c r="BO2269" s="40"/>
      <c r="BP2269" s="155"/>
      <c r="BQ2269" s="314"/>
      <c r="BR2269" s="314"/>
      <c r="BS2269" s="314"/>
      <c r="BT2269" s="314"/>
      <c r="BU2269" s="314"/>
      <c r="BV2269" s="314"/>
      <c r="BW2269" s="314"/>
      <c r="BX2269" s="155"/>
    </row>
    <row r="2270" spans="1:76" ht="15.75" customHeight="1">
      <c r="A2270" s="25"/>
      <c r="B2270" s="39"/>
      <c r="C2270" s="155"/>
      <c r="D2270" s="155"/>
      <c r="E2270" s="40"/>
      <c r="F2270" s="314"/>
      <c r="H2270" s="315"/>
      <c r="I2270" s="315"/>
      <c r="BA2270" s="30"/>
      <c r="BB2270" s="155"/>
      <c r="BC2270" s="314"/>
      <c r="BD2270" s="314"/>
      <c r="BE2270" s="314"/>
      <c r="BF2270" s="314"/>
      <c r="BG2270" s="314"/>
      <c r="BH2270" s="314"/>
      <c r="BI2270" s="314"/>
      <c r="BJ2270" s="314"/>
      <c r="BK2270" s="40"/>
      <c r="BL2270" s="40"/>
      <c r="BM2270" s="40"/>
      <c r="BN2270" s="40"/>
      <c r="BO2270" s="40"/>
      <c r="BP2270" s="155"/>
      <c r="BQ2270" s="314"/>
      <c r="BR2270" s="314"/>
      <c r="BS2270" s="314"/>
      <c r="BT2270" s="314"/>
      <c r="BU2270" s="314"/>
      <c r="BV2270" s="314"/>
      <c r="BW2270" s="314"/>
      <c r="BX2270" s="155"/>
    </row>
    <row r="2271" spans="1:76" ht="15.75" customHeight="1">
      <c r="A2271" s="25"/>
      <c r="B2271" s="39"/>
      <c r="C2271" s="155"/>
      <c r="D2271" s="155"/>
      <c r="E2271" s="40"/>
      <c r="F2271" s="314"/>
      <c r="H2271" s="315"/>
      <c r="I2271" s="315"/>
      <c r="BA2271" s="30"/>
      <c r="BB2271" s="155"/>
      <c r="BC2271" s="314"/>
      <c r="BD2271" s="314"/>
      <c r="BE2271" s="314"/>
      <c r="BF2271" s="314"/>
      <c r="BG2271" s="314"/>
      <c r="BH2271" s="314"/>
      <c r="BI2271" s="314"/>
      <c r="BJ2271" s="314"/>
      <c r="BK2271" s="40"/>
      <c r="BL2271" s="40"/>
      <c r="BM2271" s="40"/>
      <c r="BN2271" s="40"/>
      <c r="BO2271" s="40"/>
      <c r="BP2271" s="155"/>
      <c r="BQ2271" s="314"/>
      <c r="BR2271" s="314"/>
      <c r="BS2271" s="314"/>
      <c r="BT2271" s="314"/>
      <c r="BU2271" s="314"/>
      <c r="BV2271" s="314"/>
      <c r="BW2271" s="314"/>
      <c r="BX2271" s="155"/>
    </row>
    <row r="2272" spans="1:76" ht="15.75" customHeight="1">
      <c r="A2272" s="25"/>
      <c r="B2272" s="39"/>
      <c r="C2272" s="155"/>
      <c r="D2272" s="155"/>
      <c r="E2272" s="40"/>
      <c r="F2272" s="314"/>
      <c r="H2272" s="315"/>
      <c r="I2272" s="315"/>
      <c r="BA2272" s="30"/>
      <c r="BB2272" s="155"/>
      <c r="BC2272" s="314"/>
      <c r="BD2272" s="314"/>
      <c r="BE2272" s="314"/>
      <c r="BF2272" s="314"/>
      <c r="BG2272" s="314"/>
      <c r="BH2272" s="314"/>
      <c r="BI2272" s="314"/>
      <c r="BJ2272" s="314"/>
      <c r="BK2272" s="40"/>
      <c r="BL2272" s="40"/>
      <c r="BM2272" s="40"/>
      <c r="BN2272" s="40"/>
      <c r="BO2272" s="40"/>
      <c r="BP2272" s="155"/>
      <c r="BQ2272" s="314"/>
      <c r="BR2272" s="314"/>
      <c r="BS2272" s="314"/>
      <c r="BT2272" s="314"/>
      <c r="BU2272" s="314"/>
      <c r="BV2272" s="314"/>
      <c r="BW2272" s="314"/>
      <c r="BX2272" s="155"/>
    </row>
    <row r="2273" spans="1:76" ht="15.75" customHeight="1">
      <c r="A2273" s="25"/>
      <c r="B2273" s="39"/>
      <c r="C2273" s="155"/>
      <c r="D2273" s="155"/>
      <c r="E2273" s="40"/>
      <c r="F2273" s="314"/>
      <c r="H2273" s="315"/>
      <c r="I2273" s="315"/>
      <c r="BA2273" s="30"/>
      <c r="BB2273" s="155"/>
      <c r="BC2273" s="314"/>
      <c r="BD2273" s="314"/>
      <c r="BE2273" s="314"/>
      <c r="BF2273" s="314"/>
      <c r="BG2273" s="314"/>
      <c r="BH2273" s="314"/>
      <c r="BI2273" s="314"/>
      <c r="BJ2273" s="314"/>
      <c r="BK2273" s="40"/>
      <c r="BL2273" s="40"/>
      <c r="BM2273" s="40"/>
      <c r="BN2273" s="40"/>
      <c r="BO2273" s="40"/>
      <c r="BP2273" s="155"/>
      <c r="BQ2273" s="314"/>
      <c r="BR2273" s="314"/>
      <c r="BS2273" s="314"/>
      <c r="BT2273" s="314"/>
      <c r="BU2273" s="314"/>
      <c r="BV2273" s="314"/>
      <c r="BW2273" s="314"/>
      <c r="BX2273" s="155"/>
    </row>
    <row r="2274" spans="1:76" ht="15.75" customHeight="1">
      <c r="A2274" s="25"/>
      <c r="B2274" s="39"/>
      <c r="C2274" s="155"/>
      <c r="D2274" s="155"/>
      <c r="E2274" s="40"/>
      <c r="F2274" s="314"/>
      <c r="H2274" s="315"/>
      <c r="I2274" s="315"/>
      <c r="BA2274" s="30"/>
      <c r="BB2274" s="155"/>
      <c r="BC2274" s="314"/>
      <c r="BD2274" s="314"/>
      <c r="BE2274" s="314"/>
      <c r="BF2274" s="314"/>
      <c r="BG2274" s="314"/>
      <c r="BH2274" s="314"/>
      <c r="BI2274" s="314"/>
      <c r="BJ2274" s="314"/>
      <c r="BK2274" s="40"/>
      <c r="BL2274" s="40"/>
      <c r="BM2274" s="40"/>
      <c r="BN2274" s="40"/>
      <c r="BO2274" s="40"/>
      <c r="BP2274" s="155"/>
      <c r="BQ2274" s="314"/>
      <c r="BR2274" s="314"/>
      <c r="BS2274" s="314"/>
      <c r="BT2274" s="314"/>
      <c r="BU2274" s="314"/>
      <c r="BV2274" s="314"/>
      <c r="BW2274" s="314"/>
      <c r="BX2274" s="155"/>
    </row>
    <row r="2275" spans="1:76" ht="15.75" customHeight="1">
      <c r="A2275" s="25"/>
      <c r="B2275" s="39"/>
      <c r="C2275" s="155"/>
      <c r="D2275" s="155"/>
      <c r="E2275" s="40"/>
      <c r="F2275" s="314"/>
      <c r="H2275" s="315"/>
      <c r="I2275" s="315"/>
      <c r="BA2275" s="30"/>
      <c r="BB2275" s="155"/>
      <c r="BC2275" s="314"/>
      <c r="BD2275" s="314"/>
      <c r="BE2275" s="314"/>
      <c r="BF2275" s="314"/>
      <c r="BG2275" s="314"/>
      <c r="BH2275" s="314"/>
      <c r="BI2275" s="314"/>
      <c r="BJ2275" s="314"/>
      <c r="BK2275" s="40"/>
      <c r="BL2275" s="40"/>
      <c r="BM2275" s="40"/>
      <c r="BN2275" s="40"/>
      <c r="BO2275" s="40"/>
      <c r="BP2275" s="155"/>
      <c r="BQ2275" s="314"/>
      <c r="BR2275" s="314"/>
      <c r="BS2275" s="314"/>
      <c r="BT2275" s="314"/>
      <c r="BU2275" s="314"/>
      <c r="BV2275" s="314"/>
      <c r="BW2275" s="314"/>
      <c r="BX2275" s="155"/>
    </row>
    <row r="2276" spans="1:76" ht="15.75" customHeight="1">
      <c r="A2276" s="25"/>
      <c r="B2276" s="39"/>
      <c r="C2276" s="155"/>
      <c r="D2276" s="155"/>
      <c r="E2276" s="40"/>
      <c r="F2276" s="314"/>
      <c r="H2276" s="315"/>
      <c r="I2276" s="315"/>
      <c r="BA2276" s="30"/>
      <c r="BB2276" s="155"/>
      <c r="BC2276" s="314"/>
      <c r="BD2276" s="314"/>
      <c r="BE2276" s="314"/>
      <c r="BF2276" s="314"/>
      <c r="BG2276" s="314"/>
      <c r="BH2276" s="314"/>
      <c r="BI2276" s="314"/>
      <c r="BJ2276" s="314"/>
      <c r="BK2276" s="40"/>
      <c r="BL2276" s="40"/>
      <c r="BM2276" s="40"/>
      <c r="BN2276" s="40"/>
      <c r="BO2276" s="40"/>
      <c r="BP2276" s="155"/>
      <c r="BQ2276" s="314"/>
      <c r="BR2276" s="314"/>
      <c r="BS2276" s="314"/>
      <c r="BT2276" s="314"/>
      <c r="BU2276" s="314"/>
      <c r="BV2276" s="314"/>
      <c r="BW2276" s="314"/>
      <c r="BX2276" s="155"/>
    </row>
    <row r="2277" spans="1:76" ht="15.75" customHeight="1">
      <c r="A2277" s="25"/>
      <c r="B2277" s="39"/>
      <c r="C2277" s="155"/>
      <c r="D2277" s="155"/>
      <c r="E2277" s="40"/>
      <c r="F2277" s="314"/>
      <c r="H2277" s="315"/>
      <c r="I2277" s="315"/>
      <c r="BA2277" s="30"/>
      <c r="BB2277" s="155"/>
      <c r="BC2277" s="314"/>
      <c r="BD2277" s="314"/>
      <c r="BE2277" s="314"/>
      <c r="BF2277" s="314"/>
      <c r="BG2277" s="314"/>
      <c r="BH2277" s="314"/>
      <c r="BI2277" s="314"/>
      <c r="BJ2277" s="314"/>
      <c r="BK2277" s="40"/>
      <c r="BL2277" s="40"/>
      <c r="BM2277" s="40"/>
      <c r="BN2277" s="40"/>
      <c r="BO2277" s="40"/>
      <c r="BP2277" s="155"/>
      <c r="BQ2277" s="314"/>
      <c r="BR2277" s="314"/>
      <c r="BS2277" s="314"/>
      <c r="BT2277" s="314"/>
      <c r="BU2277" s="314"/>
      <c r="BV2277" s="314"/>
      <c r="BW2277" s="314"/>
      <c r="BX2277" s="155"/>
    </row>
    <row r="2278" spans="1:76" ht="15.75" customHeight="1">
      <c r="A2278" s="25"/>
      <c r="B2278" s="39"/>
      <c r="C2278" s="155"/>
      <c r="D2278" s="155"/>
      <c r="E2278" s="40"/>
      <c r="F2278" s="314"/>
      <c r="H2278" s="315"/>
      <c r="I2278" s="315"/>
      <c r="BA2278" s="30"/>
      <c r="BB2278" s="155"/>
      <c r="BC2278" s="314"/>
      <c r="BD2278" s="314"/>
      <c r="BE2278" s="314"/>
      <c r="BF2278" s="314"/>
      <c r="BG2278" s="314"/>
      <c r="BH2278" s="314"/>
      <c r="BI2278" s="314"/>
      <c r="BJ2278" s="314"/>
      <c r="BK2278" s="40"/>
      <c r="BL2278" s="40"/>
      <c r="BM2278" s="40"/>
      <c r="BN2278" s="40"/>
      <c r="BO2278" s="40"/>
      <c r="BP2278" s="155"/>
      <c r="BQ2278" s="314"/>
      <c r="BR2278" s="314"/>
      <c r="BS2278" s="314"/>
      <c r="BT2278" s="314"/>
      <c r="BU2278" s="314"/>
      <c r="BV2278" s="314"/>
      <c r="BW2278" s="314"/>
      <c r="BX2278" s="155"/>
    </row>
    <row r="2279" spans="1:76" ht="15.75" customHeight="1">
      <c r="A2279" s="25"/>
      <c r="B2279" s="39"/>
      <c r="C2279" s="155"/>
      <c r="D2279" s="155"/>
      <c r="E2279" s="40"/>
      <c r="F2279" s="314"/>
      <c r="H2279" s="315"/>
      <c r="I2279" s="315"/>
      <c r="BA2279" s="30"/>
      <c r="BB2279" s="155"/>
      <c r="BC2279" s="314"/>
      <c r="BD2279" s="314"/>
      <c r="BE2279" s="314"/>
      <c r="BF2279" s="314"/>
      <c r="BG2279" s="314"/>
      <c r="BH2279" s="314"/>
      <c r="BI2279" s="314"/>
      <c r="BJ2279" s="314"/>
      <c r="BK2279" s="40"/>
      <c r="BL2279" s="40"/>
      <c r="BM2279" s="40"/>
      <c r="BN2279" s="40"/>
      <c r="BO2279" s="40"/>
      <c r="BP2279" s="155"/>
      <c r="BQ2279" s="314"/>
      <c r="BR2279" s="314"/>
      <c r="BS2279" s="314"/>
      <c r="BT2279" s="314"/>
      <c r="BU2279" s="314"/>
      <c r="BV2279" s="314"/>
      <c r="BW2279" s="314"/>
      <c r="BX2279" s="155"/>
    </row>
    <row r="2280" spans="1:76" ht="15.75" customHeight="1">
      <c r="A2280" s="25"/>
      <c r="B2280" s="39"/>
      <c r="C2280" s="155"/>
      <c r="D2280" s="155"/>
      <c r="E2280" s="40"/>
      <c r="F2280" s="314"/>
      <c r="H2280" s="315"/>
      <c r="I2280" s="315"/>
      <c r="BA2280" s="30"/>
      <c r="BB2280" s="155"/>
      <c r="BC2280" s="314"/>
      <c r="BD2280" s="314"/>
      <c r="BE2280" s="314"/>
      <c r="BF2280" s="314"/>
      <c r="BG2280" s="314"/>
      <c r="BH2280" s="314"/>
      <c r="BI2280" s="314"/>
      <c r="BJ2280" s="314"/>
      <c r="BK2280" s="40"/>
      <c r="BL2280" s="40"/>
      <c r="BM2280" s="40"/>
      <c r="BN2280" s="40"/>
      <c r="BO2280" s="40"/>
      <c r="BP2280" s="155"/>
      <c r="BQ2280" s="314"/>
      <c r="BR2280" s="314"/>
      <c r="BS2280" s="314"/>
      <c r="BT2280" s="314"/>
      <c r="BU2280" s="314"/>
      <c r="BV2280" s="314"/>
      <c r="BW2280" s="314"/>
      <c r="BX2280" s="155"/>
    </row>
    <row r="2281" spans="1:76" ht="15.75" customHeight="1">
      <c r="A2281" s="25"/>
      <c r="B2281" s="39"/>
      <c r="C2281" s="155"/>
      <c r="D2281" s="155"/>
      <c r="E2281" s="40"/>
      <c r="F2281" s="314"/>
      <c r="H2281" s="315"/>
      <c r="I2281" s="315"/>
      <c r="BA2281" s="30"/>
      <c r="BB2281" s="155"/>
      <c r="BC2281" s="314"/>
      <c r="BD2281" s="314"/>
      <c r="BE2281" s="314"/>
      <c r="BF2281" s="314"/>
      <c r="BG2281" s="314"/>
      <c r="BH2281" s="314"/>
      <c r="BI2281" s="314"/>
      <c r="BJ2281" s="314"/>
      <c r="BK2281" s="40"/>
      <c r="BL2281" s="40"/>
      <c r="BM2281" s="40"/>
      <c r="BN2281" s="40"/>
      <c r="BO2281" s="40"/>
      <c r="BP2281" s="155"/>
      <c r="BQ2281" s="314"/>
      <c r="BR2281" s="314"/>
      <c r="BS2281" s="314"/>
      <c r="BT2281" s="314"/>
      <c r="BU2281" s="314"/>
      <c r="BV2281" s="314"/>
      <c r="BW2281" s="314"/>
      <c r="BX2281" s="155"/>
    </row>
    <row r="2282" spans="1:76" ht="15.75" customHeight="1">
      <c r="A2282" s="25"/>
      <c r="B2282" s="39"/>
      <c r="C2282" s="155"/>
      <c r="D2282" s="155"/>
      <c r="E2282" s="40"/>
      <c r="F2282" s="314"/>
      <c r="H2282" s="315"/>
      <c r="I2282" s="315"/>
      <c r="BA2282" s="30"/>
      <c r="BB2282" s="155"/>
      <c r="BC2282" s="314"/>
      <c r="BD2282" s="314"/>
      <c r="BE2282" s="314"/>
      <c r="BF2282" s="314"/>
      <c r="BG2282" s="314"/>
      <c r="BH2282" s="314"/>
      <c r="BI2282" s="314"/>
      <c r="BJ2282" s="314"/>
      <c r="BK2282" s="40"/>
      <c r="BL2282" s="40"/>
      <c r="BM2282" s="40"/>
      <c r="BN2282" s="40"/>
      <c r="BO2282" s="40"/>
      <c r="BP2282" s="155"/>
      <c r="BQ2282" s="314"/>
      <c r="BR2282" s="314"/>
      <c r="BS2282" s="314"/>
      <c r="BT2282" s="314"/>
      <c r="BU2282" s="314"/>
      <c r="BV2282" s="314"/>
      <c r="BW2282" s="314"/>
      <c r="BX2282" s="155"/>
    </row>
    <row r="2283" spans="1:76" ht="15.75" customHeight="1">
      <c r="A2283" s="25"/>
      <c r="B2283" s="39"/>
      <c r="C2283" s="155"/>
      <c r="D2283" s="155"/>
      <c r="E2283" s="40"/>
      <c r="F2283" s="314"/>
      <c r="H2283" s="315"/>
      <c r="I2283" s="315"/>
      <c r="BA2283" s="30"/>
      <c r="BB2283" s="155"/>
      <c r="BC2283" s="314"/>
      <c r="BD2283" s="314"/>
      <c r="BE2283" s="314"/>
      <c r="BF2283" s="314"/>
      <c r="BG2283" s="314"/>
      <c r="BH2283" s="314"/>
      <c r="BI2283" s="314"/>
      <c r="BJ2283" s="314"/>
      <c r="BK2283" s="40"/>
      <c r="BL2283" s="40"/>
      <c r="BM2283" s="40"/>
      <c r="BN2283" s="40"/>
      <c r="BO2283" s="40"/>
      <c r="BP2283" s="155"/>
      <c r="BQ2283" s="314"/>
      <c r="BR2283" s="314"/>
      <c r="BS2283" s="314"/>
      <c r="BT2283" s="314"/>
      <c r="BU2283" s="314"/>
      <c r="BV2283" s="314"/>
      <c r="BW2283" s="314"/>
      <c r="BX2283" s="155"/>
    </row>
    <row r="2284" spans="1:76" ht="15.75" customHeight="1">
      <c r="A2284" s="25"/>
      <c r="B2284" s="39"/>
      <c r="C2284" s="155"/>
      <c r="D2284" s="155"/>
      <c r="E2284" s="40"/>
      <c r="F2284" s="314"/>
      <c r="H2284" s="315"/>
      <c r="I2284" s="315"/>
      <c r="BA2284" s="30"/>
      <c r="BB2284" s="155"/>
      <c r="BC2284" s="314"/>
      <c r="BD2284" s="314"/>
      <c r="BE2284" s="314"/>
      <c r="BF2284" s="314"/>
      <c r="BG2284" s="314"/>
      <c r="BH2284" s="314"/>
      <c r="BI2284" s="314"/>
      <c r="BJ2284" s="314"/>
      <c r="BK2284" s="40"/>
      <c r="BL2284" s="40"/>
      <c r="BM2284" s="40"/>
      <c r="BN2284" s="40"/>
      <c r="BO2284" s="40"/>
      <c r="BP2284" s="155"/>
      <c r="BQ2284" s="314"/>
      <c r="BR2284" s="314"/>
      <c r="BS2284" s="314"/>
      <c r="BT2284" s="314"/>
      <c r="BU2284" s="314"/>
      <c r="BV2284" s="314"/>
      <c r="BW2284" s="314"/>
      <c r="BX2284" s="155"/>
    </row>
    <row r="2285" spans="1:76" ht="15.75" customHeight="1">
      <c r="A2285" s="25"/>
      <c r="B2285" s="39"/>
      <c r="C2285" s="155"/>
      <c r="D2285" s="155"/>
      <c r="E2285" s="40"/>
      <c r="F2285" s="314"/>
      <c r="H2285" s="315"/>
      <c r="I2285" s="315"/>
      <c r="BA2285" s="30"/>
      <c r="BB2285" s="155"/>
      <c r="BC2285" s="314"/>
      <c r="BD2285" s="314"/>
      <c r="BE2285" s="314"/>
      <c r="BF2285" s="314"/>
      <c r="BG2285" s="314"/>
      <c r="BH2285" s="314"/>
      <c r="BI2285" s="314"/>
      <c r="BJ2285" s="314"/>
      <c r="BK2285" s="40"/>
      <c r="BL2285" s="40"/>
      <c r="BM2285" s="40"/>
      <c r="BN2285" s="40"/>
      <c r="BO2285" s="40"/>
      <c r="BP2285" s="155"/>
      <c r="BQ2285" s="314"/>
      <c r="BR2285" s="314"/>
      <c r="BS2285" s="314"/>
      <c r="BT2285" s="314"/>
      <c r="BU2285" s="314"/>
      <c r="BV2285" s="314"/>
      <c r="BW2285" s="314"/>
      <c r="BX2285" s="155"/>
    </row>
    <row r="2286" spans="1:76" ht="15.75" customHeight="1">
      <c r="A2286" s="25"/>
      <c r="B2286" s="39"/>
      <c r="C2286" s="155"/>
      <c r="D2286" s="155"/>
      <c r="E2286" s="40"/>
      <c r="F2286" s="314"/>
      <c r="H2286" s="315"/>
      <c r="I2286" s="315"/>
      <c r="BA2286" s="30"/>
      <c r="BB2286" s="155"/>
      <c r="BC2286" s="314"/>
      <c r="BD2286" s="314"/>
      <c r="BE2286" s="314"/>
      <c r="BF2286" s="314"/>
      <c r="BG2286" s="314"/>
      <c r="BH2286" s="314"/>
      <c r="BI2286" s="314"/>
      <c r="BJ2286" s="314"/>
      <c r="BK2286" s="40"/>
      <c r="BL2286" s="40"/>
      <c r="BM2286" s="40"/>
      <c r="BN2286" s="40"/>
      <c r="BO2286" s="40"/>
      <c r="BP2286" s="155"/>
      <c r="BQ2286" s="314"/>
      <c r="BR2286" s="314"/>
      <c r="BS2286" s="314"/>
      <c r="BT2286" s="314"/>
      <c r="BU2286" s="314"/>
      <c r="BV2286" s="314"/>
      <c r="BW2286" s="314"/>
      <c r="BX2286" s="155"/>
    </row>
    <row r="2287" spans="1:76" ht="15.75" customHeight="1">
      <c r="A2287" s="25"/>
      <c r="B2287" s="39"/>
      <c r="C2287" s="155"/>
      <c r="D2287" s="155"/>
      <c r="E2287" s="40"/>
      <c r="F2287" s="314"/>
      <c r="H2287" s="315"/>
      <c r="I2287" s="315"/>
      <c r="BA2287" s="30"/>
      <c r="BB2287" s="155"/>
      <c r="BC2287" s="314"/>
      <c r="BD2287" s="314"/>
      <c r="BE2287" s="314"/>
      <c r="BF2287" s="314"/>
      <c r="BG2287" s="314"/>
      <c r="BH2287" s="314"/>
      <c r="BI2287" s="314"/>
      <c r="BJ2287" s="314"/>
      <c r="BK2287" s="40"/>
      <c r="BL2287" s="40"/>
      <c r="BM2287" s="40"/>
      <c r="BN2287" s="40"/>
      <c r="BO2287" s="40"/>
      <c r="BP2287" s="155"/>
      <c r="BQ2287" s="314"/>
      <c r="BR2287" s="314"/>
      <c r="BS2287" s="314"/>
      <c r="BT2287" s="314"/>
      <c r="BU2287" s="314"/>
      <c r="BV2287" s="314"/>
      <c r="BW2287" s="314"/>
      <c r="BX2287" s="155"/>
    </row>
    <row r="2288" spans="1:76" ht="15.75" customHeight="1">
      <c r="A2288" s="25"/>
      <c r="B2288" s="39"/>
      <c r="C2288" s="155"/>
      <c r="D2288" s="155"/>
      <c r="E2288" s="40"/>
      <c r="F2288" s="314"/>
      <c r="H2288" s="315"/>
      <c r="I2288" s="315"/>
      <c r="BA2288" s="30"/>
      <c r="BB2288" s="155"/>
      <c r="BC2288" s="314"/>
      <c r="BD2288" s="314"/>
      <c r="BE2288" s="314"/>
      <c r="BF2288" s="314"/>
      <c r="BG2288" s="314"/>
      <c r="BH2288" s="314"/>
      <c r="BI2288" s="314"/>
      <c r="BJ2288" s="314"/>
      <c r="BK2288" s="40"/>
      <c r="BL2288" s="40"/>
      <c r="BM2288" s="40"/>
      <c r="BN2288" s="40"/>
      <c r="BO2288" s="40"/>
      <c r="BP2288" s="155"/>
      <c r="BQ2288" s="314"/>
      <c r="BR2288" s="314"/>
      <c r="BS2288" s="314"/>
      <c r="BT2288" s="314"/>
      <c r="BU2288" s="314"/>
      <c r="BV2288" s="314"/>
      <c r="BW2288" s="314"/>
      <c r="BX2288" s="155"/>
    </row>
    <row r="2289" spans="1:76" ht="15.75" customHeight="1">
      <c r="A2289" s="25"/>
      <c r="B2289" s="39"/>
      <c r="C2289" s="155"/>
      <c r="D2289" s="155"/>
      <c r="E2289" s="40"/>
      <c r="F2289" s="314"/>
      <c r="H2289" s="315"/>
      <c r="I2289" s="315"/>
      <c r="BA2289" s="30"/>
      <c r="BB2289" s="155"/>
      <c r="BC2289" s="314"/>
      <c r="BD2289" s="314"/>
      <c r="BE2289" s="314"/>
      <c r="BF2289" s="314"/>
      <c r="BG2289" s="314"/>
      <c r="BH2289" s="314"/>
      <c r="BI2289" s="314"/>
      <c r="BJ2289" s="314"/>
      <c r="BK2289" s="40"/>
      <c r="BL2289" s="40"/>
      <c r="BM2289" s="40"/>
      <c r="BN2289" s="40"/>
      <c r="BO2289" s="40"/>
      <c r="BP2289" s="155"/>
      <c r="BQ2289" s="314"/>
      <c r="BR2289" s="314"/>
      <c r="BS2289" s="314"/>
      <c r="BT2289" s="314"/>
      <c r="BU2289" s="314"/>
      <c r="BV2289" s="314"/>
      <c r="BW2289" s="314"/>
      <c r="BX2289" s="155"/>
    </row>
    <row r="2290" spans="1:76" ht="15.75" customHeight="1">
      <c r="A2290" s="25"/>
      <c r="B2290" s="39"/>
      <c r="C2290" s="155"/>
      <c r="D2290" s="155"/>
      <c r="E2290" s="40"/>
      <c r="F2290" s="314"/>
      <c r="H2290" s="315"/>
      <c r="I2290" s="315"/>
      <c r="BA2290" s="30"/>
      <c r="BB2290" s="155"/>
      <c r="BC2290" s="314"/>
      <c r="BD2290" s="314"/>
      <c r="BE2290" s="314"/>
      <c r="BF2290" s="314"/>
      <c r="BG2290" s="314"/>
      <c r="BH2290" s="314"/>
      <c r="BI2290" s="314"/>
      <c r="BJ2290" s="314"/>
      <c r="BK2290" s="40"/>
      <c r="BL2290" s="40"/>
      <c r="BM2290" s="40"/>
      <c r="BN2290" s="40"/>
      <c r="BO2290" s="40"/>
      <c r="BP2290" s="155"/>
      <c r="BQ2290" s="314"/>
      <c r="BR2290" s="314"/>
      <c r="BS2290" s="314"/>
      <c r="BT2290" s="314"/>
      <c r="BU2290" s="314"/>
      <c r="BV2290" s="314"/>
      <c r="BW2290" s="314"/>
      <c r="BX2290" s="155"/>
    </row>
    <row r="2291" spans="1:76" ht="15.75" customHeight="1">
      <c r="A2291" s="25"/>
      <c r="B2291" s="39"/>
      <c r="C2291" s="155"/>
      <c r="D2291" s="155"/>
      <c r="E2291" s="40"/>
      <c r="F2291" s="314"/>
      <c r="H2291" s="315"/>
      <c r="I2291" s="315"/>
      <c r="BA2291" s="30"/>
      <c r="BB2291" s="155"/>
      <c r="BC2291" s="314"/>
      <c r="BD2291" s="314"/>
      <c r="BE2291" s="314"/>
      <c r="BF2291" s="314"/>
      <c r="BG2291" s="314"/>
      <c r="BH2291" s="314"/>
      <c r="BI2291" s="314"/>
      <c r="BJ2291" s="314"/>
      <c r="BK2291" s="40"/>
      <c r="BL2291" s="40"/>
      <c r="BM2291" s="40"/>
      <c r="BN2291" s="40"/>
      <c r="BO2291" s="40"/>
      <c r="BP2291" s="155"/>
      <c r="BQ2291" s="314"/>
      <c r="BR2291" s="314"/>
      <c r="BS2291" s="314"/>
      <c r="BT2291" s="314"/>
      <c r="BU2291" s="314"/>
      <c r="BV2291" s="314"/>
      <c r="BW2291" s="314"/>
      <c r="BX2291" s="155"/>
    </row>
    <row r="2292" spans="1:76" ht="15.75" customHeight="1">
      <c r="A2292" s="25"/>
      <c r="B2292" s="39"/>
      <c r="C2292" s="155"/>
      <c r="D2292" s="155"/>
      <c r="E2292" s="40"/>
      <c r="F2292" s="314"/>
      <c r="H2292" s="315"/>
      <c r="I2292" s="315"/>
      <c r="BA2292" s="30"/>
      <c r="BB2292" s="155"/>
      <c r="BC2292" s="322"/>
      <c r="BD2292" s="322"/>
      <c r="BE2292" s="322"/>
      <c r="BF2292" s="322"/>
      <c r="BG2292" s="322"/>
      <c r="BH2292" s="322"/>
      <c r="BI2292" s="322"/>
      <c r="BJ2292" s="322"/>
      <c r="BK2292" s="341"/>
      <c r="BL2292" s="40"/>
      <c r="BM2292" s="40"/>
      <c r="BN2292" s="40"/>
      <c r="BO2292" s="40"/>
      <c r="BP2292" s="155"/>
      <c r="BQ2292" s="314"/>
      <c r="BR2292" s="314"/>
      <c r="BS2292" s="314"/>
      <c r="BT2292" s="314"/>
      <c r="BU2292" s="314"/>
      <c r="BV2292" s="314"/>
      <c r="BW2292" s="314"/>
      <c r="BX2292" s="155"/>
    </row>
    <row r="2293" spans="1:76" ht="15.75" customHeight="1">
      <c r="A2293" s="25"/>
      <c r="B2293" s="39"/>
      <c r="C2293" s="155"/>
      <c r="D2293" s="155"/>
      <c r="E2293" s="40"/>
      <c r="F2293" s="314"/>
      <c r="H2293" s="315"/>
      <c r="I2293" s="315"/>
      <c r="BA2293" s="30"/>
      <c r="BB2293" s="155"/>
      <c r="BC2293" s="314"/>
      <c r="BD2293" s="314"/>
      <c r="BE2293" s="314"/>
      <c r="BF2293" s="314"/>
      <c r="BG2293" s="314"/>
      <c r="BH2293" s="314"/>
      <c r="BI2293" s="314"/>
      <c r="BJ2293" s="314"/>
      <c r="BK2293" s="40"/>
      <c r="BL2293" s="40"/>
      <c r="BM2293" s="40"/>
      <c r="BN2293" s="40"/>
      <c r="BO2293" s="40"/>
      <c r="BP2293" s="155"/>
      <c r="BQ2293" s="314"/>
      <c r="BR2293" s="314"/>
      <c r="BS2293" s="314"/>
      <c r="BT2293" s="314"/>
      <c r="BU2293" s="314"/>
      <c r="BV2293" s="314"/>
      <c r="BW2293" s="314"/>
      <c r="BX2293" s="155"/>
    </row>
    <row r="2294" spans="1:76" ht="15.75" customHeight="1">
      <c r="A2294" s="25"/>
      <c r="B2294" s="39"/>
      <c r="C2294" s="155"/>
      <c r="D2294" s="155"/>
      <c r="E2294" s="40"/>
      <c r="F2294" s="314"/>
      <c r="H2294" s="315"/>
      <c r="I2294" s="315"/>
      <c r="BA2294" s="30"/>
      <c r="BB2294" s="155"/>
      <c r="BC2294" s="314"/>
      <c r="BD2294" s="314"/>
      <c r="BE2294" s="314"/>
      <c r="BF2294" s="314"/>
      <c r="BG2294" s="314"/>
      <c r="BH2294" s="314"/>
      <c r="BI2294" s="314"/>
      <c r="BJ2294" s="314"/>
      <c r="BK2294" s="40"/>
      <c r="BL2294" s="40"/>
      <c r="BM2294" s="40"/>
      <c r="BN2294" s="40"/>
      <c r="BO2294" s="40"/>
      <c r="BP2294" s="155"/>
      <c r="BQ2294" s="314"/>
      <c r="BR2294" s="314"/>
      <c r="BS2294" s="314"/>
      <c r="BT2294" s="314"/>
      <c r="BU2294" s="314"/>
      <c r="BV2294" s="314"/>
      <c r="BW2294" s="314"/>
      <c r="BX2294" s="155"/>
    </row>
    <row r="2295" spans="1:76" ht="15.75" customHeight="1">
      <c r="A2295" s="25"/>
      <c r="B2295" s="39"/>
      <c r="C2295" s="155"/>
      <c r="D2295" s="155"/>
      <c r="E2295" s="40"/>
      <c r="F2295" s="314"/>
      <c r="H2295" s="315"/>
      <c r="I2295" s="315"/>
      <c r="BA2295" s="30"/>
      <c r="BB2295" s="155"/>
      <c r="BC2295" s="314"/>
      <c r="BD2295" s="314"/>
      <c r="BE2295" s="314"/>
      <c r="BF2295" s="314"/>
      <c r="BG2295" s="314"/>
      <c r="BH2295" s="314"/>
      <c r="BI2295" s="314"/>
      <c r="BJ2295" s="314"/>
      <c r="BK2295" s="40"/>
      <c r="BL2295" s="40"/>
      <c r="BM2295" s="40"/>
      <c r="BN2295" s="40"/>
      <c r="BO2295" s="40"/>
      <c r="BP2295" s="155"/>
      <c r="BQ2295" s="314"/>
      <c r="BR2295" s="314"/>
      <c r="BS2295" s="314"/>
      <c r="BT2295" s="314"/>
      <c r="BU2295" s="314"/>
      <c r="BV2295" s="314"/>
      <c r="BW2295" s="314"/>
      <c r="BX2295" s="155"/>
    </row>
    <row r="2296" spans="1:76" ht="15.75" customHeight="1">
      <c r="A2296" s="25"/>
      <c r="B2296" s="39"/>
      <c r="C2296" s="155"/>
      <c r="D2296" s="155"/>
      <c r="E2296" s="40"/>
      <c r="F2296" s="314"/>
      <c r="H2296" s="315"/>
      <c r="I2296" s="315"/>
      <c r="BA2296" s="30"/>
      <c r="BB2296" s="155"/>
      <c r="BC2296" s="314"/>
      <c r="BD2296" s="314"/>
      <c r="BE2296" s="314"/>
      <c r="BF2296" s="314"/>
      <c r="BG2296" s="314"/>
      <c r="BH2296" s="314"/>
      <c r="BI2296" s="314"/>
      <c r="BJ2296" s="314"/>
      <c r="BK2296" s="40"/>
      <c r="BL2296" s="40"/>
      <c r="BM2296" s="40"/>
      <c r="BN2296" s="40"/>
      <c r="BO2296" s="40"/>
      <c r="BP2296" s="155"/>
      <c r="BQ2296" s="314"/>
      <c r="BR2296" s="314"/>
      <c r="BS2296" s="314"/>
      <c r="BT2296" s="314"/>
      <c r="BU2296" s="314"/>
      <c r="BV2296" s="314"/>
      <c r="BW2296" s="314"/>
      <c r="BX2296" s="155"/>
    </row>
    <row r="2297" spans="1:76" ht="15.75" customHeight="1">
      <c r="A2297" s="25"/>
      <c r="B2297" s="39"/>
      <c r="C2297" s="155"/>
      <c r="D2297" s="155"/>
      <c r="E2297" s="40"/>
      <c r="F2297" s="314"/>
      <c r="H2297" s="315"/>
      <c r="I2297" s="315"/>
      <c r="BA2297" s="30"/>
      <c r="BB2297" s="155"/>
      <c r="BC2297" s="314"/>
      <c r="BD2297" s="314"/>
      <c r="BE2297" s="314"/>
      <c r="BF2297" s="314"/>
      <c r="BG2297" s="314"/>
      <c r="BH2297" s="314"/>
      <c r="BI2297" s="314"/>
      <c r="BJ2297" s="314"/>
      <c r="BK2297" s="40"/>
      <c r="BL2297" s="40"/>
      <c r="BM2297" s="40"/>
      <c r="BN2297" s="40"/>
      <c r="BO2297" s="40"/>
      <c r="BP2297" s="155"/>
      <c r="BQ2297" s="314"/>
      <c r="BR2297" s="314"/>
      <c r="BS2297" s="314"/>
      <c r="BT2297" s="314"/>
      <c r="BU2297" s="314"/>
      <c r="BV2297" s="314"/>
      <c r="BW2297" s="314"/>
      <c r="BX2297" s="155"/>
    </row>
    <row r="2298" spans="1:76" ht="15.75" customHeight="1">
      <c r="A2298" s="25"/>
      <c r="B2298" s="39"/>
      <c r="C2298" s="155"/>
      <c r="D2298" s="155"/>
      <c r="E2298" s="40"/>
      <c r="F2298" s="314"/>
      <c r="H2298" s="315"/>
      <c r="I2298" s="315"/>
      <c r="BA2298" s="30"/>
      <c r="BB2298" s="155"/>
      <c r="BC2298" s="314"/>
      <c r="BD2298" s="314"/>
      <c r="BE2298" s="314"/>
      <c r="BF2298" s="314"/>
      <c r="BG2298" s="314"/>
      <c r="BH2298" s="314"/>
      <c r="BI2298" s="314"/>
      <c r="BJ2298" s="314"/>
      <c r="BK2298" s="40"/>
      <c r="BL2298" s="40"/>
      <c r="BM2298" s="40"/>
      <c r="BN2298" s="40"/>
      <c r="BO2298" s="40"/>
      <c r="BP2298" s="155"/>
      <c r="BQ2298" s="314"/>
      <c r="BR2298" s="314"/>
      <c r="BS2298" s="314"/>
      <c r="BT2298" s="314"/>
      <c r="BU2298" s="314"/>
      <c r="BV2298" s="314"/>
      <c r="BW2298" s="314"/>
      <c r="BX2298" s="155"/>
    </row>
    <row r="2299" spans="1:76" ht="15.75" customHeight="1">
      <c r="A2299" s="25"/>
      <c r="B2299" s="39"/>
      <c r="C2299" s="155"/>
      <c r="D2299" s="155"/>
      <c r="E2299" s="40"/>
      <c r="F2299" s="314"/>
      <c r="H2299" s="315"/>
      <c r="I2299" s="315"/>
      <c r="BA2299" s="30"/>
      <c r="BB2299" s="155"/>
      <c r="BC2299" s="314"/>
      <c r="BD2299" s="314"/>
      <c r="BE2299" s="314"/>
      <c r="BF2299" s="314"/>
      <c r="BG2299" s="314"/>
      <c r="BH2299" s="314"/>
      <c r="BI2299" s="314"/>
      <c r="BJ2299" s="314"/>
      <c r="BK2299" s="40"/>
      <c r="BL2299" s="40"/>
      <c r="BM2299" s="40"/>
      <c r="BN2299" s="40"/>
      <c r="BO2299" s="40"/>
      <c r="BP2299" s="155"/>
      <c r="BQ2299" s="314"/>
      <c r="BR2299" s="314"/>
      <c r="BS2299" s="314"/>
      <c r="BT2299" s="314"/>
      <c r="BU2299" s="314"/>
      <c r="BV2299" s="314"/>
      <c r="BW2299" s="314"/>
      <c r="BX2299" s="155"/>
    </row>
    <row r="2300" spans="1:76" ht="15.75" customHeight="1">
      <c r="A2300" s="25"/>
      <c r="B2300" s="39"/>
      <c r="C2300" s="155"/>
      <c r="D2300" s="155"/>
      <c r="E2300" s="40"/>
      <c r="F2300" s="314"/>
      <c r="H2300" s="315"/>
      <c r="I2300" s="315"/>
      <c r="BA2300" s="30"/>
      <c r="BB2300" s="155"/>
      <c r="BC2300" s="314"/>
      <c r="BD2300" s="314"/>
      <c r="BE2300" s="314"/>
      <c r="BF2300" s="314"/>
      <c r="BG2300" s="314"/>
      <c r="BH2300" s="314"/>
      <c r="BI2300" s="314"/>
      <c r="BJ2300" s="314"/>
      <c r="BK2300" s="40"/>
      <c r="BL2300" s="40"/>
      <c r="BM2300" s="40"/>
      <c r="BN2300" s="40"/>
      <c r="BO2300" s="40"/>
      <c r="BP2300" s="155"/>
      <c r="BQ2300" s="314"/>
      <c r="BR2300" s="314"/>
      <c r="BS2300" s="314"/>
      <c r="BT2300" s="314"/>
      <c r="BU2300" s="314"/>
      <c r="BV2300" s="314"/>
      <c r="BW2300" s="314"/>
      <c r="BX2300" s="155"/>
    </row>
    <row r="2301" spans="1:76" ht="15.75" customHeight="1">
      <c r="A2301" s="25"/>
      <c r="B2301" s="39"/>
      <c r="C2301" s="155"/>
      <c r="D2301" s="155"/>
      <c r="E2301" s="40"/>
      <c r="F2301" s="314"/>
      <c r="H2301" s="315"/>
      <c r="I2301" s="315"/>
      <c r="BA2301" s="30"/>
      <c r="BB2301" s="155"/>
      <c r="BC2301" s="314"/>
      <c r="BD2301" s="314"/>
      <c r="BE2301" s="314"/>
      <c r="BF2301" s="314"/>
      <c r="BG2301" s="314"/>
      <c r="BH2301" s="314"/>
      <c r="BI2301" s="314"/>
      <c r="BJ2301" s="314"/>
      <c r="BK2301" s="40"/>
      <c r="BL2301" s="40"/>
      <c r="BM2301" s="40"/>
      <c r="BN2301" s="40"/>
      <c r="BO2301" s="40"/>
      <c r="BP2301" s="155"/>
      <c r="BQ2301" s="314"/>
      <c r="BR2301" s="314"/>
      <c r="BS2301" s="314"/>
      <c r="BT2301" s="314"/>
      <c r="BU2301" s="314"/>
      <c r="BV2301" s="314"/>
      <c r="BW2301" s="314"/>
      <c r="BX2301" s="155"/>
    </row>
    <row r="2302" spans="1:76" ht="15.75" customHeight="1">
      <c r="A2302" s="25"/>
      <c r="B2302" s="39"/>
      <c r="C2302" s="155"/>
      <c r="D2302" s="155"/>
      <c r="E2302" s="40"/>
      <c r="F2302" s="314"/>
      <c r="H2302" s="315"/>
      <c r="I2302" s="315"/>
      <c r="BA2302" s="30"/>
      <c r="BB2302" s="155"/>
      <c r="BC2302" s="314"/>
      <c r="BD2302" s="314"/>
      <c r="BE2302" s="314"/>
      <c r="BF2302" s="314"/>
      <c r="BG2302" s="314"/>
      <c r="BH2302" s="314"/>
      <c r="BI2302" s="314"/>
      <c r="BJ2302" s="314"/>
      <c r="BK2302" s="40"/>
      <c r="BL2302" s="40"/>
      <c r="BM2302" s="40"/>
      <c r="BN2302" s="40"/>
      <c r="BO2302" s="40"/>
      <c r="BP2302" s="155"/>
      <c r="BQ2302" s="314"/>
      <c r="BR2302" s="314"/>
      <c r="BS2302" s="314"/>
      <c r="BT2302" s="314"/>
      <c r="BU2302" s="314"/>
      <c r="BV2302" s="314"/>
      <c r="BW2302" s="314"/>
      <c r="BX2302" s="155"/>
    </row>
    <row r="2303" spans="1:76" ht="15.75" customHeight="1">
      <c r="A2303" s="25"/>
      <c r="B2303" s="39"/>
      <c r="C2303" s="155"/>
      <c r="D2303" s="155"/>
      <c r="E2303" s="40"/>
      <c r="F2303" s="314"/>
      <c r="H2303" s="315"/>
      <c r="I2303" s="315"/>
      <c r="BA2303" s="30"/>
      <c r="BB2303" s="155"/>
      <c r="BC2303" s="314"/>
      <c r="BD2303" s="314"/>
      <c r="BE2303" s="314"/>
      <c r="BF2303" s="314"/>
      <c r="BG2303" s="314"/>
      <c r="BH2303" s="314"/>
      <c r="BI2303" s="314"/>
      <c r="BJ2303" s="314"/>
      <c r="BK2303" s="40"/>
      <c r="BL2303" s="40"/>
      <c r="BM2303" s="40"/>
      <c r="BN2303" s="40"/>
      <c r="BO2303" s="40"/>
      <c r="BP2303" s="155"/>
      <c r="BQ2303" s="314"/>
      <c r="BR2303" s="314"/>
      <c r="BS2303" s="314"/>
      <c r="BT2303" s="314"/>
      <c r="BU2303" s="314"/>
      <c r="BV2303" s="314"/>
      <c r="BW2303" s="314"/>
      <c r="BX2303" s="155"/>
    </row>
    <row r="2304" spans="1:76" ht="15.75" customHeight="1">
      <c r="A2304" s="25"/>
      <c r="B2304" s="39"/>
      <c r="C2304" s="155"/>
      <c r="D2304" s="155"/>
      <c r="E2304" s="40"/>
      <c r="F2304" s="314"/>
      <c r="H2304" s="315"/>
      <c r="I2304" s="315"/>
      <c r="BA2304" s="30"/>
      <c r="BB2304" s="155"/>
      <c r="BC2304" s="314"/>
      <c r="BD2304" s="314"/>
      <c r="BE2304" s="314"/>
      <c r="BF2304" s="314"/>
      <c r="BG2304" s="314"/>
      <c r="BH2304" s="314"/>
      <c r="BI2304" s="314"/>
      <c r="BJ2304" s="314"/>
      <c r="BK2304" s="40"/>
      <c r="BL2304" s="40"/>
      <c r="BM2304" s="40"/>
      <c r="BN2304" s="40"/>
      <c r="BO2304" s="40"/>
      <c r="BP2304" s="155"/>
      <c r="BQ2304" s="314"/>
      <c r="BR2304" s="314"/>
      <c r="BS2304" s="314"/>
      <c r="BT2304" s="314"/>
      <c r="BU2304" s="314"/>
      <c r="BV2304" s="314"/>
      <c r="BW2304" s="314"/>
      <c r="BX2304" s="155"/>
    </row>
    <row r="2305" spans="1:76" ht="15.75" customHeight="1">
      <c r="A2305" s="25"/>
      <c r="B2305" s="39"/>
      <c r="C2305" s="155"/>
      <c r="D2305" s="155"/>
      <c r="E2305" s="40"/>
      <c r="F2305" s="314"/>
      <c r="H2305" s="315"/>
      <c r="I2305" s="315"/>
      <c r="BA2305" s="30"/>
      <c r="BB2305" s="155"/>
      <c r="BC2305" s="314"/>
      <c r="BD2305" s="314"/>
      <c r="BE2305" s="314"/>
      <c r="BF2305" s="314"/>
      <c r="BG2305" s="314"/>
      <c r="BH2305" s="314"/>
      <c r="BI2305" s="314"/>
      <c r="BJ2305" s="314"/>
      <c r="BK2305" s="40"/>
      <c r="BL2305" s="40"/>
      <c r="BM2305" s="40"/>
      <c r="BN2305" s="40"/>
      <c r="BO2305" s="40"/>
      <c r="BP2305" s="155"/>
      <c r="BQ2305" s="314"/>
      <c r="BR2305" s="314"/>
      <c r="BS2305" s="314"/>
      <c r="BT2305" s="314"/>
      <c r="BU2305" s="314"/>
      <c r="BV2305" s="314"/>
      <c r="BW2305" s="314"/>
      <c r="BX2305" s="155"/>
    </row>
    <row r="2306" spans="1:76" ht="15.75" customHeight="1">
      <c r="A2306" s="25"/>
      <c r="B2306" s="39"/>
      <c r="C2306" s="155"/>
      <c r="D2306" s="155"/>
      <c r="E2306" s="40"/>
      <c r="F2306" s="314"/>
      <c r="H2306" s="315"/>
      <c r="I2306" s="315"/>
      <c r="BA2306" s="30"/>
      <c r="BB2306" s="155"/>
      <c r="BC2306" s="314"/>
      <c r="BD2306" s="314"/>
      <c r="BE2306" s="314"/>
      <c r="BF2306" s="314"/>
      <c r="BG2306" s="314"/>
      <c r="BH2306" s="314"/>
      <c r="BI2306" s="314"/>
      <c r="BJ2306" s="314"/>
      <c r="BK2306" s="40"/>
      <c r="BL2306" s="40"/>
      <c r="BM2306" s="40"/>
      <c r="BN2306" s="40"/>
      <c r="BO2306" s="40"/>
      <c r="BP2306" s="155"/>
      <c r="BQ2306" s="314"/>
      <c r="BR2306" s="314"/>
      <c r="BS2306" s="314"/>
      <c r="BT2306" s="314"/>
      <c r="BU2306" s="314"/>
      <c r="BV2306" s="314"/>
      <c r="BW2306" s="314"/>
      <c r="BX2306" s="155"/>
    </row>
    <row r="2307" spans="1:76" ht="15.75" customHeight="1">
      <c r="A2307" s="25"/>
      <c r="B2307" s="39"/>
      <c r="C2307" s="155"/>
      <c r="D2307" s="155"/>
      <c r="E2307" s="40"/>
      <c r="F2307" s="314"/>
      <c r="H2307" s="315"/>
      <c r="I2307" s="315"/>
      <c r="BA2307" s="30"/>
      <c r="BB2307" s="155"/>
      <c r="BC2307" s="314"/>
      <c r="BD2307" s="314"/>
      <c r="BE2307" s="314"/>
      <c r="BF2307" s="314"/>
      <c r="BG2307" s="314"/>
      <c r="BH2307" s="314"/>
      <c r="BI2307" s="314"/>
      <c r="BJ2307" s="314"/>
      <c r="BK2307" s="40"/>
      <c r="BL2307" s="40"/>
      <c r="BM2307" s="40"/>
      <c r="BN2307" s="40"/>
      <c r="BO2307" s="40"/>
      <c r="BP2307" s="155"/>
      <c r="BQ2307" s="314"/>
      <c r="BR2307" s="314"/>
      <c r="BS2307" s="314"/>
      <c r="BT2307" s="314"/>
      <c r="BU2307" s="314"/>
      <c r="BV2307" s="314"/>
      <c r="BW2307" s="314"/>
      <c r="BX2307" s="155"/>
    </row>
    <row r="2308" spans="1:76" ht="15.75" customHeight="1">
      <c r="A2308" s="25"/>
      <c r="B2308" s="39"/>
      <c r="C2308" s="155"/>
      <c r="D2308" s="155"/>
      <c r="E2308" s="40"/>
      <c r="F2308" s="314"/>
      <c r="H2308" s="315"/>
      <c r="I2308" s="315"/>
      <c r="BA2308" s="30"/>
      <c r="BB2308" s="155"/>
      <c r="BC2308" s="314"/>
      <c r="BD2308" s="314"/>
      <c r="BE2308" s="314"/>
      <c r="BF2308" s="314"/>
      <c r="BG2308" s="314"/>
      <c r="BH2308" s="314"/>
      <c r="BI2308" s="314"/>
      <c r="BJ2308" s="314"/>
      <c r="BK2308" s="40"/>
      <c r="BL2308" s="40"/>
      <c r="BM2308" s="40"/>
      <c r="BN2308" s="40"/>
      <c r="BO2308" s="40"/>
      <c r="BP2308" s="155"/>
      <c r="BQ2308" s="314"/>
      <c r="BR2308" s="314"/>
      <c r="BS2308" s="314"/>
      <c r="BT2308" s="314"/>
      <c r="BU2308" s="314"/>
      <c r="BV2308" s="314"/>
      <c r="BW2308" s="314"/>
      <c r="BX2308" s="155"/>
    </row>
    <row r="2309" spans="1:76" ht="15.75" customHeight="1">
      <c r="A2309" s="25"/>
      <c r="B2309" s="39"/>
      <c r="C2309" s="155"/>
      <c r="D2309" s="155"/>
      <c r="E2309" s="40"/>
      <c r="F2309" s="314"/>
      <c r="H2309" s="315"/>
      <c r="I2309" s="315"/>
      <c r="BA2309" s="30"/>
      <c r="BB2309" s="155"/>
      <c r="BC2309" s="314"/>
      <c r="BD2309" s="314"/>
      <c r="BE2309" s="314"/>
      <c r="BF2309" s="314"/>
      <c r="BG2309" s="314"/>
      <c r="BH2309" s="314"/>
      <c r="BI2309" s="314"/>
      <c r="BJ2309" s="314"/>
      <c r="BK2309" s="40"/>
      <c r="BL2309" s="40"/>
      <c r="BM2309" s="40"/>
      <c r="BN2309" s="40"/>
      <c r="BO2309" s="40"/>
      <c r="BP2309" s="155"/>
      <c r="BQ2309" s="314"/>
      <c r="BR2309" s="314"/>
      <c r="BS2309" s="314"/>
      <c r="BT2309" s="314"/>
      <c r="BU2309" s="314"/>
      <c r="BV2309" s="314"/>
      <c r="BW2309" s="314"/>
      <c r="BX2309" s="155"/>
    </row>
    <row r="2310" spans="1:76" ht="15.75" customHeight="1">
      <c r="A2310" s="25"/>
      <c r="B2310" s="39"/>
      <c r="C2310" s="155"/>
      <c r="D2310" s="155"/>
      <c r="E2310" s="40"/>
      <c r="F2310" s="314"/>
      <c r="H2310" s="315"/>
      <c r="I2310" s="315"/>
      <c r="BA2310" s="30"/>
      <c r="BB2310" s="155"/>
      <c r="BC2310" s="314"/>
      <c r="BD2310" s="314"/>
      <c r="BE2310" s="314"/>
      <c r="BF2310" s="314"/>
      <c r="BG2310" s="314"/>
      <c r="BH2310" s="314"/>
      <c r="BI2310" s="314"/>
      <c r="BJ2310" s="314"/>
      <c r="BK2310" s="40"/>
      <c r="BL2310" s="40"/>
      <c r="BM2310" s="40"/>
      <c r="BN2310" s="40"/>
      <c r="BO2310" s="40"/>
      <c r="BP2310" s="155"/>
      <c r="BQ2310" s="314"/>
      <c r="BR2310" s="314"/>
      <c r="BS2310" s="314"/>
      <c r="BT2310" s="314"/>
      <c r="BU2310" s="314"/>
      <c r="BV2310" s="314"/>
      <c r="BW2310" s="314"/>
      <c r="BX2310" s="155"/>
    </row>
    <row r="2311" spans="1:76" ht="15.75" customHeight="1">
      <c r="A2311" s="25"/>
      <c r="B2311" s="39"/>
      <c r="C2311" s="155"/>
      <c r="D2311" s="155"/>
      <c r="E2311" s="40"/>
      <c r="F2311" s="314"/>
      <c r="H2311" s="315"/>
      <c r="I2311" s="315"/>
      <c r="BA2311" s="30"/>
      <c r="BB2311" s="155"/>
      <c r="BC2311" s="314"/>
      <c r="BD2311" s="314"/>
      <c r="BE2311" s="314"/>
      <c r="BF2311" s="314"/>
      <c r="BG2311" s="314"/>
      <c r="BH2311" s="314"/>
      <c r="BI2311" s="314"/>
      <c r="BJ2311" s="314"/>
      <c r="BK2311" s="40"/>
      <c r="BL2311" s="40"/>
      <c r="BM2311" s="40"/>
      <c r="BN2311" s="40"/>
      <c r="BO2311" s="40"/>
      <c r="BP2311" s="155"/>
      <c r="BQ2311" s="314"/>
      <c r="BR2311" s="314"/>
      <c r="BS2311" s="314"/>
      <c r="BT2311" s="314"/>
      <c r="BU2311" s="314"/>
      <c r="BV2311" s="314"/>
      <c r="BW2311" s="314"/>
      <c r="BX2311" s="155"/>
    </row>
    <row r="2312" spans="1:76" ht="15.75" customHeight="1">
      <c r="A2312" s="25"/>
      <c r="B2312" s="39"/>
      <c r="C2312" s="155"/>
      <c r="D2312" s="155"/>
      <c r="E2312" s="40"/>
      <c r="F2312" s="314"/>
      <c r="H2312" s="315"/>
      <c r="I2312" s="315"/>
      <c r="BA2312" s="30"/>
      <c r="BB2312" s="155"/>
      <c r="BC2312" s="314"/>
      <c r="BD2312" s="314"/>
      <c r="BE2312" s="314"/>
      <c r="BF2312" s="314"/>
      <c r="BG2312" s="314"/>
      <c r="BH2312" s="314"/>
      <c r="BI2312" s="314"/>
      <c r="BJ2312" s="314"/>
      <c r="BK2312" s="40"/>
      <c r="BL2312" s="40"/>
      <c r="BM2312" s="40"/>
      <c r="BN2312" s="40"/>
      <c r="BO2312" s="40"/>
      <c r="BP2312" s="155"/>
      <c r="BQ2312" s="314"/>
      <c r="BR2312" s="314"/>
      <c r="BS2312" s="314"/>
      <c r="BT2312" s="314"/>
      <c r="BU2312" s="314"/>
      <c r="BV2312" s="314"/>
      <c r="BW2312" s="314"/>
      <c r="BX2312" s="155"/>
    </row>
    <row r="2313" spans="1:76" ht="15.75" customHeight="1">
      <c r="A2313" s="25"/>
      <c r="B2313" s="39"/>
      <c r="C2313" s="155"/>
      <c r="D2313" s="155"/>
      <c r="E2313" s="40"/>
      <c r="F2313" s="314"/>
      <c r="H2313" s="315"/>
      <c r="I2313" s="315"/>
      <c r="BA2313" s="30"/>
      <c r="BB2313" s="155"/>
      <c r="BC2313" s="314"/>
      <c r="BD2313" s="314"/>
      <c r="BE2313" s="314"/>
      <c r="BF2313" s="314"/>
      <c r="BG2313" s="314"/>
      <c r="BH2313" s="314"/>
      <c r="BI2313" s="314"/>
      <c r="BJ2313" s="314"/>
      <c r="BK2313" s="40"/>
      <c r="BL2313" s="40"/>
      <c r="BM2313" s="40"/>
      <c r="BN2313" s="40"/>
      <c r="BO2313" s="40"/>
      <c r="BP2313" s="155"/>
      <c r="BQ2313" s="314"/>
      <c r="BR2313" s="314"/>
      <c r="BS2313" s="314"/>
      <c r="BT2313" s="314"/>
      <c r="BU2313" s="314"/>
      <c r="BV2313" s="314"/>
      <c r="BW2313" s="314"/>
      <c r="BX2313" s="155"/>
    </row>
    <row r="2314" spans="1:76" ht="15.75" customHeight="1">
      <c r="A2314" s="25"/>
      <c r="B2314" s="39"/>
      <c r="C2314" s="155"/>
      <c r="D2314" s="155"/>
      <c r="E2314" s="40"/>
      <c r="F2314" s="314"/>
      <c r="H2314" s="315"/>
      <c r="I2314" s="315"/>
      <c r="BA2314" s="30"/>
      <c r="BB2314" s="155"/>
      <c r="BC2314" s="314"/>
      <c r="BD2314" s="314"/>
      <c r="BE2314" s="314"/>
      <c r="BF2314" s="314"/>
      <c r="BG2314" s="314"/>
      <c r="BH2314" s="314"/>
      <c r="BI2314" s="314"/>
      <c r="BJ2314" s="314"/>
      <c r="BK2314" s="40"/>
      <c r="BL2314" s="40"/>
      <c r="BM2314" s="40"/>
      <c r="BN2314" s="40"/>
      <c r="BO2314" s="40"/>
      <c r="BP2314" s="155"/>
      <c r="BQ2314" s="314"/>
      <c r="BR2314" s="314"/>
      <c r="BS2314" s="314"/>
      <c r="BT2314" s="314"/>
      <c r="BU2314" s="314"/>
      <c r="BV2314" s="314"/>
      <c r="BW2314" s="314"/>
      <c r="BX2314" s="155"/>
    </row>
    <row r="2315" spans="1:76" ht="15.75" customHeight="1">
      <c r="A2315" s="25"/>
      <c r="B2315" s="39"/>
      <c r="C2315" s="155"/>
      <c r="D2315" s="155"/>
      <c r="E2315" s="40"/>
      <c r="F2315" s="314"/>
      <c r="H2315" s="315"/>
      <c r="I2315" s="315"/>
      <c r="BA2315" s="30"/>
      <c r="BB2315" s="155"/>
      <c r="BC2315" s="314"/>
      <c r="BD2315" s="314"/>
      <c r="BE2315" s="314"/>
      <c r="BF2315" s="314"/>
      <c r="BG2315" s="314"/>
      <c r="BH2315" s="314"/>
      <c r="BI2315" s="314"/>
      <c r="BJ2315" s="314"/>
      <c r="BK2315" s="40"/>
      <c r="BL2315" s="40"/>
      <c r="BM2315" s="40"/>
      <c r="BN2315" s="40"/>
      <c r="BO2315" s="40"/>
      <c r="BP2315" s="155"/>
      <c r="BQ2315" s="314"/>
      <c r="BR2315" s="314"/>
      <c r="BS2315" s="314"/>
      <c r="BT2315" s="314"/>
      <c r="BU2315" s="314"/>
      <c r="BV2315" s="314"/>
      <c r="BW2315" s="314"/>
      <c r="BX2315" s="155"/>
    </row>
    <row r="2316" spans="1:76" ht="15.75" customHeight="1">
      <c r="A2316" s="25"/>
      <c r="B2316" s="39"/>
      <c r="C2316" s="155"/>
      <c r="D2316" s="155"/>
      <c r="E2316" s="40"/>
      <c r="F2316" s="314"/>
      <c r="H2316" s="315"/>
      <c r="I2316" s="315"/>
      <c r="BA2316" s="30"/>
      <c r="BB2316" s="155"/>
      <c r="BC2316" s="314"/>
      <c r="BD2316" s="314"/>
      <c r="BE2316" s="314"/>
      <c r="BF2316" s="314"/>
      <c r="BG2316" s="314"/>
      <c r="BH2316" s="314"/>
      <c r="BI2316" s="314"/>
      <c r="BJ2316" s="314"/>
      <c r="BK2316" s="40"/>
      <c r="BL2316" s="40"/>
      <c r="BM2316" s="40"/>
      <c r="BN2316" s="40"/>
      <c r="BO2316" s="40"/>
      <c r="BP2316" s="155"/>
      <c r="BQ2316" s="314"/>
      <c r="BR2316" s="314"/>
      <c r="BS2316" s="314"/>
      <c r="BT2316" s="314"/>
      <c r="BU2316" s="314"/>
      <c r="BV2316" s="314"/>
      <c r="BW2316" s="314"/>
      <c r="BX2316" s="155"/>
    </row>
    <row r="2317" spans="1:76" ht="15.75" customHeight="1">
      <c r="A2317" s="25"/>
      <c r="B2317" s="39"/>
      <c r="C2317" s="155"/>
      <c r="D2317" s="155"/>
      <c r="E2317" s="40"/>
      <c r="F2317" s="314"/>
      <c r="H2317" s="315"/>
      <c r="I2317" s="315"/>
      <c r="BA2317" s="30"/>
      <c r="BB2317" s="155"/>
      <c r="BC2317" s="314"/>
      <c r="BD2317" s="314"/>
      <c r="BE2317" s="314"/>
      <c r="BF2317" s="314"/>
      <c r="BG2317" s="314"/>
      <c r="BH2317" s="314"/>
      <c r="BI2317" s="314"/>
      <c r="BJ2317" s="314"/>
      <c r="BK2317" s="40"/>
      <c r="BL2317" s="40"/>
      <c r="BM2317" s="40"/>
      <c r="BN2317" s="40"/>
      <c r="BO2317" s="40"/>
      <c r="BP2317" s="155"/>
      <c r="BQ2317" s="314"/>
      <c r="BR2317" s="314"/>
      <c r="BS2317" s="314"/>
      <c r="BT2317" s="314"/>
      <c r="BU2317" s="314"/>
      <c r="BV2317" s="314"/>
      <c r="BW2317" s="314"/>
      <c r="BX2317" s="155"/>
    </row>
    <row r="2318" spans="1:76" ht="15.75" customHeight="1">
      <c r="A2318" s="25"/>
      <c r="B2318" s="39"/>
      <c r="C2318" s="155"/>
      <c r="D2318" s="155"/>
      <c r="E2318" s="40"/>
      <c r="F2318" s="314"/>
      <c r="H2318" s="315"/>
      <c r="I2318" s="315"/>
      <c r="BA2318" s="30"/>
      <c r="BB2318" s="155"/>
      <c r="BC2318" s="314"/>
      <c r="BD2318" s="314"/>
      <c r="BE2318" s="314"/>
      <c r="BF2318" s="314"/>
      <c r="BG2318" s="314"/>
      <c r="BH2318" s="314"/>
      <c r="BI2318" s="314"/>
      <c r="BJ2318" s="314"/>
      <c r="BK2318" s="40"/>
      <c r="BL2318" s="40"/>
      <c r="BM2318" s="40"/>
      <c r="BN2318" s="40"/>
      <c r="BO2318" s="40"/>
      <c r="BP2318" s="155"/>
      <c r="BQ2318" s="314"/>
      <c r="BR2318" s="314"/>
      <c r="BS2318" s="314"/>
      <c r="BT2318" s="314"/>
      <c r="BU2318" s="314"/>
      <c r="BV2318" s="314"/>
      <c r="BW2318" s="314"/>
      <c r="BX2318" s="155"/>
    </row>
    <row r="2319" spans="1:76" ht="15.75" customHeight="1">
      <c r="A2319" s="25"/>
      <c r="B2319" s="39"/>
      <c r="C2319" s="155"/>
      <c r="D2319" s="155"/>
      <c r="E2319" s="40"/>
      <c r="F2319" s="314"/>
      <c r="H2319" s="315"/>
      <c r="I2319" s="315"/>
      <c r="BA2319" s="30"/>
      <c r="BB2319" s="155"/>
      <c r="BC2319" s="314"/>
      <c r="BD2319" s="314"/>
      <c r="BE2319" s="314"/>
      <c r="BF2319" s="314"/>
      <c r="BG2319" s="314"/>
      <c r="BH2319" s="314"/>
      <c r="BI2319" s="314"/>
      <c r="BJ2319" s="314"/>
      <c r="BK2319" s="40"/>
      <c r="BL2319" s="40"/>
      <c r="BM2319" s="40"/>
      <c r="BN2319" s="40"/>
      <c r="BO2319" s="40"/>
      <c r="BP2319" s="155"/>
      <c r="BQ2319" s="314"/>
      <c r="BR2319" s="314"/>
      <c r="BS2319" s="314"/>
      <c r="BT2319" s="314"/>
      <c r="BU2319" s="314"/>
      <c r="BV2319" s="314"/>
      <c r="BW2319" s="314"/>
      <c r="BX2319" s="155"/>
    </row>
    <row r="2320" spans="1:76" ht="15.75" customHeight="1">
      <c r="A2320" s="25"/>
      <c r="B2320" s="39"/>
      <c r="C2320" s="155"/>
      <c r="D2320" s="155"/>
      <c r="E2320" s="40"/>
      <c r="F2320" s="314"/>
      <c r="H2320" s="315"/>
      <c r="I2320" s="315"/>
      <c r="BA2320" s="30"/>
      <c r="BB2320" s="155"/>
      <c r="BC2320" s="314"/>
      <c r="BD2320" s="314"/>
      <c r="BE2320" s="314"/>
      <c r="BF2320" s="314"/>
      <c r="BG2320" s="314"/>
      <c r="BH2320" s="314"/>
      <c r="BI2320" s="314"/>
      <c r="BJ2320" s="314"/>
      <c r="BK2320" s="40"/>
      <c r="BL2320" s="40"/>
      <c r="BM2320" s="40"/>
      <c r="BN2320" s="40"/>
      <c r="BO2320" s="40"/>
      <c r="BP2320" s="155"/>
      <c r="BQ2320" s="314"/>
      <c r="BR2320" s="314"/>
      <c r="BS2320" s="314"/>
      <c r="BT2320" s="314"/>
      <c r="BU2320" s="314"/>
      <c r="BV2320" s="314"/>
      <c r="BW2320" s="314"/>
      <c r="BX2320" s="155"/>
    </row>
    <row r="2321" spans="1:76" ht="15.75" customHeight="1">
      <c r="A2321" s="25"/>
      <c r="B2321" s="39"/>
      <c r="C2321" s="155"/>
      <c r="D2321" s="155"/>
      <c r="E2321" s="40"/>
      <c r="F2321" s="314"/>
      <c r="H2321" s="315"/>
      <c r="I2321" s="315"/>
      <c r="BA2321" s="30"/>
      <c r="BB2321" s="155"/>
      <c r="BC2321" s="314"/>
      <c r="BD2321" s="314"/>
      <c r="BE2321" s="314"/>
      <c r="BF2321" s="314"/>
      <c r="BG2321" s="314"/>
      <c r="BH2321" s="314"/>
      <c r="BI2321" s="314"/>
      <c r="BJ2321" s="314"/>
      <c r="BK2321" s="40"/>
      <c r="BL2321" s="40"/>
      <c r="BM2321" s="40"/>
      <c r="BN2321" s="40"/>
      <c r="BO2321" s="40"/>
      <c r="BP2321" s="155"/>
      <c r="BQ2321" s="314"/>
      <c r="BR2321" s="314"/>
      <c r="BS2321" s="314"/>
      <c r="BT2321" s="314"/>
      <c r="BU2321" s="314"/>
      <c r="BV2321" s="314"/>
      <c r="BW2321" s="314"/>
      <c r="BX2321" s="155"/>
    </row>
    <row r="2322" spans="1:76" ht="15.75" customHeight="1">
      <c r="A2322" s="25"/>
      <c r="B2322" s="39"/>
      <c r="C2322" s="155"/>
      <c r="D2322" s="155"/>
      <c r="E2322" s="40"/>
      <c r="F2322" s="314"/>
      <c r="H2322" s="315"/>
      <c r="I2322" s="315"/>
      <c r="BA2322" s="30"/>
      <c r="BB2322" s="155"/>
      <c r="BC2322" s="314"/>
      <c r="BD2322" s="314"/>
      <c r="BE2322" s="314"/>
      <c r="BF2322" s="314"/>
      <c r="BG2322" s="314"/>
      <c r="BH2322" s="314"/>
      <c r="BI2322" s="314"/>
      <c r="BJ2322" s="314"/>
      <c r="BK2322" s="40"/>
      <c r="BL2322" s="40"/>
      <c r="BM2322" s="40"/>
      <c r="BN2322" s="40"/>
      <c r="BO2322" s="40"/>
      <c r="BP2322" s="155"/>
      <c r="BQ2322" s="314"/>
      <c r="BR2322" s="314"/>
      <c r="BS2322" s="314"/>
      <c r="BT2322" s="314"/>
      <c r="BU2322" s="314"/>
      <c r="BV2322" s="314"/>
      <c r="BW2322" s="314"/>
      <c r="BX2322" s="155"/>
    </row>
    <row r="2323" spans="1:76" ht="15.75" customHeight="1">
      <c r="A2323" s="25"/>
      <c r="B2323" s="39"/>
      <c r="C2323" s="155"/>
      <c r="D2323" s="155"/>
      <c r="E2323" s="40"/>
      <c r="F2323" s="314"/>
      <c r="H2323" s="315"/>
      <c r="I2323" s="315"/>
      <c r="BA2323" s="30"/>
      <c r="BB2323" s="155"/>
      <c r="BC2323" s="314"/>
      <c r="BD2323" s="314"/>
      <c r="BE2323" s="314"/>
      <c r="BF2323" s="314"/>
      <c r="BG2323" s="314"/>
      <c r="BH2323" s="314"/>
      <c r="BI2323" s="314"/>
      <c r="BJ2323" s="314"/>
      <c r="BK2323" s="40"/>
      <c r="BL2323" s="40"/>
      <c r="BM2323" s="40"/>
      <c r="BN2323" s="40"/>
      <c r="BO2323" s="40"/>
      <c r="BP2323" s="155"/>
      <c r="BQ2323" s="314"/>
      <c r="BR2323" s="314"/>
      <c r="BS2323" s="314"/>
      <c r="BT2323" s="314"/>
      <c r="BU2323" s="314"/>
      <c r="BV2323" s="314"/>
      <c r="BW2323" s="314"/>
      <c r="BX2323" s="155"/>
    </row>
    <row r="2324" spans="1:76" ht="15.75" customHeight="1">
      <c r="A2324" s="25"/>
      <c r="B2324" s="39"/>
      <c r="C2324" s="155"/>
      <c r="D2324" s="155"/>
      <c r="E2324" s="40"/>
      <c r="F2324" s="314"/>
      <c r="H2324" s="315"/>
      <c r="I2324" s="315"/>
      <c r="BA2324" s="30"/>
      <c r="BB2324" s="155"/>
      <c r="BC2324" s="314"/>
      <c r="BD2324" s="314"/>
      <c r="BE2324" s="314"/>
      <c r="BF2324" s="314"/>
      <c r="BG2324" s="314"/>
      <c r="BH2324" s="314"/>
      <c r="BI2324" s="314"/>
      <c r="BJ2324" s="314"/>
      <c r="BK2324" s="40"/>
      <c r="BL2324" s="40"/>
      <c r="BM2324" s="40"/>
      <c r="BN2324" s="40"/>
      <c r="BO2324" s="40"/>
      <c r="BP2324" s="155"/>
      <c r="BQ2324" s="314"/>
      <c r="BR2324" s="314"/>
      <c r="BS2324" s="314"/>
      <c r="BT2324" s="314"/>
      <c r="BU2324" s="314"/>
      <c r="BV2324" s="314"/>
      <c r="BW2324" s="314"/>
      <c r="BX2324" s="155"/>
    </row>
    <row r="2325" spans="1:76" ht="15.75" customHeight="1">
      <c r="A2325" s="25"/>
      <c r="B2325" s="39"/>
      <c r="C2325" s="155"/>
      <c r="D2325" s="155"/>
      <c r="E2325" s="40"/>
      <c r="F2325" s="314"/>
      <c r="H2325" s="315"/>
      <c r="I2325" s="315"/>
      <c r="BA2325" s="30"/>
      <c r="BB2325" s="155"/>
      <c r="BC2325" s="314"/>
      <c r="BD2325" s="314"/>
      <c r="BE2325" s="314"/>
      <c r="BF2325" s="314"/>
      <c r="BG2325" s="314"/>
      <c r="BH2325" s="314"/>
      <c r="BI2325" s="314"/>
      <c r="BJ2325" s="314"/>
      <c r="BK2325" s="40"/>
      <c r="BL2325" s="40"/>
      <c r="BM2325" s="40"/>
      <c r="BN2325" s="40"/>
      <c r="BO2325" s="40"/>
      <c r="BP2325" s="155"/>
      <c r="BQ2325" s="314"/>
      <c r="BR2325" s="314"/>
      <c r="BS2325" s="314"/>
      <c r="BT2325" s="314"/>
      <c r="BU2325" s="314"/>
      <c r="BV2325" s="314"/>
      <c r="BW2325" s="314"/>
      <c r="BX2325" s="155"/>
    </row>
    <row r="2326" spans="1:76" ht="15.75" customHeight="1">
      <c r="A2326" s="25"/>
      <c r="B2326" s="39"/>
      <c r="C2326" s="155"/>
      <c r="D2326" s="155"/>
      <c r="E2326" s="40"/>
      <c r="F2326" s="314"/>
      <c r="H2326" s="315"/>
      <c r="I2326" s="315"/>
      <c r="BA2326" s="30"/>
      <c r="BB2326" s="155"/>
      <c r="BC2326" s="314"/>
      <c r="BD2326" s="314"/>
      <c r="BE2326" s="314"/>
      <c r="BF2326" s="314"/>
      <c r="BG2326" s="314"/>
      <c r="BH2326" s="314"/>
      <c r="BI2326" s="314"/>
      <c r="BJ2326" s="314"/>
      <c r="BK2326" s="40"/>
      <c r="BL2326" s="40"/>
      <c r="BM2326" s="40"/>
      <c r="BN2326" s="40"/>
      <c r="BO2326" s="40"/>
      <c r="BP2326" s="155"/>
      <c r="BQ2326" s="314"/>
      <c r="BR2326" s="314"/>
      <c r="BS2326" s="314"/>
      <c r="BT2326" s="314"/>
      <c r="BU2326" s="314"/>
      <c r="BV2326" s="314"/>
      <c r="BW2326" s="314"/>
      <c r="BX2326" s="155"/>
    </row>
    <row r="2327" spans="1:76" ht="15.75" customHeight="1">
      <c r="A2327" s="25"/>
      <c r="B2327" s="39"/>
      <c r="C2327" s="155"/>
      <c r="D2327" s="155"/>
      <c r="E2327" s="40"/>
      <c r="F2327" s="314"/>
      <c r="H2327" s="315"/>
      <c r="I2327" s="315"/>
      <c r="BA2327" s="30"/>
      <c r="BB2327" s="155"/>
      <c r="BC2327" s="314"/>
      <c r="BD2327" s="314"/>
      <c r="BE2327" s="314"/>
      <c r="BF2327" s="314"/>
      <c r="BG2327" s="314"/>
      <c r="BH2327" s="314"/>
      <c r="BI2327" s="314"/>
      <c r="BJ2327" s="314"/>
      <c r="BK2327" s="40"/>
      <c r="BL2327" s="40"/>
      <c r="BM2327" s="40"/>
      <c r="BN2327" s="40"/>
      <c r="BO2327" s="40"/>
      <c r="BP2327" s="155"/>
      <c r="BQ2327" s="314"/>
      <c r="BR2327" s="314"/>
      <c r="BS2327" s="314"/>
      <c r="BT2327" s="314"/>
      <c r="BU2327" s="314"/>
      <c r="BV2327" s="314"/>
      <c r="BW2327" s="314"/>
      <c r="BX2327" s="155"/>
    </row>
    <row r="2328" spans="1:76" ht="15.75" customHeight="1">
      <c r="A2328" s="25"/>
      <c r="B2328" s="39"/>
      <c r="C2328" s="155"/>
      <c r="D2328" s="155"/>
      <c r="E2328" s="40"/>
      <c r="F2328" s="314"/>
      <c r="H2328" s="315"/>
      <c r="I2328" s="315"/>
      <c r="BA2328" s="30"/>
      <c r="BB2328" s="155"/>
      <c r="BC2328" s="314"/>
      <c r="BD2328" s="314"/>
      <c r="BE2328" s="314"/>
      <c r="BF2328" s="314"/>
      <c r="BG2328" s="314"/>
      <c r="BH2328" s="314"/>
      <c r="BI2328" s="314"/>
      <c r="BJ2328" s="314"/>
      <c r="BK2328" s="40"/>
      <c r="BL2328" s="40"/>
      <c r="BM2328" s="40"/>
      <c r="BN2328" s="40"/>
      <c r="BO2328" s="40"/>
      <c r="BP2328" s="155"/>
      <c r="BQ2328" s="314"/>
      <c r="BR2328" s="314"/>
      <c r="BS2328" s="314"/>
      <c r="BT2328" s="314"/>
      <c r="BU2328" s="314"/>
      <c r="BV2328" s="314"/>
      <c r="BW2328" s="314"/>
      <c r="BX2328" s="155"/>
    </row>
    <row r="2329" spans="1:76" ht="15.75" customHeight="1">
      <c r="A2329" s="25"/>
      <c r="B2329" s="39"/>
      <c r="C2329" s="155"/>
      <c r="D2329" s="155"/>
      <c r="E2329" s="40"/>
      <c r="F2329" s="314"/>
      <c r="H2329" s="315"/>
      <c r="I2329" s="315"/>
      <c r="BA2329" s="30"/>
      <c r="BB2329" s="155"/>
      <c r="BC2329" s="314"/>
      <c r="BD2329" s="314"/>
      <c r="BE2329" s="314"/>
      <c r="BF2329" s="314"/>
      <c r="BG2329" s="314"/>
      <c r="BH2329" s="314"/>
      <c r="BI2329" s="314"/>
      <c r="BJ2329" s="314"/>
      <c r="BK2329" s="40"/>
      <c r="BL2329" s="40"/>
      <c r="BM2329" s="40"/>
      <c r="BN2329" s="40"/>
      <c r="BO2329" s="40"/>
      <c r="BP2329" s="155"/>
      <c r="BQ2329" s="314"/>
      <c r="BR2329" s="314"/>
      <c r="BS2329" s="314"/>
      <c r="BT2329" s="314"/>
      <c r="BU2329" s="314"/>
      <c r="BV2329" s="314"/>
      <c r="BW2329" s="314"/>
      <c r="BX2329" s="155"/>
    </row>
    <row r="2330" spans="1:76" ht="15.75" customHeight="1">
      <c r="A2330" s="25"/>
      <c r="B2330" s="39"/>
      <c r="C2330" s="155"/>
      <c r="D2330" s="155"/>
      <c r="E2330" s="40"/>
      <c r="F2330" s="314"/>
      <c r="H2330" s="315"/>
      <c r="I2330" s="315"/>
      <c r="BA2330" s="30"/>
      <c r="BB2330" s="155"/>
      <c r="BC2330" s="314"/>
      <c r="BD2330" s="314"/>
      <c r="BE2330" s="314"/>
      <c r="BF2330" s="314"/>
      <c r="BG2330" s="314"/>
      <c r="BH2330" s="314"/>
      <c r="BI2330" s="314"/>
      <c r="BJ2330" s="314"/>
      <c r="BK2330" s="40"/>
      <c r="BL2330" s="40"/>
      <c r="BM2330" s="40"/>
      <c r="BN2330" s="40"/>
      <c r="BO2330" s="40"/>
      <c r="BP2330" s="155"/>
      <c r="BQ2330" s="314"/>
      <c r="BR2330" s="314"/>
      <c r="BS2330" s="314"/>
      <c r="BT2330" s="314"/>
      <c r="BU2330" s="314"/>
      <c r="BV2330" s="314"/>
      <c r="BW2330" s="314"/>
      <c r="BX2330" s="155"/>
    </row>
    <row r="2331" spans="1:76" ht="15.75" customHeight="1">
      <c r="A2331" s="25"/>
      <c r="B2331" s="39"/>
      <c r="C2331" s="155"/>
      <c r="D2331" s="155"/>
      <c r="E2331" s="40"/>
      <c r="F2331" s="314"/>
      <c r="H2331" s="315"/>
      <c r="I2331" s="315"/>
      <c r="BA2331" s="30"/>
      <c r="BB2331" s="155"/>
      <c r="BC2331" s="314"/>
      <c r="BD2331" s="314"/>
      <c r="BE2331" s="314"/>
      <c r="BF2331" s="314"/>
      <c r="BG2331" s="314"/>
      <c r="BH2331" s="314"/>
      <c r="BI2331" s="314"/>
      <c r="BJ2331" s="314"/>
      <c r="BK2331" s="40"/>
      <c r="BL2331" s="40"/>
      <c r="BM2331" s="40"/>
      <c r="BN2331" s="40"/>
      <c r="BO2331" s="40"/>
      <c r="BP2331" s="155"/>
      <c r="BQ2331" s="314"/>
      <c r="BR2331" s="314"/>
      <c r="BS2331" s="314"/>
      <c r="BT2331" s="314"/>
      <c r="BU2331" s="314"/>
      <c r="BV2331" s="314"/>
      <c r="BW2331" s="314"/>
      <c r="BX2331" s="155"/>
    </row>
    <row r="2332" spans="1:76" ht="15.75" customHeight="1">
      <c r="A2332" s="25"/>
      <c r="B2332" s="39"/>
      <c r="C2332" s="155"/>
      <c r="D2332" s="155"/>
      <c r="E2332" s="40"/>
      <c r="F2332" s="314"/>
      <c r="H2332" s="315"/>
      <c r="I2332" s="315"/>
      <c r="BA2332" s="30"/>
      <c r="BB2332" s="155"/>
      <c r="BC2332" s="314"/>
      <c r="BD2332" s="314"/>
      <c r="BE2332" s="314"/>
      <c r="BF2332" s="314"/>
      <c r="BG2332" s="314"/>
      <c r="BH2332" s="314"/>
      <c r="BI2332" s="314"/>
      <c r="BJ2332" s="314"/>
      <c r="BK2332" s="40"/>
      <c r="BL2332" s="40"/>
      <c r="BM2332" s="40"/>
      <c r="BN2332" s="40"/>
      <c r="BO2332" s="40"/>
      <c r="BP2332" s="155"/>
      <c r="BQ2332" s="314"/>
      <c r="BR2332" s="314"/>
      <c r="BS2332" s="314"/>
      <c r="BT2332" s="314"/>
      <c r="BU2332" s="314"/>
      <c r="BV2332" s="314"/>
      <c r="BW2332" s="314"/>
      <c r="BX2332" s="155"/>
    </row>
    <row r="2333" spans="1:76" ht="15.75" customHeight="1">
      <c r="A2333" s="25"/>
      <c r="B2333" s="39"/>
      <c r="C2333" s="155"/>
      <c r="D2333" s="155"/>
      <c r="E2333" s="40"/>
      <c r="F2333" s="314"/>
      <c r="H2333" s="315"/>
      <c r="I2333" s="315"/>
      <c r="BA2333" s="30"/>
      <c r="BB2333" s="155"/>
      <c r="BC2333" s="314"/>
      <c r="BD2333" s="314"/>
      <c r="BE2333" s="314"/>
      <c r="BF2333" s="314"/>
      <c r="BG2333" s="314"/>
      <c r="BH2333" s="314"/>
      <c r="BI2333" s="314"/>
      <c r="BJ2333" s="314"/>
      <c r="BK2333" s="40"/>
      <c r="BL2333" s="40"/>
      <c r="BM2333" s="40"/>
      <c r="BN2333" s="40"/>
      <c r="BO2333" s="40"/>
      <c r="BP2333" s="155"/>
      <c r="BQ2333" s="314"/>
      <c r="BR2333" s="314"/>
      <c r="BS2333" s="314"/>
      <c r="BT2333" s="314"/>
      <c r="BU2333" s="314"/>
      <c r="BV2333" s="314"/>
      <c r="BW2333" s="314"/>
      <c r="BX2333" s="155"/>
    </row>
    <row r="2334" spans="1:76" ht="15.75" customHeight="1">
      <c r="A2334" s="25"/>
      <c r="B2334" s="39"/>
      <c r="C2334" s="155"/>
      <c r="D2334" s="155"/>
      <c r="E2334" s="40"/>
      <c r="F2334" s="314"/>
      <c r="H2334" s="315"/>
      <c r="I2334" s="315"/>
      <c r="BA2334" s="30"/>
      <c r="BB2334" s="155"/>
      <c r="BC2334" s="314"/>
      <c r="BD2334" s="314"/>
      <c r="BE2334" s="314"/>
      <c r="BF2334" s="314"/>
      <c r="BG2334" s="314"/>
      <c r="BH2334" s="314"/>
      <c r="BI2334" s="314"/>
      <c r="BJ2334" s="314"/>
      <c r="BK2334" s="40"/>
      <c r="BL2334" s="40"/>
      <c r="BM2334" s="40"/>
      <c r="BN2334" s="40"/>
      <c r="BO2334" s="40"/>
      <c r="BP2334" s="155"/>
      <c r="BQ2334" s="314"/>
      <c r="BR2334" s="314"/>
      <c r="BS2334" s="314"/>
      <c r="BT2334" s="314"/>
      <c r="BU2334" s="314"/>
      <c r="BV2334" s="314"/>
      <c r="BW2334" s="314"/>
      <c r="BX2334" s="155"/>
    </row>
    <row r="2335" spans="1:76" ht="15.75" customHeight="1">
      <c r="A2335" s="25"/>
      <c r="B2335" s="39"/>
      <c r="C2335" s="155"/>
      <c r="D2335" s="155"/>
      <c r="E2335" s="40"/>
      <c r="F2335" s="314"/>
      <c r="H2335" s="315"/>
      <c r="I2335" s="315"/>
      <c r="BA2335" s="30"/>
      <c r="BB2335" s="155"/>
      <c r="BC2335" s="314"/>
      <c r="BD2335" s="314"/>
      <c r="BE2335" s="314"/>
      <c r="BF2335" s="314"/>
      <c r="BG2335" s="314"/>
      <c r="BH2335" s="314"/>
      <c r="BI2335" s="314"/>
      <c r="BJ2335" s="314"/>
      <c r="BK2335" s="40"/>
      <c r="BL2335" s="40"/>
      <c r="BM2335" s="40"/>
      <c r="BN2335" s="40"/>
      <c r="BO2335" s="40"/>
      <c r="BP2335" s="155"/>
      <c r="BQ2335" s="314"/>
      <c r="BR2335" s="314"/>
      <c r="BS2335" s="314"/>
      <c r="BT2335" s="314"/>
      <c r="BU2335" s="314"/>
      <c r="BV2335" s="314"/>
      <c r="BW2335" s="314"/>
      <c r="BX2335" s="155"/>
    </row>
    <row r="2336" spans="1:76" ht="15.75" customHeight="1">
      <c r="A2336" s="25"/>
      <c r="B2336" s="39"/>
      <c r="C2336" s="155"/>
      <c r="D2336" s="155"/>
      <c r="E2336" s="40"/>
      <c r="F2336" s="314"/>
      <c r="H2336" s="315"/>
      <c r="I2336" s="315"/>
      <c r="BA2336" s="30"/>
      <c r="BB2336" s="155"/>
      <c r="BC2336" s="314"/>
      <c r="BD2336" s="314"/>
      <c r="BE2336" s="314"/>
      <c r="BF2336" s="314"/>
      <c r="BG2336" s="314"/>
      <c r="BH2336" s="314"/>
      <c r="BI2336" s="314"/>
      <c r="BJ2336" s="314"/>
      <c r="BK2336" s="40"/>
      <c r="BL2336" s="40"/>
      <c r="BM2336" s="40"/>
      <c r="BN2336" s="40"/>
      <c r="BO2336" s="40"/>
      <c r="BP2336" s="155"/>
      <c r="BQ2336" s="314"/>
      <c r="BR2336" s="314"/>
      <c r="BS2336" s="314"/>
      <c r="BT2336" s="314"/>
      <c r="BU2336" s="314"/>
      <c r="BV2336" s="314"/>
      <c r="BW2336" s="314"/>
      <c r="BX2336" s="155"/>
    </row>
    <row r="2337" spans="1:76" ht="15.75" customHeight="1">
      <c r="A2337" s="25"/>
      <c r="B2337" s="39"/>
      <c r="C2337" s="155"/>
      <c r="D2337" s="155"/>
      <c r="E2337" s="40"/>
      <c r="F2337" s="314"/>
      <c r="H2337" s="315"/>
      <c r="I2337" s="315"/>
      <c r="BA2337" s="30"/>
      <c r="BB2337" s="155"/>
      <c r="BC2337" s="314"/>
      <c r="BD2337" s="314"/>
      <c r="BE2337" s="314"/>
      <c r="BF2337" s="314"/>
      <c r="BG2337" s="314"/>
      <c r="BH2337" s="314"/>
      <c r="BI2337" s="314"/>
      <c r="BJ2337" s="314"/>
      <c r="BK2337" s="40"/>
      <c r="BL2337" s="40"/>
      <c r="BM2337" s="40"/>
      <c r="BN2337" s="40"/>
      <c r="BO2337" s="40"/>
      <c r="BP2337" s="155"/>
      <c r="BQ2337" s="314"/>
      <c r="BR2337" s="314"/>
      <c r="BS2337" s="314"/>
      <c r="BT2337" s="314"/>
      <c r="BU2337" s="314"/>
      <c r="BV2337" s="314"/>
      <c r="BW2337" s="314"/>
      <c r="BX2337" s="155"/>
    </row>
    <row r="2338" spans="1:76" ht="15.75" customHeight="1">
      <c r="A2338" s="25"/>
      <c r="B2338" s="39"/>
      <c r="C2338" s="155"/>
      <c r="D2338" s="155"/>
      <c r="E2338" s="40"/>
      <c r="F2338" s="314"/>
      <c r="H2338" s="315"/>
      <c r="I2338" s="315"/>
      <c r="BA2338" s="30"/>
      <c r="BB2338" s="155"/>
      <c r="BC2338" s="314"/>
      <c r="BD2338" s="314"/>
      <c r="BE2338" s="314"/>
      <c r="BF2338" s="314"/>
      <c r="BG2338" s="314"/>
      <c r="BH2338" s="314"/>
      <c r="BI2338" s="314"/>
      <c r="BJ2338" s="314"/>
      <c r="BK2338" s="40"/>
      <c r="BL2338" s="40"/>
      <c r="BM2338" s="40"/>
      <c r="BN2338" s="40"/>
      <c r="BO2338" s="40"/>
      <c r="BP2338" s="155"/>
      <c r="BQ2338" s="314"/>
      <c r="BR2338" s="314"/>
      <c r="BS2338" s="314"/>
      <c r="BT2338" s="314"/>
      <c r="BU2338" s="314"/>
      <c r="BV2338" s="314"/>
      <c r="BW2338" s="314"/>
      <c r="BX2338" s="155"/>
    </row>
    <row r="2339" spans="1:76" ht="15.75" customHeight="1">
      <c r="A2339" s="25"/>
      <c r="B2339" s="39"/>
      <c r="C2339" s="155"/>
      <c r="D2339" s="155"/>
      <c r="E2339" s="40"/>
      <c r="F2339" s="314"/>
      <c r="H2339" s="315"/>
      <c r="I2339" s="315"/>
      <c r="BA2339" s="30"/>
      <c r="BB2339" s="155"/>
      <c r="BC2339" s="314"/>
      <c r="BD2339" s="314"/>
      <c r="BE2339" s="314"/>
      <c r="BF2339" s="314"/>
      <c r="BG2339" s="314"/>
      <c r="BH2339" s="314"/>
      <c r="BI2339" s="314"/>
      <c r="BJ2339" s="314"/>
      <c r="BK2339" s="40"/>
      <c r="BL2339" s="40"/>
      <c r="BM2339" s="40"/>
      <c r="BN2339" s="40"/>
      <c r="BO2339" s="40"/>
      <c r="BP2339" s="155"/>
      <c r="BQ2339" s="314"/>
      <c r="BR2339" s="314"/>
      <c r="BS2339" s="314"/>
      <c r="BT2339" s="314"/>
      <c r="BU2339" s="314"/>
      <c r="BV2339" s="314"/>
      <c r="BW2339" s="314"/>
      <c r="BX2339" s="155"/>
    </row>
    <row r="2340" spans="1:76" ht="15.75" customHeight="1">
      <c r="A2340" s="25"/>
      <c r="B2340" s="39"/>
      <c r="C2340" s="155"/>
      <c r="D2340" s="155"/>
      <c r="E2340" s="40"/>
      <c r="F2340" s="314"/>
      <c r="H2340" s="315"/>
      <c r="I2340" s="315"/>
      <c r="BA2340" s="30"/>
      <c r="BB2340" s="155"/>
      <c r="BC2340" s="314"/>
      <c r="BD2340" s="314"/>
      <c r="BE2340" s="314"/>
      <c r="BF2340" s="314"/>
      <c r="BG2340" s="314"/>
      <c r="BH2340" s="314"/>
      <c r="BI2340" s="314"/>
      <c r="BJ2340" s="314"/>
      <c r="BK2340" s="40"/>
      <c r="BL2340" s="40"/>
      <c r="BM2340" s="40"/>
      <c r="BN2340" s="40"/>
      <c r="BO2340" s="40"/>
      <c r="BP2340" s="155"/>
      <c r="BQ2340" s="314"/>
      <c r="BR2340" s="314"/>
      <c r="BS2340" s="314"/>
      <c r="BT2340" s="314"/>
      <c r="BU2340" s="314"/>
      <c r="BV2340" s="314"/>
      <c r="BW2340" s="314"/>
      <c r="BX2340" s="155"/>
    </row>
    <row r="2341" spans="1:76" ht="15.75" customHeight="1">
      <c r="A2341" s="25"/>
      <c r="B2341" s="39"/>
      <c r="C2341" s="155"/>
      <c r="D2341" s="155"/>
      <c r="E2341" s="40"/>
      <c r="F2341" s="314"/>
      <c r="H2341" s="315"/>
      <c r="I2341" s="315"/>
      <c r="BA2341" s="30"/>
      <c r="BB2341" s="155"/>
      <c r="BC2341" s="314"/>
      <c r="BD2341" s="314"/>
      <c r="BE2341" s="314"/>
      <c r="BF2341" s="314"/>
      <c r="BG2341" s="314"/>
      <c r="BH2341" s="314"/>
      <c r="BI2341" s="314"/>
      <c r="BJ2341" s="314"/>
      <c r="BK2341" s="40"/>
      <c r="BL2341" s="40"/>
      <c r="BM2341" s="40"/>
      <c r="BN2341" s="40"/>
      <c r="BO2341" s="40"/>
      <c r="BP2341" s="155"/>
      <c r="BQ2341" s="314"/>
      <c r="BR2341" s="314"/>
      <c r="BS2341" s="314"/>
      <c r="BT2341" s="314"/>
      <c r="BU2341" s="314"/>
      <c r="BV2341" s="314"/>
      <c r="BW2341" s="314"/>
      <c r="BX2341" s="155"/>
    </row>
    <row r="2342" spans="1:76" ht="15.75" customHeight="1">
      <c r="A2342" s="25"/>
      <c r="B2342" s="39"/>
      <c r="C2342" s="155"/>
      <c r="D2342" s="155"/>
      <c r="E2342" s="40"/>
      <c r="F2342" s="314"/>
      <c r="H2342" s="315"/>
      <c r="I2342" s="315"/>
      <c r="BA2342" s="30"/>
      <c r="BB2342" s="155"/>
      <c r="BC2342" s="314"/>
      <c r="BD2342" s="314"/>
      <c r="BE2342" s="314"/>
      <c r="BF2342" s="314"/>
      <c r="BG2342" s="314"/>
      <c r="BH2342" s="314"/>
      <c r="BI2342" s="314"/>
      <c r="BJ2342" s="314"/>
      <c r="BK2342" s="40"/>
      <c r="BL2342" s="40"/>
      <c r="BM2342" s="40"/>
      <c r="BN2342" s="40"/>
      <c r="BO2342" s="40"/>
      <c r="BP2342" s="155"/>
      <c r="BQ2342" s="314"/>
      <c r="BR2342" s="314"/>
      <c r="BS2342" s="314"/>
      <c r="BT2342" s="314"/>
      <c r="BU2342" s="314"/>
      <c r="BV2342" s="314"/>
      <c r="BW2342" s="314"/>
      <c r="BX2342" s="155"/>
    </row>
    <row r="2343" spans="1:76" ht="15.75" customHeight="1">
      <c r="A2343" s="25"/>
      <c r="B2343" s="39"/>
      <c r="C2343" s="155"/>
      <c r="D2343" s="155"/>
      <c r="E2343" s="40"/>
      <c r="F2343" s="314"/>
      <c r="H2343" s="315"/>
      <c r="I2343" s="315"/>
      <c r="BA2343" s="30"/>
      <c r="BB2343" s="155"/>
      <c r="BC2343" s="314"/>
      <c r="BD2343" s="314"/>
      <c r="BE2343" s="314"/>
      <c r="BF2343" s="314"/>
      <c r="BG2343" s="314"/>
      <c r="BH2343" s="314"/>
      <c r="BI2343" s="314"/>
      <c r="BJ2343" s="314"/>
      <c r="BK2343" s="40"/>
      <c r="BL2343" s="40"/>
      <c r="BM2343" s="40"/>
      <c r="BN2343" s="40"/>
      <c r="BO2343" s="40"/>
      <c r="BP2343" s="155"/>
      <c r="BQ2343" s="314"/>
      <c r="BR2343" s="314"/>
      <c r="BS2343" s="314"/>
      <c r="BT2343" s="314"/>
      <c r="BU2343" s="314"/>
      <c r="BV2343" s="314"/>
      <c r="BW2343" s="314"/>
      <c r="BX2343" s="155"/>
    </row>
    <row r="2344" spans="1:76" ht="15.75" customHeight="1">
      <c r="A2344" s="25"/>
      <c r="B2344" s="39"/>
      <c r="C2344" s="155"/>
      <c r="D2344" s="155"/>
      <c r="E2344" s="40"/>
      <c r="F2344" s="314"/>
      <c r="H2344" s="315"/>
      <c r="I2344" s="315"/>
      <c r="BA2344" s="30"/>
      <c r="BB2344" s="155"/>
      <c r="BC2344" s="322"/>
      <c r="BD2344" s="322"/>
      <c r="BE2344" s="322"/>
      <c r="BF2344" s="322"/>
      <c r="BG2344" s="322"/>
      <c r="BH2344" s="322"/>
      <c r="BI2344" s="322"/>
      <c r="BJ2344" s="322"/>
      <c r="BK2344" s="341"/>
      <c r="BL2344" s="40"/>
      <c r="BM2344" s="40"/>
      <c r="BN2344" s="40"/>
      <c r="BO2344" s="40"/>
      <c r="BP2344" s="155"/>
      <c r="BQ2344" s="314"/>
      <c r="BR2344" s="314"/>
      <c r="BS2344" s="314"/>
      <c r="BT2344" s="314"/>
      <c r="BU2344" s="314"/>
      <c r="BV2344" s="314"/>
      <c r="BW2344" s="314"/>
      <c r="BX2344" s="155"/>
    </row>
    <row r="2345" spans="1:76" ht="15.75" customHeight="1">
      <c r="A2345" s="25"/>
      <c r="B2345" s="39"/>
      <c r="C2345" s="155"/>
      <c r="D2345" s="155"/>
      <c r="E2345" s="40"/>
      <c r="F2345" s="314"/>
      <c r="H2345" s="315"/>
      <c r="I2345" s="315"/>
      <c r="BA2345" s="30"/>
      <c r="BB2345" s="155"/>
      <c r="BC2345" s="314"/>
      <c r="BD2345" s="314"/>
      <c r="BE2345" s="314"/>
      <c r="BF2345" s="314"/>
      <c r="BG2345" s="314"/>
      <c r="BH2345" s="314"/>
      <c r="BI2345" s="314"/>
      <c r="BJ2345" s="314"/>
      <c r="BK2345" s="40"/>
      <c r="BL2345" s="40"/>
      <c r="BM2345" s="40"/>
      <c r="BN2345" s="40"/>
      <c r="BO2345" s="40"/>
      <c r="BP2345" s="155"/>
      <c r="BQ2345" s="314"/>
      <c r="BR2345" s="314"/>
      <c r="BS2345" s="314"/>
      <c r="BT2345" s="314"/>
      <c r="BU2345" s="314"/>
      <c r="BV2345" s="314"/>
      <c r="BW2345" s="314"/>
      <c r="BX2345" s="155"/>
    </row>
    <row r="2346" spans="1:76" ht="15.75" customHeight="1">
      <c r="A2346" s="25"/>
      <c r="B2346" s="39"/>
      <c r="C2346" s="155"/>
      <c r="D2346" s="155"/>
      <c r="E2346" s="40"/>
      <c r="F2346" s="314"/>
      <c r="H2346" s="315"/>
      <c r="I2346" s="315"/>
      <c r="BA2346" s="30"/>
      <c r="BB2346" s="155"/>
      <c r="BC2346" s="314"/>
      <c r="BD2346" s="314"/>
      <c r="BE2346" s="314"/>
      <c r="BF2346" s="314"/>
      <c r="BG2346" s="314"/>
      <c r="BH2346" s="314"/>
      <c r="BI2346" s="314"/>
      <c r="BJ2346" s="314"/>
      <c r="BK2346" s="40"/>
      <c r="BL2346" s="40"/>
      <c r="BM2346" s="40"/>
      <c r="BN2346" s="40"/>
      <c r="BO2346" s="40"/>
      <c r="BP2346" s="155"/>
      <c r="BQ2346" s="314"/>
      <c r="BR2346" s="314"/>
      <c r="BS2346" s="314"/>
      <c r="BT2346" s="314"/>
      <c r="BU2346" s="314"/>
      <c r="BV2346" s="314"/>
      <c r="BW2346" s="314"/>
      <c r="BX2346" s="155"/>
    </row>
    <row r="2347" spans="1:76" ht="15.75" customHeight="1">
      <c r="A2347" s="25"/>
      <c r="B2347" s="39"/>
      <c r="C2347" s="155"/>
      <c r="D2347" s="155"/>
      <c r="E2347" s="40"/>
      <c r="F2347" s="314"/>
      <c r="H2347" s="315"/>
      <c r="I2347" s="315"/>
      <c r="BA2347" s="30"/>
      <c r="BB2347" s="155"/>
      <c r="BC2347" s="314"/>
      <c r="BD2347" s="314"/>
      <c r="BE2347" s="314"/>
      <c r="BF2347" s="314"/>
      <c r="BG2347" s="314"/>
      <c r="BH2347" s="314"/>
      <c r="BI2347" s="314"/>
      <c r="BJ2347" s="314"/>
      <c r="BK2347" s="40"/>
      <c r="BL2347" s="40"/>
      <c r="BM2347" s="40"/>
      <c r="BN2347" s="40"/>
      <c r="BO2347" s="40"/>
      <c r="BP2347" s="155"/>
      <c r="BQ2347" s="314"/>
      <c r="BR2347" s="314"/>
      <c r="BS2347" s="314"/>
      <c r="BT2347" s="314"/>
      <c r="BU2347" s="314"/>
      <c r="BV2347" s="314"/>
      <c r="BW2347" s="314"/>
      <c r="BX2347" s="155"/>
    </row>
    <row r="2348" spans="1:76" ht="15.75" customHeight="1">
      <c r="A2348" s="25"/>
      <c r="B2348" s="39"/>
      <c r="C2348" s="155"/>
      <c r="D2348" s="155"/>
      <c r="E2348" s="40"/>
      <c r="F2348" s="314"/>
      <c r="H2348" s="315"/>
      <c r="I2348" s="315"/>
      <c r="BA2348" s="30"/>
      <c r="BB2348" s="155"/>
      <c r="BC2348" s="314"/>
      <c r="BD2348" s="314"/>
      <c r="BE2348" s="314"/>
      <c r="BF2348" s="314"/>
      <c r="BG2348" s="314"/>
      <c r="BH2348" s="314"/>
      <c r="BI2348" s="314"/>
      <c r="BJ2348" s="314"/>
      <c r="BK2348" s="40"/>
      <c r="BL2348" s="40"/>
      <c r="BM2348" s="40"/>
      <c r="BN2348" s="40"/>
      <c r="BO2348" s="40"/>
      <c r="BP2348" s="155"/>
      <c r="BQ2348" s="314"/>
      <c r="BR2348" s="314"/>
      <c r="BS2348" s="314"/>
      <c r="BT2348" s="314"/>
      <c r="BU2348" s="314"/>
      <c r="BV2348" s="314"/>
      <c r="BW2348" s="314"/>
      <c r="BX2348" s="155"/>
    </row>
    <row r="2349" spans="1:76" ht="15.75" customHeight="1">
      <c r="A2349" s="25"/>
      <c r="B2349" s="39"/>
      <c r="C2349" s="155"/>
      <c r="D2349" s="155"/>
      <c r="E2349" s="40"/>
      <c r="F2349" s="314"/>
      <c r="H2349" s="315"/>
      <c r="I2349" s="315"/>
      <c r="BA2349" s="30"/>
      <c r="BB2349" s="155"/>
      <c r="BC2349" s="314"/>
      <c r="BD2349" s="314"/>
      <c r="BE2349" s="314"/>
      <c r="BF2349" s="314"/>
      <c r="BG2349" s="314"/>
      <c r="BH2349" s="314"/>
      <c r="BI2349" s="314"/>
      <c r="BJ2349" s="314"/>
      <c r="BK2349" s="40"/>
      <c r="BL2349" s="40"/>
      <c r="BM2349" s="40"/>
      <c r="BN2349" s="40"/>
      <c r="BO2349" s="40"/>
      <c r="BP2349" s="155"/>
      <c r="BQ2349" s="314"/>
      <c r="BR2349" s="314"/>
      <c r="BS2349" s="314"/>
      <c r="BT2349" s="314"/>
      <c r="BU2349" s="314"/>
      <c r="BV2349" s="314"/>
      <c r="BW2349" s="314"/>
      <c r="BX2349" s="155"/>
    </row>
    <row r="2350" spans="1:76" ht="15.75" customHeight="1">
      <c r="A2350" s="25"/>
      <c r="B2350" s="39"/>
      <c r="C2350" s="155"/>
      <c r="D2350" s="155"/>
      <c r="E2350" s="40"/>
      <c r="F2350" s="314"/>
      <c r="H2350" s="315"/>
      <c r="I2350" s="315"/>
      <c r="BA2350" s="30"/>
      <c r="BB2350" s="155"/>
      <c r="BC2350" s="314"/>
      <c r="BD2350" s="314"/>
      <c r="BE2350" s="314"/>
      <c r="BF2350" s="314"/>
      <c r="BG2350" s="314"/>
      <c r="BH2350" s="314"/>
      <c r="BI2350" s="314"/>
      <c r="BJ2350" s="314"/>
      <c r="BK2350" s="40"/>
      <c r="BL2350" s="40"/>
      <c r="BM2350" s="40"/>
      <c r="BN2350" s="40"/>
      <c r="BO2350" s="40"/>
      <c r="BP2350" s="155"/>
      <c r="BQ2350" s="314"/>
      <c r="BR2350" s="314"/>
      <c r="BS2350" s="314"/>
      <c r="BT2350" s="314"/>
      <c r="BU2350" s="314"/>
      <c r="BV2350" s="314"/>
      <c r="BW2350" s="314"/>
      <c r="BX2350" s="155"/>
    </row>
    <row r="2351" spans="1:76" ht="15.75" customHeight="1">
      <c r="A2351" s="25"/>
      <c r="B2351" s="39"/>
      <c r="C2351" s="155"/>
      <c r="D2351" s="155"/>
      <c r="E2351" s="40"/>
      <c r="F2351" s="314"/>
      <c r="H2351" s="315"/>
      <c r="I2351" s="315"/>
      <c r="BA2351" s="30"/>
      <c r="BB2351" s="155"/>
      <c r="BC2351" s="314"/>
      <c r="BD2351" s="314"/>
      <c r="BE2351" s="314"/>
      <c r="BF2351" s="314"/>
      <c r="BG2351" s="314"/>
      <c r="BH2351" s="314"/>
      <c r="BI2351" s="314"/>
      <c r="BJ2351" s="314"/>
      <c r="BK2351" s="40"/>
      <c r="BL2351" s="40"/>
      <c r="BM2351" s="40"/>
      <c r="BN2351" s="40"/>
      <c r="BO2351" s="40"/>
      <c r="BP2351" s="155"/>
      <c r="BQ2351" s="314"/>
      <c r="BR2351" s="314"/>
      <c r="BS2351" s="314"/>
      <c r="BT2351" s="314"/>
      <c r="BU2351" s="314"/>
      <c r="BV2351" s="314"/>
      <c r="BW2351" s="314"/>
      <c r="BX2351" s="155"/>
    </row>
    <row r="2352" spans="1:76" ht="15.75" customHeight="1">
      <c r="A2352" s="25"/>
      <c r="B2352" s="39"/>
      <c r="C2352" s="155"/>
      <c r="D2352" s="155"/>
      <c r="E2352" s="40"/>
      <c r="F2352" s="314"/>
      <c r="H2352" s="315"/>
      <c r="I2352" s="315"/>
      <c r="BA2352" s="30"/>
      <c r="BB2352" s="155"/>
      <c r="BC2352" s="314"/>
      <c r="BD2352" s="314"/>
      <c r="BE2352" s="314"/>
      <c r="BF2352" s="314"/>
      <c r="BG2352" s="314"/>
      <c r="BH2352" s="314"/>
      <c r="BI2352" s="314"/>
      <c r="BJ2352" s="314"/>
      <c r="BK2352" s="40"/>
      <c r="BL2352" s="40"/>
      <c r="BM2352" s="40"/>
      <c r="BN2352" s="40"/>
      <c r="BO2352" s="40"/>
      <c r="BP2352" s="155"/>
      <c r="BQ2352" s="314"/>
      <c r="BR2352" s="314"/>
      <c r="BS2352" s="314"/>
      <c r="BT2352" s="314"/>
      <c r="BU2352" s="314"/>
      <c r="BV2352" s="314"/>
      <c r="BW2352" s="314"/>
      <c r="BX2352" s="155"/>
    </row>
    <row r="2353" spans="1:76" ht="15.75" customHeight="1">
      <c r="A2353" s="25"/>
      <c r="B2353" s="39"/>
      <c r="C2353" s="155"/>
      <c r="D2353" s="155"/>
      <c r="E2353" s="40"/>
      <c r="F2353" s="314"/>
      <c r="H2353" s="315"/>
      <c r="I2353" s="315"/>
      <c r="BA2353" s="30"/>
      <c r="BB2353" s="155"/>
      <c r="BC2353" s="314"/>
      <c r="BD2353" s="314"/>
      <c r="BE2353" s="314"/>
      <c r="BF2353" s="314"/>
      <c r="BG2353" s="314"/>
      <c r="BH2353" s="314"/>
      <c r="BI2353" s="314"/>
      <c r="BJ2353" s="314"/>
      <c r="BK2353" s="40"/>
      <c r="BL2353" s="40"/>
      <c r="BM2353" s="40"/>
      <c r="BN2353" s="40"/>
      <c r="BO2353" s="40"/>
      <c r="BP2353" s="155"/>
      <c r="BQ2353" s="314"/>
      <c r="BR2353" s="314"/>
      <c r="BS2353" s="314"/>
      <c r="BT2353" s="314"/>
      <c r="BU2353" s="314"/>
      <c r="BV2353" s="314"/>
      <c r="BW2353" s="314"/>
      <c r="BX2353" s="155"/>
    </row>
    <row r="2354" spans="1:76" ht="15.75" customHeight="1">
      <c r="A2354" s="25"/>
      <c r="B2354" s="39"/>
      <c r="C2354" s="155"/>
      <c r="D2354" s="155"/>
      <c r="E2354" s="40"/>
      <c r="F2354" s="314"/>
      <c r="H2354" s="315"/>
      <c r="I2354" s="315"/>
      <c r="BA2354" s="30"/>
      <c r="BB2354" s="155"/>
      <c r="BC2354" s="314"/>
      <c r="BD2354" s="314"/>
      <c r="BE2354" s="314"/>
      <c r="BF2354" s="314"/>
      <c r="BG2354" s="314"/>
      <c r="BH2354" s="314"/>
      <c r="BI2354" s="314"/>
      <c r="BJ2354" s="314"/>
      <c r="BK2354" s="40"/>
      <c r="BL2354" s="40"/>
      <c r="BM2354" s="40"/>
      <c r="BN2354" s="40"/>
      <c r="BO2354" s="40"/>
      <c r="BP2354" s="155"/>
      <c r="BQ2354" s="314"/>
      <c r="BR2354" s="314"/>
      <c r="BS2354" s="314"/>
      <c r="BT2354" s="314"/>
      <c r="BU2354" s="314"/>
      <c r="BV2354" s="314"/>
      <c r="BW2354" s="314"/>
      <c r="BX2354" s="155"/>
    </row>
    <row r="2355" spans="1:76" ht="15.75" customHeight="1">
      <c r="A2355" s="25"/>
      <c r="B2355" s="39"/>
      <c r="C2355" s="155"/>
      <c r="D2355" s="155"/>
      <c r="E2355" s="40"/>
      <c r="F2355" s="314"/>
      <c r="H2355" s="315"/>
      <c r="I2355" s="315"/>
      <c r="BA2355" s="30"/>
      <c r="BB2355" s="155"/>
      <c r="BC2355" s="314"/>
      <c r="BD2355" s="314"/>
      <c r="BE2355" s="314"/>
      <c r="BF2355" s="314"/>
      <c r="BG2355" s="314"/>
      <c r="BH2355" s="314"/>
      <c r="BI2355" s="314"/>
      <c r="BJ2355" s="314"/>
      <c r="BK2355" s="40"/>
      <c r="BL2355" s="40"/>
      <c r="BM2355" s="40"/>
      <c r="BN2355" s="40"/>
      <c r="BO2355" s="40"/>
      <c r="BP2355" s="155"/>
      <c r="BQ2355" s="314"/>
      <c r="BR2355" s="314"/>
      <c r="BS2355" s="314"/>
      <c r="BT2355" s="314"/>
      <c r="BU2355" s="314"/>
      <c r="BV2355" s="314"/>
      <c r="BW2355" s="314"/>
      <c r="BX2355" s="155"/>
    </row>
    <row r="2356" spans="1:76" ht="15.75" customHeight="1">
      <c r="A2356" s="25"/>
      <c r="B2356" s="39"/>
      <c r="C2356" s="155"/>
      <c r="D2356" s="155"/>
      <c r="E2356" s="40"/>
      <c r="F2356" s="314"/>
      <c r="H2356" s="315"/>
      <c r="I2356" s="315"/>
      <c r="BA2356" s="30"/>
      <c r="BB2356" s="155"/>
      <c r="BC2356" s="314"/>
      <c r="BD2356" s="314"/>
      <c r="BE2356" s="314"/>
      <c r="BF2356" s="314"/>
      <c r="BG2356" s="314"/>
      <c r="BH2356" s="314"/>
      <c r="BI2356" s="314"/>
      <c r="BJ2356" s="314"/>
      <c r="BK2356" s="40"/>
      <c r="BL2356" s="40"/>
      <c r="BM2356" s="40"/>
      <c r="BN2356" s="40"/>
      <c r="BO2356" s="40"/>
      <c r="BP2356" s="155"/>
      <c r="BQ2356" s="314"/>
      <c r="BR2356" s="314"/>
      <c r="BS2356" s="314"/>
      <c r="BT2356" s="314"/>
      <c r="BU2356" s="314"/>
      <c r="BV2356" s="314"/>
      <c r="BW2356" s="314"/>
      <c r="BX2356" s="155"/>
    </row>
    <row r="2357" spans="1:76" ht="15.75" customHeight="1">
      <c r="A2357" s="25"/>
      <c r="B2357" s="39"/>
      <c r="C2357" s="155"/>
      <c r="D2357" s="155"/>
      <c r="E2357" s="40"/>
      <c r="F2357" s="314"/>
      <c r="H2357" s="315"/>
      <c r="I2357" s="315"/>
      <c r="BA2357" s="30"/>
      <c r="BB2357" s="155"/>
      <c r="BC2357" s="314"/>
      <c r="BD2357" s="314"/>
      <c r="BE2357" s="314"/>
      <c r="BF2357" s="314"/>
      <c r="BG2357" s="314"/>
      <c r="BH2357" s="314"/>
      <c r="BI2357" s="314"/>
      <c r="BJ2357" s="314"/>
      <c r="BK2357" s="40"/>
      <c r="BL2357" s="40"/>
      <c r="BM2357" s="40"/>
      <c r="BN2357" s="40"/>
      <c r="BO2357" s="40"/>
      <c r="BP2357" s="155"/>
      <c r="BQ2357" s="314"/>
      <c r="BR2357" s="314"/>
      <c r="BS2357" s="314"/>
      <c r="BT2357" s="314"/>
      <c r="BU2357" s="314"/>
      <c r="BV2357" s="314"/>
      <c r="BW2357" s="314"/>
      <c r="BX2357" s="155"/>
    </row>
    <row r="2358" spans="1:76" ht="15.75" customHeight="1">
      <c r="A2358" s="25"/>
      <c r="B2358" s="39"/>
      <c r="C2358" s="155"/>
      <c r="D2358" s="155"/>
      <c r="E2358" s="40"/>
      <c r="F2358" s="314"/>
      <c r="H2358" s="315"/>
      <c r="I2358" s="315"/>
      <c r="BA2358" s="30"/>
      <c r="BB2358" s="155"/>
      <c r="BC2358" s="314"/>
      <c r="BD2358" s="314"/>
      <c r="BE2358" s="314"/>
      <c r="BF2358" s="314"/>
      <c r="BG2358" s="314"/>
      <c r="BH2358" s="314"/>
      <c r="BI2358" s="314"/>
      <c r="BJ2358" s="314"/>
      <c r="BK2358" s="40"/>
      <c r="BL2358" s="40"/>
      <c r="BM2358" s="40"/>
      <c r="BN2358" s="40"/>
      <c r="BO2358" s="40"/>
      <c r="BP2358" s="155"/>
      <c r="BQ2358" s="314"/>
      <c r="BR2358" s="314"/>
      <c r="BS2358" s="314"/>
      <c r="BT2358" s="314"/>
      <c r="BU2358" s="314"/>
      <c r="BV2358" s="314"/>
      <c r="BW2358" s="314"/>
      <c r="BX2358" s="155"/>
    </row>
    <row r="2359" spans="1:76" ht="15.75" customHeight="1">
      <c r="A2359" s="25"/>
      <c r="B2359" s="39"/>
      <c r="C2359" s="155"/>
      <c r="D2359" s="155"/>
      <c r="E2359" s="40"/>
      <c r="F2359" s="314"/>
      <c r="H2359" s="315"/>
      <c r="I2359" s="315"/>
      <c r="BA2359" s="30"/>
      <c r="BB2359" s="155"/>
      <c r="BC2359" s="314"/>
      <c r="BD2359" s="314"/>
      <c r="BE2359" s="314"/>
      <c r="BF2359" s="314"/>
      <c r="BG2359" s="314"/>
      <c r="BH2359" s="314"/>
      <c r="BI2359" s="314"/>
      <c r="BJ2359" s="314"/>
      <c r="BK2359" s="40"/>
      <c r="BL2359" s="40"/>
      <c r="BM2359" s="40"/>
      <c r="BN2359" s="40"/>
      <c r="BO2359" s="40"/>
      <c r="BP2359" s="155"/>
      <c r="BQ2359" s="314"/>
      <c r="BR2359" s="314"/>
      <c r="BS2359" s="314"/>
      <c r="BT2359" s="314"/>
      <c r="BU2359" s="314"/>
      <c r="BV2359" s="314"/>
      <c r="BW2359" s="314"/>
      <c r="BX2359" s="155"/>
    </row>
    <row r="2360" spans="1:76" ht="15.75" customHeight="1">
      <c r="A2360" s="25"/>
      <c r="B2360" s="39"/>
      <c r="C2360" s="155"/>
      <c r="D2360" s="155"/>
      <c r="E2360" s="40"/>
      <c r="F2360" s="314"/>
      <c r="H2360" s="315"/>
      <c r="I2360" s="315"/>
      <c r="BA2360" s="30"/>
      <c r="BB2360" s="155"/>
      <c r="BC2360" s="314"/>
      <c r="BD2360" s="314"/>
      <c r="BE2360" s="314"/>
      <c r="BF2360" s="314"/>
      <c r="BG2360" s="314"/>
      <c r="BH2360" s="314"/>
      <c r="BI2360" s="314"/>
      <c r="BJ2360" s="314"/>
      <c r="BK2360" s="40"/>
      <c r="BL2360" s="40"/>
      <c r="BM2360" s="40"/>
      <c r="BN2360" s="40"/>
      <c r="BO2360" s="40"/>
      <c r="BP2360" s="155"/>
      <c r="BQ2360" s="314"/>
      <c r="BR2360" s="314"/>
      <c r="BS2360" s="314"/>
      <c r="BT2360" s="314"/>
      <c r="BU2360" s="314"/>
      <c r="BV2360" s="314"/>
      <c r="BW2360" s="314"/>
      <c r="BX2360" s="155"/>
    </row>
    <row r="2361" spans="1:76" ht="15.75" customHeight="1">
      <c r="A2361" s="25"/>
      <c r="B2361" s="39"/>
      <c r="C2361" s="155"/>
      <c r="D2361" s="155"/>
      <c r="E2361" s="40"/>
      <c r="F2361" s="314"/>
      <c r="H2361" s="315"/>
      <c r="I2361" s="315"/>
      <c r="BA2361" s="30"/>
      <c r="BB2361" s="155"/>
      <c r="BC2361" s="314"/>
      <c r="BD2361" s="314"/>
      <c r="BE2361" s="314"/>
      <c r="BF2361" s="314"/>
      <c r="BG2361" s="314"/>
      <c r="BH2361" s="314"/>
      <c r="BI2361" s="314"/>
      <c r="BJ2361" s="314"/>
      <c r="BK2361" s="40"/>
      <c r="BL2361" s="40"/>
      <c r="BM2361" s="40"/>
      <c r="BN2361" s="40"/>
      <c r="BO2361" s="40"/>
      <c r="BP2361" s="155"/>
      <c r="BQ2361" s="314"/>
      <c r="BR2361" s="314"/>
      <c r="BS2361" s="314"/>
      <c r="BT2361" s="314"/>
      <c r="BU2361" s="314"/>
      <c r="BV2361" s="314"/>
      <c r="BW2361" s="314"/>
      <c r="BX2361" s="155"/>
    </row>
    <row r="2362" spans="1:76" ht="15.75" customHeight="1">
      <c r="A2362" s="25"/>
      <c r="B2362" s="39"/>
      <c r="C2362" s="155"/>
      <c r="D2362" s="155"/>
      <c r="E2362" s="40"/>
      <c r="F2362" s="314"/>
      <c r="H2362" s="315"/>
      <c r="I2362" s="315"/>
      <c r="BA2362" s="30"/>
      <c r="BB2362" s="155"/>
      <c r="BC2362" s="314"/>
      <c r="BD2362" s="314"/>
      <c r="BE2362" s="314"/>
      <c r="BF2362" s="314"/>
      <c r="BG2362" s="314"/>
      <c r="BH2362" s="314"/>
      <c r="BI2362" s="314"/>
      <c r="BJ2362" s="314"/>
      <c r="BK2362" s="40"/>
      <c r="BL2362" s="40"/>
      <c r="BM2362" s="40"/>
      <c r="BN2362" s="40"/>
      <c r="BO2362" s="40"/>
      <c r="BP2362" s="155"/>
      <c r="BQ2362" s="314"/>
      <c r="BR2362" s="314"/>
      <c r="BS2362" s="314"/>
      <c r="BT2362" s="314"/>
      <c r="BU2362" s="314"/>
      <c r="BV2362" s="314"/>
      <c r="BW2362" s="314"/>
      <c r="BX2362" s="155"/>
    </row>
    <row r="2363" spans="1:76" ht="15.75" customHeight="1">
      <c r="A2363" s="25"/>
      <c r="B2363" s="39"/>
      <c r="C2363" s="155"/>
      <c r="D2363" s="155"/>
      <c r="E2363" s="40"/>
      <c r="F2363" s="314"/>
      <c r="H2363" s="315"/>
      <c r="I2363" s="315"/>
      <c r="BA2363" s="30"/>
      <c r="BB2363" s="155"/>
      <c r="BC2363" s="322"/>
      <c r="BD2363" s="322"/>
      <c r="BE2363" s="322"/>
      <c r="BF2363" s="322"/>
      <c r="BG2363" s="322"/>
      <c r="BH2363" s="322"/>
      <c r="BI2363" s="322"/>
      <c r="BJ2363" s="322"/>
      <c r="BK2363" s="341"/>
      <c r="BL2363" s="40"/>
      <c r="BM2363" s="40"/>
      <c r="BN2363" s="40"/>
      <c r="BO2363" s="40"/>
      <c r="BP2363" s="155"/>
      <c r="BQ2363" s="314"/>
      <c r="BR2363" s="314"/>
      <c r="BS2363" s="314"/>
      <c r="BT2363" s="314"/>
      <c r="BU2363" s="314"/>
      <c r="BV2363" s="314"/>
      <c r="BW2363" s="314"/>
      <c r="BX2363" s="155"/>
    </row>
    <row r="2364" spans="1:76" ht="15.75" customHeight="1">
      <c r="A2364" s="25"/>
      <c r="B2364" s="39"/>
      <c r="C2364" s="155"/>
      <c r="D2364" s="155"/>
      <c r="E2364" s="40"/>
      <c r="F2364" s="314"/>
      <c r="H2364" s="315"/>
      <c r="I2364" s="315"/>
      <c r="BA2364" s="30"/>
      <c r="BB2364" s="155"/>
      <c r="BC2364" s="314"/>
      <c r="BD2364" s="314"/>
      <c r="BE2364" s="314"/>
      <c r="BF2364" s="314"/>
      <c r="BG2364" s="314"/>
      <c r="BH2364" s="314"/>
      <c r="BI2364" s="314"/>
      <c r="BJ2364" s="314"/>
      <c r="BK2364" s="40"/>
      <c r="BL2364" s="40"/>
      <c r="BM2364" s="40"/>
      <c r="BN2364" s="40"/>
      <c r="BO2364" s="40"/>
      <c r="BP2364" s="155"/>
      <c r="BQ2364" s="314"/>
      <c r="BR2364" s="314"/>
      <c r="BS2364" s="314"/>
      <c r="BT2364" s="314"/>
      <c r="BU2364" s="314"/>
      <c r="BV2364" s="314"/>
      <c r="BW2364" s="314"/>
      <c r="BX2364" s="155"/>
    </row>
    <row r="2365" spans="1:76" ht="15.75" customHeight="1">
      <c r="A2365" s="25"/>
      <c r="B2365" s="39"/>
      <c r="C2365" s="155"/>
      <c r="D2365" s="155"/>
      <c r="E2365" s="40"/>
      <c r="F2365" s="314"/>
      <c r="H2365" s="315"/>
      <c r="I2365" s="315"/>
      <c r="BA2365" s="30"/>
      <c r="BB2365" s="155"/>
      <c r="BC2365" s="314"/>
      <c r="BD2365" s="314"/>
      <c r="BE2365" s="314"/>
      <c r="BF2365" s="314"/>
      <c r="BG2365" s="314"/>
      <c r="BH2365" s="314"/>
      <c r="BI2365" s="314"/>
      <c r="BJ2365" s="314"/>
      <c r="BK2365" s="40"/>
      <c r="BL2365" s="40"/>
      <c r="BM2365" s="40"/>
      <c r="BN2365" s="40"/>
      <c r="BO2365" s="40"/>
      <c r="BP2365" s="155"/>
      <c r="BQ2365" s="314"/>
      <c r="BR2365" s="314"/>
      <c r="BS2365" s="314"/>
      <c r="BT2365" s="314"/>
      <c r="BU2365" s="314"/>
      <c r="BV2365" s="314"/>
      <c r="BW2365" s="314"/>
      <c r="BX2365" s="155"/>
    </row>
    <row r="2366" spans="1:76" ht="15.75" customHeight="1">
      <c r="A2366" s="25"/>
      <c r="B2366" s="39"/>
      <c r="C2366" s="155"/>
      <c r="D2366" s="155"/>
      <c r="E2366" s="40"/>
      <c r="F2366" s="314"/>
      <c r="H2366" s="315"/>
      <c r="I2366" s="315"/>
      <c r="BA2366" s="30"/>
      <c r="BB2366" s="155"/>
      <c r="BC2366" s="314"/>
      <c r="BD2366" s="314"/>
      <c r="BE2366" s="314"/>
      <c r="BF2366" s="314"/>
      <c r="BG2366" s="314"/>
      <c r="BH2366" s="314"/>
      <c r="BI2366" s="314"/>
      <c r="BJ2366" s="314"/>
      <c r="BK2366" s="40"/>
      <c r="BL2366" s="40"/>
      <c r="BM2366" s="40"/>
      <c r="BN2366" s="40"/>
      <c r="BO2366" s="40"/>
      <c r="BP2366" s="155"/>
      <c r="BQ2366" s="314"/>
      <c r="BR2366" s="314"/>
      <c r="BS2366" s="314"/>
      <c r="BT2366" s="314"/>
      <c r="BU2366" s="314"/>
      <c r="BV2366" s="314"/>
      <c r="BW2366" s="314"/>
      <c r="BX2366" s="155"/>
    </row>
    <row r="2367" spans="1:76" ht="15.75" customHeight="1">
      <c r="A2367" s="25"/>
      <c r="B2367" s="39"/>
      <c r="C2367" s="155"/>
      <c r="D2367" s="155"/>
      <c r="E2367" s="40"/>
      <c r="F2367" s="314"/>
      <c r="H2367" s="315"/>
      <c r="I2367" s="315"/>
      <c r="BA2367" s="30"/>
      <c r="BB2367" s="155"/>
      <c r="BC2367" s="314"/>
      <c r="BD2367" s="314"/>
      <c r="BE2367" s="314"/>
      <c r="BF2367" s="314"/>
      <c r="BG2367" s="314"/>
      <c r="BH2367" s="314"/>
      <c r="BI2367" s="314"/>
      <c r="BJ2367" s="314"/>
      <c r="BK2367" s="40"/>
      <c r="BL2367" s="40"/>
      <c r="BM2367" s="40"/>
      <c r="BN2367" s="40"/>
      <c r="BO2367" s="40"/>
      <c r="BP2367" s="155"/>
      <c r="BQ2367" s="314"/>
      <c r="BR2367" s="314"/>
      <c r="BS2367" s="314"/>
      <c r="BT2367" s="314"/>
      <c r="BU2367" s="314"/>
      <c r="BV2367" s="314"/>
      <c r="BW2367" s="314"/>
      <c r="BX2367" s="155"/>
    </row>
    <row r="2368" spans="1:76" ht="15.75" customHeight="1">
      <c r="A2368" s="25"/>
      <c r="B2368" s="39"/>
      <c r="C2368" s="155"/>
      <c r="D2368" s="155"/>
      <c r="E2368" s="40"/>
      <c r="F2368" s="314"/>
      <c r="H2368" s="315"/>
      <c r="I2368" s="315"/>
      <c r="BA2368" s="30"/>
      <c r="BB2368" s="155"/>
      <c r="BC2368" s="314"/>
      <c r="BD2368" s="314"/>
      <c r="BE2368" s="314"/>
      <c r="BF2368" s="314"/>
      <c r="BG2368" s="314"/>
      <c r="BH2368" s="314"/>
      <c r="BI2368" s="314"/>
      <c r="BJ2368" s="314"/>
      <c r="BK2368" s="40"/>
      <c r="BL2368" s="40"/>
      <c r="BM2368" s="40"/>
      <c r="BN2368" s="40"/>
      <c r="BO2368" s="40"/>
      <c r="BP2368" s="155"/>
      <c r="BQ2368" s="314"/>
      <c r="BR2368" s="314"/>
      <c r="BS2368" s="314"/>
      <c r="BT2368" s="314"/>
      <c r="BU2368" s="314"/>
      <c r="BV2368" s="314"/>
      <c r="BW2368" s="314"/>
      <c r="BX2368" s="155"/>
    </row>
    <row r="2369" spans="1:76" ht="15.75" customHeight="1">
      <c r="A2369" s="25"/>
      <c r="B2369" s="39"/>
      <c r="C2369" s="155"/>
      <c r="D2369" s="155"/>
      <c r="E2369" s="40"/>
      <c r="F2369" s="314"/>
      <c r="H2369" s="315"/>
      <c r="I2369" s="315"/>
      <c r="BA2369" s="30"/>
      <c r="BB2369" s="155"/>
      <c r="BC2369" s="314"/>
      <c r="BD2369" s="314"/>
      <c r="BE2369" s="314"/>
      <c r="BF2369" s="314"/>
      <c r="BG2369" s="314"/>
      <c r="BH2369" s="314"/>
      <c r="BI2369" s="314"/>
      <c r="BJ2369" s="314"/>
      <c r="BK2369" s="40"/>
      <c r="BL2369" s="40"/>
      <c r="BM2369" s="40"/>
      <c r="BN2369" s="40"/>
      <c r="BO2369" s="40"/>
      <c r="BP2369" s="155"/>
      <c r="BQ2369" s="314"/>
      <c r="BR2369" s="314"/>
      <c r="BS2369" s="314"/>
      <c r="BT2369" s="314"/>
      <c r="BU2369" s="314"/>
      <c r="BV2369" s="314"/>
      <c r="BW2369" s="314"/>
      <c r="BX2369" s="155"/>
    </row>
    <row r="2370" spans="1:76" ht="15.75" customHeight="1">
      <c r="A2370" s="25"/>
      <c r="B2370" s="39"/>
      <c r="C2370" s="155"/>
      <c r="D2370" s="155"/>
      <c r="E2370" s="40"/>
      <c r="F2370" s="314"/>
      <c r="H2370" s="315"/>
      <c r="I2370" s="315"/>
      <c r="BA2370" s="30"/>
      <c r="BB2370" s="155"/>
      <c r="BC2370" s="314"/>
      <c r="BD2370" s="314"/>
      <c r="BE2370" s="314"/>
      <c r="BF2370" s="314"/>
      <c r="BG2370" s="314"/>
      <c r="BH2370" s="314"/>
      <c r="BI2370" s="314"/>
      <c r="BJ2370" s="314"/>
      <c r="BK2370" s="40"/>
      <c r="BL2370" s="40"/>
      <c r="BM2370" s="40"/>
      <c r="BN2370" s="40"/>
      <c r="BO2370" s="40"/>
      <c r="BP2370" s="155"/>
      <c r="BQ2370" s="314"/>
      <c r="BR2370" s="314"/>
      <c r="BS2370" s="314"/>
      <c r="BT2370" s="314"/>
      <c r="BU2370" s="314"/>
      <c r="BV2370" s="314"/>
      <c r="BW2370" s="314"/>
      <c r="BX2370" s="155"/>
    </row>
    <row r="2371" spans="1:76" ht="15.75" customHeight="1">
      <c r="A2371" s="25"/>
      <c r="B2371" s="39"/>
      <c r="C2371" s="155"/>
      <c r="D2371" s="155"/>
      <c r="E2371" s="40"/>
      <c r="F2371" s="314"/>
      <c r="H2371" s="315"/>
      <c r="I2371" s="315"/>
      <c r="BA2371" s="30"/>
      <c r="BB2371" s="155"/>
      <c r="BC2371" s="314"/>
      <c r="BD2371" s="314"/>
      <c r="BE2371" s="314"/>
      <c r="BF2371" s="314"/>
      <c r="BG2371" s="314"/>
      <c r="BH2371" s="314"/>
      <c r="BI2371" s="314"/>
      <c r="BJ2371" s="314"/>
      <c r="BK2371" s="40"/>
      <c r="BL2371" s="40"/>
      <c r="BM2371" s="40"/>
      <c r="BN2371" s="40"/>
      <c r="BO2371" s="40"/>
      <c r="BP2371" s="155"/>
      <c r="BQ2371" s="314"/>
      <c r="BR2371" s="314"/>
      <c r="BS2371" s="314"/>
      <c r="BT2371" s="314"/>
      <c r="BU2371" s="314"/>
      <c r="BV2371" s="314"/>
      <c r="BW2371" s="314"/>
      <c r="BX2371" s="155"/>
    </row>
    <row r="2372" spans="1:76" ht="15.75" customHeight="1">
      <c r="A2372" s="25"/>
      <c r="B2372" s="39"/>
      <c r="C2372" s="155"/>
      <c r="D2372" s="155"/>
      <c r="E2372" s="40"/>
      <c r="F2372" s="314"/>
      <c r="H2372" s="315"/>
      <c r="I2372" s="315"/>
      <c r="BA2372" s="30"/>
      <c r="BB2372" s="155"/>
      <c r="BC2372" s="314"/>
      <c r="BD2372" s="314"/>
      <c r="BE2372" s="314"/>
      <c r="BF2372" s="314"/>
      <c r="BG2372" s="314"/>
      <c r="BH2372" s="314"/>
      <c r="BI2372" s="314"/>
      <c r="BJ2372" s="314"/>
      <c r="BK2372" s="40"/>
      <c r="BL2372" s="40"/>
      <c r="BM2372" s="40"/>
      <c r="BN2372" s="40"/>
      <c r="BO2372" s="40"/>
      <c r="BP2372" s="155"/>
      <c r="BQ2372" s="314"/>
      <c r="BR2372" s="314"/>
      <c r="BS2372" s="314"/>
      <c r="BT2372" s="314"/>
      <c r="BU2372" s="314"/>
      <c r="BV2372" s="314"/>
      <c r="BW2372" s="314"/>
      <c r="BX2372" s="155"/>
    </row>
    <row r="2373" spans="1:76" ht="15.75" customHeight="1">
      <c r="A2373" s="25"/>
      <c r="B2373" s="39"/>
      <c r="C2373" s="155"/>
      <c r="D2373" s="155"/>
      <c r="E2373" s="40"/>
      <c r="F2373" s="314"/>
      <c r="H2373" s="315"/>
      <c r="I2373" s="315"/>
      <c r="BA2373" s="30"/>
      <c r="BB2373" s="155"/>
      <c r="BC2373" s="314"/>
      <c r="BD2373" s="314"/>
      <c r="BE2373" s="314"/>
      <c r="BF2373" s="314"/>
      <c r="BG2373" s="314"/>
      <c r="BH2373" s="314"/>
      <c r="BI2373" s="314"/>
      <c r="BJ2373" s="314"/>
      <c r="BK2373" s="40"/>
      <c r="BL2373" s="40"/>
      <c r="BM2373" s="40"/>
      <c r="BN2373" s="40"/>
      <c r="BO2373" s="40"/>
      <c r="BP2373" s="155"/>
      <c r="BQ2373" s="314"/>
      <c r="BR2373" s="314"/>
      <c r="BS2373" s="314"/>
      <c r="BT2373" s="314"/>
      <c r="BU2373" s="314"/>
      <c r="BV2373" s="314"/>
      <c r="BW2373" s="314"/>
      <c r="BX2373" s="155"/>
    </row>
    <row r="2374" spans="1:76" ht="15.75" customHeight="1">
      <c r="A2374" s="25"/>
      <c r="B2374" s="39"/>
      <c r="C2374" s="155"/>
      <c r="D2374" s="155"/>
      <c r="E2374" s="40"/>
      <c r="F2374" s="314"/>
      <c r="H2374" s="315"/>
      <c r="I2374" s="315"/>
      <c r="BA2374" s="30"/>
      <c r="BB2374" s="155"/>
      <c r="BC2374" s="314"/>
      <c r="BD2374" s="314"/>
      <c r="BE2374" s="314"/>
      <c r="BF2374" s="314"/>
      <c r="BG2374" s="314"/>
      <c r="BH2374" s="314"/>
      <c r="BI2374" s="314"/>
      <c r="BJ2374" s="314"/>
      <c r="BK2374" s="40"/>
      <c r="BL2374" s="40"/>
      <c r="BM2374" s="40"/>
      <c r="BN2374" s="40"/>
      <c r="BO2374" s="40"/>
      <c r="BP2374" s="155"/>
      <c r="BQ2374" s="314"/>
      <c r="BR2374" s="314"/>
      <c r="BS2374" s="314"/>
      <c r="BT2374" s="314"/>
      <c r="BU2374" s="314"/>
      <c r="BV2374" s="314"/>
      <c r="BW2374" s="314"/>
      <c r="BX2374" s="155"/>
    </row>
    <row r="2375" spans="1:76" ht="15.75" customHeight="1">
      <c r="A2375" s="25"/>
      <c r="B2375" s="39"/>
      <c r="C2375" s="155"/>
      <c r="D2375" s="155"/>
      <c r="E2375" s="40"/>
      <c r="F2375" s="314"/>
      <c r="H2375" s="315"/>
      <c r="I2375" s="315"/>
      <c r="BA2375" s="30"/>
      <c r="BB2375" s="155"/>
      <c r="BC2375" s="314"/>
      <c r="BD2375" s="314"/>
      <c r="BE2375" s="314"/>
      <c r="BF2375" s="314"/>
      <c r="BG2375" s="314"/>
      <c r="BH2375" s="314"/>
      <c r="BI2375" s="314"/>
      <c r="BJ2375" s="314"/>
      <c r="BK2375" s="40"/>
      <c r="BL2375" s="40"/>
      <c r="BM2375" s="40"/>
      <c r="BN2375" s="40"/>
      <c r="BO2375" s="40"/>
      <c r="BP2375" s="155"/>
      <c r="BQ2375" s="314"/>
      <c r="BR2375" s="314"/>
      <c r="BS2375" s="314"/>
      <c r="BT2375" s="314"/>
      <c r="BU2375" s="314"/>
      <c r="BV2375" s="314"/>
      <c r="BW2375" s="314"/>
      <c r="BX2375" s="155"/>
    </row>
    <row r="2376" spans="1:76" ht="15.75" customHeight="1">
      <c r="A2376" s="25"/>
      <c r="B2376" s="39"/>
      <c r="C2376" s="155"/>
      <c r="D2376" s="155"/>
      <c r="E2376" s="40"/>
      <c r="F2376" s="314"/>
      <c r="H2376" s="315"/>
      <c r="I2376" s="315"/>
      <c r="BA2376" s="30"/>
      <c r="BB2376" s="155"/>
      <c r="BC2376" s="314"/>
      <c r="BD2376" s="314"/>
      <c r="BE2376" s="314"/>
      <c r="BF2376" s="314"/>
      <c r="BG2376" s="314"/>
      <c r="BH2376" s="314"/>
      <c r="BI2376" s="314"/>
      <c r="BJ2376" s="314"/>
      <c r="BK2376" s="40"/>
      <c r="BL2376" s="40"/>
      <c r="BM2376" s="40"/>
      <c r="BN2376" s="40"/>
      <c r="BO2376" s="40"/>
      <c r="BP2376" s="155"/>
      <c r="BQ2376" s="314"/>
      <c r="BR2376" s="314"/>
      <c r="BS2376" s="314"/>
      <c r="BT2376" s="314"/>
      <c r="BU2376" s="314"/>
      <c r="BV2376" s="314"/>
      <c r="BW2376" s="314"/>
      <c r="BX2376" s="155"/>
    </row>
    <row r="2377" spans="1:76" ht="15.75" customHeight="1">
      <c r="A2377" s="25"/>
      <c r="B2377" s="39"/>
      <c r="C2377" s="155"/>
      <c r="D2377" s="155"/>
      <c r="E2377" s="40"/>
      <c r="F2377" s="314"/>
      <c r="H2377" s="315"/>
      <c r="I2377" s="315"/>
      <c r="BA2377" s="30"/>
      <c r="BB2377" s="155"/>
      <c r="BC2377" s="314"/>
      <c r="BD2377" s="314"/>
      <c r="BE2377" s="314"/>
      <c r="BF2377" s="314"/>
      <c r="BG2377" s="314"/>
      <c r="BH2377" s="314"/>
      <c r="BI2377" s="314"/>
      <c r="BJ2377" s="314"/>
      <c r="BK2377" s="40"/>
      <c r="BL2377" s="40"/>
      <c r="BM2377" s="40"/>
      <c r="BN2377" s="40"/>
      <c r="BO2377" s="40"/>
      <c r="BP2377" s="155"/>
      <c r="BQ2377" s="314"/>
      <c r="BR2377" s="314"/>
      <c r="BS2377" s="314"/>
      <c r="BT2377" s="314"/>
      <c r="BU2377" s="314"/>
      <c r="BV2377" s="314"/>
      <c r="BW2377" s="314"/>
      <c r="BX2377" s="155"/>
    </row>
    <row r="2378" spans="1:76" ht="15.75" customHeight="1">
      <c r="A2378" s="25"/>
      <c r="B2378" s="39"/>
      <c r="C2378" s="155"/>
      <c r="D2378" s="155"/>
      <c r="E2378" s="40"/>
      <c r="F2378" s="314"/>
      <c r="H2378" s="315"/>
      <c r="I2378" s="315"/>
      <c r="BA2378" s="30"/>
      <c r="BB2378" s="155"/>
      <c r="BC2378" s="314"/>
      <c r="BD2378" s="314"/>
      <c r="BE2378" s="314"/>
      <c r="BF2378" s="314"/>
      <c r="BG2378" s="314"/>
      <c r="BH2378" s="314"/>
      <c r="BI2378" s="314"/>
      <c r="BJ2378" s="314"/>
      <c r="BK2378" s="40"/>
      <c r="BL2378" s="40"/>
      <c r="BM2378" s="40"/>
      <c r="BN2378" s="40"/>
      <c r="BO2378" s="40"/>
      <c r="BP2378" s="155"/>
      <c r="BQ2378" s="314"/>
      <c r="BR2378" s="314"/>
      <c r="BS2378" s="314"/>
      <c r="BT2378" s="314"/>
      <c r="BU2378" s="314"/>
      <c r="BV2378" s="314"/>
      <c r="BW2378" s="314"/>
      <c r="BX2378" s="155"/>
    </row>
    <row r="2379" spans="1:76" ht="15.75" customHeight="1">
      <c r="A2379" s="25"/>
      <c r="B2379" s="39"/>
      <c r="C2379" s="155"/>
      <c r="D2379" s="155"/>
      <c r="E2379" s="40"/>
      <c r="F2379" s="314"/>
      <c r="H2379" s="315"/>
      <c r="I2379" s="315"/>
      <c r="BA2379" s="30"/>
      <c r="BB2379" s="155"/>
      <c r="BC2379" s="314"/>
      <c r="BD2379" s="314"/>
      <c r="BE2379" s="314"/>
      <c r="BF2379" s="314"/>
      <c r="BG2379" s="314"/>
      <c r="BH2379" s="314"/>
      <c r="BI2379" s="314"/>
      <c r="BJ2379" s="314"/>
      <c r="BK2379" s="40"/>
      <c r="BL2379" s="40"/>
      <c r="BM2379" s="40"/>
      <c r="BN2379" s="40"/>
      <c r="BO2379" s="40"/>
      <c r="BP2379" s="155"/>
      <c r="BQ2379" s="314"/>
      <c r="BR2379" s="314"/>
      <c r="BS2379" s="314"/>
      <c r="BT2379" s="314"/>
      <c r="BU2379" s="314"/>
      <c r="BV2379" s="314"/>
      <c r="BW2379" s="314"/>
      <c r="BX2379" s="155"/>
    </row>
    <row r="2380" spans="1:76" ht="15.75" customHeight="1">
      <c r="A2380" s="25"/>
      <c r="B2380" s="39"/>
      <c r="C2380" s="155"/>
      <c r="D2380" s="155"/>
      <c r="E2380" s="40"/>
      <c r="F2380" s="314"/>
      <c r="H2380" s="315"/>
      <c r="I2380" s="315"/>
      <c r="BA2380" s="30"/>
      <c r="BB2380" s="155"/>
      <c r="BC2380" s="314"/>
      <c r="BD2380" s="314"/>
      <c r="BE2380" s="314"/>
      <c r="BF2380" s="314"/>
      <c r="BG2380" s="314"/>
      <c r="BH2380" s="314"/>
      <c r="BI2380" s="314"/>
      <c r="BJ2380" s="314"/>
      <c r="BK2380" s="40"/>
      <c r="BL2380" s="40"/>
      <c r="BM2380" s="40"/>
      <c r="BN2380" s="40"/>
      <c r="BO2380" s="40"/>
      <c r="BP2380" s="155"/>
      <c r="BQ2380" s="314"/>
      <c r="BR2380" s="314"/>
      <c r="BS2380" s="314"/>
      <c r="BT2380" s="314"/>
      <c r="BU2380" s="314"/>
      <c r="BV2380" s="314"/>
      <c r="BW2380" s="314"/>
      <c r="BX2380" s="155"/>
    </row>
    <row r="2381" spans="1:76" ht="15.75" customHeight="1">
      <c r="A2381" s="25"/>
      <c r="B2381" s="39"/>
      <c r="C2381" s="155"/>
      <c r="D2381" s="155"/>
      <c r="E2381" s="40"/>
      <c r="F2381" s="314"/>
      <c r="H2381" s="315"/>
      <c r="I2381" s="315"/>
      <c r="BA2381" s="30"/>
      <c r="BB2381" s="155"/>
      <c r="BC2381" s="314"/>
      <c r="BD2381" s="314"/>
      <c r="BE2381" s="314"/>
      <c r="BF2381" s="314"/>
      <c r="BG2381" s="314"/>
      <c r="BH2381" s="314"/>
      <c r="BI2381" s="314"/>
      <c r="BJ2381" s="314"/>
      <c r="BK2381" s="40"/>
      <c r="BL2381" s="40"/>
      <c r="BM2381" s="40"/>
      <c r="BN2381" s="40"/>
      <c r="BO2381" s="40"/>
      <c r="BP2381" s="155"/>
      <c r="BQ2381" s="314"/>
      <c r="BR2381" s="314"/>
      <c r="BS2381" s="314"/>
      <c r="BT2381" s="314"/>
      <c r="BU2381" s="314"/>
      <c r="BV2381" s="314"/>
      <c r="BW2381" s="314"/>
      <c r="BX2381" s="155"/>
    </row>
    <row r="2382" spans="1:76" ht="15.75" customHeight="1">
      <c r="A2382" s="25"/>
      <c r="B2382" s="39"/>
      <c r="C2382" s="155"/>
      <c r="D2382" s="155"/>
      <c r="E2382" s="40"/>
      <c r="F2382" s="314"/>
      <c r="H2382" s="315"/>
      <c r="I2382" s="315"/>
      <c r="BA2382" s="30"/>
      <c r="BB2382" s="155"/>
      <c r="BC2382" s="314"/>
      <c r="BD2382" s="314"/>
      <c r="BE2382" s="314"/>
      <c r="BF2382" s="314"/>
      <c r="BG2382" s="314"/>
      <c r="BH2382" s="314"/>
      <c r="BI2382" s="314"/>
      <c r="BJ2382" s="314"/>
      <c r="BK2382" s="40"/>
      <c r="BL2382" s="40"/>
      <c r="BM2382" s="40"/>
      <c r="BN2382" s="40"/>
      <c r="BO2382" s="40"/>
      <c r="BP2382" s="155"/>
      <c r="BQ2382" s="314"/>
      <c r="BR2382" s="314"/>
      <c r="BS2382" s="314"/>
      <c r="BT2382" s="314"/>
      <c r="BU2382" s="314"/>
      <c r="BV2382" s="314"/>
      <c r="BW2382" s="314"/>
      <c r="BX2382" s="155"/>
    </row>
    <row r="2383" spans="1:76" ht="15.75" customHeight="1">
      <c r="A2383" s="25"/>
      <c r="B2383" s="39"/>
      <c r="C2383" s="155"/>
      <c r="D2383" s="155"/>
      <c r="E2383" s="40"/>
      <c r="F2383" s="314"/>
      <c r="H2383" s="315"/>
      <c r="I2383" s="315"/>
      <c r="BA2383" s="30"/>
      <c r="BB2383" s="155"/>
      <c r="BC2383" s="314"/>
      <c r="BD2383" s="314"/>
      <c r="BE2383" s="314"/>
      <c r="BF2383" s="314"/>
      <c r="BG2383" s="314"/>
      <c r="BH2383" s="314"/>
      <c r="BI2383" s="314"/>
      <c r="BJ2383" s="314"/>
      <c r="BK2383" s="40"/>
      <c r="BL2383" s="40"/>
      <c r="BM2383" s="40"/>
      <c r="BN2383" s="40"/>
      <c r="BO2383" s="40"/>
      <c r="BP2383" s="155"/>
      <c r="BQ2383" s="314"/>
      <c r="BR2383" s="314"/>
      <c r="BS2383" s="314"/>
      <c r="BT2383" s="314"/>
      <c r="BU2383" s="314"/>
      <c r="BV2383" s="314"/>
      <c r="BW2383" s="314"/>
      <c r="BX2383" s="155"/>
    </row>
    <row r="2384" spans="1:76" ht="15.75" customHeight="1">
      <c r="A2384" s="25"/>
      <c r="B2384" s="39"/>
      <c r="C2384" s="155"/>
      <c r="D2384" s="155"/>
      <c r="E2384" s="40"/>
      <c r="F2384" s="314"/>
      <c r="H2384" s="315"/>
      <c r="I2384" s="315"/>
      <c r="BA2384" s="30"/>
      <c r="BB2384" s="155"/>
      <c r="BC2384" s="314"/>
      <c r="BD2384" s="314"/>
      <c r="BE2384" s="314"/>
      <c r="BF2384" s="314"/>
      <c r="BG2384" s="314"/>
      <c r="BH2384" s="314"/>
      <c r="BI2384" s="314"/>
      <c r="BJ2384" s="314"/>
      <c r="BK2384" s="40"/>
      <c r="BL2384" s="40"/>
      <c r="BM2384" s="40"/>
      <c r="BN2384" s="40"/>
      <c r="BO2384" s="40"/>
      <c r="BP2384" s="155"/>
      <c r="BQ2384" s="314"/>
      <c r="BR2384" s="314"/>
      <c r="BS2384" s="314"/>
      <c r="BT2384" s="314"/>
      <c r="BU2384" s="314"/>
      <c r="BV2384" s="314"/>
      <c r="BW2384" s="314"/>
      <c r="BX2384" s="155"/>
    </row>
    <row r="2385" spans="1:76" ht="15.75" customHeight="1">
      <c r="A2385" s="25"/>
      <c r="B2385" s="39"/>
      <c r="C2385" s="155"/>
      <c r="D2385" s="155"/>
      <c r="E2385" s="40"/>
      <c r="F2385" s="314"/>
      <c r="H2385" s="315"/>
      <c r="I2385" s="315"/>
      <c r="BA2385" s="30"/>
      <c r="BB2385" s="155"/>
      <c r="BC2385" s="314"/>
      <c r="BD2385" s="314"/>
      <c r="BE2385" s="314"/>
      <c r="BF2385" s="314"/>
      <c r="BG2385" s="314"/>
      <c r="BH2385" s="314"/>
      <c r="BI2385" s="314"/>
      <c r="BJ2385" s="314"/>
      <c r="BK2385" s="40"/>
      <c r="BL2385" s="40"/>
      <c r="BM2385" s="40"/>
      <c r="BN2385" s="40"/>
      <c r="BO2385" s="40"/>
      <c r="BP2385" s="155"/>
      <c r="BQ2385" s="314"/>
      <c r="BR2385" s="314"/>
      <c r="BS2385" s="314"/>
      <c r="BT2385" s="314"/>
      <c r="BU2385" s="314"/>
      <c r="BV2385" s="314"/>
      <c r="BW2385" s="314"/>
      <c r="BX2385" s="155"/>
    </row>
    <row r="2386" spans="1:76" ht="15.75" customHeight="1">
      <c r="A2386" s="25"/>
      <c r="B2386" s="39"/>
      <c r="C2386" s="155"/>
      <c r="D2386" s="155"/>
      <c r="E2386" s="40"/>
      <c r="F2386" s="314"/>
      <c r="H2386" s="315"/>
      <c r="I2386" s="315"/>
      <c r="BA2386" s="30"/>
      <c r="BB2386" s="155"/>
      <c r="BC2386" s="314"/>
      <c r="BD2386" s="314"/>
      <c r="BE2386" s="314"/>
      <c r="BF2386" s="314"/>
      <c r="BG2386" s="314"/>
      <c r="BH2386" s="314"/>
      <c r="BI2386" s="314"/>
      <c r="BJ2386" s="314"/>
      <c r="BK2386" s="40"/>
      <c r="BL2386" s="40"/>
      <c r="BM2386" s="40"/>
      <c r="BN2386" s="40"/>
      <c r="BO2386" s="40"/>
      <c r="BP2386" s="155"/>
      <c r="BQ2386" s="314"/>
      <c r="BR2386" s="314"/>
      <c r="BS2386" s="314"/>
      <c r="BT2386" s="314"/>
      <c r="BU2386" s="314"/>
      <c r="BV2386" s="314"/>
      <c r="BW2386" s="314"/>
      <c r="BX2386" s="155"/>
    </row>
    <row r="2387" spans="1:76" ht="15.75" customHeight="1">
      <c r="A2387" s="25"/>
      <c r="B2387" s="39"/>
      <c r="C2387" s="155"/>
      <c r="D2387" s="155"/>
      <c r="E2387" s="40"/>
      <c r="F2387" s="314"/>
      <c r="H2387" s="315"/>
      <c r="I2387" s="315"/>
      <c r="BA2387" s="30"/>
      <c r="BB2387" s="155"/>
      <c r="BC2387" s="314"/>
      <c r="BD2387" s="314"/>
      <c r="BE2387" s="314"/>
      <c r="BF2387" s="314"/>
      <c r="BG2387" s="314"/>
      <c r="BH2387" s="314"/>
      <c r="BI2387" s="314"/>
      <c r="BJ2387" s="314"/>
      <c r="BK2387" s="40"/>
      <c r="BL2387" s="40"/>
      <c r="BM2387" s="40"/>
      <c r="BN2387" s="40"/>
      <c r="BO2387" s="40"/>
      <c r="BP2387" s="155"/>
      <c r="BQ2387" s="314"/>
      <c r="BR2387" s="314"/>
      <c r="BS2387" s="314"/>
      <c r="BT2387" s="314"/>
      <c r="BU2387" s="314"/>
      <c r="BV2387" s="314"/>
      <c r="BW2387" s="314"/>
      <c r="BX2387" s="155"/>
    </row>
    <row r="2388" spans="1:76" ht="15.75" customHeight="1">
      <c r="A2388" s="25"/>
      <c r="B2388" s="39"/>
      <c r="C2388" s="155"/>
      <c r="D2388" s="155"/>
      <c r="E2388" s="40"/>
      <c r="F2388" s="314"/>
      <c r="H2388" s="315"/>
      <c r="I2388" s="315"/>
      <c r="BA2388" s="30"/>
      <c r="BB2388" s="155"/>
      <c r="BC2388" s="314"/>
      <c r="BD2388" s="314"/>
      <c r="BE2388" s="314"/>
      <c r="BF2388" s="314"/>
      <c r="BG2388" s="314"/>
      <c r="BH2388" s="314"/>
      <c r="BI2388" s="314"/>
      <c r="BJ2388" s="314"/>
      <c r="BK2388" s="40"/>
      <c r="BL2388" s="40"/>
      <c r="BM2388" s="40"/>
      <c r="BN2388" s="40"/>
      <c r="BO2388" s="40"/>
      <c r="BP2388" s="155"/>
      <c r="BQ2388" s="314"/>
      <c r="BR2388" s="314"/>
      <c r="BS2388" s="314"/>
      <c r="BT2388" s="314"/>
      <c r="BU2388" s="314"/>
      <c r="BV2388" s="314"/>
      <c r="BW2388" s="314"/>
      <c r="BX2388" s="155"/>
    </row>
    <row r="2389" spans="1:76" ht="15.75" customHeight="1">
      <c r="A2389" s="25"/>
      <c r="B2389" s="39"/>
      <c r="C2389" s="155"/>
      <c r="D2389" s="155"/>
      <c r="E2389" s="40"/>
      <c r="F2389" s="314"/>
      <c r="H2389" s="315"/>
      <c r="I2389" s="315"/>
      <c r="BA2389" s="30"/>
      <c r="BB2389" s="155"/>
      <c r="BC2389" s="314"/>
      <c r="BD2389" s="314"/>
      <c r="BE2389" s="314"/>
      <c r="BF2389" s="314"/>
      <c r="BG2389" s="314"/>
      <c r="BH2389" s="314"/>
      <c r="BI2389" s="314"/>
      <c r="BJ2389" s="314"/>
      <c r="BK2389" s="40"/>
      <c r="BL2389" s="40"/>
      <c r="BM2389" s="40"/>
      <c r="BN2389" s="40"/>
      <c r="BO2389" s="40"/>
      <c r="BP2389" s="155"/>
      <c r="BQ2389" s="314"/>
      <c r="BR2389" s="314"/>
      <c r="BS2389" s="314"/>
      <c r="BT2389" s="314"/>
      <c r="BU2389" s="314"/>
      <c r="BV2389" s="314"/>
      <c r="BW2389" s="314"/>
      <c r="BX2389" s="155"/>
    </row>
    <row r="2390" spans="1:76" ht="15.75" customHeight="1">
      <c r="A2390" s="25"/>
      <c r="B2390" s="39"/>
      <c r="C2390" s="155"/>
      <c r="D2390" s="155"/>
      <c r="E2390" s="40"/>
      <c r="F2390" s="314"/>
      <c r="H2390" s="315"/>
      <c r="I2390" s="315"/>
      <c r="BA2390" s="30"/>
      <c r="BB2390" s="155"/>
      <c r="BC2390" s="314"/>
      <c r="BD2390" s="314"/>
      <c r="BE2390" s="314"/>
      <c r="BF2390" s="314"/>
      <c r="BG2390" s="314"/>
      <c r="BH2390" s="314"/>
      <c r="BI2390" s="314"/>
      <c r="BJ2390" s="314"/>
      <c r="BK2390" s="40"/>
      <c r="BL2390" s="40"/>
      <c r="BM2390" s="40"/>
      <c r="BN2390" s="40"/>
      <c r="BO2390" s="40"/>
      <c r="BP2390" s="155"/>
      <c r="BQ2390" s="314"/>
      <c r="BR2390" s="314"/>
      <c r="BS2390" s="314"/>
      <c r="BT2390" s="314"/>
      <c r="BU2390" s="314"/>
      <c r="BV2390" s="314"/>
      <c r="BW2390" s="314"/>
      <c r="BX2390" s="155"/>
    </row>
    <row r="2391" spans="1:76" ht="15.75" customHeight="1">
      <c r="A2391" s="25"/>
      <c r="B2391" s="39"/>
      <c r="C2391" s="155"/>
      <c r="D2391" s="155"/>
      <c r="E2391" s="40"/>
      <c r="F2391" s="314"/>
      <c r="H2391" s="315"/>
      <c r="I2391" s="315"/>
      <c r="BA2391" s="30"/>
      <c r="BB2391" s="155"/>
      <c r="BC2391" s="314"/>
      <c r="BD2391" s="314"/>
      <c r="BE2391" s="314"/>
      <c r="BF2391" s="314"/>
      <c r="BG2391" s="314"/>
      <c r="BH2391" s="314"/>
      <c r="BI2391" s="314"/>
      <c r="BJ2391" s="314"/>
      <c r="BK2391" s="40"/>
      <c r="BL2391" s="40"/>
      <c r="BM2391" s="40"/>
      <c r="BN2391" s="40"/>
      <c r="BO2391" s="40"/>
      <c r="BP2391" s="155"/>
      <c r="BQ2391" s="314"/>
      <c r="BR2391" s="314"/>
      <c r="BS2391" s="314"/>
      <c r="BT2391" s="314"/>
      <c r="BU2391" s="314"/>
      <c r="BV2391" s="314"/>
      <c r="BW2391" s="314"/>
      <c r="BX2391" s="155"/>
    </row>
    <row r="2392" spans="1:76" ht="15.75" customHeight="1">
      <c r="A2392" s="25"/>
      <c r="B2392" s="39"/>
      <c r="C2392" s="155"/>
      <c r="D2392" s="155"/>
      <c r="E2392" s="40"/>
      <c r="F2392" s="314"/>
      <c r="H2392" s="315"/>
      <c r="I2392" s="315"/>
      <c r="BA2392" s="30"/>
      <c r="BB2392" s="155"/>
      <c r="BC2392" s="314"/>
      <c r="BD2392" s="314"/>
      <c r="BE2392" s="314"/>
      <c r="BF2392" s="314"/>
      <c r="BG2392" s="314"/>
      <c r="BH2392" s="314"/>
      <c r="BI2392" s="314"/>
      <c r="BJ2392" s="314"/>
      <c r="BK2392" s="40"/>
      <c r="BL2392" s="40"/>
      <c r="BM2392" s="40"/>
      <c r="BN2392" s="40"/>
      <c r="BO2392" s="40"/>
      <c r="BP2392" s="155"/>
      <c r="BQ2392" s="314"/>
      <c r="BR2392" s="314"/>
      <c r="BS2392" s="314"/>
      <c r="BT2392" s="314"/>
      <c r="BU2392" s="314"/>
      <c r="BV2392" s="314"/>
      <c r="BW2392" s="314"/>
      <c r="BX2392" s="155"/>
    </row>
    <row r="2393" spans="1:76" ht="15.75" customHeight="1">
      <c r="A2393" s="25"/>
      <c r="B2393" s="39"/>
      <c r="C2393" s="155"/>
      <c r="D2393" s="155"/>
      <c r="E2393" s="40"/>
      <c r="F2393" s="314"/>
      <c r="H2393" s="315"/>
      <c r="I2393" s="315"/>
      <c r="BA2393" s="30"/>
      <c r="BB2393" s="155"/>
      <c r="BC2393" s="314"/>
      <c r="BD2393" s="314"/>
      <c r="BE2393" s="314"/>
      <c r="BF2393" s="314"/>
      <c r="BG2393" s="314"/>
      <c r="BH2393" s="314"/>
      <c r="BI2393" s="314"/>
      <c r="BJ2393" s="314"/>
      <c r="BK2393" s="40"/>
      <c r="BL2393" s="40"/>
      <c r="BM2393" s="40"/>
      <c r="BN2393" s="40"/>
      <c r="BO2393" s="40"/>
      <c r="BP2393" s="155"/>
      <c r="BQ2393" s="314"/>
      <c r="BR2393" s="314"/>
      <c r="BS2393" s="314"/>
      <c r="BT2393" s="314"/>
      <c r="BU2393" s="314"/>
      <c r="BV2393" s="314"/>
      <c r="BW2393" s="314"/>
      <c r="BX2393" s="155"/>
    </row>
    <row r="2394" spans="1:76" ht="15.75" customHeight="1">
      <c r="A2394" s="25"/>
      <c r="B2394" s="39"/>
      <c r="C2394" s="155"/>
      <c r="D2394" s="155"/>
      <c r="E2394" s="40"/>
      <c r="F2394" s="314"/>
      <c r="H2394" s="315"/>
      <c r="I2394" s="315"/>
      <c r="BA2394" s="30"/>
      <c r="BB2394" s="155"/>
      <c r="BC2394" s="314"/>
      <c r="BD2394" s="314"/>
      <c r="BE2394" s="314"/>
      <c r="BF2394" s="314"/>
      <c r="BG2394" s="314"/>
      <c r="BH2394" s="314"/>
      <c r="BI2394" s="314"/>
      <c r="BJ2394" s="314"/>
      <c r="BK2394" s="40"/>
      <c r="BL2394" s="40"/>
      <c r="BM2394" s="40"/>
      <c r="BN2394" s="40"/>
      <c r="BO2394" s="40"/>
      <c r="BP2394" s="155"/>
      <c r="BQ2394" s="314"/>
      <c r="BR2394" s="314"/>
      <c r="BS2394" s="314"/>
      <c r="BT2394" s="314"/>
      <c r="BU2394" s="314"/>
      <c r="BV2394" s="314"/>
      <c r="BW2394" s="314"/>
      <c r="BX2394" s="155"/>
    </row>
    <row r="2395" spans="1:76" ht="15.75" customHeight="1">
      <c r="A2395" s="25"/>
      <c r="B2395" s="39"/>
      <c r="C2395" s="155"/>
      <c r="D2395" s="155"/>
      <c r="E2395" s="40"/>
      <c r="F2395" s="314"/>
      <c r="H2395" s="315"/>
      <c r="I2395" s="315"/>
      <c r="BA2395" s="30"/>
      <c r="BB2395" s="155"/>
      <c r="BC2395" s="314"/>
      <c r="BD2395" s="314"/>
      <c r="BE2395" s="314"/>
      <c r="BF2395" s="314"/>
      <c r="BG2395" s="314"/>
      <c r="BH2395" s="314"/>
      <c r="BI2395" s="314"/>
      <c r="BJ2395" s="314"/>
      <c r="BK2395" s="40"/>
      <c r="BL2395" s="40"/>
      <c r="BM2395" s="40"/>
      <c r="BN2395" s="40"/>
      <c r="BO2395" s="40"/>
      <c r="BP2395" s="155"/>
      <c r="BQ2395" s="314"/>
      <c r="BR2395" s="314"/>
      <c r="BS2395" s="314"/>
      <c r="BT2395" s="314"/>
      <c r="BU2395" s="314"/>
      <c r="BV2395" s="314"/>
      <c r="BW2395" s="314"/>
      <c r="BX2395" s="155"/>
    </row>
    <row r="2396" spans="1:76" ht="15.75" customHeight="1">
      <c r="A2396" s="25"/>
      <c r="B2396" s="39"/>
      <c r="C2396" s="155"/>
      <c r="D2396" s="155"/>
      <c r="E2396" s="40"/>
      <c r="F2396" s="314"/>
      <c r="H2396" s="315"/>
      <c r="I2396" s="315"/>
      <c r="BA2396" s="30"/>
      <c r="BB2396" s="155"/>
      <c r="BC2396" s="314"/>
      <c r="BD2396" s="314"/>
      <c r="BE2396" s="314"/>
      <c r="BF2396" s="314"/>
      <c r="BG2396" s="314"/>
      <c r="BH2396" s="314"/>
      <c r="BI2396" s="314"/>
      <c r="BJ2396" s="314"/>
      <c r="BK2396" s="40"/>
      <c r="BL2396" s="40"/>
      <c r="BM2396" s="40"/>
      <c r="BN2396" s="40"/>
      <c r="BO2396" s="40"/>
      <c r="BP2396" s="155"/>
      <c r="BQ2396" s="314"/>
      <c r="BR2396" s="314"/>
      <c r="BS2396" s="314"/>
      <c r="BT2396" s="314"/>
      <c r="BU2396" s="314"/>
      <c r="BV2396" s="314"/>
      <c r="BW2396" s="314"/>
      <c r="BX2396" s="155"/>
    </row>
    <row r="2397" spans="1:76" ht="15.75" customHeight="1">
      <c r="A2397" s="25"/>
      <c r="B2397" s="39"/>
      <c r="C2397" s="155"/>
      <c r="D2397" s="155"/>
      <c r="E2397" s="40"/>
      <c r="F2397" s="314"/>
      <c r="H2397" s="315"/>
      <c r="I2397" s="315"/>
      <c r="BA2397" s="30"/>
      <c r="BB2397" s="155"/>
      <c r="BC2397" s="314"/>
      <c r="BD2397" s="314"/>
      <c r="BE2397" s="314"/>
      <c r="BF2397" s="314"/>
      <c r="BG2397" s="314"/>
      <c r="BH2397" s="314"/>
      <c r="BI2397" s="314"/>
      <c r="BJ2397" s="314"/>
      <c r="BK2397" s="40"/>
      <c r="BL2397" s="40"/>
      <c r="BM2397" s="40"/>
      <c r="BN2397" s="40"/>
      <c r="BO2397" s="40"/>
      <c r="BP2397" s="155"/>
      <c r="BQ2397" s="314"/>
      <c r="BR2397" s="314"/>
      <c r="BS2397" s="314"/>
      <c r="BT2397" s="314"/>
      <c r="BU2397" s="314"/>
      <c r="BV2397" s="314"/>
      <c r="BW2397" s="314"/>
      <c r="BX2397" s="155"/>
    </row>
    <row r="2398" spans="1:76" ht="15.75" customHeight="1">
      <c r="A2398" s="25"/>
      <c r="B2398" s="39"/>
      <c r="C2398" s="155"/>
      <c r="D2398" s="155"/>
      <c r="E2398" s="40"/>
      <c r="F2398" s="314"/>
      <c r="H2398" s="315"/>
      <c r="I2398" s="315"/>
      <c r="BA2398" s="30"/>
      <c r="BB2398" s="155"/>
      <c r="BC2398" s="314"/>
      <c r="BD2398" s="314"/>
      <c r="BE2398" s="314"/>
      <c r="BF2398" s="314"/>
      <c r="BG2398" s="314"/>
      <c r="BH2398" s="314"/>
      <c r="BI2398" s="314"/>
      <c r="BJ2398" s="314"/>
      <c r="BK2398" s="40"/>
      <c r="BL2398" s="40"/>
      <c r="BM2398" s="40"/>
      <c r="BN2398" s="40"/>
      <c r="BO2398" s="40"/>
      <c r="BP2398" s="155"/>
      <c r="BQ2398" s="314"/>
      <c r="BR2398" s="314"/>
      <c r="BS2398" s="314"/>
      <c r="BT2398" s="314"/>
      <c r="BU2398" s="314"/>
      <c r="BV2398" s="314"/>
      <c r="BW2398" s="314"/>
      <c r="BX2398" s="155"/>
    </row>
    <row r="2399" spans="1:76" ht="15.75" customHeight="1">
      <c r="A2399" s="25"/>
      <c r="B2399" s="39"/>
      <c r="C2399" s="155"/>
      <c r="D2399" s="155"/>
      <c r="E2399" s="40"/>
      <c r="F2399" s="314"/>
      <c r="H2399" s="315"/>
      <c r="I2399" s="315"/>
      <c r="BA2399" s="30"/>
      <c r="BB2399" s="155"/>
      <c r="BC2399" s="314"/>
      <c r="BD2399" s="314"/>
      <c r="BE2399" s="314"/>
      <c r="BF2399" s="314"/>
      <c r="BG2399" s="314"/>
      <c r="BH2399" s="314"/>
      <c r="BI2399" s="314"/>
      <c r="BJ2399" s="314"/>
      <c r="BK2399" s="40"/>
      <c r="BL2399" s="40"/>
      <c r="BM2399" s="40"/>
      <c r="BN2399" s="40"/>
      <c r="BO2399" s="40"/>
      <c r="BP2399" s="155"/>
      <c r="BQ2399" s="314"/>
      <c r="BR2399" s="314"/>
      <c r="BS2399" s="314"/>
      <c r="BT2399" s="314"/>
      <c r="BU2399" s="314"/>
      <c r="BV2399" s="314"/>
      <c r="BW2399" s="314"/>
      <c r="BX2399" s="155"/>
    </row>
    <row r="2400" spans="1:76" ht="15.75" customHeight="1">
      <c r="A2400" s="25"/>
      <c r="B2400" s="39"/>
      <c r="C2400" s="155"/>
      <c r="D2400" s="155"/>
      <c r="E2400" s="40"/>
      <c r="F2400" s="314"/>
      <c r="H2400" s="315"/>
      <c r="I2400" s="315"/>
      <c r="BA2400" s="30"/>
      <c r="BB2400" s="155"/>
      <c r="BC2400" s="314"/>
      <c r="BD2400" s="314"/>
      <c r="BE2400" s="314"/>
      <c r="BF2400" s="314"/>
      <c r="BG2400" s="314"/>
      <c r="BH2400" s="314"/>
      <c r="BI2400" s="314"/>
      <c r="BJ2400" s="314"/>
      <c r="BK2400" s="40"/>
      <c r="BL2400" s="40"/>
      <c r="BM2400" s="40"/>
      <c r="BN2400" s="40"/>
      <c r="BO2400" s="40"/>
      <c r="BP2400" s="155"/>
      <c r="BQ2400" s="314"/>
      <c r="BR2400" s="314"/>
      <c r="BS2400" s="314"/>
      <c r="BT2400" s="314"/>
      <c r="BU2400" s="314"/>
      <c r="BV2400" s="314"/>
      <c r="BW2400" s="314"/>
      <c r="BX2400" s="155"/>
    </row>
    <row r="2401" spans="1:76" ht="15.75" customHeight="1">
      <c r="A2401" s="25"/>
      <c r="B2401" s="39"/>
      <c r="C2401" s="155"/>
      <c r="D2401" s="155"/>
      <c r="E2401" s="40"/>
      <c r="F2401" s="314"/>
      <c r="H2401" s="315"/>
      <c r="I2401" s="315"/>
      <c r="BA2401" s="30"/>
      <c r="BB2401" s="155"/>
      <c r="BC2401" s="314"/>
      <c r="BD2401" s="314"/>
      <c r="BE2401" s="314"/>
      <c r="BF2401" s="314"/>
      <c r="BG2401" s="314"/>
      <c r="BH2401" s="314"/>
      <c r="BI2401" s="314"/>
      <c r="BJ2401" s="314"/>
      <c r="BK2401" s="40"/>
      <c r="BL2401" s="40"/>
      <c r="BM2401" s="40"/>
      <c r="BN2401" s="40"/>
      <c r="BO2401" s="40"/>
      <c r="BP2401" s="155"/>
      <c r="BQ2401" s="314"/>
      <c r="BR2401" s="314"/>
      <c r="BS2401" s="314"/>
      <c r="BT2401" s="314"/>
      <c r="BU2401" s="314"/>
      <c r="BV2401" s="314"/>
      <c r="BW2401" s="314"/>
      <c r="BX2401" s="155"/>
    </row>
    <row r="2402" spans="1:76" ht="15.75" customHeight="1">
      <c r="A2402" s="25"/>
      <c r="B2402" s="39"/>
      <c r="C2402" s="155"/>
      <c r="D2402" s="155"/>
      <c r="E2402" s="40"/>
      <c r="F2402" s="314"/>
      <c r="H2402" s="315"/>
      <c r="I2402" s="315"/>
      <c r="BA2402" s="30"/>
      <c r="BB2402" s="155"/>
      <c r="BC2402" s="314"/>
      <c r="BD2402" s="314"/>
      <c r="BE2402" s="314"/>
      <c r="BF2402" s="314"/>
      <c r="BG2402" s="314"/>
      <c r="BH2402" s="314"/>
      <c r="BI2402" s="314"/>
      <c r="BJ2402" s="314"/>
      <c r="BK2402" s="40"/>
      <c r="BL2402" s="40"/>
      <c r="BM2402" s="40"/>
      <c r="BN2402" s="40"/>
      <c r="BO2402" s="40"/>
      <c r="BP2402" s="155"/>
      <c r="BQ2402" s="314"/>
      <c r="BR2402" s="314"/>
      <c r="BS2402" s="314"/>
      <c r="BT2402" s="314"/>
      <c r="BU2402" s="314"/>
      <c r="BV2402" s="314"/>
      <c r="BW2402" s="314"/>
      <c r="BX2402" s="155"/>
    </row>
    <row r="2403" spans="1:76" ht="15.75" customHeight="1">
      <c r="A2403" s="25"/>
      <c r="B2403" s="39"/>
      <c r="C2403" s="155"/>
      <c r="D2403" s="155"/>
      <c r="E2403" s="40"/>
      <c r="F2403" s="314"/>
      <c r="H2403" s="315"/>
      <c r="I2403" s="315"/>
      <c r="BA2403" s="30"/>
      <c r="BB2403" s="155"/>
      <c r="BC2403" s="314"/>
      <c r="BD2403" s="314"/>
      <c r="BE2403" s="314"/>
      <c r="BF2403" s="314"/>
      <c r="BG2403" s="314"/>
      <c r="BH2403" s="314"/>
      <c r="BI2403" s="314"/>
      <c r="BJ2403" s="314"/>
      <c r="BK2403" s="40"/>
      <c r="BL2403" s="40"/>
      <c r="BM2403" s="40"/>
      <c r="BN2403" s="40"/>
      <c r="BO2403" s="40"/>
      <c r="BP2403" s="155"/>
      <c r="BQ2403" s="314"/>
      <c r="BR2403" s="314"/>
      <c r="BS2403" s="314"/>
      <c r="BT2403" s="314"/>
      <c r="BU2403" s="314"/>
      <c r="BV2403" s="314"/>
      <c r="BW2403" s="314"/>
      <c r="BX2403" s="155"/>
    </row>
    <row r="2404" spans="1:76" ht="15.75" customHeight="1">
      <c r="A2404" s="25"/>
      <c r="B2404" s="39"/>
      <c r="C2404" s="155"/>
      <c r="D2404" s="155"/>
      <c r="E2404" s="40"/>
      <c r="F2404" s="314"/>
      <c r="H2404" s="315"/>
      <c r="I2404" s="315"/>
      <c r="BA2404" s="30"/>
      <c r="BB2404" s="155"/>
      <c r="BC2404" s="314"/>
      <c r="BD2404" s="314"/>
      <c r="BE2404" s="314"/>
      <c r="BF2404" s="314"/>
      <c r="BG2404" s="314"/>
      <c r="BH2404" s="314"/>
      <c r="BI2404" s="314"/>
      <c r="BJ2404" s="314"/>
      <c r="BK2404" s="40"/>
      <c r="BL2404" s="40"/>
      <c r="BM2404" s="40"/>
      <c r="BN2404" s="40"/>
      <c r="BO2404" s="40"/>
      <c r="BP2404" s="155"/>
      <c r="BQ2404" s="314"/>
      <c r="BR2404" s="314"/>
      <c r="BS2404" s="314"/>
      <c r="BT2404" s="314"/>
      <c r="BU2404" s="314"/>
      <c r="BV2404" s="314"/>
      <c r="BW2404" s="314"/>
      <c r="BX2404" s="155"/>
    </row>
    <row r="2405" spans="1:76" ht="15.75" customHeight="1">
      <c r="A2405" s="25"/>
      <c r="B2405" s="39"/>
      <c r="C2405" s="155"/>
      <c r="D2405" s="155"/>
      <c r="E2405" s="40"/>
      <c r="F2405" s="314"/>
      <c r="H2405" s="315"/>
      <c r="I2405" s="315"/>
      <c r="BA2405" s="30"/>
      <c r="BB2405" s="155"/>
      <c r="BC2405" s="314"/>
      <c r="BD2405" s="314"/>
      <c r="BE2405" s="314"/>
      <c r="BF2405" s="314"/>
      <c r="BG2405" s="314"/>
      <c r="BH2405" s="314"/>
      <c r="BI2405" s="314"/>
      <c r="BJ2405" s="314"/>
      <c r="BK2405" s="40"/>
      <c r="BL2405" s="40"/>
      <c r="BM2405" s="40"/>
      <c r="BN2405" s="40"/>
      <c r="BO2405" s="40"/>
      <c r="BP2405" s="155"/>
      <c r="BQ2405" s="314"/>
      <c r="BR2405" s="314"/>
      <c r="BS2405" s="314"/>
      <c r="BT2405" s="314"/>
      <c r="BU2405" s="314"/>
      <c r="BV2405" s="314"/>
      <c r="BW2405" s="314"/>
      <c r="BX2405" s="155"/>
    </row>
    <row r="2406" spans="1:76" ht="15.75" customHeight="1">
      <c r="A2406" s="25"/>
      <c r="B2406" s="39"/>
      <c r="C2406" s="155"/>
      <c r="D2406" s="155"/>
      <c r="E2406" s="40"/>
      <c r="F2406" s="314"/>
      <c r="H2406" s="315"/>
      <c r="I2406" s="315"/>
      <c r="BA2406" s="30"/>
      <c r="BB2406" s="155"/>
      <c r="BC2406" s="314"/>
      <c r="BD2406" s="314"/>
      <c r="BE2406" s="314"/>
      <c r="BF2406" s="314"/>
      <c r="BG2406" s="314"/>
      <c r="BH2406" s="314"/>
      <c r="BI2406" s="314"/>
      <c r="BJ2406" s="314"/>
      <c r="BK2406" s="40"/>
      <c r="BL2406" s="40"/>
      <c r="BM2406" s="40"/>
      <c r="BN2406" s="40"/>
      <c r="BO2406" s="40"/>
      <c r="BP2406" s="155"/>
      <c r="BQ2406" s="314"/>
      <c r="BR2406" s="314"/>
      <c r="BS2406" s="314"/>
      <c r="BT2406" s="314"/>
      <c r="BU2406" s="314"/>
      <c r="BV2406" s="314"/>
      <c r="BW2406" s="314"/>
      <c r="BX2406" s="155"/>
    </row>
    <row r="2407" spans="1:76" ht="15.75" customHeight="1">
      <c r="A2407" s="25"/>
      <c r="B2407" s="39"/>
      <c r="C2407" s="155"/>
      <c r="D2407" s="155"/>
      <c r="E2407" s="40"/>
      <c r="F2407" s="314"/>
      <c r="H2407" s="315"/>
      <c r="I2407" s="315"/>
      <c r="BA2407" s="30"/>
      <c r="BB2407" s="155"/>
      <c r="BC2407" s="314"/>
      <c r="BD2407" s="314"/>
      <c r="BE2407" s="314"/>
      <c r="BF2407" s="314"/>
      <c r="BG2407" s="314"/>
      <c r="BH2407" s="314"/>
      <c r="BI2407" s="314"/>
      <c r="BJ2407" s="314"/>
      <c r="BK2407" s="40"/>
      <c r="BL2407" s="40"/>
      <c r="BM2407" s="40"/>
      <c r="BN2407" s="40"/>
      <c r="BO2407" s="40"/>
      <c r="BP2407" s="155"/>
      <c r="BQ2407" s="314"/>
      <c r="BR2407" s="314"/>
      <c r="BS2407" s="314"/>
      <c r="BT2407" s="314"/>
      <c r="BU2407" s="314"/>
      <c r="BV2407" s="314"/>
      <c r="BW2407" s="314"/>
      <c r="BX2407" s="155"/>
    </row>
    <row r="2408" spans="1:76" ht="15.75" customHeight="1">
      <c r="A2408" s="25"/>
      <c r="B2408" s="39"/>
      <c r="C2408" s="155"/>
      <c r="D2408" s="155"/>
      <c r="E2408" s="40"/>
      <c r="F2408" s="314"/>
      <c r="H2408" s="315"/>
      <c r="I2408" s="315"/>
      <c r="BA2408" s="30"/>
      <c r="BB2408" s="155"/>
      <c r="BC2408" s="314"/>
      <c r="BD2408" s="314"/>
      <c r="BE2408" s="314"/>
      <c r="BF2408" s="314"/>
      <c r="BG2408" s="314"/>
      <c r="BH2408" s="314"/>
      <c r="BI2408" s="314"/>
      <c r="BJ2408" s="314"/>
      <c r="BK2408" s="40"/>
      <c r="BL2408" s="40"/>
      <c r="BM2408" s="40"/>
      <c r="BN2408" s="40"/>
      <c r="BO2408" s="40"/>
      <c r="BP2408" s="155"/>
      <c r="BQ2408" s="314"/>
      <c r="BR2408" s="314"/>
      <c r="BS2408" s="314"/>
      <c r="BT2408" s="314"/>
      <c r="BU2408" s="314"/>
      <c r="BV2408" s="314"/>
      <c r="BW2408" s="314"/>
      <c r="BX2408" s="155"/>
    </row>
    <row r="2409" spans="1:76" ht="15.75" customHeight="1">
      <c r="A2409" s="25"/>
      <c r="B2409" s="39"/>
      <c r="C2409" s="155"/>
      <c r="D2409" s="155"/>
      <c r="E2409" s="40"/>
      <c r="F2409" s="314"/>
      <c r="H2409" s="315"/>
      <c r="I2409" s="315"/>
      <c r="BA2409" s="30"/>
      <c r="BB2409" s="155"/>
      <c r="BC2409" s="314"/>
      <c r="BD2409" s="314"/>
      <c r="BE2409" s="314"/>
      <c r="BF2409" s="314"/>
      <c r="BG2409" s="314"/>
      <c r="BH2409" s="314"/>
      <c r="BI2409" s="314"/>
      <c r="BJ2409" s="314"/>
      <c r="BK2409" s="40"/>
      <c r="BL2409" s="40"/>
      <c r="BM2409" s="40"/>
      <c r="BN2409" s="40"/>
      <c r="BO2409" s="40"/>
      <c r="BP2409" s="155"/>
      <c r="BQ2409" s="314"/>
      <c r="BR2409" s="314"/>
      <c r="BS2409" s="314"/>
      <c r="BT2409" s="314"/>
      <c r="BU2409" s="314"/>
      <c r="BV2409" s="314"/>
      <c r="BW2409" s="314"/>
      <c r="BX2409" s="155"/>
    </row>
    <row r="2410" spans="1:76" ht="15.75" customHeight="1">
      <c r="A2410" s="25"/>
      <c r="B2410" s="39"/>
      <c r="C2410" s="155"/>
      <c r="D2410" s="155"/>
      <c r="E2410" s="40"/>
      <c r="F2410" s="314"/>
      <c r="H2410" s="315"/>
      <c r="I2410" s="315"/>
      <c r="BA2410" s="30"/>
      <c r="BB2410" s="155"/>
      <c r="BC2410" s="314"/>
      <c r="BD2410" s="314"/>
      <c r="BE2410" s="314"/>
      <c r="BF2410" s="314"/>
      <c r="BG2410" s="314"/>
      <c r="BH2410" s="314"/>
      <c r="BI2410" s="314"/>
      <c r="BJ2410" s="314"/>
      <c r="BK2410" s="40"/>
      <c r="BL2410" s="40"/>
      <c r="BM2410" s="40"/>
      <c r="BN2410" s="40"/>
      <c r="BO2410" s="40"/>
      <c r="BP2410" s="155"/>
      <c r="BQ2410" s="314"/>
      <c r="BR2410" s="314"/>
      <c r="BS2410" s="314"/>
      <c r="BT2410" s="314"/>
      <c r="BU2410" s="314"/>
      <c r="BV2410" s="314"/>
      <c r="BW2410" s="314"/>
      <c r="BX2410" s="155"/>
    </row>
    <row r="2411" spans="1:76" ht="15.75" customHeight="1">
      <c r="A2411" s="25"/>
      <c r="B2411" s="39"/>
      <c r="C2411" s="155"/>
      <c r="D2411" s="155"/>
      <c r="E2411" s="40"/>
      <c r="F2411" s="314"/>
      <c r="H2411" s="315"/>
      <c r="I2411" s="315"/>
      <c r="BA2411" s="30"/>
      <c r="BB2411" s="155"/>
      <c r="BC2411" s="314"/>
      <c r="BD2411" s="314"/>
      <c r="BE2411" s="314"/>
      <c r="BF2411" s="314"/>
      <c r="BG2411" s="314"/>
      <c r="BH2411" s="314"/>
      <c r="BI2411" s="314"/>
      <c r="BJ2411" s="314"/>
      <c r="BK2411" s="40"/>
      <c r="BL2411" s="40"/>
      <c r="BM2411" s="40"/>
      <c r="BN2411" s="40"/>
      <c r="BO2411" s="40"/>
      <c r="BP2411" s="155"/>
      <c r="BQ2411" s="314"/>
      <c r="BR2411" s="314"/>
      <c r="BS2411" s="314"/>
      <c r="BT2411" s="314"/>
      <c r="BU2411" s="314"/>
      <c r="BV2411" s="314"/>
      <c r="BW2411" s="314"/>
      <c r="BX2411" s="155"/>
    </row>
    <row r="2412" spans="1:76" ht="15.75" customHeight="1">
      <c r="A2412" s="25"/>
      <c r="B2412" s="39"/>
      <c r="C2412" s="155"/>
      <c r="D2412" s="155"/>
      <c r="E2412" s="40"/>
      <c r="F2412" s="314"/>
      <c r="H2412" s="315"/>
      <c r="I2412" s="315"/>
      <c r="BA2412" s="30"/>
      <c r="BB2412" s="155"/>
      <c r="BC2412" s="314"/>
      <c r="BD2412" s="314"/>
      <c r="BE2412" s="314"/>
      <c r="BF2412" s="314"/>
      <c r="BG2412" s="314"/>
      <c r="BH2412" s="314"/>
      <c r="BI2412" s="314"/>
      <c r="BJ2412" s="314"/>
      <c r="BK2412" s="40"/>
      <c r="BL2412" s="40"/>
      <c r="BM2412" s="40"/>
      <c r="BN2412" s="40"/>
      <c r="BO2412" s="40"/>
      <c r="BP2412" s="155"/>
      <c r="BQ2412" s="314"/>
      <c r="BR2412" s="314"/>
      <c r="BS2412" s="314"/>
      <c r="BT2412" s="314"/>
      <c r="BU2412" s="314"/>
      <c r="BV2412" s="314"/>
      <c r="BW2412" s="314"/>
      <c r="BX2412" s="155"/>
    </row>
    <row r="2413" spans="1:76" ht="15.75" customHeight="1">
      <c r="A2413" s="25"/>
      <c r="B2413" s="39"/>
      <c r="C2413" s="155"/>
      <c r="D2413" s="155"/>
      <c r="E2413" s="40"/>
      <c r="F2413" s="314"/>
      <c r="H2413" s="315"/>
      <c r="I2413" s="315"/>
      <c r="BA2413" s="30"/>
      <c r="BB2413" s="155"/>
      <c r="BC2413" s="314"/>
      <c r="BD2413" s="314"/>
      <c r="BE2413" s="314"/>
      <c r="BF2413" s="314"/>
      <c r="BG2413" s="314"/>
      <c r="BH2413" s="314"/>
      <c r="BI2413" s="314"/>
      <c r="BJ2413" s="314"/>
      <c r="BK2413" s="40"/>
      <c r="BL2413" s="40"/>
      <c r="BM2413" s="40"/>
      <c r="BN2413" s="40"/>
      <c r="BO2413" s="40"/>
      <c r="BP2413" s="155"/>
      <c r="BQ2413" s="314"/>
      <c r="BR2413" s="314"/>
      <c r="BS2413" s="314"/>
      <c r="BT2413" s="314"/>
      <c r="BU2413" s="314"/>
      <c r="BV2413" s="314"/>
      <c r="BW2413" s="314"/>
      <c r="BX2413" s="155"/>
    </row>
    <row r="2414" spans="1:76" ht="15.75" customHeight="1">
      <c r="A2414" s="25"/>
      <c r="B2414" s="39"/>
      <c r="C2414" s="155"/>
      <c r="D2414" s="155"/>
      <c r="E2414" s="40"/>
      <c r="F2414" s="314"/>
      <c r="H2414" s="315"/>
      <c r="I2414" s="315"/>
      <c r="BA2414" s="30"/>
      <c r="BB2414" s="155"/>
      <c r="BC2414" s="314"/>
      <c r="BD2414" s="314"/>
      <c r="BE2414" s="314"/>
      <c r="BF2414" s="314"/>
      <c r="BG2414" s="314"/>
      <c r="BH2414" s="314"/>
      <c r="BI2414" s="314"/>
      <c r="BJ2414" s="314"/>
      <c r="BK2414" s="40"/>
      <c r="BL2414" s="40"/>
      <c r="BM2414" s="40"/>
      <c r="BN2414" s="40"/>
      <c r="BO2414" s="40"/>
      <c r="BP2414" s="155"/>
      <c r="BQ2414" s="314"/>
      <c r="BR2414" s="314"/>
      <c r="BS2414" s="314"/>
      <c r="BT2414" s="314"/>
      <c r="BU2414" s="314"/>
      <c r="BV2414" s="314"/>
      <c r="BW2414" s="314"/>
      <c r="BX2414" s="155"/>
    </row>
    <row r="2415" spans="1:76" ht="15.75" customHeight="1">
      <c r="A2415" s="25"/>
      <c r="B2415" s="39"/>
      <c r="C2415" s="155"/>
      <c r="D2415" s="155"/>
      <c r="E2415" s="40"/>
      <c r="F2415" s="314"/>
      <c r="H2415" s="315"/>
      <c r="I2415" s="315"/>
      <c r="BA2415" s="30"/>
      <c r="BB2415" s="155"/>
      <c r="BC2415" s="314"/>
      <c r="BD2415" s="314"/>
      <c r="BE2415" s="314"/>
      <c r="BF2415" s="314"/>
      <c r="BG2415" s="314"/>
      <c r="BH2415" s="314"/>
      <c r="BI2415" s="314"/>
      <c r="BJ2415" s="314"/>
      <c r="BK2415" s="40"/>
      <c r="BL2415" s="40"/>
      <c r="BM2415" s="40"/>
      <c r="BN2415" s="40"/>
      <c r="BO2415" s="40"/>
      <c r="BP2415" s="155"/>
      <c r="BQ2415" s="314"/>
      <c r="BR2415" s="314"/>
      <c r="BS2415" s="314"/>
      <c r="BT2415" s="314"/>
      <c r="BU2415" s="314"/>
      <c r="BV2415" s="314"/>
      <c r="BW2415" s="314"/>
      <c r="BX2415" s="155"/>
    </row>
    <row r="2416" spans="1:76" ht="15.75" customHeight="1">
      <c r="A2416" s="25"/>
      <c r="B2416" s="39"/>
      <c r="C2416" s="155"/>
      <c r="D2416" s="155"/>
      <c r="E2416" s="40"/>
      <c r="F2416" s="314"/>
      <c r="H2416" s="315"/>
      <c r="I2416" s="315"/>
      <c r="BA2416" s="30"/>
      <c r="BB2416" s="155"/>
      <c r="BC2416" s="322"/>
      <c r="BD2416" s="322"/>
      <c r="BE2416" s="322"/>
      <c r="BF2416" s="322"/>
      <c r="BG2416" s="322"/>
      <c r="BH2416" s="322"/>
      <c r="BI2416" s="322"/>
      <c r="BJ2416" s="322"/>
      <c r="BK2416" s="341"/>
      <c r="BL2416" s="40"/>
      <c r="BM2416" s="40"/>
      <c r="BN2416" s="40"/>
      <c r="BO2416" s="40"/>
      <c r="BP2416" s="155"/>
      <c r="BQ2416" s="314"/>
      <c r="BR2416" s="314"/>
      <c r="BS2416" s="314"/>
      <c r="BT2416" s="314"/>
      <c r="BU2416" s="314"/>
      <c r="BV2416" s="314"/>
      <c r="BW2416" s="314"/>
      <c r="BX2416" s="155"/>
    </row>
    <row r="2417" spans="1:76" ht="15.75" customHeight="1">
      <c r="A2417" s="25"/>
      <c r="B2417" s="39"/>
      <c r="C2417" s="155"/>
      <c r="D2417" s="155"/>
      <c r="E2417" s="40"/>
      <c r="F2417" s="314"/>
      <c r="H2417" s="315"/>
      <c r="I2417" s="315"/>
      <c r="BA2417" s="30"/>
      <c r="BB2417" s="155"/>
      <c r="BC2417" s="314"/>
      <c r="BD2417" s="314"/>
      <c r="BE2417" s="314"/>
      <c r="BF2417" s="314"/>
      <c r="BG2417" s="314"/>
      <c r="BH2417" s="314"/>
      <c r="BI2417" s="314"/>
      <c r="BJ2417" s="314"/>
      <c r="BK2417" s="40"/>
      <c r="BL2417" s="40"/>
      <c r="BM2417" s="40"/>
      <c r="BN2417" s="40"/>
      <c r="BO2417" s="40"/>
      <c r="BP2417" s="155"/>
      <c r="BQ2417" s="314"/>
      <c r="BR2417" s="314"/>
      <c r="BS2417" s="314"/>
      <c r="BT2417" s="314"/>
      <c r="BU2417" s="314"/>
      <c r="BV2417" s="314"/>
      <c r="BW2417" s="314"/>
      <c r="BX2417" s="155"/>
    </row>
    <row r="2418" spans="1:76" ht="15.75" customHeight="1">
      <c r="A2418" s="25"/>
      <c r="B2418" s="39"/>
      <c r="C2418" s="155"/>
      <c r="D2418" s="155"/>
      <c r="E2418" s="40"/>
      <c r="F2418" s="314"/>
      <c r="H2418" s="315"/>
      <c r="I2418" s="315"/>
      <c r="BA2418" s="30"/>
      <c r="BB2418" s="155"/>
      <c r="BC2418" s="314"/>
      <c r="BD2418" s="314"/>
      <c r="BE2418" s="314"/>
      <c r="BF2418" s="314"/>
      <c r="BG2418" s="314"/>
      <c r="BH2418" s="314"/>
      <c r="BI2418" s="314"/>
      <c r="BJ2418" s="314"/>
      <c r="BK2418" s="40"/>
      <c r="BL2418" s="40"/>
      <c r="BM2418" s="40"/>
      <c r="BN2418" s="40"/>
      <c r="BO2418" s="40"/>
      <c r="BP2418" s="155"/>
      <c r="BQ2418" s="314"/>
      <c r="BR2418" s="314"/>
      <c r="BS2418" s="314"/>
      <c r="BT2418" s="314"/>
      <c r="BU2418" s="314"/>
      <c r="BV2418" s="314"/>
      <c r="BW2418" s="314"/>
      <c r="BX2418" s="155"/>
    </row>
    <row r="2419" spans="1:76" ht="15.75" customHeight="1">
      <c r="A2419" s="25"/>
      <c r="B2419" s="39"/>
      <c r="C2419" s="155"/>
      <c r="D2419" s="155"/>
      <c r="E2419" s="40"/>
      <c r="F2419" s="314"/>
      <c r="H2419" s="315"/>
      <c r="I2419" s="315"/>
      <c r="BA2419" s="30"/>
      <c r="BB2419" s="155"/>
      <c r="BC2419" s="314"/>
      <c r="BD2419" s="314"/>
      <c r="BE2419" s="314"/>
      <c r="BF2419" s="314"/>
      <c r="BG2419" s="314"/>
      <c r="BH2419" s="314"/>
      <c r="BI2419" s="314"/>
      <c r="BJ2419" s="314"/>
      <c r="BK2419" s="40"/>
      <c r="BL2419" s="40"/>
      <c r="BM2419" s="40"/>
      <c r="BN2419" s="40"/>
      <c r="BO2419" s="40"/>
      <c r="BP2419" s="155"/>
      <c r="BQ2419" s="314"/>
      <c r="BR2419" s="314"/>
      <c r="BS2419" s="314"/>
      <c r="BT2419" s="314"/>
      <c r="BU2419" s="314"/>
      <c r="BV2419" s="314"/>
      <c r="BW2419" s="314"/>
      <c r="BX2419" s="155"/>
    </row>
    <row r="2420" spans="1:76" ht="15.75" customHeight="1">
      <c r="A2420" s="25"/>
      <c r="B2420" s="39"/>
      <c r="C2420" s="155"/>
      <c r="D2420" s="155"/>
      <c r="E2420" s="40"/>
      <c r="F2420" s="314"/>
      <c r="H2420" s="315"/>
      <c r="I2420" s="315"/>
      <c r="BA2420" s="30"/>
      <c r="BB2420" s="155"/>
      <c r="BC2420" s="314"/>
      <c r="BD2420" s="314"/>
      <c r="BE2420" s="314"/>
      <c r="BF2420" s="314"/>
      <c r="BG2420" s="314"/>
      <c r="BH2420" s="314"/>
      <c r="BI2420" s="314"/>
      <c r="BJ2420" s="314"/>
      <c r="BK2420" s="40"/>
      <c r="BL2420" s="40"/>
      <c r="BM2420" s="40"/>
      <c r="BN2420" s="40"/>
      <c r="BO2420" s="40"/>
      <c r="BP2420" s="155"/>
      <c r="BQ2420" s="314"/>
      <c r="BR2420" s="314"/>
      <c r="BS2420" s="314"/>
      <c r="BT2420" s="314"/>
      <c r="BU2420" s="314"/>
      <c r="BV2420" s="314"/>
      <c r="BW2420" s="314"/>
      <c r="BX2420" s="155"/>
    </row>
    <row r="2421" spans="1:76" ht="15.75" customHeight="1">
      <c r="A2421" s="25"/>
      <c r="B2421" s="39"/>
      <c r="C2421" s="155"/>
      <c r="D2421" s="155"/>
      <c r="E2421" s="40"/>
      <c r="F2421" s="314"/>
      <c r="H2421" s="315"/>
      <c r="I2421" s="315"/>
      <c r="BA2421" s="30"/>
      <c r="BB2421" s="155"/>
      <c r="BC2421" s="314"/>
      <c r="BD2421" s="314"/>
      <c r="BE2421" s="314"/>
      <c r="BF2421" s="314"/>
      <c r="BG2421" s="314"/>
      <c r="BH2421" s="314"/>
      <c r="BI2421" s="314"/>
      <c r="BJ2421" s="314"/>
      <c r="BK2421" s="40"/>
      <c r="BL2421" s="40"/>
      <c r="BM2421" s="40"/>
      <c r="BN2421" s="40"/>
      <c r="BO2421" s="40"/>
      <c r="BP2421" s="155"/>
      <c r="BQ2421" s="314"/>
      <c r="BR2421" s="314"/>
      <c r="BS2421" s="314"/>
      <c r="BT2421" s="314"/>
      <c r="BU2421" s="314"/>
      <c r="BV2421" s="314"/>
      <c r="BW2421" s="314"/>
      <c r="BX2421" s="155"/>
    </row>
    <row r="2422" spans="1:76" ht="15.75" customHeight="1">
      <c r="A2422" s="25"/>
      <c r="B2422" s="39"/>
      <c r="C2422" s="155"/>
      <c r="D2422" s="155"/>
      <c r="E2422" s="40"/>
      <c r="F2422" s="314"/>
      <c r="H2422" s="315"/>
      <c r="I2422" s="315"/>
      <c r="BA2422" s="30"/>
      <c r="BB2422" s="155"/>
      <c r="BC2422" s="314"/>
      <c r="BD2422" s="314"/>
      <c r="BE2422" s="314"/>
      <c r="BF2422" s="314"/>
      <c r="BG2422" s="314"/>
      <c r="BH2422" s="314"/>
      <c r="BI2422" s="314"/>
      <c r="BJ2422" s="314"/>
      <c r="BK2422" s="40"/>
      <c r="BL2422" s="40"/>
      <c r="BM2422" s="40"/>
      <c r="BN2422" s="40"/>
      <c r="BO2422" s="40"/>
      <c r="BP2422" s="155"/>
      <c r="BQ2422" s="314"/>
      <c r="BR2422" s="314"/>
      <c r="BS2422" s="314"/>
      <c r="BT2422" s="314"/>
      <c r="BU2422" s="314"/>
      <c r="BV2422" s="314"/>
      <c r="BW2422" s="314"/>
      <c r="BX2422" s="155"/>
    </row>
    <row r="2423" spans="1:76" ht="15.75" customHeight="1">
      <c r="A2423" s="25"/>
      <c r="B2423" s="39"/>
      <c r="C2423" s="155"/>
      <c r="D2423" s="155"/>
      <c r="E2423" s="40"/>
      <c r="F2423" s="314"/>
      <c r="H2423" s="315"/>
      <c r="I2423" s="315"/>
      <c r="BA2423" s="30"/>
      <c r="BB2423" s="155"/>
      <c r="BC2423" s="314"/>
      <c r="BD2423" s="314"/>
      <c r="BE2423" s="314"/>
      <c r="BF2423" s="314"/>
      <c r="BG2423" s="314"/>
      <c r="BH2423" s="314"/>
      <c r="BI2423" s="314"/>
      <c r="BJ2423" s="314"/>
      <c r="BK2423" s="40"/>
      <c r="BL2423" s="40"/>
      <c r="BM2423" s="40"/>
      <c r="BN2423" s="40"/>
      <c r="BO2423" s="40"/>
      <c r="BP2423" s="155"/>
      <c r="BQ2423" s="314"/>
      <c r="BR2423" s="314"/>
      <c r="BS2423" s="314"/>
      <c r="BT2423" s="314"/>
      <c r="BU2423" s="314"/>
      <c r="BV2423" s="314"/>
      <c r="BW2423" s="314"/>
      <c r="BX2423" s="155"/>
    </row>
    <row r="2424" spans="1:76" ht="15.75" customHeight="1">
      <c r="A2424" s="25"/>
      <c r="B2424" s="39"/>
      <c r="C2424" s="155"/>
      <c r="D2424" s="155"/>
      <c r="E2424" s="40"/>
      <c r="F2424" s="314"/>
      <c r="H2424" s="315"/>
      <c r="I2424" s="315"/>
      <c r="BA2424" s="30"/>
      <c r="BB2424" s="155"/>
      <c r="BC2424" s="314"/>
      <c r="BD2424" s="314"/>
      <c r="BE2424" s="314"/>
      <c r="BF2424" s="314"/>
      <c r="BG2424" s="314"/>
      <c r="BH2424" s="314"/>
      <c r="BI2424" s="314"/>
      <c r="BJ2424" s="314"/>
      <c r="BK2424" s="40"/>
      <c r="BL2424" s="40"/>
      <c r="BM2424" s="40"/>
      <c r="BN2424" s="40"/>
      <c r="BO2424" s="40"/>
      <c r="BP2424" s="155"/>
      <c r="BQ2424" s="314"/>
      <c r="BR2424" s="314"/>
      <c r="BS2424" s="314"/>
      <c r="BT2424" s="314"/>
      <c r="BU2424" s="314"/>
      <c r="BV2424" s="314"/>
      <c r="BW2424" s="314"/>
      <c r="BX2424" s="155"/>
    </row>
    <row r="2425" spans="1:76" ht="15.75" customHeight="1">
      <c r="A2425" s="25"/>
      <c r="B2425" s="39"/>
      <c r="C2425" s="155"/>
      <c r="D2425" s="155"/>
      <c r="E2425" s="40"/>
      <c r="F2425" s="314"/>
      <c r="H2425" s="315"/>
      <c r="I2425" s="315"/>
      <c r="BA2425" s="30"/>
      <c r="BB2425" s="155"/>
      <c r="BC2425" s="314"/>
      <c r="BD2425" s="314"/>
      <c r="BE2425" s="314"/>
      <c r="BF2425" s="314"/>
      <c r="BG2425" s="314"/>
      <c r="BH2425" s="314"/>
      <c r="BI2425" s="314"/>
      <c r="BJ2425" s="314"/>
      <c r="BK2425" s="40"/>
      <c r="BL2425" s="40"/>
      <c r="BM2425" s="40"/>
      <c r="BN2425" s="40"/>
      <c r="BO2425" s="40"/>
      <c r="BP2425" s="155"/>
      <c r="BQ2425" s="314"/>
      <c r="BR2425" s="314"/>
      <c r="BS2425" s="314"/>
      <c r="BT2425" s="314"/>
      <c r="BU2425" s="314"/>
      <c r="BV2425" s="314"/>
      <c r="BW2425" s="314"/>
      <c r="BX2425" s="155"/>
    </row>
    <row r="2426" spans="1:76" ht="15.75" customHeight="1">
      <c r="A2426" s="25"/>
      <c r="B2426" s="39"/>
      <c r="C2426" s="155"/>
      <c r="D2426" s="155"/>
      <c r="E2426" s="40"/>
      <c r="F2426" s="314"/>
      <c r="H2426" s="315"/>
      <c r="I2426" s="315"/>
      <c r="BA2426" s="30"/>
      <c r="BB2426" s="155"/>
      <c r="BC2426" s="314"/>
      <c r="BD2426" s="314"/>
      <c r="BE2426" s="314"/>
      <c r="BF2426" s="314"/>
      <c r="BG2426" s="314"/>
      <c r="BH2426" s="314"/>
      <c r="BI2426" s="314"/>
      <c r="BJ2426" s="314"/>
      <c r="BK2426" s="40"/>
      <c r="BL2426" s="40"/>
      <c r="BM2426" s="40"/>
      <c r="BN2426" s="40"/>
      <c r="BO2426" s="40"/>
      <c r="BP2426" s="155"/>
      <c r="BQ2426" s="314"/>
      <c r="BR2426" s="314"/>
      <c r="BS2426" s="314"/>
      <c r="BT2426" s="314"/>
      <c r="BU2426" s="314"/>
      <c r="BV2426" s="314"/>
      <c r="BW2426" s="314"/>
      <c r="BX2426" s="155"/>
    </row>
    <row r="2427" spans="1:76" ht="15.75" customHeight="1">
      <c r="A2427" s="25"/>
      <c r="B2427" s="39"/>
      <c r="C2427" s="155"/>
      <c r="D2427" s="155"/>
      <c r="E2427" s="40"/>
      <c r="F2427" s="314"/>
      <c r="H2427" s="315"/>
      <c r="I2427" s="315"/>
      <c r="BA2427" s="30"/>
      <c r="BB2427" s="155"/>
      <c r="BC2427" s="314"/>
      <c r="BD2427" s="314"/>
      <c r="BE2427" s="314"/>
      <c r="BF2427" s="314"/>
      <c r="BG2427" s="314"/>
      <c r="BH2427" s="314"/>
      <c r="BI2427" s="314"/>
      <c r="BJ2427" s="314"/>
      <c r="BK2427" s="40"/>
      <c r="BL2427" s="40"/>
      <c r="BM2427" s="40"/>
      <c r="BN2427" s="40"/>
      <c r="BO2427" s="40"/>
      <c r="BP2427" s="155"/>
      <c r="BQ2427" s="314"/>
      <c r="BR2427" s="314"/>
      <c r="BS2427" s="314"/>
      <c r="BT2427" s="314"/>
      <c r="BU2427" s="314"/>
      <c r="BV2427" s="314"/>
      <c r="BW2427" s="314"/>
      <c r="BX2427" s="155"/>
    </row>
    <row r="2428" spans="1:76" ht="15.75" customHeight="1">
      <c r="A2428" s="25"/>
      <c r="B2428" s="39"/>
      <c r="C2428" s="155"/>
      <c r="D2428" s="155"/>
      <c r="E2428" s="40"/>
      <c r="F2428" s="314"/>
      <c r="H2428" s="315"/>
      <c r="I2428" s="315"/>
      <c r="BA2428" s="30"/>
      <c r="BB2428" s="155"/>
      <c r="BC2428" s="314"/>
      <c r="BD2428" s="314"/>
      <c r="BE2428" s="314"/>
      <c r="BF2428" s="314"/>
      <c r="BG2428" s="314"/>
      <c r="BH2428" s="314"/>
      <c r="BI2428" s="314"/>
      <c r="BJ2428" s="314"/>
      <c r="BK2428" s="40"/>
      <c r="BL2428" s="40"/>
      <c r="BM2428" s="40"/>
      <c r="BN2428" s="40"/>
      <c r="BO2428" s="40"/>
      <c r="BP2428" s="155"/>
      <c r="BQ2428" s="314"/>
      <c r="BR2428" s="314"/>
      <c r="BS2428" s="314"/>
      <c r="BT2428" s="314"/>
      <c r="BU2428" s="314"/>
      <c r="BV2428" s="314"/>
      <c r="BW2428" s="314"/>
      <c r="BX2428" s="155"/>
    </row>
    <row r="2429" spans="1:76" ht="15.75" customHeight="1">
      <c r="A2429" s="25"/>
      <c r="B2429" s="39"/>
      <c r="C2429" s="155"/>
      <c r="D2429" s="155"/>
      <c r="E2429" s="40"/>
      <c r="F2429" s="314"/>
      <c r="H2429" s="315"/>
      <c r="I2429" s="315"/>
      <c r="BA2429" s="30"/>
      <c r="BB2429" s="155"/>
      <c r="BC2429" s="314"/>
      <c r="BD2429" s="314"/>
      <c r="BE2429" s="314"/>
      <c r="BF2429" s="314"/>
      <c r="BG2429" s="314"/>
      <c r="BH2429" s="314"/>
      <c r="BI2429" s="314"/>
      <c r="BJ2429" s="314"/>
      <c r="BK2429" s="40"/>
      <c r="BL2429" s="40"/>
      <c r="BM2429" s="40"/>
      <c r="BN2429" s="40"/>
      <c r="BO2429" s="40"/>
      <c r="BP2429" s="155"/>
      <c r="BQ2429" s="314"/>
      <c r="BR2429" s="314"/>
      <c r="BS2429" s="314"/>
      <c r="BT2429" s="314"/>
      <c r="BU2429" s="314"/>
      <c r="BV2429" s="314"/>
      <c r="BW2429" s="314"/>
      <c r="BX2429" s="155"/>
    </row>
    <row r="2430" spans="1:76" ht="15.75" customHeight="1">
      <c r="A2430" s="25"/>
      <c r="B2430" s="39"/>
      <c r="C2430" s="155"/>
      <c r="D2430" s="155"/>
      <c r="E2430" s="40"/>
      <c r="F2430" s="314"/>
      <c r="H2430" s="315"/>
      <c r="I2430" s="315"/>
      <c r="BA2430" s="30"/>
      <c r="BB2430" s="155"/>
      <c r="BC2430" s="314"/>
      <c r="BD2430" s="314"/>
      <c r="BE2430" s="314"/>
      <c r="BF2430" s="314"/>
      <c r="BG2430" s="314"/>
      <c r="BH2430" s="314"/>
      <c r="BI2430" s="314"/>
      <c r="BJ2430" s="314"/>
      <c r="BK2430" s="40"/>
      <c r="BL2430" s="40"/>
      <c r="BM2430" s="40"/>
      <c r="BN2430" s="40"/>
      <c r="BO2430" s="40"/>
      <c r="BP2430" s="155"/>
      <c r="BQ2430" s="314"/>
      <c r="BR2430" s="314"/>
      <c r="BS2430" s="314"/>
      <c r="BT2430" s="314"/>
      <c r="BU2430" s="314"/>
      <c r="BV2430" s="314"/>
      <c r="BW2430" s="314"/>
      <c r="BX2430" s="155"/>
    </row>
    <row r="2431" spans="1:76" ht="15.75" customHeight="1">
      <c r="A2431" s="25"/>
      <c r="B2431" s="39"/>
      <c r="C2431" s="155"/>
      <c r="D2431" s="155"/>
      <c r="E2431" s="40"/>
      <c r="F2431" s="314"/>
      <c r="H2431" s="315"/>
      <c r="I2431" s="315"/>
      <c r="BA2431" s="30"/>
      <c r="BB2431" s="155"/>
      <c r="BC2431" s="314"/>
      <c r="BD2431" s="314"/>
      <c r="BE2431" s="314"/>
      <c r="BF2431" s="314"/>
      <c r="BG2431" s="314"/>
      <c r="BH2431" s="314"/>
      <c r="BI2431" s="314"/>
      <c r="BJ2431" s="314"/>
      <c r="BK2431" s="40"/>
      <c r="BL2431" s="40"/>
      <c r="BM2431" s="40"/>
      <c r="BN2431" s="40"/>
      <c r="BO2431" s="40"/>
      <c r="BP2431" s="155"/>
      <c r="BQ2431" s="314"/>
      <c r="BR2431" s="314"/>
      <c r="BS2431" s="314"/>
      <c r="BT2431" s="314"/>
      <c r="BU2431" s="314"/>
      <c r="BV2431" s="314"/>
      <c r="BW2431" s="314"/>
      <c r="BX2431" s="155"/>
    </row>
    <row r="2432" spans="1:76" ht="15.75" customHeight="1">
      <c r="A2432" s="25"/>
      <c r="B2432" s="39"/>
      <c r="C2432" s="155"/>
      <c r="D2432" s="155"/>
      <c r="E2432" s="40"/>
      <c r="F2432" s="314"/>
      <c r="H2432" s="315"/>
      <c r="I2432" s="315"/>
      <c r="BA2432" s="30"/>
      <c r="BB2432" s="155"/>
      <c r="BC2432" s="314"/>
      <c r="BD2432" s="314"/>
      <c r="BE2432" s="314"/>
      <c r="BF2432" s="314"/>
      <c r="BG2432" s="314"/>
      <c r="BH2432" s="314"/>
      <c r="BI2432" s="314"/>
      <c r="BJ2432" s="314"/>
      <c r="BK2432" s="40"/>
      <c r="BL2432" s="40"/>
      <c r="BM2432" s="40"/>
      <c r="BN2432" s="40"/>
      <c r="BO2432" s="40"/>
      <c r="BP2432" s="155"/>
      <c r="BQ2432" s="314"/>
      <c r="BR2432" s="314"/>
      <c r="BS2432" s="314"/>
      <c r="BT2432" s="314"/>
      <c r="BU2432" s="314"/>
      <c r="BV2432" s="314"/>
      <c r="BW2432" s="314"/>
      <c r="BX2432" s="155"/>
    </row>
    <row r="2433" spans="1:76" ht="15.75" customHeight="1">
      <c r="A2433" s="25"/>
      <c r="B2433" s="39"/>
      <c r="C2433" s="155"/>
      <c r="D2433" s="155"/>
      <c r="E2433" s="40"/>
      <c r="F2433" s="314"/>
      <c r="H2433" s="315"/>
      <c r="I2433" s="315"/>
      <c r="BA2433" s="30"/>
      <c r="BB2433" s="155"/>
      <c r="BC2433" s="314"/>
      <c r="BD2433" s="314"/>
      <c r="BE2433" s="314"/>
      <c r="BF2433" s="314"/>
      <c r="BG2433" s="314"/>
      <c r="BH2433" s="314"/>
      <c r="BI2433" s="314"/>
      <c r="BJ2433" s="314"/>
      <c r="BK2433" s="40"/>
      <c r="BL2433" s="40"/>
      <c r="BM2433" s="40"/>
      <c r="BN2433" s="40"/>
      <c r="BO2433" s="40"/>
      <c r="BP2433" s="155"/>
      <c r="BQ2433" s="314"/>
      <c r="BR2433" s="314"/>
      <c r="BS2433" s="314"/>
      <c r="BT2433" s="314"/>
      <c r="BU2433" s="314"/>
      <c r="BV2433" s="314"/>
      <c r="BW2433" s="314"/>
      <c r="BX2433" s="155"/>
    </row>
    <row r="2434" spans="1:76" ht="15.75" customHeight="1">
      <c r="A2434" s="25"/>
      <c r="B2434" s="39"/>
      <c r="C2434" s="155"/>
      <c r="D2434" s="155"/>
      <c r="E2434" s="40"/>
      <c r="F2434" s="314"/>
      <c r="H2434" s="315"/>
      <c r="I2434" s="315"/>
      <c r="BA2434" s="30"/>
      <c r="BB2434" s="155"/>
      <c r="BC2434" s="314"/>
      <c r="BD2434" s="314"/>
      <c r="BE2434" s="314"/>
      <c r="BF2434" s="314"/>
      <c r="BG2434" s="314"/>
      <c r="BH2434" s="314"/>
      <c r="BI2434" s="314"/>
      <c r="BJ2434" s="314"/>
      <c r="BK2434" s="40"/>
      <c r="BL2434" s="40"/>
      <c r="BM2434" s="40"/>
      <c r="BN2434" s="40"/>
      <c r="BO2434" s="40"/>
      <c r="BP2434" s="155"/>
      <c r="BQ2434" s="314"/>
      <c r="BR2434" s="314"/>
      <c r="BS2434" s="314"/>
      <c r="BT2434" s="314"/>
      <c r="BU2434" s="314"/>
      <c r="BV2434" s="314"/>
      <c r="BW2434" s="314"/>
      <c r="BX2434" s="155"/>
    </row>
    <row r="2435" spans="1:76" ht="15.75" customHeight="1">
      <c r="A2435" s="25"/>
      <c r="B2435" s="39"/>
      <c r="C2435" s="155"/>
      <c r="D2435" s="155"/>
      <c r="E2435" s="40"/>
      <c r="F2435" s="314"/>
      <c r="H2435" s="315"/>
      <c r="I2435" s="315"/>
      <c r="BA2435" s="30"/>
      <c r="BB2435" s="155"/>
      <c r="BC2435" s="314"/>
      <c r="BD2435" s="314"/>
      <c r="BE2435" s="314"/>
      <c r="BF2435" s="314"/>
      <c r="BG2435" s="314"/>
      <c r="BH2435" s="314"/>
      <c r="BI2435" s="314"/>
      <c r="BJ2435" s="314"/>
      <c r="BK2435" s="40"/>
      <c r="BL2435" s="40"/>
      <c r="BM2435" s="40"/>
      <c r="BN2435" s="40"/>
      <c r="BO2435" s="40"/>
      <c r="BP2435" s="155"/>
      <c r="BQ2435" s="314"/>
      <c r="BR2435" s="314"/>
      <c r="BS2435" s="314"/>
      <c r="BT2435" s="314"/>
      <c r="BU2435" s="314"/>
      <c r="BV2435" s="314"/>
      <c r="BW2435" s="314"/>
      <c r="BX2435" s="155"/>
    </row>
    <row r="2436" spans="1:76" ht="15.75" customHeight="1">
      <c r="A2436" s="25"/>
      <c r="B2436" s="39"/>
      <c r="C2436" s="155"/>
      <c r="D2436" s="155"/>
      <c r="E2436" s="40"/>
      <c r="F2436" s="314"/>
      <c r="H2436" s="315"/>
      <c r="I2436" s="315"/>
      <c r="BA2436" s="30"/>
      <c r="BB2436" s="155"/>
      <c r="BC2436" s="314"/>
      <c r="BD2436" s="314"/>
      <c r="BE2436" s="314"/>
      <c r="BF2436" s="314"/>
      <c r="BG2436" s="314"/>
      <c r="BH2436" s="314"/>
      <c r="BI2436" s="314"/>
      <c r="BJ2436" s="314"/>
      <c r="BK2436" s="40"/>
      <c r="BL2436" s="40"/>
      <c r="BM2436" s="40"/>
      <c r="BN2436" s="40"/>
      <c r="BO2436" s="40"/>
      <c r="BP2436" s="155"/>
      <c r="BQ2436" s="314"/>
      <c r="BR2436" s="314"/>
      <c r="BS2436" s="314"/>
      <c r="BT2436" s="314"/>
      <c r="BU2436" s="314"/>
      <c r="BV2436" s="314"/>
      <c r="BW2436" s="314"/>
      <c r="BX2436" s="155"/>
    </row>
    <row r="2437" spans="1:76" ht="15.75" customHeight="1">
      <c r="A2437" s="25"/>
      <c r="B2437" s="39"/>
      <c r="C2437" s="155"/>
      <c r="D2437" s="155"/>
      <c r="E2437" s="40"/>
      <c r="F2437" s="314"/>
      <c r="H2437" s="315"/>
      <c r="I2437" s="315"/>
      <c r="BA2437" s="30"/>
      <c r="BB2437" s="155"/>
      <c r="BC2437" s="314"/>
      <c r="BD2437" s="314"/>
      <c r="BE2437" s="314"/>
      <c r="BF2437" s="314"/>
      <c r="BG2437" s="314"/>
      <c r="BH2437" s="314"/>
      <c r="BI2437" s="314"/>
      <c r="BJ2437" s="314"/>
      <c r="BK2437" s="40"/>
      <c r="BL2437" s="40"/>
      <c r="BM2437" s="40"/>
      <c r="BN2437" s="40"/>
      <c r="BO2437" s="40"/>
      <c r="BP2437" s="155"/>
      <c r="BQ2437" s="314"/>
      <c r="BR2437" s="314"/>
      <c r="BS2437" s="314"/>
      <c r="BT2437" s="314"/>
      <c r="BU2437" s="314"/>
      <c r="BV2437" s="314"/>
      <c r="BW2437" s="314"/>
      <c r="BX2437" s="155"/>
    </row>
    <row r="2438" spans="1:76" ht="15.75" customHeight="1">
      <c r="A2438" s="25"/>
      <c r="B2438" s="39"/>
      <c r="C2438" s="155"/>
      <c r="D2438" s="155"/>
      <c r="E2438" s="40"/>
      <c r="F2438" s="314"/>
      <c r="H2438" s="315"/>
      <c r="I2438" s="315"/>
      <c r="BA2438" s="30"/>
      <c r="BB2438" s="155"/>
      <c r="BC2438" s="314"/>
      <c r="BD2438" s="314"/>
      <c r="BE2438" s="314"/>
      <c r="BF2438" s="314"/>
      <c r="BG2438" s="314"/>
      <c r="BH2438" s="314"/>
      <c r="BI2438" s="314"/>
      <c r="BJ2438" s="314"/>
      <c r="BK2438" s="40"/>
      <c r="BL2438" s="40"/>
      <c r="BM2438" s="40"/>
      <c r="BN2438" s="40"/>
      <c r="BO2438" s="40"/>
      <c r="BP2438" s="155"/>
      <c r="BQ2438" s="314"/>
      <c r="BR2438" s="314"/>
      <c r="BS2438" s="314"/>
      <c r="BT2438" s="314"/>
      <c r="BU2438" s="314"/>
      <c r="BV2438" s="314"/>
      <c r="BW2438" s="314"/>
      <c r="BX2438" s="155"/>
    </row>
    <row r="2439" spans="1:76" ht="15.75" customHeight="1">
      <c r="A2439" s="25"/>
      <c r="B2439" s="39"/>
      <c r="C2439" s="155"/>
      <c r="D2439" s="155"/>
      <c r="E2439" s="40"/>
      <c r="F2439" s="314"/>
      <c r="H2439" s="315"/>
      <c r="I2439" s="315"/>
      <c r="BA2439" s="30"/>
      <c r="BB2439" s="155"/>
      <c r="BC2439" s="314"/>
      <c r="BD2439" s="314"/>
      <c r="BE2439" s="314"/>
      <c r="BF2439" s="314"/>
      <c r="BG2439" s="314"/>
      <c r="BH2439" s="314"/>
      <c r="BI2439" s="314"/>
      <c r="BJ2439" s="314"/>
      <c r="BK2439" s="40"/>
      <c r="BL2439" s="40"/>
      <c r="BM2439" s="40"/>
      <c r="BN2439" s="40"/>
      <c r="BO2439" s="40"/>
      <c r="BP2439" s="155"/>
      <c r="BQ2439" s="314"/>
      <c r="BR2439" s="314"/>
      <c r="BS2439" s="314"/>
      <c r="BT2439" s="314"/>
      <c r="BU2439" s="314"/>
      <c r="BV2439" s="314"/>
      <c r="BW2439" s="314"/>
      <c r="BX2439" s="155"/>
    </row>
    <row r="2440" spans="1:76" ht="15.75" customHeight="1">
      <c r="A2440" s="25"/>
      <c r="B2440" s="39"/>
      <c r="C2440" s="155"/>
      <c r="D2440" s="155"/>
      <c r="E2440" s="40"/>
      <c r="F2440" s="314"/>
      <c r="H2440" s="315"/>
      <c r="I2440" s="315"/>
      <c r="BA2440" s="30"/>
      <c r="BB2440" s="155"/>
      <c r="BC2440" s="314"/>
      <c r="BD2440" s="314"/>
      <c r="BE2440" s="314"/>
      <c r="BF2440" s="314"/>
      <c r="BG2440" s="314"/>
      <c r="BH2440" s="314"/>
      <c r="BI2440" s="314"/>
      <c r="BJ2440" s="314"/>
      <c r="BK2440" s="40"/>
      <c r="BL2440" s="40"/>
      <c r="BM2440" s="40"/>
      <c r="BN2440" s="40"/>
      <c r="BO2440" s="40"/>
      <c r="BP2440" s="155"/>
      <c r="BQ2440" s="314"/>
      <c r="BR2440" s="314"/>
      <c r="BS2440" s="314"/>
      <c r="BT2440" s="314"/>
      <c r="BU2440" s="314"/>
      <c r="BV2440" s="314"/>
      <c r="BW2440" s="314"/>
      <c r="BX2440" s="155"/>
    </row>
    <row r="2441" spans="1:76" ht="15.75" customHeight="1">
      <c r="A2441" s="25"/>
      <c r="B2441" s="39"/>
      <c r="C2441" s="155"/>
      <c r="D2441" s="155"/>
      <c r="E2441" s="40"/>
      <c r="F2441" s="314"/>
      <c r="H2441" s="315"/>
      <c r="I2441" s="315"/>
      <c r="BA2441" s="30"/>
      <c r="BB2441" s="155"/>
      <c r="BC2441" s="314"/>
      <c r="BD2441" s="314"/>
      <c r="BE2441" s="314"/>
      <c r="BF2441" s="314"/>
      <c r="BG2441" s="314"/>
      <c r="BH2441" s="314"/>
      <c r="BI2441" s="314"/>
      <c r="BJ2441" s="314"/>
      <c r="BK2441" s="40"/>
      <c r="BL2441" s="40"/>
      <c r="BM2441" s="40"/>
      <c r="BN2441" s="40"/>
      <c r="BO2441" s="40"/>
      <c r="BP2441" s="155"/>
      <c r="BQ2441" s="314"/>
      <c r="BR2441" s="314"/>
      <c r="BS2441" s="314"/>
      <c r="BT2441" s="314"/>
      <c r="BU2441" s="314"/>
      <c r="BV2441" s="314"/>
      <c r="BW2441" s="314"/>
      <c r="BX2441" s="155"/>
    </row>
    <row r="2442" spans="1:76" ht="15.75" customHeight="1">
      <c r="A2442" s="25"/>
      <c r="B2442" s="39"/>
      <c r="C2442" s="155"/>
      <c r="D2442" s="155"/>
      <c r="E2442" s="40"/>
      <c r="F2442" s="314"/>
      <c r="H2442" s="315"/>
      <c r="I2442" s="315"/>
      <c r="BA2442" s="30"/>
      <c r="BB2442" s="155"/>
      <c r="BC2442" s="314"/>
      <c r="BD2442" s="314"/>
      <c r="BE2442" s="314"/>
      <c r="BF2442" s="314"/>
      <c r="BG2442" s="314"/>
      <c r="BH2442" s="314"/>
      <c r="BI2442" s="314"/>
      <c r="BJ2442" s="314"/>
      <c r="BK2442" s="40"/>
      <c r="BL2442" s="40"/>
      <c r="BM2442" s="40"/>
      <c r="BN2442" s="40"/>
      <c r="BO2442" s="40"/>
      <c r="BP2442" s="155"/>
      <c r="BQ2442" s="314"/>
      <c r="BR2442" s="314"/>
      <c r="BS2442" s="314"/>
      <c r="BT2442" s="314"/>
      <c r="BU2442" s="314"/>
      <c r="BV2442" s="314"/>
      <c r="BW2442" s="314"/>
      <c r="BX2442" s="155"/>
    </row>
    <row r="2443" spans="1:76" ht="15.75" customHeight="1">
      <c r="A2443" s="25"/>
      <c r="B2443" s="39"/>
      <c r="C2443" s="155"/>
      <c r="D2443" s="155"/>
      <c r="E2443" s="40"/>
      <c r="F2443" s="314"/>
      <c r="H2443" s="315"/>
      <c r="I2443" s="315"/>
      <c r="BA2443" s="30"/>
      <c r="BB2443" s="155"/>
      <c r="BC2443" s="314"/>
      <c r="BD2443" s="314"/>
      <c r="BE2443" s="314"/>
      <c r="BF2443" s="314"/>
      <c r="BG2443" s="314"/>
      <c r="BH2443" s="314"/>
      <c r="BI2443" s="314"/>
      <c r="BJ2443" s="314"/>
      <c r="BK2443" s="40"/>
      <c r="BL2443" s="40"/>
      <c r="BM2443" s="40"/>
      <c r="BN2443" s="40"/>
      <c r="BO2443" s="40"/>
      <c r="BP2443" s="155"/>
      <c r="BQ2443" s="314"/>
      <c r="BR2443" s="314"/>
      <c r="BS2443" s="314"/>
      <c r="BT2443" s="314"/>
      <c r="BU2443" s="314"/>
      <c r="BV2443" s="314"/>
      <c r="BW2443" s="314"/>
      <c r="BX2443" s="155"/>
    </row>
    <row r="2444" spans="1:76" ht="15.75" customHeight="1">
      <c r="A2444" s="25"/>
      <c r="B2444" s="39"/>
      <c r="C2444" s="155"/>
      <c r="D2444" s="155"/>
      <c r="E2444" s="40"/>
      <c r="F2444" s="314"/>
      <c r="H2444" s="315"/>
      <c r="I2444" s="315"/>
      <c r="BA2444" s="30"/>
      <c r="BB2444" s="155"/>
      <c r="BC2444" s="314"/>
      <c r="BD2444" s="314"/>
      <c r="BE2444" s="314"/>
      <c r="BF2444" s="314"/>
      <c r="BG2444" s="314"/>
      <c r="BH2444" s="314"/>
      <c r="BI2444" s="314"/>
      <c r="BJ2444" s="314"/>
      <c r="BK2444" s="40"/>
      <c r="BL2444" s="40"/>
      <c r="BM2444" s="40"/>
      <c r="BN2444" s="40"/>
      <c r="BO2444" s="40"/>
      <c r="BP2444" s="155"/>
      <c r="BQ2444" s="314"/>
      <c r="BR2444" s="314"/>
      <c r="BS2444" s="314"/>
      <c r="BT2444" s="314"/>
      <c r="BU2444" s="314"/>
      <c r="BV2444" s="314"/>
      <c r="BW2444" s="314"/>
      <c r="BX2444" s="155"/>
    </row>
    <row r="2445" spans="1:76" ht="15.75" customHeight="1">
      <c r="A2445" s="25"/>
      <c r="B2445" s="39"/>
      <c r="C2445" s="155"/>
      <c r="D2445" s="155"/>
      <c r="E2445" s="40"/>
      <c r="F2445" s="314"/>
      <c r="H2445" s="315"/>
      <c r="I2445" s="315"/>
      <c r="BA2445" s="30"/>
      <c r="BB2445" s="155"/>
      <c r="BC2445" s="314"/>
      <c r="BD2445" s="314"/>
      <c r="BE2445" s="314"/>
      <c r="BF2445" s="314"/>
      <c r="BG2445" s="314"/>
      <c r="BH2445" s="314"/>
      <c r="BI2445" s="314"/>
      <c r="BJ2445" s="314"/>
      <c r="BK2445" s="40"/>
      <c r="BL2445" s="40"/>
      <c r="BM2445" s="40"/>
      <c r="BN2445" s="40"/>
      <c r="BO2445" s="40"/>
      <c r="BP2445" s="155"/>
      <c r="BQ2445" s="314"/>
      <c r="BR2445" s="314"/>
      <c r="BS2445" s="314"/>
      <c r="BT2445" s="314"/>
      <c r="BU2445" s="314"/>
      <c r="BV2445" s="314"/>
      <c r="BW2445" s="314"/>
      <c r="BX2445" s="155"/>
    </row>
    <row r="2446" spans="1:76" ht="15.75" customHeight="1">
      <c r="A2446" s="25"/>
      <c r="B2446" s="39"/>
      <c r="C2446" s="155"/>
      <c r="D2446" s="155"/>
      <c r="E2446" s="40"/>
      <c r="F2446" s="314"/>
      <c r="H2446" s="315"/>
      <c r="I2446" s="315"/>
      <c r="BA2446" s="30"/>
      <c r="BB2446" s="155"/>
      <c r="BC2446" s="314"/>
      <c r="BD2446" s="314"/>
      <c r="BE2446" s="314"/>
      <c r="BF2446" s="314"/>
      <c r="BG2446" s="314"/>
      <c r="BH2446" s="314"/>
      <c r="BI2446" s="314"/>
      <c r="BJ2446" s="314"/>
      <c r="BK2446" s="40"/>
      <c r="BL2446" s="40"/>
      <c r="BM2446" s="40"/>
      <c r="BN2446" s="40"/>
      <c r="BO2446" s="40"/>
      <c r="BP2446" s="155"/>
      <c r="BQ2446" s="314"/>
      <c r="BR2446" s="314"/>
      <c r="BS2446" s="314"/>
      <c r="BT2446" s="314"/>
      <c r="BU2446" s="314"/>
      <c r="BV2446" s="314"/>
      <c r="BW2446" s="314"/>
      <c r="BX2446" s="155"/>
    </row>
    <row r="2447" spans="1:76" ht="15.75" customHeight="1">
      <c r="A2447" s="25"/>
      <c r="B2447" s="39"/>
      <c r="C2447" s="155"/>
      <c r="D2447" s="155"/>
      <c r="E2447" s="40"/>
      <c r="F2447" s="314"/>
      <c r="H2447" s="315"/>
      <c r="I2447" s="315"/>
      <c r="BA2447" s="30"/>
      <c r="BB2447" s="155"/>
      <c r="BC2447" s="314"/>
      <c r="BD2447" s="314"/>
      <c r="BE2447" s="314"/>
      <c r="BF2447" s="314"/>
      <c r="BG2447" s="314"/>
      <c r="BH2447" s="314"/>
      <c r="BI2447" s="314"/>
      <c r="BJ2447" s="314"/>
      <c r="BK2447" s="40"/>
      <c r="BL2447" s="40"/>
      <c r="BM2447" s="40"/>
      <c r="BN2447" s="40"/>
      <c r="BO2447" s="40"/>
      <c r="BP2447" s="155"/>
      <c r="BQ2447" s="314"/>
      <c r="BR2447" s="314"/>
      <c r="BS2447" s="314"/>
      <c r="BT2447" s="314"/>
      <c r="BU2447" s="314"/>
      <c r="BV2447" s="314"/>
      <c r="BW2447" s="314"/>
      <c r="BX2447" s="155"/>
    </row>
    <row r="2448" spans="1:76" ht="15.75" customHeight="1">
      <c r="A2448" s="25"/>
      <c r="B2448" s="39"/>
      <c r="C2448" s="155"/>
      <c r="D2448" s="155"/>
      <c r="E2448" s="40"/>
      <c r="F2448" s="314"/>
      <c r="H2448" s="315"/>
      <c r="I2448" s="315"/>
      <c r="BA2448" s="30"/>
      <c r="BB2448" s="155"/>
      <c r="BC2448" s="314"/>
      <c r="BD2448" s="314"/>
      <c r="BE2448" s="314"/>
      <c r="BF2448" s="314"/>
      <c r="BG2448" s="314"/>
      <c r="BH2448" s="314"/>
      <c r="BI2448" s="314"/>
      <c r="BJ2448" s="314"/>
      <c r="BK2448" s="40"/>
      <c r="BL2448" s="40"/>
      <c r="BM2448" s="40"/>
      <c r="BN2448" s="40"/>
      <c r="BO2448" s="40"/>
      <c r="BP2448" s="155"/>
      <c r="BQ2448" s="314"/>
      <c r="BR2448" s="314"/>
      <c r="BS2448" s="314"/>
      <c r="BT2448" s="314"/>
      <c r="BU2448" s="314"/>
      <c r="BV2448" s="314"/>
      <c r="BW2448" s="314"/>
      <c r="BX2448" s="155"/>
    </row>
    <row r="2449" spans="1:76" ht="15.75" customHeight="1">
      <c r="A2449" s="25"/>
      <c r="B2449" s="39"/>
      <c r="C2449" s="155"/>
      <c r="D2449" s="155"/>
      <c r="E2449" s="40"/>
      <c r="F2449" s="314"/>
      <c r="H2449" s="315"/>
      <c r="I2449" s="315"/>
      <c r="BA2449" s="30"/>
      <c r="BB2449" s="155"/>
      <c r="BC2449" s="314"/>
      <c r="BD2449" s="314"/>
      <c r="BE2449" s="314"/>
      <c r="BF2449" s="314"/>
      <c r="BG2449" s="314"/>
      <c r="BH2449" s="314"/>
      <c r="BI2449" s="314"/>
      <c r="BJ2449" s="314"/>
      <c r="BK2449" s="40"/>
      <c r="BL2449" s="40"/>
      <c r="BM2449" s="40"/>
      <c r="BN2449" s="40"/>
      <c r="BO2449" s="40"/>
      <c r="BP2449" s="155"/>
      <c r="BQ2449" s="314"/>
      <c r="BR2449" s="314"/>
      <c r="BS2449" s="314"/>
      <c r="BT2449" s="314"/>
      <c r="BU2449" s="314"/>
      <c r="BV2449" s="314"/>
      <c r="BW2449" s="314"/>
      <c r="BX2449" s="155"/>
    </row>
    <row r="2450" spans="1:76" ht="15.75" customHeight="1">
      <c r="A2450" s="25"/>
      <c r="B2450" s="39"/>
      <c r="C2450" s="155"/>
      <c r="D2450" s="155"/>
      <c r="E2450" s="40"/>
      <c r="F2450" s="314"/>
      <c r="H2450" s="315"/>
      <c r="I2450" s="315"/>
      <c r="BA2450" s="30"/>
      <c r="BB2450" s="155"/>
      <c r="BC2450" s="314"/>
      <c r="BD2450" s="314"/>
      <c r="BE2450" s="314"/>
      <c r="BF2450" s="314"/>
      <c r="BG2450" s="314"/>
      <c r="BH2450" s="314"/>
      <c r="BI2450" s="314"/>
      <c r="BJ2450" s="314"/>
      <c r="BK2450" s="40"/>
      <c r="BL2450" s="40"/>
      <c r="BM2450" s="40"/>
      <c r="BN2450" s="40"/>
      <c r="BO2450" s="40"/>
      <c r="BP2450" s="155"/>
      <c r="BQ2450" s="314"/>
      <c r="BR2450" s="314"/>
      <c r="BS2450" s="314"/>
      <c r="BT2450" s="314"/>
      <c r="BU2450" s="314"/>
      <c r="BV2450" s="314"/>
      <c r="BW2450" s="314"/>
      <c r="BX2450" s="155"/>
    </row>
    <row r="2451" spans="1:76" ht="15.75" customHeight="1">
      <c r="A2451" s="25"/>
      <c r="B2451" s="39"/>
      <c r="C2451" s="155"/>
      <c r="D2451" s="155"/>
      <c r="E2451" s="40"/>
      <c r="F2451" s="314"/>
      <c r="H2451" s="315"/>
      <c r="I2451" s="315"/>
      <c r="BA2451" s="30"/>
      <c r="BB2451" s="155"/>
      <c r="BC2451" s="314"/>
      <c r="BD2451" s="314"/>
      <c r="BE2451" s="314"/>
      <c r="BF2451" s="314"/>
      <c r="BG2451" s="314"/>
      <c r="BH2451" s="314"/>
      <c r="BI2451" s="314"/>
      <c r="BJ2451" s="314"/>
      <c r="BK2451" s="40"/>
      <c r="BL2451" s="40"/>
      <c r="BM2451" s="40"/>
      <c r="BN2451" s="40"/>
      <c r="BO2451" s="40"/>
      <c r="BP2451" s="155"/>
      <c r="BQ2451" s="314"/>
      <c r="BR2451" s="314"/>
      <c r="BS2451" s="314"/>
      <c r="BT2451" s="314"/>
      <c r="BU2451" s="314"/>
      <c r="BV2451" s="314"/>
      <c r="BW2451" s="314"/>
      <c r="BX2451" s="155"/>
    </row>
    <row r="2452" spans="1:76" ht="15.75" customHeight="1">
      <c r="A2452" s="25"/>
      <c r="B2452" s="39"/>
      <c r="C2452" s="155"/>
      <c r="D2452" s="155"/>
      <c r="E2452" s="40"/>
      <c r="F2452" s="314"/>
      <c r="H2452" s="315"/>
      <c r="I2452" s="315"/>
      <c r="BA2452" s="30"/>
      <c r="BB2452" s="155"/>
      <c r="BC2452" s="314"/>
      <c r="BD2452" s="314"/>
      <c r="BE2452" s="314"/>
      <c r="BF2452" s="314"/>
      <c r="BG2452" s="314"/>
      <c r="BH2452" s="314"/>
      <c r="BI2452" s="314"/>
      <c r="BJ2452" s="314"/>
      <c r="BK2452" s="40"/>
      <c r="BL2452" s="40"/>
      <c r="BM2452" s="40"/>
      <c r="BN2452" s="40"/>
      <c r="BO2452" s="40"/>
      <c r="BP2452" s="155"/>
      <c r="BQ2452" s="314"/>
      <c r="BR2452" s="314"/>
      <c r="BS2452" s="314"/>
      <c r="BT2452" s="314"/>
      <c r="BU2452" s="314"/>
      <c r="BV2452" s="314"/>
      <c r="BW2452" s="314"/>
      <c r="BX2452" s="155"/>
    </row>
    <row r="2453" spans="1:76" ht="15.75" customHeight="1">
      <c r="A2453" s="25"/>
      <c r="B2453" s="39"/>
      <c r="C2453" s="155"/>
      <c r="D2453" s="155"/>
      <c r="E2453" s="40"/>
      <c r="F2453" s="314"/>
      <c r="H2453" s="315"/>
      <c r="I2453" s="315"/>
      <c r="BA2453" s="30"/>
      <c r="BB2453" s="155"/>
      <c r="BC2453" s="314"/>
      <c r="BD2453" s="314"/>
      <c r="BE2453" s="314"/>
      <c r="BF2453" s="314"/>
      <c r="BG2453" s="314"/>
      <c r="BH2453" s="314"/>
      <c r="BI2453" s="314"/>
      <c r="BJ2453" s="314"/>
      <c r="BK2453" s="40"/>
      <c r="BL2453" s="40"/>
      <c r="BM2453" s="40"/>
      <c r="BN2453" s="40"/>
      <c r="BO2453" s="40"/>
      <c r="BP2453" s="155"/>
      <c r="BQ2453" s="314"/>
      <c r="BR2453" s="314"/>
      <c r="BS2453" s="314"/>
      <c r="BT2453" s="314"/>
      <c r="BU2453" s="314"/>
      <c r="BV2453" s="314"/>
      <c r="BW2453" s="314"/>
      <c r="BX2453" s="155"/>
    </row>
    <row r="2454" spans="1:76" ht="15.75" customHeight="1">
      <c r="A2454" s="25"/>
      <c r="B2454" s="39"/>
      <c r="C2454" s="155"/>
      <c r="D2454" s="155"/>
      <c r="E2454" s="40"/>
      <c r="F2454" s="314"/>
      <c r="H2454" s="315"/>
      <c r="I2454" s="315"/>
      <c r="BA2454" s="30"/>
      <c r="BB2454" s="155"/>
      <c r="BC2454" s="314"/>
      <c r="BD2454" s="314"/>
      <c r="BE2454" s="314"/>
      <c r="BF2454" s="314"/>
      <c r="BG2454" s="314"/>
      <c r="BH2454" s="314"/>
      <c r="BI2454" s="314"/>
      <c r="BJ2454" s="314"/>
      <c r="BK2454" s="40"/>
      <c r="BL2454" s="40"/>
      <c r="BM2454" s="40"/>
      <c r="BN2454" s="40"/>
      <c r="BO2454" s="40"/>
      <c r="BP2454" s="155"/>
      <c r="BQ2454" s="314"/>
      <c r="BR2454" s="314"/>
      <c r="BS2454" s="314"/>
      <c r="BT2454" s="314"/>
      <c r="BU2454" s="314"/>
      <c r="BV2454" s="314"/>
      <c r="BW2454" s="314"/>
      <c r="BX2454" s="155"/>
    </row>
    <row r="2455" spans="1:76" ht="15.75" customHeight="1">
      <c r="A2455" s="25"/>
      <c r="B2455" s="39"/>
      <c r="C2455" s="155"/>
      <c r="D2455" s="155"/>
      <c r="E2455" s="40"/>
      <c r="F2455" s="314"/>
      <c r="H2455" s="315"/>
      <c r="I2455" s="315"/>
      <c r="BA2455" s="30"/>
      <c r="BB2455" s="155"/>
      <c r="BC2455" s="314"/>
      <c r="BD2455" s="314"/>
      <c r="BE2455" s="314"/>
      <c r="BF2455" s="314"/>
      <c r="BG2455" s="314"/>
      <c r="BH2455" s="314"/>
      <c r="BI2455" s="314"/>
      <c r="BJ2455" s="314"/>
      <c r="BK2455" s="40"/>
      <c r="BL2455" s="40"/>
      <c r="BM2455" s="40"/>
      <c r="BN2455" s="40"/>
      <c r="BO2455" s="40"/>
      <c r="BP2455" s="155"/>
      <c r="BQ2455" s="314"/>
      <c r="BR2455" s="314"/>
      <c r="BS2455" s="314"/>
      <c r="BT2455" s="314"/>
      <c r="BU2455" s="314"/>
      <c r="BV2455" s="314"/>
      <c r="BW2455" s="314"/>
      <c r="BX2455" s="155"/>
    </row>
    <row r="2456" spans="1:76" ht="15.75" customHeight="1">
      <c r="A2456" s="25"/>
      <c r="B2456" s="39"/>
      <c r="C2456" s="155"/>
      <c r="D2456" s="155"/>
      <c r="E2456" s="40"/>
      <c r="F2456" s="314"/>
      <c r="H2456" s="315"/>
      <c r="I2456" s="315"/>
      <c r="BA2456" s="30"/>
      <c r="BB2456" s="155"/>
      <c r="BC2456" s="314"/>
      <c r="BD2456" s="314"/>
      <c r="BE2456" s="314"/>
      <c r="BF2456" s="314"/>
      <c r="BG2456" s="314"/>
      <c r="BH2456" s="314"/>
      <c r="BI2456" s="314"/>
      <c r="BJ2456" s="314"/>
      <c r="BK2456" s="40"/>
      <c r="BL2456" s="40"/>
      <c r="BM2456" s="40"/>
      <c r="BN2456" s="40"/>
      <c r="BO2456" s="40"/>
      <c r="BP2456" s="155"/>
      <c r="BQ2456" s="314"/>
      <c r="BR2456" s="314"/>
      <c r="BS2456" s="314"/>
      <c r="BT2456" s="314"/>
      <c r="BU2456" s="314"/>
      <c r="BV2456" s="314"/>
      <c r="BW2456" s="314"/>
      <c r="BX2456" s="155"/>
    </row>
    <row r="2457" spans="1:76" ht="15.75" customHeight="1">
      <c r="A2457" s="25"/>
      <c r="B2457" s="39"/>
      <c r="C2457" s="155"/>
      <c r="D2457" s="155"/>
      <c r="E2457" s="40"/>
      <c r="F2457" s="314"/>
      <c r="H2457" s="315"/>
      <c r="I2457" s="315"/>
      <c r="BA2457" s="30"/>
      <c r="BB2457" s="155"/>
      <c r="BC2457" s="314"/>
      <c r="BD2457" s="314"/>
      <c r="BE2457" s="314"/>
      <c r="BF2457" s="314"/>
      <c r="BG2457" s="314"/>
      <c r="BH2457" s="314"/>
      <c r="BI2457" s="314"/>
      <c r="BJ2457" s="314"/>
      <c r="BK2457" s="40"/>
      <c r="BL2457" s="40"/>
      <c r="BM2457" s="40"/>
      <c r="BN2457" s="40"/>
      <c r="BO2457" s="40"/>
      <c r="BP2457" s="155"/>
      <c r="BQ2457" s="314"/>
      <c r="BR2457" s="314"/>
      <c r="BS2457" s="314"/>
      <c r="BT2457" s="314"/>
      <c r="BU2457" s="314"/>
      <c r="BV2457" s="314"/>
      <c r="BW2457" s="314"/>
      <c r="BX2457" s="155"/>
    </row>
    <row r="2458" spans="1:76" ht="15.75" customHeight="1">
      <c r="A2458" s="25"/>
      <c r="B2458" s="39"/>
      <c r="C2458" s="155"/>
      <c r="D2458" s="155"/>
      <c r="E2458" s="40"/>
      <c r="F2458" s="314"/>
      <c r="H2458" s="315"/>
      <c r="I2458" s="315"/>
      <c r="BA2458" s="30"/>
      <c r="BB2458" s="155"/>
      <c r="BC2458" s="314"/>
      <c r="BD2458" s="314"/>
      <c r="BE2458" s="314"/>
      <c r="BF2458" s="314"/>
      <c r="BG2458" s="314"/>
      <c r="BH2458" s="314"/>
      <c r="BI2458" s="314"/>
      <c r="BJ2458" s="314"/>
      <c r="BK2458" s="40"/>
      <c r="BL2458" s="40"/>
      <c r="BM2458" s="40"/>
      <c r="BN2458" s="40"/>
      <c r="BO2458" s="40"/>
      <c r="BP2458" s="155"/>
      <c r="BQ2458" s="314"/>
      <c r="BR2458" s="314"/>
      <c r="BS2458" s="314"/>
      <c r="BT2458" s="314"/>
      <c r="BU2458" s="314"/>
      <c r="BV2458" s="314"/>
      <c r="BW2458" s="314"/>
      <c r="BX2458" s="155"/>
    </row>
    <row r="2459" spans="1:76" ht="15.75" customHeight="1">
      <c r="A2459" s="25"/>
      <c r="B2459" s="39"/>
      <c r="C2459" s="155"/>
      <c r="D2459" s="155"/>
      <c r="E2459" s="40"/>
      <c r="F2459" s="314"/>
      <c r="H2459" s="315"/>
      <c r="I2459" s="315"/>
      <c r="BA2459" s="30"/>
      <c r="BB2459" s="155"/>
      <c r="BC2459" s="314"/>
      <c r="BD2459" s="314"/>
      <c r="BE2459" s="314"/>
      <c r="BF2459" s="314"/>
      <c r="BG2459" s="314"/>
      <c r="BH2459" s="314"/>
      <c r="BI2459" s="314"/>
      <c r="BJ2459" s="314"/>
      <c r="BK2459" s="40"/>
      <c r="BL2459" s="40"/>
      <c r="BM2459" s="40"/>
      <c r="BN2459" s="40"/>
      <c r="BO2459" s="40"/>
      <c r="BP2459" s="155"/>
      <c r="BQ2459" s="314"/>
      <c r="BR2459" s="314"/>
      <c r="BS2459" s="314"/>
      <c r="BT2459" s="314"/>
      <c r="BU2459" s="314"/>
      <c r="BV2459" s="314"/>
      <c r="BW2459" s="314"/>
      <c r="BX2459" s="155"/>
    </row>
    <row r="2460" spans="1:76" ht="15.75" customHeight="1">
      <c r="A2460" s="25"/>
      <c r="B2460" s="39"/>
      <c r="C2460" s="155"/>
      <c r="D2460" s="155"/>
      <c r="E2460" s="40"/>
      <c r="F2460" s="314"/>
      <c r="H2460" s="315"/>
      <c r="I2460" s="315"/>
      <c r="BA2460" s="30"/>
      <c r="BB2460" s="155"/>
      <c r="BC2460" s="314"/>
      <c r="BD2460" s="314"/>
      <c r="BE2460" s="314"/>
      <c r="BF2460" s="314"/>
      <c r="BG2460" s="314"/>
      <c r="BH2460" s="314"/>
      <c r="BI2460" s="314"/>
      <c r="BJ2460" s="314"/>
      <c r="BK2460" s="40"/>
      <c r="BL2460" s="40"/>
      <c r="BM2460" s="40"/>
      <c r="BN2460" s="40"/>
      <c r="BO2460" s="40"/>
      <c r="BP2460" s="155"/>
      <c r="BQ2460" s="314"/>
      <c r="BR2460" s="314"/>
      <c r="BS2460" s="314"/>
      <c r="BT2460" s="314"/>
      <c r="BU2460" s="314"/>
      <c r="BV2460" s="314"/>
      <c r="BW2460" s="314"/>
      <c r="BX2460" s="155"/>
    </row>
    <row r="2461" spans="1:76" ht="15.75" customHeight="1">
      <c r="A2461" s="25"/>
      <c r="B2461" s="39"/>
      <c r="C2461" s="155"/>
      <c r="D2461" s="155"/>
      <c r="E2461" s="40"/>
      <c r="F2461" s="314"/>
      <c r="H2461" s="315"/>
      <c r="I2461" s="315"/>
      <c r="BA2461" s="30"/>
      <c r="BB2461" s="155"/>
      <c r="BC2461" s="314"/>
      <c r="BD2461" s="314"/>
      <c r="BE2461" s="314"/>
      <c r="BF2461" s="314"/>
      <c r="BG2461" s="314"/>
      <c r="BH2461" s="314"/>
      <c r="BI2461" s="314"/>
      <c r="BJ2461" s="314"/>
      <c r="BK2461" s="40"/>
      <c r="BL2461" s="40"/>
      <c r="BM2461" s="40"/>
      <c r="BN2461" s="40"/>
      <c r="BO2461" s="40"/>
      <c r="BP2461" s="155"/>
      <c r="BQ2461" s="314"/>
      <c r="BR2461" s="314"/>
      <c r="BS2461" s="314"/>
      <c r="BT2461" s="314"/>
      <c r="BU2461" s="314"/>
      <c r="BV2461" s="314"/>
      <c r="BW2461" s="314"/>
      <c r="BX2461" s="155"/>
    </row>
    <row r="2462" spans="1:76" ht="15.75" customHeight="1">
      <c r="A2462" s="25"/>
      <c r="B2462" s="39"/>
      <c r="C2462" s="155"/>
      <c r="D2462" s="155"/>
      <c r="E2462" s="40"/>
      <c r="F2462" s="314"/>
      <c r="H2462" s="315"/>
      <c r="I2462" s="315"/>
      <c r="BA2462" s="30"/>
      <c r="BB2462" s="155"/>
      <c r="BC2462" s="314"/>
      <c r="BD2462" s="314"/>
      <c r="BE2462" s="314"/>
      <c r="BF2462" s="314"/>
      <c r="BG2462" s="314"/>
      <c r="BH2462" s="314"/>
      <c r="BI2462" s="314"/>
      <c r="BJ2462" s="314"/>
      <c r="BK2462" s="40"/>
      <c r="BL2462" s="40"/>
      <c r="BM2462" s="40"/>
      <c r="BN2462" s="40"/>
      <c r="BO2462" s="40"/>
      <c r="BP2462" s="155"/>
      <c r="BQ2462" s="314"/>
      <c r="BR2462" s="314"/>
      <c r="BS2462" s="314"/>
      <c r="BT2462" s="314"/>
      <c r="BU2462" s="314"/>
      <c r="BV2462" s="314"/>
      <c r="BW2462" s="314"/>
      <c r="BX2462" s="155"/>
    </row>
    <row r="2463" spans="1:76" ht="15.75" customHeight="1">
      <c r="A2463" s="25"/>
      <c r="B2463" s="39"/>
      <c r="C2463" s="155"/>
      <c r="D2463" s="155"/>
      <c r="E2463" s="40"/>
      <c r="F2463" s="314"/>
      <c r="H2463" s="315"/>
      <c r="I2463" s="315"/>
      <c r="BA2463" s="30"/>
      <c r="BB2463" s="155"/>
      <c r="BC2463" s="314"/>
      <c r="BD2463" s="314"/>
      <c r="BE2463" s="314"/>
      <c r="BF2463" s="314"/>
      <c r="BG2463" s="314"/>
      <c r="BH2463" s="314"/>
      <c r="BI2463" s="314"/>
      <c r="BJ2463" s="314"/>
      <c r="BK2463" s="40"/>
      <c r="BL2463" s="40"/>
      <c r="BM2463" s="40"/>
      <c r="BN2463" s="40"/>
      <c r="BO2463" s="40"/>
      <c r="BP2463" s="155"/>
      <c r="BQ2463" s="314"/>
      <c r="BR2463" s="314"/>
      <c r="BS2463" s="314"/>
      <c r="BT2463" s="314"/>
      <c r="BU2463" s="314"/>
      <c r="BV2463" s="314"/>
      <c r="BW2463" s="314"/>
      <c r="BX2463" s="155"/>
    </row>
    <row r="2464" spans="1:76" ht="15.75" customHeight="1">
      <c r="A2464" s="25"/>
      <c r="B2464" s="39"/>
      <c r="C2464" s="155"/>
      <c r="D2464" s="155"/>
      <c r="E2464" s="40"/>
      <c r="F2464" s="314"/>
      <c r="H2464" s="315"/>
      <c r="I2464" s="315"/>
      <c r="BA2464" s="30"/>
      <c r="BB2464" s="155"/>
      <c r="BC2464" s="314"/>
      <c r="BD2464" s="314"/>
      <c r="BE2464" s="314"/>
      <c r="BF2464" s="314"/>
      <c r="BG2464" s="314"/>
      <c r="BH2464" s="314"/>
      <c r="BI2464" s="314"/>
      <c r="BJ2464" s="314"/>
      <c r="BK2464" s="40"/>
      <c r="BL2464" s="40"/>
      <c r="BM2464" s="40"/>
      <c r="BN2464" s="40"/>
      <c r="BO2464" s="40"/>
      <c r="BP2464" s="155"/>
      <c r="BQ2464" s="314"/>
      <c r="BR2464" s="314"/>
      <c r="BS2464" s="314"/>
      <c r="BT2464" s="314"/>
      <c r="BU2464" s="314"/>
      <c r="BV2464" s="314"/>
      <c r="BW2464" s="314"/>
      <c r="BX2464" s="155"/>
    </row>
    <row r="2465" spans="1:76" ht="15.75" customHeight="1">
      <c r="A2465" s="25"/>
      <c r="B2465" s="39"/>
      <c r="C2465" s="155"/>
      <c r="D2465" s="155"/>
      <c r="E2465" s="40"/>
      <c r="F2465" s="314"/>
      <c r="H2465" s="315"/>
      <c r="I2465" s="315"/>
      <c r="BA2465" s="30"/>
      <c r="BB2465" s="155"/>
      <c r="BC2465" s="314"/>
      <c r="BD2465" s="314"/>
      <c r="BE2465" s="314"/>
      <c r="BF2465" s="314"/>
      <c r="BG2465" s="314"/>
      <c r="BH2465" s="314"/>
      <c r="BI2465" s="314"/>
      <c r="BJ2465" s="314"/>
      <c r="BK2465" s="40"/>
      <c r="BL2465" s="40"/>
      <c r="BM2465" s="40"/>
      <c r="BN2465" s="40"/>
      <c r="BO2465" s="40"/>
      <c r="BP2465" s="155"/>
      <c r="BQ2465" s="314"/>
      <c r="BR2465" s="314"/>
      <c r="BS2465" s="314"/>
      <c r="BT2465" s="314"/>
      <c r="BU2465" s="314"/>
      <c r="BV2465" s="314"/>
      <c r="BW2465" s="314"/>
      <c r="BX2465" s="155"/>
    </row>
    <row r="2466" spans="1:76" ht="15.75" customHeight="1">
      <c r="A2466" s="25"/>
      <c r="B2466" s="39"/>
      <c r="C2466" s="155"/>
      <c r="D2466" s="155"/>
      <c r="E2466" s="40"/>
      <c r="F2466" s="314"/>
      <c r="H2466" s="315"/>
      <c r="I2466" s="315"/>
      <c r="BA2466" s="30"/>
      <c r="BB2466" s="155"/>
      <c r="BC2466" s="314"/>
      <c r="BD2466" s="314"/>
      <c r="BE2466" s="314"/>
      <c r="BF2466" s="314"/>
      <c r="BG2466" s="314"/>
      <c r="BH2466" s="314"/>
      <c r="BI2466" s="314"/>
      <c r="BJ2466" s="314"/>
      <c r="BK2466" s="40"/>
      <c r="BL2466" s="40"/>
      <c r="BM2466" s="40"/>
      <c r="BN2466" s="40"/>
      <c r="BO2466" s="40"/>
      <c r="BP2466" s="155"/>
      <c r="BQ2466" s="314"/>
      <c r="BR2466" s="314"/>
      <c r="BS2466" s="314"/>
      <c r="BT2466" s="314"/>
      <c r="BU2466" s="314"/>
      <c r="BV2466" s="314"/>
      <c r="BW2466" s="314"/>
      <c r="BX2466" s="155"/>
    </row>
    <row r="2467" spans="1:76" ht="15.75" customHeight="1">
      <c r="A2467" s="25"/>
      <c r="B2467" s="39"/>
      <c r="C2467" s="155"/>
      <c r="D2467" s="155"/>
      <c r="E2467" s="40"/>
      <c r="F2467" s="314"/>
      <c r="H2467" s="315"/>
      <c r="I2467" s="315"/>
      <c r="BA2467" s="30"/>
      <c r="BB2467" s="155"/>
      <c r="BC2467" s="314"/>
      <c r="BD2467" s="314"/>
      <c r="BE2467" s="314"/>
      <c r="BF2467" s="314"/>
      <c r="BG2467" s="314"/>
      <c r="BH2467" s="314"/>
      <c r="BI2467" s="314"/>
      <c r="BJ2467" s="314"/>
      <c r="BK2467" s="40"/>
      <c r="BL2467" s="40"/>
      <c r="BM2467" s="40"/>
      <c r="BN2467" s="40"/>
      <c r="BO2467" s="40"/>
      <c r="BP2467" s="155"/>
      <c r="BQ2467" s="314"/>
      <c r="BR2467" s="314"/>
      <c r="BS2467" s="314"/>
      <c r="BT2467" s="314"/>
      <c r="BU2467" s="314"/>
      <c r="BV2467" s="314"/>
      <c r="BW2467" s="314"/>
      <c r="BX2467" s="155"/>
    </row>
    <row r="2468" spans="1:76" ht="15.75" customHeight="1">
      <c r="A2468" s="25"/>
      <c r="B2468" s="39"/>
      <c r="C2468" s="155"/>
      <c r="D2468" s="155"/>
      <c r="E2468" s="40"/>
      <c r="F2468" s="314"/>
      <c r="H2468" s="315"/>
      <c r="I2468" s="315"/>
      <c r="BA2468" s="30"/>
      <c r="BB2468" s="155"/>
      <c r="BC2468" s="322"/>
      <c r="BD2468" s="322"/>
      <c r="BE2468" s="322"/>
      <c r="BF2468" s="322"/>
      <c r="BG2468" s="322"/>
      <c r="BH2468" s="322"/>
      <c r="BI2468" s="322"/>
      <c r="BJ2468" s="322"/>
      <c r="BK2468" s="341"/>
      <c r="BL2468" s="40"/>
      <c r="BM2468" s="40"/>
      <c r="BN2468" s="40"/>
      <c r="BO2468" s="40"/>
      <c r="BP2468" s="155"/>
      <c r="BQ2468" s="314"/>
      <c r="BR2468" s="314"/>
      <c r="BS2468" s="314"/>
      <c r="BT2468" s="314"/>
      <c r="BU2468" s="314"/>
      <c r="BV2468" s="314"/>
      <c r="BW2468" s="314"/>
      <c r="BX2468" s="155"/>
    </row>
    <row r="2469" spans="1:76" ht="15.75" customHeight="1">
      <c r="A2469" s="25"/>
      <c r="B2469" s="39"/>
      <c r="C2469" s="155"/>
      <c r="D2469" s="155"/>
      <c r="E2469" s="40"/>
      <c r="F2469" s="314"/>
      <c r="H2469" s="315"/>
      <c r="I2469" s="315"/>
      <c r="BA2469" s="30"/>
      <c r="BB2469" s="155"/>
      <c r="BC2469" s="314"/>
      <c r="BD2469" s="314"/>
      <c r="BE2469" s="314"/>
      <c r="BF2469" s="314"/>
      <c r="BG2469" s="314"/>
      <c r="BH2469" s="314"/>
      <c r="BI2469" s="314"/>
      <c r="BJ2469" s="314"/>
      <c r="BK2469" s="40"/>
      <c r="BL2469" s="40"/>
      <c r="BM2469" s="40"/>
      <c r="BN2469" s="40"/>
      <c r="BO2469" s="40"/>
      <c r="BP2469" s="155"/>
      <c r="BQ2469" s="314"/>
      <c r="BR2469" s="314"/>
      <c r="BS2469" s="314"/>
      <c r="BT2469" s="314"/>
      <c r="BU2469" s="314"/>
      <c r="BV2469" s="314"/>
      <c r="BW2469" s="314"/>
      <c r="BX2469" s="155"/>
    </row>
    <row r="2470" spans="1:76" ht="15.75" customHeight="1">
      <c r="A2470" s="25"/>
      <c r="B2470" s="39"/>
      <c r="C2470" s="155"/>
      <c r="D2470" s="155"/>
      <c r="E2470" s="40"/>
      <c r="F2470" s="314"/>
      <c r="H2470" s="315"/>
      <c r="I2470" s="315"/>
      <c r="BA2470" s="30"/>
      <c r="BB2470" s="155"/>
      <c r="BC2470" s="314"/>
      <c r="BD2470" s="314"/>
      <c r="BE2470" s="314"/>
      <c r="BF2470" s="314"/>
      <c r="BG2470" s="314"/>
      <c r="BH2470" s="314"/>
      <c r="BI2470" s="314"/>
      <c r="BJ2470" s="314"/>
      <c r="BK2470" s="40"/>
      <c r="BL2470" s="40"/>
      <c r="BM2470" s="40"/>
      <c r="BN2470" s="40"/>
      <c r="BO2470" s="40"/>
      <c r="BP2470" s="155"/>
      <c r="BQ2470" s="314"/>
      <c r="BR2470" s="314"/>
      <c r="BS2470" s="314"/>
      <c r="BT2470" s="314"/>
      <c r="BU2470" s="314"/>
      <c r="BV2470" s="314"/>
      <c r="BW2470" s="314"/>
      <c r="BX2470" s="155"/>
    </row>
    <row r="2471" spans="1:76" ht="15.75" customHeight="1">
      <c r="A2471" s="25"/>
      <c r="B2471" s="39"/>
      <c r="C2471" s="155"/>
      <c r="D2471" s="155"/>
      <c r="E2471" s="40"/>
      <c r="F2471" s="314"/>
      <c r="H2471" s="315"/>
      <c r="I2471" s="315"/>
      <c r="BA2471" s="30"/>
      <c r="BB2471" s="155"/>
      <c r="BC2471" s="314"/>
      <c r="BD2471" s="314"/>
      <c r="BE2471" s="314"/>
      <c r="BF2471" s="314"/>
      <c r="BG2471" s="314"/>
      <c r="BH2471" s="314"/>
      <c r="BI2471" s="314"/>
      <c r="BJ2471" s="314"/>
      <c r="BK2471" s="40"/>
      <c r="BL2471" s="40"/>
      <c r="BM2471" s="40"/>
      <c r="BN2471" s="40"/>
      <c r="BO2471" s="40"/>
      <c r="BP2471" s="155"/>
      <c r="BQ2471" s="314"/>
      <c r="BR2471" s="314"/>
      <c r="BS2471" s="314"/>
      <c r="BT2471" s="314"/>
      <c r="BU2471" s="314"/>
      <c r="BV2471" s="314"/>
      <c r="BW2471" s="314"/>
      <c r="BX2471" s="155"/>
    </row>
    <row r="2472" spans="1:76" ht="15.75" customHeight="1">
      <c r="A2472" s="25"/>
      <c r="B2472" s="39"/>
      <c r="C2472" s="155"/>
      <c r="D2472" s="155"/>
      <c r="E2472" s="40"/>
      <c r="F2472" s="314"/>
      <c r="H2472" s="315"/>
      <c r="I2472" s="315"/>
      <c r="BA2472" s="30"/>
      <c r="BB2472" s="155"/>
      <c r="BC2472" s="314"/>
      <c r="BD2472" s="314"/>
      <c r="BE2472" s="314"/>
      <c r="BF2472" s="314"/>
      <c r="BG2472" s="314"/>
      <c r="BH2472" s="314"/>
      <c r="BI2472" s="314"/>
      <c r="BJ2472" s="314"/>
      <c r="BK2472" s="40"/>
      <c r="BL2472" s="40"/>
      <c r="BM2472" s="40"/>
      <c r="BN2472" s="40"/>
      <c r="BO2472" s="40"/>
      <c r="BP2472" s="155"/>
      <c r="BQ2472" s="314"/>
      <c r="BR2472" s="314"/>
      <c r="BS2472" s="314"/>
      <c r="BT2472" s="314"/>
      <c r="BU2472" s="314"/>
      <c r="BV2472" s="314"/>
      <c r="BW2472" s="314"/>
      <c r="BX2472" s="155"/>
    </row>
    <row r="2473" spans="1:76" ht="15.75" customHeight="1">
      <c r="A2473" s="25"/>
      <c r="B2473" s="39"/>
      <c r="C2473" s="155"/>
      <c r="D2473" s="155"/>
      <c r="E2473" s="40"/>
      <c r="F2473" s="314"/>
      <c r="H2473" s="315"/>
      <c r="I2473" s="315"/>
      <c r="BA2473" s="30"/>
      <c r="BB2473" s="155"/>
      <c r="BC2473" s="314"/>
      <c r="BD2473" s="314"/>
      <c r="BE2473" s="314"/>
      <c r="BF2473" s="314"/>
      <c r="BG2473" s="314"/>
      <c r="BH2473" s="314"/>
      <c r="BI2473" s="314"/>
      <c r="BJ2473" s="314"/>
      <c r="BK2473" s="40"/>
      <c r="BL2473" s="40"/>
      <c r="BM2473" s="40"/>
      <c r="BN2473" s="40"/>
      <c r="BO2473" s="40"/>
      <c r="BP2473" s="155"/>
      <c r="BQ2473" s="314"/>
      <c r="BR2473" s="314"/>
      <c r="BS2473" s="314"/>
      <c r="BT2473" s="314"/>
      <c r="BU2473" s="314"/>
      <c r="BV2473" s="314"/>
      <c r="BW2473" s="314"/>
      <c r="BX2473" s="155"/>
    </row>
    <row r="2474" spans="1:76" ht="15.75" customHeight="1">
      <c r="A2474" s="25"/>
      <c r="B2474" s="39"/>
      <c r="C2474" s="155"/>
      <c r="D2474" s="155"/>
      <c r="E2474" s="40"/>
      <c r="F2474" s="314"/>
      <c r="H2474" s="315"/>
      <c r="I2474" s="315"/>
      <c r="BA2474" s="30"/>
      <c r="BB2474" s="155"/>
      <c r="BC2474" s="314"/>
      <c r="BD2474" s="314"/>
      <c r="BE2474" s="314"/>
      <c r="BF2474" s="314"/>
      <c r="BG2474" s="314"/>
      <c r="BH2474" s="314"/>
      <c r="BI2474" s="314"/>
      <c r="BJ2474" s="314"/>
      <c r="BK2474" s="40"/>
      <c r="BL2474" s="40"/>
      <c r="BM2474" s="40"/>
      <c r="BN2474" s="40"/>
      <c r="BO2474" s="40"/>
      <c r="BP2474" s="155"/>
      <c r="BQ2474" s="314"/>
      <c r="BR2474" s="314"/>
      <c r="BS2474" s="314"/>
      <c r="BT2474" s="314"/>
      <c r="BU2474" s="314"/>
      <c r="BV2474" s="314"/>
      <c r="BW2474" s="314"/>
      <c r="BX2474" s="155"/>
    </row>
    <row r="2475" spans="1:76" ht="15.75" customHeight="1">
      <c r="A2475" s="25"/>
      <c r="B2475" s="39"/>
      <c r="C2475" s="155"/>
      <c r="D2475" s="155"/>
      <c r="E2475" s="40"/>
      <c r="F2475" s="314"/>
      <c r="H2475" s="315"/>
      <c r="I2475" s="315"/>
      <c r="BA2475" s="30"/>
      <c r="BB2475" s="155"/>
      <c r="BC2475" s="314"/>
      <c r="BD2475" s="314"/>
      <c r="BE2475" s="314"/>
      <c r="BF2475" s="314"/>
      <c r="BG2475" s="314"/>
      <c r="BH2475" s="314"/>
      <c r="BI2475" s="314"/>
      <c r="BJ2475" s="314"/>
      <c r="BK2475" s="40"/>
      <c r="BL2475" s="40"/>
      <c r="BM2475" s="40"/>
      <c r="BN2475" s="40"/>
      <c r="BO2475" s="40"/>
      <c r="BP2475" s="155"/>
      <c r="BQ2475" s="314"/>
      <c r="BR2475" s="314"/>
      <c r="BS2475" s="314"/>
      <c r="BT2475" s="314"/>
      <c r="BU2475" s="314"/>
      <c r="BV2475" s="314"/>
      <c r="BW2475" s="314"/>
      <c r="BX2475" s="155"/>
    </row>
    <row r="2476" spans="1:76" ht="15.75" customHeight="1">
      <c r="A2476" s="25"/>
      <c r="B2476" s="39"/>
      <c r="C2476" s="155"/>
      <c r="D2476" s="155"/>
      <c r="E2476" s="40"/>
      <c r="F2476" s="314"/>
      <c r="H2476" s="315"/>
      <c r="I2476" s="315"/>
      <c r="BA2476" s="30"/>
      <c r="BB2476" s="155"/>
      <c r="BC2476" s="314"/>
      <c r="BD2476" s="314"/>
      <c r="BE2476" s="314"/>
      <c r="BF2476" s="314"/>
      <c r="BG2476" s="314"/>
      <c r="BH2476" s="314"/>
      <c r="BI2476" s="314"/>
      <c r="BJ2476" s="314"/>
      <c r="BK2476" s="40"/>
      <c r="BL2476" s="40"/>
      <c r="BM2476" s="40"/>
      <c r="BN2476" s="40"/>
      <c r="BO2476" s="40"/>
      <c r="BP2476" s="155"/>
      <c r="BQ2476" s="314"/>
      <c r="BR2476" s="314"/>
      <c r="BS2476" s="314"/>
      <c r="BT2476" s="314"/>
      <c r="BU2476" s="314"/>
      <c r="BV2476" s="314"/>
      <c r="BW2476" s="314"/>
      <c r="BX2476" s="155"/>
    </row>
    <row r="2477" spans="1:76" ht="15.75" customHeight="1">
      <c r="A2477" s="25"/>
      <c r="B2477" s="39"/>
      <c r="C2477" s="155"/>
      <c r="D2477" s="155"/>
      <c r="E2477" s="40"/>
      <c r="F2477" s="314"/>
      <c r="H2477" s="315"/>
      <c r="I2477" s="315"/>
      <c r="BA2477" s="30"/>
      <c r="BB2477" s="155"/>
      <c r="BC2477" s="314"/>
      <c r="BD2477" s="314"/>
      <c r="BE2477" s="314"/>
      <c r="BF2477" s="314"/>
      <c r="BG2477" s="314"/>
      <c r="BH2477" s="314"/>
      <c r="BI2477" s="314"/>
      <c r="BJ2477" s="314"/>
      <c r="BK2477" s="40"/>
      <c r="BL2477" s="40"/>
      <c r="BM2477" s="40"/>
      <c r="BN2477" s="40"/>
      <c r="BO2477" s="40"/>
      <c r="BP2477" s="155"/>
      <c r="BQ2477" s="314"/>
      <c r="BR2477" s="314"/>
      <c r="BS2477" s="314"/>
      <c r="BT2477" s="314"/>
      <c r="BU2477" s="314"/>
      <c r="BV2477" s="314"/>
      <c r="BW2477" s="314"/>
      <c r="BX2477" s="155"/>
    </row>
    <row r="2478" spans="1:76" ht="15.75" customHeight="1">
      <c r="A2478" s="25"/>
      <c r="B2478" s="39"/>
      <c r="C2478" s="155"/>
      <c r="D2478" s="155"/>
      <c r="E2478" s="40"/>
      <c r="F2478" s="314"/>
      <c r="H2478" s="315"/>
      <c r="I2478" s="315"/>
      <c r="BA2478" s="30"/>
      <c r="BB2478" s="155"/>
      <c r="BC2478" s="314"/>
      <c r="BD2478" s="314"/>
      <c r="BE2478" s="314"/>
      <c r="BF2478" s="314"/>
      <c r="BG2478" s="314"/>
      <c r="BH2478" s="314"/>
      <c r="BI2478" s="314"/>
      <c r="BJ2478" s="314"/>
      <c r="BK2478" s="40"/>
      <c r="BL2478" s="40"/>
      <c r="BM2478" s="40"/>
      <c r="BN2478" s="40"/>
      <c r="BO2478" s="40"/>
      <c r="BP2478" s="155"/>
      <c r="BQ2478" s="314"/>
      <c r="BR2478" s="314"/>
      <c r="BS2478" s="314"/>
      <c r="BT2478" s="314"/>
      <c r="BU2478" s="314"/>
      <c r="BV2478" s="314"/>
      <c r="BW2478" s="314"/>
      <c r="BX2478" s="155"/>
    </row>
    <row r="2479" spans="1:76" ht="15.75" customHeight="1">
      <c r="A2479" s="25"/>
      <c r="B2479" s="39"/>
      <c r="C2479" s="155"/>
      <c r="D2479" s="155"/>
      <c r="E2479" s="40"/>
      <c r="F2479" s="314"/>
      <c r="H2479" s="315"/>
      <c r="I2479" s="315"/>
      <c r="BA2479" s="30"/>
      <c r="BB2479" s="155"/>
      <c r="BC2479" s="314"/>
      <c r="BD2479" s="314"/>
      <c r="BE2479" s="314"/>
      <c r="BF2479" s="314"/>
      <c r="BG2479" s="314"/>
      <c r="BH2479" s="314"/>
      <c r="BI2479" s="314"/>
      <c r="BJ2479" s="314"/>
      <c r="BK2479" s="40"/>
      <c r="BL2479" s="40"/>
      <c r="BM2479" s="40"/>
      <c r="BN2479" s="40"/>
      <c r="BO2479" s="40"/>
      <c r="BP2479" s="155"/>
      <c r="BQ2479" s="314"/>
      <c r="BR2479" s="314"/>
      <c r="BS2479" s="314"/>
      <c r="BT2479" s="314"/>
      <c r="BU2479" s="314"/>
      <c r="BV2479" s="314"/>
      <c r="BW2479" s="314"/>
      <c r="BX2479" s="155"/>
    </row>
    <row r="2480" spans="1:76" ht="15.75" customHeight="1">
      <c r="A2480" s="25"/>
      <c r="B2480" s="39"/>
      <c r="C2480" s="155"/>
      <c r="D2480" s="155"/>
      <c r="E2480" s="40"/>
      <c r="F2480" s="314"/>
      <c r="H2480" s="315"/>
      <c r="I2480" s="315"/>
      <c r="BA2480" s="30"/>
      <c r="BB2480" s="155"/>
      <c r="BC2480" s="314"/>
      <c r="BD2480" s="314"/>
      <c r="BE2480" s="314"/>
      <c r="BF2480" s="314"/>
      <c r="BG2480" s="314"/>
      <c r="BH2480" s="314"/>
      <c r="BI2480" s="314"/>
      <c r="BJ2480" s="314"/>
      <c r="BK2480" s="40"/>
      <c r="BL2480" s="40"/>
      <c r="BM2480" s="40"/>
      <c r="BN2480" s="40"/>
      <c r="BO2480" s="40"/>
      <c r="BP2480" s="155"/>
      <c r="BQ2480" s="314"/>
      <c r="BR2480" s="314"/>
      <c r="BS2480" s="314"/>
      <c r="BT2480" s="314"/>
      <c r="BU2480" s="314"/>
      <c r="BV2480" s="314"/>
      <c r="BW2480" s="314"/>
      <c r="BX2480" s="155"/>
    </row>
    <row r="2481" spans="1:76" ht="15.75" customHeight="1">
      <c r="A2481" s="25"/>
      <c r="B2481" s="39"/>
      <c r="C2481" s="155"/>
      <c r="D2481" s="155"/>
      <c r="E2481" s="40"/>
      <c r="F2481" s="314"/>
      <c r="H2481" s="315"/>
      <c r="I2481" s="315"/>
      <c r="BA2481" s="30"/>
      <c r="BB2481" s="155"/>
      <c r="BC2481" s="314"/>
      <c r="BD2481" s="314"/>
      <c r="BE2481" s="314"/>
      <c r="BF2481" s="314"/>
      <c r="BG2481" s="314"/>
      <c r="BH2481" s="314"/>
      <c r="BI2481" s="314"/>
      <c r="BJ2481" s="314"/>
      <c r="BK2481" s="40"/>
      <c r="BL2481" s="40"/>
      <c r="BM2481" s="40"/>
      <c r="BN2481" s="40"/>
      <c r="BO2481" s="40"/>
      <c r="BP2481" s="155"/>
      <c r="BQ2481" s="314"/>
      <c r="BR2481" s="314"/>
      <c r="BS2481" s="314"/>
      <c r="BT2481" s="314"/>
      <c r="BU2481" s="314"/>
      <c r="BV2481" s="314"/>
      <c r="BW2481" s="314"/>
      <c r="BX2481" s="155"/>
    </row>
    <row r="2482" spans="1:76" ht="15.75" customHeight="1">
      <c r="A2482" s="25"/>
      <c r="B2482" s="39"/>
      <c r="C2482" s="155"/>
      <c r="D2482" s="155"/>
      <c r="E2482" s="40"/>
      <c r="F2482" s="314"/>
      <c r="H2482" s="315"/>
      <c r="I2482" s="315"/>
      <c r="BA2482" s="30"/>
      <c r="BB2482" s="155"/>
      <c r="BC2482" s="314"/>
      <c r="BD2482" s="314"/>
      <c r="BE2482" s="314"/>
      <c r="BF2482" s="314"/>
      <c r="BG2482" s="314"/>
      <c r="BH2482" s="314"/>
      <c r="BI2482" s="314"/>
      <c r="BJ2482" s="314"/>
      <c r="BK2482" s="40"/>
      <c r="BL2482" s="40"/>
      <c r="BM2482" s="40"/>
      <c r="BN2482" s="40"/>
      <c r="BO2482" s="40"/>
      <c r="BP2482" s="155"/>
      <c r="BQ2482" s="314"/>
      <c r="BR2482" s="314"/>
      <c r="BS2482" s="314"/>
      <c r="BT2482" s="314"/>
      <c r="BU2482" s="314"/>
      <c r="BV2482" s="314"/>
      <c r="BW2482" s="314"/>
      <c r="BX2482" s="155"/>
    </row>
    <row r="2483" spans="1:76" ht="15.75" customHeight="1">
      <c r="A2483" s="25"/>
      <c r="B2483" s="39"/>
      <c r="C2483" s="155"/>
      <c r="D2483" s="155"/>
      <c r="E2483" s="40"/>
      <c r="F2483" s="314"/>
      <c r="H2483" s="315"/>
      <c r="I2483" s="315"/>
      <c r="BA2483" s="30"/>
      <c r="BB2483" s="155"/>
      <c r="BC2483" s="314"/>
      <c r="BD2483" s="314"/>
      <c r="BE2483" s="314"/>
      <c r="BF2483" s="314"/>
      <c r="BG2483" s="314"/>
      <c r="BH2483" s="314"/>
      <c r="BI2483" s="314"/>
      <c r="BJ2483" s="314"/>
      <c r="BK2483" s="40"/>
      <c r="BL2483" s="40"/>
      <c r="BM2483" s="40"/>
      <c r="BN2483" s="40"/>
      <c r="BO2483" s="40"/>
      <c r="BP2483" s="155"/>
      <c r="BQ2483" s="314"/>
      <c r="BR2483" s="314"/>
      <c r="BS2483" s="314"/>
      <c r="BT2483" s="314"/>
      <c r="BU2483" s="314"/>
      <c r="BV2483" s="314"/>
      <c r="BW2483" s="314"/>
      <c r="BX2483" s="155"/>
    </row>
    <row r="2484" spans="1:76" ht="15.75" customHeight="1">
      <c r="A2484" s="25"/>
      <c r="B2484" s="39"/>
      <c r="C2484" s="155"/>
      <c r="D2484" s="155"/>
      <c r="E2484" s="40"/>
      <c r="F2484" s="314"/>
      <c r="H2484" s="315"/>
      <c r="I2484" s="315"/>
      <c r="BA2484" s="30"/>
      <c r="BB2484" s="155"/>
      <c r="BC2484" s="314"/>
      <c r="BD2484" s="314"/>
      <c r="BE2484" s="314"/>
      <c r="BF2484" s="314"/>
      <c r="BG2484" s="314"/>
      <c r="BH2484" s="314"/>
      <c r="BI2484" s="314"/>
      <c r="BJ2484" s="314"/>
      <c r="BK2484" s="40"/>
      <c r="BL2484" s="40"/>
      <c r="BM2484" s="40"/>
      <c r="BN2484" s="40"/>
      <c r="BO2484" s="40"/>
      <c r="BP2484" s="155"/>
      <c r="BQ2484" s="314"/>
      <c r="BR2484" s="314"/>
      <c r="BS2484" s="314"/>
      <c r="BT2484" s="314"/>
      <c r="BU2484" s="314"/>
      <c r="BV2484" s="314"/>
      <c r="BW2484" s="314"/>
      <c r="BX2484" s="155"/>
    </row>
    <row r="2485" spans="1:76" ht="15.75" customHeight="1">
      <c r="A2485" s="25"/>
      <c r="B2485" s="39"/>
      <c r="C2485" s="155"/>
      <c r="D2485" s="155"/>
      <c r="E2485" s="40"/>
      <c r="F2485" s="314"/>
      <c r="H2485" s="315"/>
      <c r="I2485" s="315"/>
      <c r="BA2485" s="30"/>
      <c r="BB2485" s="155"/>
      <c r="BC2485" s="314"/>
      <c r="BD2485" s="314"/>
      <c r="BE2485" s="314"/>
      <c r="BF2485" s="314"/>
      <c r="BG2485" s="314"/>
      <c r="BH2485" s="314"/>
      <c r="BI2485" s="314"/>
      <c r="BJ2485" s="314"/>
      <c r="BK2485" s="40"/>
      <c r="BL2485" s="40"/>
      <c r="BM2485" s="40"/>
      <c r="BN2485" s="40"/>
      <c r="BO2485" s="40"/>
      <c r="BP2485" s="155"/>
      <c r="BQ2485" s="314"/>
      <c r="BR2485" s="314"/>
      <c r="BS2485" s="314"/>
      <c r="BT2485" s="314"/>
      <c r="BU2485" s="314"/>
      <c r="BV2485" s="314"/>
      <c r="BW2485" s="314"/>
      <c r="BX2485" s="155"/>
    </row>
    <row r="2486" spans="1:76" ht="15.75" customHeight="1">
      <c r="A2486" s="25"/>
      <c r="B2486" s="39"/>
      <c r="C2486" s="155"/>
      <c r="D2486" s="155"/>
      <c r="E2486" s="40"/>
      <c r="F2486" s="314"/>
      <c r="H2486" s="315"/>
      <c r="I2486" s="315"/>
      <c r="BA2486" s="30"/>
      <c r="BB2486" s="155"/>
      <c r="BC2486" s="314"/>
      <c r="BD2486" s="314"/>
      <c r="BE2486" s="314"/>
      <c r="BF2486" s="314"/>
      <c r="BG2486" s="314"/>
      <c r="BH2486" s="314"/>
      <c r="BI2486" s="314"/>
      <c r="BJ2486" s="314"/>
      <c r="BK2486" s="40"/>
      <c r="BL2486" s="40"/>
      <c r="BM2486" s="40"/>
      <c r="BN2486" s="40"/>
      <c r="BO2486" s="40"/>
      <c r="BP2486" s="155"/>
      <c r="BQ2486" s="314"/>
      <c r="BR2486" s="314"/>
      <c r="BS2486" s="314"/>
      <c r="BT2486" s="314"/>
      <c r="BU2486" s="314"/>
      <c r="BV2486" s="314"/>
      <c r="BW2486" s="314"/>
      <c r="BX2486" s="155"/>
    </row>
    <row r="2487" spans="1:76" ht="15.75" customHeight="1">
      <c r="A2487" s="25"/>
      <c r="B2487" s="39"/>
      <c r="C2487" s="155"/>
      <c r="D2487" s="155"/>
      <c r="E2487" s="40"/>
      <c r="F2487" s="314"/>
      <c r="H2487" s="315"/>
      <c r="I2487" s="315"/>
      <c r="BA2487" s="30"/>
      <c r="BB2487" s="155"/>
      <c r="BC2487" s="314"/>
      <c r="BD2487" s="314"/>
      <c r="BE2487" s="314"/>
      <c r="BF2487" s="314"/>
      <c r="BG2487" s="314"/>
      <c r="BH2487" s="314"/>
      <c r="BI2487" s="314"/>
      <c r="BJ2487" s="314"/>
      <c r="BK2487" s="40"/>
      <c r="BL2487" s="40"/>
      <c r="BM2487" s="40"/>
      <c r="BN2487" s="40"/>
      <c r="BO2487" s="40"/>
      <c r="BP2487" s="155"/>
      <c r="BQ2487" s="314"/>
      <c r="BR2487" s="314"/>
      <c r="BS2487" s="314"/>
      <c r="BT2487" s="314"/>
      <c r="BU2487" s="314"/>
      <c r="BV2487" s="314"/>
      <c r="BW2487" s="314"/>
      <c r="BX2487" s="155"/>
    </row>
    <row r="2488" spans="1:76" ht="15.75" customHeight="1">
      <c r="A2488" s="25"/>
      <c r="B2488" s="39"/>
      <c r="C2488" s="155"/>
      <c r="D2488" s="155"/>
      <c r="E2488" s="40"/>
      <c r="F2488" s="314"/>
      <c r="H2488" s="315"/>
      <c r="I2488" s="315"/>
      <c r="BA2488" s="30"/>
      <c r="BB2488" s="155"/>
      <c r="BC2488" s="314"/>
      <c r="BD2488" s="314"/>
      <c r="BE2488" s="314"/>
      <c r="BF2488" s="314"/>
      <c r="BG2488" s="314"/>
      <c r="BH2488" s="314"/>
      <c r="BI2488" s="314"/>
      <c r="BJ2488" s="314"/>
      <c r="BK2488" s="40"/>
      <c r="BL2488" s="40"/>
      <c r="BM2488" s="40"/>
      <c r="BN2488" s="40"/>
      <c r="BO2488" s="40"/>
      <c r="BP2488" s="155"/>
      <c r="BQ2488" s="314"/>
      <c r="BR2488" s="314"/>
      <c r="BS2488" s="314"/>
      <c r="BT2488" s="314"/>
      <c r="BU2488" s="314"/>
      <c r="BV2488" s="314"/>
      <c r="BW2488" s="314"/>
      <c r="BX2488" s="155"/>
    </row>
    <row r="2489" spans="1:76" ht="15.75" customHeight="1">
      <c r="A2489" s="25"/>
      <c r="B2489" s="39"/>
      <c r="C2489" s="155"/>
      <c r="D2489" s="155"/>
      <c r="E2489" s="40"/>
      <c r="F2489" s="314"/>
      <c r="H2489" s="315"/>
      <c r="I2489" s="315"/>
      <c r="BA2489" s="30"/>
      <c r="BB2489" s="155"/>
      <c r="BC2489" s="314"/>
      <c r="BD2489" s="314"/>
      <c r="BE2489" s="314"/>
      <c r="BF2489" s="314"/>
      <c r="BG2489" s="314"/>
      <c r="BH2489" s="314"/>
      <c r="BI2489" s="314"/>
      <c r="BJ2489" s="314"/>
      <c r="BK2489" s="40"/>
      <c r="BL2489" s="40"/>
      <c r="BM2489" s="40"/>
      <c r="BN2489" s="40"/>
      <c r="BO2489" s="40"/>
      <c r="BP2489" s="155"/>
      <c r="BQ2489" s="314"/>
      <c r="BR2489" s="314"/>
      <c r="BS2489" s="314"/>
      <c r="BT2489" s="314"/>
      <c r="BU2489" s="314"/>
      <c r="BV2489" s="314"/>
      <c r="BW2489" s="314"/>
      <c r="BX2489" s="155"/>
    </row>
    <row r="2490" spans="1:76" ht="15.75" customHeight="1">
      <c r="A2490" s="25"/>
      <c r="B2490" s="39"/>
      <c r="C2490" s="155"/>
      <c r="D2490" s="155"/>
      <c r="E2490" s="40"/>
      <c r="F2490" s="314"/>
      <c r="H2490" s="315"/>
      <c r="I2490" s="315"/>
      <c r="BA2490" s="30"/>
      <c r="BB2490" s="155"/>
      <c r="BC2490" s="314"/>
      <c r="BD2490" s="314"/>
      <c r="BE2490" s="314"/>
      <c r="BF2490" s="314"/>
      <c r="BG2490" s="314"/>
      <c r="BH2490" s="314"/>
      <c r="BI2490" s="314"/>
      <c r="BJ2490" s="314"/>
      <c r="BK2490" s="40"/>
      <c r="BL2490" s="40"/>
      <c r="BM2490" s="40"/>
      <c r="BN2490" s="40"/>
      <c r="BO2490" s="40"/>
      <c r="BP2490" s="155"/>
      <c r="BQ2490" s="314"/>
      <c r="BR2490" s="314"/>
      <c r="BS2490" s="314"/>
      <c r="BT2490" s="314"/>
      <c r="BU2490" s="314"/>
      <c r="BV2490" s="314"/>
      <c r="BW2490" s="314"/>
      <c r="BX2490" s="155"/>
    </row>
    <row r="2491" spans="1:76" ht="15.75" customHeight="1">
      <c r="A2491" s="25"/>
      <c r="B2491" s="39"/>
      <c r="C2491" s="155"/>
      <c r="D2491" s="155"/>
      <c r="E2491" s="40"/>
      <c r="F2491" s="314"/>
      <c r="H2491" s="315"/>
      <c r="I2491" s="315"/>
      <c r="BA2491" s="30"/>
      <c r="BB2491" s="155"/>
      <c r="BC2491" s="314"/>
      <c r="BD2491" s="314"/>
      <c r="BE2491" s="314"/>
      <c r="BF2491" s="314"/>
      <c r="BG2491" s="314"/>
      <c r="BH2491" s="314"/>
      <c r="BI2491" s="314"/>
      <c r="BJ2491" s="314"/>
      <c r="BK2491" s="40"/>
      <c r="BL2491" s="40"/>
      <c r="BM2491" s="40"/>
      <c r="BN2491" s="40"/>
      <c r="BO2491" s="40"/>
      <c r="BP2491" s="155"/>
      <c r="BQ2491" s="314"/>
      <c r="BR2491" s="314"/>
      <c r="BS2491" s="314"/>
      <c r="BT2491" s="314"/>
      <c r="BU2491" s="314"/>
      <c r="BV2491" s="314"/>
      <c r="BW2491" s="314"/>
      <c r="BX2491" s="155"/>
    </row>
    <row r="2492" spans="1:76" ht="15.75" customHeight="1">
      <c r="A2492" s="25"/>
      <c r="B2492" s="39"/>
      <c r="C2492" s="155"/>
      <c r="D2492" s="155"/>
      <c r="E2492" s="40"/>
      <c r="F2492" s="314"/>
      <c r="H2492" s="315"/>
      <c r="I2492" s="315"/>
      <c r="BA2492" s="30"/>
      <c r="BB2492" s="155"/>
      <c r="BC2492" s="314"/>
      <c r="BD2492" s="314"/>
      <c r="BE2492" s="314"/>
      <c r="BF2492" s="314"/>
      <c r="BG2492" s="314"/>
      <c r="BH2492" s="314"/>
      <c r="BI2492" s="314"/>
      <c r="BJ2492" s="314"/>
      <c r="BK2492" s="40"/>
      <c r="BL2492" s="40"/>
      <c r="BM2492" s="40"/>
      <c r="BN2492" s="40"/>
      <c r="BO2492" s="40"/>
      <c r="BP2492" s="155"/>
      <c r="BQ2492" s="314"/>
      <c r="BR2492" s="314"/>
      <c r="BS2492" s="314"/>
      <c r="BT2492" s="314"/>
      <c r="BU2492" s="314"/>
      <c r="BV2492" s="314"/>
      <c r="BW2492" s="314"/>
      <c r="BX2492" s="155"/>
    </row>
    <row r="2493" spans="1:76" ht="15.75" customHeight="1">
      <c r="A2493" s="25"/>
      <c r="B2493" s="39"/>
      <c r="C2493" s="155"/>
      <c r="D2493" s="155"/>
      <c r="E2493" s="40"/>
      <c r="F2493" s="314"/>
      <c r="H2493" s="315"/>
      <c r="I2493" s="315"/>
      <c r="BA2493" s="30"/>
      <c r="BB2493" s="155"/>
      <c r="BC2493" s="314"/>
      <c r="BD2493" s="314"/>
      <c r="BE2493" s="314"/>
      <c r="BF2493" s="314"/>
      <c r="BG2493" s="314"/>
      <c r="BH2493" s="314"/>
      <c r="BI2493" s="314"/>
      <c r="BJ2493" s="314"/>
      <c r="BK2493" s="40"/>
      <c r="BL2493" s="40"/>
      <c r="BM2493" s="40"/>
      <c r="BN2493" s="40"/>
      <c r="BO2493" s="40"/>
      <c r="BP2493" s="155"/>
      <c r="BQ2493" s="314"/>
      <c r="BR2493" s="314"/>
      <c r="BS2493" s="314"/>
      <c r="BT2493" s="314"/>
      <c r="BU2493" s="314"/>
      <c r="BV2493" s="314"/>
      <c r="BW2493" s="314"/>
      <c r="BX2493" s="155"/>
    </row>
    <row r="2494" spans="1:76" ht="15.75" customHeight="1">
      <c r="A2494" s="25"/>
      <c r="B2494" s="39"/>
      <c r="C2494" s="155"/>
      <c r="D2494" s="155"/>
      <c r="E2494" s="40"/>
      <c r="F2494" s="314"/>
      <c r="H2494" s="315"/>
      <c r="I2494" s="315"/>
      <c r="BA2494" s="30"/>
      <c r="BB2494" s="155"/>
      <c r="BC2494" s="314"/>
      <c r="BD2494" s="314"/>
      <c r="BE2494" s="314"/>
      <c r="BF2494" s="314"/>
      <c r="BG2494" s="314"/>
      <c r="BH2494" s="314"/>
      <c r="BI2494" s="314"/>
      <c r="BJ2494" s="314"/>
      <c r="BK2494" s="40"/>
      <c r="BL2494" s="40"/>
      <c r="BM2494" s="40"/>
      <c r="BN2494" s="40"/>
      <c r="BO2494" s="40"/>
      <c r="BP2494" s="155"/>
      <c r="BQ2494" s="314"/>
      <c r="BR2494" s="314"/>
      <c r="BS2494" s="314"/>
      <c r="BT2494" s="314"/>
      <c r="BU2494" s="314"/>
      <c r="BV2494" s="314"/>
      <c r="BW2494" s="314"/>
      <c r="BX2494" s="155"/>
    </row>
    <row r="2495" spans="1:76" ht="15.75" customHeight="1">
      <c r="A2495" s="25"/>
      <c r="B2495" s="39"/>
      <c r="C2495" s="155"/>
      <c r="D2495" s="155"/>
      <c r="E2495" s="40"/>
      <c r="F2495" s="314"/>
      <c r="H2495" s="315"/>
      <c r="I2495" s="315"/>
      <c r="BA2495" s="30"/>
      <c r="BB2495" s="155"/>
      <c r="BC2495" s="314"/>
      <c r="BD2495" s="314"/>
      <c r="BE2495" s="314"/>
      <c r="BF2495" s="314"/>
      <c r="BG2495" s="314"/>
      <c r="BH2495" s="314"/>
      <c r="BI2495" s="314"/>
      <c r="BJ2495" s="314"/>
      <c r="BK2495" s="40"/>
      <c r="BL2495" s="40"/>
      <c r="BM2495" s="40"/>
      <c r="BN2495" s="40"/>
      <c r="BO2495" s="40"/>
      <c r="BP2495" s="155"/>
      <c r="BQ2495" s="314"/>
      <c r="BR2495" s="314"/>
      <c r="BS2495" s="314"/>
      <c r="BT2495" s="314"/>
      <c r="BU2495" s="314"/>
      <c r="BV2495" s="314"/>
      <c r="BW2495" s="314"/>
      <c r="BX2495" s="155"/>
    </row>
    <row r="2496" spans="1:76" ht="15.75" customHeight="1">
      <c r="A2496" s="25"/>
      <c r="B2496" s="39"/>
      <c r="C2496" s="155"/>
      <c r="D2496" s="155"/>
      <c r="E2496" s="40"/>
      <c r="F2496" s="314"/>
      <c r="H2496" s="315"/>
      <c r="I2496" s="315"/>
      <c r="BA2496" s="30"/>
      <c r="BB2496" s="155"/>
      <c r="BC2496" s="314"/>
      <c r="BD2496" s="314"/>
      <c r="BE2496" s="314"/>
      <c r="BF2496" s="314"/>
      <c r="BG2496" s="314"/>
      <c r="BH2496" s="314"/>
      <c r="BI2496" s="314"/>
      <c r="BJ2496" s="314"/>
      <c r="BK2496" s="40"/>
      <c r="BL2496" s="40"/>
      <c r="BM2496" s="40"/>
      <c r="BN2496" s="40"/>
      <c r="BO2496" s="40"/>
      <c r="BP2496" s="155"/>
      <c r="BQ2496" s="314"/>
      <c r="BR2496" s="314"/>
      <c r="BS2496" s="314"/>
      <c r="BT2496" s="314"/>
      <c r="BU2496" s="314"/>
      <c r="BV2496" s="314"/>
      <c r="BW2496" s="314"/>
      <c r="BX2496" s="155"/>
    </row>
    <row r="2497" spans="1:76" ht="15.75" customHeight="1">
      <c r="A2497" s="25"/>
      <c r="B2497" s="39"/>
      <c r="C2497" s="155"/>
      <c r="D2497" s="155"/>
      <c r="E2497" s="40"/>
      <c r="F2497" s="314"/>
      <c r="H2497" s="315"/>
      <c r="I2497" s="315"/>
      <c r="BA2497" s="30"/>
      <c r="BB2497" s="155"/>
      <c r="BC2497" s="314"/>
      <c r="BD2497" s="314"/>
      <c r="BE2497" s="314"/>
      <c r="BF2497" s="314"/>
      <c r="BG2497" s="314"/>
      <c r="BH2497" s="314"/>
      <c r="BI2497" s="314"/>
      <c r="BJ2497" s="314"/>
      <c r="BK2497" s="40"/>
      <c r="BL2497" s="40"/>
      <c r="BM2497" s="40"/>
      <c r="BN2497" s="40"/>
      <c r="BO2497" s="40"/>
      <c r="BP2497" s="155"/>
      <c r="BQ2497" s="314"/>
      <c r="BR2497" s="314"/>
      <c r="BS2497" s="314"/>
      <c r="BT2497" s="314"/>
      <c r="BU2497" s="314"/>
      <c r="BV2497" s="314"/>
      <c r="BW2497" s="314"/>
      <c r="BX2497" s="155"/>
    </row>
    <row r="2498" spans="1:76" ht="15.75" customHeight="1">
      <c r="A2498" s="25"/>
      <c r="B2498" s="39"/>
      <c r="C2498" s="155"/>
      <c r="D2498" s="155"/>
      <c r="E2498" s="40"/>
      <c r="F2498" s="314"/>
      <c r="H2498" s="315"/>
      <c r="I2498" s="315"/>
      <c r="BA2498" s="30"/>
      <c r="BB2498" s="155"/>
      <c r="BC2498" s="314"/>
      <c r="BD2498" s="314"/>
      <c r="BE2498" s="314"/>
      <c r="BF2498" s="314"/>
      <c r="BG2498" s="314"/>
      <c r="BH2498" s="314"/>
      <c r="BI2498" s="314"/>
      <c r="BJ2498" s="314"/>
      <c r="BK2498" s="40"/>
      <c r="BL2498" s="40"/>
      <c r="BM2498" s="40"/>
      <c r="BN2498" s="40"/>
      <c r="BO2498" s="40"/>
      <c r="BP2498" s="155"/>
      <c r="BQ2498" s="314"/>
      <c r="BR2498" s="314"/>
      <c r="BS2498" s="314"/>
      <c r="BT2498" s="314"/>
      <c r="BU2498" s="314"/>
      <c r="BV2498" s="314"/>
      <c r="BW2498" s="314"/>
      <c r="BX2498" s="155"/>
    </row>
    <row r="2499" spans="1:76" ht="15.75" customHeight="1">
      <c r="A2499" s="25"/>
      <c r="B2499" s="39"/>
      <c r="C2499" s="155"/>
      <c r="D2499" s="155"/>
      <c r="E2499" s="40"/>
      <c r="F2499" s="314"/>
      <c r="H2499" s="315"/>
      <c r="I2499" s="315"/>
      <c r="BA2499" s="30"/>
      <c r="BB2499" s="155"/>
      <c r="BC2499" s="314"/>
      <c r="BD2499" s="314"/>
      <c r="BE2499" s="314"/>
      <c r="BF2499" s="314"/>
      <c r="BG2499" s="314"/>
      <c r="BH2499" s="314"/>
      <c r="BI2499" s="314"/>
      <c r="BJ2499" s="314"/>
      <c r="BK2499" s="40"/>
      <c r="BL2499" s="40"/>
      <c r="BM2499" s="40"/>
      <c r="BN2499" s="40"/>
      <c r="BO2499" s="40"/>
      <c r="BP2499" s="155"/>
      <c r="BQ2499" s="314"/>
      <c r="BR2499" s="314"/>
      <c r="BS2499" s="314"/>
      <c r="BT2499" s="314"/>
      <c r="BU2499" s="314"/>
      <c r="BV2499" s="314"/>
      <c r="BW2499" s="314"/>
      <c r="BX2499" s="155"/>
    </row>
    <row r="2500" spans="1:76" ht="15.75" customHeight="1">
      <c r="A2500" s="25"/>
      <c r="B2500" s="39"/>
      <c r="C2500" s="155"/>
      <c r="D2500" s="155"/>
      <c r="E2500" s="40"/>
      <c r="F2500" s="314"/>
      <c r="H2500" s="315"/>
      <c r="I2500" s="315"/>
      <c r="BA2500" s="30"/>
      <c r="BB2500" s="155"/>
      <c r="BC2500" s="314"/>
      <c r="BD2500" s="314"/>
      <c r="BE2500" s="314"/>
      <c r="BF2500" s="314"/>
      <c r="BG2500" s="314"/>
      <c r="BH2500" s="314"/>
      <c r="BI2500" s="314"/>
      <c r="BJ2500" s="314"/>
      <c r="BK2500" s="40"/>
      <c r="BL2500" s="40"/>
      <c r="BM2500" s="40"/>
      <c r="BN2500" s="40"/>
      <c r="BO2500" s="40"/>
      <c r="BP2500" s="155"/>
      <c r="BQ2500" s="314"/>
      <c r="BR2500" s="314"/>
      <c r="BS2500" s="314"/>
      <c r="BT2500" s="314"/>
      <c r="BU2500" s="314"/>
      <c r="BV2500" s="314"/>
      <c r="BW2500" s="314"/>
      <c r="BX2500" s="155"/>
    </row>
    <row r="2501" spans="1:76" ht="15.75" customHeight="1">
      <c r="A2501" s="25"/>
      <c r="B2501" s="39"/>
      <c r="C2501" s="155"/>
      <c r="D2501" s="155"/>
      <c r="E2501" s="40"/>
      <c r="F2501" s="314"/>
      <c r="H2501" s="315"/>
      <c r="I2501" s="315"/>
      <c r="BA2501" s="30"/>
      <c r="BB2501" s="155"/>
      <c r="BC2501" s="314"/>
      <c r="BD2501" s="314"/>
      <c r="BE2501" s="314"/>
      <c r="BF2501" s="314"/>
      <c r="BG2501" s="314"/>
      <c r="BH2501" s="314"/>
      <c r="BI2501" s="314"/>
      <c r="BJ2501" s="314"/>
      <c r="BK2501" s="40"/>
      <c r="BL2501" s="40"/>
      <c r="BM2501" s="40"/>
      <c r="BN2501" s="40"/>
      <c r="BO2501" s="40"/>
      <c r="BP2501" s="155"/>
      <c r="BQ2501" s="314"/>
      <c r="BR2501" s="314"/>
      <c r="BS2501" s="314"/>
      <c r="BT2501" s="314"/>
      <c r="BU2501" s="314"/>
      <c r="BV2501" s="314"/>
      <c r="BW2501" s="314"/>
      <c r="BX2501" s="155"/>
    </row>
    <row r="2502" spans="1:76" ht="15.75" customHeight="1">
      <c r="A2502" s="25"/>
      <c r="B2502" s="39"/>
      <c r="C2502" s="155"/>
      <c r="D2502" s="155"/>
      <c r="E2502" s="40"/>
      <c r="F2502" s="314"/>
      <c r="H2502" s="315"/>
      <c r="I2502" s="315"/>
      <c r="BA2502" s="30"/>
      <c r="BB2502" s="155"/>
      <c r="BC2502" s="314"/>
      <c r="BD2502" s="314"/>
      <c r="BE2502" s="314"/>
      <c r="BF2502" s="314"/>
      <c r="BG2502" s="314"/>
      <c r="BH2502" s="314"/>
      <c r="BI2502" s="314"/>
      <c r="BJ2502" s="314"/>
      <c r="BK2502" s="40"/>
      <c r="BL2502" s="40"/>
      <c r="BM2502" s="40"/>
      <c r="BN2502" s="40"/>
      <c r="BO2502" s="40"/>
      <c r="BP2502" s="155"/>
      <c r="BQ2502" s="314"/>
      <c r="BR2502" s="314"/>
      <c r="BS2502" s="314"/>
      <c r="BT2502" s="314"/>
      <c r="BU2502" s="314"/>
      <c r="BV2502" s="314"/>
      <c r="BW2502" s="314"/>
      <c r="BX2502" s="155"/>
    </row>
    <row r="2503" spans="1:76" ht="15.75" customHeight="1">
      <c r="A2503" s="25"/>
      <c r="B2503" s="39"/>
      <c r="C2503" s="155"/>
      <c r="D2503" s="155"/>
      <c r="E2503" s="40"/>
      <c r="F2503" s="314"/>
      <c r="H2503" s="315"/>
      <c r="I2503" s="315"/>
      <c r="BA2503" s="30"/>
      <c r="BB2503" s="155"/>
      <c r="BC2503" s="314"/>
      <c r="BD2503" s="314"/>
      <c r="BE2503" s="314"/>
      <c r="BF2503" s="314"/>
      <c r="BG2503" s="314"/>
      <c r="BH2503" s="314"/>
      <c r="BI2503" s="314"/>
      <c r="BJ2503" s="314"/>
      <c r="BK2503" s="40"/>
      <c r="BL2503" s="40"/>
      <c r="BM2503" s="40"/>
      <c r="BN2503" s="40"/>
      <c r="BO2503" s="40"/>
      <c r="BP2503" s="155"/>
      <c r="BQ2503" s="314"/>
      <c r="BR2503" s="314"/>
      <c r="BS2503" s="314"/>
      <c r="BT2503" s="314"/>
      <c r="BU2503" s="314"/>
      <c r="BV2503" s="314"/>
      <c r="BW2503" s="314"/>
      <c r="BX2503" s="155"/>
    </row>
    <row r="2504" spans="1:76" ht="15.75" customHeight="1">
      <c r="A2504" s="25"/>
      <c r="B2504" s="39"/>
      <c r="C2504" s="155"/>
      <c r="D2504" s="155"/>
      <c r="E2504" s="40"/>
      <c r="F2504" s="314"/>
      <c r="H2504" s="315"/>
      <c r="I2504" s="315"/>
      <c r="BA2504" s="30"/>
      <c r="BB2504" s="155"/>
      <c r="BC2504" s="314"/>
      <c r="BD2504" s="314"/>
      <c r="BE2504" s="314"/>
      <c r="BF2504" s="314"/>
      <c r="BG2504" s="314"/>
      <c r="BH2504" s="314"/>
      <c r="BI2504" s="314"/>
      <c r="BJ2504" s="314"/>
      <c r="BK2504" s="40"/>
      <c r="BL2504" s="40"/>
      <c r="BM2504" s="40"/>
      <c r="BN2504" s="40"/>
      <c r="BO2504" s="40"/>
      <c r="BP2504" s="155"/>
      <c r="BQ2504" s="314"/>
      <c r="BR2504" s="314"/>
      <c r="BS2504" s="314"/>
      <c r="BT2504" s="314"/>
      <c r="BU2504" s="314"/>
      <c r="BV2504" s="314"/>
      <c r="BW2504" s="314"/>
      <c r="BX2504" s="155"/>
    </row>
    <row r="2505" spans="1:76" ht="15.75" customHeight="1">
      <c r="A2505" s="25"/>
      <c r="B2505" s="39"/>
      <c r="C2505" s="155"/>
      <c r="D2505" s="155"/>
      <c r="E2505" s="40"/>
      <c r="F2505" s="314"/>
      <c r="H2505" s="315"/>
      <c r="I2505" s="315"/>
      <c r="BA2505" s="30"/>
      <c r="BB2505" s="155"/>
      <c r="BC2505" s="314"/>
      <c r="BD2505" s="314"/>
      <c r="BE2505" s="314"/>
      <c r="BF2505" s="314"/>
      <c r="BG2505" s="314"/>
      <c r="BH2505" s="314"/>
      <c r="BI2505" s="314"/>
      <c r="BJ2505" s="314"/>
      <c r="BK2505" s="40"/>
      <c r="BL2505" s="40"/>
      <c r="BM2505" s="40"/>
      <c r="BN2505" s="40"/>
      <c r="BO2505" s="40"/>
      <c r="BP2505" s="155"/>
      <c r="BQ2505" s="314"/>
      <c r="BR2505" s="314"/>
      <c r="BS2505" s="314"/>
      <c r="BT2505" s="314"/>
      <c r="BU2505" s="314"/>
      <c r="BV2505" s="314"/>
      <c r="BW2505" s="314"/>
      <c r="BX2505" s="155"/>
    </row>
    <row r="2506" spans="1:76" ht="15.75" customHeight="1">
      <c r="A2506" s="25"/>
      <c r="B2506" s="39"/>
      <c r="C2506" s="155"/>
      <c r="D2506" s="155"/>
      <c r="E2506" s="40"/>
      <c r="F2506" s="314"/>
      <c r="H2506" s="315"/>
      <c r="I2506" s="315"/>
      <c r="BA2506" s="30"/>
      <c r="BB2506" s="155"/>
      <c r="BC2506" s="314"/>
      <c r="BD2506" s="314"/>
      <c r="BE2506" s="314"/>
      <c r="BF2506" s="314"/>
      <c r="BG2506" s="314"/>
      <c r="BH2506" s="314"/>
      <c r="BI2506" s="314"/>
      <c r="BJ2506" s="314"/>
      <c r="BK2506" s="40"/>
      <c r="BL2506" s="40"/>
      <c r="BM2506" s="40"/>
      <c r="BN2506" s="40"/>
      <c r="BO2506" s="40"/>
      <c r="BP2506" s="155"/>
      <c r="BQ2506" s="314"/>
      <c r="BR2506" s="314"/>
      <c r="BS2506" s="314"/>
      <c r="BT2506" s="314"/>
      <c r="BU2506" s="314"/>
      <c r="BV2506" s="314"/>
      <c r="BW2506" s="314"/>
      <c r="BX2506" s="155"/>
    </row>
    <row r="2507" spans="1:76" ht="15.75" customHeight="1">
      <c r="A2507" s="25"/>
      <c r="B2507" s="39"/>
      <c r="C2507" s="155"/>
      <c r="D2507" s="155"/>
      <c r="E2507" s="40"/>
      <c r="F2507" s="314"/>
      <c r="H2507" s="315"/>
      <c r="I2507" s="315"/>
      <c r="BA2507" s="30"/>
      <c r="BB2507" s="155"/>
      <c r="BC2507" s="314"/>
      <c r="BD2507" s="314"/>
      <c r="BE2507" s="314"/>
      <c r="BF2507" s="314"/>
      <c r="BG2507" s="314"/>
      <c r="BH2507" s="314"/>
      <c r="BI2507" s="314"/>
      <c r="BJ2507" s="314"/>
      <c r="BK2507" s="40"/>
      <c r="BL2507" s="40"/>
      <c r="BM2507" s="40"/>
      <c r="BN2507" s="40"/>
      <c r="BO2507" s="40"/>
      <c r="BP2507" s="155"/>
      <c r="BQ2507" s="314"/>
      <c r="BR2507" s="314"/>
      <c r="BS2507" s="314"/>
      <c r="BT2507" s="314"/>
      <c r="BU2507" s="314"/>
      <c r="BV2507" s="314"/>
      <c r="BW2507" s="314"/>
      <c r="BX2507" s="155"/>
    </row>
    <row r="2508" spans="1:76" ht="15.75" customHeight="1">
      <c r="A2508" s="25"/>
      <c r="B2508" s="39"/>
      <c r="C2508" s="155"/>
      <c r="D2508" s="155"/>
      <c r="E2508" s="40"/>
      <c r="F2508" s="314"/>
      <c r="H2508" s="315"/>
      <c r="I2508" s="315"/>
      <c r="BA2508" s="30"/>
      <c r="BB2508" s="155"/>
      <c r="BC2508" s="322"/>
      <c r="BD2508" s="322"/>
      <c r="BE2508" s="322"/>
      <c r="BF2508" s="322"/>
      <c r="BG2508" s="322"/>
      <c r="BH2508" s="322"/>
      <c r="BI2508" s="322"/>
      <c r="BJ2508" s="322"/>
      <c r="BK2508" s="341"/>
      <c r="BL2508" s="40"/>
      <c r="BM2508" s="40"/>
      <c r="BN2508" s="40"/>
      <c r="BO2508" s="40"/>
      <c r="BP2508" s="155"/>
      <c r="BQ2508" s="314"/>
      <c r="BR2508" s="314"/>
      <c r="BS2508" s="314"/>
      <c r="BT2508" s="314"/>
      <c r="BU2508" s="314"/>
      <c r="BV2508" s="314"/>
      <c r="BW2508" s="314"/>
      <c r="BX2508" s="155"/>
    </row>
    <row r="2509" spans="1:76" ht="15.75" customHeight="1">
      <c r="A2509" s="25"/>
      <c r="B2509" s="39"/>
      <c r="C2509" s="155"/>
      <c r="D2509" s="155"/>
      <c r="E2509" s="40"/>
      <c r="F2509" s="314"/>
      <c r="H2509" s="315"/>
      <c r="I2509" s="315"/>
      <c r="BA2509" s="30"/>
      <c r="BB2509" s="155"/>
      <c r="BC2509" s="314"/>
      <c r="BD2509" s="314"/>
      <c r="BE2509" s="314"/>
      <c r="BF2509" s="314"/>
      <c r="BG2509" s="314"/>
      <c r="BH2509" s="314"/>
      <c r="BI2509" s="314"/>
      <c r="BJ2509" s="314"/>
      <c r="BK2509" s="40"/>
      <c r="BL2509" s="40"/>
      <c r="BM2509" s="40"/>
      <c r="BN2509" s="40"/>
      <c r="BO2509" s="40"/>
      <c r="BP2509" s="155"/>
      <c r="BQ2509" s="314"/>
      <c r="BR2509" s="314"/>
      <c r="BS2509" s="314"/>
      <c r="BT2509" s="314"/>
      <c r="BU2509" s="314"/>
      <c r="BV2509" s="314"/>
      <c r="BW2509" s="314"/>
      <c r="BX2509" s="155"/>
    </row>
    <row r="2510" spans="1:76" ht="15.75" customHeight="1">
      <c r="A2510" s="25"/>
      <c r="B2510" s="39"/>
      <c r="C2510" s="155"/>
      <c r="D2510" s="155"/>
      <c r="E2510" s="40"/>
      <c r="F2510" s="314"/>
      <c r="H2510" s="315"/>
      <c r="I2510" s="315"/>
      <c r="BA2510" s="30"/>
      <c r="BB2510" s="155"/>
      <c r="BC2510" s="314"/>
      <c r="BD2510" s="314"/>
      <c r="BE2510" s="314"/>
      <c r="BF2510" s="314"/>
      <c r="BG2510" s="314"/>
      <c r="BH2510" s="314"/>
      <c r="BI2510" s="314"/>
      <c r="BJ2510" s="314"/>
      <c r="BK2510" s="40"/>
      <c r="BL2510" s="40"/>
      <c r="BM2510" s="40"/>
      <c r="BN2510" s="40"/>
      <c r="BO2510" s="40"/>
      <c r="BP2510" s="155"/>
      <c r="BQ2510" s="314"/>
      <c r="BR2510" s="314"/>
      <c r="BS2510" s="314"/>
      <c r="BT2510" s="314"/>
      <c r="BU2510" s="314"/>
      <c r="BV2510" s="314"/>
      <c r="BW2510" s="314"/>
      <c r="BX2510" s="155"/>
    </row>
    <row r="2511" spans="1:76" ht="15.75" customHeight="1">
      <c r="A2511" s="25"/>
      <c r="B2511" s="39"/>
      <c r="C2511" s="155"/>
      <c r="D2511" s="155"/>
      <c r="E2511" s="40"/>
      <c r="F2511" s="314"/>
      <c r="H2511" s="315"/>
      <c r="I2511" s="315"/>
      <c r="BA2511" s="30"/>
      <c r="BB2511" s="155"/>
      <c r="BC2511" s="314"/>
      <c r="BD2511" s="314"/>
      <c r="BE2511" s="314"/>
      <c r="BF2511" s="314"/>
      <c r="BG2511" s="314"/>
      <c r="BH2511" s="314"/>
      <c r="BI2511" s="314"/>
      <c r="BJ2511" s="314"/>
      <c r="BK2511" s="40"/>
      <c r="BL2511" s="40"/>
      <c r="BM2511" s="40"/>
      <c r="BN2511" s="40"/>
      <c r="BO2511" s="40"/>
      <c r="BP2511" s="155"/>
      <c r="BQ2511" s="314"/>
      <c r="BR2511" s="314"/>
      <c r="BS2511" s="314"/>
      <c r="BT2511" s="314"/>
      <c r="BU2511" s="314"/>
      <c r="BV2511" s="314"/>
      <c r="BW2511" s="314"/>
      <c r="BX2511" s="155"/>
    </row>
    <row r="2512" spans="1:76" ht="15.75" customHeight="1">
      <c r="A2512" s="25"/>
      <c r="B2512" s="39"/>
      <c r="C2512" s="155"/>
      <c r="D2512" s="155"/>
      <c r="E2512" s="40"/>
      <c r="F2512" s="314"/>
      <c r="H2512" s="315"/>
      <c r="I2512" s="315"/>
      <c r="BA2512" s="30"/>
      <c r="BB2512" s="155"/>
      <c r="BC2512" s="314"/>
      <c r="BD2512" s="314"/>
      <c r="BE2512" s="314"/>
      <c r="BF2512" s="314"/>
      <c r="BG2512" s="314"/>
      <c r="BH2512" s="314"/>
      <c r="BI2512" s="314"/>
      <c r="BJ2512" s="314"/>
      <c r="BK2512" s="40"/>
      <c r="BL2512" s="40"/>
      <c r="BM2512" s="40"/>
      <c r="BN2512" s="40"/>
      <c r="BO2512" s="40"/>
      <c r="BP2512" s="155"/>
      <c r="BQ2512" s="314"/>
      <c r="BR2512" s="314"/>
      <c r="BS2512" s="314"/>
      <c r="BT2512" s="314"/>
      <c r="BU2512" s="314"/>
      <c r="BV2512" s="314"/>
      <c r="BW2512" s="314"/>
      <c r="BX2512" s="155"/>
    </row>
    <row r="2513" spans="1:76" ht="15.75" customHeight="1">
      <c r="A2513" s="25"/>
      <c r="B2513" s="39"/>
      <c r="C2513" s="155"/>
      <c r="D2513" s="155"/>
      <c r="E2513" s="40"/>
      <c r="F2513" s="314"/>
      <c r="H2513" s="315"/>
      <c r="I2513" s="315"/>
      <c r="BA2513" s="30"/>
      <c r="BB2513" s="155"/>
      <c r="BC2513" s="314"/>
      <c r="BD2513" s="314"/>
      <c r="BE2513" s="314"/>
      <c r="BF2513" s="314"/>
      <c r="BG2513" s="314"/>
      <c r="BH2513" s="314"/>
      <c r="BI2513" s="314"/>
      <c r="BJ2513" s="314"/>
      <c r="BK2513" s="40"/>
      <c r="BL2513" s="40"/>
      <c r="BM2513" s="40"/>
      <c r="BN2513" s="40"/>
      <c r="BO2513" s="40"/>
      <c r="BP2513" s="155"/>
      <c r="BQ2513" s="314"/>
      <c r="BR2513" s="314"/>
      <c r="BS2513" s="314"/>
      <c r="BT2513" s="314"/>
      <c r="BU2513" s="314"/>
      <c r="BV2513" s="314"/>
      <c r="BW2513" s="314"/>
      <c r="BX2513" s="155"/>
    </row>
    <row r="2514" spans="1:76" ht="15.75" customHeight="1">
      <c r="A2514" s="25"/>
      <c r="B2514" s="39"/>
      <c r="C2514" s="155"/>
      <c r="D2514" s="155"/>
      <c r="E2514" s="40"/>
      <c r="F2514" s="314"/>
      <c r="H2514" s="315"/>
      <c r="I2514" s="315"/>
      <c r="BA2514" s="30"/>
      <c r="BB2514" s="155"/>
      <c r="BC2514" s="314"/>
      <c r="BD2514" s="314"/>
      <c r="BE2514" s="314"/>
      <c r="BF2514" s="314"/>
      <c r="BG2514" s="314"/>
      <c r="BH2514" s="314"/>
      <c r="BI2514" s="314"/>
      <c r="BJ2514" s="314"/>
      <c r="BK2514" s="40"/>
      <c r="BL2514" s="40"/>
      <c r="BM2514" s="40"/>
      <c r="BN2514" s="40"/>
      <c r="BO2514" s="40"/>
      <c r="BP2514" s="155"/>
      <c r="BQ2514" s="314"/>
      <c r="BR2514" s="314"/>
      <c r="BS2514" s="314"/>
      <c r="BT2514" s="314"/>
      <c r="BU2514" s="314"/>
      <c r="BV2514" s="314"/>
      <c r="BW2514" s="314"/>
      <c r="BX2514" s="155"/>
    </row>
    <row r="2515" spans="1:76" ht="15.75" customHeight="1">
      <c r="A2515" s="25"/>
      <c r="B2515" s="39"/>
      <c r="C2515" s="155"/>
      <c r="D2515" s="155"/>
      <c r="E2515" s="40"/>
      <c r="F2515" s="314"/>
      <c r="H2515" s="315"/>
      <c r="I2515" s="315"/>
      <c r="BA2515" s="30"/>
      <c r="BB2515" s="155"/>
      <c r="BC2515" s="314"/>
      <c r="BD2515" s="314"/>
      <c r="BE2515" s="314"/>
      <c r="BF2515" s="314"/>
      <c r="BG2515" s="314"/>
      <c r="BH2515" s="314"/>
      <c r="BI2515" s="314"/>
      <c r="BJ2515" s="314"/>
      <c r="BK2515" s="40"/>
      <c r="BL2515" s="40"/>
      <c r="BM2515" s="40"/>
      <c r="BN2515" s="40"/>
      <c r="BO2515" s="40"/>
      <c r="BP2515" s="155"/>
      <c r="BQ2515" s="314"/>
      <c r="BR2515" s="314"/>
      <c r="BS2515" s="314"/>
      <c r="BT2515" s="314"/>
      <c r="BU2515" s="314"/>
      <c r="BV2515" s="314"/>
      <c r="BW2515" s="314"/>
      <c r="BX2515" s="155"/>
    </row>
    <row r="2516" spans="1:76" ht="15.75" customHeight="1">
      <c r="A2516" s="25"/>
      <c r="B2516" s="39"/>
      <c r="C2516" s="155"/>
      <c r="D2516" s="155"/>
      <c r="E2516" s="40"/>
      <c r="F2516" s="314"/>
      <c r="H2516" s="315"/>
      <c r="I2516" s="315"/>
      <c r="BA2516" s="30"/>
      <c r="BB2516" s="155"/>
      <c r="BC2516" s="314"/>
      <c r="BD2516" s="314"/>
      <c r="BE2516" s="314"/>
      <c r="BF2516" s="314"/>
      <c r="BG2516" s="314"/>
      <c r="BH2516" s="314"/>
      <c r="BI2516" s="314"/>
      <c r="BJ2516" s="314"/>
      <c r="BK2516" s="40"/>
      <c r="BL2516" s="40"/>
      <c r="BM2516" s="40"/>
      <c r="BN2516" s="40"/>
      <c r="BO2516" s="40"/>
      <c r="BP2516" s="155"/>
      <c r="BQ2516" s="314"/>
      <c r="BR2516" s="314"/>
      <c r="BS2516" s="314"/>
      <c r="BT2516" s="314"/>
      <c r="BU2516" s="314"/>
      <c r="BV2516" s="314"/>
      <c r="BW2516" s="314"/>
      <c r="BX2516" s="155"/>
    </row>
    <row r="2517" spans="1:76" ht="15.75" customHeight="1">
      <c r="A2517" s="25"/>
      <c r="B2517" s="39"/>
      <c r="C2517" s="155"/>
      <c r="D2517" s="155"/>
      <c r="E2517" s="40"/>
      <c r="F2517" s="314"/>
      <c r="H2517" s="315"/>
      <c r="I2517" s="315"/>
      <c r="BA2517" s="30"/>
      <c r="BB2517" s="155"/>
      <c r="BC2517" s="314"/>
      <c r="BD2517" s="314"/>
      <c r="BE2517" s="314"/>
      <c r="BF2517" s="314"/>
      <c r="BG2517" s="314"/>
      <c r="BH2517" s="314"/>
      <c r="BI2517" s="314"/>
      <c r="BJ2517" s="314"/>
      <c r="BK2517" s="40"/>
      <c r="BL2517" s="40"/>
      <c r="BM2517" s="40"/>
      <c r="BN2517" s="40"/>
      <c r="BO2517" s="40"/>
      <c r="BP2517" s="155"/>
      <c r="BQ2517" s="314"/>
      <c r="BR2517" s="314"/>
      <c r="BS2517" s="314"/>
      <c r="BT2517" s="314"/>
      <c r="BU2517" s="314"/>
      <c r="BV2517" s="314"/>
      <c r="BW2517" s="314"/>
      <c r="BX2517" s="155"/>
    </row>
    <row r="2518" spans="1:76" ht="15.75" customHeight="1">
      <c r="A2518" s="25"/>
      <c r="B2518" s="39"/>
      <c r="C2518" s="155"/>
      <c r="D2518" s="155"/>
      <c r="E2518" s="40"/>
      <c r="F2518" s="314"/>
      <c r="H2518" s="315"/>
      <c r="I2518" s="315"/>
      <c r="BA2518" s="30"/>
      <c r="BB2518" s="155"/>
      <c r="BC2518" s="314"/>
      <c r="BD2518" s="314"/>
      <c r="BE2518" s="314"/>
      <c r="BF2518" s="314"/>
      <c r="BG2518" s="314"/>
      <c r="BH2518" s="314"/>
      <c r="BI2518" s="314"/>
      <c r="BJ2518" s="314"/>
      <c r="BK2518" s="40"/>
      <c r="BL2518" s="40"/>
      <c r="BM2518" s="40"/>
      <c r="BN2518" s="40"/>
      <c r="BO2518" s="40"/>
      <c r="BP2518" s="155"/>
      <c r="BQ2518" s="314"/>
      <c r="BR2518" s="314"/>
      <c r="BS2518" s="314"/>
      <c r="BT2518" s="314"/>
      <c r="BU2518" s="314"/>
      <c r="BV2518" s="314"/>
      <c r="BW2518" s="314"/>
      <c r="BX2518" s="155"/>
    </row>
    <row r="2519" spans="1:76" ht="15.75" customHeight="1">
      <c r="A2519" s="25"/>
      <c r="B2519" s="39"/>
      <c r="C2519" s="155"/>
      <c r="D2519" s="155"/>
      <c r="E2519" s="40"/>
      <c r="F2519" s="314"/>
      <c r="H2519" s="315"/>
      <c r="I2519" s="315"/>
      <c r="BA2519" s="30"/>
      <c r="BB2519" s="155"/>
      <c r="BC2519" s="314"/>
      <c r="BD2519" s="314"/>
      <c r="BE2519" s="314"/>
      <c r="BF2519" s="314"/>
      <c r="BG2519" s="314"/>
      <c r="BH2519" s="314"/>
      <c r="BI2519" s="314"/>
      <c r="BJ2519" s="314"/>
      <c r="BK2519" s="40"/>
      <c r="BL2519" s="40"/>
      <c r="BM2519" s="40"/>
      <c r="BN2519" s="40"/>
      <c r="BO2519" s="40"/>
      <c r="BP2519" s="155"/>
      <c r="BQ2519" s="314"/>
      <c r="BR2519" s="314"/>
      <c r="BS2519" s="314"/>
      <c r="BT2519" s="314"/>
      <c r="BU2519" s="314"/>
      <c r="BV2519" s="314"/>
      <c r="BW2519" s="314"/>
      <c r="BX2519" s="155"/>
    </row>
    <row r="2520" spans="1:76" ht="15.75" customHeight="1">
      <c r="A2520" s="25"/>
      <c r="B2520" s="39"/>
      <c r="C2520" s="155"/>
      <c r="D2520" s="155"/>
      <c r="E2520" s="40"/>
      <c r="F2520" s="314"/>
      <c r="H2520" s="315"/>
      <c r="I2520" s="315"/>
      <c r="BA2520" s="30"/>
      <c r="BB2520" s="155"/>
      <c r="BC2520" s="314"/>
      <c r="BD2520" s="314"/>
      <c r="BE2520" s="314"/>
      <c r="BF2520" s="314"/>
      <c r="BG2520" s="314"/>
      <c r="BH2520" s="314"/>
      <c r="BI2520" s="314"/>
      <c r="BJ2520" s="314"/>
      <c r="BK2520" s="40"/>
      <c r="BL2520" s="40"/>
      <c r="BM2520" s="40"/>
      <c r="BN2520" s="40"/>
      <c r="BO2520" s="40"/>
      <c r="BP2520" s="155"/>
      <c r="BQ2520" s="314"/>
      <c r="BR2520" s="314"/>
      <c r="BS2520" s="314"/>
      <c r="BT2520" s="314"/>
      <c r="BU2520" s="314"/>
      <c r="BV2520" s="314"/>
      <c r="BW2520" s="314"/>
      <c r="BX2520" s="155"/>
    </row>
    <row r="2521" spans="1:76" ht="15.75" customHeight="1">
      <c r="A2521" s="25"/>
      <c r="B2521" s="39"/>
      <c r="C2521" s="155"/>
      <c r="D2521" s="155"/>
      <c r="E2521" s="40"/>
      <c r="F2521" s="314"/>
      <c r="H2521" s="315"/>
      <c r="I2521" s="315"/>
      <c r="BA2521" s="30"/>
      <c r="BB2521" s="155"/>
      <c r="BC2521" s="314"/>
      <c r="BD2521" s="314"/>
      <c r="BE2521" s="314"/>
      <c r="BF2521" s="314"/>
      <c r="BG2521" s="314"/>
      <c r="BH2521" s="314"/>
      <c r="BI2521" s="314"/>
      <c r="BJ2521" s="314"/>
      <c r="BK2521" s="40"/>
      <c r="BL2521" s="40"/>
      <c r="BM2521" s="40"/>
      <c r="BN2521" s="40"/>
      <c r="BO2521" s="40"/>
      <c r="BP2521" s="155"/>
      <c r="BQ2521" s="314"/>
      <c r="BR2521" s="314"/>
      <c r="BS2521" s="314"/>
      <c r="BT2521" s="314"/>
      <c r="BU2521" s="314"/>
      <c r="BV2521" s="314"/>
      <c r="BW2521" s="314"/>
      <c r="BX2521" s="155"/>
    </row>
    <row r="2522" spans="1:76" ht="15.75" customHeight="1">
      <c r="A2522" s="25"/>
      <c r="B2522" s="39"/>
      <c r="C2522" s="155"/>
      <c r="D2522" s="155"/>
      <c r="E2522" s="40"/>
      <c r="F2522" s="314"/>
      <c r="H2522" s="315"/>
      <c r="I2522" s="315"/>
      <c r="BA2522" s="30"/>
      <c r="BB2522" s="155"/>
      <c r="BC2522" s="314"/>
      <c r="BD2522" s="314"/>
      <c r="BE2522" s="314"/>
      <c r="BF2522" s="314"/>
      <c r="BG2522" s="314"/>
      <c r="BH2522" s="314"/>
      <c r="BI2522" s="314"/>
      <c r="BJ2522" s="314"/>
      <c r="BK2522" s="40"/>
      <c r="BL2522" s="40"/>
      <c r="BM2522" s="40"/>
      <c r="BN2522" s="40"/>
      <c r="BO2522" s="40"/>
      <c r="BP2522" s="155"/>
      <c r="BQ2522" s="314"/>
      <c r="BR2522" s="314"/>
      <c r="BS2522" s="314"/>
      <c r="BT2522" s="314"/>
      <c r="BU2522" s="314"/>
      <c r="BV2522" s="314"/>
      <c r="BW2522" s="314"/>
      <c r="BX2522" s="155"/>
    </row>
    <row r="2523" spans="1:76" ht="15.75" customHeight="1">
      <c r="A2523" s="25"/>
      <c r="B2523" s="39"/>
      <c r="C2523" s="155"/>
      <c r="D2523" s="155"/>
      <c r="E2523" s="40"/>
      <c r="F2523" s="314"/>
      <c r="H2523" s="315"/>
      <c r="I2523" s="315"/>
      <c r="BA2523" s="30"/>
      <c r="BB2523" s="155"/>
      <c r="BC2523" s="314"/>
      <c r="BD2523" s="314"/>
      <c r="BE2523" s="314"/>
      <c r="BF2523" s="314"/>
      <c r="BG2523" s="314"/>
      <c r="BH2523" s="314"/>
      <c r="BI2523" s="314"/>
      <c r="BJ2523" s="314"/>
      <c r="BK2523" s="40"/>
      <c r="BL2523" s="40"/>
      <c r="BM2523" s="40"/>
      <c r="BN2523" s="40"/>
      <c r="BO2523" s="40"/>
      <c r="BP2523" s="155"/>
      <c r="BQ2523" s="314"/>
      <c r="BR2523" s="314"/>
      <c r="BS2523" s="314"/>
      <c r="BT2523" s="314"/>
      <c r="BU2523" s="314"/>
      <c r="BV2523" s="314"/>
      <c r="BW2523" s="314"/>
      <c r="BX2523" s="155"/>
    </row>
    <row r="2524" spans="1:76" ht="15.75" customHeight="1">
      <c r="A2524" s="25"/>
      <c r="B2524" s="39"/>
      <c r="C2524" s="155"/>
      <c r="D2524" s="155"/>
      <c r="E2524" s="40"/>
      <c r="F2524" s="314"/>
      <c r="H2524" s="315"/>
      <c r="I2524" s="315"/>
      <c r="BA2524" s="30"/>
      <c r="BB2524" s="155"/>
      <c r="BC2524" s="314"/>
      <c r="BD2524" s="314"/>
      <c r="BE2524" s="314"/>
      <c r="BF2524" s="314"/>
      <c r="BG2524" s="314"/>
      <c r="BH2524" s="314"/>
      <c r="BI2524" s="314"/>
      <c r="BJ2524" s="314"/>
      <c r="BK2524" s="40"/>
      <c r="BL2524" s="40"/>
      <c r="BM2524" s="40"/>
      <c r="BN2524" s="40"/>
      <c r="BO2524" s="40"/>
      <c r="BP2524" s="155"/>
      <c r="BQ2524" s="314"/>
      <c r="BR2524" s="314"/>
      <c r="BS2524" s="314"/>
      <c r="BT2524" s="314"/>
      <c r="BU2524" s="314"/>
      <c r="BV2524" s="314"/>
      <c r="BW2524" s="314"/>
      <c r="BX2524" s="155"/>
    </row>
    <row r="2525" spans="1:76" ht="15.75" customHeight="1">
      <c r="A2525" s="25"/>
      <c r="B2525" s="39"/>
      <c r="C2525" s="155"/>
      <c r="D2525" s="155"/>
      <c r="E2525" s="40"/>
      <c r="F2525" s="314"/>
      <c r="H2525" s="315"/>
      <c r="I2525" s="315"/>
      <c r="BA2525" s="30"/>
      <c r="BB2525" s="155"/>
      <c r="BC2525" s="314"/>
      <c r="BD2525" s="314"/>
      <c r="BE2525" s="314"/>
      <c r="BF2525" s="314"/>
      <c r="BG2525" s="314"/>
      <c r="BH2525" s="314"/>
      <c r="BI2525" s="314"/>
      <c r="BJ2525" s="314"/>
      <c r="BK2525" s="40"/>
      <c r="BL2525" s="40"/>
      <c r="BM2525" s="40"/>
      <c r="BN2525" s="40"/>
      <c r="BO2525" s="40"/>
      <c r="BP2525" s="155"/>
      <c r="BQ2525" s="314"/>
      <c r="BR2525" s="314"/>
      <c r="BS2525" s="314"/>
      <c r="BT2525" s="314"/>
      <c r="BU2525" s="314"/>
      <c r="BV2525" s="314"/>
      <c r="BW2525" s="314"/>
      <c r="BX2525" s="155"/>
    </row>
    <row r="2526" spans="1:76" ht="15.75" customHeight="1">
      <c r="A2526" s="25"/>
      <c r="B2526" s="39"/>
      <c r="C2526" s="155"/>
      <c r="D2526" s="155"/>
      <c r="E2526" s="40"/>
      <c r="F2526" s="314"/>
      <c r="H2526" s="315"/>
      <c r="I2526" s="315"/>
      <c r="BA2526" s="30"/>
      <c r="BB2526" s="155"/>
      <c r="BC2526" s="314"/>
      <c r="BD2526" s="314"/>
      <c r="BE2526" s="314"/>
      <c r="BF2526" s="314"/>
      <c r="BG2526" s="314"/>
      <c r="BH2526" s="314"/>
      <c r="BI2526" s="314"/>
      <c r="BJ2526" s="314"/>
      <c r="BK2526" s="40"/>
      <c r="BL2526" s="40"/>
      <c r="BM2526" s="40"/>
      <c r="BN2526" s="40"/>
      <c r="BO2526" s="40"/>
      <c r="BP2526" s="155"/>
      <c r="BQ2526" s="314"/>
      <c r="BR2526" s="314"/>
      <c r="BS2526" s="314"/>
      <c r="BT2526" s="314"/>
      <c r="BU2526" s="314"/>
      <c r="BV2526" s="314"/>
      <c r="BW2526" s="314"/>
      <c r="BX2526" s="155"/>
    </row>
    <row r="2527" spans="1:76" ht="15.75" customHeight="1">
      <c r="A2527" s="25"/>
      <c r="B2527" s="39"/>
      <c r="C2527" s="155"/>
      <c r="D2527" s="155"/>
      <c r="E2527" s="40"/>
      <c r="F2527" s="314"/>
      <c r="H2527" s="315"/>
      <c r="I2527" s="315"/>
      <c r="BA2527" s="30"/>
      <c r="BB2527" s="155"/>
      <c r="BC2527" s="314"/>
      <c r="BD2527" s="314"/>
      <c r="BE2527" s="314"/>
      <c r="BF2527" s="314"/>
      <c r="BG2527" s="314"/>
      <c r="BH2527" s="314"/>
      <c r="BI2527" s="314"/>
      <c r="BJ2527" s="314"/>
      <c r="BK2527" s="40"/>
      <c r="BL2527" s="40"/>
      <c r="BM2527" s="40"/>
      <c r="BN2527" s="40"/>
      <c r="BO2527" s="40"/>
      <c r="BP2527" s="155"/>
      <c r="BQ2527" s="314"/>
      <c r="BR2527" s="314"/>
      <c r="BS2527" s="314"/>
      <c r="BT2527" s="314"/>
      <c r="BU2527" s="314"/>
      <c r="BV2527" s="314"/>
      <c r="BW2527" s="314"/>
      <c r="BX2527" s="155"/>
    </row>
    <row r="2528" spans="1:76" ht="15.75" customHeight="1">
      <c r="A2528" s="25"/>
      <c r="B2528" s="39"/>
      <c r="C2528" s="155"/>
      <c r="D2528" s="155"/>
      <c r="E2528" s="40"/>
      <c r="F2528" s="314"/>
      <c r="H2528" s="315"/>
      <c r="I2528" s="315"/>
      <c r="BA2528" s="30"/>
      <c r="BB2528" s="155"/>
      <c r="BC2528" s="314"/>
      <c r="BD2528" s="314"/>
      <c r="BE2528" s="314"/>
      <c r="BF2528" s="314"/>
      <c r="BG2528" s="314"/>
      <c r="BH2528" s="314"/>
      <c r="BI2528" s="314"/>
      <c r="BJ2528" s="314"/>
      <c r="BK2528" s="40"/>
      <c r="BL2528" s="40"/>
      <c r="BM2528" s="40"/>
      <c r="BN2528" s="40"/>
      <c r="BO2528" s="40"/>
      <c r="BP2528" s="155"/>
      <c r="BQ2528" s="314"/>
      <c r="BR2528" s="314"/>
      <c r="BS2528" s="314"/>
      <c r="BT2528" s="314"/>
      <c r="BU2528" s="314"/>
      <c r="BV2528" s="314"/>
      <c r="BW2528" s="314"/>
      <c r="BX2528" s="155"/>
    </row>
    <row r="2529" spans="1:76" ht="15.75" customHeight="1">
      <c r="A2529" s="25"/>
      <c r="B2529" s="39"/>
      <c r="C2529" s="155"/>
      <c r="D2529" s="155"/>
      <c r="E2529" s="40"/>
      <c r="F2529" s="314"/>
      <c r="H2529" s="315"/>
      <c r="I2529" s="315"/>
      <c r="BA2529" s="30"/>
      <c r="BB2529" s="155"/>
      <c r="BC2529" s="314"/>
      <c r="BD2529" s="314"/>
      <c r="BE2529" s="314"/>
      <c r="BF2529" s="314"/>
      <c r="BG2529" s="314"/>
      <c r="BH2529" s="314"/>
      <c r="BI2529" s="314"/>
      <c r="BJ2529" s="314"/>
      <c r="BK2529" s="40"/>
      <c r="BL2529" s="40"/>
      <c r="BM2529" s="40"/>
      <c r="BN2529" s="40"/>
      <c r="BO2529" s="40"/>
      <c r="BP2529" s="155"/>
      <c r="BQ2529" s="314"/>
      <c r="BR2529" s="314"/>
      <c r="BS2529" s="314"/>
      <c r="BT2529" s="314"/>
      <c r="BU2529" s="314"/>
      <c r="BV2529" s="314"/>
      <c r="BW2529" s="314"/>
      <c r="BX2529" s="155"/>
    </row>
    <row r="2530" spans="1:76" ht="15.75" customHeight="1">
      <c r="A2530" s="25"/>
      <c r="B2530" s="39"/>
      <c r="C2530" s="155"/>
      <c r="D2530" s="155"/>
      <c r="E2530" s="40"/>
      <c r="F2530" s="314"/>
      <c r="H2530" s="315"/>
      <c r="I2530" s="315"/>
      <c r="BA2530" s="30"/>
      <c r="BB2530" s="155"/>
      <c r="BC2530" s="314"/>
      <c r="BD2530" s="314"/>
      <c r="BE2530" s="314"/>
      <c r="BF2530" s="314"/>
      <c r="BG2530" s="314"/>
      <c r="BH2530" s="314"/>
      <c r="BI2530" s="314"/>
      <c r="BJ2530" s="314"/>
      <c r="BK2530" s="40"/>
      <c r="BL2530" s="40"/>
      <c r="BM2530" s="40"/>
      <c r="BN2530" s="40"/>
      <c r="BO2530" s="40"/>
      <c r="BP2530" s="155"/>
      <c r="BQ2530" s="314"/>
      <c r="BR2530" s="314"/>
      <c r="BS2530" s="314"/>
      <c r="BT2530" s="314"/>
      <c r="BU2530" s="314"/>
      <c r="BV2530" s="314"/>
      <c r="BW2530" s="314"/>
      <c r="BX2530" s="155"/>
    </row>
    <row r="2531" spans="1:76" ht="15.75" customHeight="1">
      <c r="A2531" s="25"/>
      <c r="B2531" s="39"/>
      <c r="C2531" s="155"/>
      <c r="D2531" s="155"/>
      <c r="E2531" s="40"/>
      <c r="F2531" s="314"/>
      <c r="H2531" s="315"/>
      <c r="I2531" s="315"/>
      <c r="BA2531" s="30"/>
      <c r="BB2531" s="155"/>
      <c r="BC2531" s="314"/>
      <c r="BD2531" s="314"/>
      <c r="BE2531" s="314"/>
      <c r="BF2531" s="314"/>
      <c r="BG2531" s="314"/>
      <c r="BH2531" s="314"/>
      <c r="BI2531" s="314"/>
      <c r="BJ2531" s="314"/>
      <c r="BK2531" s="40"/>
      <c r="BL2531" s="40"/>
      <c r="BM2531" s="40"/>
      <c r="BN2531" s="40"/>
      <c r="BO2531" s="40"/>
      <c r="BP2531" s="155"/>
      <c r="BQ2531" s="314"/>
      <c r="BR2531" s="314"/>
      <c r="BS2531" s="314"/>
      <c r="BT2531" s="314"/>
      <c r="BU2531" s="314"/>
      <c r="BV2531" s="314"/>
      <c r="BW2531" s="314"/>
      <c r="BX2531" s="155"/>
    </row>
    <row r="2532" spans="1:76" ht="15.75" customHeight="1">
      <c r="A2532" s="25"/>
      <c r="B2532" s="39"/>
      <c r="C2532" s="155"/>
      <c r="D2532" s="155"/>
      <c r="E2532" s="40"/>
      <c r="F2532" s="314"/>
      <c r="H2532" s="315"/>
      <c r="I2532" s="315"/>
      <c r="BA2532" s="30"/>
      <c r="BB2532" s="155"/>
      <c r="BC2532" s="314"/>
      <c r="BD2532" s="314"/>
      <c r="BE2532" s="314"/>
      <c r="BF2532" s="314"/>
      <c r="BG2532" s="314"/>
      <c r="BH2532" s="314"/>
      <c r="BI2532" s="314"/>
      <c r="BJ2532" s="314"/>
      <c r="BK2532" s="40"/>
      <c r="BL2532" s="40"/>
      <c r="BM2532" s="40"/>
      <c r="BN2532" s="40"/>
      <c r="BO2532" s="40"/>
      <c r="BP2532" s="155"/>
      <c r="BQ2532" s="314"/>
      <c r="BR2532" s="314"/>
      <c r="BS2532" s="314"/>
      <c r="BT2532" s="314"/>
      <c r="BU2532" s="314"/>
      <c r="BV2532" s="314"/>
      <c r="BW2532" s="314"/>
      <c r="BX2532" s="155"/>
    </row>
    <row r="2533" spans="1:76" ht="15.75" customHeight="1">
      <c r="A2533" s="25"/>
      <c r="B2533" s="39"/>
      <c r="C2533" s="155"/>
      <c r="D2533" s="155"/>
      <c r="E2533" s="40"/>
      <c r="F2533" s="314"/>
      <c r="H2533" s="315"/>
      <c r="I2533" s="315"/>
      <c r="BA2533" s="30"/>
      <c r="BB2533" s="155"/>
      <c r="BC2533" s="314"/>
      <c r="BD2533" s="314"/>
      <c r="BE2533" s="314"/>
      <c r="BF2533" s="314"/>
      <c r="BG2533" s="314"/>
      <c r="BH2533" s="314"/>
      <c r="BI2533" s="314"/>
      <c r="BJ2533" s="314"/>
      <c r="BK2533" s="40"/>
      <c r="BL2533" s="40"/>
      <c r="BM2533" s="40"/>
      <c r="BN2533" s="40"/>
      <c r="BO2533" s="40"/>
      <c r="BP2533" s="155"/>
      <c r="BQ2533" s="314"/>
      <c r="BR2533" s="314"/>
      <c r="BS2533" s="314"/>
      <c r="BT2533" s="314"/>
      <c r="BU2533" s="314"/>
      <c r="BV2533" s="314"/>
      <c r="BW2533" s="314"/>
      <c r="BX2533" s="155"/>
    </row>
    <row r="2534" spans="1:76" ht="15.75" customHeight="1">
      <c r="A2534" s="25"/>
      <c r="B2534" s="39"/>
      <c r="C2534" s="155"/>
      <c r="D2534" s="155"/>
      <c r="E2534" s="40"/>
      <c r="F2534" s="314"/>
      <c r="H2534" s="315"/>
      <c r="I2534" s="315"/>
      <c r="BA2534" s="30"/>
      <c r="BB2534" s="155"/>
      <c r="BC2534" s="314"/>
      <c r="BD2534" s="314"/>
      <c r="BE2534" s="314"/>
      <c r="BF2534" s="314"/>
      <c r="BG2534" s="314"/>
      <c r="BH2534" s="314"/>
      <c r="BI2534" s="314"/>
      <c r="BJ2534" s="314"/>
      <c r="BK2534" s="40"/>
      <c r="BL2534" s="40"/>
      <c r="BM2534" s="40"/>
      <c r="BN2534" s="40"/>
      <c r="BO2534" s="40"/>
      <c r="BP2534" s="155"/>
      <c r="BQ2534" s="314"/>
      <c r="BR2534" s="314"/>
      <c r="BS2534" s="314"/>
      <c r="BT2534" s="314"/>
      <c r="BU2534" s="314"/>
      <c r="BV2534" s="314"/>
      <c r="BW2534" s="314"/>
      <c r="BX2534" s="155"/>
    </row>
    <row r="2535" spans="1:76" ht="15.75" customHeight="1">
      <c r="A2535" s="25"/>
      <c r="B2535" s="39"/>
      <c r="C2535" s="155"/>
      <c r="D2535" s="155"/>
      <c r="E2535" s="40"/>
      <c r="F2535" s="314"/>
      <c r="H2535" s="315"/>
      <c r="I2535" s="315"/>
      <c r="BA2535" s="30"/>
      <c r="BB2535" s="155"/>
      <c r="BC2535" s="314"/>
      <c r="BD2535" s="314"/>
      <c r="BE2535" s="314"/>
      <c r="BF2535" s="314"/>
      <c r="BG2535" s="314"/>
      <c r="BH2535" s="314"/>
      <c r="BI2535" s="314"/>
      <c r="BJ2535" s="314"/>
      <c r="BK2535" s="40"/>
      <c r="BL2535" s="40"/>
      <c r="BM2535" s="40"/>
      <c r="BN2535" s="40"/>
      <c r="BO2535" s="40"/>
      <c r="BP2535" s="155"/>
      <c r="BQ2535" s="314"/>
      <c r="BR2535" s="314"/>
      <c r="BS2535" s="314"/>
      <c r="BT2535" s="314"/>
      <c r="BU2535" s="314"/>
      <c r="BV2535" s="314"/>
      <c r="BW2535" s="314"/>
      <c r="BX2535" s="155"/>
    </row>
    <row r="2536" spans="1:76" ht="15.75" customHeight="1">
      <c r="A2536" s="25"/>
      <c r="B2536" s="39"/>
      <c r="C2536" s="155"/>
      <c r="D2536" s="155"/>
      <c r="E2536" s="40"/>
      <c r="F2536" s="314"/>
      <c r="H2536" s="315"/>
      <c r="I2536" s="315"/>
      <c r="BA2536" s="30"/>
      <c r="BB2536" s="155"/>
      <c r="BC2536" s="314"/>
      <c r="BD2536" s="314"/>
      <c r="BE2536" s="314"/>
      <c r="BF2536" s="314"/>
      <c r="BG2536" s="314"/>
      <c r="BH2536" s="314"/>
      <c r="BI2536" s="314"/>
      <c r="BJ2536" s="314"/>
      <c r="BK2536" s="40"/>
      <c r="BL2536" s="40"/>
      <c r="BM2536" s="40"/>
      <c r="BN2536" s="40"/>
      <c r="BO2536" s="40"/>
      <c r="BP2536" s="155"/>
      <c r="BQ2536" s="314"/>
      <c r="BR2536" s="314"/>
      <c r="BS2536" s="314"/>
      <c r="BT2536" s="314"/>
      <c r="BU2536" s="314"/>
      <c r="BV2536" s="314"/>
      <c r="BW2536" s="314"/>
      <c r="BX2536" s="155"/>
    </row>
    <row r="2537" spans="1:76" ht="15.75" customHeight="1">
      <c r="A2537" s="25"/>
      <c r="B2537" s="39"/>
      <c r="C2537" s="155"/>
      <c r="D2537" s="155"/>
      <c r="E2537" s="40"/>
      <c r="F2537" s="314"/>
      <c r="H2537" s="315"/>
      <c r="I2537" s="315"/>
      <c r="BA2537" s="30"/>
      <c r="BB2537" s="155"/>
      <c r="BC2537" s="314"/>
      <c r="BD2537" s="314"/>
      <c r="BE2537" s="314"/>
      <c r="BF2537" s="314"/>
      <c r="BG2537" s="314"/>
      <c r="BH2537" s="314"/>
      <c r="BI2537" s="314"/>
      <c r="BJ2537" s="314"/>
      <c r="BK2537" s="40"/>
      <c r="BL2537" s="40"/>
      <c r="BM2537" s="40"/>
      <c r="BN2537" s="40"/>
      <c r="BO2537" s="40"/>
      <c r="BP2537" s="155"/>
      <c r="BQ2537" s="314"/>
      <c r="BR2537" s="314"/>
      <c r="BS2537" s="314"/>
      <c r="BT2537" s="314"/>
      <c r="BU2537" s="314"/>
      <c r="BV2537" s="314"/>
      <c r="BW2537" s="314"/>
      <c r="BX2537" s="155"/>
    </row>
    <row r="2538" spans="1:76" ht="15.75" customHeight="1">
      <c r="A2538" s="25"/>
      <c r="B2538" s="39"/>
      <c r="C2538" s="155"/>
      <c r="D2538" s="155"/>
      <c r="E2538" s="40"/>
      <c r="F2538" s="314"/>
      <c r="H2538" s="315"/>
      <c r="I2538" s="315"/>
      <c r="BA2538" s="30"/>
      <c r="BB2538" s="155"/>
      <c r="BC2538" s="314"/>
      <c r="BD2538" s="314"/>
      <c r="BE2538" s="314"/>
      <c r="BF2538" s="314"/>
      <c r="BG2538" s="314"/>
      <c r="BH2538" s="314"/>
      <c r="BI2538" s="314"/>
      <c r="BJ2538" s="314"/>
      <c r="BK2538" s="40"/>
      <c r="BL2538" s="40"/>
      <c r="BM2538" s="40"/>
      <c r="BN2538" s="40"/>
      <c r="BO2538" s="40"/>
      <c r="BP2538" s="155"/>
      <c r="BQ2538" s="314"/>
      <c r="BR2538" s="314"/>
      <c r="BS2538" s="314"/>
      <c r="BT2538" s="314"/>
      <c r="BU2538" s="314"/>
      <c r="BV2538" s="314"/>
      <c r="BW2538" s="314"/>
      <c r="BX2538" s="155"/>
    </row>
    <row r="2539" spans="1:76" ht="15.75" customHeight="1">
      <c r="A2539" s="25"/>
      <c r="B2539" s="39"/>
      <c r="C2539" s="155"/>
      <c r="D2539" s="155"/>
      <c r="E2539" s="40"/>
      <c r="F2539" s="314"/>
      <c r="H2539" s="315"/>
      <c r="I2539" s="315"/>
      <c r="BA2539" s="30"/>
      <c r="BB2539" s="155"/>
      <c r="BC2539" s="314"/>
      <c r="BD2539" s="314"/>
      <c r="BE2539" s="314"/>
      <c r="BF2539" s="314"/>
      <c r="BG2539" s="314"/>
      <c r="BH2539" s="314"/>
      <c r="BI2539" s="314"/>
      <c r="BJ2539" s="314"/>
      <c r="BK2539" s="40"/>
      <c r="BL2539" s="40"/>
      <c r="BM2539" s="40"/>
      <c r="BN2539" s="40"/>
      <c r="BO2539" s="40"/>
      <c r="BP2539" s="155"/>
      <c r="BQ2539" s="314"/>
      <c r="BR2539" s="314"/>
      <c r="BS2539" s="314"/>
      <c r="BT2539" s="314"/>
      <c r="BU2539" s="314"/>
      <c r="BV2539" s="314"/>
      <c r="BW2539" s="314"/>
      <c r="BX2539" s="155"/>
    </row>
    <row r="2540" spans="1:76" ht="15.75" customHeight="1">
      <c r="A2540" s="25"/>
      <c r="B2540" s="39"/>
      <c r="C2540" s="155"/>
      <c r="D2540" s="155"/>
      <c r="E2540" s="40"/>
      <c r="F2540" s="314"/>
      <c r="H2540" s="315"/>
      <c r="I2540" s="315"/>
      <c r="BA2540" s="30"/>
      <c r="BB2540" s="155"/>
      <c r="BC2540" s="314"/>
      <c r="BD2540" s="314"/>
      <c r="BE2540" s="314"/>
      <c r="BF2540" s="314"/>
      <c r="BG2540" s="314"/>
      <c r="BH2540" s="314"/>
      <c r="BI2540" s="314"/>
      <c r="BJ2540" s="314"/>
      <c r="BK2540" s="40"/>
      <c r="BL2540" s="40"/>
      <c r="BM2540" s="40"/>
      <c r="BN2540" s="40"/>
      <c r="BO2540" s="40"/>
      <c r="BP2540" s="155"/>
      <c r="BQ2540" s="314"/>
      <c r="BR2540" s="314"/>
      <c r="BS2540" s="314"/>
      <c r="BT2540" s="314"/>
      <c r="BU2540" s="314"/>
      <c r="BV2540" s="314"/>
      <c r="BW2540" s="314"/>
      <c r="BX2540" s="155"/>
    </row>
    <row r="2541" spans="1:76" ht="15.75" customHeight="1">
      <c r="A2541" s="25"/>
      <c r="B2541" s="39"/>
      <c r="C2541" s="155"/>
      <c r="D2541" s="155"/>
      <c r="E2541" s="40"/>
      <c r="F2541" s="314"/>
      <c r="H2541" s="315"/>
      <c r="I2541" s="315"/>
      <c r="BA2541" s="30"/>
      <c r="BB2541" s="155"/>
      <c r="BC2541" s="314"/>
      <c r="BD2541" s="314"/>
      <c r="BE2541" s="314"/>
      <c r="BF2541" s="314"/>
      <c r="BG2541" s="314"/>
      <c r="BH2541" s="314"/>
      <c r="BI2541" s="314"/>
      <c r="BJ2541" s="314"/>
      <c r="BK2541" s="40"/>
      <c r="BL2541" s="40"/>
      <c r="BM2541" s="40"/>
      <c r="BN2541" s="40"/>
      <c r="BO2541" s="40"/>
      <c r="BP2541" s="155"/>
      <c r="BQ2541" s="314"/>
      <c r="BR2541" s="314"/>
      <c r="BS2541" s="314"/>
      <c r="BT2541" s="314"/>
      <c r="BU2541" s="314"/>
      <c r="BV2541" s="314"/>
      <c r="BW2541" s="314"/>
      <c r="BX2541" s="155"/>
    </row>
    <row r="2542" spans="1:76" ht="15.75" customHeight="1">
      <c r="A2542" s="25"/>
      <c r="B2542" s="39"/>
      <c r="C2542" s="155"/>
      <c r="D2542" s="155"/>
      <c r="E2542" s="40"/>
      <c r="F2542" s="314"/>
      <c r="H2542" s="315"/>
      <c r="I2542" s="315"/>
      <c r="BA2542" s="30"/>
      <c r="BB2542" s="155"/>
      <c r="BC2542" s="314"/>
      <c r="BD2542" s="314"/>
      <c r="BE2542" s="314"/>
      <c r="BF2542" s="314"/>
      <c r="BG2542" s="314"/>
      <c r="BH2542" s="314"/>
      <c r="BI2542" s="314"/>
      <c r="BJ2542" s="314"/>
      <c r="BK2542" s="40"/>
      <c r="BL2542" s="40"/>
      <c r="BM2542" s="40"/>
      <c r="BN2542" s="40"/>
      <c r="BO2542" s="40"/>
      <c r="BP2542" s="155"/>
      <c r="BQ2542" s="314"/>
      <c r="BR2542" s="314"/>
      <c r="BS2542" s="314"/>
      <c r="BT2542" s="314"/>
      <c r="BU2542" s="314"/>
      <c r="BV2542" s="314"/>
      <c r="BW2542" s="314"/>
      <c r="BX2542" s="155"/>
    </row>
    <row r="2543" spans="1:76" ht="15.75" customHeight="1">
      <c r="A2543" s="25"/>
      <c r="B2543" s="39"/>
      <c r="C2543" s="155"/>
      <c r="D2543" s="155"/>
      <c r="E2543" s="40"/>
      <c r="F2543" s="314"/>
      <c r="H2543" s="315"/>
      <c r="I2543" s="315"/>
      <c r="BA2543" s="30"/>
      <c r="BB2543" s="155"/>
      <c r="BC2543" s="314"/>
      <c r="BD2543" s="314"/>
      <c r="BE2543" s="314"/>
      <c r="BF2543" s="314"/>
      <c r="BG2543" s="314"/>
      <c r="BH2543" s="314"/>
      <c r="BI2543" s="314"/>
      <c r="BJ2543" s="314"/>
      <c r="BK2543" s="40"/>
      <c r="BL2543" s="40"/>
      <c r="BM2543" s="40"/>
      <c r="BN2543" s="40"/>
      <c r="BO2543" s="40"/>
      <c r="BP2543" s="155"/>
      <c r="BQ2543" s="314"/>
      <c r="BR2543" s="314"/>
      <c r="BS2543" s="314"/>
      <c r="BT2543" s="314"/>
      <c r="BU2543" s="314"/>
      <c r="BV2543" s="314"/>
      <c r="BW2543" s="314"/>
      <c r="BX2543" s="155"/>
    </row>
    <row r="2544" spans="1:76" ht="15.75" customHeight="1">
      <c r="A2544" s="25"/>
      <c r="B2544" s="39"/>
      <c r="C2544" s="155"/>
      <c r="D2544" s="155"/>
      <c r="E2544" s="40"/>
      <c r="F2544" s="314"/>
      <c r="H2544" s="315"/>
      <c r="I2544" s="315"/>
      <c r="BA2544" s="30"/>
      <c r="BB2544" s="155"/>
      <c r="BC2544" s="322"/>
      <c r="BD2544" s="322"/>
      <c r="BE2544" s="322"/>
      <c r="BF2544" s="322"/>
      <c r="BG2544" s="322"/>
      <c r="BH2544" s="322"/>
      <c r="BI2544" s="322"/>
      <c r="BJ2544" s="322"/>
      <c r="BK2544" s="341"/>
      <c r="BL2544" s="40"/>
      <c r="BM2544" s="40"/>
      <c r="BN2544" s="40"/>
      <c r="BO2544" s="40"/>
      <c r="BP2544" s="155"/>
      <c r="BQ2544" s="314"/>
      <c r="BR2544" s="314"/>
      <c r="BS2544" s="314"/>
      <c r="BT2544" s="314"/>
      <c r="BU2544" s="314"/>
      <c r="BV2544" s="314"/>
      <c r="BW2544" s="314"/>
      <c r="BX2544" s="155"/>
    </row>
    <row r="2545" spans="1:76" ht="15.75" customHeight="1">
      <c r="A2545" s="25"/>
      <c r="B2545" s="39"/>
      <c r="C2545" s="155"/>
      <c r="D2545" s="155"/>
      <c r="E2545" s="40"/>
      <c r="F2545" s="314"/>
      <c r="H2545" s="315"/>
      <c r="I2545" s="315"/>
      <c r="BA2545" s="30"/>
      <c r="BB2545" s="155"/>
      <c r="BC2545" s="314"/>
      <c r="BD2545" s="314"/>
      <c r="BE2545" s="314"/>
      <c r="BF2545" s="314"/>
      <c r="BG2545" s="314"/>
      <c r="BH2545" s="314"/>
      <c r="BI2545" s="314"/>
      <c r="BJ2545" s="314"/>
      <c r="BK2545" s="40"/>
      <c r="BL2545" s="40"/>
      <c r="BM2545" s="40"/>
      <c r="BN2545" s="40"/>
      <c r="BO2545" s="40"/>
      <c r="BP2545" s="155"/>
      <c r="BQ2545" s="314"/>
      <c r="BR2545" s="314"/>
      <c r="BS2545" s="314"/>
      <c r="BT2545" s="314"/>
      <c r="BU2545" s="314"/>
      <c r="BV2545" s="314"/>
      <c r="BW2545" s="314"/>
      <c r="BX2545" s="155"/>
    </row>
    <row r="2546" spans="1:76" ht="15.75" customHeight="1">
      <c r="A2546" s="25"/>
      <c r="B2546" s="39"/>
      <c r="C2546" s="155"/>
      <c r="D2546" s="155"/>
      <c r="E2546" s="40"/>
      <c r="F2546" s="314"/>
      <c r="H2546" s="315"/>
      <c r="I2546" s="315"/>
      <c r="BA2546" s="30"/>
      <c r="BB2546" s="155"/>
      <c r="BC2546" s="314"/>
      <c r="BD2546" s="314"/>
      <c r="BE2546" s="314"/>
      <c r="BF2546" s="314"/>
      <c r="BG2546" s="314"/>
      <c r="BH2546" s="314"/>
      <c r="BI2546" s="314"/>
      <c r="BJ2546" s="314"/>
      <c r="BK2546" s="40"/>
      <c r="BL2546" s="40"/>
      <c r="BM2546" s="40"/>
      <c r="BN2546" s="40"/>
      <c r="BO2546" s="40"/>
      <c r="BP2546" s="155"/>
      <c r="BQ2546" s="314"/>
      <c r="BR2546" s="314"/>
      <c r="BS2546" s="314"/>
      <c r="BT2546" s="314"/>
      <c r="BU2546" s="314"/>
      <c r="BV2546" s="314"/>
      <c r="BW2546" s="314"/>
      <c r="BX2546" s="155"/>
    </row>
    <row r="2547" spans="1:76" ht="15.75" customHeight="1">
      <c r="A2547" s="25"/>
      <c r="B2547" s="39"/>
      <c r="C2547" s="155"/>
      <c r="D2547" s="155"/>
      <c r="E2547" s="40"/>
      <c r="F2547" s="314"/>
      <c r="H2547" s="315"/>
      <c r="I2547" s="315"/>
      <c r="BA2547" s="30"/>
      <c r="BB2547" s="155"/>
      <c r="BC2547" s="314"/>
      <c r="BD2547" s="314"/>
      <c r="BE2547" s="314"/>
      <c r="BF2547" s="314"/>
      <c r="BG2547" s="314"/>
      <c r="BH2547" s="314"/>
      <c r="BI2547" s="314"/>
      <c r="BJ2547" s="314"/>
      <c r="BK2547" s="40"/>
      <c r="BL2547" s="40"/>
      <c r="BM2547" s="40"/>
      <c r="BN2547" s="40"/>
      <c r="BO2547" s="40"/>
      <c r="BP2547" s="155"/>
      <c r="BQ2547" s="314"/>
      <c r="BR2547" s="314"/>
      <c r="BS2547" s="314"/>
      <c r="BT2547" s="314"/>
      <c r="BU2547" s="314"/>
      <c r="BV2547" s="314"/>
      <c r="BW2547" s="314"/>
      <c r="BX2547" s="155"/>
    </row>
    <row r="2548" spans="1:76" ht="15.75" customHeight="1">
      <c r="A2548" s="25"/>
      <c r="B2548" s="39"/>
      <c r="C2548" s="155"/>
      <c r="D2548" s="155"/>
      <c r="E2548" s="40"/>
      <c r="F2548" s="314"/>
      <c r="H2548" s="315"/>
      <c r="I2548" s="315"/>
      <c r="BA2548" s="30"/>
      <c r="BB2548" s="155"/>
      <c r="BC2548" s="314"/>
      <c r="BD2548" s="314"/>
      <c r="BE2548" s="314"/>
      <c r="BF2548" s="314"/>
      <c r="BG2548" s="314"/>
      <c r="BH2548" s="314"/>
      <c r="BI2548" s="314"/>
      <c r="BJ2548" s="314"/>
      <c r="BK2548" s="40"/>
      <c r="BL2548" s="40"/>
      <c r="BM2548" s="40"/>
      <c r="BN2548" s="40"/>
      <c r="BO2548" s="40"/>
      <c r="BP2548" s="155"/>
      <c r="BQ2548" s="314"/>
      <c r="BR2548" s="314"/>
      <c r="BS2548" s="314"/>
      <c r="BT2548" s="314"/>
      <c r="BU2548" s="314"/>
      <c r="BV2548" s="314"/>
      <c r="BW2548" s="314"/>
      <c r="BX2548" s="155"/>
    </row>
    <row r="2549" spans="1:76" ht="15.75" customHeight="1">
      <c r="A2549" s="25"/>
      <c r="B2549" s="39"/>
      <c r="C2549" s="155"/>
      <c r="D2549" s="155"/>
      <c r="E2549" s="40"/>
      <c r="F2549" s="314"/>
      <c r="H2549" s="315"/>
      <c r="I2549" s="315"/>
      <c r="BA2549" s="30"/>
      <c r="BB2549" s="155"/>
      <c r="BC2549" s="314"/>
      <c r="BD2549" s="314"/>
      <c r="BE2549" s="314"/>
      <c r="BF2549" s="314"/>
      <c r="BG2549" s="314"/>
      <c r="BH2549" s="314"/>
      <c r="BI2549" s="314"/>
      <c r="BJ2549" s="314"/>
      <c r="BK2549" s="40"/>
      <c r="BL2549" s="40"/>
      <c r="BM2549" s="40"/>
      <c r="BN2549" s="40"/>
      <c r="BO2549" s="40"/>
      <c r="BP2549" s="155"/>
      <c r="BQ2549" s="314"/>
      <c r="BR2549" s="314"/>
      <c r="BS2549" s="314"/>
      <c r="BT2549" s="314"/>
      <c r="BU2549" s="314"/>
      <c r="BV2549" s="314"/>
      <c r="BW2549" s="314"/>
      <c r="BX2549" s="155"/>
    </row>
    <row r="2550" spans="1:76" ht="15.75" customHeight="1">
      <c r="A2550" s="25"/>
      <c r="B2550" s="39"/>
      <c r="C2550" s="155"/>
      <c r="D2550" s="155"/>
      <c r="E2550" s="40"/>
      <c r="F2550" s="314"/>
      <c r="H2550" s="315"/>
      <c r="I2550" s="315"/>
      <c r="BA2550" s="30"/>
      <c r="BB2550" s="155"/>
      <c r="BC2550" s="314"/>
      <c r="BD2550" s="314"/>
      <c r="BE2550" s="314"/>
      <c r="BF2550" s="314"/>
      <c r="BG2550" s="314"/>
      <c r="BH2550" s="314"/>
      <c r="BI2550" s="314"/>
      <c r="BJ2550" s="314"/>
      <c r="BK2550" s="40"/>
      <c r="BL2550" s="40"/>
      <c r="BM2550" s="40"/>
      <c r="BN2550" s="40"/>
      <c r="BO2550" s="40"/>
      <c r="BP2550" s="155"/>
      <c r="BQ2550" s="314"/>
      <c r="BR2550" s="314"/>
      <c r="BS2550" s="314"/>
      <c r="BT2550" s="314"/>
      <c r="BU2550" s="314"/>
      <c r="BV2550" s="314"/>
      <c r="BW2550" s="314"/>
      <c r="BX2550" s="155"/>
    </row>
    <row r="2551" spans="1:76" ht="15.75" customHeight="1">
      <c r="A2551" s="25"/>
      <c r="B2551" s="39"/>
      <c r="C2551" s="155"/>
      <c r="D2551" s="155"/>
      <c r="E2551" s="40"/>
      <c r="F2551" s="314"/>
      <c r="H2551" s="315"/>
      <c r="I2551" s="315"/>
      <c r="BA2551" s="30"/>
      <c r="BB2551" s="155"/>
      <c r="BC2551" s="314"/>
      <c r="BD2551" s="314"/>
      <c r="BE2551" s="314"/>
      <c r="BF2551" s="314"/>
      <c r="BG2551" s="314"/>
      <c r="BH2551" s="314"/>
      <c r="BI2551" s="314"/>
      <c r="BJ2551" s="314"/>
      <c r="BK2551" s="40"/>
      <c r="BL2551" s="40"/>
      <c r="BM2551" s="40"/>
      <c r="BN2551" s="40"/>
      <c r="BO2551" s="40"/>
      <c r="BP2551" s="155"/>
      <c r="BQ2551" s="314"/>
      <c r="BR2551" s="314"/>
      <c r="BS2551" s="314"/>
      <c r="BT2551" s="314"/>
      <c r="BU2551" s="314"/>
      <c r="BV2551" s="314"/>
      <c r="BW2551" s="314"/>
      <c r="BX2551" s="155"/>
    </row>
    <row r="2552" spans="1:76" ht="15.75" customHeight="1">
      <c r="A2552" s="25"/>
      <c r="B2552" s="39"/>
      <c r="C2552" s="155"/>
      <c r="D2552" s="155"/>
      <c r="E2552" s="40"/>
      <c r="F2552" s="314"/>
      <c r="H2552" s="315"/>
      <c r="I2552" s="315"/>
      <c r="BA2552" s="30"/>
      <c r="BB2552" s="155"/>
      <c r="BC2552" s="314"/>
      <c r="BD2552" s="314"/>
      <c r="BE2552" s="314"/>
      <c r="BF2552" s="314"/>
      <c r="BG2552" s="314"/>
      <c r="BH2552" s="314"/>
      <c r="BI2552" s="314"/>
      <c r="BJ2552" s="314"/>
      <c r="BK2552" s="40"/>
      <c r="BL2552" s="40"/>
      <c r="BM2552" s="40"/>
      <c r="BN2552" s="40"/>
      <c r="BO2552" s="40"/>
      <c r="BP2552" s="155"/>
      <c r="BQ2552" s="314"/>
      <c r="BR2552" s="314"/>
      <c r="BS2552" s="314"/>
      <c r="BT2552" s="314"/>
      <c r="BU2552" s="314"/>
      <c r="BV2552" s="314"/>
      <c r="BW2552" s="314"/>
      <c r="BX2552" s="155"/>
    </row>
    <row r="2553" spans="1:76" ht="15.75" customHeight="1">
      <c r="A2553" s="25"/>
      <c r="B2553" s="39"/>
      <c r="C2553" s="155"/>
      <c r="D2553" s="155"/>
      <c r="E2553" s="40"/>
      <c r="F2553" s="314"/>
      <c r="H2553" s="315"/>
      <c r="I2553" s="315"/>
      <c r="BA2553" s="30"/>
      <c r="BB2553" s="155"/>
      <c r="BC2553" s="314"/>
      <c r="BD2553" s="314"/>
      <c r="BE2553" s="314"/>
      <c r="BF2553" s="314"/>
      <c r="BG2553" s="314"/>
      <c r="BH2553" s="314"/>
      <c r="BI2553" s="314"/>
      <c r="BJ2553" s="314"/>
      <c r="BK2553" s="40"/>
      <c r="BL2553" s="40"/>
      <c r="BM2553" s="40"/>
      <c r="BN2553" s="40"/>
      <c r="BO2553" s="40"/>
      <c r="BP2553" s="155"/>
      <c r="BQ2553" s="314"/>
      <c r="BR2553" s="314"/>
      <c r="BS2553" s="314"/>
      <c r="BT2553" s="314"/>
      <c r="BU2553" s="314"/>
      <c r="BV2553" s="314"/>
      <c r="BW2553" s="314"/>
      <c r="BX2553" s="155"/>
    </row>
    <row r="2554" spans="1:76" ht="15.75" customHeight="1">
      <c r="A2554" s="25"/>
      <c r="B2554" s="39"/>
      <c r="C2554" s="155"/>
      <c r="D2554" s="155"/>
      <c r="E2554" s="40"/>
      <c r="F2554" s="314"/>
      <c r="H2554" s="315"/>
      <c r="I2554" s="315"/>
      <c r="BA2554" s="30"/>
      <c r="BB2554" s="155"/>
      <c r="BC2554" s="314"/>
      <c r="BD2554" s="314"/>
      <c r="BE2554" s="314"/>
      <c r="BF2554" s="314"/>
      <c r="BG2554" s="314"/>
      <c r="BH2554" s="314"/>
      <c r="BI2554" s="314"/>
      <c r="BJ2554" s="314"/>
      <c r="BK2554" s="40"/>
      <c r="BL2554" s="40"/>
      <c r="BM2554" s="40"/>
      <c r="BN2554" s="40"/>
      <c r="BO2554" s="40"/>
      <c r="BP2554" s="155"/>
      <c r="BQ2554" s="314"/>
      <c r="BR2554" s="314"/>
      <c r="BS2554" s="314"/>
      <c r="BT2554" s="314"/>
      <c r="BU2554" s="314"/>
      <c r="BV2554" s="314"/>
      <c r="BW2554" s="314"/>
      <c r="BX2554" s="155"/>
    </row>
    <row r="2555" spans="1:76" ht="15.75" customHeight="1">
      <c r="A2555" s="25"/>
      <c r="B2555" s="39"/>
      <c r="C2555" s="155"/>
      <c r="D2555" s="155"/>
      <c r="E2555" s="40"/>
      <c r="F2555" s="314"/>
      <c r="H2555" s="315"/>
      <c r="I2555" s="315"/>
      <c r="BA2555" s="30"/>
      <c r="BB2555" s="155"/>
      <c r="BC2555" s="314"/>
      <c r="BD2555" s="314"/>
      <c r="BE2555" s="314"/>
      <c r="BF2555" s="314"/>
      <c r="BG2555" s="314"/>
      <c r="BH2555" s="314"/>
      <c r="BI2555" s="314"/>
      <c r="BJ2555" s="314"/>
      <c r="BK2555" s="40"/>
      <c r="BL2555" s="40"/>
      <c r="BM2555" s="40"/>
      <c r="BN2555" s="40"/>
      <c r="BO2555" s="40"/>
      <c r="BP2555" s="155"/>
      <c r="BQ2555" s="314"/>
      <c r="BR2555" s="314"/>
      <c r="BS2555" s="314"/>
      <c r="BT2555" s="314"/>
      <c r="BU2555" s="314"/>
      <c r="BV2555" s="314"/>
      <c r="BW2555" s="314"/>
      <c r="BX2555" s="155"/>
    </row>
    <row r="2556" spans="1:76" ht="15.75" customHeight="1">
      <c r="A2556" s="25"/>
      <c r="B2556" s="39"/>
      <c r="C2556" s="155"/>
      <c r="D2556" s="155"/>
      <c r="E2556" s="40"/>
      <c r="F2556" s="314"/>
      <c r="H2556" s="315"/>
      <c r="I2556" s="315"/>
      <c r="BA2556" s="30"/>
      <c r="BB2556" s="155"/>
      <c r="BC2556" s="314"/>
      <c r="BD2556" s="314"/>
      <c r="BE2556" s="314"/>
      <c r="BF2556" s="314"/>
      <c r="BG2556" s="314"/>
      <c r="BH2556" s="314"/>
      <c r="BI2556" s="314"/>
      <c r="BJ2556" s="314"/>
      <c r="BK2556" s="40"/>
      <c r="BL2556" s="40"/>
      <c r="BM2556" s="40"/>
      <c r="BN2556" s="40"/>
      <c r="BO2556" s="40"/>
      <c r="BP2556" s="155"/>
      <c r="BQ2556" s="314"/>
      <c r="BR2556" s="314"/>
      <c r="BS2556" s="314"/>
      <c r="BT2556" s="314"/>
      <c r="BU2556" s="314"/>
      <c r="BV2556" s="314"/>
      <c r="BW2556" s="314"/>
      <c r="BX2556" s="155"/>
    </row>
    <row r="2557" spans="1:76" ht="15.75" customHeight="1">
      <c r="A2557" s="25"/>
      <c r="B2557" s="39"/>
      <c r="C2557" s="155"/>
      <c r="D2557" s="155"/>
      <c r="E2557" s="40"/>
      <c r="F2557" s="314"/>
      <c r="H2557" s="315"/>
      <c r="I2557" s="315"/>
      <c r="BA2557" s="30"/>
      <c r="BB2557" s="155"/>
      <c r="BC2557" s="314"/>
      <c r="BD2557" s="314"/>
      <c r="BE2557" s="314"/>
      <c r="BF2557" s="314"/>
      <c r="BG2557" s="314"/>
      <c r="BH2557" s="314"/>
      <c r="BI2557" s="314"/>
      <c r="BJ2557" s="314"/>
      <c r="BK2557" s="40"/>
      <c r="BL2557" s="40"/>
      <c r="BM2557" s="40"/>
      <c r="BN2557" s="40"/>
      <c r="BO2557" s="40"/>
      <c r="BP2557" s="155"/>
      <c r="BQ2557" s="314"/>
      <c r="BR2557" s="314"/>
      <c r="BS2557" s="314"/>
      <c r="BT2557" s="314"/>
      <c r="BU2557" s="314"/>
      <c r="BV2557" s="314"/>
      <c r="BW2557" s="314"/>
      <c r="BX2557" s="155"/>
    </row>
    <row r="2558" spans="1:76" ht="15.75" customHeight="1">
      <c r="A2558" s="25"/>
      <c r="B2558" s="39"/>
      <c r="C2558" s="155"/>
      <c r="D2558" s="155"/>
      <c r="E2558" s="40"/>
      <c r="F2558" s="314"/>
      <c r="H2558" s="315"/>
      <c r="I2558" s="315"/>
      <c r="BA2558" s="30"/>
      <c r="BB2558" s="155"/>
      <c r="BC2558" s="314"/>
      <c r="BD2558" s="314"/>
      <c r="BE2558" s="314"/>
      <c r="BF2558" s="314"/>
      <c r="BG2558" s="314"/>
      <c r="BH2558" s="314"/>
      <c r="BI2558" s="314"/>
      <c r="BJ2558" s="314"/>
      <c r="BK2558" s="40"/>
      <c r="BL2558" s="40"/>
      <c r="BM2558" s="40"/>
      <c r="BN2558" s="40"/>
      <c r="BO2558" s="40"/>
      <c r="BP2558" s="155"/>
      <c r="BQ2558" s="314"/>
      <c r="BR2558" s="314"/>
      <c r="BS2558" s="314"/>
      <c r="BT2558" s="314"/>
      <c r="BU2558" s="314"/>
      <c r="BV2558" s="314"/>
      <c r="BW2558" s="314"/>
      <c r="BX2558" s="155"/>
    </row>
    <row r="2559" spans="1:76" ht="15.75" customHeight="1">
      <c r="A2559" s="25"/>
      <c r="B2559" s="39"/>
      <c r="C2559" s="155"/>
      <c r="D2559" s="155"/>
      <c r="E2559" s="40"/>
      <c r="F2559" s="314"/>
      <c r="H2559" s="315"/>
      <c r="I2559" s="315"/>
      <c r="BA2559" s="30"/>
      <c r="BB2559" s="155"/>
      <c r="BC2559" s="314"/>
      <c r="BD2559" s="314"/>
      <c r="BE2559" s="314"/>
      <c r="BF2559" s="314"/>
      <c r="BG2559" s="314"/>
      <c r="BH2559" s="314"/>
      <c r="BI2559" s="314"/>
      <c r="BJ2559" s="314"/>
      <c r="BK2559" s="40"/>
      <c r="BL2559" s="40"/>
      <c r="BM2559" s="40"/>
      <c r="BN2559" s="40"/>
      <c r="BO2559" s="40"/>
      <c r="BP2559" s="155"/>
      <c r="BQ2559" s="314"/>
      <c r="BR2559" s="314"/>
      <c r="BS2559" s="314"/>
      <c r="BT2559" s="314"/>
      <c r="BU2559" s="314"/>
      <c r="BV2559" s="314"/>
      <c r="BW2559" s="314"/>
      <c r="BX2559" s="155"/>
    </row>
    <row r="2560" spans="1:76" ht="15.75" customHeight="1">
      <c r="A2560" s="25"/>
      <c r="B2560" s="39"/>
      <c r="C2560" s="155"/>
      <c r="D2560" s="155"/>
      <c r="E2560" s="40"/>
      <c r="F2560" s="314"/>
      <c r="H2560" s="315"/>
      <c r="I2560" s="315"/>
      <c r="BA2560" s="30"/>
      <c r="BB2560" s="155"/>
      <c r="BC2560" s="314"/>
      <c r="BD2560" s="314"/>
      <c r="BE2560" s="314"/>
      <c r="BF2560" s="314"/>
      <c r="BG2560" s="314"/>
      <c r="BH2560" s="314"/>
      <c r="BI2560" s="314"/>
      <c r="BJ2560" s="314"/>
      <c r="BK2560" s="40"/>
      <c r="BL2560" s="40"/>
      <c r="BM2560" s="40"/>
      <c r="BN2560" s="40"/>
      <c r="BO2560" s="40"/>
      <c r="BP2560" s="155"/>
      <c r="BQ2560" s="314"/>
      <c r="BR2560" s="314"/>
      <c r="BS2560" s="314"/>
      <c r="BT2560" s="314"/>
      <c r="BU2560" s="314"/>
      <c r="BV2560" s="314"/>
      <c r="BW2560" s="314"/>
      <c r="BX2560" s="155"/>
    </row>
    <row r="2561" spans="1:76" ht="15.75" customHeight="1">
      <c r="A2561" s="25"/>
      <c r="B2561" s="39"/>
      <c r="C2561" s="155"/>
      <c r="D2561" s="155"/>
      <c r="E2561" s="40"/>
      <c r="F2561" s="314"/>
      <c r="H2561" s="315"/>
      <c r="I2561" s="315"/>
      <c r="BA2561" s="30"/>
      <c r="BB2561" s="155"/>
      <c r="BC2561" s="314"/>
      <c r="BD2561" s="314"/>
      <c r="BE2561" s="314"/>
      <c r="BF2561" s="314"/>
      <c r="BG2561" s="314"/>
      <c r="BH2561" s="314"/>
      <c r="BI2561" s="314"/>
      <c r="BJ2561" s="314"/>
      <c r="BK2561" s="40"/>
      <c r="BL2561" s="40"/>
      <c r="BM2561" s="40"/>
      <c r="BN2561" s="40"/>
      <c r="BO2561" s="40"/>
      <c r="BP2561" s="155"/>
      <c r="BQ2561" s="314"/>
      <c r="BR2561" s="314"/>
      <c r="BS2561" s="314"/>
      <c r="BT2561" s="314"/>
      <c r="BU2561" s="314"/>
      <c r="BV2561" s="314"/>
      <c r="BW2561" s="314"/>
      <c r="BX2561" s="155"/>
    </row>
    <row r="2562" spans="1:76" ht="15.75" customHeight="1">
      <c r="A2562" s="25"/>
      <c r="B2562" s="39"/>
      <c r="C2562" s="155"/>
      <c r="D2562" s="155"/>
      <c r="E2562" s="40"/>
      <c r="F2562" s="314"/>
      <c r="H2562" s="315"/>
      <c r="I2562" s="315"/>
      <c r="BA2562" s="30"/>
      <c r="BB2562" s="155"/>
      <c r="BC2562" s="314"/>
      <c r="BD2562" s="314"/>
      <c r="BE2562" s="314"/>
      <c r="BF2562" s="314"/>
      <c r="BG2562" s="314"/>
      <c r="BH2562" s="314"/>
      <c r="BI2562" s="314"/>
      <c r="BJ2562" s="314"/>
      <c r="BK2562" s="40"/>
      <c r="BL2562" s="40"/>
      <c r="BM2562" s="40"/>
      <c r="BN2562" s="40"/>
      <c r="BO2562" s="40"/>
      <c r="BP2562" s="155"/>
      <c r="BQ2562" s="314"/>
      <c r="BR2562" s="314"/>
      <c r="BS2562" s="314"/>
      <c r="BT2562" s="314"/>
      <c r="BU2562" s="314"/>
      <c r="BV2562" s="314"/>
      <c r="BW2562" s="314"/>
      <c r="BX2562" s="155"/>
    </row>
    <row r="2563" spans="1:76" ht="15.75" customHeight="1">
      <c r="A2563" s="25"/>
      <c r="B2563" s="39"/>
      <c r="C2563" s="155"/>
      <c r="D2563" s="155"/>
      <c r="E2563" s="40"/>
      <c r="F2563" s="314"/>
      <c r="H2563" s="315"/>
      <c r="I2563" s="315"/>
      <c r="BA2563" s="30"/>
      <c r="BB2563" s="155"/>
      <c r="BC2563" s="314"/>
      <c r="BD2563" s="314"/>
      <c r="BE2563" s="314"/>
      <c r="BF2563" s="314"/>
      <c r="BG2563" s="314"/>
      <c r="BH2563" s="314"/>
      <c r="BI2563" s="314"/>
      <c r="BJ2563" s="314"/>
      <c r="BK2563" s="40"/>
      <c r="BL2563" s="40"/>
      <c r="BM2563" s="40"/>
      <c r="BN2563" s="40"/>
      <c r="BO2563" s="40"/>
      <c r="BP2563" s="155"/>
      <c r="BQ2563" s="314"/>
      <c r="BR2563" s="314"/>
      <c r="BS2563" s="314"/>
      <c r="BT2563" s="314"/>
      <c r="BU2563" s="314"/>
      <c r="BV2563" s="314"/>
      <c r="BW2563" s="314"/>
      <c r="BX2563" s="155"/>
    </row>
    <row r="2564" spans="1:76" ht="15.75" customHeight="1">
      <c r="A2564" s="25"/>
      <c r="B2564" s="39"/>
      <c r="C2564" s="155"/>
      <c r="D2564" s="155"/>
      <c r="E2564" s="40"/>
      <c r="F2564" s="314"/>
      <c r="H2564" s="315"/>
      <c r="I2564" s="315"/>
      <c r="BA2564" s="30"/>
      <c r="BB2564" s="155"/>
      <c r="BC2564" s="314"/>
      <c r="BD2564" s="314"/>
      <c r="BE2564" s="314"/>
      <c r="BF2564" s="314"/>
      <c r="BG2564" s="314"/>
      <c r="BH2564" s="314"/>
      <c r="BI2564" s="314"/>
      <c r="BJ2564" s="314"/>
      <c r="BK2564" s="40"/>
      <c r="BL2564" s="40"/>
      <c r="BM2564" s="40"/>
      <c r="BN2564" s="40"/>
      <c r="BO2564" s="40"/>
      <c r="BP2564" s="155"/>
      <c r="BQ2564" s="314"/>
      <c r="BR2564" s="314"/>
      <c r="BS2564" s="314"/>
      <c r="BT2564" s="314"/>
      <c r="BU2564" s="314"/>
      <c r="BV2564" s="314"/>
      <c r="BW2564" s="314"/>
      <c r="BX2564" s="155"/>
    </row>
    <row r="2565" spans="1:76" ht="15.75" customHeight="1">
      <c r="A2565" s="25"/>
      <c r="B2565" s="39"/>
      <c r="C2565" s="155"/>
      <c r="D2565" s="155"/>
      <c r="E2565" s="40"/>
      <c r="F2565" s="314"/>
      <c r="H2565" s="315"/>
      <c r="I2565" s="315"/>
      <c r="BA2565" s="30"/>
      <c r="BB2565" s="155"/>
      <c r="BC2565" s="314"/>
      <c r="BD2565" s="314"/>
      <c r="BE2565" s="314"/>
      <c r="BF2565" s="314"/>
      <c r="BG2565" s="314"/>
      <c r="BH2565" s="314"/>
      <c r="BI2565" s="314"/>
      <c r="BJ2565" s="314"/>
      <c r="BK2565" s="40"/>
      <c r="BL2565" s="40"/>
      <c r="BM2565" s="40"/>
      <c r="BN2565" s="40"/>
      <c r="BO2565" s="40"/>
      <c r="BP2565" s="155"/>
      <c r="BQ2565" s="314"/>
      <c r="BR2565" s="314"/>
      <c r="BS2565" s="314"/>
      <c r="BT2565" s="314"/>
      <c r="BU2565" s="314"/>
      <c r="BV2565" s="314"/>
      <c r="BW2565" s="314"/>
      <c r="BX2565" s="155"/>
    </row>
    <row r="2566" spans="1:76" ht="15.75" customHeight="1">
      <c r="A2566" s="25"/>
      <c r="B2566" s="39"/>
      <c r="C2566" s="155"/>
      <c r="D2566" s="155"/>
      <c r="E2566" s="40"/>
      <c r="F2566" s="314"/>
      <c r="H2566" s="315"/>
      <c r="I2566" s="315"/>
      <c r="BA2566" s="30"/>
      <c r="BB2566" s="155"/>
      <c r="BC2566" s="314"/>
      <c r="BD2566" s="314"/>
      <c r="BE2566" s="314"/>
      <c r="BF2566" s="314"/>
      <c r="BG2566" s="314"/>
      <c r="BH2566" s="314"/>
      <c r="BI2566" s="314"/>
      <c r="BJ2566" s="314"/>
      <c r="BK2566" s="40"/>
      <c r="BL2566" s="40"/>
      <c r="BM2566" s="40"/>
      <c r="BN2566" s="40"/>
      <c r="BO2566" s="40"/>
      <c r="BP2566" s="155"/>
      <c r="BQ2566" s="314"/>
      <c r="BR2566" s="314"/>
      <c r="BS2566" s="314"/>
      <c r="BT2566" s="314"/>
      <c r="BU2566" s="314"/>
      <c r="BV2566" s="314"/>
      <c r="BW2566" s="314"/>
      <c r="BX2566" s="155"/>
    </row>
    <row r="2567" spans="1:76" ht="15.75" customHeight="1">
      <c r="A2567" s="25"/>
      <c r="B2567" s="39"/>
      <c r="C2567" s="155"/>
      <c r="D2567" s="155"/>
      <c r="E2567" s="40"/>
      <c r="F2567" s="314"/>
      <c r="H2567" s="315"/>
      <c r="I2567" s="315"/>
      <c r="BA2567" s="30"/>
      <c r="BB2567" s="155"/>
      <c r="BC2567" s="314"/>
      <c r="BD2567" s="314"/>
      <c r="BE2567" s="314"/>
      <c r="BF2567" s="314"/>
      <c r="BG2567" s="314"/>
      <c r="BH2567" s="314"/>
      <c r="BI2567" s="314"/>
      <c r="BJ2567" s="314"/>
      <c r="BK2567" s="40"/>
      <c r="BL2567" s="40"/>
      <c r="BM2567" s="40"/>
      <c r="BN2567" s="40"/>
      <c r="BO2567" s="40"/>
      <c r="BP2567" s="155"/>
      <c r="BQ2567" s="314"/>
      <c r="BR2567" s="314"/>
      <c r="BS2567" s="314"/>
      <c r="BT2567" s="314"/>
      <c r="BU2567" s="314"/>
      <c r="BV2567" s="314"/>
      <c r="BW2567" s="314"/>
      <c r="BX2567" s="155"/>
    </row>
    <row r="2568" spans="1:76" ht="15.75" customHeight="1">
      <c r="A2568" s="25"/>
      <c r="B2568" s="39"/>
      <c r="C2568" s="155"/>
      <c r="D2568" s="155"/>
      <c r="E2568" s="40"/>
      <c r="F2568" s="314"/>
      <c r="H2568" s="315"/>
      <c r="I2568" s="315"/>
      <c r="BA2568" s="30"/>
      <c r="BB2568" s="155"/>
      <c r="BC2568" s="314"/>
      <c r="BD2568" s="314"/>
      <c r="BE2568" s="314"/>
      <c r="BF2568" s="314"/>
      <c r="BG2568" s="314"/>
      <c r="BH2568" s="314"/>
      <c r="BI2568" s="314"/>
      <c r="BJ2568" s="314"/>
      <c r="BK2568" s="40"/>
      <c r="BL2568" s="40"/>
      <c r="BM2568" s="40"/>
      <c r="BN2568" s="40"/>
      <c r="BO2568" s="40"/>
      <c r="BP2568" s="155"/>
      <c r="BQ2568" s="314"/>
      <c r="BR2568" s="314"/>
      <c r="BS2568" s="314"/>
      <c r="BT2568" s="314"/>
      <c r="BU2568" s="314"/>
      <c r="BV2568" s="314"/>
      <c r="BW2568" s="314"/>
      <c r="BX2568" s="155"/>
    </row>
    <row r="2569" spans="1:76" ht="15.75" customHeight="1">
      <c r="A2569" s="25"/>
      <c r="B2569" s="39"/>
      <c r="C2569" s="155"/>
      <c r="D2569" s="155"/>
      <c r="E2569" s="40"/>
      <c r="F2569" s="314"/>
      <c r="H2569" s="315"/>
      <c r="I2569" s="315"/>
      <c r="BA2569" s="30"/>
      <c r="BB2569" s="155"/>
      <c r="BC2569" s="314"/>
      <c r="BD2569" s="314"/>
      <c r="BE2569" s="314"/>
      <c r="BF2569" s="314"/>
      <c r="BG2569" s="314"/>
      <c r="BH2569" s="314"/>
      <c r="BI2569" s="314"/>
      <c r="BJ2569" s="314"/>
      <c r="BK2569" s="40"/>
      <c r="BL2569" s="40"/>
      <c r="BM2569" s="40"/>
      <c r="BN2569" s="40"/>
      <c r="BO2569" s="40"/>
      <c r="BP2569" s="155"/>
      <c r="BQ2569" s="314"/>
      <c r="BR2569" s="314"/>
      <c r="BS2569" s="314"/>
      <c r="BT2569" s="314"/>
      <c r="BU2569" s="314"/>
      <c r="BV2569" s="314"/>
      <c r="BW2569" s="314"/>
      <c r="BX2569" s="155"/>
    </row>
    <row r="2570" spans="1:76" ht="15.75" customHeight="1">
      <c r="A2570" s="25"/>
      <c r="B2570" s="39"/>
      <c r="C2570" s="155"/>
      <c r="D2570" s="155"/>
      <c r="E2570" s="40"/>
      <c r="F2570" s="314"/>
      <c r="H2570" s="315"/>
      <c r="I2570" s="315"/>
      <c r="BA2570" s="30"/>
      <c r="BB2570" s="155"/>
      <c r="BC2570" s="314"/>
      <c r="BD2570" s="314"/>
      <c r="BE2570" s="314"/>
      <c r="BF2570" s="314"/>
      <c r="BG2570" s="314"/>
      <c r="BH2570" s="314"/>
      <c r="BI2570" s="314"/>
      <c r="BJ2570" s="314"/>
      <c r="BK2570" s="40"/>
      <c r="BL2570" s="40"/>
      <c r="BM2570" s="40"/>
      <c r="BN2570" s="40"/>
      <c r="BO2570" s="40"/>
      <c r="BP2570" s="155"/>
      <c r="BQ2570" s="314"/>
      <c r="BR2570" s="314"/>
      <c r="BS2570" s="314"/>
      <c r="BT2570" s="314"/>
      <c r="BU2570" s="314"/>
      <c r="BV2570" s="314"/>
      <c r="BW2570" s="314"/>
      <c r="BX2570" s="155"/>
    </row>
    <row r="2571" spans="1:76" ht="15.75" customHeight="1">
      <c r="A2571" s="25"/>
      <c r="B2571" s="39"/>
      <c r="C2571" s="155"/>
      <c r="D2571" s="155"/>
      <c r="E2571" s="40"/>
      <c r="F2571" s="314"/>
      <c r="H2571" s="315"/>
      <c r="I2571" s="315"/>
      <c r="BA2571" s="30"/>
      <c r="BB2571" s="155"/>
      <c r="BC2571" s="314"/>
      <c r="BD2571" s="314"/>
      <c r="BE2571" s="314"/>
      <c r="BF2571" s="314"/>
      <c r="BG2571" s="314"/>
      <c r="BH2571" s="314"/>
      <c r="BI2571" s="314"/>
      <c r="BJ2571" s="314"/>
      <c r="BK2571" s="40"/>
      <c r="BL2571" s="40"/>
      <c r="BM2571" s="40"/>
      <c r="BN2571" s="40"/>
      <c r="BO2571" s="40"/>
      <c r="BP2571" s="155"/>
      <c r="BQ2571" s="314"/>
      <c r="BR2571" s="314"/>
      <c r="BS2571" s="314"/>
      <c r="BT2571" s="314"/>
      <c r="BU2571" s="314"/>
      <c r="BV2571" s="314"/>
      <c r="BW2571" s="314"/>
      <c r="BX2571" s="155"/>
    </row>
    <row r="2572" spans="1:76" ht="15.75" customHeight="1">
      <c r="A2572" s="25"/>
      <c r="B2572" s="39"/>
      <c r="C2572" s="155"/>
      <c r="D2572" s="155"/>
      <c r="E2572" s="40"/>
      <c r="F2572" s="314"/>
      <c r="H2572" s="315"/>
      <c r="I2572" s="315"/>
      <c r="BA2572" s="30"/>
      <c r="BB2572" s="155"/>
      <c r="BC2572" s="314"/>
      <c r="BD2572" s="314"/>
      <c r="BE2572" s="314"/>
      <c r="BF2572" s="314"/>
      <c r="BG2572" s="314"/>
      <c r="BH2572" s="314"/>
      <c r="BI2572" s="314"/>
      <c r="BJ2572" s="314"/>
      <c r="BK2572" s="40"/>
      <c r="BL2572" s="40"/>
      <c r="BM2572" s="40"/>
      <c r="BN2572" s="40"/>
      <c r="BO2572" s="40"/>
      <c r="BP2572" s="155"/>
      <c r="BQ2572" s="314"/>
      <c r="BR2572" s="314"/>
      <c r="BS2572" s="314"/>
      <c r="BT2572" s="314"/>
      <c r="BU2572" s="314"/>
      <c r="BV2572" s="314"/>
      <c r="BW2572" s="314"/>
      <c r="BX2572" s="155"/>
    </row>
    <row r="2573" spans="1:76" ht="15.75" customHeight="1">
      <c r="A2573" s="25"/>
      <c r="B2573" s="39"/>
      <c r="C2573" s="155"/>
      <c r="D2573" s="155"/>
      <c r="E2573" s="40"/>
      <c r="F2573" s="314"/>
      <c r="H2573" s="315"/>
      <c r="I2573" s="315"/>
      <c r="BA2573" s="30"/>
      <c r="BB2573" s="155"/>
      <c r="BC2573" s="314"/>
      <c r="BD2573" s="314"/>
      <c r="BE2573" s="314"/>
      <c r="BF2573" s="314"/>
      <c r="BG2573" s="314"/>
      <c r="BH2573" s="314"/>
      <c r="BI2573" s="314"/>
      <c r="BJ2573" s="314"/>
      <c r="BK2573" s="40"/>
      <c r="BL2573" s="40"/>
      <c r="BM2573" s="40"/>
      <c r="BN2573" s="40"/>
      <c r="BO2573" s="40"/>
      <c r="BP2573" s="155"/>
      <c r="BQ2573" s="314"/>
      <c r="BR2573" s="314"/>
      <c r="BS2573" s="314"/>
      <c r="BT2573" s="314"/>
      <c r="BU2573" s="314"/>
      <c r="BV2573" s="314"/>
      <c r="BW2573" s="314"/>
      <c r="BX2573" s="155"/>
    </row>
    <row r="2574" spans="1:76" ht="15.75" customHeight="1">
      <c r="A2574" s="25"/>
      <c r="B2574" s="39"/>
      <c r="C2574" s="155"/>
      <c r="D2574" s="155"/>
      <c r="E2574" s="40"/>
      <c r="F2574" s="314"/>
      <c r="H2574" s="315"/>
      <c r="I2574" s="315"/>
      <c r="BA2574" s="30"/>
      <c r="BB2574" s="155"/>
      <c r="BC2574" s="314"/>
      <c r="BD2574" s="314"/>
      <c r="BE2574" s="314"/>
      <c r="BF2574" s="314"/>
      <c r="BG2574" s="314"/>
      <c r="BH2574" s="314"/>
      <c r="BI2574" s="314"/>
      <c r="BJ2574" s="314"/>
      <c r="BK2574" s="40"/>
      <c r="BL2574" s="40"/>
      <c r="BM2574" s="40"/>
      <c r="BN2574" s="40"/>
      <c r="BO2574" s="40"/>
      <c r="BP2574" s="155"/>
      <c r="BQ2574" s="314"/>
      <c r="BR2574" s="314"/>
      <c r="BS2574" s="314"/>
      <c r="BT2574" s="314"/>
      <c r="BU2574" s="314"/>
      <c r="BV2574" s="314"/>
      <c r="BW2574" s="314"/>
      <c r="BX2574" s="155"/>
    </row>
    <row r="2575" spans="1:76" ht="15.75" customHeight="1">
      <c r="A2575" s="25"/>
      <c r="B2575" s="39"/>
      <c r="C2575" s="155"/>
      <c r="D2575" s="155"/>
      <c r="E2575" s="40"/>
      <c r="F2575" s="314"/>
      <c r="H2575" s="315"/>
      <c r="I2575" s="315"/>
      <c r="BA2575" s="30"/>
      <c r="BB2575" s="155"/>
      <c r="BC2575" s="314"/>
      <c r="BD2575" s="314"/>
      <c r="BE2575" s="314"/>
      <c r="BF2575" s="314"/>
      <c r="BG2575" s="314"/>
      <c r="BH2575" s="314"/>
      <c r="BI2575" s="314"/>
      <c r="BJ2575" s="314"/>
      <c r="BK2575" s="40"/>
      <c r="BL2575" s="40"/>
      <c r="BM2575" s="40"/>
      <c r="BN2575" s="40"/>
      <c r="BO2575" s="40"/>
      <c r="BP2575" s="155"/>
      <c r="BQ2575" s="314"/>
      <c r="BR2575" s="314"/>
      <c r="BS2575" s="314"/>
      <c r="BT2575" s="314"/>
      <c r="BU2575" s="314"/>
      <c r="BV2575" s="314"/>
      <c r="BW2575" s="314"/>
      <c r="BX2575" s="155"/>
    </row>
    <row r="2576" spans="1:76" ht="15.75" customHeight="1">
      <c r="A2576" s="25"/>
      <c r="B2576" s="39"/>
      <c r="C2576" s="155"/>
      <c r="D2576" s="155"/>
      <c r="E2576" s="40"/>
      <c r="F2576" s="314"/>
      <c r="H2576" s="315"/>
      <c r="I2576" s="315"/>
      <c r="BA2576" s="30"/>
      <c r="BB2576" s="155"/>
      <c r="BC2576" s="314"/>
      <c r="BD2576" s="314"/>
      <c r="BE2576" s="314"/>
      <c r="BF2576" s="314"/>
      <c r="BG2576" s="314"/>
      <c r="BH2576" s="314"/>
      <c r="BI2576" s="314"/>
      <c r="BJ2576" s="314"/>
      <c r="BK2576" s="40"/>
      <c r="BL2576" s="40"/>
      <c r="BM2576" s="40"/>
      <c r="BN2576" s="40"/>
      <c r="BO2576" s="40"/>
      <c r="BP2576" s="155"/>
      <c r="BQ2576" s="314"/>
      <c r="BR2576" s="314"/>
      <c r="BS2576" s="314"/>
      <c r="BT2576" s="314"/>
      <c r="BU2576" s="314"/>
      <c r="BV2576" s="314"/>
      <c r="BW2576" s="314"/>
      <c r="BX2576" s="155"/>
    </row>
    <row r="2577" spans="1:76" ht="15.75" customHeight="1">
      <c r="A2577" s="25"/>
      <c r="B2577" s="39"/>
      <c r="C2577" s="155"/>
      <c r="D2577" s="155"/>
      <c r="E2577" s="40"/>
      <c r="F2577" s="314"/>
      <c r="H2577" s="315"/>
      <c r="I2577" s="315"/>
      <c r="BA2577" s="30"/>
      <c r="BB2577" s="155"/>
      <c r="BC2577" s="314"/>
      <c r="BD2577" s="314"/>
      <c r="BE2577" s="314"/>
      <c r="BF2577" s="314"/>
      <c r="BG2577" s="314"/>
      <c r="BH2577" s="314"/>
      <c r="BI2577" s="314"/>
      <c r="BJ2577" s="314"/>
      <c r="BK2577" s="40"/>
      <c r="BL2577" s="40"/>
      <c r="BM2577" s="40"/>
      <c r="BN2577" s="40"/>
      <c r="BO2577" s="40"/>
      <c r="BP2577" s="155"/>
      <c r="BQ2577" s="314"/>
      <c r="BR2577" s="314"/>
      <c r="BS2577" s="314"/>
      <c r="BT2577" s="314"/>
      <c r="BU2577" s="314"/>
      <c r="BV2577" s="314"/>
      <c r="BW2577" s="314"/>
      <c r="BX2577" s="155"/>
    </row>
    <row r="2578" spans="1:76" ht="15.75" customHeight="1">
      <c r="A2578" s="25"/>
      <c r="B2578" s="39"/>
      <c r="C2578" s="155"/>
      <c r="D2578" s="155"/>
      <c r="E2578" s="40"/>
      <c r="F2578" s="314"/>
      <c r="H2578" s="315"/>
      <c r="I2578" s="315"/>
      <c r="BA2578" s="30"/>
      <c r="BB2578" s="155"/>
      <c r="BC2578" s="314"/>
      <c r="BD2578" s="314"/>
      <c r="BE2578" s="314"/>
      <c r="BF2578" s="314"/>
      <c r="BG2578" s="314"/>
      <c r="BH2578" s="314"/>
      <c r="BI2578" s="314"/>
      <c r="BJ2578" s="314"/>
      <c r="BK2578" s="40"/>
      <c r="BL2578" s="40"/>
      <c r="BM2578" s="40"/>
      <c r="BN2578" s="40"/>
      <c r="BO2578" s="40"/>
      <c r="BP2578" s="155"/>
      <c r="BQ2578" s="314"/>
      <c r="BR2578" s="314"/>
      <c r="BS2578" s="314"/>
      <c r="BT2578" s="314"/>
      <c r="BU2578" s="314"/>
      <c r="BV2578" s="314"/>
      <c r="BW2578" s="314"/>
      <c r="BX2578" s="155"/>
    </row>
    <row r="2579" spans="1:76" ht="15.75" customHeight="1">
      <c r="A2579" s="25"/>
      <c r="B2579" s="39"/>
      <c r="C2579" s="155"/>
      <c r="D2579" s="155"/>
      <c r="E2579" s="40"/>
      <c r="F2579" s="314"/>
      <c r="H2579" s="315"/>
      <c r="I2579" s="315"/>
      <c r="BA2579" s="30"/>
      <c r="BB2579" s="155"/>
      <c r="BC2579" s="314"/>
      <c r="BD2579" s="314"/>
      <c r="BE2579" s="314"/>
      <c r="BF2579" s="314"/>
      <c r="BG2579" s="314"/>
      <c r="BH2579" s="314"/>
      <c r="BI2579" s="314"/>
      <c r="BJ2579" s="314"/>
      <c r="BK2579" s="40"/>
      <c r="BL2579" s="40"/>
      <c r="BM2579" s="40"/>
      <c r="BN2579" s="40"/>
      <c r="BO2579" s="40"/>
      <c r="BP2579" s="155"/>
      <c r="BQ2579" s="314"/>
      <c r="BR2579" s="314"/>
      <c r="BS2579" s="314"/>
      <c r="BT2579" s="314"/>
      <c r="BU2579" s="314"/>
      <c r="BV2579" s="314"/>
      <c r="BW2579" s="314"/>
      <c r="BX2579" s="155"/>
    </row>
    <row r="2580" spans="1:76" ht="15.75" customHeight="1">
      <c r="A2580" s="25"/>
      <c r="B2580" s="39"/>
      <c r="C2580" s="155"/>
      <c r="D2580" s="155"/>
      <c r="E2580" s="40"/>
      <c r="F2580" s="314"/>
      <c r="H2580" s="315"/>
      <c r="I2580" s="315"/>
      <c r="BA2580" s="30"/>
      <c r="BB2580" s="155"/>
      <c r="BC2580" s="314"/>
      <c r="BD2580" s="314"/>
      <c r="BE2580" s="314"/>
      <c r="BF2580" s="314"/>
      <c r="BG2580" s="314"/>
      <c r="BH2580" s="314"/>
      <c r="BI2580" s="314"/>
      <c r="BJ2580" s="314"/>
      <c r="BK2580" s="40"/>
      <c r="BL2580" s="40"/>
      <c r="BM2580" s="40"/>
      <c r="BN2580" s="40"/>
      <c r="BO2580" s="40"/>
      <c r="BP2580" s="155"/>
      <c r="BQ2580" s="314"/>
      <c r="BR2580" s="314"/>
      <c r="BS2580" s="314"/>
      <c r="BT2580" s="314"/>
      <c r="BU2580" s="314"/>
      <c r="BV2580" s="314"/>
      <c r="BW2580" s="314"/>
      <c r="BX2580" s="155"/>
    </row>
    <row r="2581" spans="1:76" ht="15.75" customHeight="1">
      <c r="A2581" s="25"/>
      <c r="B2581" s="39"/>
      <c r="C2581" s="155"/>
      <c r="D2581" s="155"/>
      <c r="E2581" s="40"/>
      <c r="F2581" s="314"/>
      <c r="H2581" s="315"/>
      <c r="I2581" s="315"/>
      <c r="BA2581" s="30"/>
      <c r="BB2581" s="155"/>
      <c r="BC2581" s="314"/>
      <c r="BD2581" s="314"/>
      <c r="BE2581" s="314"/>
      <c r="BF2581" s="314"/>
      <c r="BG2581" s="314"/>
      <c r="BH2581" s="314"/>
      <c r="BI2581" s="314"/>
      <c r="BJ2581" s="314"/>
      <c r="BK2581" s="40"/>
      <c r="BL2581" s="40"/>
      <c r="BM2581" s="40"/>
      <c r="BN2581" s="40"/>
      <c r="BO2581" s="40"/>
      <c r="BP2581" s="155"/>
      <c r="BQ2581" s="314"/>
      <c r="BR2581" s="314"/>
      <c r="BS2581" s="314"/>
      <c r="BT2581" s="314"/>
      <c r="BU2581" s="314"/>
      <c r="BV2581" s="314"/>
      <c r="BW2581" s="314"/>
      <c r="BX2581" s="155"/>
    </row>
    <row r="2582" spans="1:76" ht="15.75" customHeight="1">
      <c r="A2582" s="25"/>
      <c r="B2582" s="39"/>
      <c r="C2582" s="155"/>
      <c r="D2582" s="155"/>
      <c r="E2582" s="40"/>
      <c r="F2582" s="314"/>
      <c r="H2582" s="315"/>
      <c r="I2582" s="315"/>
      <c r="BA2582" s="30"/>
      <c r="BB2582" s="155"/>
      <c r="BC2582" s="314"/>
      <c r="BD2582" s="314"/>
      <c r="BE2582" s="314"/>
      <c r="BF2582" s="314"/>
      <c r="BG2582" s="314"/>
      <c r="BH2582" s="314"/>
      <c r="BI2582" s="314"/>
      <c r="BJ2582" s="314"/>
      <c r="BK2582" s="40"/>
      <c r="BL2582" s="40"/>
      <c r="BM2582" s="40"/>
      <c r="BN2582" s="40"/>
      <c r="BO2582" s="40"/>
      <c r="BP2582" s="155"/>
      <c r="BQ2582" s="314"/>
      <c r="BR2582" s="314"/>
      <c r="BS2582" s="314"/>
      <c r="BT2582" s="314"/>
      <c r="BU2582" s="314"/>
      <c r="BV2582" s="314"/>
      <c r="BW2582" s="314"/>
      <c r="BX2582" s="155"/>
    </row>
    <row r="2583" spans="1:76" ht="15.75" customHeight="1">
      <c r="A2583" s="25"/>
      <c r="B2583" s="39"/>
      <c r="C2583" s="155"/>
      <c r="D2583" s="155"/>
      <c r="E2583" s="40"/>
      <c r="F2583" s="314"/>
      <c r="H2583" s="315"/>
      <c r="I2583" s="315"/>
      <c r="BA2583" s="30"/>
      <c r="BB2583" s="155"/>
      <c r="BC2583" s="314"/>
      <c r="BD2583" s="314"/>
      <c r="BE2583" s="314"/>
      <c r="BF2583" s="314"/>
      <c r="BG2583" s="314"/>
      <c r="BH2583" s="314"/>
      <c r="BI2583" s="314"/>
      <c r="BJ2583" s="314"/>
      <c r="BK2583" s="40"/>
      <c r="BL2583" s="40"/>
      <c r="BM2583" s="40"/>
      <c r="BN2583" s="40"/>
      <c r="BO2583" s="40"/>
      <c r="BP2583" s="155"/>
      <c r="BQ2583" s="314"/>
      <c r="BR2583" s="314"/>
      <c r="BS2583" s="314"/>
      <c r="BT2583" s="314"/>
      <c r="BU2583" s="314"/>
      <c r="BV2583" s="314"/>
      <c r="BW2583" s="314"/>
      <c r="BX2583" s="155"/>
    </row>
    <row r="2584" spans="1:76" ht="15.75" customHeight="1">
      <c r="A2584" s="25"/>
      <c r="B2584" s="39"/>
      <c r="C2584" s="155"/>
      <c r="D2584" s="155"/>
      <c r="E2584" s="40"/>
      <c r="F2584" s="314"/>
      <c r="H2584" s="315"/>
      <c r="I2584" s="315"/>
      <c r="BA2584" s="30"/>
      <c r="BB2584" s="155"/>
      <c r="BC2584" s="314"/>
      <c r="BD2584" s="314"/>
      <c r="BE2584" s="314"/>
      <c r="BF2584" s="314"/>
      <c r="BG2584" s="314"/>
      <c r="BH2584" s="314"/>
      <c r="BI2584" s="314"/>
      <c r="BJ2584" s="314"/>
      <c r="BK2584" s="40"/>
      <c r="BL2584" s="40"/>
      <c r="BM2584" s="40"/>
      <c r="BN2584" s="40"/>
      <c r="BO2584" s="40"/>
      <c r="BP2584" s="155"/>
      <c r="BQ2584" s="314"/>
      <c r="BR2584" s="314"/>
      <c r="BS2584" s="314"/>
      <c r="BT2584" s="314"/>
      <c r="BU2584" s="314"/>
      <c r="BV2584" s="314"/>
      <c r="BW2584" s="314"/>
      <c r="BX2584" s="155"/>
    </row>
    <row r="2585" spans="1:76" ht="15.75" customHeight="1">
      <c r="A2585" s="25"/>
      <c r="B2585" s="39"/>
      <c r="C2585" s="155"/>
      <c r="D2585" s="155"/>
      <c r="E2585" s="40"/>
      <c r="F2585" s="314"/>
      <c r="H2585" s="315"/>
      <c r="I2585" s="315"/>
      <c r="BA2585" s="30"/>
      <c r="BB2585" s="155"/>
      <c r="BC2585" s="314"/>
      <c r="BD2585" s="314"/>
      <c r="BE2585" s="314"/>
      <c r="BF2585" s="314"/>
      <c r="BG2585" s="314"/>
      <c r="BH2585" s="314"/>
      <c r="BI2585" s="314"/>
      <c r="BJ2585" s="314"/>
      <c r="BK2585" s="40"/>
      <c r="BL2585" s="40"/>
      <c r="BM2585" s="40"/>
      <c r="BN2585" s="40"/>
      <c r="BO2585" s="40"/>
      <c r="BP2585" s="155"/>
      <c r="BQ2585" s="314"/>
      <c r="BR2585" s="314"/>
      <c r="BS2585" s="314"/>
      <c r="BT2585" s="314"/>
      <c r="BU2585" s="314"/>
      <c r="BV2585" s="314"/>
      <c r="BW2585" s="314"/>
      <c r="BX2585" s="155"/>
    </row>
    <row r="2586" spans="1:76" ht="15.75" customHeight="1">
      <c r="A2586" s="25"/>
      <c r="B2586" s="39"/>
      <c r="C2586" s="155"/>
      <c r="D2586" s="155"/>
      <c r="E2586" s="40"/>
      <c r="F2586" s="314"/>
      <c r="H2586" s="315"/>
      <c r="I2586" s="315"/>
      <c r="BA2586" s="30"/>
      <c r="BB2586" s="155"/>
      <c r="BC2586" s="314"/>
      <c r="BD2586" s="314"/>
      <c r="BE2586" s="314"/>
      <c r="BF2586" s="314"/>
      <c r="BG2586" s="314"/>
      <c r="BH2586" s="314"/>
      <c r="BI2586" s="314"/>
      <c r="BJ2586" s="314"/>
      <c r="BK2586" s="40"/>
      <c r="BL2586" s="40"/>
      <c r="BM2586" s="40"/>
      <c r="BN2586" s="40"/>
      <c r="BO2586" s="40"/>
      <c r="BP2586" s="155"/>
      <c r="BQ2586" s="314"/>
      <c r="BR2586" s="314"/>
      <c r="BS2586" s="314"/>
      <c r="BT2586" s="314"/>
      <c r="BU2586" s="314"/>
      <c r="BV2586" s="314"/>
      <c r="BW2586" s="314"/>
      <c r="BX2586" s="155"/>
    </row>
    <row r="2587" spans="1:76" ht="15.75" customHeight="1">
      <c r="A2587" s="25"/>
      <c r="B2587" s="39"/>
      <c r="C2587" s="155"/>
      <c r="D2587" s="155"/>
      <c r="E2587" s="40"/>
      <c r="F2587" s="314"/>
      <c r="H2587" s="315"/>
      <c r="I2587" s="315"/>
      <c r="BA2587" s="30"/>
      <c r="BB2587" s="155"/>
      <c r="BC2587" s="314"/>
      <c r="BD2587" s="314"/>
      <c r="BE2587" s="314"/>
      <c r="BF2587" s="314"/>
      <c r="BG2587" s="314"/>
      <c r="BH2587" s="314"/>
      <c r="BI2587" s="314"/>
      <c r="BJ2587" s="314"/>
      <c r="BK2587" s="40"/>
      <c r="BL2587" s="40"/>
      <c r="BM2587" s="40"/>
      <c r="BN2587" s="40"/>
      <c r="BO2587" s="40"/>
      <c r="BP2587" s="155"/>
      <c r="BQ2587" s="314"/>
      <c r="BR2587" s="314"/>
      <c r="BS2587" s="314"/>
      <c r="BT2587" s="314"/>
      <c r="BU2587" s="314"/>
      <c r="BV2587" s="314"/>
      <c r="BW2587" s="314"/>
      <c r="BX2587" s="155"/>
    </row>
    <row r="2588" spans="1:76" ht="15.75" customHeight="1">
      <c r="A2588" s="25"/>
      <c r="B2588" s="39"/>
      <c r="C2588" s="155"/>
      <c r="D2588" s="155"/>
      <c r="E2588" s="40"/>
      <c r="F2588" s="314"/>
      <c r="H2588" s="315"/>
      <c r="I2588" s="315"/>
      <c r="BA2588" s="30"/>
      <c r="BB2588" s="155"/>
      <c r="BC2588" s="322"/>
      <c r="BD2588" s="322"/>
      <c r="BE2588" s="322"/>
      <c r="BF2588" s="322"/>
      <c r="BG2588" s="322"/>
      <c r="BH2588" s="322"/>
      <c r="BI2588" s="322"/>
      <c r="BJ2588" s="322"/>
      <c r="BK2588" s="341"/>
      <c r="BL2588" s="40"/>
      <c r="BM2588" s="40"/>
      <c r="BN2588" s="40"/>
      <c r="BO2588" s="40"/>
      <c r="BP2588" s="155"/>
      <c r="BQ2588" s="314"/>
      <c r="BR2588" s="314"/>
      <c r="BS2588" s="314"/>
      <c r="BT2588" s="314"/>
      <c r="BU2588" s="314"/>
      <c r="BV2588" s="314"/>
      <c r="BW2588" s="314"/>
      <c r="BX2588" s="155"/>
    </row>
    <row r="2589" spans="1:76" ht="15.75" customHeight="1">
      <c r="A2589" s="25"/>
      <c r="B2589" s="39"/>
      <c r="C2589" s="155"/>
      <c r="D2589" s="155"/>
      <c r="E2589" s="40"/>
      <c r="F2589" s="314"/>
      <c r="H2589" s="315"/>
      <c r="I2589" s="315"/>
      <c r="BA2589" s="30"/>
      <c r="BB2589" s="155"/>
      <c r="BC2589" s="314"/>
      <c r="BD2589" s="314"/>
      <c r="BE2589" s="314"/>
      <c r="BF2589" s="314"/>
      <c r="BG2589" s="314"/>
      <c r="BH2589" s="314"/>
      <c r="BI2589" s="314"/>
      <c r="BJ2589" s="314"/>
      <c r="BK2589" s="40"/>
      <c r="BL2589" s="40"/>
      <c r="BM2589" s="40"/>
      <c r="BN2589" s="40"/>
      <c r="BO2589" s="40"/>
      <c r="BP2589" s="155"/>
      <c r="BQ2589" s="314"/>
      <c r="BR2589" s="314"/>
      <c r="BS2589" s="314"/>
      <c r="BT2589" s="314"/>
      <c r="BU2589" s="314"/>
      <c r="BV2589" s="314"/>
      <c r="BW2589" s="314"/>
      <c r="BX2589" s="155"/>
    </row>
    <row r="2590" spans="1:76" ht="15.75" customHeight="1">
      <c r="A2590" s="25"/>
      <c r="B2590" s="39"/>
      <c r="C2590" s="155"/>
      <c r="D2590" s="155"/>
      <c r="E2590" s="40"/>
      <c r="F2590" s="314"/>
      <c r="H2590" s="315"/>
      <c r="I2590" s="315"/>
      <c r="BA2590" s="30"/>
      <c r="BB2590" s="155"/>
      <c r="BC2590" s="314"/>
      <c r="BD2590" s="314"/>
      <c r="BE2590" s="314"/>
      <c r="BF2590" s="314"/>
      <c r="BG2590" s="314"/>
      <c r="BH2590" s="314"/>
      <c r="BI2590" s="314"/>
      <c r="BJ2590" s="314"/>
      <c r="BK2590" s="40"/>
      <c r="BL2590" s="40"/>
      <c r="BM2590" s="40"/>
      <c r="BN2590" s="40"/>
      <c r="BO2590" s="40"/>
      <c r="BP2590" s="155"/>
      <c r="BQ2590" s="314"/>
      <c r="BR2590" s="314"/>
      <c r="BS2590" s="314"/>
      <c r="BT2590" s="314"/>
      <c r="BU2590" s="314"/>
      <c r="BV2590" s="314"/>
      <c r="BW2590" s="314"/>
      <c r="BX2590" s="155"/>
    </row>
    <row r="2591" spans="1:76" ht="15.75" customHeight="1">
      <c r="A2591" s="25"/>
      <c r="B2591" s="39"/>
      <c r="C2591" s="155"/>
      <c r="D2591" s="155"/>
      <c r="E2591" s="40"/>
      <c r="F2591" s="314"/>
      <c r="H2591" s="315"/>
      <c r="I2591" s="315"/>
      <c r="BA2591" s="30"/>
      <c r="BB2591" s="155"/>
      <c r="BC2591" s="314"/>
      <c r="BD2591" s="314"/>
      <c r="BE2591" s="314"/>
      <c r="BF2591" s="314"/>
      <c r="BG2591" s="314"/>
      <c r="BH2591" s="314"/>
      <c r="BI2591" s="314"/>
      <c r="BJ2591" s="314"/>
      <c r="BK2591" s="40"/>
      <c r="BL2591" s="40"/>
      <c r="BM2591" s="40"/>
      <c r="BN2591" s="40"/>
      <c r="BO2591" s="40"/>
      <c r="BP2591" s="155"/>
      <c r="BQ2591" s="314"/>
      <c r="BR2591" s="314"/>
      <c r="BS2591" s="314"/>
      <c r="BT2591" s="314"/>
      <c r="BU2591" s="314"/>
      <c r="BV2591" s="314"/>
      <c r="BW2591" s="314"/>
      <c r="BX2591" s="155"/>
    </row>
    <row r="2592" spans="1:76" ht="15.75" customHeight="1">
      <c r="A2592" s="25"/>
      <c r="B2592" s="39"/>
      <c r="C2592" s="155"/>
      <c r="D2592" s="155"/>
      <c r="E2592" s="40"/>
      <c r="F2592" s="314"/>
      <c r="H2592" s="315"/>
      <c r="I2592" s="315"/>
      <c r="BA2592" s="30"/>
      <c r="BB2592" s="155"/>
      <c r="BC2592" s="314"/>
      <c r="BD2592" s="314"/>
      <c r="BE2592" s="314"/>
      <c r="BF2592" s="314"/>
      <c r="BG2592" s="314"/>
      <c r="BH2592" s="314"/>
      <c r="BI2592" s="314"/>
      <c r="BJ2592" s="314"/>
      <c r="BK2592" s="40"/>
      <c r="BL2592" s="40"/>
      <c r="BM2592" s="40"/>
      <c r="BN2592" s="40"/>
      <c r="BO2592" s="40"/>
      <c r="BP2592" s="155"/>
      <c r="BQ2592" s="314"/>
      <c r="BR2592" s="314"/>
      <c r="BS2592" s="314"/>
      <c r="BT2592" s="314"/>
      <c r="BU2592" s="314"/>
      <c r="BV2592" s="314"/>
      <c r="BW2592" s="314"/>
      <c r="BX2592" s="155"/>
    </row>
    <row r="2593" spans="1:76" ht="15.75" customHeight="1">
      <c r="A2593" s="25"/>
      <c r="B2593" s="39"/>
      <c r="C2593" s="155"/>
      <c r="D2593" s="155"/>
      <c r="E2593" s="40"/>
      <c r="F2593" s="314"/>
      <c r="H2593" s="315"/>
      <c r="I2593" s="315"/>
      <c r="BA2593" s="30"/>
      <c r="BB2593" s="155"/>
      <c r="BC2593" s="314"/>
      <c r="BD2593" s="314"/>
      <c r="BE2593" s="314"/>
      <c r="BF2593" s="314"/>
      <c r="BG2593" s="314"/>
      <c r="BH2593" s="314"/>
      <c r="BI2593" s="314"/>
      <c r="BJ2593" s="314"/>
      <c r="BK2593" s="40"/>
      <c r="BL2593" s="40"/>
      <c r="BM2593" s="40"/>
      <c r="BN2593" s="40"/>
      <c r="BO2593" s="40"/>
      <c r="BP2593" s="155"/>
      <c r="BQ2593" s="314"/>
      <c r="BR2593" s="314"/>
      <c r="BS2593" s="314"/>
      <c r="BT2593" s="314"/>
      <c r="BU2593" s="314"/>
      <c r="BV2593" s="314"/>
      <c r="BW2593" s="314"/>
      <c r="BX2593" s="155"/>
    </row>
    <row r="2594" spans="1:76" ht="15.75" customHeight="1">
      <c r="A2594" s="25"/>
      <c r="B2594" s="39"/>
      <c r="C2594" s="155"/>
      <c r="D2594" s="155"/>
      <c r="E2594" s="40"/>
      <c r="F2594" s="314"/>
      <c r="H2594" s="315"/>
      <c r="I2594" s="315"/>
      <c r="BA2594" s="30"/>
      <c r="BB2594" s="155"/>
      <c r="BC2594" s="314"/>
      <c r="BD2594" s="314"/>
      <c r="BE2594" s="314"/>
      <c r="BF2594" s="314"/>
      <c r="BG2594" s="314"/>
      <c r="BH2594" s="314"/>
      <c r="BI2594" s="314"/>
      <c r="BJ2594" s="314"/>
      <c r="BK2594" s="40"/>
      <c r="BL2594" s="40"/>
      <c r="BM2594" s="40"/>
      <c r="BN2594" s="40"/>
      <c r="BO2594" s="40"/>
      <c r="BP2594" s="155"/>
      <c r="BQ2594" s="314"/>
      <c r="BR2594" s="314"/>
      <c r="BS2594" s="314"/>
      <c r="BT2594" s="314"/>
      <c r="BU2594" s="314"/>
      <c r="BV2594" s="314"/>
      <c r="BW2594" s="314"/>
      <c r="BX2594" s="155"/>
    </row>
    <row r="2595" spans="1:76" ht="15.75" customHeight="1">
      <c r="A2595" s="25"/>
      <c r="B2595" s="39"/>
      <c r="C2595" s="155"/>
      <c r="D2595" s="155"/>
      <c r="E2595" s="40"/>
      <c r="F2595" s="314"/>
      <c r="H2595" s="315"/>
      <c r="I2595" s="315"/>
      <c r="BA2595" s="30"/>
      <c r="BB2595" s="155"/>
      <c r="BC2595" s="314"/>
      <c r="BD2595" s="314"/>
      <c r="BE2595" s="314"/>
      <c r="BF2595" s="314"/>
      <c r="BG2595" s="314"/>
      <c r="BH2595" s="314"/>
      <c r="BI2595" s="314"/>
      <c r="BJ2595" s="314"/>
      <c r="BK2595" s="40"/>
      <c r="BL2595" s="40"/>
      <c r="BM2595" s="40"/>
      <c r="BN2595" s="40"/>
      <c r="BO2595" s="40"/>
      <c r="BP2595" s="155"/>
      <c r="BQ2595" s="314"/>
      <c r="BR2595" s="314"/>
      <c r="BS2595" s="314"/>
      <c r="BT2595" s="314"/>
      <c r="BU2595" s="314"/>
      <c r="BV2595" s="314"/>
      <c r="BW2595" s="314"/>
      <c r="BX2595" s="155"/>
    </row>
    <row r="2596" spans="1:76" ht="15.75" customHeight="1">
      <c r="A2596" s="25"/>
      <c r="B2596" s="39"/>
      <c r="C2596" s="155"/>
      <c r="D2596" s="155"/>
      <c r="E2596" s="40"/>
      <c r="F2596" s="314"/>
      <c r="H2596" s="315"/>
      <c r="I2596" s="315"/>
      <c r="BA2596" s="30"/>
      <c r="BB2596" s="155"/>
      <c r="BC2596" s="314"/>
      <c r="BD2596" s="314"/>
      <c r="BE2596" s="314"/>
      <c r="BF2596" s="314"/>
      <c r="BG2596" s="314"/>
      <c r="BH2596" s="314"/>
      <c r="BI2596" s="314"/>
      <c r="BJ2596" s="314"/>
      <c r="BK2596" s="40"/>
      <c r="BL2596" s="40"/>
      <c r="BM2596" s="40"/>
      <c r="BN2596" s="40"/>
      <c r="BO2596" s="40"/>
      <c r="BP2596" s="155"/>
      <c r="BQ2596" s="314"/>
      <c r="BR2596" s="314"/>
      <c r="BS2596" s="314"/>
      <c r="BT2596" s="314"/>
      <c r="BU2596" s="314"/>
      <c r="BV2596" s="314"/>
      <c r="BW2596" s="314"/>
      <c r="BX2596" s="155"/>
    </row>
    <row r="2597" spans="1:76" ht="15.75" customHeight="1">
      <c r="A2597" s="25"/>
      <c r="B2597" s="39"/>
      <c r="C2597" s="155"/>
      <c r="D2597" s="155"/>
      <c r="E2597" s="40"/>
      <c r="F2597" s="314"/>
      <c r="H2597" s="315"/>
      <c r="I2597" s="315"/>
      <c r="BA2597" s="30"/>
      <c r="BB2597" s="155"/>
      <c r="BC2597" s="314"/>
      <c r="BD2597" s="314"/>
      <c r="BE2597" s="314"/>
      <c r="BF2597" s="314"/>
      <c r="BG2597" s="314"/>
      <c r="BH2597" s="314"/>
      <c r="BI2597" s="314"/>
      <c r="BJ2597" s="314"/>
      <c r="BK2597" s="40"/>
      <c r="BL2597" s="40"/>
      <c r="BM2597" s="40"/>
      <c r="BN2597" s="40"/>
      <c r="BO2597" s="40"/>
      <c r="BP2597" s="155"/>
      <c r="BQ2597" s="314"/>
      <c r="BR2597" s="314"/>
      <c r="BS2597" s="314"/>
      <c r="BT2597" s="314"/>
      <c r="BU2597" s="314"/>
      <c r="BV2597" s="314"/>
      <c r="BW2597" s="314"/>
      <c r="BX2597" s="155"/>
    </row>
    <row r="2598" spans="1:76" ht="15.75" customHeight="1">
      <c r="A2598" s="25"/>
      <c r="B2598" s="39"/>
      <c r="C2598" s="155"/>
      <c r="D2598" s="155"/>
      <c r="E2598" s="40"/>
      <c r="F2598" s="314"/>
      <c r="H2598" s="315"/>
      <c r="I2598" s="315"/>
      <c r="BA2598" s="30"/>
      <c r="BB2598" s="155"/>
      <c r="BC2598" s="314"/>
      <c r="BD2598" s="314"/>
      <c r="BE2598" s="314"/>
      <c r="BF2598" s="314"/>
      <c r="BG2598" s="314"/>
      <c r="BH2598" s="314"/>
      <c r="BI2598" s="314"/>
      <c r="BJ2598" s="314"/>
      <c r="BK2598" s="40"/>
      <c r="BL2598" s="40"/>
      <c r="BM2598" s="40"/>
      <c r="BN2598" s="40"/>
      <c r="BO2598" s="40"/>
      <c r="BP2598" s="155"/>
      <c r="BQ2598" s="314"/>
      <c r="BR2598" s="314"/>
      <c r="BS2598" s="314"/>
      <c r="BT2598" s="314"/>
      <c r="BU2598" s="314"/>
      <c r="BV2598" s="314"/>
      <c r="BW2598" s="314"/>
      <c r="BX2598" s="155"/>
    </row>
    <row r="2599" spans="1:76" ht="15.75" customHeight="1">
      <c r="A2599" s="25"/>
      <c r="B2599" s="39"/>
      <c r="C2599" s="155"/>
      <c r="D2599" s="155"/>
      <c r="E2599" s="40"/>
      <c r="F2599" s="314"/>
      <c r="H2599" s="315"/>
      <c r="I2599" s="315"/>
      <c r="BA2599" s="30"/>
      <c r="BB2599" s="155"/>
      <c r="BC2599" s="314"/>
      <c r="BD2599" s="314"/>
      <c r="BE2599" s="314"/>
      <c r="BF2599" s="314"/>
      <c r="BG2599" s="314"/>
      <c r="BH2599" s="314"/>
      <c r="BI2599" s="314"/>
      <c r="BJ2599" s="314"/>
      <c r="BK2599" s="40"/>
      <c r="BL2599" s="40"/>
      <c r="BM2599" s="40"/>
      <c r="BN2599" s="40"/>
      <c r="BO2599" s="40"/>
      <c r="BP2599" s="155"/>
      <c r="BQ2599" s="314"/>
      <c r="BR2599" s="314"/>
      <c r="BS2599" s="314"/>
      <c r="BT2599" s="314"/>
      <c r="BU2599" s="314"/>
      <c r="BV2599" s="314"/>
      <c r="BW2599" s="314"/>
      <c r="BX2599" s="155"/>
    </row>
    <row r="2600" spans="1:76" ht="15.75" customHeight="1">
      <c r="A2600" s="25"/>
      <c r="B2600" s="39"/>
      <c r="C2600" s="155"/>
      <c r="D2600" s="155"/>
      <c r="E2600" s="40"/>
      <c r="F2600" s="314"/>
      <c r="H2600" s="315"/>
      <c r="I2600" s="315"/>
      <c r="BA2600" s="30"/>
      <c r="BB2600" s="155"/>
      <c r="BC2600" s="314"/>
      <c r="BD2600" s="314"/>
      <c r="BE2600" s="314"/>
      <c r="BF2600" s="314"/>
      <c r="BG2600" s="314"/>
      <c r="BH2600" s="314"/>
      <c r="BI2600" s="314"/>
      <c r="BJ2600" s="314"/>
      <c r="BK2600" s="40"/>
      <c r="BL2600" s="40"/>
      <c r="BM2600" s="40"/>
      <c r="BN2600" s="40"/>
      <c r="BO2600" s="40"/>
      <c r="BP2600" s="155"/>
      <c r="BQ2600" s="314"/>
      <c r="BR2600" s="314"/>
      <c r="BS2600" s="314"/>
      <c r="BT2600" s="314"/>
      <c r="BU2600" s="314"/>
      <c r="BV2600" s="314"/>
      <c r="BW2600" s="314"/>
      <c r="BX2600" s="155"/>
    </row>
    <row r="2601" spans="1:76" ht="15.75" customHeight="1">
      <c r="A2601" s="25"/>
      <c r="B2601" s="39"/>
      <c r="C2601" s="155"/>
      <c r="D2601" s="155"/>
      <c r="E2601" s="40"/>
      <c r="F2601" s="314"/>
      <c r="H2601" s="315"/>
      <c r="I2601" s="315"/>
      <c r="BA2601" s="30"/>
      <c r="BB2601" s="155"/>
      <c r="BC2601" s="314"/>
      <c r="BD2601" s="314"/>
      <c r="BE2601" s="314"/>
      <c r="BF2601" s="314"/>
      <c r="BG2601" s="314"/>
      <c r="BH2601" s="314"/>
      <c r="BI2601" s="314"/>
      <c r="BJ2601" s="314"/>
      <c r="BK2601" s="40"/>
      <c r="BL2601" s="40"/>
      <c r="BM2601" s="40"/>
      <c r="BN2601" s="40"/>
      <c r="BO2601" s="40"/>
      <c r="BP2601" s="155"/>
      <c r="BQ2601" s="314"/>
      <c r="BR2601" s="314"/>
      <c r="BS2601" s="314"/>
      <c r="BT2601" s="314"/>
      <c r="BU2601" s="314"/>
      <c r="BV2601" s="314"/>
      <c r="BW2601" s="314"/>
      <c r="BX2601" s="155"/>
    </row>
    <row r="2602" spans="1:76" ht="15.75" customHeight="1">
      <c r="A2602" s="25"/>
      <c r="B2602" s="39"/>
      <c r="C2602" s="155"/>
      <c r="D2602" s="155"/>
      <c r="E2602" s="40"/>
      <c r="F2602" s="314"/>
      <c r="H2602" s="315"/>
      <c r="I2602" s="315"/>
      <c r="BA2602" s="30"/>
      <c r="BB2602" s="155"/>
      <c r="BC2602" s="314"/>
      <c r="BD2602" s="314"/>
      <c r="BE2602" s="314"/>
      <c r="BF2602" s="314"/>
      <c r="BG2602" s="314"/>
      <c r="BH2602" s="314"/>
      <c r="BI2602" s="314"/>
      <c r="BJ2602" s="314"/>
      <c r="BK2602" s="40"/>
      <c r="BL2602" s="40"/>
      <c r="BM2602" s="40"/>
      <c r="BN2602" s="40"/>
      <c r="BO2602" s="40"/>
      <c r="BP2602" s="155"/>
      <c r="BQ2602" s="314"/>
      <c r="BR2602" s="314"/>
      <c r="BS2602" s="314"/>
      <c r="BT2602" s="314"/>
      <c r="BU2602" s="314"/>
      <c r="BV2602" s="314"/>
      <c r="BW2602" s="314"/>
      <c r="BX2602" s="155"/>
    </row>
    <row r="2603" spans="1:76" ht="15.75" customHeight="1">
      <c r="A2603" s="25"/>
      <c r="B2603" s="39"/>
      <c r="C2603" s="155"/>
      <c r="D2603" s="155"/>
      <c r="E2603" s="40"/>
      <c r="F2603" s="314"/>
      <c r="H2603" s="315"/>
      <c r="I2603" s="315"/>
      <c r="BA2603" s="30"/>
      <c r="BB2603" s="155"/>
      <c r="BC2603" s="314"/>
      <c r="BD2603" s="314"/>
      <c r="BE2603" s="314"/>
      <c r="BF2603" s="314"/>
      <c r="BG2603" s="314"/>
      <c r="BH2603" s="314"/>
      <c r="BI2603" s="314"/>
      <c r="BJ2603" s="314"/>
      <c r="BK2603" s="40"/>
      <c r="BL2603" s="40"/>
      <c r="BM2603" s="40"/>
      <c r="BN2603" s="40"/>
      <c r="BO2603" s="40"/>
      <c r="BP2603" s="155"/>
      <c r="BQ2603" s="314"/>
      <c r="BR2603" s="314"/>
      <c r="BS2603" s="314"/>
      <c r="BT2603" s="314"/>
      <c r="BU2603" s="314"/>
      <c r="BV2603" s="314"/>
      <c r="BW2603" s="314"/>
      <c r="BX2603" s="155"/>
    </row>
    <row r="2604" spans="1:76" ht="15.75" customHeight="1">
      <c r="A2604" s="25"/>
      <c r="B2604" s="39"/>
      <c r="C2604" s="155"/>
      <c r="D2604" s="155"/>
      <c r="E2604" s="40"/>
      <c r="F2604" s="314"/>
      <c r="H2604" s="315"/>
      <c r="I2604" s="315"/>
      <c r="BA2604" s="30"/>
      <c r="BB2604" s="155"/>
      <c r="BC2604" s="314"/>
      <c r="BD2604" s="314"/>
      <c r="BE2604" s="314"/>
      <c r="BF2604" s="314"/>
      <c r="BG2604" s="314"/>
      <c r="BH2604" s="314"/>
      <c r="BI2604" s="314"/>
      <c r="BJ2604" s="314"/>
      <c r="BK2604" s="40"/>
      <c r="BL2604" s="40"/>
      <c r="BM2604" s="40"/>
      <c r="BN2604" s="40"/>
      <c r="BO2604" s="40"/>
      <c r="BP2604" s="155"/>
      <c r="BQ2604" s="314"/>
      <c r="BR2604" s="314"/>
      <c r="BS2604" s="314"/>
      <c r="BT2604" s="314"/>
      <c r="BU2604" s="314"/>
      <c r="BV2604" s="314"/>
      <c r="BW2604" s="314"/>
      <c r="BX2604" s="155"/>
    </row>
    <row r="2605" spans="1:76" ht="15.75" customHeight="1">
      <c r="A2605" s="25"/>
      <c r="B2605" s="39"/>
      <c r="C2605" s="155"/>
      <c r="D2605" s="155"/>
      <c r="E2605" s="40"/>
      <c r="F2605" s="314"/>
      <c r="H2605" s="315"/>
      <c r="I2605" s="315"/>
      <c r="BA2605" s="30"/>
      <c r="BB2605" s="155"/>
      <c r="BC2605" s="314"/>
      <c r="BD2605" s="314"/>
      <c r="BE2605" s="314"/>
      <c r="BF2605" s="314"/>
      <c r="BG2605" s="314"/>
      <c r="BH2605" s="314"/>
      <c r="BI2605" s="314"/>
      <c r="BJ2605" s="314"/>
      <c r="BK2605" s="40"/>
      <c r="BL2605" s="40"/>
      <c r="BM2605" s="40"/>
      <c r="BN2605" s="40"/>
      <c r="BO2605" s="40"/>
      <c r="BP2605" s="155"/>
      <c r="BQ2605" s="314"/>
      <c r="BR2605" s="314"/>
      <c r="BS2605" s="314"/>
      <c r="BT2605" s="314"/>
      <c r="BU2605" s="314"/>
      <c r="BV2605" s="314"/>
      <c r="BW2605" s="314"/>
      <c r="BX2605" s="155"/>
    </row>
    <row r="2606" spans="1:76" ht="15.75" customHeight="1">
      <c r="A2606" s="25"/>
      <c r="B2606" s="39"/>
      <c r="C2606" s="155"/>
      <c r="D2606" s="155"/>
      <c r="E2606" s="40"/>
      <c r="F2606" s="314"/>
      <c r="H2606" s="315"/>
      <c r="I2606" s="315"/>
      <c r="BA2606" s="30"/>
      <c r="BB2606" s="155"/>
      <c r="BC2606" s="314"/>
      <c r="BD2606" s="314"/>
      <c r="BE2606" s="314"/>
      <c r="BF2606" s="314"/>
      <c r="BG2606" s="314"/>
      <c r="BH2606" s="314"/>
      <c r="BI2606" s="314"/>
      <c r="BJ2606" s="314"/>
      <c r="BK2606" s="40"/>
      <c r="BL2606" s="40"/>
      <c r="BM2606" s="40"/>
      <c r="BN2606" s="40"/>
      <c r="BO2606" s="40"/>
      <c r="BP2606" s="155"/>
      <c r="BQ2606" s="314"/>
      <c r="BR2606" s="314"/>
      <c r="BS2606" s="314"/>
      <c r="BT2606" s="314"/>
      <c r="BU2606" s="314"/>
      <c r="BV2606" s="314"/>
      <c r="BW2606" s="314"/>
      <c r="BX2606" s="155"/>
    </row>
    <row r="2607" spans="1:76" ht="15.75" customHeight="1">
      <c r="A2607" s="25"/>
      <c r="B2607" s="39"/>
      <c r="C2607" s="155"/>
      <c r="D2607" s="155"/>
      <c r="E2607" s="40"/>
      <c r="F2607" s="314"/>
      <c r="H2607" s="315"/>
      <c r="I2607" s="315"/>
      <c r="BA2607" s="30"/>
      <c r="BB2607" s="155"/>
      <c r="BC2607" s="314"/>
      <c r="BD2607" s="314"/>
      <c r="BE2607" s="314"/>
      <c r="BF2607" s="314"/>
      <c r="BG2607" s="314"/>
      <c r="BH2607" s="314"/>
      <c r="BI2607" s="314"/>
      <c r="BJ2607" s="314"/>
      <c r="BK2607" s="40"/>
      <c r="BL2607" s="40"/>
      <c r="BM2607" s="40"/>
      <c r="BN2607" s="40"/>
      <c r="BO2607" s="40"/>
      <c r="BP2607" s="155"/>
      <c r="BQ2607" s="314"/>
      <c r="BR2607" s="314"/>
      <c r="BS2607" s="314"/>
      <c r="BT2607" s="314"/>
      <c r="BU2607" s="314"/>
      <c r="BV2607" s="314"/>
      <c r="BW2607" s="314"/>
      <c r="BX2607" s="155"/>
    </row>
    <row r="2608" spans="1:76" ht="15.75" customHeight="1">
      <c r="A2608" s="25"/>
      <c r="B2608" s="39"/>
      <c r="C2608" s="155"/>
      <c r="D2608" s="155"/>
      <c r="E2608" s="40"/>
      <c r="F2608" s="314"/>
      <c r="H2608" s="315"/>
      <c r="I2608" s="315"/>
      <c r="BA2608" s="30"/>
      <c r="BB2608" s="155"/>
      <c r="BC2608" s="314"/>
      <c r="BD2608" s="314"/>
      <c r="BE2608" s="314"/>
      <c r="BF2608" s="314"/>
      <c r="BG2608" s="314"/>
      <c r="BH2608" s="314"/>
      <c r="BI2608" s="314"/>
      <c r="BJ2608" s="314"/>
      <c r="BK2608" s="40"/>
      <c r="BL2608" s="40"/>
      <c r="BM2608" s="40"/>
      <c r="BN2608" s="40"/>
      <c r="BO2608" s="40"/>
      <c r="BP2608" s="155"/>
      <c r="BQ2608" s="314"/>
      <c r="BR2608" s="314"/>
      <c r="BS2608" s="314"/>
      <c r="BT2608" s="314"/>
      <c r="BU2608" s="314"/>
      <c r="BV2608" s="314"/>
      <c r="BW2608" s="314"/>
      <c r="BX2608" s="155"/>
    </row>
    <row r="2609" spans="1:76" ht="15.75" customHeight="1">
      <c r="A2609" s="25"/>
      <c r="B2609" s="39"/>
      <c r="C2609" s="155"/>
      <c r="D2609" s="155"/>
      <c r="E2609" s="40"/>
      <c r="F2609" s="314"/>
      <c r="H2609" s="315"/>
      <c r="I2609" s="315"/>
      <c r="BA2609" s="30"/>
      <c r="BB2609" s="155"/>
      <c r="BC2609" s="314"/>
      <c r="BD2609" s="314"/>
      <c r="BE2609" s="314"/>
      <c r="BF2609" s="314"/>
      <c r="BG2609" s="314"/>
      <c r="BH2609" s="314"/>
      <c r="BI2609" s="314"/>
      <c r="BJ2609" s="314"/>
      <c r="BK2609" s="40"/>
      <c r="BL2609" s="40"/>
      <c r="BM2609" s="40"/>
      <c r="BN2609" s="40"/>
      <c r="BO2609" s="40"/>
      <c r="BP2609" s="155"/>
      <c r="BQ2609" s="314"/>
      <c r="BR2609" s="314"/>
      <c r="BS2609" s="314"/>
      <c r="BT2609" s="314"/>
      <c r="BU2609" s="314"/>
      <c r="BV2609" s="314"/>
      <c r="BW2609" s="314"/>
      <c r="BX2609" s="155"/>
    </row>
    <row r="2610" spans="1:76" ht="15.75" customHeight="1">
      <c r="A2610" s="25"/>
      <c r="B2610" s="39"/>
      <c r="C2610" s="155"/>
      <c r="D2610" s="155"/>
      <c r="E2610" s="40"/>
      <c r="F2610" s="314"/>
      <c r="H2610" s="315"/>
      <c r="I2610" s="315"/>
      <c r="BA2610" s="30"/>
      <c r="BB2610" s="155"/>
      <c r="BC2610" s="314"/>
      <c r="BD2610" s="314"/>
      <c r="BE2610" s="314"/>
      <c r="BF2610" s="314"/>
      <c r="BG2610" s="314"/>
      <c r="BH2610" s="314"/>
      <c r="BI2610" s="314"/>
      <c r="BJ2610" s="314"/>
      <c r="BK2610" s="40"/>
      <c r="BL2610" s="40"/>
      <c r="BM2610" s="40"/>
      <c r="BN2610" s="40"/>
      <c r="BO2610" s="40"/>
      <c r="BP2610" s="155"/>
      <c r="BQ2610" s="314"/>
      <c r="BR2610" s="314"/>
      <c r="BS2610" s="314"/>
      <c r="BT2610" s="314"/>
      <c r="BU2610" s="314"/>
      <c r="BV2610" s="314"/>
      <c r="BW2610" s="314"/>
      <c r="BX2610" s="155"/>
    </row>
    <row r="2611" spans="1:76" ht="15.75" customHeight="1">
      <c r="A2611" s="25"/>
      <c r="B2611" s="39"/>
      <c r="C2611" s="155"/>
      <c r="D2611" s="155"/>
      <c r="E2611" s="40"/>
      <c r="F2611" s="314"/>
      <c r="H2611" s="315"/>
      <c r="I2611" s="315"/>
      <c r="BA2611" s="30"/>
      <c r="BB2611" s="155"/>
      <c r="BC2611" s="314"/>
      <c r="BD2611" s="314"/>
      <c r="BE2611" s="314"/>
      <c r="BF2611" s="314"/>
      <c r="BG2611" s="314"/>
      <c r="BH2611" s="314"/>
      <c r="BI2611" s="314"/>
      <c r="BJ2611" s="314"/>
      <c r="BK2611" s="40"/>
      <c r="BL2611" s="40"/>
      <c r="BM2611" s="40"/>
      <c r="BN2611" s="40"/>
      <c r="BO2611" s="40"/>
      <c r="BP2611" s="155"/>
      <c r="BQ2611" s="314"/>
      <c r="BR2611" s="314"/>
      <c r="BS2611" s="314"/>
      <c r="BT2611" s="314"/>
      <c r="BU2611" s="314"/>
      <c r="BV2611" s="314"/>
      <c r="BW2611" s="314"/>
      <c r="BX2611" s="155"/>
    </row>
    <row r="2612" spans="1:76" ht="15.75" customHeight="1">
      <c r="A2612" s="25"/>
      <c r="B2612" s="39"/>
      <c r="C2612" s="155"/>
      <c r="D2612" s="155"/>
      <c r="E2612" s="40"/>
      <c r="F2612" s="314"/>
      <c r="H2612" s="315"/>
      <c r="I2612" s="315"/>
      <c r="BA2612" s="30"/>
      <c r="BB2612" s="155"/>
      <c r="BC2612" s="314"/>
      <c r="BD2612" s="314"/>
      <c r="BE2612" s="314"/>
      <c r="BF2612" s="314"/>
      <c r="BG2612" s="314"/>
      <c r="BH2612" s="314"/>
      <c r="BI2612" s="314"/>
      <c r="BJ2612" s="314"/>
      <c r="BK2612" s="40"/>
      <c r="BL2612" s="40"/>
      <c r="BM2612" s="40"/>
      <c r="BN2612" s="40"/>
      <c r="BO2612" s="40"/>
      <c r="BP2612" s="155"/>
      <c r="BQ2612" s="314"/>
      <c r="BR2612" s="314"/>
      <c r="BS2612" s="314"/>
      <c r="BT2612" s="314"/>
      <c r="BU2612" s="314"/>
      <c r="BV2612" s="314"/>
      <c r="BW2612" s="314"/>
      <c r="BX2612" s="155"/>
    </row>
    <row r="2613" spans="1:76" ht="15.75" customHeight="1">
      <c r="A2613" s="25"/>
      <c r="B2613" s="39"/>
      <c r="C2613" s="155"/>
      <c r="D2613" s="155"/>
      <c r="E2613" s="40"/>
      <c r="F2613" s="314"/>
      <c r="H2613" s="315"/>
      <c r="I2613" s="315"/>
      <c r="BA2613" s="30"/>
      <c r="BB2613" s="155"/>
      <c r="BC2613" s="314"/>
      <c r="BD2613" s="314"/>
      <c r="BE2613" s="314"/>
      <c r="BF2613" s="314"/>
      <c r="BG2613" s="314"/>
      <c r="BH2613" s="314"/>
      <c r="BI2613" s="314"/>
      <c r="BJ2613" s="314"/>
      <c r="BK2613" s="40"/>
      <c r="BL2613" s="40"/>
      <c r="BM2613" s="40"/>
      <c r="BN2613" s="40"/>
      <c r="BO2613" s="40"/>
      <c r="BP2613" s="155"/>
      <c r="BQ2613" s="314"/>
      <c r="BR2613" s="314"/>
      <c r="BS2613" s="314"/>
      <c r="BT2613" s="314"/>
      <c r="BU2613" s="314"/>
      <c r="BV2613" s="314"/>
      <c r="BW2613" s="314"/>
      <c r="BX2613" s="155"/>
    </row>
    <row r="2614" spans="1:76" ht="15.75" customHeight="1">
      <c r="A2614" s="25"/>
      <c r="B2614" s="39"/>
      <c r="C2614" s="155"/>
      <c r="D2614" s="155"/>
      <c r="E2614" s="40"/>
      <c r="F2614" s="314"/>
      <c r="H2614" s="315"/>
      <c r="I2614" s="315"/>
      <c r="BA2614" s="30"/>
      <c r="BB2614" s="155"/>
      <c r="BC2614" s="314"/>
      <c r="BD2614" s="314"/>
      <c r="BE2614" s="314"/>
      <c r="BF2614" s="314"/>
      <c r="BG2614" s="314"/>
      <c r="BH2614" s="314"/>
      <c r="BI2614" s="314"/>
      <c r="BJ2614" s="314"/>
      <c r="BK2614" s="40"/>
      <c r="BL2614" s="40"/>
      <c r="BM2614" s="40"/>
      <c r="BN2614" s="40"/>
      <c r="BO2614" s="40"/>
      <c r="BP2614" s="155"/>
      <c r="BQ2614" s="314"/>
      <c r="BR2614" s="314"/>
      <c r="BS2614" s="314"/>
      <c r="BT2614" s="314"/>
      <c r="BU2614" s="314"/>
      <c r="BV2614" s="314"/>
      <c r="BW2614" s="314"/>
      <c r="BX2614" s="155"/>
    </row>
    <row r="2615" spans="1:76" ht="15.75" customHeight="1">
      <c r="A2615" s="25"/>
      <c r="B2615" s="39"/>
      <c r="C2615" s="155"/>
      <c r="D2615" s="155"/>
      <c r="E2615" s="40"/>
      <c r="F2615" s="314"/>
      <c r="H2615" s="315"/>
      <c r="I2615" s="315"/>
      <c r="BA2615" s="30"/>
      <c r="BB2615" s="155"/>
      <c r="BC2615" s="314"/>
      <c r="BD2615" s="314"/>
      <c r="BE2615" s="314"/>
      <c r="BF2615" s="314"/>
      <c r="BG2615" s="314"/>
      <c r="BH2615" s="314"/>
      <c r="BI2615" s="314"/>
      <c r="BJ2615" s="314"/>
      <c r="BK2615" s="40"/>
      <c r="BL2615" s="40"/>
      <c r="BM2615" s="40"/>
      <c r="BN2615" s="40"/>
      <c r="BO2615" s="40"/>
      <c r="BP2615" s="155"/>
      <c r="BQ2615" s="314"/>
      <c r="BR2615" s="314"/>
      <c r="BS2615" s="314"/>
      <c r="BT2615" s="314"/>
      <c r="BU2615" s="314"/>
      <c r="BV2615" s="314"/>
      <c r="BW2615" s="314"/>
      <c r="BX2615" s="155"/>
    </row>
    <row r="2616" spans="1:76" ht="15.75" customHeight="1">
      <c r="A2616" s="25"/>
      <c r="B2616" s="39"/>
      <c r="C2616" s="155"/>
      <c r="D2616" s="155"/>
      <c r="E2616" s="40"/>
      <c r="F2616" s="314"/>
      <c r="H2616" s="315"/>
      <c r="I2616" s="315"/>
      <c r="BA2616" s="30"/>
      <c r="BB2616" s="155"/>
      <c r="BC2616" s="314"/>
      <c r="BD2616" s="314"/>
      <c r="BE2616" s="314"/>
      <c r="BF2616" s="314"/>
      <c r="BG2616" s="314"/>
      <c r="BH2616" s="314"/>
      <c r="BI2616" s="314"/>
      <c r="BJ2616" s="314"/>
      <c r="BK2616" s="40"/>
      <c r="BL2616" s="40"/>
      <c r="BM2616" s="40"/>
      <c r="BN2616" s="40"/>
      <c r="BO2616" s="40"/>
      <c r="BP2616" s="155"/>
      <c r="BQ2616" s="314"/>
      <c r="BR2616" s="314"/>
      <c r="BS2616" s="314"/>
      <c r="BT2616" s="314"/>
      <c r="BU2616" s="314"/>
      <c r="BV2616" s="314"/>
      <c r="BW2616" s="314"/>
      <c r="BX2616" s="155"/>
    </row>
    <row r="2617" spans="1:76" ht="15.75" customHeight="1">
      <c r="A2617" s="25"/>
      <c r="B2617" s="39"/>
      <c r="C2617" s="155"/>
      <c r="D2617" s="155"/>
      <c r="E2617" s="40"/>
      <c r="F2617" s="314"/>
      <c r="H2617" s="315"/>
      <c r="I2617" s="315"/>
      <c r="BA2617" s="30"/>
      <c r="BB2617" s="155"/>
      <c r="BC2617" s="314"/>
      <c r="BD2617" s="314"/>
      <c r="BE2617" s="314"/>
      <c r="BF2617" s="314"/>
      <c r="BG2617" s="314"/>
      <c r="BH2617" s="314"/>
      <c r="BI2617" s="314"/>
      <c r="BJ2617" s="314"/>
      <c r="BK2617" s="40"/>
      <c r="BL2617" s="40"/>
      <c r="BM2617" s="40"/>
      <c r="BN2617" s="40"/>
      <c r="BO2617" s="40"/>
      <c r="BP2617" s="155"/>
      <c r="BQ2617" s="314"/>
      <c r="BR2617" s="314"/>
      <c r="BS2617" s="314"/>
      <c r="BT2617" s="314"/>
      <c r="BU2617" s="314"/>
      <c r="BV2617" s="314"/>
      <c r="BW2617" s="314"/>
      <c r="BX2617" s="155"/>
    </row>
    <row r="2618" spans="1:76" ht="15.75" customHeight="1">
      <c r="A2618" s="25"/>
      <c r="B2618" s="39"/>
      <c r="C2618" s="155"/>
      <c r="D2618" s="155"/>
      <c r="E2618" s="40"/>
      <c r="F2618" s="314"/>
      <c r="H2618" s="315"/>
      <c r="I2618" s="315"/>
      <c r="BA2618" s="30"/>
      <c r="BB2618" s="155"/>
      <c r="BC2618" s="314"/>
      <c r="BD2618" s="314"/>
      <c r="BE2618" s="314"/>
      <c r="BF2618" s="314"/>
      <c r="BG2618" s="314"/>
      <c r="BH2618" s="314"/>
      <c r="BI2618" s="314"/>
      <c r="BJ2618" s="314"/>
      <c r="BK2618" s="40"/>
      <c r="BL2618" s="40"/>
      <c r="BM2618" s="40"/>
      <c r="BN2618" s="40"/>
      <c r="BO2618" s="40"/>
      <c r="BP2618" s="155"/>
      <c r="BQ2618" s="314"/>
      <c r="BR2618" s="314"/>
      <c r="BS2618" s="314"/>
      <c r="BT2618" s="314"/>
      <c r="BU2618" s="314"/>
      <c r="BV2618" s="314"/>
      <c r="BW2618" s="314"/>
      <c r="BX2618" s="155"/>
    </row>
    <row r="2619" spans="1:76" ht="15.75" customHeight="1">
      <c r="A2619" s="25"/>
      <c r="B2619" s="39"/>
      <c r="C2619" s="155"/>
      <c r="D2619" s="155"/>
      <c r="E2619" s="40"/>
      <c r="F2619" s="314"/>
      <c r="H2619" s="315"/>
      <c r="I2619" s="315"/>
      <c r="BA2619" s="30"/>
      <c r="BB2619" s="155"/>
      <c r="BC2619" s="314"/>
      <c r="BD2619" s="314"/>
      <c r="BE2619" s="314"/>
      <c r="BF2619" s="314"/>
      <c r="BG2619" s="314"/>
      <c r="BH2619" s="314"/>
      <c r="BI2619" s="314"/>
      <c r="BJ2619" s="314"/>
      <c r="BK2619" s="40"/>
      <c r="BL2619" s="40"/>
      <c r="BM2619" s="40"/>
      <c r="BN2619" s="40"/>
      <c r="BO2619" s="40"/>
      <c r="BP2619" s="155"/>
      <c r="BQ2619" s="314"/>
      <c r="BR2619" s="314"/>
      <c r="BS2619" s="314"/>
      <c r="BT2619" s="314"/>
      <c r="BU2619" s="314"/>
      <c r="BV2619" s="314"/>
      <c r="BW2619" s="314"/>
      <c r="BX2619" s="155"/>
    </row>
    <row r="2620" spans="1:76" ht="15.75" customHeight="1">
      <c r="A2620" s="25"/>
      <c r="B2620" s="39"/>
      <c r="C2620" s="155"/>
      <c r="D2620" s="155"/>
      <c r="E2620" s="40"/>
      <c r="F2620" s="314"/>
      <c r="H2620" s="315"/>
      <c r="I2620" s="315"/>
      <c r="BA2620" s="30"/>
      <c r="BB2620" s="155"/>
      <c r="BC2620" s="322"/>
      <c r="BD2620" s="322"/>
      <c r="BE2620" s="322"/>
      <c r="BF2620" s="322"/>
      <c r="BG2620" s="322"/>
      <c r="BH2620" s="322"/>
      <c r="BI2620" s="322"/>
      <c r="BJ2620" s="322"/>
      <c r="BK2620" s="341"/>
      <c r="BL2620" s="40"/>
      <c r="BM2620" s="40"/>
      <c r="BN2620" s="40"/>
      <c r="BO2620" s="40"/>
      <c r="BP2620" s="155"/>
      <c r="BQ2620" s="314"/>
      <c r="BR2620" s="314"/>
      <c r="BS2620" s="314"/>
      <c r="BT2620" s="314"/>
      <c r="BU2620" s="314"/>
      <c r="BV2620" s="314"/>
      <c r="BW2620" s="314"/>
      <c r="BX2620" s="155"/>
    </row>
    <row r="2621" spans="1:76" ht="15.75" customHeight="1">
      <c r="A2621" s="25"/>
      <c r="B2621" s="39"/>
      <c r="C2621" s="155"/>
      <c r="D2621" s="155"/>
      <c r="E2621" s="40"/>
      <c r="F2621" s="314"/>
      <c r="H2621" s="315"/>
      <c r="I2621" s="315"/>
      <c r="BA2621" s="30"/>
      <c r="BB2621" s="155"/>
      <c r="BC2621" s="314"/>
      <c r="BD2621" s="314"/>
      <c r="BE2621" s="314"/>
      <c r="BF2621" s="314"/>
      <c r="BG2621" s="314"/>
      <c r="BH2621" s="314"/>
      <c r="BI2621" s="314"/>
      <c r="BJ2621" s="314"/>
      <c r="BK2621" s="40"/>
      <c r="BL2621" s="40"/>
      <c r="BM2621" s="40"/>
      <c r="BN2621" s="40"/>
      <c r="BO2621" s="40"/>
      <c r="BP2621" s="155"/>
      <c r="BQ2621" s="314"/>
      <c r="BR2621" s="314"/>
      <c r="BS2621" s="314"/>
      <c r="BT2621" s="314"/>
      <c r="BU2621" s="314"/>
      <c r="BV2621" s="314"/>
      <c r="BW2621" s="314"/>
      <c r="BX2621" s="155"/>
    </row>
    <row r="2622" spans="1:76" ht="15.75" customHeight="1">
      <c r="A2622" s="25"/>
      <c r="B2622" s="39"/>
      <c r="C2622" s="155"/>
      <c r="D2622" s="155"/>
      <c r="E2622" s="40"/>
      <c r="F2622" s="314"/>
      <c r="H2622" s="315"/>
      <c r="I2622" s="315"/>
      <c r="BA2622" s="30"/>
      <c r="BB2622" s="155"/>
      <c r="BC2622" s="314"/>
      <c r="BD2622" s="314"/>
      <c r="BE2622" s="314"/>
      <c r="BF2622" s="314"/>
      <c r="BG2622" s="314"/>
      <c r="BH2622" s="314"/>
      <c r="BI2622" s="314"/>
      <c r="BJ2622" s="314"/>
      <c r="BK2622" s="40"/>
      <c r="BL2622" s="40"/>
      <c r="BM2622" s="40"/>
      <c r="BN2622" s="40"/>
      <c r="BO2622" s="40"/>
      <c r="BP2622" s="155"/>
      <c r="BQ2622" s="314"/>
      <c r="BR2622" s="314"/>
      <c r="BS2622" s="314"/>
      <c r="BT2622" s="314"/>
      <c r="BU2622" s="314"/>
      <c r="BV2622" s="314"/>
      <c r="BW2622" s="314"/>
      <c r="BX2622" s="155"/>
    </row>
    <row r="2623" spans="1:76" ht="15.75" customHeight="1">
      <c r="A2623" s="25"/>
      <c r="B2623" s="39"/>
      <c r="C2623" s="155"/>
      <c r="D2623" s="155"/>
      <c r="E2623" s="40"/>
      <c r="F2623" s="314"/>
      <c r="H2623" s="315"/>
      <c r="I2623" s="315"/>
      <c r="BA2623" s="30"/>
      <c r="BB2623" s="155"/>
      <c r="BC2623" s="314"/>
      <c r="BD2623" s="314"/>
      <c r="BE2623" s="314"/>
      <c r="BF2623" s="314"/>
      <c r="BG2623" s="314"/>
      <c r="BH2623" s="314"/>
      <c r="BI2623" s="314"/>
      <c r="BJ2623" s="314"/>
      <c r="BK2623" s="40"/>
      <c r="BL2623" s="40"/>
      <c r="BM2623" s="40"/>
      <c r="BN2623" s="40"/>
      <c r="BO2623" s="40"/>
      <c r="BP2623" s="155"/>
      <c r="BQ2623" s="314"/>
      <c r="BR2623" s="314"/>
      <c r="BS2623" s="314"/>
      <c r="BT2623" s="314"/>
      <c r="BU2623" s="314"/>
      <c r="BV2623" s="314"/>
      <c r="BW2623" s="314"/>
      <c r="BX2623" s="155"/>
    </row>
    <row r="2624" spans="1:76" ht="15.75" customHeight="1">
      <c r="A2624" s="25"/>
      <c r="B2624" s="39"/>
      <c r="C2624" s="155"/>
      <c r="D2624" s="155"/>
      <c r="E2624" s="40"/>
      <c r="F2624" s="314"/>
      <c r="H2624" s="315"/>
      <c r="I2624" s="315"/>
      <c r="BA2624" s="30"/>
      <c r="BB2624" s="155"/>
      <c r="BC2624" s="314"/>
      <c r="BD2624" s="314"/>
      <c r="BE2624" s="314"/>
      <c r="BF2624" s="314"/>
      <c r="BG2624" s="314"/>
      <c r="BH2624" s="314"/>
      <c r="BI2624" s="314"/>
      <c r="BJ2624" s="314"/>
      <c r="BK2624" s="40"/>
      <c r="BL2624" s="40"/>
      <c r="BM2624" s="40"/>
      <c r="BN2624" s="40"/>
      <c r="BO2624" s="40"/>
      <c r="BP2624" s="155"/>
      <c r="BQ2624" s="314"/>
      <c r="BR2624" s="314"/>
      <c r="BS2624" s="314"/>
      <c r="BT2624" s="314"/>
      <c r="BU2624" s="314"/>
      <c r="BV2624" s="314"/>
      <c r="BW2624" s="314"/>
      <c r="BX2624" s="155"/>
    </row>
    <row r="2625" spans="1:76" ht="15.75" customHeight="1">
      <c r="A2625" s="25"/>
      <c r="B2625" s="39"/>
      <c r="C2625" s="155"/>
      <c r="D2625" s="155"/>
      <c r="E2625" s="40"/>
      <c r="F2625" s="314"/>
      <c r="H2625" s="315"/>
      <c r="I2625" s="315"/>
      <c r="BA2625" s="30"/>
      <c r="BB2625" s="155"/>
      <c r="BC2625" s="314"/>
      <c r="BD2625" s="314"/>
      <c r="BE2625" s="314"/>
      <c r="BF2625" s="314"/>
      <c r="BG2625" s="314"/>
      <c r="BH2625" s="314"/>
      <c r="BI2625" s="314"/>
      <c r="BJ2625" s="314"/>
      <c r="BK2625" s="40"/>
      <c r="BL2625" s="40"/>
      <c r="BM2625" s="40"/>
      <c r="BN2625" s="40"/>
      <c r="BO2625" s="40"/>
      <c r="BP2625" s="155"/>
      <c r="BQ2625" s="314"/>
      <c r="BR2625" s="314"/>
      <c r="BS2625" s="314"/>
      <c r="BT2625" s="314"/>
      <c r="BU2625" s="314"/>
      <c r="BV2625" s="314"/>
      <c r="BW2625" s="314"/>
      <c r="BX2625" s="155"/>
    </row>
    <row r="2626" spans="1:76" ht="15.75" customHeight="1">
      <c r="A2626" s="25"/>
      <c r="B2626" s="39"/>
      <c r="C2626" s="155"/>
      <c r="D2626" s="155"/>
      <c r="E2626" s="40"/>
      <c r="F2626" s="314"/>
      <c r="H2626" s="315"/>
      <c r="I2626" s="315"/>
      <c r="BA2626" s="30"/>
      <c r="BB2626" s="155"/>
      <c r="BC2626" s="314"/>
      <c r="BD2626" s="314"/>
      <c r="BE2626" s="314"/>
      <c r="BF2626" s="314"/>
      <c r="BG2626" s="314"/>
      <c r="BH2626" s="314"/>
      <c r="BI2626" s="314"/>
      <c r="BJ2626" s="314"/>
      <c r="BK2626" s="40"/>
      <c r="BL2626" s="40"/>
      <c r="BM2626" s="40"/>
      <c r="BN2626" s="40"/>
      <c r="BO2626" s="40"/>
      <c r="BP2626" s="155"/>
      <c r="BQ2626" s="314"/>
      <c r="BR2626" s="314"/>
      <c r="BS2626" s="314"/>
      <c r="BT2626" s="314"/>
      <c r="BU2626" s="314"/>
      <c r="BV2626" s="314"/>
      <c r="BW2626" s="314"/>
      <c r="BX2626" s="155"/>
    </row>
    <row r="2627" spans="1:76" ht="15.75" customHeight="1">
      <c r="A2627" s="25"/>
      <c r="B2627" s="39"/>
      <c r="C2627" s="155"/>
      <c r="D2627" s="155"/>
      <c r="E2627" s="40"/>
      <c r="F2627" s="314"/>
      <c r="H2627" s="315"/>
      <c r="I2627" s="315"/>
      <c r="BA2627" s="30"/>
      <c r="BB2627" s="155"/>
      <c r="BC2627" s="314"/>
      <c r="BD2627" s="314"/>
      <c r="BE2627" s="314"/>
      <c r="BF2627" s="314"/>
      <c r="BG2627" s="314"/>
      <c r="BH2627" s="314"/>
      <c r="BI2627" s="314"/>
      <c r="BJ2627" s="314"/>
      <c r="BK2627" s="40"/>
      <c r="BL2627" s="40"/>
      <c r="BM2627" s="40"/>
      <c r="BN2627" s="40"/>
      <c r="BO2627" s="40"/>
      <c r="BP2627" s="155"/>
      <c r="BQ2627" s="314"/>
      <c r="BR2627" s="314"/>
      <c r="BS2627" s="314"/>
      <c r="BT2627" s="314"/>
      <c r="BU2627" s="314"/>
      <c r="BV2627" s="314"/>
      <c r="BW2627" s="314"/>
      <c r="BX2627" s="155"/>
    </row>
    <row r="2628" spans="1:76" ht="15.75" customHeight="1">
      <c r="A2628" s="25"/>
      <c r="B2628" s="39"/>
      <c r="C2628" s="155"/>
      <c r="D2628" s="155"/>
      <c r="E2628" s="40"/>
      <c r="F2628" s="314"/>
      <c r="H2628" s="315"/>
      <c r="I2628" s="315"/>
      <c r="BA2628" s="30"/>
      <c r="BB2628" s="155"/>
      <c r="BC2628" s="314"/>
      <c r="BD2628" s="314"/>
      <c r="BE2628" s="314"/>
      <c r="BF2628" s="314"/>
      <c r="BG2628" s="314"/>
      <c r="BH2628" s="314"/>
      <c r="BI2628" s="314"/>
      <c r="BJ2628" s="314"/>
      <c r="BK2628" s="40"/>
      <c r="BL2628" s="40"/>
      <c r="BM2628" s="40"/>
      <c r="BN2628" s="40"/>
      <c r="BO2628" s="40"/>
      <c r="BP2628" s="155"/>
      <c r="BQ2628" s="314"/>
      <c r="BR2628" s="314"/>
      <c r="BS2628" s="314"/>
      <c r="BT2628" s="314"/>
      <c r="BU2628" s="314"/>
      <c r="BV2628" s="314"/>
      <c r="BW2628" s="314"/>
      <c r="BX2628" s="155"/>
    </row>
    <row r="2629" spans="1:76" ht="15.75" customHeight="1">
      <c r="A2629" s="25"/>
      <c r="B2629" s="39"/>
      <c r="C2629" s="155"/>
      <c r="D2629" s="155"/>
      <c r="E2629" s="40"/>
      <c r="F2629" s="314"/>
      <c r="H2629" s="315"/>
      <c r="I2629" s="315"/>
      <c r="BA2629" s="30"/>
      <c r="BB2629" s="155"/>
      <c r="BC2629" s="314"/>
      <c r="BD2629" s="314"/>
      <c r="BE2629" s="314"/>
      <c r="BF2629" s="314"/>
      <c r="BG2629" s="314"/>
      <c r="BH2629" s="314"/>
      <c r="BI2629" s="314"/>
      <c r="BJ2629" s="314"/>
      <c r="BK2629" s="40"/>
      <c r="BL2629" s="40"/>
      <c r="BM2629" s="40"/>
      <c r="BN2629" s="40"/>
      <c r="BO2629" s="40"/>
      <c r="BP2629" s="155"/>
      <c r="BQ2629" s="314"/>
      <c r="BR2629" s="314"/>
      <c r="BS2629" s="314"/>
      <c r="BT2629" s="314"/>
      <c r="BU2629" s="314"/>
      <c r="BV2629" s="314"/>
      <c r="BW2629" s="314"/>
      <c r="BX2629" s="155"/>
    </row>
    <row r="2630" spans="1:76" ht="15.75" customHeight="1">
      <c r="A2630" s="25"/>
      <c r="B2630" s="39"/>
      <c r="C2630" s="155"/>
      <c r="D2630" s="155"/>
      <c r="E2630" s="40"/>
      <c r="F2630" s="314"/>
      <c r="H2630" s="315"/>
      <c r="I2630" s="315"/>
      <c r="BA2630" s="30"/>
      <c r="BB2630" s="155"/>
      <c r="BC2630" s="314"/>
      <c r="BD2630" s="314"/>
      <c r="BE2630" s="314"/>
      <c r="BF2630" s="314"/>
      <c r="BG2630" s="314"/>
      <c r="BH2630" s="314"/>
      <c r="BI2630" s="314"/>
      <c r="BJ2630" s="314"/>
      <c r="BK2630" s="40"/>
      <c r="BL2630" s="40"/>
      <c r="BM2630" s="40"/>
      <c r="BN2630" s="40"/>
      <c r="BO2630" s="40"/>
      <c r="BP2630" s="155"/>
      <c r="BQ2630" s="314"/>
      <c r="BR2630" s="314"/>
      <c r="BS2630" s="314"/>
      <c r="BT2630" s="314"/>
      <c r="BU2630" s="314"/>
      <c r="BV2630" s="314"/>
      <c r="BW2630" s="314"/>
      <c r="BX2630" s="155"/>
    </row>
    <row r="2631" spans="1:76" ht="15.75" customHeight="1">
      <c r="A2631" s="25"/>
      <c r="B2631" s="39"/>
      <c r="C2631" s="155"/>
      <c r="D2631" s="155"/>
      <c r="E2631" s="40"/>
      <c r="F2631" s="314"/>
      <c r="H2631" s="315"/>
      <c r="I2631" s="315"/>
      <c r="BA2631" s="30"/>
      <c r="BB2631" s="155"/>
      <c r="BC2631" s="314"/>
      <c r="BD2631" s="314"/>
      <c r="BE2631" s="314"/>
      <c r="BF2631" s="314"/>
      <c r="BG2631" s="314"/>
      <c r="BH2631" s="314"/>
      <c r="BI2631" s="314"/>
      <c r="BJ2631" s="314"/>
      <c r="BK2631" s="40"/>
      <c r="BL2631" s="40"/>
      <c r="BM2631" s="40"/>
      <c r="BN2631" s="40"/>
      <c r="BO2631" s="40"/>
      <c r="BP2631" s="155"/>
      <c r="BQ2631" s="314"/>
      <c r="BR2631" s="314"/>
      <c r="BS2631" s="314"/>
      <c r="BT2631" s="314"/>
      <c r="BU2631" s="314"/>
      <c r="BV2631" s="314"/>
      <c r="BW2631" s="314"/>
      <c r="BX2631" s="155"/>
    </row>
    <row r="2632" spans="1:76" ht="15.75" customHeight="1">
      <c r="A2632" s="25"/>
      <c r="B2632" s="39"/>
      <c r="C2632" s="155"/>
      <c r="D2632" s="155"/>
      <c r="E2632" s="40"/>
      <c r="F2632" s="314"/>
      <c r="H2632" s="315"/>
      <c r="I2632" s="315"/>
      <c r="BA2632" s="30"/>
      <c r="BB2632" s="155"/>
      <c r="BC2632" s="314"/>
      <c r="BD2632" s="314"/>
      <c r="BE2632" s="314"/>
      <c r="BF2632" s="314"/>
      <c r="BG2632" s="314"/>
      <c r="BH2632" s="314"/>
      <c r="BI2632" s="314"/>
      <c r="BJ2632" s="314"/>
      <c r="BK2632" s="40"/>
      <c r="BL2632" s="40"/>
      <c r="BM2632" s="40"/>
      <c r="BN2632" s="40"/>
      <c r="BO2632" s="40"/>
      <c r="BP2632" s="155"/>
      <c r="BQ2632" s="314"/>
      <c r="BR2632" s="314"/>
      <c r="BS2632" s="314"/>
      <c r="BT2632" s="314"/>
      <c r="BU2632" s="314"/>
      <c r="BV2632" s="314"/>
      <c r="BW2632" s="314"/>
      <c r="BX2632" s="155"/>
    </row>
    <row r="2633" spans="1:76" ht="15.75" customHeight="1">
      <c r="A2633" s="25"/>
      <c r="B2633" s="39"/>
      <c r="C2633" s="155"/>
      <c r="D2633" s="155"/>
      <c r="E2633" s="40"/>
      <c r="F2633" s="314"/>
      <c r="H2633" s="315"/>
      <c r="I2633" s="315"/>
      <c r="BA2633" s="30"/>
      <c r="BB2633" s="155"/>
      <c r="BC2633" s="314"/>
      <c r="BD2633" s="314"/>
      <c r="BE2633" s="314"/>
      <c r="BF2633" s="314"/>
      <c r="BG2633" s="314"/>
      <c r="BH2633" s="314"/>
      <c r="BI2633" s="314"/>
      <c r="BJ2633" s="314"/>
      <c r="BK2633" s="40"/>
      <c r="BL2633" s="40"/>
      <c r="BM2633" s="40"/>
      <c r="BN2633" s="40"/>
      <c r="BO2633" s="40"/>
      <c r="BP2633" s="155"/>
      <c r="BQ2633" s="314"/>
      <c r="BR2633" s="314"/>
      <c r="BS2633" s="314"/>
      <c r="BT2633" s="314"/>
      <c r="BU2633" s="314"/>
      <c r="BV2633" s="314"/>
      <c r="BW2633" s="314"/>
      <c r="BX2633" s="155"/>
    </row>
    <row r="2634" spans="1:76" ht="15.75" customHeight="1">
      <c r="A2634" s="25"/>
      <c r="B2634" s="39"/>
      <c r="C2634" s="155"/>
      <c r="D2634" s="155"/>
      <c r="E2634" s="40"/>
      <c r="F2634" s="314"/>
      <c r="H2634" s="315"/>
      <c r="I2634" s="315"/>
      <c r="BA2634" s="30"/>
      <c r="BB2634" s="155"/>
      <c r="BC2634" s="314"/>
      <c r="BD2634" s="314"/>
      <c r="BE2634" s="314"/>
      <c r="BF2634" s="314"/>
      <c r="BG2634" s="314"/>
      <c r="BH2634" s="314"/>
      <c r="BI2634" s="314"/>
      <c r="BJ2634" s="314"/>
      <c r="BK2634" s="40"/>
      <c r="BL2634" s="40"/>
      <c r="BM2634" s="40"/>
      <c r="BN2634" s="40"/>
      <c r="BO2634" s="40"/>
      <c r="BP2634" s="155"/>
      <c r="BQ2634" s="314"/>
      <c r="BR2634" s="314"/>
      <c r="BS2634" s="314"/>
      <c r="BT2634" s="314"/>
      <c r="BU2634" s="314"/>
      <c r="BV2634" s="314"/>
      <c r="BW2634" s="314"/>
      <c r="BX2634" s="155"/>
    </row>
    <row r="2635" spans="1:76" ht="15.75" customHeight="1">
      <c r="A2635" s="25"/>
      <c r="B2635" s="39"/>
      <c r="C2635" s="155"/>
      <c r="D2635" s="155"/>
      <c r="E2635" s="40"/>
      <c r="F2635" s="314"/>
      <c r="H2635" s="315"/>
      <c r="I2635" s="315"/>
      <c r="BA2635" s="30"/>
      <c r="BB2635" s="155"/>
      <c r="BC2635" s="314"/>
      <c r="BD2635" s="314"/>
      <c r="BE2635" s="314"/>
      <c r="BF2635" s="314"/>
      <c r="BG2635" s="314"/>
      <c r="BH2635" s="314"/>
      <c r="BI2635" s="314"/>
      <c r="BJ2635" s="314"/>
      <c r="BK2635" s="40"/>
      <c r="BL2635" s="40"/>
      <c r="BM2635" s="40"/>
      <c r="BN2635" s="40"/>
      <c r="BO2635" s="40"/>
      <c r="BP2635" s="155"/>
      <c r="BQ2635" s="314"/>
      <c r="BR2635" s="314"/>
      <c r="BS2635" s="314"/>
      <c r="BT2635" s="314"/>
      <c r="BU2635" s="314"/>
      <c r="BV2635" s="314"/>
      <c r="BW2635" s="314"/>
      <c r="BX2635" s="155"/>
    </row>
    <row r="2636" spans="1:76" ht="15.75" customHeight="1">
      <c r="A2636" s="25"/>
      <c r="B2636" s="39"/>
      <c r="C2636" s="155"/>
      <c r="D2636" s="155"/>
      <c r="E2636" s="40"/>
      <c r="F2636" s="314"/>
      <c r="H2636" s="315"/>
      <c r="I2636" s="315"/>
      <c r="BA2636" s="30"/>
      <c r="BB2636" s="155"/>
      <c r="BC2636" s="314"/>
      <c r="BD2636" s="314"/>
      <c r="BE2636" s="314"/>
      <c r="BF2636" s="314"/>
      <c r="BG2636" s="314"/>
      <c r="BH2636" s="314"/>
      <c r="BI2636" s="314"/>
      <c r="BJ2636" s="314"/>
      <c r="BK2636" s="40"/>
      <c r="BL2636" s="40"/>
      <c r="BM2636" s="40"/>
      <c r="BN2636" s="40"/>
      <c r="BO2636" s="40"/>
      <c r="BP2636" s="155"/>
      <c r="BQ2636" s="314"/>
      <c r="BR2636" s="314"/>
      <c r="BS2636" s="314"/>
      <c r="BT2636" s="314"/>
      <c r="BU2636" s="314"/>
      <c r="BV2636" s="314"/>
      <c r="BW2636" s="314"/>
      <c r="BX2636" s="155"/>
    </row>
    <row r="2637" spans="1:76" ht="15.75" customHeight="1">
      <c r="A2637" s="25"/>
      <c r="B2637" s="39"/>
      <c r="C2637" s="155"/>
      <c r="D2637" s="155"/>
      <c r="E2637" s="40"/>
      <c r="F2637" s="314"/>
      <c r="H2637" s="315"/>
      <c r="I2637" s="315"/>
      <c r="BA2637" s="30"/>
      <c r="BB2637" s="155"/>
      <c r="BC2637" s="314"/>
      <c r="BD2637" s="314"/>
      <c r="BE2637" s="314"/>
      <c r="BF2637" s="314"/>
      <c r="BG2637" s="314"/>
      <c r="BH2637" s="314"/>
      <c r="BI2637" s="314"/>
      <c r="BJ2637" s="314"/>
      <c r="BK2637" s="40"/>
      <c r="BL2637" s="40"/>
      <c r="BM2637" s="40"/>
      <c r="BN2637" s="40"/>
      <c r="BO2637" s="40"/>
      <c r="BP2637" s="155"/>
      <c r="BQ2637" s="314"/>
      <c r="BR2637" s="314"/>
      <c r="BS2637" s="314"/>
      <c r="BT2637" s="314"/>
      <c r="BU2637" s="314"/>
      <c r="BV2637" s="314"/>
      <c r="BW2637" s="314"/>
      <c r="BX2637" s="155"/>
    </row>
    <row r="2638" spans="1:76" ht="15.75" customHeight="1">
      <c r="A2638" s="25"/>
      <c r="B2638" s="39"/>
      <c r="C2638" s="155"/>
      <c r="D2638" s="155"/>
      <c r="E2638" s="40"/>
      <c r="F2638" s="314"/>
      <c r="H2638" s="315"/>
      <c r="I2638" s="315"/>
      <c r="BA2638" s="30"/>
      <c r="BB2638" s="155"/>
      <c r="BC2638" s="314"/>
      <c r="BD2638" s="314"/>
      <c r="BE2638" s="314"/>
      <c r="BF2638" s="314"/>
      <c r="BG2638" s="314"/>
      <c r="BH2638" s="314"/>
      <c r="BI2638" s="314"/>
      <c r="BJ2638" s="314"/>
      <c r="BK2638" s="40"/>
      <c r="BL2638" s="40"/>
      <c r="BM2638" s="40"/>
      <c r="BN2638" s="40"/>
      <c r="BO2638" s="40"/>
      <c r="BP2638" s="155"/>
      <c r="BQ2638" s="314"/>
      <c r="BR2638" s="314"/>
      <c r="BS2638" s="314"/>
      <c r="BT2638" s="314"/>
      <c r="BU2638" s="314"/>
      <c r="BV2638" s="314"/>
      <c r="BW2638" s="314"/>
      <c r="BX2638" s="155"/>
    </row>
    <row r="2639" spans="1:76" ht="15.75" customHeight="1">
      <c r="A2639" s="25"/>
      <c r="B2639" s="39"/>
      <c r="C2639" s="155"/>
      <c r="D2639" s="155"/>
      <c r="E2639" s="40"/>
      <c r="F2639" s="314"/>
      <c r="H2639" s="315"/>
      <c r="I2639" s="315"/>
      <c r="BA2639" s="30"/>
      <c r="BB2639" s="155"/>
      <c r="BC2639" s="314"/>
      <c r="BD2639" s="314"/>
      <c r="BE2639" s="314"/>
      <c r="BF2639" s="314"/>
      <c r="BG2639" s="314"/>
      <c r="BH2639" s="314"/>
      <c r="BI2639" s="314"/>
      <c r="BJ2639" s="314"/>
      <c r="BK2639" s="40"/>
      <c r="BL2639" s="40"/>
      <c r="BM2639" s="40"/>
      <c r="BN2639" s="40"/>
      <c r="BO2639" s="40"/>
      <c r="BP2639" s="155"/>
      <c r="BQ2639" s="314"/>
      <c r="BR2639" s="314"/>
      <c r="BS2639" s="314"/>
      <c r="BT2639" s="314"/>
      <c r="BU2639" s="314"/>
      <c r="BV2639" s="314"/>
      <c r="BW2639" s="314"/>
      <c r="BX2639" s="155"/>
    </row>
    <row r="2640" spans="1:76" ht="15.75" customHeight="1">
      <c r="A2640" s="25"/>
      <c r="B2640" s="39"/>
      <c r="C2640" s="155"/>
      <c r="D2640" s="155"/>
      <c r="E2640" s="40"/>
      <c r="F2640" s="314"/>
      <c r="H2640" s="315"/>
      <c r="I2640" s="315"/>
      <c r="BA2640" s="30"/>
      <c r="BB2640" s="155"/>
      <c r="BC2640" s="314"/>
      <c r="BD2640" s="314"/>
      <c r="BE2640" s="314"/>
      <c r="BF2640" s="314"/>
      <c r="BG2640" s="314"/>
      <c r="BH2640" s="314"/>
      <c r="BI2640" s="314"/>
      <c r="BJ2640" s="314"/>
      <c r="BK2640" s="40"/>
      <c r="BL2640" s="40"/>
      <c r="BM2640" s="40"/>
      <c r="BN2640" s="40"/>
      <c r="BO2640" s="40"/>
      <c r="BP2640" s="155"/>
      <c r="BQ2640" s="314"/>
      <c r="BR2640" s="314"/>
      <c r="BS2640" s="314"/>
      <c r="BT2640" s="314"/>
      <c r="BU2640" s="314"/>
      <c r="BV2640" s="314"/>
      <c r="BW2640" s="314"/>
      <c r="BX2640" s="155"/>
    </row>
    <row r="2641" spans="1:76" ht="15.75" customHeight="1">
      <c r="A2641" s="25"/>
      <c r="B2641" s="39"/>
      <c r="C2641" s="155"/>
      <c r="D2641" s="155"/>
      <c r="E2641" s="40"/>
      <c r="F2641" s="314"/>
      <c r="H2641" s="315"/>
      <c r="I2641" s="315"/>
      <c r="BA2641" s="30"/>
      <c r="BB2641" s="155"/>
      <c r="BC2641" s="314"/>
      <c r="BD2641" s="314"/>
      <c r="BE2641" s="314"/>
      <c r="BF2641" s="314"/>
      <c r="BG2641" s="314"/>
      <c r="BH2641" s="314"/>
      <c r="BI2641" s="314"/>
      <c r="BJ2641" s="314"/>
      <c r="BK2641" s="40"/>
      <c r="BL2641" s="40"/>
      <c r="BM2641" s="40"/>
      <c r="BN2641" s="40"/>
      <c r="BO2641" s="40"/>
      <c r="BP2641" s="155"/>
      <c r="BQ2641" s="314"/>
      <c r="BR2641" s="314"/>
      <c r="BS2641" s="314"/>
      <c r="BT2641" s="314"/>
      <c r="BU2641" s="314"/>
      <c r="BV2641" s="314"/>
      <c r="BW2641" s="314"/>
      <c r="BX2641" s="155"/>
    </row>
    <row r="2642" spans="1:76" ht="15.75" customHeight="1">
      <c r="A2642" s="25"/>
      <c r="B2642" s="39"/>
      <c r="C2642" s="155"/>
      <c r="D2642" s="155"/>
      <c r="E2642" s="40"/>
      <c r="F2642" s="314"/>
      <c r="H2642" s="315"/>
      <c r="I2642" s="315"/>
      <c r="BA2642" s="30"/>
      <c r="BB2642" s="155"/>
      <c r="BC2642" s="314"/>
      <c r="BD2642" s="314"/>
      <c r="BE2642" s="314"/>
      <c r="BF2642" s="314"/>
      <c r="BG2642" s="314"/>
      <c r="BH2642" s="314"/>
      <c r="BI2642" s="314"/>
      <c r="BJ2642" s="314"/>
      <c r="BK2642" s="40"/>
      <c r="BL2642" s="40"/>
      <c r="BM2642" s="40"/>
      <c r="BN2642" s="40"/>
      <c r="BO2642" s="40"/>
      <c r="BP2642" s="155"/>
      <c r="BQ2642" s="314"/>
      <c r="BR2642" s="314"/>
      <c r="BS2642" s="314"/>
      <c r="BT2642" s="314"/>
      <c r="BU2642" s="314"/>
      <c r="BV2642" s="314"/>
      <c r="BW2642" s="314"/>
      <c r="BX2642" s="155"/>
    </row>
    <row r="2643" spans="1:76" ht="15.75" customHeight="1">
      <c r="A2643" s="25"/>
      <c r="B2643" s="39"/>
      <c r="C2643" s="155"/>
      <c r="D2643" s="155"/>
      <c r="E2643" s="40"/>
      <c r="F2643" s="314"/>
      <c r="H2643" s="315"/>
      <c r="I2643" s="315"/>
      <c r="BA2643" s="30"/>
      <c r="BB2643" s="155"/>
      <c r="BC2643" s="322"/>
      <c r="BD2643" s="322"/>
      <c r="BE2643" s="322"/>
      <c r="BF2643" s="322"/>
      <c r="BG2643" s="322"/>
      <c r="BH2643" s="322"/>
      <c r="BI2643" s="322"/>
      <c r="BJ2643" s="322"/>
      <c r="BK2643" s="341"/>
      <c r="BL2643" s="40"/>
      <c r="BM2643" s="40"/>
      <c r="BN2643" s="40"/>
      <c r="BO2643" s="40"/>
      <c r="BP2643" s="155"/>
      <c r="BQ2643" s="314"/>
      <c r="BR2643" s="314"/>
      <c r="BS2643" s="314"/>
      <c r="BT2643" s="314"/>
      <c r="BU2643" s="314"/>
      <c r="BV2643" s="314"/>
      <c r="BW2643" s="314"/>
      <c r="BX2643" s="155"/>
    </row>
    <row r="2644" spans="1:76" ht="15.75" customHeight="1">
      <c r="A2644" s="25"/>
      <c r="B2644" s="39"/>
      <c r="C2644" s="155"/>
      <c r="D2644" s="155"/>
      <c r="E2644" s="40"/>
      <c r="F2644" s="314"/>
      <c r="H2644" s="315"/>
      <c r="I2644" s="315"/>
      <c r="BA2644" s="30"/>
      <c r="BB2644" s="155"/>
      <c r="BC2644" s="314"/>
      <c r="BD2644" s="314"/>
      <c r="BE2644" s="314"/>
      <c r="BF2644" s="314"/>
      <c r="BG2644" s="314"/>
      <c r="BH2644" s="314"/>
      <c r="BI2644" s="314"/>
      <c r="BJ2644" s="314"/>
      <c r="BK2644" s="40"/>
      <c r="BL2644" s="40"/>
      <c r="BM2644" s="40"/>
      <c r="BN2644" s="40"/>
      <c r="BO2644" s="40"/>
      <c r="BP2644" s="155"/>
      <c r="BQ2644" s="314"/>
      <c r="BR2644" s="314"/>
      <c r="BS2644" s="314"/>
      <c r="BT2644" s="314"/>
      <c r="BU2644" s="314"/>
      <c r="BV2644" s="314"/>
      <c r="BW2644" s="314"/>
      <c r="BX2644" s="155"/>
    </row>
    <row r="2645" spans="1:76" ht="15.75" customHeight="1">
      <c r="A2645" s="25"/>
      <c r="B2645" s="39"/>
      <c r="C2645" s="155"/>
      <c r="D2645" s="155"/>
      <c r="E2645" s="40"/>
      <c r="F2645" s="314"/>
      <c r="H2645" s="315"/>
      <c r="I2645" s="315"/>
      <c r="BA2645" s="30"/>
      <c r="BB2645" s="155"/>
      <c r="BC2645" s="314"/>
      <c r="BD2645" s="314"/>
      <c r="BE2645" s="314"/>
      <c r="BF2645" s="314"/>
      <c r="BG2645" s="314"/>
      <c r="BH2645" s="314"/>
      <c r="BI2645" s="314"/>
      <c r="BJ2645" s="314"/>
      <c r="BK2645" s="40"/>
      <c r="BL2645" s="40"/>
      <c r="BM2645" s="40"/>
      <c r="BN2645" s="40"/>
      <c r="BO2645" s="40"/>
      <c r="BP2645" s="155"/>
      <c r="BQ2645" s="314"/>
      <c r="BR2645" s="314"/>
      <c r="BS2645" s="314"/>
      <c r="BT2645" s="314"/>
      <c r="BU2645" s="314"/>
      <c r="BV2645" s="314"/>
      <c r="BW2645" s="314"/>
      <c r="BX2645" s="155"/>
    </row>
    <row r="2646" spans="1:76" ht="15.75" customHeight="1">
      <c r="A2646" s="25"/>
      <c r="B2646" s="39"/>
      <c r="C2646" s="155"/>
      <c r="D2646" s="155"/>
      <c r="E2646" s="40"/>
      <c r="F2646" s="314"/>
      <c r="H2646" s="315"/>
      <c r="I2646" s="315"/>
      <c r="BA2646" s="30"/>
      <c r="BB2646" s="155"/>
      <c r="BC2646" s="314"/>
      <c r="BD2646" s="314"/>
      <c r="BE2646" s="314"/>
      <c r="BF2646" s="314"/>
      <c r="BG2646" s="314"/>
      <c r="BH2646" s="314"/>
      <c r="BI2646" s="314"/>
      <c r="BJ2646" s="314"/>
      <c r="BK2646" s="40"/>
      <c r="BL2646" s="40"/>
      <c r="BM2646" s="40"/>
      <c r="BN2646" s="40"/>
      <c r="BO2646" s="40"/>
      <c r="BP2646" s="155"/>
      <c r="BQ2646" s="314"/>
      <c r="BR2646" s="314"/>
      <c r="BS2646" s="314"/>
      <c r="BT2646" s="314"/>
      <c r="BU2646" s="314"/>
      <c r="BV2646" s="314"/>
      <c r="BW2646" s="314"/>
      <c r="BX2646" s="155"/>
    </row>
    <row r="2647" spans="1:76" ht="15.75" customHeight="1">
      <c r="A2647" s="25"/>
      <c r="B2647" s="39"/>
      <c r="C2647" s="155"/>
      <c r="D2647" s="155"/>
      <c r="E2647" s="40"/>
      <c r="F2647" s="314"/>
      <c r="H2647" s="315"/>
      <c r="I2647" s="315"/>
      <c r="BA2647" s="30"/>
      <c r="BB2647" s="155"/>
      <c r="BC2647" s="314"/>
      <c r="BD2647" s="314"/>
      <c r="BE2647" s="314"/>
      <c r="BF2647" s="314"/>
      <c r="BG2647" s="314"/>
      <c r="BH2647" s="314"/>
      <c r="BI2647" s="314"/>
      <c r="BJ2647" s="314"/>
      <c r="BK2647" s="40"/>
      <c r="BL2647" s="40"/>
      <c r="BM2647" s="40"/>
      <c r="BN2647" s="40"/>
      <c r="BO2647" s="40"/>
      <c r="BP2647" s="155"/>
      <c r="BQ2647" s="314"/>
      <c r="BR2647" s="314"/>
      <c r="BS2647" s="314"/>
      <c r="BT2647" s="314"/>
      <c r="BU2647" s="314"/>
      <c r="BV2647" s="314"/>
      <c r="BW2647" s="314"/>
      <c r="BX2647" s="155"/>
    </row>
    <row r="2648" spans="1:76" ht="15.75" customHeight="1">
      <c r="A2648" s="25"/>
      <c r="B2648" s="39"/>
      <c r="C2648" s="155"/>
      <c r="D2648" s="155"/>
      <c r="E2648" s="40"/>
      <c r="F2648" s="314"/>
      <c r="H2648" s="315"/>
      <c r="I2648" s="315"/>
      <c r="BA2648" s="30"/>
      <c r="BB2648" s="155"/>
      <c r="BC2648" s="314"/>
      <c r="BD2648" s="314"/>
      <c r="BE2648" s="314"/>
      <c r="BF2648" s="314"/>
      <c r="BG2648" s="314"/>
      <c r="BH2648" s="314"/>
      <c r="BI2648" s="314"/>
      <c r="BJ2648" s="314"/>
      <c r="BK2648" s="40"/>
      <c r="BL2648" s="40"/>
      <c r="BM2648" s="40"/>
      <c r="BN2648" s="40"/>
      <c r="BO2648" s="40"/>
      <c r="BP2648" s="155"/>
      <c r="BQ2648" s="314"/>
      <c r="BR2648" s="314"/>
      <c r="BS2648" s="314"/>
      <c r="BT2648" s="314"/>
      <c r="BU2648" s="314"/>
      <c r="BV2648" s="314"/>
      <c r="BW2648" s="314"/>
      <c r="BX2648" s="155"/>
    </row>
    <row r="2649" spans="1:76" ht="15.75" customHeight="1">
      <c r="A2649" s="25"/>
      <c r="B2649" s="39"/>
      <c r="C2649" s="155"/>
      <c r="D2649" s="155"/>
      <c r="E2649" s="40"/>
      <c r="F2649" s="314"/>
      <c r="H2649" s="315"/>
      <c r="I2649" s="315"/>
      <c r="BA2649" s="30"/>
      <c r="BB2649" s="155"/>
      <c r="BC2649" s="314"/>
      <c r="BD2649" s="314"/>
      <c r="BE2649" s="314"/>
      <c r="BF2649" s="314"/>
      <c r="BG2649" s="314"/>
      <c r="BH2649" s="314"/>
      <c r="BI2649" s="314"/>
      <c r="BJ2649" s="314"/>
      <c r="BK2649" s="40"/>
      <c r="BL2649" s="40"/>
      <c r="BM2649" s="40"/>
      <c r="BN2649" s="40"/>
      <c r="BO2649" s="40"/>
      <c r="BP2649" s="155"/>
      <c r="BQ2649" s="314"/>
      <c r="BR2649" s="314"/>
      <c r="BS2649" s="314"/>
      <c r="BT2649" s="314"/>
      <c r="BU2649" s="314"/>
      <c r="BV2649" s="314"/>
      <c r="BW2649" s="314"/>
      <c r="BX2649" s="155"/>
    </row>
    <row r="2650" spans="1:76" ht="15.75" customHeight="1">
      <c r="A2650" s="25"/>
      <c r="B2650" s="39"/>
      <c r="C2650" s="155"/>
      <c r="D2650" s="155"/>
      <c r="E2650" s="40"/>
      <c r="F2650" s="314"/>
      <c r="H2650" s="315"/>
      <c r="I2650" s="315"/>
      <c r="BA2650" s="30"/>
      <c r="BB2650" s="155"/>
      <c r="BC2650" s="314"/>
      <c r="BD2650" s="314"/>
      <c r="BE2650" s="314"/>
      <c r="BF2650" s="314"/>
      <c r="BG2650" s="314"/>
      <c r="BH2650" s="314"/>
      <c r="BI2650" s="314"/>
      <c r="BJ2650" s="314"/>
      <c r="BK2650" s="40"/>
      <c r="BL2650" s="40"/>
      <c r="BM2650" s="40"/>
      <c r="BN2650" s="40"/>
      <c r="BO2650" s="40"/>
      <c r="BP2650" s="155"/>
      <c r="BQ2650" s="314"/>
      <c r="BR2650" s="314"/>
      <c r="BS2650" s="314"/>
      <c r="BT2650" s="314"/>
      <c r="BU2650" s="314"/>
      <c r="BV2650" s="314"/>
      <c r="BW2650" s="314"/>
      <c r="BX2650" s="155"/>
    </row>
    <row r="2651" spans="1:76" ht="15.75" customHeight="1">
      <c r="A2651" s="25"/>
      <c r="B2651" s="39"/>
      <c r="C2651" s="155"/>
      <c r="D2651" s="155"/>
      <c r="E2651" s="40"/>
      <c r="F2651" s="314"/>
      <c r="H2651" s="315"/>
      <c r="I2651" s="315"/>
      <c r="BA2651" s="30"/>
      <c r="BB2651" s="155"/>
      <c r="BC2651" s="314"/>
      <c r="BD2651" s="314"/>
      <c r="BE2651" s="314"/>
      <c r="BF2651" s="314"/>
      <c r="BG2651" s="314"/>
      <c r="BH2651" s="314"/>
      <c r="BI2651" s="314"/>
      <c r="BJ2651" s="314"/>
      <c r="BK2651" s="40"/>
      <c r="BL2651" s="40"/>
      <c r="BM2651" s="40"/>
      <c r="BN2651" s="40"/>
      <c r="BO2651" s="40"/>
      <c r="BP2651" s="155"/>
      <c r="BQ2651" s="314"/>
      <c r="BR2651" s="314"/>
      <c r="BS2651" s="314"/>
      <c r="BT2651" s="314"/>
      <c r="BU2651" s="314"/>
      <c r="BV2651" s="314"/>
      <c r="BW2651" s="314"/>
      <c r="BX2651" s="155"/>
    </row>
    <row r="2652" spans="1:76" ht="15.75" customHeight="1">
      <c r="A2652" s="25"/>
      <c r="B2652" s="39"/>
      <c r="C2652" s="155"/>
      <c r="D2652" s="155"/>
      <c r="E2652" s="40"/>
      <c r="F2652" s="314"/>
      <c r="H2652" s="315"/>
      <c r="I2652" s="315"/>
      <c r="BA2652" s="30"/>
      <c r="BB2652" s="155"/>
      <c r="BC2652" s="314"/>
      <c r="BD2652" s="314"/>
      <c r="BE2652" s="314"/>
      <c r="BF2652" s="314"/>
      <c r="BG2652" s="314"/>
      <c r="BH2652" s="314"/>
      <c r="BI2652" s="314"/>
      <c r="BJ2652" s="314"/>
      <c r="BK2652" s="40"/>
      <c r="BL2652" s="40"/>
      <c r="BM2652" s="40"/>
      <c r="BN2652" s="40"/>
      <c r="BO2652" s="40"/>
      <c r="BP2652" s="155"/>
      <c r="BQ2652" s="314"/>
      <c r="BR2652" s="314"/>
      <c r="BS2652" s="314"/>
      <c r="BT2652" s="314"/>
      <c r="BU2652" s="314"/>
      <c r="BV2652" s="314"/>
      <c r="BW2652" s="314"/>
      <c r="BX2652" s="155"/>
    </row>
    <row r="2653" spans="1:76" ht="15.75" customHeight="1">
      <c r="A2653" s="25"/>
      <c r="B2653" s="39"/>
      <c r="C2653" s="155"/>
      <c r="D2653" s="155"/>
      <c r="E2653" s="40"/>
      <c r="F2653" s="314"/>
      <c r="H2653" s="315"/>
      <c r="I2653" s="315"/>
      <c r="BA2653" s="30"/>
      <c r="BB2653" s="155"/>
      <c r="BC2653" s="314"/>
      <c r="BD2653" s="314"/>
      <c r="BE2653" s="314"/>
      <c r="BF2653" s="314"/>
      <c r="BG2653" s="314"/>
      <c r="BH2653" s="314"/>
      <c r="BI2653" s="314"/>
      <c r="BJ2653" s="314"/>
      <c r="BK2653" s="40"/>
      <c r="BL2653" s="40"/>
      <c r="BM2653" s="40"/>
      <c r="BN2653" s="40"/>
      <c r="BO2653" s="40"/>
      <c r="BP2653" s="155"/>
      <c r="BQ2653" s="314"/>
      <c r="BR2653" s="314"/>
      <c r="BS2653" s="314"/>
      <c r="BT2653" s="314"/>
      <c r="BU2653" s="314"/>
      <c r="BV2653" s="314"/>
      <c r="BW2653" s="314"/>
      <c r="BX2653" s="155"/>
    </row>
    <row r="2654" spans="1:76" ht="15.75" customHeight="1">
      <c r="A2654" s="25"/>
      <c r="B2654" s="39"/>
      <c r="C2654" s="155"/>
      <c r="D2654" s="155"/>
      <c r="E2654" s="40"/>
      <c r="F2654" s="314"/>
      <c r="H2654" s="315"/>
      <c r="I2654" s="315"/>
      <c r="BA2654" s="30"/>
      <c r="BB2654" s="155"/>
      <c r="BC2654" s="314"/>
      <c r="BD2654" s="314"/>
      <c r="BE2654" s="314"/>
      <c r="BF2654" s="314"/>
      <c r="BG2654" s="314"/>
      <c r="BH2654" s="314"/>
      <c r="BI2654" s="314"/>
      <c r="BJ2654" s="314"/>
      <c r="BK2654" s="40"/>
      <c r="BL2654" s="40"/>
      <c r="BM2654" s="40"/>
      <c r="BN2654" s="40"/>
      <c r="BO2654" s="40"/>
      <c r="BP2654" s="155"/>
      <c r="BQ2654" s="314"/>
      <c r="BR2654" s="314"/>
      <c r="BS2654" s="314"/>
      <c r="BT2654" s="314"/>
      <c r="BU2654" s="314"/>
      <c r="BV2654" s="314"/>
      <c r="BW2654" s="314"/>
      <c r="BX2654" s="155"/>
    </row>
    <row r="2655" spans="1:76" ht="15.75" customHeight="1">
      <c r="A2655" s="25"/>
      <c r="B2655" s="39"/>
      <c r="C2655" s="155"/>
      <c r="D2655" s="155"/>
      <c r="E2655" s="40"/>
      <c r="F2655" s="314"/>
      <c r="H2655" s="315"/>
      <c r="I2655" s="315"/>
      <c r="BA2655" s="30"/>
      <c r="BB2655" s="155"/>
      <c r="BC2655" s="314"/>
      <c r="BD2655" s="314"/>
      <c r="BE2655" s="314"/>
      <c r="BF2655" s="314"/>
      <c r="BG2655" s="314"/>
      <c r="BH2655" s="314"/>
      <c r="BI2655" s="314"/>
      <c r="BJ2655" s="314"/>
      <c r="BK2655" s="40"/>
      <c r="BL2655" s="40"/>
      <c r="BM2655" s="40"/>
      <c r="BN2655" s="40"/>
      <c r="BO2655" s="40"/>
      <c r="BP2655" s="155"/>
      <c r="BQ2655" s="314"/>
      <c r="BR2655" s="314"/>
      <c r="BS2655" s="314"/>
      <c r="BT2655" s="314"/>
      <c r="BU2655" s="314"/>
      <c r="BV2655" s="314"/>
      <c r="BW2655" s="314"/>
      <c r="BX2655" s="155"/>
    </row>
    <row r="2656" spans="1:76" ht="15.75" customHeight="1">
      <c r="A2656" s="25"/>
      <c r="B2656" s="39"/>
      <c r="C2656" s="155"/>
      <c r="D2656" s="155"/>
      <c r="E2656" s="40"/>
      <c r="F2656" s="314"/>
      <c r="H2656" s="315"/>
      <c r="I2656" s="315"/>
      <c r="BA2656" s="30"/>
      <c r="BB2656" s="155"/>
      <c r="BC2656" s="314"/>
      <c r="BD2656" s="314"/>
      <c r="BE2656" s="314"/>
      <c r="BF2656" s="314"/>
      <c r="BG2656" s="314"/>
      <c r="BH2656" s="314"/>
      <c r="BI2656" s="314"/>
      <c r="BJ2656" s="314"/>
      <c r="BK2656" s="40"/>
      <c r="BL2656" s="40"/>
      <c r="BM2656" s="40"/>
      <c r="BN2656" s="40"/>
      <c r="BO2656" s="40"/>
      <c r="BP2656" s="155"/>
      <c r="BQ2656" s="314"/>
      <c r="BR2656" s="314"/>
      <c r="BS2656" s="314"/>
      <c r="BT2656" s="314"/>
      <c r="BU2656" s="314"/>
      <c r="BV2656" s="314"/>
      <c r="BW2656" s="314"/>
      <c r="BX2656" s="155"/>
    </row>
    <row r="2657" spans="1:76" ht="15.75" customHeight="1">
      <c r="A2657" s="25"/>
      <c r="B2657" s="39"/>
      <c r="C2657" s="155"/>
      <c r="D2657" s="155"/>
      <c r="E2657" s="40"/>
      <c r="F2657" s="314"/>
      <c r="H2657" s="315"/>
      <c r="I2657" s="315"/>
      <c r="BA2657" s="30"/>
      <c r="BB2657" s="155"/>
      <c r="BC2657" s="314"/>
      <c r="BD2657" s="314"/>
      <c r="BE2657" s="314"/>
      <c r="BF2657" s="314"/>
      <c r="BG2657" s="314"/>
      <c r="BH2657" s="314"/>
      <c r="BI2657" s="314"/>
      <c r="BJ2657" s="314"/>
      <c r="BK2657" s="40"/>
      <c r="BL2657" s="40"/>
      <c r="BM2657" s="40"/>
      <c r="BN2657" s="40"/>
      <c r="BO2657" s="40"/>
      <c r="BP2657" s="155"/>
      <c r="BQ2657" s="314"/>
      <c r="BR2657" s="314"/>
      <c r="BS2657" s="314"/>
      <c r="BT2657" s="314"/>
      <c r="BU2657" s="314"/>
      <c r="BV2657" s="314"/>
      <c r="BW2657" s="314"/>
      <c r="BX2657" s="155"/>
    </row>
    <row r="2658" spans="1:76" ht="15.75" customHeight="1">
      <c r="A2658" s="25"/>
      <c r="B2658" s="39"/>
      <c r="C2658" s="155"/>
      <c r="D2658" s="155"/>
      <c r="E2658" s="40"/>
      <c r="F2658" s="314"/>
      <c r="H2658" s="315"/>
      <c r="I2658" s="315"/>
      <c r="BA2658" s="30"/>
      <c r="BB2658" s="155"/>
      <c r="BC2658" s="314"/>
      <c r="BD2658" s="314"/>
      <c r="BE2658" s="314"/>
      <c r="BF2658" s="314"/>
      <c r="BG2658" s="314"/>
      <c r="BH2658" s="314"/>
      <c r="BI2658" s="314"/>
      <c r="BJ2658" s="314"/>
      <c r="BK2658" s="40"/>
      <c r="BL2658" s="40"/>
      <c r="BM2658" s="40"/>
      <c r="BN2658" s="40"/>
      <c r="BO2658" s="40"/>
      <c r="BP2658" s="155"/>
      <c r="BQ2658" s="314"/>
      <c r="BR2658" s="314"/>
      <c r="BS2658" s="314"/>
      <c r="BT2658" s="314"/>
      <c r="BU2658" s="314"/>
      <c r="BV2658" s="314"/>
      <c r="BW2658" s="314"/>
      <c r="BX2658" s="155"/>
    </row>
    <row r="2659" spans="1:76" ht="15.75" customHeight="1">
      <c r="A2659" s="25"/>
      <c r="B2659" s="39"/>
      <c r="C2659" s="155"/>
      <c r="D2659" s="155"/>
      <c r="E2659" s="40"/>
      <c r="F2659" s="314"/>
      <c r="H2659" s="315"/>
      <c r="I2659" s="315"/>
      <c r="BA2659" s="30"/>
      <c r="BB2659" s="155"/>
      <c r="BC2659" s="314"/>
      <c r="BD2659" s="314"/>
      <c r="BE2659" s="314"/>
      <c r="BF2659" s="314"/>
      <c r="BG2659" s="314"/>
      <c r="BH2659" s="314"/>
      <c r="BI2659" s="314"/>
      <c r="BJ2659" s="314"/>
      <c r="BK2659" s="40"/>
      <c r="BL2659" s="40"/>
      <c r="BM2659" s="40"/>
      <c r="BN2659" s="40"/>
      <c r="BO2659" s="40"/>
      <c r="BP2659" s="155"/>
      <c r="BQ2659" s="314"/>
      <c r="BR2659" s="314"/>
      <c r="BS2659" s="314"/>
      <c r="BT2659" s="314"/>
      <c r="BU2659" s="314"/>
      <c r="BV2659" s="314"/>
      <c r="BW2659" s="314"/>
      <c r="BX2659" s="155"/>
    </row>
    <row r="2660" spans="1:76" ht="15.75" customHeight="1">
      <c r="A2660" s="25"/>
      <c r="B2660" s="39"/>
      <c r="C2660" s="155"/>
      <c r="D2660" s="155"/>
      <c r="E2660" s="40"/>
      <c r="F2660" s="314"/>
      <c r="H2660" s="315"/>
      <c r="I2660" s="315"/>
      <c r="BA2660" s="30"/>
      <c r="BB2660" s="155"/>
      <c r="BC2660" s="314"/>
      <c r="BD2660" s="314"/>
      <c r="BE2660" s="314"/>
      <c r="BF2660" s="314"/>
      <c r="BG2660" s="314"/>
      <c r="BH2660" s="314"/>
      <c r="BI2660" s="314"/>
      <c r="BJ2660" s="314"/>
      <c r="BK2660" s="40"/>
      <c r="BL2660" s="40"/>
      <c r="BM2660" s="40"/>
      <c r="BN2660" s="40"/>
      <c r="BO2660" s="40"/>
      <c r="BP2660" s="155"/>
      <c r="BQ2660" s="314"/>
      <c r="BR2660" s="314"/>
      <c r="BS2660" s="314"/>
      <c r="BT2660" s="314"/>
      <c r="BU2660" s="314"/>
      <c r="BV2660" s="314"/>
      <c r="BW2660" s="314"/>
      <c r="BX2660" s="155"/>
    </row>
    <row r="2661" spans="1:76" ht="15.75" customHeight="1">
      <c r="A2661" s="25"/>
      <c r="B2661" s="39"/>
      <c r="C2661" s="155"/>
      <c r="D2661" s="155"/>
      <c r="E2661" s="40"/>
      <c r="F2661" s="314"/>
      <c r="H2661" s="315"/>
      <c r="I2661" s="315"/>
      <c r="BA2661" s="30"/>
      <c r="BB2661" s="155"/>
      <c r="BC2661" s="314"/>
      <c r="BD2661" s="314"/>
      <c r="BE2661" s="314"/>
      <c r="BF2661" s="314"/>
      <c r="BG2661" s="314"/>
      <c r="BH2661" s="314"/>
      <c r="BI2661" s="314"/>
      <c r="BJ2661" s="314"/>
      <c r="BK2661" s="40"/>
      <c r="BL2661" s="40"/>
      <c r="BM2661" s="40"/>
      <c r="BN2661" s="40"/>
      <c r="BO2661" s="40"/>
      <c r="BP2661" s="155"/>
      <c r="BQ2661" s="314"/>
      <c r="BR2661" s="314"/>
      <c r="BS2661" s="314"/>
      <c r="BT2661" s="314"/>
      <c r="BU2661" s="314"/>
      <c r="BV2661" s="314"/>
      <c r="BW2661" s="314"/>
      <c r="BX2661" s="155"/>
    </row>
    <row r="2662" spans="1:76" ht="15.75" customHeight="1">
      <c r="A2662" s="25"/>
      <c r="B2662" s="39"/>
      <c r="C2662" s="155"/>
      <c r="D2662" s="155"/>
      <c r="E2662" s="40"/>
      <c r="F2662" s="314"/>
      <c r="H2662" s="315"/>
      <c r="I2662" s="315"/>
      <c r="BA2662" s="30"/>
      <c r="BB2662" s="155"/>
      <c r="BC2662" s="314"/>
      <c r="BD2662" s="314"/>
      <c r="BE2662" s="314"/>
      <c r="BF2662" s="314"/>
      <c r="BG2662" s="314"/>
      <c r="BH2662" s="314"/>
      <c r="BI2662" s="314"/>
      <c r="BJ2662" s="314"/>
      <c r="BK2662" s="40"/>
      <c r="BL2662" s="40"/>
      <c r="BM2662" s="40"/>
      <c r="BN2662" s="40"/>
      <c r="BO2662" s="40"/>
      <c r="BP2662" s="155"/>
      <c r="BQ2662" s="314"/>
      <c r="BR2662" s="314"/>
      <c r="BS2662" s="314"/>
      <c r="BT2662" s="314"/>
      <c r="BU2662" s="314"/>
      <c r="BV2662" s="314"/>
      <c r="BW2662" s="314"/>
      <c r="BX2662" s="155"/>
    </row>
    <row r="2663" spans="1:76" ht="15.75" customHeight="1">
      <c r="A2663" s="25"/>
      <c r="B2663" s="39"/>
      <c r="C2663" s="155"/>
      <c r="D2663" s="155"/>
      <c r="E2663" s="40"/>
      <c r="F2663" s="314"/>
      <c r="H2663" s="315"/>
      <c r="I2663" s="315"/>
      <c r="BA2663" s="30"/>
      <c r="BB2663" s="155"/>
      <c r="BC2663" s="314"/>
      <c r="BD2663" s="314"/>
      <c r="BE2663" s="314"/>
      <c r="BF2663" s="314"/>
      <c r="BG2663" s="314"/>
      <c r="BH2663" s="314"/>
      <c r="BI2663" s="314"/>
      <c r="BJ2663" s="314"/>
      <c r="BK2663" s="40"/>
      <c r="BL2663" s="40"/>
      <c r="BM2663" s="40"/>
      <c r="BN2663" s="40"/>
      <c r="BO2663" s="40"/>
      <c r="BP2663" s="155"/>
      <c r="BQ2663" s="314"/>
      <c r="BR2663" s="314"/>
      <c r="BS2663" s="314"/>
      <c r="BT2663" s="314"/>
      <c r="BU2663" s="314"/>
      <c r="BV2663" s="314"/>
      <c r="BW2663" s="314"/>
      <c r="BX2663" s="155"/>
    </row>
    <row r="2664" spans="1:76" ht="15.75" customHeight="1">
      <c r="A2664" s="25"/>
      <c r="B2664" s="39"/>
      <c r="C2664" s="155"/>
      <c r="D2664" s="155"/>
      <c r="E2664" s="40"/>
      <c r="F2664" s="314"/>
      <c r="H2664" s="315"/>
      <c r="I2664" s="315"/>
      <c r="BA2664" s="30"/>
      <c r="BB2664" s="155"/>
      <c r="BC2664" s="314"/>
      <c r="BD2664" s="314"/>
      <c r="BE2664" s="314"/>
      <c r="BF2664" s="314"/>
      <c r="BG2664" s="314"/>
      <c r="BH2664" s="314"/>
      <c r="BI2664" s="314"/>
      <c r="BJ2664" s="314"/>
      <c r="BK2664" s="40"/>
      <c r="BL2664" s="40"/>
      <c r="BM2664" s="40"/>
      <c r="BN2664" s="40"/>
      <c r="BO2664" s="40"/>
      <c r="BP2664" s="155"/>
      <c r="BQ2664" s="314"/>
      <c r="BR2664" s="314"/>
      <c r="BS2664" s="314"/>
      <c r="BT2664" s="314"/>
      <c r="BU2664" s="314"/>
      <c r="BV2664" s="314"/>
      <c r="BW2664" s="314"/>
      <c r="BX2664" s="155"/>
    </row>
    <row r="2665" spans="1:76" ht="15.75" customHeight="1">
      <c r="A2665" s="25"/>
      <c r="B2665" s="39"/>
      <c r="C2665" s="155"/>
      <c r="D2665" s="155"/>
      <c r="E2665" s="40"/>
      <c r="F2665" s="314"/>
      <c r="H2665" s="315"/>
      <c r="I2665" s="315"/>
      <c r="BA2665" s="30"/>
      <c r="BB2665" s="155"/>
      <c r="BC2665" s="314"/>
      <c r="BD2665" s="314"/>
      <c r="BE2665" s="314"/>
      <c r="BF2665" s="314"/>
      <c r="BG2665" s="314"/>
      <c r="BH2665" s="314"/>
      <c r="BI2665" s="314"/>
      <c r="BJ2665" s="314"/>
      <c r="BK2665" s="40"/>
      <c r="BL2665" s="40"/>
      <c r="BM2665" s="40"/>
      <c r="BN2665" s="40"/>
      <c r="BO2665" s="40"/>
      <c r="BP2665" s="155"/>
      <c r="BQ2665" s="314"/>
      <c r="BR2665" s="314"/>
      <c r="BS2665" s="314"/>
      <c r="BT2665" s="314"/>
      <c r="BU2665" s="314"/>
      <c r="BV2665" s="314"/>
      <c r="BW2665" s="314"/>
      <c r="BX2665" s="155"/>
    </row>
    <row r="2666" spans="1:76" ht="15.75" customHeight="1">
      <c r="A2666" s="25"/>
      <c r="B2666" s="39"/>
      <c r="C2666" s="155"/>
      <c r="D2666" s="155"/>
      <c r="E2666" s="40"/>
      <c r="F2666" s="314"/>
      <c r="H2666" s="315"/>
      <c r="I2666" s="315"/>
      <c r="BA2666" s="30"/>
      <c r="BB2666" s="155"/>
      <c r="BC2666" s="314"/>
      <c r="BD2666" s="314"/>
      <c r="BE2666" s="314"/>
      <c r="BF2666" s="314"/>
      <c r="BG2666" s="314"/>
      <c r="BH2666" s="314"/>
      <c r="BI2666" s="314"/>
      <c r="BJ2666" s="314"/>
      <c r="BK2666" s="40"/>
      <c r="BL2666" s="40"/>
      <c r="BM2666" s="40"/>
      <c r="BN2666" s="40"/>
      <c r="BO2666" s="40"/>
      <c r="BP2666" s="155"/>
      <c r="BQ2666" s="314"/>
      <c r="BR2666" s="314"/>
      <c r="BS2666" s="314"/>
      <c r="BT2666" s="314"/>
      <c r="BU2666" s="314"/>
      <c r="BV2666" s="314"/>
      <c r="BW2666" s="314"/>
      <c r="BX2666" s="155"/>
    </row>
    <row r="2667" spans="1:76" ht="15.75" customHeight="1">
      <c r="A2667" s="25"/>
      <c r="B2667" s="39"/>
      <c r="C2667" s="155"/>
      <c r="D2667" s="155"/>
      <c r="E2667" s="40"/>
      <c r="F2667" s="314"/>
      <c r="H2667" s="315"/>
      <c r="I2667" s="315"/>
      <c r="BA2667" s="30"/>
      <c r="BB2667" s="155"/>
      <c r="BC2667" s="314"/>
      <c r="BD2667" s="314"/>
      <c r="BE2667" s="314"/>
      <c r="BF2667" s="314"/>
      <c r="BG2667" s="314"/>
      <c r="BH2667" s="314"/>
      <c r="BI2667" s="314"/>
      <c r="BJ2667" s="314"/>
      <c r="BK2667" s="40"/>
      <c r="BL2667" s="40"/>
      <c r="BM2667" s="40"/>
      <c r="BN2667" s="40"/>
      <c r="BO2667" s="40"/>
      <c r="BP2667" s="155"/>
      <c r="BQ2667" s="314"/>
      <c r="BR2667" s="314"/>
      <c r="BS2667" s="314"/>
      <c r="BT2667" s="314"/>
      <c r="BU2667" s="314"/>
      <c r="BV2667" s="314"/>
      <c r="BW2667" s="314"/>
      <c r="BX2667" s="155"/>
    </row>
    <row r="2668" spans="1:76" ht="15.75" customHeight="1">
      <c r="A2668" s="25"/>
      <c r="B2668" s="39"/>
      <c r="C2668" s="155"/>
      <c r="D2668" s="155"/>
      <c r="E2668" s="40"/>
      <c r="F2668" s="314"/>
      <c r="H2668" s="315"/>
      <c r="I2668" s="315"/>
      <c r="BA2668" s="30"/>
      <c r="BB2668" s="155"/>
      <c r="BC2668" s="314"/>
      <c r="BD2668" s="314"/>
      <c r="BE2668" s="314"/>
      <c r="BF2668" s="314"/>
      <c r="BG2668" s="314"/>
      <c r="BH2668" s="314"/>
      <c r="BI2668" s="314"/>
      <c r="BJ2668" s="314"/>
      <c r="BK2668" s="40"/>
      <c r="BL2668" s="40"/>
      <c r="BM2668" s="40"/>
      <c r="BN2668" s="40"/>
      <c r="BO2668" s="40"/>
      <c r="BP2668" s="155"/>
      <c r="BQ2668" s="314"/>
      <c r="BR2668" s="314"/>
      <c r="BS2668" s="314"/>
      <c r="BT2668" s="314"/>
      <c r="BU2668" s="314"/>
      <c r="BV2668" s="314"/>
      <c r="BW2668" s="314"/>
      <c r="BX2668" s="155"/>
    </row>
    <row r="2669" spans="1:76" ht="15.75" customHeight="1">
      <c r="A2669" s="25"/>
      <c r="B2669" s="39"/>
      <c r="C2669" s="155"/>
      <c r="D2669" s="155"/>
      <c r="E2669" s="40"/>
      <c r="F2669" s="314"/>
      <c r="H2669" s="315"/>
      <c r="I2669" s="315"/>
      <c r="BA2669" s="30"/>
      <c r="BB2669" s="155"/>
      <c r="BC2669" s="314"/>
      <c r="BD2669" s="314"/>
      <c r="BE2669" s="314"/>
      <c r="BF2669" s="314"/>
      <c r="BG2669" s="314"/>
      <c r="BH2669" s="314"/>
      <c r="BI2669" s="314"/>
      <c r="BJ2669" s="314"/>
      <c r="BK2669" s="40"/>
      <c r="BL2669" s="40"/>
      <c r="BM2669" s="40"/>
      <c r="BN2669" s="40"/>
      <c r="BO2669" s="40"/>
      <c r="BP2669" s="155"/>
      <c r="BQ2669" s="314"/>
      <c r="BR2669" s="314"/>
      <c r="BS2669" s="314"/>
      <c r="BT2669" s="314"/>
      <c r="BU2669" s="314"/>
      <c r="BV2669" s="314"/>
      <c r="BW2669" s="314"/>
      <c r="BX2669" s="155"/>
    </row>
    <row r="2670" spans="1:76" ht="15.75" customHeight="1">
      <c r="A2670" s="25"/>
      <c r="B2670" s="39"/>
      <c r="C2670" s="155"/>
      <c r="D2670" s="155"/>
      <c r="E2670" s="40"/>
      <c r="F2670" s="314"/>
      <c r="H2670" s="315"/>
      <c r="I2670" s="315"/>
      <c r="BA2670" s="30"/>
      <c r="BB2670" s="155"/>
      <c r="BC2670" s="314"/>
      <c r="BD2670" s="314"/>
      <c r="BE2670" s="314"/>
      <c r="BF2670" s="314"/>
      <c r="BG2670" s="314"/>
      <c r="BH2670" s="314"/>
      <c r="BI2670" s="314"/>
      <c r="BJ2670" s="314"/>
      <c r="BK2670" s="40"/>
      <c r="BL2670" s="40"/>
      <c r="BM2670" s="40"/>
      <c r="BN2670" s="40"/>
      <c r="BO2670" s="40"/>
      <c r="BP2670" s="155"/>
      <c r="BQ2670" s="314"/>
      <c r="BR2670" s="314"/>
      <c r="BS2670" s="314"/>
      <c r="BT2670" s="314"/>
      <c r="BU2670" s="314"/>
      <c r="BV2670" s="314"/>
      <c r="BW2670" s="314"/>
      <c r="BX2670" s="155"/>
    </row>
    <row r="2671" spans="1:76" ht="15.75" customHeight="1">
      <c r="A2671" s="25"/>
      <c r="B2671" s="39"/>
      <c r="C2671" s="155"/>
      <c r="D2671" s="155"/>
      <c r="E2671" s="40"/>
      <c r="F2671" s="314"/>
      <c r="H2671" s="315"/>
      <c r="I2671" s="315"/>
      <c r="BA2671" s="30"/>
      <c r="BB2671" s="155"/>
      <c r="BC2671" s="314"/>
      <c r="BD2671" s="314"/>
      <c r="BE2671" s="314"/>
      <c r="BF2671" s="314"/>
      <c r="BG2671" s="314"/>
      <c r="BH2671" s="314"/>
      <c r="BI2671" s="314"/>
      <c r="BJ2671" s="314"/>
      <c r="BK2671" s="40"/>
      <c r="BL2671" s="40"/>
      <c r="BM2671" s="40"/>
      <c r="BN2671" s="40"/>
      <c r="BO2671" s="40"/>
      <c r="BP2671" s="155"/>
      <c r="BQ2671" s="314"/>
      <c r="BR2671" s="314"/>
      <c r="BS2671" s="314"/>
      <c r="BT2671" s="314"/>
      <c r="BU2671" s="314"/>
      <c r="BV2671" s="314"/>
      <c r="BW2671" s="314"/>
      <c r="BX2671" s="155"/>
    </row>
    <row r="2672" spans="1:76" ht="15.75" customHeight="1">
      <c r="A2672" s="25"/>
      <c r="B2672" s="39"/>
      <c r="C2672" s="155"/>
      <c r="D2672" s="155"/>
      <c r="E2672" s="40"/>
      <c r="F2672" s="314"/>
      <c r="H2672" s="315"/>
      <c r="I2672" s="315"/>
      <c r="BA2672" s="30"/>
      <c r="BB2672" s="155"/>
      <c r="BC2672" s="314"/>
      <c r="BD2672" s="314"/>
      <c r="BE2672" s="314"/>
      <c r="BF2672" s="314"/>
      <c r="BG2672" s="314"/>
      <c r="BH2672" s="314"/>
      <c r="BI2672" s="314"/>
      <c r="BJ2672" s="314"/>
      <c r="BK2672" s="40"/>
      <c r="BL2672" s="40"/>
      <c r="BM2672" s="40"/>
      <c r="BN2672" s="40"/>
      <c r="BO2672" s="40"/>
      <c r="BP2672" s="155"/>
      <c r="BQ2672" s="314"/>
      <c r="BR2672" s="314"/>
      <c r="BS2672" s="314"/>
      <c r="BT2672" s="314"/>
      <c r="BU2672" s="314"/>
      <c r="BV2672" s="314"/>
      <c r="BW2672" s="314"/>
      <c r="BX2672" s="155"/>
    </row>
    <row r="2673" spans="1:76" ht="15.75" customHeight="1">
      <c r="A2673" s="25"/>
      <c r="B2673" s="39"/>
      <c r="C2673" s="155"/>
      <c r="D2673" s="155"/>
      <c r="E2673" s="40"/>
      <c r="F2673" s="314"/>
      <c r="H2673" s="315"/>
      <c r="I2673" s="315"/>
      <c r="BA2673" s="30"/>
      <c r="BB2673" s="155"/>
      <c r="BC2673" s="314"/>
      <c r="BD2673" s="314"/>
      <c r="BE2673" s="314"/>
      <c r="BF2673" s="314"/>
      <c r="BG2673" s="314"/>
      <c r="BH2673" s="314"/>
      <c r="BI2673" s="314"/>
      <c r="BJ2673" s="314"/>
      <c r="BK2673" s="40"/>
      <c r="BL2673" s="40"/>
      <c r="BM2673" s="40"/>
      <c r="BN2673" s="40"/>
      <c r="BO2673" s="40"/>
      <c r="BP2673" s="155"/>
      <c r="BQ2673" s="314"/>
      <c r="BR2673" s="314"/>
      <c r="BS2673" s="314"/>
      <c r="BT2673" s="314"/>
      <c r="BU2673" s="314"/>
      <c r="BV2673" s="314"/>
      <c r="BW2673" s="314"/>
      <c r="BX2673" s="155"/>
    </row>
    <row r="2674" spans="1:76" ht="15.75" customHeight="1">
      <c r="A2674" s="25"/>
      <c r="B2674" s="39"/>
      <c r="C2674" s="155"/>
      <c r="D2674" s="155"/>
      <c r="E2674" s="40"/>
      <c r="F2674" s="314"/>
      <c r="H2674" s="315"/>
      <c r="I2674" s="315"/>
      <c r="BA2674" s="30"/>
      <c r="BB2674" s="155"/>
      <c r="BC2674" s="314"/>
      <c r="BD2674" s="314"/>
      <c r="BE2674" s="314"/>
      <c r="BF2674" s="314"/>
      <c r="BG2674" s="314"/>
      <c r="BH2674" s="314"/>
      <c r="BI2674" s="314"/>
      <c r="BJ2674" s="314"/>
      <c r="BK2674" s="40"/>
      <c r="BL2674" s="40"/>
      <c r="BM2674" s="40"/>
      <c r="BN2674" s="40"/>
      <c r="BO2674" s="40"/>
      <c r="BP2674" s="155"/>
      <c r="BQ2674" s="314"/>
      <c r="BR2674" s="314"/>
      <c r="BS2674" s="314"/>
      <c r="BT2674" s="314"/>
      <c r="BU2674" s="314"/>
      <c r="BV2674" s="314"/>
      <c r="BW2674" s="314"/>
      <c r="BX2674" s="155"/>
    </row>
    <row r="2675" spans="1:76" ht="15.75" customHeight="1">
      <c r="A2675" s="25"/>
      <c r="B2675" s="39"/>
      <c r="C2675" s="155"/>
      <c r="D2675" s="155"/>
      <c r="E2675" s="40"/>
      <c r="F2675" s="314"/>
      <c r="H2675" s="315"/>
      <c r="I2675" s="315"/>
      <c r="BA2675" s="30"/>
      <c r="BB2675" s="155"/>
      <c r="BC2675" s="314"/>
      <c r="BD2675" s="314"/>
      <c r="BE2675" s="314"/>
      <c r="BF2675" s="314"/>
      <c r="BG2675" s="314"/>
      <c r="BH2675" s="314"/>
      <c r="BI2675" s="314"/>
      <c r="BJ2675" s="314"/>
      <c r="BK2675" s="40"/>
      <c r="BL2675" s="40"/>
      <c r="BM2675" s="40"/>
      <c r="BN2675" s="40"/>
      <c r="BO2675" s="40"/>
      <c r="BP2675" s="155"/>
      <c r="BQ2675" s="314"/>
      <c r="BR2675" s="314"/>
      <c r="BS2675" s="314"/>
      <c r="BT2675" s="314"/>
      <c r="BU2675" s="314"/>
      <c r="BV2675" s="314"/>
      <c r="BW2675" s="314"/>
      <c r="BX2675" s="155"/>
    </row>
    <row r="2676" spans="1:76" ht="15.75" customHeight="1">
      <c r="A2676" s="25"/>
      <c r="B2676" s="39"/>
      <c r="C2676" s="155"/>
      <c r="D2676" s="155"/>
      <c r="E2676" s="40"/>
      <c r="F2676" s="314"/>
      <c r="H2676" s="315"/>
      <c r="I2676" s="315"/>
      <c r="BA2676" s="30"/>
      <c r="BB2676" s="155"/>
      <c r="BC2676" s="314"/>
      <c r="BD2676" s="314"/>
      <c r="BE2676" s="314"/>
      <c r="BF2676" s="314"/>
      <c r="BG2676" s="314"/>
      <c r="BH2676" s="314"/>
      <c r="BI2676" s="314"/>
      <c r="BJ2676" s="314"/>
      <c r="BK2676" s="40"/>
      <c r="BL2676" s="40"/>
      <c r="BM2676" s="40"/>
      <c r="BN2676" s="40"/>
      <c r="BO2676" s="40"/>
      <c r="BP2676" s="155"/>
      <c r="BQ2676" s="314"/>
      <c r="BR2676" s="314"/>
      <c r="BS2676" s="314"/>
      <c r="BT2676" s="314"/>
      <c r="BU2676" s="314"/>
      <c r="BV2676" s="314"/>
      <c r="BW2676" s="314"/>
      <c r="BX2676" s="155"/>
    </row>
    <row r="2677" spans="1:76" ht="15.75" customHeight="1">
      <c r="A2677" s="25"/>
      <c r="B2677" s="39"/>
      <c r="C2677" s="155"/>
      <c r="D2677" s="155"/>
      <c r="E2677" s="40"/>
      <c r="F2677" s="314"/>
      <c r="H2677" s="315"/>
      <c r="I2677" s="315"/>
      <c r="BA2677" s="30"/>
      <c r="BB2677" s="155"/>
      <c r="BC2677" s="314"/>
      <c r="BD2677" s="314"/>
      <c r="BE2677" s="314"/>
      <c r="BF2677" s="314"/>
      <c r="BG2677" s="314"/>
      <c r="BH2677" s="314"/>
      <c r="BI2677" s="314"/>
      <c r="BJ2677" s="314"/>
      <c r="BK2677" s="40"/>
      <c r="BL2677" s="40"/>
      <c r="BM2677" s="40"/>
      <c r="BN2677" s="40"/>
      <c r="BO2677" s="40"/>
      <c r="BP2677" s="155"/>
      <c r="BQ2677" s="314"/>
      <c r="BR2677" s="314"/>
      <c r="BS2677" s="314"/>
      <c r="BT2677" s="314"/>
      <c r="BU2677" s="314"/>
      <c r="BV2677" s="314"/>
      <c r="BW2677" s="314"/>
      <c r="BX2677" s="155"/>
    </row>
    <row r="2678" spans="1:76" ht="15.75" customHeight="1">
      <c r="A2678" s="25"/>
      <c r="B2678" s="39"/>
      <c r="C2678" s="155"/>
      <c r="D2678" s="155"/>
      <c r="E2678" s="40"/>
      <c r="F2678" s="314"/>
      <c r="H2678" s="315"/>
      <c r="I2678" s="315"/>
      <c r="BA2678" s="30"/>
      <c r="BB2678" s="155"/>
      <c r="BC2678" s="314"/>
      <c r="BD2678" s="314"/>
      <c r="BE2678" s="314"/>
      <c r="BF2678" s="314"/>
      <c r="BG2678" s="314"/>
      <c r="BH2678" s="314"/>
      <c r="BI2678" s="314"/>
      <c r="BJ2678" s="314"/>
      <c r="BK2678" s="40"/>
      <c r="BL2678" s="40"/>
      <c r="BM2678" s="40"/>
      <c r="BN2678" s="40"/>
      <c r="BO2678" s="40"/>
      <c r="BP2678" s="155"/>
      <c r="BQ2678" s="314"/>
      <c r="BR2678" s="314"/>
      <c r="BS2678" s="314"/>
      <c r="BT2678" s="314"/>
      <c r="BU2678" s="314"/>
      <c r="BV2678" s="314"/>
      <c r="BW2678" s="314"/>
      <c r="BX2678" s="155"/>
    </row>
    <row r="2679" spans="1:76" ht="15.75" customHeight="1">
      <c r="A2679" s="25"/>
      <c r="B2679" s="39"/>
      <c r="C2679" s="155"/>
      <c r="D2679" s="155"/>
      <c r="E2679" s="40"/>
      <c r="F2679" s="314"/>
      <c r="H2679" s="315"/>
      <c r="I2679" s="315"/>
      <c r="BA2679" s="30"/>
      <c r="BB2679" s="155"/>
      <c r="BC2679" s="314"/>
      <c r="BD2679" s="314"/>
      <c r="BE2679" s="314"/>
      <c r="BF2679" s="314"/>
      <c r="BG2679" s="314"/>
      <c r="BH2679" s="314"/>
      <c r="BI2679" s="314"/>
      <c r="BJ2679" s="314"/>
      <c r="BK2679" s="40"/>
      <c r="BL2679" s="40"/>
      <c r="BM2679" s="40"/>
      <c r="BN2679" s="40"/>
      <c r="BO2679" s="40"/>
      <c r="BP2679" s="155"/>
      <c r="BQ2679" s="314"/>
      <c r="BR2679" s="314"/>
      <c r="BS2679" s="314"/>
      <c r="BT2679" s="314"/>
      <c r="BU2679" s="314"/>
      <c r="BV2679" s="314"/>
      <c r="BW2679" s="314"/>
      <c r="BX2679" s="155"/>
    </row>
    <row r="2680" spans="1:76" ht="15.75" customHeight="1">
      <c r="A2680" s="25"/>
      <c r="B2680" s="39"/>
      <c r="C2680" s="155"/>
      <c r="D2680" s="155"/>
      <c r="E2680" s="40"/>
      <c r="F2680" s="314"/>
      <c r="H2680" s="315"/>
      <c r="I2680" s="315"/>
      <c r="BA2680" s="30"/>
      <c r="BB2680" s="155"/>
      <c r="BC2680" s="314"/>
      <c r="BD2680" s="314"/>
      <c r="BE2680" s="314"/>
      <c r="BF2680" s="314"/>
      <c r="BG2680" s="314"/>
      <c r="BH2680" s="314"/>
      <c r="BI2680" s="314"/>
      <c r="BJ2680" s="314"/>
      <c r="BK2680" s="40"/>
      <c r="BL2680" s="40"/>
      <c r="BM2680" s="40"/>
      <c r="BN2680" s="40"/>
      <c r="BO2680" s="40"/>
      <c r="BP2680" s="155"/>
      <c r="BQ2680" s="314"/>
      <c r="BR2680" s="314"/>
      <c r="BS2680" s="314"/>
      <c r="BT2680" s="314"/>
      <c r="BU2680" s="314"/>
      <c r="BV2680" s="314"/>
      <c r="BW2680" s="314"/>
      <c r="BX2680" s="155"/>
    </row>
    <row r="2681" spans="1:76" ht="15.75" customHeight="1">
      <c r="A2681" s="25"/>
      <c r="B2681" s="39"/>
      <c r="C2681" s="155"/>
      <c r="D2681" s="155"/>
      <c r="E2681" s="40"/>
      <c r="F2681" s="314"/>
      <c r="H2681" s="315"/>
      <c r="I2681" s="315"/>
      <c r="BA2681" s="30"/>
      <c r="BB2681" s="155"/>
      <c r="BC2681" s="314"/>
      <c r="BD2681" s="314"/>
      <c r="BE2681" s="314"/>
      <c r="BF2681" s="314"/>
      <c r="BG2681" s="314"/>
      <c r="BH2681" s="314"/>
      <c r="BI2681" s="314"/>
      <c r="BJ2681" s="314"/>
      <c r="BK2681" s="40"/>
      <c r="BL2681" s="40"/>
      <c r="BM2681" s="40"/>
      <c r="BN2681" s="40"/>
      <c r="BO2681" s="40"/>
      <c r="BP2681" s="155"/>
      <c r="BQ2681" s="314"/>
      <c r="BR2681" s="314"/>
      <c r="BS2681" s="314"/>
      <c r="BT2681" s="314"/>
      <c r="BU2681" s="314"/>
      <c r="BV2681" s="314"/>
      <c r="BW2681" s="314"/>
      <c r="BX2681" s="155"/>
    </row>
    <row r="2682" spans="1:76" ht="15.75" customHeight="1">
      <c r="A2682" s="25"/>
      <c r="B2682" s="39"/>
      <c r="C2682" s="155"/>
      <c r="D2682" s="155"/>
      <c r="E2682" s="40"/>
      <c r="F2682" s="314"/>
      <c r="H2682" s="315"/>
      <c r="I2682" s="315"/>
      <c r="BA2682" s="30"/>
      <c r="BB2682" s="155"/>
      <c r="BC2682" s="314"/>
      <c r="BD2682" s="314"/>
      <c r="BE2682" s="314"/>
      <c r="BF2682" s="314"/>
      <c r="BG2682" s="314"/>
      <c r="BH2682" s="314"/>
      <c r="BI2682" s="314"/>
      <c r="BJ2682" s="314"/>
      <c r="BK2682" s="40"/>
      <c r="BL2682" s="40"/>
      <c r="BM2682" s="40"/>
      <c r="BN2682" s="40"/>
      <c r="BO2682" s="40"/>
      <c r="BP2682" s="155"/>
      <c r="BQ2682" s="314"/>
      <c r="BR2682" s="314"/>
      <c r="BS2682" s="314"/>
      <c r="BT2682" s="314"/>
      <c r="BU2682" s="314"/>
      <c r="BV2682" s="314"/>
      <c r="BW2682" s="314"/>
      <c r="BX2682" s="155"/>
    </row>
    <row r="2683" spans="1:76" ht="15.75" customHeight="1">
      <c r="A2683" s="25"/>
      <c r="B2683" s="39"/>
      <c r="C2683" s="155"/>
      <c r="D2683" s="155"/>
      <c r="E2683" s="40"/>
      <c r="F2683" s="314"/>
      <c r="H2683" s="315"/>
      <c r="I2683" s="315"/>
      <c r="BA2683" s="30"/>
      <c r="BB2683" s="155"/>
      <c r="BC2683" s="314"/>
      <c r="BD2683" s="314"/>
      <c r="BE2683" s="314"/>
      <c r="BF2683" s="314"/>
      <c r="BG2683" s="314"/>
      <c r="BH2683" s="314"/>
      <c r="BI2683" s="314"/>
      <c r="BJ2683" s="314"/>
      <c r="BK2683" s="40"/>
      <c r="BL2683" s="40"/>
      <c r="BM2683" s="40"/>
      <c r="BN2683" s="40"/>
      <c r="BO2683" s="40"/>
      <c r="BP2683" s="155"/>
      <c r="BQ2683" s="314"/>
      <c r="BR2683" s="314"/>
      <c r="BS2683" s="314"/>
      <c r="BT2683" s="314"/>
      <c r="BU2683" s="314"/>
      <c r="BV2683" s="314"/>
      <c r="BW2683" s="314"/>
      <c r="BX2683" s="155"/>
    </row>
    <row r="2684" spans="1:76" ht="15.75" customHeight="1">
      <c r="A2684" s="25"/>
      <c r="B2684" s="39"/>
      <c r="C2684" s="155"/>
      <c r="D2684" s="155"/>
      <c r="E2684" s="40"/>
      <c r="F2684" s="314"/>
      <c r="H2684" s="315"/>
      <c r="I2684" s="315"/>
      <c r="BA2684" s="30"/>
      <c r="BB2684" s="155"/>
      <c r="BC2684" s="314"/>
      <c r="BD2684" s="314"/>
      <c r="BE2684" s="314"/>
      <c r="BF2684" s="314"/>
      <c r="BG2684" s="314"/>
      <c r="BH2684" s="314"/>
      <c r="BI2684" s="314"/>
      <c r="BJ2684" s="314"/>
      <c r="BK2684" s="40"/>
      <c r="BL2684" s="40"/>
      <c r="BM2684" s="40"/>
      <c r="BN2684" s="40"/>
      <c r="BO2684" s="40"/>
      <c r="BP2684" s="155"/>
      <c r="BQ2684" s="314"/>
      <c r="BR2684" s="314"/>
      <c r="BS2684" s="314"/>
      <c r="BT2684" s="314"/>
      <c r="BU2684" s="314"/>
      <c r="BV2684" s="314"/>
      <c r="BW2684" s="314"/>
      <c r="BX2684" s="155"/>
    </row>
    <row r="2685" spans="1:76" ht="15.75" customHeight="1">
      <c r="A2685" s="25"/>
      <c r="B2685" s="39"/>
      <c r="C2685" s="155"/>
      <c r="D2685" s="155"/>
      <c r="E2685" s="40"/>
      <c r="F2685" s="314"/>
      <c r="H2685" s="315"/>
      <c r="I2685" s="315"/>
      <c r="BA2685" s="30"/>
      <c r="BB2685" s="155"/>
      <c r="BC2685" s="314"/>
      <c r="BD2685" s="314"/>
      <c r="BE2685" s="314"/>
      <c r="BF2685" s="314"/>
      <c r="BG2685" s="314"/>
      <c r="BH2685" s="314"/>
      <c r="BI2685" s="314"/>
      <c r="BJ2685" s="314"/>
      <c r="BK2685" s="40"/>
      <c r="BL2685" s="40"/>
      <c r="BM2685" s="40"/>
      <c r="BN2685" s="40"/>
      <c r="BO2685" s="40"/>
      <c r="BP2685" s="155"/>
      <c r="BQ2685" s="314"/>
      <c r="BR2685" s="314"/>
      <c r="BS2685" s="314"/>
      <c r="BT2685" s="314"/>
      <c r="BU2685" s="314"/>
      <c r="BV2685" s="314"/>
      <c r="BW2685" s="314"/>
      <c r="BX2685" s="155"/>
    </row>
    <row r="2686" spans="1:76" ht="15.75" customHeight="1">
      <c r="A2686" s="25"/>
      <c r="B2686" s="39"/>
      <c r="C2686" s="155"/>
      <c r="D2686" s="155"/>
      <c r="E2686" s="40"/>
      <c r="F2686" s="314"/>
      <c r="H2686" s="315"/>
      <c r="I2686" s="315"/>
      <c r="BA2686" s="30"/>
      <c r="BB2686" s="155"/>
      <c r="BC2686" s="314"/>
      <c r="BD2686" s="314"/>
      <c r="BE2686" s="314"/>
      <c r="BF2686" s="314"/>
      <c r="BG2686" s="314"/>
      <c r="BH2686" s="314"/>
      <c r="BI2686" s="314"/>
      <c r="BJ2686" s="314"/>
      <c r="BK2686" s="40"/>
      <c r="BL2686" s="40"/>
      <c r="BM2686" s="40"/>
      <c r="BN2686" s="40"/>
      <c r="BO2686" s="40"/>
      <c r="BP2686" s="155"/>
      <c r="BQ2686" s="314"/>
      <c r="BR2686" s="314"/>
      <c r="BS2686" s="314"/>
      <c r="BT2686" s="314"/>
      <c r="BU2686" s="314"/>
      <c r="BV2686" s="314"/>
      <c r="BW2686" s="314"/>
      <c r="BX2686" s="155"/>
    </row>
    <row r="2687" spans="1:76" ht="15.75" customHeight="1">
      <c r="A2687" s="25"/>
      <c r="B2687" s="39"/>
      <c r="C2687" s="155"/>
      <c r="D2687" s="155"/>
      <c r="E2687" s="40"/>
      <c r="F2687" s="314"/>
      <c r="H2687" s="315"/>
      <c r="I2687" s="315"/>
      <c r="BA2687" s="30"/>
      <c r="BB2687" s="155"/>
      <c r="BC2687" s="322"/>
      <c r="BD2687" s="322"/>
      <c r="BE2687" s="322"/>
      <c r="BF2687" s="322"/>
      <c r="BG2687" s="322"/>
      <c r="BH2687" s="322"/>
      <c r="BI2687" s="322"/>
      <c r="BJ2687" s="322"/>
      <c r="BK2687" s="341"/>
      <c r="BL2687" s="40"/>
      <c r="BM2687" s="40"/>
      <c r="BN2687" s="40"/>
      <c r="BO2687" s="40"/>
      <c r="BP2687" s="155"/>
      <c r="BQ2687" s="314"/>
      <c r="BR2687" s="314"/>
      <c r="BS2687" s="314"/>
      <c r="BT2687" s="314"/>
      <c r="BU2687" s="314"/>
      <c r="BV2687" s="314"/>
      <c r="BW2687" s="314"/>
      <c r="BX2687" s="155"/>
    </row>
    <row r="2688" spans="1:76" ht="15.75" customHeight="1">
      <c r="A2688" s="25"/>
      <c r="B2688" s="39"/>
      <c r="C2688" s="155"/>
      <c r="D2688" s="155"/>
      <c r="E2688" s="40"/>
      <c r="F2688" s="314"/>
      <c r="H2688" s="315"/>
      <c r="I2688" s="315"/>
      <c r="BA2688" s="30"/>
      <c r="BB2688" s="155"/>
      <c r="BC2688" s="314"/>
      <c r="BD2688" s="314"/>
      <c r="BE2688" s="314"/>
      <c r="BF2688" s="314"/>
      <c r="BG2688" s="314"/>
      <c r="BH2688" s="314"/>
      <c r="BI2688" s="314"/>
      <c r="BJ2688" s="314"/>
      <c r="BK2688" s="40"/>
      <c r="BL2688" s="40"/>
      <c r="BM2688" s="40"/>
      <c r="BN2688" s="40"/>
      <c r="BO2688" s="40"/>
      <c r="BP2688" s="155"/>
      <c r="BQ2688" s="314"/>
      <c r="BR2688" s="314"/>
      <c r="BS2688" s="314"/>
      <c r="BT2688" s="314"/>
      <c r="BU2688" s="314"/>
      <c r="BV2688" s="314"/>
      <c r="BW2688" s="314"/>
      <c r="BX2688" s="155"/>
    </row>
    <row r="2689" spans="1:76" ht="15.75" customHeight="1">
      <c r="A2689" s="25"/>
      <c r="B2689" s="39"/>
      <c r="C2689" s="155"/>
      <c r="D2689" s="155"/>
      <c r="E2689" s="40"/>
      <c r="F2689" s="314"/>
      <c r="H2689" s="315"/>
      <c r="I2689" s="315"/>
      <c r="BA2689" s="30"/>
      <c r="BB2689" s="155"/>
      <c r="BC2689" s="314"/>
      <c r="BD2689" s="314"/>
      <c r="BE2689" s="314"/>
      <c r="BF2689" s="314"/>
      <c r="BG2689" s="314"/>
      <c r="BH2689" s="314"/>
      <c r="BI2689" s="314"/>
      <c r="BJ2689" s="314"/>
      <c r="BK2689" s="40"/>
      <c r="BL2689" s="40"/>
      <c r="BM2689" s="40"/>
      <c r="BN2689" s="40"/>
      <c r="BO2689" s="40"/>
      <c r="BP2689" s="155"/>
      <c r="BQ2689" s="314"/>
      <c r="BR2689" s="314"/>
      <c r="BS2689" s="314"/>
      <c r="BT2689" s="314"/>
      <c r="BU2689" s="314"/>
      <c r="BV2689" s="314"/>
      <c r="BW2689" s="314"/>
      <c r="BX2689" s="155"/>
    </row>
    <row r="2690" spans="1:76" ht="15.75" customHeight="1">
      <c r="A2690" s="25"/>
      <c r="B2690" s="39"/>
      <c r="C2690" s="155"/>
      <c r="D2690" s="155"/>
      <c r="E2690" s="40"/>
      <c r="F2690" s="314"/>
      <c r="H2690" s="315"/>
      <c r="I2690" s="315"/>
      <c r="BA2690" s="30"/>
      <c r="BB2690" s="155"/>
      <c r="BC2690" s="314"/>
      <c r="BD2690" s="314"/>
      <c r="BE2690" s="314"/>
      <c r="BF2690" s="314"/>
      <c r="BG2690" s="314"/>
      <c r="BH2690" s="314"/>
      <c r="BI2690" s="314"/>
      <c r="BJ2690" s="314"/>
      <c r="BK2690" s="40"/>
      <c r="BL2690" s="40"/>
      <c r="BM2690" s="40"/>
      <c r="BN2690" s="40"/>
      <c r="BO2690" s="40"/>
      <c r="BP2690" s="155"/>
      <c r="BQ2690" s="314"/>
      <c r="BR2690" s="314"/>
      <c r="BS2690" s="314"/>
      <c r="BT2690" s="314"/>
      <c r="BU2690" s="314"/>
      <c r="BV2690" s="314"/>
      <c r="BW2690" s="314"/>
      <c r="BX2690" s="155"/>
    </row>
    <row r="2691" spans="1:76" ht="15.75" customHeight="1">
      <c r="A2691" s="25"/>
      <c r="B2691" s="39"/>
      <c r="C2691" s="155"/>
      <c r="D2691" s="155"/>
      <c r="E2691" s="40"/>
      <c r="F2691" s="314"/>
      <c r="H2691" s="315"/>
      <c r="I2691" s="315"/>
      <c r="BA2691" s="30"/>
      <c r="BB2691" s="155"/>
      <c r="BC2691" s="314"/>
      <c r="BD2691" s="314"/>
      <c r="BE2691" s="314"/>
      <c r="BF2691" s="314"/>
      <c r="BG2691" s="314"/>
      <c r="BH2691" s="314"/>
      <c r="BI2691" s="314"/>
      <c r="BJ2691" s="314"/>
      <c r="BK2691" s="40"/>
      <c r="BL2691" s="40"/>
      <c r="BM2691" s="40"/>
      <c r="BN2691" s="40"/>
      <c r="BO2691" s="40"/>
      <c r="BP2691" s="155"/>
      <c r="BQ2691" s="314"/>
      <c r="BR2691" s="314"/>
      <c r="BS2691" s="314"/>
      <c r="BT2691" s="314"/>
      <c r="BU2691" s="314"/>
      <c r="BV2691" s="314"/>
      <c r="BW2691" s="314"/>
      <c r="BX2691" s="155"/>
    </row>
    <row r="2692" spans="1:76" ht="15.75" customHeight="1">
      <c r="A2692" s="25"/>
      <c r="B2692" s="39"/>
      <c r="C2692" s="155"/>
      <c r="D2692" s="155"/>
      <c r="E2692" s="40"/>
      <c r="F2692" s="314"/>
      <c r="H2692" s="315"/>
      <c r="I2692" s="315"/>
      <c r="BA2692" s="30"/>
      <c r="BB2692" s="155"/>
      <c r="BC2692" s="314"/>
      <c r="BD2692" s="314"/>
      <c r="BE2692" s="314"/>
      <c r="BF2692" s="314"/>
      <c r="BG2692" s="314"/>
      <c r="BH2692" s="314"/>
      <c r="BI2692" s="314"/>
      <c r="BJ2692" s="314"/>
      <c r="BK2692" s="40"/>
      <c r="BL2692" s="40"/>
      <c r="BM2692" s="40"/>
      <c r="BN2692" s="40"/>
      <c r="BO2692" s="40"/>
      <c r="BP2692" s="155"/>
      <c r="BQ2692" s="314"/>
      <c r="BR2692" s="314"/>
      <c r="BS2692" s="314"/>
      <c r="BT2692" s="314"/>
      <c r="BU2692" s="314"/>
      <c r="BV2692" s="314"/>
      <c r="BW2692" s="314"/>
      <c r="BX2692" s="155"/>
    </row>
    <row r="2693" spans="1:76" ht="15.75" customHeight="1">
      <c r="A2693" s="25"/>
      <c r="B2693" s="39"/>
      <c r="C2693" s="155"/>
      <c r="D2693" s="155"/>
      <c r="E2693" s="40"/>
      <c r="F2693" s="314"/>
      <c r="H2693" s="315"/>
      <c r="I2693" s="315"/>
      <c r="BA2693" s="30"/>
      <c r="BB2693" s="155"/>
      <c r="BC2693" s="314"/>
      <c r="BD2693" s="314"/>
      <c r="BE2693" s="314"/>
      <c r="BF2693" s="314"/>
      <c r="BG2693" s="314"/>
      <c r="BH2693" s="314"/>
      <c r="BI2693" s="314"/>
      <c r="BJ2693" s="314"/>
      <c r="BK2693" s="40"/>
      <c r="BL2693" s="40"/>
      <c r="BM2693" s="40"/>
      <c r="BN2693" s="40"/>
      <c r="BO2693" s="40"/>
      <c r="BP2693" s="155"/>
      <c r="BQ2693" s="314"/>
      <c r="BR2693" s="314"/>
      <c r="BS2693" s="314"/>
      <c r="BT2693" s="314"/>
      <c r="BU2693" s="314"/>
      <c r="BV2693" s="314"/>
      <c r="BW2693" s="314"/>
      <c r="BX2693" s="155"/>
    </row>
    <row r="2694" spans="1:76" ht="15.75" customHeight="1">
      <c r="A2694" s="25"/>
      <c r="B2694" s="39"/>
      <c r="C2694" s="155"/>
      <c r="D2694" s="155"/>
      <c r="E2694" s="40"/>
      <c r="F2694" s="314"/>
      <c r="H2694" s="315"/>
      <c r="I2694" s="315"/>
      <c r="BA2694" s="30"/>
      <c r="BB2694" s="155"/>
      <c r="BC2694" s="314"/>
      <c r="BD2694" s="314"/>
      <c r="BE2694" s="314"/>
      <c r="BF2694" s="314"/>
      <c r="BG2694" s="314"/>
      <c r="BH2694" s="314"/>
      <c r="BI2694" s="314"/>
      <c r="BJ2694" s="314"/>
      <c r="BK2694" s="40"/>
      <c r="BL2694" s="40"/>
      <c r="BM2694" s="40"/>
      <c r="BN2694" s="40"/>
      <c r="BO2694" s="40"/>
      <c r="BP2694" s="155"/>
      <c r="BQ2694" s="314"/>
      <c r="BR2694" s="314"/>
      <c r="BS2694" s="314"/>
      <c r="BT2694" s="314"/>
      <c r="BU2694" s="314"/>
      <c r="BV2694" s="314"/>
      <c r="BW2694" s="314"/>
      <c r="BX2694" s="155"/>
    </row>
    <row r="2695" spans="1:76" ht="15.75" customHeight="1">
      <c r="A2695" s="25"/>
      <c r="B2695" s="39"/>
      <c r="C2695" s="155"/>
      <c r="D2695" s="155"/>
      <c r="E2695" s="40"/>
      <c r="F2695" s="314"/>
      <c r="H2695" s="315"/>
      <c r="I2695" s="315"/>
      <c r="BA2695" s="30"/>
      <c r="BB2695" s="155"/>
      <c r="BC2695" s="314"/>
      <c r="BD2695" s="314"/>
      <c r="BE2695" s="314"/>
      <c r="BF2695" s="314"/>
      <c r="BG2695" s="314"/>
      <c r="BH2695" s="314"/>
      <c r="BI2695" s="314"/>
      <c r="BJ2695" s="314"/>
      <c r="BK2695" s="40"/>
      <c r="BL2695" s="40"/>
      <c r="BM2695" s="40"/>
      <c r="BN2695" s="40"/>
      <c r="BO2695" s="40"/>
      <c r="BP2695" s="155"/>
      <c r="BQ2695" s="314"/>
      <c r="BR2695" s="314"/>
      <c r="BS2695" s="314"/>
      <c r="BT2695" s="314"/>
      <c r="BU2695" s="314"/>
      <c r="BV2695" s="314"/>
      <c r="BW2695" s="314"/>
      <c r="BX2695" s="155"/>
    </row>
    <row r="2696" spans="1:76" ht="15.75" customHeight="1">
      <c r="A2696" s="25"/>
      <c r="B2696" s="39"/>
      <c r="C2696" s="155"/>
      <c r="D2696" s="155"/>
      <c r="E2696" s="40"/>
      <c r="F2696" s="314"/>
      <c r="H2696" s="315"/>
      <c r="I2696" s="315"/>
      <c r="BA2696" s="30"/>
      <c r="BB2696" s="155"/>
      <c r="BC2696" s="314"/>
      <c r="BD2696" s="314"/>
      <c r="BE2696" s="314"/>
      <c r="BF2696" s="314"/>
      <c r="BG2696" s="314"/>
      <c r="BH2696" s="314"/>
      <c r="BI2696" s="314"/>
      <c r="BJ2696" s="314"/>
      <c r="BK2696" s="40"/>
      <c r="BL2696" s="40"/>
      <c r="BM2696" s="40"/>
      <c r="BN2696" s="40"/>
      <c r="BO2696" s="40"/>
      <c r="BP2696" s="155"/>
      <c r="BQ2696" s="314"/>
      <c r="BR2696" s="314"/>
      <c r="BS2696" s="314"/>
      <c r="BT2696" s="314"/>
      <c r="BU2696" s="314"/>
      <c r="BV2696" s="314"/>
      <c r="BW2696" s="314"/>
      <c r="BX2696" s="155"/>
    </row>
    <row r="2697" spans="1:76" ht="15.75" customHeight="1">
      <c r="A2697" s="25"/>
      <c r="B2697" s="39"/>
      <c r="C2697" s="155"/>
      <c r="D2697" s="155"/>
      <c r="E2697" s="40"/>
      <c r="F2697" s="314"/>
      <c r="H2697" s="315"/>
      <c r="I2697" s="315"/>
      <c r="BA2697" s="30"/>
      <c r="BB2697" s="155"/>
      <c r="BC2697" s="314"/>
      <c r="BD2697" s="314"/>
      <c r="BE2697" s="314"/>
      <c r="BF2697" s="314"/>
      <c r="BG2697" s="314"/>
      <c r="BH2697" s="314"/>
      <c r="BI2697" s="314"/>
      <c r="BJ2697" s="314"/>
      <c r="BK2697" s="40"/>
      <c r="BL2697" s="40"/>
      <c r="BM2697" s="40"/>
      <c r="BN2697" s="40"/>
      <c r="BO2697" s="40"/>
      <c r="BP2697" s="155"/>
      <c r="BQ2697" s="314"/>
      <c r="BR2697" s="314"/>
      <c r="BS2697" s="314"/>
      <c r="BT2697" s="314"/>
      <c r="BU2697" s="314"/>
      <c r="BV2697" s="314"/>
      <c r="BW2697" s="314"/>
      <c r="BX2697" s="155"/>
    </row>
    <row r="2698" spans="1:76" ht="15.75" customHeight="1">
      <c r="A2698" s="25"/>
      <c r="B2698" s="39"/>
      <c r="C2698" s="155"/>
      <c r="D2698" s="155"/>
      <c r="E2698" s="40"/>
      <c r="F2698" s="314"/>
      <c r="H2698" s="315"/>
      <c r="I2698" s="315"/>
      <c r="BA2698" s="30"/>
      <c r="BB2698" s="155"/>
      <c r="BC2698" s="314"/>
      <c r="BD2698" s="314"/>
      <c r="BE2698" s="314"/>
      <c r="BF2698" s="314"/>
      <c r="BG2698" s="314"/>
      <c r="BH2698" s="314"/>
      <c r="BI2698" s="314"/>
      <c r="BJ2698" s="314"/>
      <c r="BK2698" s="40"/>
      <c r="BL2698" s="40"/>
      <c r="BM2698" s="40"/>
      <c r="BN2698" s="40"/>
      <c r="BO2698" s="40"/>
      <c r="BP2698" s="155"/>
      <c r="BQ2698" s="314"/>
      <c r="BR2698" s="314"/>
      <c r="BS2698" s="314"/>
      <c r="BT2698" s="314"/>
      <c r="BU2698" s="314"/>
      <c r="BV2698" s="314"/>
      <c r="BW2698" s="314"/>
      <c r="BX2698" s="155"/>
    </row>
    <row r="2699" spans="1:76" ht="15.75" customHeight="1">
      <c r="A2699" s="25"/>
      <c r="B2699" s="39"/>
      <c r="C2699" s="155"/>
      <c r="D2699" s="155"/>
      <c r="E2699" s="40"/>
      <c r="F2699" s="314"/>
      <c r="H2699" s="315"/>
      <c r="I2699" s="315"/>
      <c r="BA2699" s="30"/>
      <c r="BB2699" s="155"/>
      <c r="BC2699" s="314"/>
      <c r="BD2699" s="314"/>
      <c r="BE2699" s="314"/>
      <c r="BF2699" s="314"/>
      <c r="BG2699" s="314"/>
      <c r="BH2699" s="314"/>
      <c r="BI2699" s="314"/>
      <c r="BJ2699" s="314"/>
      <c r="BK2699" s="40"/>
      <c r="BL2699" s="40"/>
      <c r="BM2699" s="40"/>
      <c r="BN2699" s="40"/>
      <c r="BO2699" s="40"/>
      <c r="BP2699" s="155"/>
      <c r="BQ2699" s="314"/>
      <c r="BR2699" s="314"/>
      <c r="BS2699" s="314"/>
      <c r="BT2699" s="314"/>
      <c r="BU2699" s="314"/>
      <c r="BV2699" s="314"/>
      <c r="BW2699" s="314"/>
      <c r="BX2699" s="155"/>
    </row>
    <row r="2700" spans="1:76" ht="15.75" customHeight="1">
      <c r="A2700" s="25"/>
      <c r="B2700" s="39"/>
      <c r="C2700" s="155"/>
      <c r="D2700" s="155"/>
      <c r="E2700" s="40"/>
      <c r="F2700" s="314"/>
      <c r="H2700" s="315"/>
      <c r="I2700" s="315"/>
      <c r="BA2700" s="30"/>
      <c r="BB2700" s="155"/>
      <c r="BC2700" s="314"/>
      <c r="BD2700" s="314"/>
      <c r="BE2700" s="314"/>
      <c r="BF2700" s="314"/>
      <c r="BG2700" s="314"/>
      <c r="BH2700" s="314"/>
      <c r="BI2700" s="314"/>
      <c r="BJ2700" s="314"/>
      <c r="BK2700" s="40"/>
      <c r="BL2700" s="40"/>
      <c r="BM2700" s="40"/>
      <c r="BN2700" s="40"/>
      <c r="BO2700" s="40"/>
      <c r="BP2700" s="155"/>
      <c r="BQ2700" s="314"/>
      <c r="BR2700" s="314"/>
      <c r="BS2700" s="314"/>
      <c r="BT2700" s="314"/>
      <c r="BU2700" s="314"/>
      <c r="BV2700" s="314"/>
      <c r="BW2700" s="314"/>
      <c r="BX2700" s="155"/>
    </row>
    <row r="2701" spans="1:76" ht="15.75" customHeight="1">
      <c r="A2701" s="25"/>
      <c r="B2701" s="39"/>
      <c r="C2701" s="155"/>
      <c r="D2701" s="155"/>
      <c r="E2701" s="40"/>
      <c r="F2701" s="314"/>
      <c r="H2701" s="315"/>
      <c r="I2701" s="315"/>
      <c r="BA2701" s="30"/>
      <c r="BB2701" s="155"/>
      <c r="BC2701" s="314"/>
      <c r="BD2701" s="314"/>
      <c r="BE2701" s="314"/>
      <c r="BF2701" s="314"/>
      <c r="BG2701" s="314"/>
      <c r="BH2701" s="314"/>
      <c r="BI2701" s="314"/>
      <c r="BJ2701" s="314"/>
      <c r="BK2701" s="40"/>
      <c r="BL2701" s="40"/>
      <c r="BM2701" s="40"/>
      <c r="BN2701" s="40"/>
      <c r="BO2701" s="40"/>
      <c r="BP2701" s="155"/>
      <c r="BQ2701" s="314"/>
      <c r="BR2701" s="314"/>
      <c r="BS2701" s="314"/>
      <c r="BT2701" s="314"/>
      <c r="BU2701" s="314"/>
      <c r="BV2701" s="314"/>
      <c r="BW2701" s="314"/>
      <c r="BX2701" s="155"/>
    </row>
    <row r="2702" spans="1:76" ht="15.75" customHeight="1">
      <c r="A2702" s="25"/>
      <c r="B2702" s="39"/>
      <c r="C2702" s="155"/>
      <c r="D2702" s="155"/>
      <c r="E2702" s="40"/>
      <c r="F2702" s="314"/>
      <c r="H2702" s="315"/>
      <c r="I2702" s="315"/>
      <c r="BA2702" s="30"/>
      <c r="BB2702" s="155"/>
      <c r="BC2702" s="314"/>
      <c r="BD2702" s="314"/>
      <c r="BE2702" s="314"/>
      <c r="BF2702" s="314"/>
      <c r="BG2702" s="314"/>
      <c r="BH2702" s="314"/>
      <c r="BI2702" s="314"/>
      <c r="BJ2702" s="314"/>
      <c r="BK2702" s="40"/>
      <c r="BL2702" s="40"/>
      <c r="BM2702" s="40"/>
      <c r="BN2702" s="40"/>
      <c r="BO2702" s="40"/>
      <c r="BP2702" s="155"/>
      <c r="BQ2702" s="314"/>
      <c r="BR2702" s="314"/>
      <c r="BS2702" s="314"/>
      <c r="BT2702" s="314"/>
      <c r="BU2702" s="314"/>
      <c r="BV2702" s="314"/>
      <c r="BW2702" s="314"/>
      <c r="BX2702" s="155"/>
    </row>
    <row r="2703" spans="1:76" ht="15.75" customHeight="1">
      <c r="A2703" s="25"/>
      <c r="B2703" s="39"/>
      <c r="C2703" s="155"/>
      <c r="D2703" s="155"/>
      <c r="E2703" s="40"/>
      <c r="F2703" s="314"/>
      <c r="H2703" s="315"/>
      <c r="I2703" s="315"/>
      <c r="BA2703" s="30"/>
      <c r="BB2703" s="155"/>
      <c r="BC2703" s="314"/>
      <c r="BD2703" s="314"/>
      <c r="BE2703" s="314"/>
      <c r="BF2703" s="314"/>
      <c r="BG2703" s="314"/>
      <c r="BH2703" s="314"/>
      <c r="BI2703" s="314"/>
      <c r="BJ2703" s="314"/>
      <c r="BK2703" s="40"/>
      <c r="BL2703" s="40"/>
      <c r="BM2703" s="40"/>
      <c r="BN2703" s="40"/>
      <c r="BO2703" s="40"/>
      <c r="BP2703" s="155"/>
      <c r="BQ2703" s="314"/>
      <c r="BR2703" s="314"/>
      <c r="BS2703" s="314"/>
      <c r="BT2703" s="314"/>
      <c r="BU2703" s="314"/>
      <c r="BV2703" s="314"/>
      <c r="BW2703" s="314"/>
      <c r="BX2703" s="155"/>
    </row>
    <row r="2704" spans="1:76" ht="15.75" customHeight="1">
      <c r="A2704" s="25"/>
      <c r="B2704" s="39"/>
      <c r="C2704" s="155"/>
      <c r="D2704" s="155"/>
      <c r="E2704" s="40"/>
      <c r="F2704" s="314"/>
      <c r="H2704" s="315"/>
      <c r="I2704" s="315"/>
      <c r="BA2704" s="30"/>
      <c r="BB2704" s="155"/>
      <c r="BC2704" s="314"/>
      <c r="BD2704" s="314"/>
      <c r="BE2704" s="314"/>
      <c r="BF2704" s="314"/>
      <c r="BG2704" s="314"/>
      <c r="BH2704" s="314"/>
      <c r="BI2704" s="314"/>
      <c r="BJ2704" s="314"/>
      <c r="BK2704" s="40"/>
      <c r="BL2704" s="40"/>
      <c r="BM2704" s="40"/>
      <c r="BN2704" s="40"/>
      <c r="BO2704" s="40"/>
      <c r="BP2704" s="155"/>
      <c r="BQ2704" s="314"/>
      <c r="BR2704" s="314"/>
      <c r="BS2704" s="314"/>
      <c r="BT2704" s="314"/>
      <c r="BU2704" s="314"/>
      <c r="BV2704" s="314"/>
      <c r="BW2704" s="314"/>
      <c r="BX2704" s="155"/>
    </row>
    <row r="2705" spans="1:76" ht="15.75" customHeight="1">
      <c r="A2705" s="25"/>
      <c r="B2705" s="39"/>
      <c r="C2705" s="155"/>
      <c r="D2705" s="155"/>
      <c r="E2705" s="40"/>
      <c r="F2705" s="314"/>
      <c r="H2705" s="315"/>
      <c r="I2705" s="315"/>
      <c r="BA2705" s="30"/>
      <c r="BB2705" s="155"/>
      <c r="BC2705" s="314"/>
      <c r="BD2705" s="314"/>
      <c r="BE2705" s="314"/>
      <c r="BF2705" s="314"/>
      <c r="BG2705" s="314"/>
      <c r="BH2705" s="314"/>
      <c r="BI2705" s="314"/>
      <c r="BJ2705" s="314"/>
      <c r="BK2705" s="40"/>
      <c r="BL2705" s="40"/>
      <c r="BM2705" s="40"/>
      <c r="BN2705" s="40"/>
      <c r="BO2705" s="40"/>
      <c r="BP2705" s="155"/>
      <c r="BQ2705" s="314"/>
      <c r="BR2705" s="314"/>
      <c r="BS2705" s="314"/>
      <c r="BT2705" s="314"/>
      <c r="BU2705" s="314"/>
      <c r="BV2705" s="314"/>
      <c r="BW2705" s="314"/>
      <c r="BX2705" s="155"/>
    </row>
    <row r="2706" spans="1:76" ht="15.75" customHeight="1">
      <c r="A2706" s="25"/>
      <c r="B2706" s="39"/>
      <c r="C2706" s="155"/>
      <c r="D2706" s="155"/>
      <c r="E2706" s="40"/>
      <c r="F2706" s="314"/>
      <c r="H2706" s="315"/>
      <c r="I2706" s="315"/>
      <c r="BA2706" s="30"/>
      <c r="BB2706" s="155"/>
      <c r="BC2706" s="314"/>
      <c r="BD2706" s="314"/>
      <c r="BE2706" s="314"/>
      <c r="BF2706" s="314"/>
      <c r="BG2706" s="314"/>
      <c r="BH2706" s="314"/>
      <c r="BI2706" s="314"/>
      <c r="BJ2706" s="314"/>
      <c r="BK2706" s="40"/>
      <c r="BL2706" s="40"/>
      <c r="BM2706" s="40"/>
      <c r="BN2706" s="40"/>
      <c r="BO2706" s="40"/>
      <c r="BP2706" s="155"/>
      <c r="BQ2706" s="314"/>
      <c r="BR2706" s="314"/>
      <c r="BS2706" s="314"/>
      <c r="BT2706" s="314"/>
      <c r="BU2706" s="314"/>
      <c r="BV2706" s="314"/>
      <c r="BW2706" s="314"/>
      <c r="BX2706" s="155"/>
    </row>
    <row r="2707" spans="1:76" ht="15.75" customHeight="1">
      <c r="A2707" s="25"/>
      <c r="B2707" s="39"/>
      <c r="C2707" s="155"/>
      <c r="D2707" s="155"/>
      <c r="E2707" s="40"/>
      <c r="F2707" s="314"/>
      <c r="H2707" s="315"/>
      <c r="I2707" s="315"/>
      <c r="BA2707" s="30"/>
      <c r="BB2707" s="155"/>
      <c r="BC2707" s="314"/>
      <c r="BD2707" s="314"/>
      <c r="BE2707" s="314"/>
      <c r="BF2707" s="314"/>
      <c r="BG2707" s="314"/>
      <c r="BH2707" s="314"/>
      <c r="BI2707" s="314"/>
      <c r="BJ2707" s="314"/>
      <c r="BK2707" s="40"/>
      <c r="BL2707" s="40"/>
      <c r="BM2707" s="40"/>
      <c r="BN2707" s="40"/>
      <c r="BO2707" s="40"/>
      <c r="BP2707" s="155"/>
      <c r="BQ2707" s="314"/>
      <c r="BR2707" s="314"/>
      <c r="BS2707" s="314"/>
      <c r="BT2707" s="314"/>
      <c r="BU2707" s="314"/>
      <c r="BV2707" s="314"/>
      <c r="BW2707" s="314"/>
      <c r="BX2707" s="155"/>
    </row>
    <row r="2708" spans="1:76" ht="15.75" customHeight="1">
      <c r="A2708" s="25"/>
      <c r="B2708" s="39"/>
      <c r="C2708" s="155"/>
      <c r="D2708" s="155"/>
      <c r="E2708" s="40"/>
      <c r="F2708" s="314"/>
      <c r="H2708" s="315"/>
      <c r="I2708" s="315"/>
      <c r="BA2708" s="30"/>
      <c r="BB2708" s="155"/>
      <c r="BC2708" s="314"/>
      <c r="BD2708" s="314"/>
      <c r="BE2708" s="314"/>
      <c r="BF2708" s="314"/>
      <c r="BG2708" s="314"/>
      <c r="BH2708" s="314"/>
      <c r="BI2708" s="314"/>
      <c r="BJ2708" s="314"/>
      <c r="BK2708" s="40"/>
      <c r="BL2708" s="40"/>
      <c r="BM2708" s="40"/>
      <c r="BN2708" s="40"/>
      <c r="BO2708" s="40"/>
      <c r="BP2708" s="155"/>
      <c r="BQ2708" s="314"/>
      <c r="BR2708" s="314"/>
      <c r="BS2708" s="314"/>
      <c r="BT2708" s="314"/>
      <c r="BU2708" s="314"/>
      <c r="BV2708" s="314"/>
      <c r="BW2708" s="314"/>
      <c r="BX2708" s="155"/>
    </row>
    <row r="2709" spans="1:76" ht="15.75" customHeight="1">
      <c r="A2709" s="25"/>
      <c r="B2709" s="39"/>
      <c r="C2709" s="155"/>
      <c r="D2709" s="155"/>
      <c r="E2709" s="40"/>
      <c r="F2709" s="314"/>
      <c r="H2709" s="315"/>
      <c r="I2709" s="315"/>
      <c r="BA2709" s="30"/>
      <c r="BB2709" s="155"/>
      <c r="BC2709" s="314"/>
      <c r="BD2709" s="314"/>
      <c r="BE2709" s="314"/>
      <c r="BF2709" s="314"/>
      <c r="BG2709" s="314"/>
      <c r="BH2709" s="314"/>
      <c r="BI2709" s="314"/>
      <c r="BJ2709" s="314"/>
      <c r="BK2709" s="40"/>
      <c r="BL2709" s="40"/>
      <c r="BM2709" s="40"/>
      <c r="BN2709" s="40"/>
      <c r="BO2709" s="40"/>
      <c r="BP2709" s="155"/>
      <c r="BQ2709" s="314"/>
      <c r="BR2709" s="314"/>
      <c r="BS2709" s="314"/>
      <c r="BT2709" s="314"/>
      <c r="BU2709" s="314"/>
      <c r="BV2709" s="314"/>
      <c r="BW2709" s="314"/>
      <c r="BX2709" s="155"/>
    </row>
    <row r="2710" spans="1:76" ht="15.75" customHeight="1">
      <c r="A2710" s="25"/>
      <c r="B2710" s="39"/>
      <c r="C2710" s="155"/>
      <c r="D2710" s="155"/>
      <c r="E2710" s="40"/>
      <c r="F2710" s="314"/>
      <c r="H2710" s="315"/>
      <c r="I2710" s="315"/>
      <c r="BA2710" s="30"/>
      <c r="BB2710" s="155"/>
      <c r="BC2710" s="314"/>
      <c r="BD2710" s="314"/>
      <c r="BE2710" s="314"/>
      <c r="BF2710" s="314"/>
      <c r="BG2710" s="314"/>
      <c r="BH2710" s="314"/>
      <c r="BI2710" s="314"/>
      <c r="BJ2710" s="314"/>
      <c r="BK2710" s="40"/>
      <c r="BL2710" s="40"/>
      <c r="BM2710" s="40"/>
      <c r="BN2710" s="40"/>
      <c r="BO2710" s="40"/>
      <c r="BP2710" s="155"/>
      <c r="BQ2710" s="314"/>
      <c r="BR2710" s="314"/>
      <c r="BS2710" s="314"/>
      <c r="BT2710" s="314"/>
      <c r="BU2710" s="314"/>
      <c r="BV2710" s="314"/>
      <c r="BW2710" s="314"/>
      <c r="BX2710" s="155"/>
    </row>
    <row r="2711" spans="1:76" ht="15.75" customHeight="1">
      <c r="A2711" s="25"/>
      <c r="B2711" s="39"/>
      <c r="C2711" s="155"/>
      <c r="D2711" s="155"/>
      <c r="E2711" s="40"/>
      <c r="F2711" s="314"/>
      <c r="H2711" s="315"/>
      <c r="I2711" s="315"/>
      <c r="BA2711" s="30"/>
      <c r="BB2711" s="155"/>
      <c r="BC2711" s="314"/>
      <c r="BD2711" s="314"/>
      <c r="BE2711" s="314"/>
      <c r="BF2711" s="314"/>
      <c r="BG2711" s="314"/>
      <c r="BH2711" s="314"/>
      <c r="BI2711" s="314"/>
      <c r="BJ2711" s="314"/>
      <c r="BK2711" s="40"/>
      <c r="BL2711" s="40"/>
      <c r="BM2711" s="40"/>
      <c r="BN2711" s="40"/>
      <c r="BO2711" s="40"/>
      <c r="BP2711" s="155"/>
      <c r="BQ2711" s="314"/>
      <c r="BR2711" s="314"/>
      <c r="BS2711" s="314"/>
      <c r="BT2711" s="314"/>
      <c r="BU2711" s="314"/>
      <c r="BV2711" s="314"/>
      <c r="BW2711" s="314"/>
      <c r="BX2711" s="155"/>
    </row>
    <row r="2712" spans="1:76" ht="15.75" customHeight="1">
      <c r="A2712" s="25"/>
      <c r="B2712" s="39"/>
      <c r="C2712" s="155"/>
      <c r="D2712" s="155"/>
      <c r="E2712" s="40"/>
      <c r="F2712" s="314"/>
      <c r="H2712" s="315"/>
      <c r="I2712" s="315"/>
      <c r="BA2712" s="30"/>
      <c r="BB2712" s="155"/>
      <c r="BC2712" s="314"/>
      <c r="BD2712" s="314"/>
      <c r="BE2712" s="314"/>
      <c r="BF2712" s="314"/>
      <c r="BG2712" s="314"/>
      <c r="BH2712" s="314"/>
      <c r="BI2712" s="314"/>
      <c r="BJ2712" s="314"/>
      <c r="BK2712" s="40"/>
      <c r="BL2712" s="40"/>
      <c r="BM2712" s="40"/>
      <c r="BN2712" s="40"/>
      <c r="BO2712" s="40"/>
      <c r="BP2712" s="155"/>
      <c r="BQ2712" s="314"/>
      <c r="BR2712" s="314"/>
      <c r="BS2712" s="314"/>
      <c r="BT2712" s="314"/>
      <c r="BU2712" s="314"/>
      <c r="BV2712" s="314"/>
      <c r="BW2712" s="314"/>
      <c r="BX2712" s="155"/>
    </row>
    <row r="2713" spans="1:76" ht="15.75" customHeight="1">
      <c r="A2713" s="25"/>
      <c r="B2713" s="39"/>
      <c r="C2713" s="155"/>
      <c r="D2713" s="155"/>
      <c r="E2713" s="40"/>
      <c r="F2713" s="314"/>
      <c r="H2713" s="315"/>
      <c r="I2713" s="315"/>
      <c r="BA2713" s="30"/>
      <c r="BB2713" s="155"/>
      <c r="BC2713" s="314"/>
      <c r="BD2713" s="314"/>
      <c r="BE2713" s="314"/>
      <c r="BF2713" s="314"/>
      <c r="BG2713" s="314"/>
      <c r="BH2713" s="314"/>
      <c r="BI2713" s="314"/>
      <c r="BJ2713" s="314"/>
      <c r="BK2713" s="40"/>
      <c r="BL2713" s="40"/>
      <c r="BM2713" s="40"/>
      <c r="BN2713" s="40"/>
      <c r="BO2713" s="40"/>
      <c r="BP2713" s="155"/>
      <c r="BQ2713" s="314"/>
      <c r="BR2713" s="314"/>
      <c r="BS2713" s="314"/>
      <c r="BT2713" s="314"/>
      <c r="BU2713" s="314"/>
      <c r="BV2713" s="314"/>
      <c r="BW2713" s="314"/>
      <c r="BX2713" s="155"/>
    </row>
    <row r="2714" spans="1:76" ht="15.75" customHeight="1">
      <c r="A2714" s="25"/>
      <c r="B2714" s="39"/>
      <c r="C2714" s="155"/>
      <c r="D2714" s="155"/>
      <c r="E2714" s="40"/>
      <c r="F2714" s="314"/>
      <c r="H2714" s="315"/>
      <c r="I2714" s="315"/>
      <c r="BA2714" s="30"/>
      <c r="BB2714" s="155"/>
      <c r="BC2714" s="314"/>
      <c r="BD2714" s="314"/>
      <c r="BE2714" s="314"/>
      <c r="BF2714" s="314"/>
      <c r="BG2714" s="314"/>
      <c r="BH2714" s="314"/>
      <c r="BI2714" s="314"/>
      <c r="BJ2714" s="314"/>
      <c r="BK2714" s="40"/>
      <c r="BL2714" s="40"/>
      <c r="BM2714" s="40"/>
      <c r="BN2714" s="40"/>
      <c r="BO2714" s="40"/>
      <c r="BP2714" s="155"/>
      <c r="BQ2714" s="314"/>
      <c r="BR2714" s="314"/>
      <c r="BS2714" s="314"/>
      <c r="BT2714" s="314"/>
      <c r="BU2714" s="314"/>
      <c r="BV2714" s="314"/>
      <c r="BW2714" s="314"/>
      <c r="BX2714" s="155"/>
    </row>
    <row r="2715" spans="1:76" ht="15.75" customHeight="1">
      <c r="A2715" s="25"/>
      <c r="B2715" s="39"/>
      <c r="C2715" s="155"/>
      <c r="D2715" s="155"/>
      <c r="E2715" s="40"/>
      <c r="F2715" s="314"/>
      <c r="H2715" s="315"/>
      <c r="I2715" s="315"/>
      <c r="BA2715" s="30"/>
      <c r="BB2715" s="155"/>
      <c r="BC2715" s="314"/>
      <c r="BD2715" s="314"/>
      <c r="BE2715" s="314"/>
      <c r="BF2715" s="314"/>
      <c r="BG2715" s="314"/>
      <c r="BH2715" s="314"/>
      <c r="BI2715" s="314"/>
      <c r="BJ2715" s="314"/>
      <c r="BK2715" s="40"/>
      <c r="BL2715" s="40"/>
      <c r="BM2715" s="40"/>
      <c r="BN2715" s="40"/>
      <c r="BO2715" s="40"/>
      <c r="BP2715" s="155"/>
      <c r="BQ2715" s="314"/>
      <c r="BR2715" s="314"/>
      <c r="BS2715" s="314"/>
      <c r="BT2715" s="314"/>
      <c r="BU2715" s="314"/>
      <c r="BV2715" s="314"/>
      <c r="BW2715" s="314"/>
      <c r="BX2715" s="155"/>
    </row>
    <row r="2716" spans="1:76" ht="15.75" customHeight="1">
      <c r="A2716" s="25"/>
      <c r="B2716" s="39"/>
      <c r="C2716" s="155"/>
      <c r="D2716" s="155"/>
      <c r="E2716" s="40"/>
      <c r="F2716" s="314"/>
      <c r="H2716" s="315"/>
      <c r="I2716" s="315"/>
      <c r="BA2716" s="30"/>
      <c r="BB2716" s="155"/>
      <c r="BC2716" s="322"/>
      <c r="BD2716" s="322"/>
      <c r="BE2716" s="322"/>
      <c r="BF2716" s="322"/>
      <c r="BG2716" s="322"/>
      <c r="BH2716" s="322"/>
      <c r="BI2716" s="322"/>
      <c r="BJ2716" s="322"/>
      <c r="BK2716" s="341"/>
      <c r="BL2716" s="40"/>
      <c r="BM2716" s="40"/>
      <c r="BN2716" s="40"/>
      <c r="BO2716" s="40"/>
      <c r="BP2716" s="155"/>
      <c r="BQ2716" s="314"/>
      <c r="BR2716" s="314"/>
      <c r="BS2716" s="314"/>
      <c r="BT2716" s="314"/>
      <c r="BU2716" s="314"/>
      <c r="BV2716" s="314"/>
      <c r="BW2716" s="314"/>
      <c r="BX2716" s="155"/>
    </row>
    <row r="2717" spans="1:76" ht="15.75" customHeight="1">
      <c r="A2717" s="25"/>
      <c r="B2717" s="39"/>
      <c r="C2717" s="155"/>
      <c r="D2717" s="155"/>
      <c r="E2717" s="40"/>
      <c r="F2717" s="314"/>
      <c r="H2717" s="315"/>
      <c r="I2717" s="315"/>
      <c r="BA2717" s="30"/>
      <c r="BB2717" s="155"/>
      <c r="BC2717" s="314"/>
      <c r="BD2717" s="314"/>
      <c r="BE2717" s="314"/>
      <c r="BF2717" s="314"/>
      <c r="BG2717" s="314"/>
      <c r="BH2717" s="314"/>
      <c r="BI2717" s="314"/>
      <c r="BJ2717" s="314"/>
      <c r="BK2717" s="40"/>
      <c r="BL2717" s="40"/>
      <c r="BM2717" s="40"/>
      <c r="BN2717" s="40"/>
      <c r="BO2717" s="40"/>
      <c r="BP2717" s="155"/>
      <c r="BQ2717" s="314"/>
      <c r="BR2717" s="314"/>
      <c r="BS2717" s="314"/>
      <c r="BT2717" s="314"/>
      <c r="BU2717" s="314"/>
      <c r="BV2717" s="314"/>
      <c r="BW2717" s="314"/>
      <c r="BX2717" s="155"/>
    </row>
    <row r="2718" spans="1:76" ht="15.75" customHeight="1">
      <c r="A2718" s="25"/>
      <c r="B2718" s="39"/>
      <c r="C2718" s="155"/>
      <c r="D2718" s="155"/>
      <c r="E2718" s="40"/>
      <c r="F2718" s="314"/>
      <c r="H2718" s="315"/>
      <c r="I2718" s="315"/>
      <c r="BA2718" s="30"/>
      <c r="BB2718" s="155"/>
      <c r="BC2718" s="314"/>
      <c r="BD2718" s="314"/>
      <c r="BE2718" s="314"/>
      <c r="BF2718" s="314"/>
      <c r="BG2718" s="314"/>
      <c r="BH2718" s="314"/>
      <c r="BI2718" s="314"/>
      <c r="BJ2718" s="314"/>
      <c r="BK2718" s="40"/>
      <c r="BL2718" s="40"/>
      <c r="BM2718" s="40"/>
      <c r="BN2718" s="40"/>
      <c r="BO2718" s="40"/>
      <c r="BP2718" s="155"/>
      <c r="BQ2718" s="314"/>
      <c r="BR2718" s="314"/>
      <c r="BS2718" s="314"/>
      <c r="BT2718" s="314"/>
      <c r="BU2718" s="314"/>
      <c r="BV2718" s="314"/>
      <c r="BW2718" s="314"/>
      <c r="BX2718" s="155"/>
    </row>
    <row r="2719" spans="1:76" ht="15.75" customHeight="1">
      <c r="A2719" s="25"/>
      <c r="B2719" s="39"/>
      <c r="C2719" s="155"/>
      <c r="D2719" s="155"/>
      <c r="E2719" s="40"/>
      <c r="F2719" s="314"/>
      <c r="H2719" s="315"/>
      <c r="I2719" s="315"/>
      <c r="BA2719" s="30"/>
      <c r="BB2719" s="155"/>
      <c r="BC2719" s="314"/>
      <c r="BD2719" s="314"/>
      <c r="BE2719" s="314"/>
      <c r="BF2719" s="314"/>
      <c r="BG2719" s="314"/>
      <c r="BH2719" s="314"/>
      <c r="BI2719" s="314"/>
      <c r="BJ2719" s="314"/>
      <c r="BK2719" s="40"/>
      <c r="BL2719" s="40"/>
      <c r="BM2719" s="40"/>
      <c r="BN2719" s="40"/>
      <c r="BO2719" s="40"/>
      <c r="BP2719" s="155"/>
      <c r="BQ2719" s="314"/>
      <c r="BR2719" s="314"/>
      <c r="BS2719" s="314"/>
      <c r="BT2719" s="314"/>
      <c r="BU2719" s="314"/>
      <c r="BV2719" s="314"/>
      <c r="BW2719" s="314"/>
      <c r="BX2719" s="155"/>
    </row>
    <row r="2720" spans="1:76" ht="15.75" customHeight="1">
      <c r="A2720" s="25"/>
      <c r="B2720" s="39"/>
      <c r="C2720" s="155"/>
      <c r="D2720" s="155"/>
      <c r="E2720" s="40"/>
      <c r="F2720" s="314"/>
      <c r="H2720" s="315"/>
      <c r="I2720" s="315"/>
      <c r="BA2720" s="30"/>
      <c r="BB2720" s="155"/>
      <c r="BC2720" s="314"/>
      <c r="BD2720" s="314"/>
      <c r="BE2720" s="314"/>
      <c r="BF2720" s="314"/>
      <c r="BG2720" s="314"/>
      <c r="BH2720" s="314"/>
      <c r="BI2720" s="314"/>
      <c r="BJ2720" s="314"/>
      <c r="BK2720" s="40"/>
      <c r="BL2720" s="40"/>
      <c r="BM2720" s="40"/>
      <c r="BN2720" s="40"/>
      <c r="BO2720" s="40"/>
      <c r="BP2720" s="155"/>
      <c r="BQ2720" s="314"/>
      <c r="BR2720" s="314"/>
      <c r="BS2720" s="314"/>
      <c r="BT2720" s="314"/>
      <c r="BU2720" s="314"/>
      <c r="BV2720" s="314"/>
      <c r="BW2720" s="314"/>
      <c r="BX2720" s="155"/>
    </row>
    <row r="2721" spans="1:76" ht="15.75" customHeight="1">
      <c r="A2721" s="25"/>
      <c r="B2721" s="39"/>
      <c r="C2721" s="155"/>
      <c r="D2721" s="155"/>
      <c r="E2721" s="40"/>
      <c r="F2721" s="314"/>
      <c r="H2721" s="315"/>
      <c r="I2721" s="315"/>
      <c r="BA2721" s="30"/>
      <c r="BB2721" s="155"/>
      <c r="BC2721" s="314"/>
      <c r="BD2721" s="314"/>
      <c r="BE2721" s="314"/>
      <c r="BF2721" s="314"/>
      <c r="BG2721" s="314"/>
      <c r="BH2721" s="314"/>
      <c r="BI2721" s="314"/>
      <c r="BJ2721" s="314"/>
      <c r="BK2721" s="40"/>
      <c r="BL2721" s="40"/>
      <c r="BM2721" s="40"/>
      <c r="BN2721" s="40"/>
      <c r="BO2721" s="40"/>
      <c r="BP2721" s="155"/>
      <c r="BQ2721" s="314"/>
      <c r="BR2721" s="314"/>
      <c r="BS2721" s="314"/>
      <c r="BT2721" s="314"/>
      <c r="BU2721" s="314"/>
      <c r="BV2721" s="314"/>
      <c r="BW2721" s="314"/>
      <c r="BX2721" s="155"/>
    </row>
    <row r="2722" spans="1:76" ht="15.75" customHeight="1">
      <c r="A2722" s="25"/>
      <c r="B2722" s="39"/>
      <c r="C2722" s="155"/>
      <c r="D2722" s="155"/>
      <c r="E2722" s="40"/>
      <c r="F2722" s="314"/>
      <c r="H2722" s="315"/>
      <c r="I2722" s="315"/>
      <c r="BA2722" s="30"/>
      <c r="BB2722" s="155"/>
      <c r="BC2722" s="314"/>
      <c r="BD2722" s="314"/>
      <c r="BE2722" s="314"/>
      <c r="BF2722" s="314"/>
      <c r="BG2722" s="314"/>
      <c r="BH2722" s="314"/>
      <c r="BI2722" s="314"/>
      <c r="BJ2722" s="314"/>
      <c r="BK2722" s="40"/>
      <c r="BL2722" s="40"/>
      <c r="BM2722" s="40"/>
      <c r="BN2722" s="40"/>
      <c r="BO2722" s="40"/>
      <c r="BP2722" s="155"/>
      <c r="BQ2722" s="314"/>
      <c r="BR2722" s="314"/>
      <c r="BS2722" s="314"/>
      <c r="BT2722" s="314"/>
      <c r="BU2722" s="314"/>
      <c r="BV2722" s="314"/>
      <c r="BW2722" s="314"/>
      <c r="BX2722" s="155"/>
    </row>
    <row r="2723" spans="1:76" ht="15.75" customHeight="1">
      <c r="A2723" s="25"/>
      <c r="B2723" s="39"/>
      <c r="C2723" s="155"/>
      <c r="D2723" s="155"/>
      <c r="E2723" s="40"/>
      <c r="F2723" s="314"/>
      <c r="H2723" s="315"/>
      <c r="I2723" s="315"/>
      <c r="BA2723" s="30"/>
      <c r="BB2723" s="155"/>
      <c r="BC2723" s="314"/>
      <c r="BD2723" s="314"/>
      <c r="BE2723" s="314"/>
      <c r="BF2723" s="314"/>
      <c r="BG2723" s="314"/>
      <c r="BH2723" s="314"/>
      <c r="BI2723" s="314"/>
      <c r="BJ2723" s="314"/>
      <c r="BK2723" s="40"/>
      <c r="BL2723" s="40"/>
      <c r="BM2723" s="40"/>
      <c r="BN2723" s="40"/>
      <c r="BO2723" s="40"/>
      <c r="BP2723" s="155"/>
      <c r="BQ2723" s="314"/>
      <c r="BR2723" s="314"/>
      <c r="BS2723" s="314"/>
      <c r="BT2723" s="314"/>
      <c r="BU2723" s="314"/>
      <c r="BV2723" s="314"/>
      <c r="BW2723" s="314"/>
      <c r="BX2723" s="155"/>
    </row>
    <row r="2724" spans="1:76" ht="15.75" customHeight="1">
      <c r="A2724" s="25"/>
      <c r="B2724" s="39"/>
      <c r="C2724" s="155"/>
      <c r="D2724" s="155"/>
      <c r="E2724" s="40"/>
      <c r="F2724" s="314"/>
      <c r="H2724" s="315"/>
      <c r="I2724" s="315"/>
      <c r="BA2724" s="30"/>
      <c r="BB2724" s="155"/>
      <c r="BC2724" s="314"/>
      <c r="BD2724" s="314"/>
      <c r="BE2724" s="314"/>
      <c r="BF2724" s="314"/>
      <c r="BG2724" s="314"/>
      <c r="BH2724" s="314"/>
      <c r="BI2724" s="314"/>
      <c r="BJ2724" s="314"/>
      <c r="BK2724" s="40"/>
      <c r="BL2724" s="40"/>
      <c r="BM2724" s="40"/>
      <c r="BN2724" s="40"/>
      <c r="BO2724" s="40"/>
      <c r="BP2724" s="155"/>
      <c r="BQ2724" s="314"/>
      <c r="BR2724" s="314"/>
      <c r="BS2724" s="314"/>
      <c r="BT2724" s="314"/>
      <c r="BU2724" s="314"/>
      <c r="BV2724" s="314"/>
      <c r="BW2724" s="314"/>
      <c r="BX2724" s="155"/>
    </row>
    <row r="2725" spans="1:76" ht="15.75" customHeight="1">
      <c r="A2725" s="25"/>
      <c r="B2725" s="39"/>
      <c r="C2725" s="155"/>
      <c r="D2725" s="155"/>
      <c r="E2725" s="40"/>
      <c r="F2725" s="314"/>
      <c r="H2725" s="315"/>
      <c r="I2725" s="315"/>
      <c r="BA2725" s="30"/>
      <c r="BB2725" s="155"/>
      <c r="BC2725" s="314"/>
      <c r="BD2725" s="314"/>
      <c r="BE2725" s="314"/>
      <c r="BF2725" s="314"/>
      <c r="BG2725" s="314"/>
      <c r="BH2725" s="314"/>
      <c r="BI2725" s="314"/>
      <c r="BJ2725" s="314"/>
      <c r="BK2725" s="40"/>
      <c r="BL2725" s="40"/>
      <c r="BM2725" s="40"/>
      <c r="BN2725" s="40"/>
      <c r="BO2725" s="40"/>
      <c r="BP2725" s="155"/>
      <c r="BQ2725" s="314"/>
      <c r="BR2725" s="314"/>
      <c r="BS2725" s="314"/>
      <c r="BT2725" s="314"/>
      <c r="BU2725" s="314"/>
      <c r="BV2725" s="314"/>
      <c r="BW2725" s="314"/>
      <c r="BX2725" s="155"/>
    </row>
    <row r="2726" spans="1:76" ht="15.75" customHeight="1">
      <c r="A2726" s="25"/>
      <c r="B2726" s="39"/>
      <c r="C2726" s="155"/>
      <c r="D2726" s="155"/>
      <c r="E2726" s="40"/>
      <c r="F2726" s="314"/>
      <c r="H2726" s="315"/>
      <c r="I2726" s="315"/>
      <c r="BA2726" s="30"/>
      <c r="BB2726" s="155"/>
      <c r="BC2726" s="314"/>
      <c r="BD2726" s="314"/>
      <c r="BE2726" s="314"/>
      <c r="BF2726" s="314"/>
      <c r="BG2726" s="314"/>
      <c r="BH2726" s="314"/>
      <c r="BI2726" s="314"/>
      <c r="BJ2726" s="314"/>
      <c r="BK2726" s="40"/>
      <c r="BL2726" s="40"/>
      <c r="BM2726" s="40"/>
      <c r="BN2726" s="40"/>
      <c r="BO2726" s="40"/>
      <c r="BP2726" s="155"/>
      <c r="BQ2726" s="314"/>
      <c r="BR2726" s="314"/>
      <c r="BS2726" s="314"/>
      <c r="BT2726" s="314"/>
      <c r="BU2726" s="314"/>
      <c r="BV2726" s="314"/>
      <c r="BW2726" s="314"/>
      <c r="BX2726" s="155"/>
    </row>
    <row r="2727" spans="1:76" ht="15.75" customHeight="1">
      <c r="A2727" s="25"/>
      <c r="B2727" s="39"/>
      <c r="C2727" s="155"/>
      <c r="D2727" s="155"/>
      <c r="E2727" s="40"/>
      <c r="F2727" s="314"/>
      <c r="H2727" s="315"/>
      <c r="I2727" s="315"/>
      <c r="BA2727" s="30"/>
      <c r="BB2727" s="155"/>
      <c r="BC2727" s="314"/>
      <c r="BD2727" s="314"/>
      <c r="BE2727" s="314"/>
      <c r="BF2727" s="314"/>
      <c r="BG2727" s="314"/>
      <c r="BH2727" s="314"/>
      <c r="BI2727" s="314"/>
      <c r="BJ2727" s="314"/>
      <c r="BK2727" s="40"/>
      <c r="BL2727" s="40"/>
      <c r="BM2727" s="40"/>
      <c r="BN2727" s="40"/>
      <c r="BO2727" s="40"/>
      <c r="BP2727" s="155"/>
      <c r="BQ2727" s="314"/>
      <c r="BR2727" s="314"/>
      <c r="BS2727" s="314"/>
      <c r="BT2727" s="314"/>
      <c r="BU2727" s="314"/>
      <c r="BV2727" s="314"/>
      <c r="BW2727" s="314"/>
      <c r="BX2727" s="155"/>
    </row>
    <row r="2728" spans="1:76" ht="15.75" customHeight="1">
      <c r="A2728" s="25"/>
      <c r="B2728" s="39"/>
      <c r="C2728" s="155"/>
      <c r="D2728" s="155"/>
      <c r="E2728" s="40"/>
      <c r="F2728" s="314"/>
      <c r="H2728" s="315"/>
      <c r="I2728" s="315"/>
      <c r="BA2728" s="30"/>
      <c r="BB2728" s="155"/>
      <c r="BC2728" s="314"/>
      <c r="BD2728" s="314"/>
      <c r="BE2728" s="314"/>
      <c r="BF2728" s="314"/>
      <c r="BG2728" s="314"/>
      <c r="BH2728" s="314"/>
      <c r="BI2728" s="314"/>
      <c r="BJ2728" s="314"/>
      <c r="BK2728" s="40"/>
      <c r="BL2728" s="40"/>
      <c r="BM2728" s="40"/>
      <c r="BN2728" s="40"/>
      <c r="BO2728" s="40"/>
      <c r="BP2728" s="155"/>
      <c r="BQ2728" s="314"/>
      <c r="BR2728" s="314"/>
      <c r="BS2728" s="314"/>
      <c r="BT2728" s="314"/>
      <c r="BU2728" s="314"/>
      <c r="BV2728" s="314"/>
      <c r="BW2728" s="314"/>
      <c r="BX2728" s="155"/>
    </row>
    <row r="2729" spans="1:76" ht="15.75" customHeight="1">
      <c r="A2729" s="25"/>
      <c r="B2729" s="39"/>
      <c r="C2729" s="155"/>
      <c r="D2729" s="155"/>
      <c r="E2729" s="40"/>
      <c r="F2729" s="314"/>
      <c r="H2729" s="315"/>
      <c r="I2729" s="315"/>
      <c r="BA2729" s="30"/>
      <c r="BB2729" s="155"/>
      <c r="BC2729" s="314"/>
      <c r="BD2729" s="314"/>
      <c r="BE2729" s="314"/>
      <c r="BF2729" s="314"/>
      <c r="BG2729" s="314"/>
      <c r="BH2729" s="314"/>
      <c r="BI2729" s="314"/>
      <c r="BJ2729" s="314"/>
      <c r="BK2729" s="40"/>
      <c r="BL2729" s="40"/>
      <c r="BM2729" s="40"/>
      <c r="BN2729" s="40"/>
      <c r="BO2729" s="40"/>
      <c r="BP2729" s="155"/>
      <c r="BQ2729" s="314"/>
      <c r="BR2729" s="314"/>
      <c r="BS2729" s="314"/>
      <c r="BT2729" s="314"/>
      <c r="BU2729" s="314"/>
      <c r="BV2729" s="314"/>
      <c r="BW2729" s="314"/>
      <c r="BX2729" s="155"/>
    </row>
    <row r="2730" spans="1:76" ht="15.75" customHeight="1">
      <c r="A2730" s="25"/>
      <c r="B2730" s="39"/>
      <c r="C2730" s="155"/>
      <c r="D2730" s="155"/>
      <c r="E2730" s="40"/>
      <c r="F2730" s="314"/>
      <c r="H2730" s="315"/>
      <c r="I2730" s="315"/>
      <c r="BA2730" s="30"/>
      <c r="BB2730" s="155"/>
      <c r="BC2730" s="314"/>
      <c r="BD2730" s="314"/>
      <c r="BE2730" s="314"/>
      <c r="BF2730" s="314"/>
      <c r="BG2730" s="314"/>
      <c r="BH2730" s="314"/>
      <c r="BI2730" s="314"/>
      <c r="BJ2730" s="314"/>
      <c r="BK2730" s="40"/>
      <c r="BL2730" s="40"/>
      <c r="BM2730" s="40"/>
      <c r="BN2730" s="40"/>
      <c r="BO2730" s="40"/>
      <c r="BP2730" s="155"/>
      <c r="BQ2730" s="314"/>
      <c r="BR2730" s="314"/>
      <c r="BS2730" s="314"/>
      <c r="BT2730" s="314"/>
      <c r="BU2730" s="314"/>
      <c r="BV2730" s="314"/>
      <c r="BW2730" s="314"/>
      <c r="BX2730" s="155"/>
    </row>
    <row r="2731" spans="1:76" ht="15.75" customHeight="1">
      <c r="A2731" s="25"/>
      <c r="B2731" s="39"/>
      <c r="C2731" s="155"/>
      <c r="D2731" s="155"/>
      <c r="E2731" s="40"/>
      <c r="F2731" s="314"/>
      <c r="H2731" s="315"/>
      <c r="I2731" s="315"/>
      <c r="BA2731" s="30"/>
      <c r="BB2731" s="155"/>
      <c r="BC2731" s="314"/>
      <c r="BD2731" s="314"/>
      <c r="BE2731" s="314"/>
      <c r="BF2731" s="314"/>
      <c r="BG2731" s="314"/>
      <c r="BH2731" s="314"/>
      <c r="BI2731" s="314"/>
      <c r="BJ2731" s="314"/>
      <c r="BK2731" s="40"/>
      <c r="BL2731" s="40"/>
      <c r="BM2731" s="40"/>
      <c r="BN2731" s="40"/>
      <c r="BO2731" s="40"/>
      <c r="BP2731" s="155"/>
      <c r="BQ2731" s="314"/>
      <c r="BR2731" s="314"/>
      <c r="BS2731" s="314"/>
      <c r="BT2731" s="314"/>
      <c r="BU2731" s="314"/>
      <c r="BV2731" s="314"/>
      <c r="BW2731" s="314"/>
      <c r="BX2731" s="155"/>
    </row>
    <row r="2732" spans="1:76" ht="15.75" customHeight="1">
      <c r="A2732" s="25"/>
      <c r="B2732" s="39"/>
      <c r="C2732" s="155"/>
      <c r="D2732" s="155"/>
      <c r="E2732" s="40"/>
      <c r="F2732" s="314"/>
      <c r="H2732" s="315"/>
      <c r="I2732" s="315"/>
      <c r="BA2732" s="30"/>
      <c r="BB2732" s="155"/>
      <c r="BC2732" s="314"/>
      <c r="BD2732" s="314"/>
      <c r="BE2732" s="314"/>
      <c r="BF2732" s="314"/>
      <c r="BG2732" s="314"/>
      <c r="BH2732" s="314"/>
      <c r="BI2732" s="314"/>
      <c r="BJ2732" s="314"/>
      <c r="BK2732" s="40"/>
      <c r="BL2732" s="40"/>
      <c r="BM2732" s="40"/>
      <c r="BN2732" s="40"/>
      <c r="BO2732" s="40"/>
      <c r="BP2732" s="155"/>
      <c r="BQ2732" s="314"/>
      <c r="BR2732" s="314"/>
      <c r="BS2732" s="314"/>
      <c r="BT2732" s="314"/>
      <c r="BU2732" s="314"/>
      <c r="BV2732" s="314"/>
      <c r="BW2732" s="314"/>
      <c r="BX2732" s="155"/>
    </row>
    <row r="2733" spans="1:76" ht="15.75" customHeight="1">
      <c r="A2733" s="25"/>
      <c r="B2733" s="39"/>
      <c r="C2733" s="155"/>
      <c r="D2733" s="155"/>
      <c r="E2733" s="40"/>
      <c r="F2733" s="314"/>
      <c r="H2733" s="315"/>
      <c r="I2733" s="315"/>
      <c r="BA2733" s="30"/>
      <c r="BB2733" s="155"/>
      <c r="BC2733" s="314"/>
      <c r="BD2733" s="314"/>
      <c r="BE2733" s="314"/>
      <c r="BF2733" s="314"/>
      <c r="BG2733" s="314"/>
      <c r="BH2733" s="314"/>
      <c r="BI2733" s="314"/>
      <c r="BJ2733" s="314"/>
      <c r="BK2733" s="40"/>
      <c r="BL2733" s="40"/>
      <c r="BM2733" s="40"/>
      <c r="BN2733" s="40"/>
      <c r="BO2733" s="40"/>
      <c r="BP2733" s="155"/>
      <c r="BQ2733" s="314"/>
      <c r="BR2733" s="314"/>
      <c r="BS2733" s="314"/>
      <c r="BT2733" s="314"/>
      <c r="BU2733" s="314"/>
      <c r="BV2733" s="314"/>
      <c r="BW2733" s="314"/>
      <c r="BX2733" s="155"/>
    </row>
    <row r="2734" spans="1:76" ht="15.75" customHeight="1">
      <c r="A2734" s="25"/>
      <c r="B2734" s="39"/>
      <c r="C2734" s="155"/>
      <c r="D2734" s="155"/>
      <c r="E2734" s="40"/>
      <c r="F2734" s="314"/>
      <c r="H2734" s="315"/>
      <c r="I2734" s="315"/>
      <c r="BA2734" s="30"/>
      <c r="BB2734" s="155"/>
      <c r="BC2734" s="314"/>
      <c r="BD2734" s="314"/>
      <c r="BE2734" s="314"/>
      <c r="BF2734" s="314"/>
      <c r="BG2734" s="314"/>
      <c r="BH2734" s="314"/>
      <c r="BI2734" s="314"/>
      <c r="BJ2734" s="314"/>
      <c r="BK2734" s="40"/>
      <c r="BL2734" s="40"/>
      <c r="BM2734" s="40"/>
      <c r="BN2734" s="40"/>
      <c r="BO2734" s="40"/>
      <c r="BP2734" s="155"/>
      <c r="BQ2734" s="314"/>
      <c r="BR2734" s="314"/>
      <c r="BS2734" s="314"/>
      <c r="BT2734" s="314"/>
      <c r="BU2734" s="314"/>
      <c r="BV2734" s="314"/>
      <c r="BW2734" s="314"/>
      <c r="BX2734" s="155"/>
    </row>
    <row r="2735" spans="1:76" ht="15.75" customHeight="1">
      <c r="A2735" s="25"/>
      <c r="B2735" s="39"/>
      <c r="C2735" s="155"/>
      <c r="D2735" s="155"/>
      <c r="E2735" s="40"/>
      <c r="F2735" s="314"/>
      <c r="H2735" s="315"/>
      <c r="I2735" s="315"/>
      <c r="BA2735" s="30"/>
      <c r="BB2735" s="155"/>
      <c r="BC2735" s="314"/>
      <c r="BD2735" s="314"/>
      <c r="BE2735" s="314"/>
      <c r="BF2735" s="314"/>
      <c r="BG2735" s="314"/>
      <c r="BH2735" s="314"/>
      <c r="BI2735" s="314"/>
      <c r="BJ2735" s="314"/>
      <c r="BK2735" s="40"/>
      <c r="BL2735" s="40"/>
      <c r="BM2735" s="40"/>
      <c r="BN2735" s="40"/>
      <c r="BO2735" s="40"/>
      <c r="BP2735" s="155"/>
      <c r="BQ2735" s="314"/>
      <c r="BR2735" s="314"/>
      <c r="BS2735" s="314"/>
      <c r="BT2735" s="314"/>
      <c r="BU2735" s="314"/>
      <c r="BV2735" s="314"/>
      <c r="BW2735" s="314"/>
      <c r="BX2735" s="155"/>
    </row>
    <row r="2736" spans="1:76" ht="15.75" customHeight="1">
      <c r="A2736" s="25"/>
      <c r="B2736" s="39"/>
      <c r="C2736" s="155"/>
      <c r="D2736" s="155"/>
      <c r="E2736" s="40"/>
      <c r="F2736" s="314"/>
      <c r="H2736" s="315"/>
      <c r="I2736" s="315"/>
      <c r="BA2736" s="30"/>
      <c r="BB2736" s="155"/>
      <c r="BC2736" s="314"/>
      <c r="BD2736" s="314"/>
      <c r="BE2736" s="314"/>
      <c r="BF2736" s="314"/>
      <c r="BG2736" s="314"/>
      <c r="BH2736" s="314"/>
      <c r="BI2736" s="314"/>
      <c r="BJ2736" s="314"/>
      <c r="BK2736" s="40"/>
      <c r="BL2736" s="40"/>
      <c r="BM2736" s="40"/>
      <c r="BN2736" s="40"/>
      <c r="BO2736" s="40"/>
      <c r="BP2736" s="155"/>
      <c r="BQ2736" s="314"/>
      <c r="BR2736" s="314"/>
      <c r="BS2736" s="314"/>
      <c r="BT2736" s="314"/>
      <c r="BU2736" s="314"/>
      <c r="BV2736" s="314"/>
      <c r="BW2736" s="314"/>
      <c r="BX2736" s="155"/>
    </row>
    <row r="2737" spans="1:76" ht="15.75" customHeight="1">
      <c r="A2737" s="25"/>
      <c r="B2737" s="39"/>
      <c r="C2737" s="155"/>
      <c r="D2737" s="155"/>
      <c r="E2737" s="40"/>
      <c r="F2737" s="314"/>
      <c r="H2737" s="315"/>
      <c r="I2737" s="315"/>
      <c r="BA2737" s="30"/>
      <c r="BB2737" s="155"/>
      <c r="BC2737" s="314"/>
      <c r="BD2737" s="314"/>
      <c r="BE2737" s="314"/>
      <c r="BF2737" s="314"/>
      <c r="BG2737" s="314"/>
      <c r="BH2737" s="314"/>
      <c r="BI2737" s="314"/>
      <c r="BJ2737" s="314"/>
      <c r="BK2737" s="40"/>
      <c r="BL2737" s="40"/>
      <c r="BM2737" s="40"/>
      <c r="BN2737" s="40"/>
      <c r="BO2737" s="40"/>
      <c r="BP2737" s="155"/>
      <c r="BQ2737" s="314"/>
      <c r="BR2737" s="314"/>
      <c r="BS2737" s="314"/>
      <c r="BT2737" s="314"/>
      <c r="BU2737" s="314"/>
      <c r="BV2737" s="314"/>
      <c r="BW2737" s="314"/>
      <c r="BX2737" s="155"/>
    </row>
    <row r="2738" spans="1:76" ht="15.75" customHeight="1">
      <c r="A2738" s="25"/>
      <c r="B2738" s="39"/>
      <c r="C2738" s="155"/>
      <c r="D2738" s="155"/>
      <c r="E2738" s="40"/>
      <c r="F2738" s="314"/>
      <c r="H2738" s="315"/>
      <c r="I2738" s="315"/>
      <c r="BA2738" s="30"/>
      <c r="BB2738" s="155"/>
      <c r="BC2738" s="314"/>
      <c r="BD2738" s="314"/>
      <c r="BE2738" s="314"/>
      <c r="BF2738" s="314"/>
      <c r="BG2738" s="314"/>
      <c r="BH2738" s="314"/>
      <c r="BI2738" s="314"/>
      <c r="BJ2738" s="314"/>
      <c r="BK2738" s="40"/>
      <c r="BL2738" s="40"/>
      <c r="BM2738" s="40"/>
      <c r="BN2738" s="40"/>
      <c r="BO2738" s="40"/>
      <c r="BP2738" s="155"/>
      <c r="BQ2738" s="314"/>
      <c r="BR2738" s="314"/>
      <c r="BS2738" s="314"/>
      <c r="BT2738" s="314"/>
      <c r="BU2738" s="314"/>
      <c r="BV2738" s="314"/>
      <c r="BW2738" s="314"/>
      <c r="BX2738" s="155"/>
    </row>
    <row r="2739" spans="1:76" ht="15.75" customHeight="1">
      <c r="A2739" s="25"/>
      <c r="B2739" s="39"/>
      <c r="C2739" s="155"/>
      <c r="D2739" s="155"/>
      <c r="E2739" s="40"/>
      <c r="F2739" s="314"/>
      <c r="H2739" s="315"/>
      <c r="I2739" s="315"/>
      <c r="BA2739" s="30"/>
      <c r="BB2739" s="155"/>
      <c r="BC2739" s="314"/>
      <c r="BD2739" s="314"/>
      <c r="BE2739" s="314"/>
      <c r="BF2739" s="314"/>
      <c r="BG2739" s="314"/>
      <c r="BH2739" s="314"/>
      <c r="BI2739" s="314"/>
      <c r="BJ2739" s="314"/>
      <c r="BK2739" s="40"/>
      <c r="BL2739" s="40"/>
      <c r="BM2739" s="40"/>
      <c r="BN2739" s="40"/>
      <c r="BO2739" s="40"/>
      <c r="BP2739" s="155"/>
      <c r="BQ2739" s="314"/>
      <c r="BR2739" s="314"/>
      <c r="BS2739" s="314"/>
      <c r="BT2739" s="314"/>
      <c r="BU2739" s="314"/>
      <c r="BV2739" s="314"/>
      <c r="BW2739" s="314"/>
      <c r="BX2739" s="155"/>
    </row>
    <row r="2740" spans="1:76" ht="15.75" customHeight="1">
      <c r="A2740" s="25"/>
      <c r="B2740" s="39"/>
      <c r="C2740" s="155"/>
      <c r="D2740" s="155"/>
      <c r="E2740" s="40"/>
      <c r="F2740" s="314"/>
      <c r="H2740" s="315"/>
      <c r="I2740" s="315"/>
      <c r="BA2740" s="30"/>
      <c r="BB2740" s="155"/>
      <c r="BC2740" s="314"/>
      <c r="BD2740" s="314"/>
      <c r="BE2740" s="314"/>
      <c r="BF2740" s="314"/>
      <c r="BG2740" s="314"/>
      <c r="BH2740" s="314"/>
      <c r="BI2740" s="314"/>
      <c r="BJ2740" s="314"/>
      <c r="BK2740" s="40"/>
      <c r="BL2740" s="40"/>
      <c r="BM2740" s="40"/>
      <c r="BN2740" s="40"/>
      <c r="BO2740" s="40"/>
      <c r="BP2740" s="155"/>
      <c r="BQ2740" s="314"/>
      <c r="BR2740" s="314"/>
      <c r="BS2740" s="314"/>
      <c r="BT2740" s="314"/>
      <c r="BU2740" s="314"/>
      <c r="BV2740" s="314"/>
      <c r="BW2740" s="314"/>
      <c r="BX2740" s="155"/>
    </row>
    <row r="2741" spans="1:76" ht="15.75" customHeight="1">
      <c r="A2741" s="25"/>
      <c r="B2741" s="39"/>
      <c r="C2741" s="155"/>
      <c r="D2741" s="155"/>
      <c r="E2741" s="40"/>
      <c r="F2741" s="314"/>
      <c r="H2741" s="315"/>
      <c r="I2741" s="315"/>
      <c r="BA2741" s="30"/>
      <c r="BB2741" s="155"/>
      <c r="BC2741" s="314"/>
      <c r="BD2741" s="314"/>
      <c r="BE2741" s="314"/>
      <c r="BF2741" s="314"/>
      <c r="BG2741" s="314"/>
      <c r="BH2741" s="314"/>
      <c r="BI2741" s="314"/>
      <c r="BJ2741" s="314"/>
      <c r="BK2741" s="40"/>
      <c r="BL2741" s="40"/>
      <c r="BM2741" s="40"/>
      <c r="BN2741" s="40"/>
      <c r="BO2741" s="40"/>
      <c r="BP2741" s="155"/>
      <c r="BQ2741" s="314"/>
      <c r="BR2741" s="314"/>
      <c r="BS2741" s="314"/>
      <c r="BT2741" s="314"/>
      <c r="BU2741" s="314"/>
      <c r="BV2741" s="314"/>
      <c r="BW2741" s="314"/>
      <c r="BX2741" s="155"/>
    </row>
    <row r="2742" spans="1:76" ht="15.75" customHeight="1">
      <c r="A2742" s="25"/>
      <c r="B2742" s="39"/>
      <c r="C2742" s="155"/>
      <c r="D2742" s="155"/>
      <c r="E2742" s="40"/>
      <c r="F2742" s="314"/>
      <c r="H2742" s="315"/>
      <c r="I2742" s="315"/>
      <c r="BA2742" s="30"/>
      <c r="BB2742" s="155"/>
      <c r="BC2742" s="314"/>
      <c r="BD2742" s="314"/>
      <c r="BE2742" s="314"/>
      <c r="BF2742" s="314"/>
      <c r="BG2742" s="314"/>
      <c r="BH2742" s="314"/>
      <c r="BI2742" s="314"/>
      <c r="BJ2742" s="314"/>
      <c r="BK2742" s="40"/>
      <c r="BL2742" s="40"/>
      <c r="BM2742" s="40"/>
      <c r="BN2742" s="40"/>
      <c r="BO2742" s="40"/>
      <c r="BP2742" s="155"/>
      <c r="BQ2742" s="314"/>
      <c r="BR2742" s="314"/>
      <c r="BS2742" s="314"/>
      <c r="BT2742" s="314"/>
      <c r="BU2742" s="314"/>
      <c r="BV2742" s="314"/>
      <c r="BW2742" s="314"/>
      <c r="BX2742" s="155"/>
    </row>
    <row r="2743" spans="1:76" ht="15.75" customHeight="1">
      <c r="A2743" s="25"/>
      <c r="B2743" s="39"/>
      <c r="C2743" s="155"/>
      <c r="D2743" s="155"/>
      <c r="E2743" s="40"/>
      <c r="F2743" s="314"/>
      <c r="H2743" s="315"/>
      <c r="I2743" s="315"/>
      <c r="BA2743" s="30"/>
      <c r="BB2743" s="155"/>
      <c r="BC2743" s="314"/>
      <c r="BD2743" s="314"/>
      <c r="BE2743" s="314"/>
      <c r="BF2743" s="314"/>
      <c r="BG2743" s="314"/>
      <c r="BH2743" s="314"/>
      <c r="BI2743" s="314"/>
      <c r="BJ2743" s="314"/>
      <c r="BK2743" s="40"/>
      <c r="BL2743" s="40"/>
      <c r="BM2743" s="40"/>
      <c r="BN2743" s="40"/>
      <c r="BO2743" s="40"/>
      <c r="BP2743" s="155"/>
      <c r="BQ2743" s="314"/>
      <c r="BR2743" s="314"/>
      <c r="BS2743" s="314"/>
      <c r="BT2743" s="314"/>
      <c r="BU2743" s="314"/>
      <c r="BV2743" s="314"/>
      <c r="BW2743" s="314"/>
      <c r="BX2743" s="155"/>
    </row>
    <row r="2744" spans="1:76" ht="15.75" customHeight="1">
      <c r="A2744" s="25"/>
      <c r="B2744" s="39"/>
      <c r="C2744" s="155"/>
      <c r="D2744" s="155"/>
      <c r="E2744" s="40"/>
      <c r="F2744" s="314"/>
      <c r="H2744" s="315"/>
      <c r="I2744" s="315"/>
      <c r="BA2744" s="30"/>
      <c r="BB2744" s="155"/>
      <c r="BC2744" s="314"/>
      <c r="BD2744" s="314"/>
      <c r="BE2744" s="314"/>
      <c r="BF2744" s="314"/>
      <c r="BG2744" s="314"/>
      <c r="BH2744" s="314"/>
      <c r="BI2744" s="314"/>
      <c r="BJ2744" s="314"/>
      <c r="BK2744" s="40"/>
      <c r="BL2744" s="40"/>
      <c r="BM2744" s="40"/>
      <c r="BN2744" s="40"/>
      <c r="BO2744" s="40"/>
      <c r="BP2744" s="155"/>
      <c r="BQ2744" s="314"/>
      <c r="BR2744" s="314"/>
      <c r="BS2744" s="314"/>
      <c r="BT2744" s="314"/>
      <c r="BU2744" s="314"/>
      <c r="BV2744" s="314"/>
      <c r="BW2744" s="314"/>
      <c r="BX2744" s="155"/>
    </row>
    <row r="2745" spans="1:76" ht="15.75" customHeight="1">
      <c r="A2745" s="25"/>
      <c r="B2745" s="39"/>
      <c r="C2745" s="155"/>
      <c r="D2745" s="155"/>
      <c r="E2745" s="40"/>
      <c r="F2745" s="314"/>
      <c r="H2745" s="315"/>
      <c r="I2745" s="315"/>
      <c r="BA2745" s="30"/>
      <c r="BB2745" s="155"/>
      <c r="BC2745" s="314"/>
      <c r="BD2745" s="314"/>
      <c r="BE2745" s="314"/>
      <c r="BF2745" s="314"/>
      <c r="BG2745" s="314"/>
      <c r="BH2745" s="314"/>
      <c r="BI2745" s="314"/>
      <c r="BJ2745" s="314"/>
      <c r="BK2745" s="40"/>
      <c r="BL2745" s="40"/>
      <c r="BM2745" s="40"/>
      <c r="BN2745" s="40"/>
      <c r="BO2745" s="40"/>
      <c r="BP2745" s="155"/>
      <c r="BQ2745" s="314"/>
      <c r="BR2745" s="314"/>
      <c r="BS2745" s="314"/>
      <c r="BT2745" s="314"/>
      <c r="BU2745" s="314"/>
      <c r="BV2745" s="314"/>
      <c r="BW2745" s="314"/>
      <c r="BX2745" s="155"/>
    </row>
    <row r="2746" spans="1:76" ht="15.75" customHeight="1">
      <c r="A2746" s="25"/>
      <c r="B2746" s="39"/>
      <c r="C2746" s="155"/>
      <c r="D2746" s="155"/>
      <c r="E2746" s="40"/>
      <c r="F2746" s="314"/>
      <c r="H2746" s="315"/>
      <c r="I2746" s="315"/>
      <c r="BA2746" s="30"/>
      <c r="BB2746" s="155"/>
      <c r="BC2746" s="314"/>
      <c r="BD2746" s="314"/>
      <c r="BE2746" s="314"/>
      <c r="BF2746" s="314"/>
      <c r="BG2746" s="314"/>
      <c r="BH2746" s="314"/>
      <c r="BI2746" s="314"/>
      <c r="BJ2746" s="314"/>
      <c r="BK2746" s="40"/>
      <c r="BL2746" s="40"/>
      <c r="BM2746" s="40"/>
      <c r="BN2746" s="40"/>
      <c r="BO2746" s="40"/>
      <c r="BP2746" s="155"/>
      <c r="BQ2746" s="314"/>
      <c r="BR2746" s="314"/>
      <c r="BS2746" s="314"/>
      <c r="BT2746" s="314"/>
      <c r="BU2746" s="314"/>
      <c r="BV2746" s="314"/>
      <c r="BW2746" s="314"/>
      <c r="BX2746" s="155"/>
    </row>
    <row r="2747" spans="1:76" ht="15.75" customHeight="1">
      <c r="A2747" s="25"/>
      <c r="B2747" s="39"/>
      <c r="C2747" s="155"/>
      <c r="D2747" s="155"/>
      <c r="E2747" s="40"/>
      <c r="F2747" s="314"/>
      <c r="H2747" s="315"/>
      <c r="I2747" s="315"/>
      <c r="BA2747" s="30"/>
      <c r="BB2747" s="155"/>
      <c r="BC2747" s="314"/>
      <c r="BD2747" s="314"/>
      <c r="BE2747" s="314"/>
      <c r="BF2747" s="314"/>
      <c r="BG2747" s="314"/>
      <c r="BH2747" s="314"/>
      <c r="BI2747" s="314"/>
      <c r="BJ2747" s="314"/>
      <c r="BK2747" s="40"/>
      <c r="BL2747" s="40"/>
      <c r="BM2747" s="40"/>
      <c r="BN2747" s="40"/>
      <c r="BO2747" s="40"/>
      <c r="BP2747" s="155"/>
      <c r="BQ2747" s="314"/>
      <c r="BR2747" s="314"/>
      <c r="BS2747" s="314"/>
      <c r="BT2747" s="314"/>
      <c r="BU2747" s="314"/>
      <c r="BV2747" s="314"/>
      <c r="BW2747" s="314"/>
      <c r="BX2747" s="155"/>
    </row>
    <row r="2748" spans="1:76" ht="15.75" customHeight="1">
      <c r="A2748" s="25"/>
      <c r="B2748" s="39"/>
      <c r="C2748" s="155"/>
      <c r="D2748" s="155"/>
      <c r="E2748" s="40"/>
      <c r="F2748" s="314"/>
      <c r="H2748" s="315"/>
      <c r="I2748" s="315"/>
      <c r="BA2748" s="30"/>
      <c r="BB2748" s="155"/>
      <c r="BC2748" s="314"/>
      <c r="BD2748" s="314"/>
      <c r="BE2748" s="314"/>
      <c r="BF2748" s="314"/>
      <c r="BG2748" s="314"/>
      <c r="BH2748" s="314"/>
      <c r="BI2748" s="314"/>
      <c r="BJ2748" s="314"/>
      <c r="BK2748" s="40"/>
      <c r="BL2748" s="40"/>
      <c r="BM2748" s="40"/>
      <c r="BN2748" s="40"/>
      <c r="BO2748" s="40"/>
      <c r="BP2748" s="155"/>
      <c r="BQ2748" s="314"/>
      <c r="BR2748" s="314"/>
      <c r="BS2748" s="314"/>
      <c r="BT2748" s="314"/>
      <c r="BU2748" s="314"/>
      <c r="BV2748" s="314"/>
      <c r="BW2748" s="314"/>
      <c r="BX2748" s="155"/>
    </row>
    <row r="2749" spans="1:76" ht="15.75" customHeight="1">
      <c r="A2749" s="25"/>
      <c r="B2749" s="39"/>
      <c r="C2749" s="155"/>
      <c r="D2749" s="155"/>
      <c r="E2749" s="40"/>
      <c r="F2749" s="314"/>
      <c r="H2749" s="315"/>
      <c r="I2749" s="315"/>
      <c r="BA2749" s="30"/>
      <c r="BB2749" s="155"/>
      <c r="BC2749" s="314"/>
      <c r="BD2749" s="314"/>
      <c r="BE2749" s="314"/>
      <c r="BF2749" s="314"/>
      <c r="BG2749" s="314"/>
      <c r="BH2749" s="314"/>
      <c r="BI2749" s="314"/>
      <c r="BJ2749" s="314"/>
      <c r="BK2749" s="40"/>
      <c r="BL2749" s="40"/>
      <c r="BM2749" s="40"/>
      <c r="BN2749" s="40"/>
      <c r="BO2749" s="40"/>
      <c r="BP2749" s="155"/>
      <c r="BQ2749" s="314"/>
      <c r="BR2749" s="314"/>
      <c r="BS2749" s="314"/>
      <c r="BT2749" s="314"/>
      <c r="BU2749" s="314"/>
      <c r="BV2749" s="314"/>
      <c r="BW2749" s="314"/>
      <c r="BX2749" s="155"/>
    </row>
    <row r="2750" spans="1:76" ht="15.75" customHeight="1">
      <c r="A2750" s="25"/>
      <c r="B2750" s="39"/>
      <c r="C2750" s="155"/>
      <c r="D2750" s="155"/>
      <c r="E2750" s="40"/>
      <c r="F2750" s="314"/>
      <c r="H2750" s="315"/>
      <c r="I2750" s="315"/>
      <c r="BA2750" s="30"/>
      <c r="BB2750" s="155"/>
      <c r="BC2750" s="314"/>
      <c r="BD2750" s="314"/>
      <c r="BE2750" s="314"/>
      <c r="BF2750" s="314"/>
      <c r="BG2750" s="314"/>
      <c r="BH2750" s="314"/>
      <c r="BI2750" s="314"/>
      <c r="BJ2750" s="314"/>
      <c r="BK2750" s="40"/>
      <c r="BL2750" s="40"/>
      <c r="BM2750" s="40"/>
      <c r="BN2750" s="40"/>
      <c r="BO2750" s="40"/>
      <c r="BP2750" s="155"/>
      <c r="BQ2750" s="314"/>
      <c r="BR2750" s="314"/>
      <c r="BS2750" s="314"/>
      <c r="BT2750" s="314"/>
      <c r="BU2750" s="314"/>
      <c r="BV2750" s="314"/>
      <c r="BW2750" s="314"/>
      <c r="BX2750" s="155"/>
    </row>
    <row r="2751" spans="1:76" ht="15.75" customHeight="1">
      <c r="A2751" s="25"/>
      <c r="B2751" s="39"/>
      <c r="C2751" s="155"/>
      <c r="D2751" s="155"/>
      <c r="E2751" s="40"/>
      <c r="F2751" s="314"/>
      <c r="H2751" s="315"/>
      <c r="I2751" s="315"/>
      <c r="BA2751" s="30"/>
      <c r="BB2751" s="155"/>
      <c r="BC2751" s="314"/>
      <c r="BD2751" s="314"/>
      <c r="BE2751" s="314"/>
      <c r="BF2751" s="314"/>
      <c r="BG2751" s="314"/>
      <c r="BH2751" s="314"/>
      <c r="BI2751" s="314"/>
      <c r="BJ2751" s="314"/>
      <c r="BK2751" s="40"/>
      <c r="BL2751" s="40"/>
      <c r="BM2751" s="40"/>
      <c r="BN2751" s="40"/>
      <c r="BO2751" s="40"/>
      <c r="BP2751" s="155"/>
      <c r="BQ2751" s="314"/>
      <c r="BR2751" s="314"/>
      <c r="BS2751" s="314"/>
      <c r="BT2751" s="314"/>
      <c r="BU2751" s="314"/>
      <c r="BV2751" s="314"/>
      <c r="BW2751" s="314"/>
      <c r="BX2751" s="155"/>
    </row>
    <row r="2752" spans="1:76" ht="15.75" customHeight="1">
      <c r="A2752" s="25"/>
      <c r="B2752" s="39"/>
      <c r="C2752" s="155"/>
      <c r="D2752" s="155"/>
      <c r="E2752" s="40"/>
      <c r="F2752" s="314"/>
      <c r="H2752" s="315"/>
      <c r="I2752" s="315"/>
      <c r="BA2752" s="30"/>
      <c r="BB2752" s="155"/>
      <c r="BC2752" s="314"/>
      <c r="BD2752" s="314"/>
      <c r="BE2752" s="314"/>
      <c r="BF2752" s="314"/>
      <c r="BG2752" s="314"/>
      <c r="BH2752" s="314"/>
      <c r="BI2752" s="314"/>
      <c r="BJ2752" s="314"/>
      <c r="BK2752" s="40"/>
      <c r="BL2752" s="40"/>
      <c r="BM2752" s="40"/>
      <c r="BN2752" s="40"/>
      <c r="BO2752" s="40"/>
      <c r="BP2752" s="155"/>
      <c r="BQ2752" s="314"/>
      <c r="BR2752" s="314"/>
      <c r="BS2752" s="314"/>
      <c r="BT2752" s="314"/>
      <c r="BU2752" s="314"/>
      <c r="BV2752" s="314"/>
      <c r="BW2752" s="314"/>
      <c r="BX2752" s="155"/>
    </row>
    <row r="2753" spans="1:76" ht="15.75" customHeight="1">
      <c r="A2753" s="25"/>
      <c r="B2753" s="39"/>
      <c r="C2753" s="155"/>
      <c r="D2753" s="155"/>
      <c r="E2753" s="40"/>
      <c r="F2753" s="314"/>
      <c r="H2753" s="315"/>
      <c r="I2753" s="315"/>
      <c r="BA2753" s="30"/>
      <c r="BB2753" s="155"/>
      <c r="BC2753" s="314"/>
      <c r="BD2753" s="314"/>
      <c r="BE2753" s="314"/>
      <c r="BF2753" s="314"/>
      <c r="BG2753" s="314"/>
      <c r="BH2753" s="314"/>
      <c r="BI2753" s="314"/>
      <c r="BJ2753" s="314"/>
      <c r="BK2753" s="40"/>
      <c r="BL2753" s="40"/>
      <c r="BM2753" s="40"/>
      <c r="BN2753" s="40"/>
      <c r="BO2753" s="40"/>
      <c r="BP2753" s="155"/>
      <c r="BQ2753" s="314"/>
      <c r="BR2753" s="314"/>
      <c r="BS2753" s="314"/>
      <c r="BT2753" s="314"/>
      <c r="BU2753" s="314"/>
      <c r="BV2753" s="314"/>
      <c r="BW2753" s="314"/>
      <c r="BX2753" s="155"/>
    </row>
    <row r="2754" spans="1:76" ht="15.75" customHeight="1">
      <c r="A2754" s="25"/>
      <c r="B2754" s="39"/>
      <c r="C2754" s="155"/>
      <c r="D2754" s="155"/>
      <c r="E2754" s="40"/>
      <c r="F2754" s="314"/>
      <c r="H2754" s="315"/>
      <c r="I2754" s="315"/>
      <c r="BA2754" s="30"/>
      <c r="BB2754" s="155"/>
      <c r="BC2754" s="314"/>
      <c r="BD2754" s="314"/>
      <c r="BE2754" s="314"/>
      <c r="BF2754" s="314"/>
      <c r="BG2754" s="314"/>
      <c r="BH2754" s="314"/>
      <c r="BI2754" s="314"/>
      <c r="BJ2754" s="314"/>
      <c r="BK2754" s="40"/>
      <c r="BL2754" s="40"/>
      <c r="BM2754" s="40"/>
      <c r="BN2754" s="40"/>
      <c r="BO2754" s="40"/>
      <c r="BP2754" s="155"/>
      <c r="BQ2754" s="314"/>
      <c r="BR2754" s="314"/>
      <c r="BS2754" s="314"/>
      <c r="BT2754" s="314"/>
      <c r="BU2754" s="314"/>
      <c r="BV2754" s="314"/>
      <c r="BW2754" s="314"/>
      <c r="BX2754" s="155"/>
    </row>
    <row r="2755" spans="1:76" ht="15.75" customHeight="1">
      <c r="A2755" s="25"/>
      <c r="B2755" s="39"/>
      <c r="C2755" s="155"/>
      <c r="D2755" s="155"/>
      <c r="E2755" s="40"/>
      <c r="F2755" s="314"/>
      <c r="H2755" s="315"/>
      <c r="I2755" s="315"/>
      <c r="BA2755" s="30"/>
      <c r="BB2755" s="155"/>
      <c r="BC2755" s="314"/>
      <c r="BD2755" s="314"/>
      <c r="BE2755" s="314"/>
      <c r="BF2755" s="314"/>
      <c r="BG2755" s="314"/>
      <c r="BH2755" s="314"/>
      <c r="BI2755" s="314"/>
      <c r="BJ2755" s="314"/>
      <c r="BK2755" s="40"/>
      <c r="BL2755" s="40"/>
      <c r="BM2755" s="40"/>
      <c r="BN2755" s="40"/>
      <c r="BO2755" s="40"/>
      <c r="BP2755" s="155"/>
      <c r="BQ2755" s="314"/>
      <c r="BR2755" s="314"/>
      <c r="BS2755" s="314"/>
      <c r="BT2755" s="314"/>
      <c r="BU2755" s="314"/>
      <c r="BV2755" s="314"/>
      <c r="BW2755" s="314"/>
      <c r="BX2755" s="155"/>
    </row>
    <row r="2756" spans="1:76" ht="15.75" customHeight="1">
      <c r="A2756" s="25"/>
      <c r="B2756" s="39"/>
      <c r="C2756" s="155"/>
      <c r="D2756" s="155"/>
      <c r="E2756" s="40"/>
      <c r="F2756" s="314"/>
      <c r="H2756" s="315"/>
      <c r="I2756" s="315"/>
      <c r="BA2756" s="30"/>
      <c r="BB2756" s="155"/>
      <c r="BC2756" s="322"/>
      <c r="BD2756" s="322"/>
      <c r="BE2756" s="322"/>
      <c r="BF2756" s="322"/>
      <c r="BG2756" s="322"/>
      <c r="BH2756" s="322"/>
      <c r="BI2756" s="322"/>
      <c r="BJ2756" s="322"/>
      <c r="BK2756" s="341"/>
      <c r="BL2756" s="40"/>
      <c r="BM2756" s="40"/>
      <c r="BN2756" s="40"/>
      <c r="BO2756" s="40"/>
      <c r="BP2756" s="155"/>
      <c r="BQ2756" s="314"/>
      <c r="BR2756" s="314"/>
      <c r="BS2756" s="314"/>
      <c r="BT2756" s="314"/>
      <c r="BU2756" s="314"/>
      <c r="BV2756" s="314"/>
      <c r="BW2756" s="314"/>
      <c r="BX2756" s="155"/>
    </row>
    <row r="2757" spans="1:76" ht="15.75" customHeight="1">
      <c r="A2757" s="25"/>
      <c r="B2757" s="39"/>
      <c r="C2757" s="155"/>
      <c r="D2757" s="155"/>
      <c r="E2757" s="40"/>
      <c r="F2757" s="314"/>
      <c r="H2757" s="315"/>
      <c r="I2757" s="315"/>
      <c r="BA2757" s="30"/>
      <c r="BB2757" s="155"/>
      <c r="BC2757" s="314"/>
      <c r="BD2757" s="314"/>
      <c r="BE2757" s="314"/>
      <c r="BF2757" s="314"/>
      <c r="BG2757" s="314"/>
      <c r="BH2757" s="314"/>
      <c r="BI2757" s="314"/>
      <c r="BJ2757" s="314"/>
      <c r="BK2757" s="40"/>
      <c r="BL2757" s="40"/>
      <c r="BM2757" s="40"/>
      <c r="BN2757" s="40"/>
      <c r="BO2757" s="40"/>
      <c r="BP2757" s="155"/>
      <c r="BQ2757" s="314"/>
      <c r="BR2757" s="314"/>
      <c r="BS2757" s="314"/>
      <c r="BT2757" s="314"/>
      <c r="BU2757" s="314"/>
      <c r="BV2757" s="314"/>
      <c r="BW2757" s="314"/>
      <c r="BX2757" s="155"/>
    </row>
    <row r="2758" spans="1:76" ht="15.75" customHeight="1">
      <c r="A2758" s="25"/>
      <c r="B2758" s="39"/>
      <c r="C2758" s="155"/>
      <c r="D2758" s="155"/>
      <c r="E2758" s="40"/>
      <c r="F2758" s="314"/>
      <c r="H2758" s="315"/>
      <c r="I2758" s="315"/>
      <c r="BA2758" s="30"/>
      <c r="BB2758" s="155"/>
      <c r="BC2758" s="314"/>
      <c r="BD2758" s="314"/>
      <c r="BE2758" s="314"/>
      <c r="BF2758" s="314"/>
      <c r="BG2758" s="314"/>
      <c r="BH2758" s="314"/>
      <c r="BI2758" s="314"/>
      <c r="BJ2758" s="314"/>
      <c r="BK2758" s="40"/>
      <c r="BL2758" s="40"/>
      <c r="BM2758" s="40"/>
      <c r="BN2758" s="40"/>
      <c r="BO2758" s="40"/>
      <c r="BP2758" s="155"/>
      <c r="BQ2758" s="314"/>
      <c r="BR2758" s="314"/>
      <c r="BS2758" s="314"/>
      <c r="BT2758" s="314"/>
      <c r="BU2758" s="314"/>
      <c r="BV2758" s="314"/>
      <c r="BW2758" s="314"/>
      <c r="BX2758" s="155"/>
    </row>
    <row r="2759" spans="1:76" ht="15.75" customHeight="1">
      <c r="A2759" s="25"/>
      <c r="B2759" s="39"/>
      <c r="C2759" s="155"/>
      <c r="D2759" s="155"/>
      <c r="E2759" s="40"/>
      <c r="F2759" s="314"/>
      <c r="H2759" s="315"/>
      <c r="I2759" s="315"/>
      <c r="BA2759" s="30"/>
      <c r="BB2759" s="155"/>
      <c r="BC2759" s="314"/>
      <c r="BD2759" s="314"/>
      <c r="BE2759" s="314"/>
      <c r="BF2759" s="314"/>
      <c r="BG2759" s="314"/>
      <c r="BH2759" s="314"/>
      <c r="BI2759" s="314"/>
      <c r="BJ2759" s="314"/>
      <c r="BK2759" s="40"/>
      <c r="BL2759" s="40"/>
      <c r="BM2759" s="40"/>
      <c r="BN2759" s="40"/>
      <c r="BO2759" s="40"/>
      <c r="BP2759" s="155"/>
      <c r="BQ2759" s="314"/>
      <c r="BR2759" s="314"/>
      <c r="BS2759" s="314"/>
      <c r="BT2759" s="314"/>
      <c r="BU2759" s="314"/>
      <c r="BV2759" s="314"/>
      <c r="BW2759" s="314"/>
      <c r="BX2759" s="155"/>
    </row>
    <row r="2760" spans="1:76" ht="15.75" customHeight="1">
      <c r="A2760" s="25"/>
      <c r="B2760" s="39"/>
      <c r="C2760" s="155"/>
      <c r="D2760" s="155"/>
      <c r="E2760" s="40"/>
      <c r="F2760" s="314"/>
      <c r="H2760" s="315"/>
      <c r="I2760" s="315"/>
      <c r="BA2760" s="30"/>
      <c r="BB2760" s="155"/>
      <c r="BC2760" s="314"/>
      <c r="BD2760" s="314"/>
      <c r="BE2760" s="314"/>
      <c r="BF2760" s="314"/>
      <c r="BG2760" s="314"/>
      <c r="BH2760" s="314"/>
      <c r="BI2760" s="314"/>
      <c r="BJ2760" s="314"/>
      <c r="BK2760" s="40"/>
      <c r="BL2760" s="40"/>
      <c r="BM2760" s="40"/>
      <c r="BN2760" s="40"/>
      <c r="BO2760" s="40"/>
      <c r="BP2760" s="155"/>
      <c r="BQ2760" s="314"/>
      <c r="BR2760" s="314"/>
      <c r="BS2760" s="314"/>
      <c r="BT2760" s="314"/>
      <c r="BU2760" s="314"/>
      <c r="BV2760" s="314"/>
      <c r="BW2760" s="314"/>
      <c r="BX2760" s="155"/>
    </row>
    <row r="2761" spans="1:76" ht="15.75" customHeight="1">
      <c r="A2761" s="25"/>
      <c r="B2761" s="39"/>
      <c r="C2761" s="155"/>
      <c r="D2761" s="155"/>
      <c r="E2761" s="40"/>
      <c r="F2761" s="314"/>
      <c r="H2761" s="315"/>
      <c r="I2761" s="315"/>
      <c r="BA2761" s="30"/>
      <c r="BB2761" s="155"/>
      <c r="BC2761" s="314"/>
      <c r="BD2761" s="314"/>
      <c r="BE2761" s="314"/>
      <c r="BF2761" s="314"/>
      <c r="BG2761" s="314"/>
      <c r="BH2761" s="314"/>
      <c r="BI2761" s="314"/>
      <c r="BJ2761" s="314"/>
      <c r="BK2761" s="40"/>
      <c r="BL2761" s="40"/>
      <c r="BM2761" s="40"/>
      <c r="BN2761" s="40"/>
      <c r="BO2761" s="40"/>
      <c r="BP2761" s="155"/>
      <c r="BQ2761" s="314"/>
      <c r="BR2761" s="314"/>
      <c r="BS2761" s="314"/>
      <c r="BT2761" s="314"/>
      <c r="BU2761" s="314"/>
      <c r="BV2761" s="314"/>
      <c r="BW2761" s="314"/>
      <c r="BX2761" s="155"/>
    </row>
    <row r="2762" spans="1:76" ht="15.75" customHeight="1">
      <c r="A2762" s="25"/>
      <c r="B2762" s="39"/>
      <c r="C2762" s="155"/>
      <c r="D2762" s="155"/>
      <c r="E2762" s="40"/>
      <c r="F2762" s="314"/>
      <c r="H2762" s="315"/>
      <c r="I2762" s="315"/>
      <c r="BA2762" s="30"/>
      <c r="BB2762" s="155"/>
      <c r="BC2762" s="314"/>
      <c r="BD2762" s="314"/>
      <c r="BE2762" s="314"/>
      <c r="BF2762" s="314"/>
      <c r="BG2762" s="314"/>
      <c r="BH2762" s="314"/>
      <c r="BI2762" s="314"/>
      <c r="BJ2762" s="314"/>
      <c r="BK2762" s="40"/>
      <c r="BL2762" s="40"/>
      <c r="BM2762" s="40"/>
      <c r="BN2762" s="40"/>
      <c r="BO2762" s="40"/>
      <c r="BP2762" s="155"/>
      <c r="BQ2762" s="314"/>
      <c r="BR2762" s="314"/>
      <c r="BS2762" s="314"/>
      <c r="BT2762" s="314"/>
      <c r="BU2762" s="314"/>
      <c r="BV2762" s="314"/>
      <c r="BW2762" s="314"/>
      <c r="BX2762" s="155"/>
    </row>
    <row r="2763" spans="1:76" ht="15.75" customHeight="1">
      <c r="A2763" s="25"/>
      <c r="B2763" s="39"/>
      <c r="C2763" s="155"/>
      <c r="D2763" s="155"/>
      <c r="E2763" s="40"/>
      <c r="F2763" s="314"/>
      <c r="H2763" s="315"/>
      <c r="I2763" s="315"/>
      <c r="BA2763" s="30"/>
      <c r="BB2763" s="155"/>
      <c r="BC2763" s="314"/>
      <c r="BD2763" s="314"/>
      <c r="BE2763" s="314"/>
      <c r="BF2763" s="314"/>
      <c r="BG2763" s="314"/>
      <c r="BH2763" s="314"/>
      <c r="BI2763" s="314"/>
      <c r="BJ2763" s="314"/>
      <c r="BK2763" s="40"/>
      <c r="BL2763" s="40"/>
      <c r="BM2763" s="40"/>
      <c r="BN2763" s="40"/>
      <c r="BO2763" s="40"/>
      <c r="BP2763" s="155"/>
      <c r="BQ2763" s="314"/>
      <c r="BR2763" s="314"/>
      <c r="BS2763" s="314"/>
      <c r="BT2763" s="314"/>
      <c r="BU2763" s="314"/>
      <c r="BV2763" s="314"/>
      <c r="BW2763" s="314"/>
      <c r="BX2763" s="155"/>
    </row>
    <row r="2764" spans="1:76" ht="15.75" customHeight="1">
      <c r="A2764" s="25"/>
      <c r="B2764" s="39"/>
      <c r="C2764" s="155"/>
      <c r="D2764" s="155"/>
      <c r="E2764" s="40"/>
      <c r="F2764" s="314"/>
      <c r="H2764" s="315"/>
      <c r="I2764" s="315"/>
      <c r="BA2764" s="30"/>
      <c r="BB2764" s="155"/>
      <c r="BC2764" s="314"/>
      <c r="BD2764" s="314"/>
      <c r="BE2764" s="314"/>
      <c r="BF2764" s="314"/>
      <c r="BG2764" s="314"/>
      <c r="BH2764" s="314"/>
      <c r="BI2764" s="314"/>
      <c r="BJ2764" s="314"/>
      <c r="BK2764" s="40"/>
      <c r="BL2764" s="40"/>
      <c r="BM2764" s="40"/>
      <c r="BN2764" s="40"/>
      <c r="BO2764" s="40"/>
      <c r="BP2764" s="155"/>
      <c r="BQ2764" s="314"/>
      <c r="BR2764" s="314"/>
      <c r="BS2764" s="314"/>
      <c r="BT2764" s="314"/>
      <c r="BU2764" s="314"/>
      <c r="BV2764" s="314"/>
      <c r="BW2764" s="314"/>
      <c r="BX2764" s="155"/>
    </row>
    <row r="2765" spans="1:76" ht="15.75" customHeight="1">
      <c r="A2765" s="25"/>
      <c r="B2765" s="39"/>
      <c r="C2765" s="155"/>
      <c r="D2765" s="155"/>
      <c r="E2765" s="40"/>
      <c r="F2765" s="314"/>
      <c r="H2765" s="315"/>
      <c r="I2765" s="315"/>
      <c r="BA2765" s="30"/>
      <c r="BB2765" s="155"/>
      <c r="BC2765" s="314"/>
      <c r="BD2765" s="314"/>
      <c r="BE2765" s="314"/>
      <c r="BF2765" s="314"/>
      <c r="BG2765" s="314"/>
      <c r="BH2765" s="314"/>
      <c r="BI2765" s="314"/>
      <c r="BJ2765" s="314"/>
      <c r="BK2765" s="40"/>
      <c r="BL2765" s="40"/>
      <c r="BM2765" s="40"/>
      <c r="BN2765" s="40"/>
      <c r="BO2765" s="40"/>
      <c r="BP2765" s="155"/>
      <c r="BQ2765" s="314"/>
      <c r="BR2765" s="314"/>
      <c r="BS2765" s="314"/>
      <c r="BT2765" s="314"/>
      <c r="BU2765" s="314"/>
      <c r="BV2765" s="314"/>
      <c r="BW2765" s="314"/>
      <c r="BX2765" s="155"/>
    </row>
    <row r="2766" spans="1:76" ht="15.75" customHeight="1">
      <c r="A2766" s="25"/>
      <c r="B2766" s="39"/>
      <c r="C2766" s="155"/>
      <c r="D2766" s="155"/>
      <c r="E2766" s="40"/>
      <c r="F2766" s="314"/>
      <c r="H2766" s="315"/>
      <c r="I2766" s="315"/>
      <c r="BA2766" s="30"/>
      <c r="BB2766" s="155"/>
      <c r="BC2766" s="314"/>
      <c r="BD2766" s="314"/>
      <c r="BE2766" s="314"/>
      <c r="BF2766" s="314"/>
      <c r="BG2766" s="314"/>
      <c r="BH2766" s="314"/>
      <c r="BI2766" s="314"/>
      <c r="BJ2766" s="314"/>
      <c r="BK2766" s="40"/>
      <c r="BL2766" s="40"/>
      <c r="BM2766" s="40"/>
      <c r="BN2766" s="40"/>
      <c r="BO2766" s="40"/>
      <c r="BP2766" s="155"/>
      <c r="BQ2766" s="314"/>
      <c r="BR2766" s="314"/>
      <c r="BS2766" s="314"/>
      <c r="BT2766" s="314"/>
      <c r="BU2766" s="314"/>
      <c r="BV2766" s="314"/>
      <c r="BW2766" s="314"/>
      <c r="BX2766" s="155"/>
    </row>
    <row r="2767" spans="1:76" ht="15.75" customHeight="1">
      <c r="A2767" s="25"/>
      <c r="B2767" s="39"/>
      <c r="C2767" s="155"/>
      <c r="D2767" s="155"/>
      <c r="E2767" s="40"/>
      <c r="F2767" s="314"/>
      <c r="H2767" s="315"/>
      <c r="I2767" s="315"/>
      <c r="BA2767" s="30"/>
      <c r="BB2767" s="155"/>
      <c r="BC2767" s="314"/>
      <c r="BD2767" s="314"/>
      <c r="BE2767" s="314"/>
      <c r="BF2767" s="314"/>
      <c r="BG2767" s="314"/>
      <c r="BH2767" s="314"/>
      <c r="BI2767" s="314"/>
      <c r="BJ2767" s="314"/>
      <c r="BK2767" s="40"/>
      <c r="BL2767" s="40"/>
      <c r="BM2767" s="40"/>
      <c r="BN2767" s="40"/>
      <c r="BO2767" s="40"/>
      <c r="BP2767" s="155"/>
      <c r="BQ2767" s="314"/>
      <c r="BR2767" s="314"/>
      <c r="BS2767" s="314"/>
      <c r="BT2767" s="314"/>
      <c r="BU2767" s="314"/>
      <c r="BV2767" s="314"/>
      <c r="BW2767" s="314"/>
      <c r="BX2767" s="155"/>
    </row>
    <row r="2768" spans="1:76" ht="15.75" customHeight="1">
      <c r="A2768" s="25"/>
      <c r="B2768" s="39"/>
      <c r="C2768" s="155"/>
      <c r="D2768" s="155"/>
      <c r="E2768" s="40"/>
      <c r="F2768" s="314"/>
      <c r="H2768" s="315"/>
      <c r="I2768" s="315"/>
      <c r="BA2768" s="30"/>
      <c r="BB2768" s="155"/>
      <c r="BC2768" s="314"/>
      <c r="BD2768" s="314"/>
      <c r="BE2768" s="314"/>
      <c r="BF2768" s="314"/>
      <c r="BG2768" s="314"/>
      <c r="BH2768" s="314"/>
      <c r="BI2768" s="314"/>
      <c r="BJ2768" s="314"/>
      <c r="BK2768" s="40"/>
      <c r="BL2768" s="40"/>
      <c r="BM2768" s="40"/>
      <c r="BN2768" s="40"/>
      <c r="BO2768" s="40"/>
      <c r="BP2768" s="155"/>
      <c r="BQ2768" s="314"/>
      <c r="BR2768" s="314"/>
      <c r="BS2768" s="314"/>
      <c r="BT2768" s="314"/>
      <c r="BU2768" s="314"/>
      <c r="BV2768" s="314"/>
      <c r="BW2768" s="314"/>
      <c r="BX2768" s="155"/>
    </row>
    <row r="2769" spans="1:76" ht="15.75" customHeight="1">
      <c r="A2769" s="25"/>
      <c r="B2769" s="39"/>
      <c r="C2769" s="155"/>
      <c r="D2769" s="155"/>
      <c r="E2769" s="40"/>
      <c r="F2769" s="314"/>
      <c r="H2769" s="315"/>
      <c r="I2769" s="315"/>
      <c r="BA2769" s="30"/>
      <c r="BB2769" s="155"/>
      <c r="BC2769" s="314"/>
      <c r="BD2769" s="314"/>
      <c r="BE2769" s="314"/>
      <c r="BF2769" s="314"/>
      <c r="BG2769" s="314"/>
      <c r="BH2769" s="314"/>
      <c r="BI2769" s="314"/>
      <c r="BJ2769" s="314"/>
      <c r="BK2769" s="40"/>
      <c r="BL2769" s="40"/>
      <c r="BM2769" s="40"/>
      <c r="BN2769" s="40"/>
      <c r="BO2769" s="40"/>
      <c r="BP2769" s="155"/>
      <c r="BQ2769" s="314"/>
      <c r="BR2769" s="314"/>
      <c r="BS2769" s="314"/>
      <c r="BT2769" s="314"/>
      <c r="BU2769" s="314"/>
      <c r="BV2769" s="314"/>
      <c r="BW2769" s="314"/>
      <c r="BX2769" s="155"/>
    </row>
    <row r="2770" spans="1:76" ht="15.75" customHeight="1">
      <c r="A2770" s="25"/>
      <c r="B2770" s="39"/>
      <c r="C2770" s="155"/>
      <c r="D2770" s="155"/>
      <c r="E2770" s="40"/>
      <c r="F2770" s="314"/>
      <c r="H2770" s="315"/>
      <c r="I2770" s="315"/>
      <c r="BA2770" s="30"/>
      <c r="BB2770" s="155"/>
      <c r="BC2770" s="314"/>
      <c r="BD2770" s="314"/>
      <c r="BE2770" s="314"/>
      <c r="BF2770" s="314"/>
      <c r="BG2770" s="314"/>
      <c r="BH2770" s="314"/>
      <c r="BI2770" s="314"/>
      <c r="BJ2770" s="314"/>
      <c r="BK2770" s="40"/>
      <c r="BL2770" s="40"/>
      <c r="BM2770" s="40"/>
      <c r="BN2770" s="40"/>
      <c r="BO2770" s="40"/>
      <c r="BP2770" s="155"/>
      <c r="BQ2770" s="314"/>
      <c r="BR2770" s="314"/>
      <c r="BS2770" s="314"/>
      <c r="BT2770" s="314"/>
      <c r="BU2770" s="314"/>
      <c r="BV2770" s="314"/>
      <c r="BW2770" s="314"/>
      <c r="BX2770" s="155"/>
    </row>
    <row r="2771" spans="1:76" ht="15.75" customHeight="1">
      <c r="A2771" s="25"/>
      <c r="B2771" s="39"/>
      <c r="C2771" s="155"/>
      <c r="D2771" s="155"/>
      <c r="E2771" s="40"/>
      <c r="F2771" s="314"/>
      <c r="H2771" s="315"/>
      <c r="I2771" s="315"/>
      <c r="BA2771" s="30"/>
      <c r="BB2771" s="155"/>
      <c r="BC2771" s="314"/>
      <c r="BD2771" s="314"/>
      <c r="BE2771" s="314"/>
      <c r="BF2771" s="314"/>
      <c r="BG2771" s="314"/>
      <c r="BH2771" s="314"/>
      <c r="BI2771" s="314"/>
      <c r="BJ2771" s="314"/>
      <c r="BK2771" s="40"/>
      <c r="BL2771" s="40"/>
      <c r="BM2771" s="40"/>
      <c r="BN2771" s="40"/>
      <c r="BO2771" s="40"/>
      <c r="BP2771" s="155"/>
      <c r="BQ2771" s="314"/>
      <c r="BR2771" s="314"/>
      <c r="BS2771" s="314"/>
      <c r="BT2771" s="314"/>
      <c r="BU2771" s="314"/>
      <c r="BV2771" s="314"/>
      <c r="BW2771" s="314"/>
      <c r="BX2771" s="155"/>
    </row>
    <row r="2772" spans="1:76" ht="15.75" customHeight="1">
      <c r="A2772" s="25"/>
      <c r="B2772" s="39"/>
      <c r="C2772" s="155"/>
      <c r="D2772" s="155"/>
      <c r="E2772" s="40"/>
      <c r="F2772" s="314"/>
      <c r="H2772" s="315"/>
      <c r="I2772" s="315"/>
      <c r="BA2772" s="30"/>
      <c r="BB2772" s="155"/>
      <c r="BC2772" s="314"/>
      <c r="BD2772" s="314"/>
      <c r="BE2772" s="314"/>
      <c r="BF2772" s="314"/>
      <c r="BG2772" s="314"/>
      <c r="BH2772" s="314"/>
      <c r="BI2772" s="314"/>
      <c r="BJ2772" s="314"/>
      <c r="BK2772" s="40"/>
      <c r="BL2772" s="40"/>
      <c r="BM2772" s="40"/>
      <c r="BN2772" s="40"/>
      <c r="BO2772" s="40"/>
      <c r="BP2772" s="155"/>
      <c r="BQ2772" s="314"/>
      <c r="BR2772" s="314"/>
      <c r="BS2772" s="314"/>
      <c r="BT2772" s="314"/>
      <c r="BU2772" s="314"/>
      <c r="BV2772" s="314"/>
      <c r="BW2772" s="314"/>
      <c r="BX2772" s="155"/>
    </row>
    <row r="2773" spans="1:76" ht="15.75" customHeight="1">
      <c r="A2773" s="25"/>
      <c r="B2773" s="39"/>
      <c r="C2773" s="155"/>
      <c r="D2773" s="155"/>
      <c r="E2773" s="40"/>
      <c r="F2773" s="314"/>
      <c r="H2773" s="315"/>
      <c r="I2773" s="315"/>
      <c r="BA2773" s="30"/>
      <c r="BB2773" s="155"/>
      <c r="BC2773" s="314"/>
      <c r="BD2773" s="314"/>
      <c r="BE2773" s="314"/>
      <c r="BF2773" s="314"/>
      <c r="BG2773" s="314"/>
      <c r="BH2773" s="314"/>
      <c r="BI2773" s="314"/>
      <c r="BJ2773" s="314"/>
      <c r="BK2773" s="40"/>
      <c r="BL2773" s="40"/>
      <c r="BM2773" s="40"/>
      <c r="BN2773" s="40"/>
      <c r="BO2773" s="40"/>
      <c r="BP2773" s="155"/>
      <c r="BQ2773" s="314"/>
      <c r="BR2773" s="314"/>
      <c r="BS2773" s="314"/>
      <c r="BT2773" s="314"/>
      <c r="BU2773" s="314"/>
      <c r="BV2773" s="314"/>
      <c r="BW2773" s="314"/>
      <c r="BX2773" s="155"/>
    </row>
    <row r="2774" spans="1:76" ht="15.75" customHeight="1">
      <c r="A2774" s="25"/>
      <c r="B2774" s="39"/>
      <c r="C2774" s="155"/>
      <c r="D2774" s="155"/>
      <c r="E2774" s="40"/>
      <c r="F2774" s="314"/>
      <c r="H2774" s="315"/>
      <c r="I2774" s="315"/>
      <c r="BA2774" s="30"/>
      <c r="BB2774" s="155"/>
      <c r="BC2774" s="314"/>
      <c r="BD2774" s="314"/>
      <c r="BE2774" s="314"/>
      <c r="BF2774" s="314"/>
      <c r="BG2774" s="314"/>
      <c r="BH2774" s="314"/>
      <c r="BI2774" s="314"/>
      <c r="BJ2774" s="314"/>
      <c r="BK2774" s="40"/>
      <c r="BL2774" s="40"/>
      <c r="BM2774" s="40"/>
      <c r="BN2774" s="40"/>
      <c r="BO2774" s="40"/>
      <c r="BP2774" s="155"/>
      <c r="BQ2774" s="314"/>
      <c r="BR2774" s="314"/>
      <c r="BS2774" s="314"/>
      <c r="BT2774" s="314"/>
      <c r="BU2774" s="314"/>
      <c r="BV2774" s="314"/>
      <c r="BW2774" s="314"/>
      <c r="BX2774" s="155"/>
    </row>
    <row r="2775" spans="1:76" ht="15.75" customHeight="1">
      <c r="A2775" s="25"/>
      <c r="B2775" s="39"/>
      <c r="C2775" s="155"/>
      <c r="D2775" s="155"/>
      <c r="E2775" s="40"/>
      <c r="F2775" s="314"/>
      <c r="H2775" s="315"/>
      <c r="I2775" s="315"/>
      <c r="BA2775" s="30"/>
      <c r="BB2775" s="155"/>
      <c r="BC2775" s="314"/>
      <c r="BD2775" s="314"/>
      <c r="BE2775" s="314"/>
      <c r="BF2775" s="314"/>
      <c r="BG2775" s="314"/>
      <c r="BH2775" s="314"/>
      <c r="BI2775" s="314"/>
      <c r="BJ2775" s="314"/>
      <c r="BK2775" s="40"/>
      <c r="BL2775" s="40"/>
      <c r="BM2775" s="40"/>
      <c r="BN2775" s="40"/>
      <c r="BO2775" s="40"/>
      <c r="BP2775" s="155"/>
      <c r="BQ2775" s="314"/>
      <c r="BR2775" s="314"/>
      <c r="BS2775" s="314"/>
      <c r="BT2775" s="314"/>
      <c r="BU2775" s="314"/>
      <c r="BV2775" s="314"/>
      <c r="BW2775" s="314"/>
      <c r="BX2775" s="155"/>
    </row>
    <row r="2776" spans="1:76" ht="15.75" customHeight="1">
      <c r="A2776" s="25"/>
      <c r="B2776" s="39"/>
      <c r="C2776" s="155"/>
      <c r="D2776" s="155"/>
      <c r="E2776" s="40"/>
      <c r="F2776" s="314"/>
      <c r="H2776" s="315"/>
      <c r="I2776" s="315"/>
      <c r="BA2776" s="30"/>
      <c r="BB2776" s="155"/>
      <c r="BC2776" s="314"/>
      <c r="BD2776" s="314"/>
      <c r="BE2776" s="314"/>
      <c r="BF2776" s="314"/>
      <c r="BG2776" s="314"/>
      <c r="BH2776" s="314"/>
      <c r="BI2776" s="314"/>
      <c r="BJ2776" s="314"/>
      <c r="BK2776" s="40"/>
      <c r="BL2776" s="40"/>
      <c r="BM2776" s="40"/>
      <c r="BN2776" s="40"/>
      <c r="BO2776" s="40"/>
      <c r="BP2776" s="155"/>
      <c r="BQ2776" s="314"/>
      <c r="BR2776" s="314"/>
      <c r="BS2776" s="314"/>
      <c r="BT2776" s="314"/>
      <c r="BU2776" s="314"/>
      <c r="BV2776" s="314"/>
      <c r="BW2776" s="314"/>
      <c r="BX2776" s="155"/>
    </row>
    <row r="2777" spans="1:76" ht="15.75" customHeight="1">
      <c r="A2777" s="25"/>
      <c r="B2777" s="39"/>
      <c r="C2777" s="155"/>
      <c r="D2777" s="155"/>
      <c r="E2777" s="40"/>
      <c r="F2777" s="314"/>
      <c r="H2777" s="315"/>
      <c r="I2777" s="315"/>
      <c r="BA2777" s="30"/>
      <c r="BB2777" s="155"/>
      <c r="BC2777" s="314"/>
      <c r="BD2777" s="314"/>
      <c r="BE2777" s="314"/>
      <c r="BF2777" s="314"/>
      <c r="BG2777" s="314"/>
      <c r="BH2777" s="314"/>
      <c r="BI2777" s="314"/>
      <c r="BJ2777" s="314"/>
      <c r="BK2777" s="40"/>
      <c r="BL2777" s="40"/>
      <c r="BM2777" s="40"/>
      <c r="BN2777" s="40"/>
      <c r="BO2777" s="40"/>
      <c r="BP2777" s="155"/>
      <c r="BQ2777" s="314"/>
      <c r="BR2777" s="314"/>
      <c r="BS2777" s="314"/>
      <c r="BT2777" s="314"/>
      <c r="BU2777" s="314"/>
      <c r="BV2777" s="314"/>
      <c r="BW2777" s="314"/>
      <c r="BX2777" s="155"/>
    </row>
    <row r="2778" spans="1:76" ht="15.75" customHeight="1">
      <c r="A2778" s="25"/>
      <c r="B2778" s="39"/>
      <c r="C2778" s="155"/>
      <c r="D2778" s="155"/>
      <c r="E2778" s="40"/>
      <c r="F2778" s="314"/>
      <c r="H2778" s="315"/>
      <c r="I2778" s="315"/>
      <c r="BA2778" s="30"/>
      <c r="BB2778" s="155"/>
      <c r="BC2778" s="314"/>
      <c r="BD2778" s="314"/>
      <c r="BE2778" s="314"/>
      <c r="BF2778" s="314"/>
      <c r="BG2778" s="314"/>
      <c r="BH2778" s="314"/>
      <c r="BI2778" s="314"/>
      <c r="BJ2778" s="314"/>
      <c r="BK2778" s="40"/>
      <c r="BL2778" s="40"/>
      <c r="BM2778" s="40"/>
      <c r="BN2778" s="40"/>
      <c r="BO2778" s="40"/>
      <c r="BP2778" s="155"/>
      <c r="BQ2778" s="314"/>
      <c r="BR2778" s="314"/>
      <c r="BS2778" s="314"/>
      <c r="BT2778" s="314"/>
      <c r="BU2778" s="314"/>
      <c r="BV2778" s="314"/>
      <c r="BW2778" s="314"/>
      <c r="BX2778" s="155"/>
    </row>
    <row r="2779" spans="1:76" ht="15.75" customHeight="1">
      <c r="A2779" s="25"/>
      <c r="B2779" s="39"/>
      <c r="C2779" s="155"/>
      <c r="D2779" s="155"/>
      <c r="E2779" s="40"/>
      <c r="F2779" s="314"/>
      <c r="H2779" s="315"/>
      <c r="I2779" s="315"/>
      <c r="BA2779" s="30"/>
      <c r="BB2779" s="155"/>
      <c r="BC2779" s="314"/>
      <c r="BD2779" s="314"/>
      <c r="BE2779" s="314"/>
      <c r="BF2779" s="314"/>
      <c r="BG2779" s="314"/>
      <c r="BH2779" s="314"/>
      <c r="BI2779" s="314"/>
      <c r="BJ2779" s="314"/>
      <c r="BK2779" s="40"/>
      <c r="BL2779" s="40"/>
      <c r="BM2779" s="40"/>
      <c r="BN2779" s="40"/>
      <c r="BO2779" s="40"/>
      <c r="BP2779" s="155"/>
      <c r="BQ2779" s="314"/>
      <c r="BR2779" s="314"/>
      <c r="BS2779" s="314"/>
      <c r="BT2779" s="314"/>
      <c r="BU2779" s="314"/>
      <c r="BV2779" s="314"/>
      <c r="BW2779" s="314"/>
      <c r="BX2779" s="155"/>
    </row>
    <row r="2780" spans="1:76" ht="15.75" customHeight="1">
      <c r="A2780" s="25"/>
      <c r="B2780" s="39"/>
      <c r="C2780" s="155"/>
      <c r="D2780" s="155"/>
      <c r="E2780" s="40"/>
      <c r="F2780" s="314"/>
      <c r="H2780" s="315"/>
      <c r="I2780" s="315"/>
      <c r="BA2780" s="30"/>
      <c r="BB2780" s="155"/>
      <c r="BC2780" s="322"/>
      <c r="BD2780" s="322"/>
      <c r="BE2780" s="322"/>
      <c r="BF2780" s="322"/>
      <c r="BG2780" s="322"/>
      <c r="BH2780" s="322"/>
      <c r="BI2780" s="322"/>
      <c r="BJ2780" s="322"/>
      <c r="BK2780" s="341"/>
      <c r="BL2780" s="40"/>
      <c r="BM2780" s="40"/>
      <c r="BN2780" s="40"/>
      <c r="BO2780" s="40"/>
      <c r="BP2780" s="155"/>
      <c r="BQ2780" s="314"/>
      <c r="BR2780" s="314"/>
      <c r="BS2780" s="314"/>
      <c r="BT2780" s="314"/>
      <c r="BU2780" s="314"/>
      <c r="BV2780" s="314"/>
      <c r="BW2780" s="314"/>
      <c r="BX2780" s="155"/>
    </row>
    <row r="2781" spans="1:76" ht="15.75" customHeight="1">
      <c r="A2781" s="25"/>
      <c r="B2781" s="39"/>
      <c r="C2781" s="155"/>
      <c r="D2781" s="155"/>
      <c r="E2781" s="40"/>
      <c r="F2781" s="314"/>
      <c r="H2781" s="315"/>
      <c r="I2781" s="315"/>
      <c r="BA2781" s="30"/>
      <c r="BB2781" s="155"/>
      <c r="BC2781" s="314"/>
      <c r="BD2781" s="314"/>
      <c r="BE2781" s="314"/>
      <c r="BF2781" s="314"/>
      <c r="BG2781" s="314"/>
      <c r="BH2781" s="314"/>
      <c r="BI2781" s="314"/>
      <c r="BJ2781" s="314"/>
      <c r="BK2781" s="40"/>
      <c r="BL2781" s="40"/>
      <c r="BM2781" s="40"/>
      <c r="BN2781" s="40"/>
      <c r="BO2781" s="40"/>
      <c r="BP2781" s="155"/>
      <c r="BQ2781" s="314"/>
      <c r="BR2781" s="314"/>
      <c r="BS2781" s="314"/>
      <c r="BT2781" s="314"/>
      <c r="BU2781" s="314"/>
      <c r="BV2781" s="314"/>
      <c r="BW2781" s="314"/>
      <c r="BX2781" s="155"/>
    </row>
    <row r="2782" spans="1:76" ht="15.75" customHeight="1">
      <c r="A2782" s="25"/>
      <c r="B2782" s="39"/>
      <c r="C2782" s="155"/>
      <c r="D2782" s="155"/>
      <c r="E2782" s="40"/>
      <c r="F2782" s="314"/>
      <c r="H2782" s="315"/>
      <c r="I2782" s="315"/>
      <c r="BA2782" s="30"/>
      <c r="BB2782" s="155"/>
      <c r="BC2782" s="314"/>
      <c r="BD2782" s="314"/>
      <c r="BE2782" s="314"/>
      <c r="BF2782" s="314"/>
      <c r="BG2782" s="314"/>
      <c r="BH2782" s="314"/>
      <c r="BI2782" s="314"/>
      <c r="BJ2782" s="314"/>
      <c r="BK2782" s="40"/>
      <c r="BL2782" s="40"/>
      <c r="BM2782" s="40"/>
      <c r="BN2782" s="40"/>
      <c r="BO2782" s="40"/>
      <c r="BP2782" s="155"/>
      <c r="BQ2782" s="314"/>
      <c r="BR2782" s="314"/>
      <c r="BS2782" s="314"/>
      <c r="BT2782" s="314"/>
      <c r="BU2782" s="314"/>
      <c r="BV2782" s="314"/>
      <c r="BW2782" s="314"/>
      <c r="BX2782" s="155"/>
    </row>
    <row r="2783" spans="1:76" ht="15.75" customHeight="1">
      <c r="A2783" s="25"/>
      <c r="B2783" s="39"/>
      <c r="C2783" s="155"/>
      <c r="D2783" s="155"/>
      <c r="E2783" s="40"/>
      <c r="F2783" s="314"/>
      <c r="H2783" s="315"/>
      <c r="I2783" s="315"/>
      <c r="BA2783" s="30"/>
      <c r="BB2783" s="155"/>
      <c r="BC2783" s="314"/>
      <c r="BD2783" s="314"/>
      <c r="BE2783" s="314"/>
      <c r="BF2783" s="314"/>
      <c r="BG2783" s="314"/>
      <c r="BH2783" s="314"/>
      <c r="BI2783" s="314"/>
      <c r="BJ2783" s="314"/>
      <c r="BK2783" s="40"/>
      <c r="BL2783" s="40"/>
      <c r="BM2783" s="40"/>
      <c r="BN2783" s="40"/>
      <c r="BO2783" s="40"/>
      <c r="BP2783" s="155"/>
      <c r="BQ2783" s="314"/>
      <c r="BR2783" s="314"/>
      <c r="BS2783" s="314"/>
      <c r="BT2783" s="314"/>
      <c r="BU2783" s="314"/>
      <c r="BV2783" s="314"/>
      <c r="BW2783" s="314"/>
      <c r="BX2783" s="155"/>
    </row>
    <row r="2784" spans="1:76" ht="15.75" customHeight="1">
      <c r="A2784" s="25"/>
      <c r="B2784" s="39"/>
      <c r="C2784" s="155"/>
      <c r="D2784" s="155"/>
      <c r="E2784" s="40"/>
      <c r="F2784" s="314"/>
      <c r="H2784" s="315"/>
      <c r="I2784" s="315"/>
      <c r="BA2784" s="30"/>
      <c r="BB2784" s="155"/>
      <c r="BC2784" s="314"/>
      <c r="BD2784" s="314"/>
      <c r="BE2784" s="314"/>
      <c r="BF2784" s="314"/>
      <c r="BG2784" s="314"/>
      <c r="BH2784" s="314"/>
      <c r="BI2784" s="314"/>
      <c r="BJ2784" s="314"/>
      <c r="BK2784" s="40"/>
      <c r="BL2784" s="40"/>
      <c r="BM2784" s="40"/>
      <c r="BN2784" s="40"/>
      <c r="BO2784" s="40"/>
      <c r="BP2784" s="155"/>
      <c r="BQ2784" s="314"/>
      <c r="BR2784" s="314"/>
      <c r="BS2784" s="314"/>
      <c r="BT2784" s="314"/>
      <c r="BU2784" s="314"/>
      <c r="BV2784" s="314"/>
      <c r="BW2784" s="314"/>
      <c r="BX2784" s="155"/>
    </row>
    <row r="2785" spans="1:76" ht="15.75" customHeight="1">
      <c r="A2785" s="25"/>
      <c r="B2785" s="39"/>
      <c r="C2785" s="155"/>
      <c r="D2785" s="155"/>
      <c r="E2785" s="40"/>
      <c r="F2785" s="314"/>
      <c r="H2785" s="315"/>
      <c r="I2785" s="315"/>
      <c r="BA2785" s="30"/>
      <c r="BB2785" s="155"/>
      <c r="BC2785" s="314"/>
      <c r="BD2785" s="314"/>
      <c r="BE2785" s="314"/>
      <c r="BF2785" s="314"/>
      <c r="BG2785" s="314"/>
      <c r="BH2785" s="314"/>
      <c r="BI2785" s="314"/>
      <c r="BJ2785" s="314"/>
      <c r="BK2785" s="40"/>
      <c r="BL2785" s="40"/>
      <c r="BM2785" s="40"/>
      <c r="BN2785" s="40"/>
      <c r="BO2785" s="40"/>
      <c r="BP2785" s="155"/>
      <c r="BQ2785" s="314"/>
      <c r="BR2785" s="314"/>
      <c r="BS2785" s="314"/>
      <c r="BT2785" s="314"/>
      <c r="BU2785" s="314"/>
      <c r="BV2785" s="314"/>
      <c r="BW2785" s="314"/>
      <c r="BX2785" s="155"/>
    </row>
    <row r="2786" spans="1:76" ht="15.75" customHeight="1">
      <c r="A2786" s="25"/>
      <c r="B2786" s="39"/>
      <c r="C2786" s="155"/>
      <c r="D2786" s="155"/>
      <c r="E2786" s="40"/>
      <c r="F2786" s="314"/>
      <c r="H2786" s="315"/>
      <c r="I2786" s="315"/>
      <c r="BA2786" s="30"/>
      <c r="BB2786" s="155"/>
      <c r="BC2786" s="314"/>
      <c r="BD2786" s="314"/>
      <c r="BE2786" s="314"/>
      <c r="BF2786" s="314"/>
      <c r="BG2786" s="314"/>
      <c r="BH2786" s="314"/>
      <c r="BI2786" s="314"/>
      <c r="BJ2786" s="314"/>
      <c r="BK2786" s="40"/>
      <c r="BL2786" s="40"/>
      <c r="BM2786" s="40"/>
      <c r="BN2786" s="40"/>
      <c r="BO2786" s="40"/>
      <c r="BP2786" s="155"/>
      <c r="BQ2786" s="314"/>
      <c r="BR2786" s="314"/>
      <c r="BS2786" s="314"/>
      <c r="BT2786" s="314"/>
      <c r="BU2786" s="314"/>
      <c r="BV2786" s="314"/>
      <c r="BW2786" s="314"/>
      <c r="BX2786" s="155"/>
    </row>
    <row r="2787" spans="1:76" ht="15.75" customHeight="1">
      <c r="A2787" s="25"/>
      <c r="B2787" s="39"/>
      <c r="C2787" s="155"/>
      <c r="D2787" s="155"/>
      <c r="E2787" s="40"/>
      <c r="F2787" s="314"/>
      <c r="H2787" s="315"/>
      <c r="I2787" s="315"/>
      <c r="BA2787" s="30"/>
      <c r="BB2787" s="155"/>
      <c r="BC2787" s="314"/>
      <c r="BD2787" s="314"/>
      <c r="BE2787" s="314"/>
      <c r="BF2787" s="314"/>
      <c r="BG2787" s="314"/>
      <c r="BH2787" s="314"/>
      <c r="BI2787" s="314"/>
      <c r="BJ2787" s="314"/>
      <c r="BK2787" s="40"/>
      <c r="BL2787" s="40"/>
      <c r="BM2787" s="40"/>
      <c r="BN2787" s="40"/>
      <c r="BO2787" s="40"/>
      <c r="BP2787" s="155"/>
      <c r="BQ2787" s="314"/>
      <c r="BR2787" s="314"/>
      <c r="BS2787" s="314"/>
      <c r="BT2787" s="314"/>
      <c r="BU2787" s="314"/>
      <c r="BV2787" s="314"/>
      <c r="BW2787" s="314"/>
      <c r="BX2787" s="155"/>
    </row>
    <row r="2788" spans="1:76" ht="15.75" customHeight="1">
      <c r="A2788" s="25"/>
      <c r="B2788" s="39"/>
      <c r="C2788" s="155"/>
      <c r="D2788" s="155"/>
      <c r="E2788" s="40"/>
      <c r="F2788" s="314"/>
      <c r="H2788" s="315"/>
      <c r="I2788" s="315"/>
      <c r="BA2788" s="30"/>
      <c r="BB2788" s="155"/>
      <c r="BC2788" s="314"/>
      <c r="BD2788" s="314"/>
      <c r="BE2788" s="314"/>
      <c r="BF2788" s="314"/>
      <c r="BG2788" s="314"/>
      <c r="BH2788" s="314"/>
      <c r="BI2788" s="314"/>
      <c r="BJ2788" s="314"/>
      <c r="BK2788" s="40"/>
      <c r="BL2788" s="40"/>
      <c r="BM2788" s="40"/>
      <c r="BN2788" s="40"/>
      <c r="BO2788" s="40"/>
      <c r="BP2788" s="155"/>
      <c r="BQ2788" s="314"/>
      <c r="BR2788" s="314"/>
      <c r="BS2788" s="314"/>
      <c r="BT2788" s="314"/>
      <c r="BU2788" s="314"/>
      <c r="BV2788" s="314"/>
      <c r="BW2788" s="314"/>
      <c r="BX2788" s="155"/>
    </row>
    <row r="2789" spans="1:76" ht="15.75" customHeight="1">
      <c r="A2789" s="25"/>
      <c r="B2789" s="39"/>
      <c r="C2789" s="155"/>
      <c r="D2789" s="155"/>
      <c r="E2789" s="40"/>
      <c r="F2789" s="314"/>
      <c r="H2789" s="315"/>
      <c r="I2789" s="315"/>
      <c r="BA2789" s="30"/>
      <c r="BB2789" s="155"/>
      <c r="BC2789" s="314"/>
      <c r="BD2789" s="314"/>
      <c r="BE2789" s="314"/>
      <c r="BF2789" s="314"/>
      <c r="BG2789" s="314"/>
      <c r="BH2789" s="314"/>
      <c r="BI2789" s="314"/>
      <c r="BJ2789" s="314"/>
      <c r="BK2789" s="40"/>
      <c r="BL2789" s="40"/>
      <c r="BM2789" s="40"/>
      <c r="BN2789" s="40"/>
      <c r="BO2789" s="40"/>
      <c r="BP2789" s="155"/>
      <c r="BQ2789" s="314"/>
      <c r="BR2789" s="314"/>
      <c r="BS2789" s="314"/>
      <c r="BT2789" s="314"/>
      <c r="BU2789" s="314"/>
      <c r="BV2789" s="314"/>
      <c r="BW2789" s="314"/>
      <c r="BX2789" s="155"/>
    </row>
    <row r="2790" spans="1:76" ht="15.75" customHeight="1">
      <c r="A2790" s="25"/>
      <c r="B2790" s="39"/>
      <c r="C2790" s="155"/>
      <c r="D2790" s="155"/>
      <c r="E2790" s="40"/>
      <c r="F2790" s="314"/>
      <c r="H2790" s="315"/>
      <c r="I2790" s="315"/>
      <c r="BA2790" s="30"/>
      <c r="BB2790" s="155"/>
      <c r="BC2790" s="314"/>
      <c r="BD2790" s="314"/>
      <c r="BE2790" s="314"/>
      <c r="BF2790" s="314"/>
      <c r="BG2790" s="314"/>
      <c r="BH2790" s="314"/>
      <c r="BI2790" s="314"/>
      <c r="BJ2790" s="314"/>
      <c r="BK2790" s="40"/>
      <c r="BL2790" s="40"/>
      <c r="BM2790" s="40"/>
      <c r="BN2790" s="40"/>
      <c r="BO2790" s="40"/>
      <c r="BP2790" s="155"/>
      <c r="BQ2790" s="314"/>
      <c r="BR2790" s="314"/>
      <c r="BS2790" s="314"/>
      <c r="BT2790" s="314"/>
      <c r="BU2790" s="314"/>
      <c r="BV2790" s="314"/>
      <c r="BW2790" s="314"/>
      <c r="BX2790" s="155"/>
    </row>
    <row r="2791" spans="1:76" ht="15.75" customHeight="1">
      <c r="A2791" s="25"/>
      <c r="B2791" s="39"/>
      <c r="C2791" s="155"/>
      <c r="D2791" s="155"/>
      <c r="E2791" s="40"/>
      <c r="F2791" s="314"/>
      <c r="H2791" s="315"/>
      <c r="I2791" s="315"/>
      <c r="BA2791" s="30"/>
      <c r="BB2791" s="155"/>
      <c r="BC2791" s="314"/>
      <c r="BD2791" s="314"/>
      <c r="BE2791" s="314"/>
      <c r="BF2791" s="314"/>
      <c r="BG2791" s="314"/>
      <c r="BH2791" s="314"/>
      <c r="BI2791" s="314"/>
      <c r="BJ2791" s="314"/>
      <c r="BK2791" s="40"/>
      <c r="BL2791" s="40"/>
      <c r="BM2791" s="40"/>
      <c r="BN2791" s="40"/>
      <c r="BO2791" s="40"/>
      <c r="BP2791" s="155"/>
      <c r="BQ2791" s="314"/>
      <c r="BR2791" s="314"/>
      <c r="BS2791" s="314"/>
      <c r="BT2791" s="314"/>
      <c r="BU2791" s="314"/>
      <c r="BV2791" s="314"/>
      <c r="BW2791" s="314"/>
      <c r="BX2791" s="155"/>
    </row>
    <row r="2792" spans="1:76" ht="15.75" customHeight="1">
      <c r="A2792" s="25"/>
      <c r="B2792" s="39"/>
      <c r="C2792" s="155"/>
      <c r="D2792" s="155"/>
      <c r="E2792" s="40"/>
      <c r="F2792" s="314"/>
      <c r="H2792" s="315"/>
      <c r="I2792" s="315"/>
      <c r="BA2792" s="30"/>
      <c r="BB2792" s="155"/>
      <c r="BC2792" s="314"/>
      <c r="BD2792" s="314"/>
      <c r="BE2792" s="314"/>
      <c r="BF2792" s="314"/>
      <c r="BG2792" s="314"/>
      <c r="BH2792" s="314"/>
      <c r="BI2792" s="314"/>
      <c r="BJ2792" s="314"/>
      <c r="BK2792" s="40"/>
      <c r="BL2792" s="40"/>
      <c r="BM2792" s="40"/>
      <c r="BN2792" s="40"/>
      <c r="BO2792" s="40"/>
      <c r="BP2792" s="155"/>
      <c r="BQ2792" s="314"/>
      <c r="BR2792" s="314"/>
      <c r="BS2792" s="314"/>
      <c r="BT2792" s="314"/>
      <c r="BU2792" s="314"/>
      <c r="BV2792" s="314"/>
      <c r="BW2792" s="314"/>
      <c r="BX2792" s="155"/>
    </row>
    <row r="2793" spans="1:76" ht="15.75" customHeight="1">
      <c r="A2793" s="25"/>
      <c r="B2793" s="39"/>
      <c r="C2793" s="155"/>
      <c r="D2793" s="155"/>
      <c r="E2793" s="40"/>
      <c r="F2793" s="314"/>
      <c r="H2793" s="315"/>
      <c r="I2793" s="315"/>
      <c r="BA2793" s="30"/>
      <c r="BB2793" s="155"/>
      <c r="BC2793" s="314"/>
      <c r="BD2793" s="314"/>
      <c r="BE2793" s="314"/>
      <c r="BF2793" s="314"/>
      <c r="BG2793" s="314"/>
      <c r="BH2793" s="314"/>
      <c r="BI2793" s="314"/>
      <c r="BJ2793" s="314"/>
      <c r="BK2793" s="40"/>
      <c r="BL2793" s="40"/>
      <c r="BM2793" s="40"/>
      <c r="BN2793" s="40"/>
      <c r="BO2793" s="40"/>
      <c r="BP2793" s="155"/>
      <c r="BQ2793" s="314"/>
      <c r="BR2793" s="314"/>
      <c r="BS2793" s="314"/>
      <c r="BT2793" s="314"/>
      <c r="BU2793" s="314"/>
      <c r="BV2793" s="314"/>
      <c r="BW2793" s="314"/>
      <c r="BX2793" s="155"/>
    </row>
    <row r="2794" spans="1:76" ht="15.75" customHeight="1">
      <c r="A2794" s="25"/>
      <c r="B2794" s="39"/>
      <c r="C2794" s="155"/>
      <c r="D2794" s="155"/>
      <c r="E2794" s="40"/>
      <c r="F2794" s="314"/>
      <c r="H2794" s="315"/>
      <c r="I2794" s="315"/>
      <c r="BA2794" s="30"/>
      <c r="BB2794" s="155"/>
      <c r="BC2794" s="314"/>
      <c r="BD2794" s="314"/>
      <c r="BE2794" s="314"/>
      <c r="BF2794" s="314"/>
      <c r="BG2794" s="314"/>
      <c r="BH2794" s="314"/>
      <c r="BI2794" s="314"/>
      <c r="BJ2794" s="314"/>
      <c r="BK2794" s="40"/>
      <c r="BL2794" s="40"/>
      <c r="BM2794" s="40"/>
      <c r="BN2794" s="40"/>
      <c r="BO2794" s="40"/>
      <c r="BP2794" s="155"/>
      <c r="BQ2794" s="314"/>
      <c r="BR2794" s="314"/>
      <c r="BS2794" s="314"/>
      <c r="BT2794" s="314"/>
      <c r="BU2794" s="314"/>
      <c r="BV2794" s="314"/>
      <c r="BW2794" s="314"/>
      <c r="BX2794" s="155"/>
    </row>
    <row r="2795" spans="1:76" ht="15.75" customHeight="1">
      <c r="A2795" s="25"/>
      <c r="B2795" s="39"/>
      <c r="C2795" s="155"/>
      <c r="D2795" s="155"/>
      <c r="E2795" s="40"/>
      <c r="F2795" s="314"/>
      <c r="H2795" s="315"/>
      <c r="I2795" s="315"/>
      <c r="BA2795" s="30"/>
      <c r="BB2795" s="155"/>
      <c r="BC2795" s="314"/>
      <c r="BD2795" s="314"/>
      <c r="BE2795" s="314"/>
      <c r="BF2795" s="314"/>
      <c r="BG2795" s="314"/>
      <c r="BH2795" s="314"/>
      <c r="BI2795" s="314"/>
      <c r="BJ2795" s="314"/>
      <c r="BK2795" s="40"/>
      <c r="BL2795" s="40"/>
      <c r="BM2795" s="40"/>
      <c r="BN2795" s="40"/>
      <c r="BO2795" s="40"/>
      <c r="BP2795" s="155"/>
      <c r="BQ2795" s="314"/>
      <c r="BR2795" s="314"/>
      <c r="BS2795" s="314"/>
      <c r="BT2795" s="314"/>
      <c r="BU2795" s="314"/>
      <c r="BV2795" s="314"/>
      <c r="BW2795" s="314"/>
      <c r="BX2795" s="155"/>
    </row>
    <row r="2796" spans="1:76" ht="15.75" customHeight="1">
      <c r="A2796" s="25"/>
      <c r="B2796" s="39"/>
      <c r="C2796" s="155"/>
      <c r="D2796" s="155"/>
      <c r="E2796" s="40"/>
      <c r="F2796" s="314"/>
      <c r="H2796" s="315"/>
      <c r="I2796" s="315"/>
      <c r="BA2796" s="30"/>
      <c r="BB2796" s="155"/>
      <c r="BC2796" s="314"/>
      <c r="BD2796" s="314"/>
      <c r="BE2796" s="314"/>
      <c r="BF2796" s="314"/>
      <c r="BG2796" s="314"/>
      <c r="BH2796" s="314"/>
      <c r="BI2796" s="314"/>
      <c r="BJ2796" s="314"/>
      <c r="BK2796" s="40"/>
      <c r="BL2796" s="40"/>
      <c r="BM2796" s="40"/>
      <c r="BN2796" s="40"/>
      <c r="BO2796" s="40"/>
      <c r="BP2796" s="155"/>
      <c r="BQ2796" s="314"/>
      <c r="BR2796" s="314"/>
      <c r="BS2796" s="314"/>
      <c r="BT2796" s="314"/>
      <c r="BU2796" s="314"/>
      <c r="BV2796" s="314"/>
      <c r="BW2796" s="314"/>
      <c r="BX2796" s="155"/>
    </row>
    <row r="2797" spans="1:76" ht="15.75" customHeight="1">
      <c r="A2797" s="25"/>
      <c r="B2797" s="39"/>
      <c r="C2797" s="155"/>
      <c r="D2797" s="155"/>
      <c r="E2797" s="40"/>
      <c r="F2797" s="314"/>
      <c r="H2797" s="315"/>
      <c r="I2797" s="315"/>
      <c r="BA2797" s="30"/>
      <c r="BB2797" s="155"/>
      <c r="BC2797" s="314"/>
      <c r="BD2797" s="314"/>
      <c r="BE2797" s="314"/>
      <c r="BF2797" s="314"/>
      <c r="BG2797" s="314"/>
      <c r="BH2797" s="314"/>
      <c r="BI2797" s="314"/>
      <c r="BJ2797" s="314"/>
      <c r="BK2797" s="40"/>
      <c r="BL2797" s="40"/>
      <c r="BM2797" s="40"/>
      <c r="BN2797" s="40"/>
      <c r="BO2797" s="40"/>
      <c r="BP2797" s="155"/>
      <c r="BQ2797" s="314"/>
      <c r="BR2797" s="314"/>
      <c r="BS2797" s="314"/>
      <c r="BT2797" s="314"/>
      <c r="BU2797" s="314"/>
      <c r="BV2797" s="314"/>
      <c r="BW2797" s="314"/>
      <c r="BX2797" s="155"/>
    </row>
    <row r="2798" spans="1:76" ht="15.75" customHeight="1">
      <c r="A2798" s="25"/>
      <c r="B2798" s="39"/>
      <c r="C2798" s="155"/>
      <c r="D2798" s="155"/>
      <c r="E2798" s="40"/>
      <c r="F2798" s="314"/>
      <c r="H2798" s="315"/>
      <c r="I2798" s="315"/>
      <c r="BA2798" s="30"/>
      <c r="BB2798" s="155"/>
      <c r="BC2798" s="314"/>
      <c r="BD2798" s="314"/>
      <c r="BE2798" s="314"/>
      <c r="BF2798" s="314"/>
      <c r="BG2798" s="314"/>
      <c r="BH2798" s="314"/>
      <c r="BI2798" s="314"/>
      <c r="BJ2798" s="314"/>
      <c r="BK2798" s="40"/>
      <c r="BL2798" s="40"/>
      <c r="BM2798" s="40"/>
      <c r="BN2798" s="40"/>
      <c r="BO2798" s="40"/>
      <c r="BP2798" s="155"/>
      <c r="BQ2798" s="314"/>
      <c r="BR2798" s="314"/>
      <c r="BS2798" s="314"/>
      <c r="BT2798" s="314"/>
      <c r="BU2798" s="314"/>
      <c r="BV2798" s="314"/>
      <c r="BW2798" s="314"/>
      <c r="BX2798" s="155"/>
    </row>
    <row r="2799" spans="1:76" ht="15.75" customHeight="1">
      <c r="A2799" s="25"/>
      <c r="B2799" s="39"/>
      <c r="C2799" s="155"/>
      <c r="D2799" s="155"/>
      <c r="E2799" s="40"/>
      <c r="F2799" s="314"/>
      <c r="H2799" s="315"/>
      <c r="I2799" s="315"/>
      <c r="BA2799" s="30"/>
      <c r="BB2799" s="155"/>
      <c r="BC2799" s="314"/>
      <c r="BD2799" s="314"/>
      <c r="BE2799" s="314"/>
      <c r="BF2799" s="314"/>
      <c r="BG2799" s="314"/>
      <c r="BH2799" s="314"/>
      <c r="BI2799" s="314"/>
      <c r="BJ2799" s="314"/>
      <c r="BK2799" s="40"/>
      <c r="BL2799" s="40"/>
      <c r="BM2799" s="40"/>
      <c r="BN2799" s="40"/>
      <c r="BO2799" s="40"/>
      <c r="BP2799" s="155"/>
      <c r="BQ2799" s="314"/>
      <c r="BR2799" s="314"/>
      <c r="BS2799" s="314"/>
      <c r="BT2799" s="314"/>
      <c r="BU2799" s="314"/>
      <c r="BV2799" s="314"/>
      <c r="BW2799" s="314"/>
      <c r="BX2799" s="155"/>
    </row>
    <row r="2800" spans="1:76" ht="15.75" customHeight="1">
      <c r="A2800" s="25"/>
      <c r="B2800" s="39"/>
      <c r="C2800" s="155"/>
      <c r="D2800" s="155"/>
      <c r="E2800" s="40"/>
      <c r="F2800" s="314"/>
      <c r="H2800" s="315"/>
      <c r="I2800" s="315"/>
      <c r="BA2800" s="30"/>
      <c r="BB2800" s="155"/>
      <c r="BC2800" s="314"/>
      <c r="BD2800" s="314"/>
      <c r="BE2800" s="314"/>
      <c r="BF2800" s="314"/>
      <c r="BG2800" s="314"/>
      <c r="BH2800" s="314"/>
      <c r="BI2800" s="314"/>
      <c r="BJ2800" s="314"/>
      <c r="BK2800" s="40"/>
      <c r="BL2800" s="40"/>
      <c r="BM2800" s="40"/>
      <c r="BN2800" s="40"/>
      <c r="BO2800" s="40"/>
      <c r="BP2800" s="155"/>
      <c r="BQ2800" s="314"/>
      <c r="BR2800" s="314"/>
      <c r="BS2800" s="314"/>
      <c r="BT2800" s="314"/>
      <c r="BU2800" s="314"/>
      <c r="BV2800" s="314"/>
      <c r="BW2800" s="314"/>
      <c r="BX2800" s="155"/>
    </row>
    <row r="2801" spans="1:76" ht="15.75" customHeight="1">
      <c r="A2801" s="25"/>
      <c r="B2801" s="39"/>
      <c r="C2801" s="155"/>
      <c r="D2801" s="155"/>
      <c r="E2801" s="40"/>
      <c r="F2801" s="314"/>
      <c r="H2801" s="315"/>
      <c r="I2801" s="315"/>
      <c r="BA2801" s="30"/>
      <c r="BB2801" s="155"/>
      <c r="BC2801" s="314"/>
      <c r="BD2801" s="314"/>
      <c r="BE2801" s="314"/>
      <c r="BF2801" s="314"/>
      <c r="BG2801" s="314"/>
      <c r="BH2801" s="314"/>
      <c r="BI2801" s="314"/>
      <c r="BJ2801" s="314"/>
      <c r="BK2801" s="40"/>
      <c r="BL2801" s="40"/>
      <c r="BM2801" s="40"/>
      <c r="BN2801" s="40"/>
      <c r="BO2801" s="40"/>
      <c r="BP2801" s="155"/>
      <c r="BQ2801" s="314"/>
      <c r="BR2801" s="314"/>
      <c r="BS2801" s="314"/>
      <c r="BT2801" s="314"/>
      <c r="BU2801" s="314"/>
      <c r="BV2801" s="314"/>
      <c r="BW2801" s="314"/>
      <c r="BX2801" s="155"/>
    </row>
    <row r="2802" spans="1:76" ht="15.75" customHeight="1">
      <c r="A2802" s="25"/>
      <c r="B2802" s="39"/>
      <c r="C2802" s="155"/>
      <c r="D2802" s="155"/>
      <c r="E2802" s="40"/>
      <c r="F2802" s="314"/>
      <c r="H2802" s="315"/>
      <c r="I2802" s="315"/>
      <c r="BA2802" s="30"/>
      <c r="BB2802" s="155"/>
      <c r="BC2802" s="314"/>
      <c r="BD2802" s="314"/>
      <c r="BE2802" s="314"/>
      <c r="BF2802" s="314"/>
      <c r="BG2802" s="314"/>
      <c r="BH2802" s="314"/>
      <c r="BI2802" s="314"/>
      <c r="BJ2802" s="314"/>
      <c r="BK2802" s="40"/>
      <c r="BL2802" s="40"/>
      <c r="BM2802" s="40"/>
      <c r="BN2802" s="40"/>
      <c r="BO2802" s="40"/>
      <c r="BP2802" s="155"/>
      <c r="BQ2802" s="314"/>
      <c r="BR2802" s="314"/>
      <c r="BS2802" s="314"/>
      <c r="BT2802" s="314"/>
      <c r="BU2802" s="314"/>
      <c r="BV2802" s="314"/>
      <c r="BW2802" s="314"/>
      <c r="BX2802" s="155"/>
    </row>
    <row r="2803" spans="1:76" ht="15.75" customHeight="1">
      <c r="A2803" s="25"/>
      <c r="B2803" s="39"/>
      <c r="C2803" s="155"/>
      <c r="D2803" s="155"/>
      <c r="E2803" s="40"/>
      <c r="F2803" s="314"/>
      <c r="H2803" s="315"/>
      <c r="I2803" s="315"/>
      <c r="BA2803" s="30"/>
      <c r="BB2803" s="155"/>
      <c r="BC2803" s="314"/>
      <c r="BD2803" s="314"/>
      <c r="BE2803" s="314"/>
      <c r="BF2803" s="314"/>
      <c r="BG2803" s="314"/>
      <c r="BH2803" s="314"/>
      <c r="BI2803" s="314"/>
      <c r="BJ2803" s="314"/>
      <c r="BK2803" s="40"/>
      <c r="BL2803" s="40"/>
      <c r="BM2803" s="40"/>
      <c r="BN2803" s="40"/>
      <c r="BO2803" s="40"/>
      <c r="BP2803" s="155"/>
      <c r="BQ2803" s="314"/>
      <c r="BR2803" s="314"/>
      <c r="BS2803" s="314"/>
      <c r="BT2803" s="314"/>
      <c r="BU2803" s="314"/>
      <c r="BV2803" s="314"/>
      <c r="BW2803" s="314"/>
      <c r="BX2803" s="155"/>
    </row>
    <row r="2804" spans="1:76" ht="15.75" customHeight="1">
      <c r="A2804" s="25"/>
      <c r="B2804" s="39"/>
      <c r="C2804" s="155"/>
      <c r="D2804" s="155"/>
      <c r="E2804" s="40"/>
      <c r="F2804" s="314"/>
      <c r="H2804" s="315"/>
      <c r="I2804" s="315"/>
      <c r="BA2804" s="30"/>
      <c r="BB2804" s="155"/>
      <c r="BC2804" s="314"/>
      <c r="BD2804" s="314"/>
      <c r="BE2804" s="314"/>
      <c r="BF2804" s="314"/>
      <c r="BG2804" s="314"/>
      <c r="BH2804" s="314"/>
      <c r="BI2804" s="314"/>
      <c r="BJ2804" s="314"/>
      <c r="BK2804" s="40"/>
      <c r="BL2804" s="40"/>
      <c r="BM2804" s="40"/>
      <c r="BN2804" s="40"/>
      <c r="BO2804" s="40"/>
      <c r="BP2804" s="155"/>
      <c r="BQ2804" s="314"/>
      <c r="BR2804" s="314"/>
      <c r="BS2804" s="314"/>
      <c r="BT2804" s="314"/>
      <c r="BU2804" s="314"/>
      <c r="BV2804" s="314"/>
      <c r="BW2804" s="314"/>
      <c r="BX2804" s="155"/>
    </row>
    <row r="2805" spans="1:76" ht="15.75" customHeight="1">
      <c r="A2805" s="25"/>
      <c r="B2805" s="39"/>
      <c r="C2805" s="155"/>
      <c r="D2805" s="155"/>
      <c r="E2805" s="40"/>
      <c r="F2805" s="314"/>
      <c r="H2805" s="315"/>
      <c r="I2805" s="315"/>
      <c r="BA2805" s="30"/>
      <c r="BB2805" s="155"/>
      <c r="BC2805" s="314"/>
      <c r="BD2805" s="314"/>
      <c r="BE2805" s="314"/>
      <c r="BF2805" s="314"/>
      <c r="BG2805" s="314"/>
      <c r="BH2805" s="314"/>
      <c r="BI2805" s="314"/>
      <c r="BJ2805" s="314"/>
      <c r="BK2805" s="40"/>
      <c r="BL2805" s="40"/>
      <c r="BM2805" s="40"/>
      <c r="BN2805" s="40"/>
      <c r="BO2805" s="40"/>
      <c r="BP2805" s="155"/>
      <c r="BQ2805" s="314"/>
      <c r="BR2805" s="314"/>
      <c r="BS2805" s="314"/>
      <c r="BT2805" s="314"/>
      <c r="BU2805" s="314"/>
      <c r="BV2805" s="314"/>
      <c r="BW2805" s="314"/>
      <c r="BX2805" s="155"/>
    </row>
    <row r="2806" spans="1:76" ht="15.75" customHeight="1">
      <c r="A2806" s="25"/>
      <c r="B2806" s="39"/>
      <c r="C2806" s="155"/>
      <c r="D2806" s="155"/>
      <c r="E2806" s="40"/>
      <c r="F2806" s="314"/>
      <c r="H2806" s="315"/>
      <c r="I2806" s="315"/>
      <c r="BA2806" s="30"/>
      <c r="BB2806" s="155"/>
      <c r="BC2806" s="314"/>
      <c r="BD2806" s="314"/>
      <c r="BE2806" s="314"/>
      <c r="BF2806" s="314"/>
      <c r="BG2806" s="314"/>
      <c r="BH2806" s="314"/>
      <c r="BI2806" s="314"/>
      <c r="BJ2806" s="314"/>
      <c r="BK2806" s="40"/>
      <c r="BL2806" s="40"/>
      <c r="BM2806" s="40"/>
      <c r="BN2806" s="40"/>
      <c r="BO2806" s="40"/>
      <c r="BP2806" s="155"/>
      <c r="BQ2806" s="314"/>
      <c r="BR2806" s="314"/>
      <c r="BS2806" s="314"/>
      <c r="BT2806" s="314"/>
      <c r="BU2806" s="314"/>
      <c r="BV2806" s="314"/>
      <c r="BW2806" s="314"/>
      <c r="BX2806" s="155"/>
    </row>
    <row r="2807" spans="1:76" ht="15.75" customHeight="1">
      <c r="A2807" s="25"/>
      <c r="B2807" s="39"/>
      <c r="C2807" s="155"/>
      <c r="D2807" s="155"/>
      <c r="E2807" s="40"/>
      <c r="F2807" s="314"/>
      <c r="H2807" s="315"/>
      <c r="I2807" s="315"/>
      <c r="BA2807" s="30"/>
      <c r="BB2807" s="155"/>
      <c r="BC2807" s="314"/>
      <c r="BD2807" s="314"/>
      <c r="BE2807" s="314"/>
      <c r="BF2807" s="314"/>
      <c r="BG2807" s="314"/>
      <c r="BH2807" s="314"/>
      <c r="BI2807" s="314"/>
      <c r="BJ2807" s="314"/>
      <c r="BK2807" s="40"/>
      <c r="BL2807" s="40"/>
      <c r="BM2807" s="40"/>
      <c r="BN2807" s="40"/>
      <c r="BO2807" s="40"/>
      <c r="BP2807" s="155"/>
      <c r="BQ2807" s="314"/>
      <c r="BR2807" s="314"/>
      <c r="BS2807" s="314"/>
      <c r="BT2807" s="314"/>
      <c r="BU2807" s="314"/>
      <c r="BV2807" s="314"/>
      <c r="BW2807" s="314"/>
      <c r="BX2807" s="155"/>
    </row>
    <row r="2808" spans="1:76" ht="15.75" customHeight="1">
      <c r="A2808" s="25"/>
      <c r="B2808" s="39"/>
      <c r="C2808" s="155"/>
      <c r="D2808" s="155"/>
      <c r="E2808" s="40"/>
      <c r="F2808" s="314"/>
      <c r="H2808" s="315"/>
      <c r="I2808" s="315"/>
      <c r="BA2808" s="30"/>
      <c r="BB2808" s="155"/>
      <c r="BC2808" s="314"/>
      <c r="BD2808" s="314"/>
      <c r="BE2808" s="314"/>
      <c r="BF2808" s="314"/>
      <c r="BG2808" s="314"/>
      <c r="BH2808" s="314"/>
      <c r="BI2808" s="314"/>
      <c r="BJ2808" s="314"/>
      <c r="BK2808" s="40"/>
      <c r="BL2808" s="40"/>
      <c r="BM2808" s="40"/>
      <c r="BN2808" s="40"/>
      <c r="BO2808" s="40"/>
      <c r="BP2808" s="155"/>
      <c r="BQ2808" s="314"/>
      <c r="BR2808" s="314"/>
      <c r="BS2808" s="314"/>
      <c r="BT2808" s="314"/>
      <c r="BU2808" s="314"/>
      <c r="BV2808" s="314"/>
      <c r="BW2808" s="314"/>
      <c r="BX2808" s="155"/>
    </row>
    <row r="2809" spans="1:76" ht="15.75" customHeight="1">
      <c r="A2809" s="25"/>
      <c r="B2809" s="39"/>
      <c r="C2809" s="155"/>
      <c r="D2809" s="155"/>
      <c r="E2809" s="40"/>
      <c r="F2809" s="314"/>
      <c r="H2809" s="315"/>
      <c r="I2809" s="315"/>
      <c r="BA2809" s="30"/>
      <c r="BB2809" s="155"/>
      <c r="BC2809" s="314"/>
      <c r="BD2809" s="314"/>
      <c r="BE2809" s="314"/>
      <c r="BF2809" s="314"/>
      <c r="BG2809" s="314"/>
      <c r="BH2809" s="314"/>
      <c r="BI2809" s="314"/>
      <c r="BJ2809" s="314"/>
      <c r="BK2809" s="40"/>
      <c r="BL2809" s="40"/>
      <c r="BM2809" s="40"/>
      <c r="BN2809" s="40"/>
      <c r="BO2809" s="40"/>
      <c r="BP2809" s="155"/>
      <c r="BQ2809" s="314"/>
      <c r="BR2809" s="314"/>
      <c r="BS2809" s="314"/>
      <c r="BT2809" s="314"/>
      <c r="BU2809" s="314"/>
      <c r="BV2809" s="314"/>
      <c r="BW2809" s="314"/>
      <c r="BX2809" s="155"/>
    </row>
    <row r="2810" spans="1:76" ht="15.75" customHeight="1">
      <c r="A2810" s="25"/>
      <c r="B2810" s="39"/>
      <c r="C2810" s="155"/>
      <c r="D2810" s="155"/>
      <c r="E2810" s="40"/>
      <c r="F2810" s="314"/>
      <c r="H2810" s="315"/>
      <c r="I2810" s="315"/>
      <c r="BA2810" s="30"/>
      <c r="BB2810" s="155"/>
      <c r="BC2810" s="314"/>
      <c r="BD2810" s="314"/>
      <c r="BE2810" s="314"/>
      <c r="BF2810" s="314"/>
      <c r="BG2810" s="314"/>
      <c r="BH2810" s="314"/>
      <c r="BI2810" s="314"/>
      <c r="BJ2810" s="314"/>
      <c r="BK2810" s="40"/>
      <c r="BL2810" s="40"/>
      <c r="BM2810" s="40"/>
      <c r="BN2810" s="40"/>
      <c r="BO2810" s="40"/>
      <c r="BP2810" s="155"/>
      <c r="BQ2810" s="314"/>
      <c r="BR2810" s="314"/>
      <c r="BS2810" s="314"/>
      <c r="BT2810" s="314"/>
      <c r="BU2810" s="314"/>
      <c r="BV2810" s="314"/>
      <c r="BW2810" s="314"/>
      <c r="BX2810" s="155"/>
    </row>
    <row r="2811" spans="1:76" ht="15.75" customHeight="1">
      <c r="A2811" s="25"/>
      <c r="B2811" s="39"/>
      <c r="C2811" s="155"/>
      <c r="D2811" s="155"/>
      <c r="E2811" s="40"/>
      <c r="F2811" s="314"/>
      <c r="H2811" s="315"/>
      <c r="I2811" s="315"/>
      <c r="BA2811" s="30"/>
      <c r="BB2811" s="155"/>
      <c r="BC2811" s="314"/>
      <c r="BD2811" s="314"/>
      <c r="BE2811" s="314"/>
      <c r="BF2811" s="314"/>
      <c r="BG2811" s="314"/>
      <c r="BH2811" s="314"/>
      <c r="BI2811" s="314"/>
      <c r="BJ2811" s="314"/>
      <c r="BK2811" s="40"/>
      <c r="BL2811" s="40"/>
      <c r="BM2811" s="40"/>
      <c r="BN2811" s="40"/>
      <c r="BO2811" s="40"/>
      <c r="BP2811" s="155"/>
      <c r="BQ2811" s="314"/>
      <c r="BR2811" s="314"/>
      <c r="BS2811" s="314"/>
      <c r="BT2811" s="314"/>
      <c r="BU2811" s="314"/>
      <c r="BV2811" s="314"/>
      <c r="BW2811" s="314"/>
      <c r="BX2811" s="155"/>
    </row>
    <row r="2812" spans="1:76" ht="15.75" customHeight="1">
      <c r="A2812" s="25"/>
      <c r="B2812" s="39"/>
      <c r="C2812" s="155"/>
      <c r="D2812" s="155"/>
      <c r="E2812" s="40"/>
      <c r="F2812" s="314"/>
      <c r="H2812" s="315"/>
      <c r="I2812" s="315"/>
      <c r="BA2812" s="30"/>
      <c r="BB2812" s="155"/>
      <c r="BC2812" s="314"/>
      <c r="BD2812" s="314"/>
      <c r="BE2812" s="314"/>
      <c r="BF2812" s="314"/>
      <c r="BG2812" s="314"/>
      <c r="BH2812" s="314"/>
      <c r="BI2812" s="314"/>
      <c r="BJ2812" s="314"/>
      <c r="BK2812" s="40"/>
      <c r="BL2812" s="40"/>
      <c r="BM2812" s="40"/>
      <c r="BN2812" s="40"/>
      <c r="BO2812" s="40"/>
      <c r="BP2812" s="155"/>
      <c r="BQ2812" s="314"/>
      <c r="BR2812" s="314"/>
      <c r="BS2812" s="314"/>
      <c r="BT2812" s="314"/>
      <c r="BU2812" s="314"/>
      <c r="BV2812" s="314"/>
      <c r="BW2812" s="314"/>
      <c r="BX2812" s="155"/>
    </row>
    <row r="2813" spans="1:76" ht="15.75" customHeight="1">
      <c r="A2813" s="25"/>
      <c r="B2813" s="39"/>
      <c r="C2813" s="155"/>
      <c r="D2813" s="155"/>
      <c r="E2813" s="40"/>
      <c r="F2813" s="314"/>
      <c r="H2813" s="315"/>
      <c r="I2813" s="315"/>
      <c r="BA2813" s="30"/>
      <c r="BB2813" s="155"/>
      <c r="BC2813" s="314"/>
      <c r="BD2813" s="314"/>
      <c r="BE2813" s="314"/>
      <c r="BF2813" s="314"/>
      <c r="BG2813" s="314"/>
      <c r="BH2813" s="314"/>
      <c r="BI2813" s="314"/>
      <c r="BJ2813" s="314"/>
      <c r="BK2813" s="40"/>
      <c r="BL2813" s="40"/>
      <c r="BM2813" s="40"/>
      <c r="BN2813" s="40"/>
      <c r="BO2813" s="40"/>
      <c r="BP2813" s="155"/>
      <c r="BQ2813" s="314"/>
      <c r="BR2813" s="314"/>
      <c r="BS2813" s="314"/>
      <c r="BT2813" s="314"/>
      <c r="BU2813" s="314"/>
      <c r="BV2813" s="314"/>
      <c r="BW2813" s="314"/>
      <c r="BX2813" s="155"/>
    </row>
    <row r="2814" spans="1:76" ht="15.75" customHeight="1">
      <c r="A2814" s="25"/>
      <c r="B2814" s="39"/>
      <c r="C2814" s="155"/>
      <c r="D2814" s="155"/>
      <c r="E2814" s="40"/>
      <c r="F2814" s="314"/>
      <c r="H2814" s="315"/>
      <c r="I2814" s="315"/>
      <c r="BA2814" s="30"/>
      <c r="BB2814" s="155"/>
      <c r="BC2814" s="314"/>
      <c r="BD2814" s="314"/>
      <c r="BE2814" s="314"/>
      <c r="BF2814" s="314"/>
      <c r="BG2814" s="314"/>
      <c r="BH2814" s="314"/>
      <c r="BI2814" s="314"/>
      <c r="BJ2814" s="314"/>
      <c r="BK2814" s="40"/>
      <c r="BL2814" s="40"/>
      <c r="BM2814" s="40"/>
      <c r="BN2814" s="40"/>
      <c r="BO2814" s="40"/>
      <c r="BP2814" s="155"/>
      <c r="BQ2814" s="314"/>
      <c r="BR2814" s="314"/>
      <c r="BS2814" s="314"/>
      <c r="BT2814" s="314"/>
      <c r="BU2814" s="314"/>
      <c r="BV2814" s="314"/>
      <c r="BW2814" s="314"/>
      <c r="BX2814" s="155"/>
    </row>
    <row r="2815" spans="1:76" ht="15.75" customHeight="1">
      <c r="A2815" s="25"/>
      <c r="B2815" s="39"/>
      <c r="C2815" s="155"/>
      <c r="D2815" s="155"/>
      <c r="E2815" s="40"/>
      <c r="F2815" s="314"/>
      <c r="H2815" s="315"/>
      <c r="I2815" s="315"/>
      <c r="BA2815" s="30"/>
      <c r="BB2815" s="155"/>
      <c r="BC2815" s="314"/>
      <c r="BD2815" s="314"/>
      <c r="BE2815" s="314"/>
      <c r="BF2815" s="314"/>
      <c r="BG2815" s="314"/>
      <c r="BH2815" s="314"/>
      <c r="BI2815" s="314"/>
      <c r="BJ2815" s="314"/>
      <c r="BK2815" s="40"/>
      <c r="BL2815" s="40"/>
      <c r="BM2815" s="40"/>
      <c r="BN2815" s="40"/>
      <c r="BO2815" s="40"/>
      <c r="BP2815" s="155"/>
      <c r="BQ2815" s="314"/>
      <c r="BR2815" s="314"/>
      <c r="BS2815" s="314"/>
      <c r="BT2815" s="314"/>
      <c r="BU2815" s="314"/>
      <c r="BV2815" s="314"/>
      <c r="BW2815" s="314"/>
      <c r="BX2815" s="155"/>
    </row>
    <row r="2816" spans="1:76" ht="15.75" customHeight="1">
      <c r="A2816" s="25"/>
      <c r="B2816" s="39"/>
      <c r="C2816" s="155"/>
      <c r="D2816" s="155"/>
      <c r="E2816" s="40"/>
      <c r="F2816" s="314"/>
      <c r="H2816" s="315"/>
      <c r="I2816" s="315"/>
      <c r="BA2816" s="30"/>
      <c r="BB2816" s="155"/>
      <c r="BC2816" s="314"/>
      <c r="BD2816" s="314"/>
      <c r="BE2816" s="314"/>
      <c r="BF2816" s="314"/>
      <c r="BG2816" s="314"/>
      <c r="BH2816" s="314"/>
      <c r="BI2816" s="314"/>
      <c r="BJ2816" s="314"/>
      <c r="BK2816" s="40"/>
      <c r="BL2816" s="40"/>
      <c r="BM2816" s="40"/>
      <c r="BN2816" s="40"/>
      <c r="BO2816" s="40"/>
      <c r="BP2816" s="155"/>
      <c r="BQ2816" s="314"/>
      <c r="BR2816" s="314"/>
      <c r="BS2816" s="314"/>
      <c r="BT2816" s="314"/>
      <c r="BU2816" s="314"/>
      <c r="BV2816" s="314"/>
      <c r="BW2816" s="314"/>
      <c r="BX2816" s="155"/>
    </row>
    <row r="2817" spans="1:76" ht="15.75" customHeight="1">
      <c r="A2817" s="25"/>
      <c r="B2817" s="39"/>
      <c r="C2817" s="155"/>
      <c r="D2817" s="155"/>
      <c r="E2817" s="40"/>
      <c r="F2817" s="314"/>
      <c r="H2817" s="315"/>
      <c r="I2817" s="315"/>
      <c r="BA2817" s="30"/>
      <c r="BB2817" s="155"/>
      <c r="BC2817" s="314"/>
      <c r="BD2817" s="314"/>
      <c r="BE2817" s="314"/>
      <c r="BF2817" s="314"/>
      <c r="BG2817" s="314"/>
      <c r="BH2817" s="314"/>
      <c r="BI2817" s="314"/>
      <c r="BJ2817" s="314"/>
      <c r="BK2817" s="40"/>
      <c r="BL2817" s="40"/>
      <c r="BM2817" s="40"/>
      <c r="BN2817" s="40"/>
      <c r="BO2817" s="40"/>
      <c r="BP2817" s="155"/>
      <c r="BQ2817" s="314"/>
      <c r="BR2817" s="314"/>
      <c r="BS2817" s="314"/>
      <c r="BT2817" s="314"/>
      <c r="BU2817" s="314"/>
      <c r="BV2817" s="314"/>
      <c r="BW2817" s="314"/>
      <c r="BX2817" s="155"/>
    </row>
    <row r="2818" spans="1:76" ht="15.75" customHeight="1">
      <c r="A2818" s="25"/>
      <c r="B2818" s="39"/>
      <c r="C2818" s="155"/>
      <c r="D2818" s="155"/>
      <c r="E2818" s="40"/>
      <c r="F2818" s="314"/>
      <c r="H2818" s="315"/>
      <c r="I2818" s="315"/>
      <c r="BA2818" s="30"/>
      <c r="BB2818" s="155"/>
      <c r="BC2818" s="314"/>
      <c r="BD2818" s="314"/>
      <c r="BE2818" s="314"/>
      <c r="BF2818" s="314"/>
      <c r="BG2818" s="314"/>
      <c r="BH2818" s="314"/>
      <c r="BI2818" s="314"/>
      <c r="BJ2818" s="314"/>
      <c r="BK2818" s="40"/>
      <c r="BL2818" s="40"/>
      <c r="BM2818" s="40"/>
      <c r="BN2818" s="40"/>
      <c r="BO2818" s="40"/>
      <c r="BP2818" s="155"/>
      <c r="BQ2818" s="314"/>
      <c r="BR2818" s="314"/>
      <c r="BS2818" s="314"/>
      <c r="BT2818" s="314"/>
      <c r="BU2818" s="314"/>
      <c r="BV2818" s="314"/>
      <c r="BW2818" s="314"/>
      <c r="BX2818" s="155"/>
    </row>
    <row r="2819" spans="1:76" ht="15.75" customHeight="1">
      <c r="A2819" s="25"/>
      <c r="B2819" s="39"/>
      <c r="C2819" s="155"/>
      <c r="D2819" s="155"/>
      <c r="E2819" s="40"/>
      <c r="F2819" s="314"/>
      <c r="H2819" s="315"/>
      <c r="I2819" s="315"/>
      <c r="BA2819" s="30"/>
      <c r="BB2819" s="155"/>
      <c r="BC2819" s="314"/>
      <c r="BD2819" s="314"/>
      <c r="BE2819" s="314"/>
      <c r="BF2819" s="314"/>
      <c r="BG2819" s="314"/>
      <c r="BH2819" s="314"/>
      <c r="BI2819" s="314"/>
      <c r="BJ2819" s="314"/>
      <c r="BK2819" s="40"/>
      <c r="BL2819" s="40"/>
      <c r="BM2819" s="40"/>
      <c r="BN2819" s="40"/>
      <c r="BO2819" s="40"/>
      <c r="BP2819" s="155"/>
      <c r="BQ2819" s="314"/>
      <c r="BR2819" s="314"/>
      <c r="BS2819" s="314"/>
      <c r="BT2819" s="314"/>
      <c r="BU2819" s="314"/>
      <c r="BV2819" s="314"/>
      <c r="BW2819" s="314"/>
      <c r="BX2819" s="155"/>
    </row>
    <row r="2820" spans="1:76" ht="15.75" customHeight="1">
      <c r="A2820" s="25"/>
      <c r="B2820" s="39"/>
      <c r="C2820" s="155"/>
      <c r="D2820" s="155"/>
      <c r="E2820" s="40"/>
      <c r="F2820" s="314"/>
      <c r="H2820" s="315"/>
      <c r="I2820" s="315"/>
      <c r="BA2820" s="30"/>
      <c r="BB2820" s="155"/>
      <c r="BC2820" s="314"/>
      <c r="BD2820" s="314"/>
      <c r="BE2820" s="314"/>
      <c r="BF2820" s="314"/>
      <c r="BG2820" s="314"/>
      <c r="BH2820" s="314"/>
      <c r="BI2820" s="314"/>
      <c r="BJ2820" s="314"/>
      <c r="BK2820" s="40"/>
      <c r="BL2820" s="40"/>
      <c r="BM2820" s="40"/>
      <c r="BN2820" s="40"/>
      <c r="BO2820" s="40"/>
      <c r="BP2820" s="155"/>
      <c r="BQ2820" s="314"/>
      <c r="BR2820" s="314"/>
      <c r="BS2820" s="314"/>
      <c r="BT2820" s="314"/>
      <c r="BU2820" s="314"/>
      <c r="BV2820" s="314"/>
      <c r="BW2820" s="314"/>
      <c r="BX2820" s="155"/>
    </row>
    <row r="2821" spans="1:76" ht="15.75" customHeight="1">
      <c r="A2821" s="25"/>
      <c r="B2821" s="39"/>
      <c r="C2821" s="155"/>
      <c r="D2821" s="155"/>
      <c r="E2821" s="40"/>
      <c r="F2821" s="314"/>
      <c r="H2821" s="315"/>
      <c r="I2821" s="315"/>
      <c r="BA2821" s="30"/>
      <c r="BB2821" s="155"/>
      <c r="BC2821" s="314"/>
      <c r="BD2821" s="314"/>
      <c r="BE2821" s="314"/>
      <c r="BF2821" s="314"/>
      <c r="BG2821" s="314"/>
      <c r="BH2821" s="314"/>
      <c r="BI2821" s="314"/>
      <c r="BJ2821" s="314"/>
      <c r="BK2821" s="40"/>
      <c r="BL2821" s="40"/>
      <c r="BM2821" s="40"/>
      <c r="BN2821" s="40"/>
      <c r="BO2821" s="40"/>
      <c r="BP2821" s="155"/>
      <c r="BQ2821" s="314"/>
      <c r="BR2821" s="314"/>
      <c r="BS2821" s="314"/>
      <c r="BT2821" s="314"/>
      <c r="BU2821" s="314"/>
      <c r="BV2821" s="314"/>
      <c r="BW2821" s="314"/>
      <c r="BX2821" s="155"/>
    </row>
    <row r="2822" spans="1:76" ht="15.75" customHeight="1">
      <c r="A2822" s="25"/>
      <c r="B2822" s="39"/>
      <c r="C2822" s="155"/>
      <c r="D2822" s="155"/>
      <c r="E2822" s="40"/>
      <c r="F2822" s="314"/>
      <c r="H2822" s="315"/>
      <c r="I2822" s="315"/>
      <c r="BA2822" s="30"/>
      <c r="BB2822" s="155"/>
      <c r="BC2822" s="314"/>
      <c r="BD2822" s="314"/>
      <c r="BE2822" s="314"/>
      <c r="BF2822" s="314"/>
      <c r="BG2822" s="314"/>
      <c r="BH2822" s="314"/>
      <c r="BI2822" s="314"/>
      <c r="BJ2822" s="314"/>
      <c r="BK2822" s="40"/>
      <c r="BL2822" s="40"/>
      <c r="BM2822" s="40"/>
      <c r="BN2822" s="40"/>
      <c r="BO2822" s="40"/>
      <c r="BP2822" s="155"/>
      <c r="BQ2822" s="314"/>
      <c r="BR2822" s="314"/>
      <c r="BS2822" s="314"/>
      <c r="BT2822" s="314"/>
      <c r="BU2822" s="314"/>
      <c r="BV2822" s="314"/>
      <c r="BW2822" s="314"/>
      <c r="BX2822" s="155"/>
    </row>
    <row r="2823" spans="1:76" ht="15.75" customHeight="1">
      <c r="A2823" s="25"/>
      <c r="B2823" s="39"/>
      <c r="C2823" s="155"/>
      <c r="D2823" s="155"/>
      <c r="E2823" s="40"/>
      <c r="F2823" s="314"/>
      <c r="H2823" s="315"/>
      <c r="I2823" s="315"/>
      <c r="BA2823" s="30"/>
      <c r="BB2823" s="155"/>
      <c r="BC2823" s="314"/>
      <c r="BD2823" s="314"/>
      <c r="BE2823" s="314"/>
      <c r="BF2823" s="314"/>
      <c r="BG2823" s="314"/>
      <c r="BH2823" s="314"/>
      <c r="BI2823" s="314"/>
      <c r="BJ2823" s="314"/>
      <c r="BK2823" s="40"/>
      <c r="BL2823" s="40"/>
      <c r="BM2823" s="40"/>
      <c r="BN2823" s="40"/>
      <c r="BO2823" s="40"/>
      <c r="BP2823" s="155"/>
      <c r="BQ2823" s="314"/>
      <c r="BR2823" s="314"/>
      <c r="BS2823" s="314"/>
      <c r="BT2823" s="314"/>
      <c r="BU2823" s="314"/>
      <c r="BV2823" s="314"/>
      <c r="BW2823" s="314"/>
      <c r="BX2823" s="155"/>
    </row>
    <row r="2824" spans="1:76" ht="15.75" customHeight="1">
      <c r="A2824" s="25"/>
      <c r="B2824" s="39"/>
      <c r="C2824" s="155"/>
      <c r="D2824" s="155"/>
      <c r="E2824" s="40"/>
      <c r="F2824" s="314"/>
      <c r="H2824" s="315"/>
      <c r="I2824" s="315"/>
      <c r="BA2824" s="30"/>
      <c r="BB2824" s="155"/>
      <c r="BC2824" s="314"/>
      <c r="BD2824" s="314"/>
      <c r="BE2824" s="314"/>
      <c r="BF2824" s="314"/>
      <c r="BG2824" s="314"/>
      <c r="BH2824" s="314"/>
      <c r="BI2824" s="314"/>
      <c r="BJ2824" s="314"/>
      <c r="BK2824" s="40"/>
      <c r="BL2824" s="40"/>
      <c r="BM2824" s="40"/>
      <c r="BN2824" s="40"/>
      <c r="BO2824" s="40"/>
      <c r="BP2824" s="155"/>
      <c r="BQ2824" s="314"/>
      <c r="BR2824" s="314"/>
      <c r="BS2824" s="314"/>
      <c r="BT2824" s="314"/>
      <c r="BU2824" s="314"/>
      <c r="BV2824" s="314"/>
      <c r="BW2824" s="314"/>
      <c r="BX2824" s="155"/>
    </row>
    <row r="2825" spans="1:76" ht="15.75" customHeight="1">
      <c r="A2825" s="25"/>
      <c r="B2825" s="39"/>
      <c r="C2825" s="155"/>
      <c r="D2825" s="155"/>
      <c r="E2825" s="40"/>
      <c r="F2825" s="314"/>
      <c r="H2825" s="315"/>
      <c r="I2825" s="315"/>
      <c r="BA2825" s="30"/>
      <c r="BB2825" s="155"/>
      <c r="BC2825" s="314"/>
      <c r="BD2825" s="314"/>
      <c r="BE2825" s="314"/>
      <c r="BF2825" s="314"/>
      <c r="BG2825" s="314"/>
      <c r="BH2825" s="314"/>
      <c r="BI2825" s="314"/>
      <c r="BJ2825" s="314"/>
      <c r="BK2825" s="40"/>
      <c r="BL2825" s="40"/>
      <c r="BM2825" s="40"/>
      <c r="BN2825" s="40"/>
      <c r="BO2825" s="40"/>
      <c r="BP2825" s="155"/>
      <c r="BQ2825" s="314"/>
      <c r="BR2825" s="314"/>
      <c r="BS2825" s="314"/>
      <c r="BT2825" s="314"/>
      <c r="BU2825" s="314"/>
      <c r="BV2825" s="314"/>
      <c r="BW2825" s="314"/>
      <c r="BX2825" s="155"/>
    </row>
    <row r="2826" spans="1:76" ht="15.75" customHeight="1">
      <c r="A2826" s="25"/>
      <c r="B2826" s="39"/>
      <c r="C2826" s="155"/>
      <c r="D2826" s="155"/>
      <c r="E2826" s="40"/>
      <c r="F2826" s="314"/>
      <c r="H2826" s="315"/>
      <c r="I2826" s="315"/>
      <c r="BA2826" s="30"/>
      <c r="BB2826" s="155"/>
      <c r="BC2826" s="314"/>
      <c r="BD2826" s="314"/>
      <c r="BE2826" s="314"/>
      <c r="BF2826" s="314"/>
      <c r="BG2826" s="314"/>
      <c r="BH2826" s="314"/>
      <c r="BI2826" s="314"/>
      <c r="BJ2826" s="314"/>
      <c r="BK2826" s="40"/>
      <c r="BL2826" s="40"/>
      <c r="BM2826" s="40"/>
      <c r="BN2826" s="40"/>
      <c r="BO2826" s="40"/>
      <c r="BP2826" s="155"/>
      <c r="BQ2826" s="314"/>
      <c r="BR2826" s="314"/>
      <c r="BS2826" s="314"/>
      <c r="BT2826" s="314"/>
      <c r="BU2826" s="314"/>
      <c r="BV2826" s="314"/>
      <c r="BW2826" s="314"/>
      <c r="BX2826" s="155"/>
    </row>
    <row r="2827" spans="1:76" ht="15.75" customHeight="1">
      <c r="A2827" s="25"/>
      <c r="B2827" s="39"/>
      <c r="C2827" s="155"/>
      <c r="D2827" s="155"/>
      <c r="E2827" s="40"/>
      <c r="F2827" s="314"/>
      <c r="H2827" s="315"/>
      <c r="I2827" s="315"/>
      <c r="BA2827" s="30"/>
      <c r="BB2827" s="155"/>
      <c r="BC2827" s="314"/>
      <c r="BD2827" s="314"/>
      <c r="BE2827" s="314"/>
      <c r="BF2827" s="314"/>
      <c r="BG2827" s="314"/>
      <c r="BH2827" s="314"/>
      <c r="BI2827" s="314"/>
      <c r="BJ2827" s="314"/>
      <c r="BK2827" s="40"/>
      <c r="BL2827" s="40"/>
      <c r="BM2827" s="40"/>
      <c r="BN2827" s="40"/>
      <c r="BO2827" s="40"/>
      <c r="BP2827" s="155"/>
      <c r="BQ2827" s="314"/>
      <c r="BR2827" s="314"/>
      <c r="BS2827" s="314"/>
      <c r="BT2827" s="314"/>
      <c r="BU2827" s="314"/>
      <c r="BV2827" s="314"/>
      <c r="BW2827" s="314"/>
      <c r="BX2827" s="155"/>
    </row>
    <row r="2828" spans="1:76" ht="15.75" customHeight="1">
      <c r="A2828" s="25"/>
      <c r="B2828" s="39"/>
      <c r="C2828" s="155"/>
      <c r="D2828" s="155"/>
      <c r="E2828" s="40"/>
      <c r="F2828" s="314"/>
      <c r="H2828" s="315"/>
      <c r="I2828" s="315"/>
      <c r="BA2828" s="30"/>
      <c r="BB2828" s="155"/>
      <c r="BC2828" s="314"/>
      <c r="BD2828" s="314"/>
      <c r="BE2828" s="314"/>
      <c r="BF2828" s="314"/>
      <c r="BG2828" s="314"/>
      <c r="BH2828" s="314"/>
      <c r="BI2828" s="314"/>
      <c r="BJ2828" s="314"/>
      <c r="BK2828" s="40"/>
      <c r="BL2828" s="40"/>
      <c r="BM2828" s="40"/>
      <c r="BN2828" s="40"/>
      <c r="BO2828" s="40"/>
      <c r="BP2828" s="155"/>
      <c r="BQ2828" s="314"/>
      <c r="BR2828" s="314"/>
      <c r="BS2828" s="314"/>
      <c r="BT2828" s="314"/>
      <c r="BU2828" s="314"/>
      <c r="BV2828" s="314"/>
      <c r="BW2828" s="314"/>
      <c r="BX2828" s="155"/>
    </row>
    <row r="2829" spans="1:76" ht="15.75" customHeight="1">
      <c r="A2829" s="25"/>
      <c r="B2829" s="39"/>
      <c r="C2829" s="155"/>
      <c r="D2829" s="155"/>
      <c r="E2829" s="40"/>
      <c r="F2829" s="314"/>
      <c r="H2829" s="315"/>
      <c r="I2829" s="315"/>
      <c r="BA2829" s="30"/>
      <c r="BB2829" s="155"/>
      <c r="BC2829" s="314"/>
      <c r="BD2829" s="314"/>
      <c r="BE2829" s="314"/>
      <c r="BF2829" s="314"/>
      <c r="BG2829" s="314"/>
      <c r="BH2829" s="314"/>
      <c r="BI2829" s="314"/>
      <c r="BJ2829" s="314"/>
      <c r="BK2829" s="40"/>
      <c r="BL2829" s="40"/>
      <c r="BM2829" s="40"/>
      <c r="BN2829" s="40"/>
      <c r="BO2829" s="40"/>
      <c r="BP2829" s="155"/>
      <c r="BQ2829" s="314"/>
      <c r="BR2829" s="314"/>
      <c r="BS2829" s="314"/>
      <c r="BT2829" s="314"/>
      <c r="BU2829" s="314"/>
      <c r="BV2829" s="314"/>
      <c r="BW2829" s="314"/>
      <c r="BX2829" s="155"/>
    </row>
    <row r="2830" spans="1:76" ht="15.75" customHeight="1">
      <c r="A2830" s="25"/>
      <c r="B2830" s="39"/>
      <c r="C2830" s="155"/>
      <c r="D2830" s="155"/>
      <c r="E2830" s="40"/>
      <c r="F2830" s="314"/>
      <c r="H2830" s="315"/>
      <c r="I2830" s="315"/>
      <c r="BA2830" s="30"/>
      <c r="BB2830" s="155"/>
      <c r="BC2830" s="314"/>
      <c r="BD2830" s="314"/>
      <c r="BE2830" s="314"/>
      <c r="BF2830" s="314"/>
      <c r="BG2830" s="314"/>
      <c r="BH2830" s="314"/>
      <c r="BI2830" s="314"/>
      <c r="BJ2830" s="314"/>
      <c r="BK2830" s="40"/>
      <c r="BL2830" s="40"/>
      <c r="BM2830" s="40"/>
      <c r="BN2830" s="40"/>
      <c r="BO2830" s="40"/>
      <c r="BP2830" s="155"/>
      <c r="BQ2830" s="314"/>
      <c r="BR2830" s="314"/>
      <c r="BS2830" s="314"/>
      <c r="BT2830" s="314"/>
      <c r="BU2830" s="314"/>
      <c r="BV2830" s="314"/>
      <c r="BW2830" s="314"/>
      <c r="BX2830" s="155"/>
    </row>
    <row r="2831" spans="1:76" ht="15.75" customHeight="1">
      <c r="A2831" s="25"/>
      <c r="B2831" s="39"/>
      <c r="C2831" s="155"/>
      <c r="D2831" s="155"/>
      <c r="E2831" s="40"/>
      <c r="F2831" s="314"/>
      <c r="H2831" s="315"/>
      <c r="I2831" s="315"/>
      <c r="BA2831" s="30"/>
      <c r="BB2831" s="155"/>
      <c r="BC2831" s="314"/>
      <c r="BD2831" s="314"/>
      <c r="BE2831" s="314"/>
      <c r="BF2831" s="314"/>
      <c r="BG2831" s="314"/>
      <c r="BH2831" s="314"/>
      <c r="BI2831" s="314"/>
      <c r="BJ2831" s="314"/>
      <c r="BK2831" s="40"/>
      <c r="BL2831" s="40"/>
      <c r="BM2831" s="40"/>
      <c r="BN2831" s="40"/>
      <c r="BO2831" s="40"/>
      <c r="BP2831" s="155"/>
      <c r="BQ2831" s="314"/>
      <c r="BR2831" s="314"/>
      <c r="BS2831" s="314"/>
      <c r="BT2831" s="314"/>
      <c r="BU2831" s="314"/>
      <c r="BV2831" s="314"/>
      <c r="BW2831" s="314"/>
      <c r="BX2831" s="155"/>
    </row>
    <row r="2832" spans="1:76" ht="15.75" customHeight="1">
      <c r="A2832" s="25"/>
      <c r="B2832" s="39"/>
      <c r="C2832" s="155"/>
      <c r="D2832" s="155"/>
      <c r="E2832" s="40"/>
      <c r="F2832" s="314"/>
      <c r="H2832" s="315"/>
      <c r="I2832" s="315"/>
      <c r="BA2832" s="30"/>
      <c r="BB2832" s="155"/>
      <c r="BC2832" s="314"/>
      <c r="BD2832" s="314"/>
      <c r="BE2832" s="314"/>
      <c r="BF2832" s="314"/>
      <c r="BG2832" s="314"/>
      <c r="BH2832" s="314"/>
      <c r="BI2832" s="314"/>
      <c r="BJ2832" s="314"/>
      <c r="BK2832" s="40"/>
      <c r="BL2832" s="40"/>
      <c r="BM2832" s="40"/>
      <c r="BN2832" s="40"/>
      <c r="BO2832" s="40"/>
      <c r="BP2832" s="155"/>
      <c r="BQ2832" s="314"/>
      <c r="BR2832" s="314"/>
      <c r="BS2832" s="314"/>
      <c r="BT2832" s="314"/>
      <c r="BU2832" s="314"/>
      <c r="BV2832" s="314"/>
      <c r="BW2832" s="314"/>
      <c r="BX2832" s="155"/>
    </row>
    <row r="2833" spans="1:76" ht="15.75" customHeight="1">
      <c r="A2833" s="25"/>
      <c r="B2833" s="39"/>
      <c r="C2833" s="155"/>
      <c r="D2833" s="155"/>
      <c r="E2833" s="40"/>
      <c r="F2833" s="314"/>
      <c r="H2833" s="315"/>
      <c r="I2833" s="315"/>
      <c r="BA2833" s="30"/>
      <c r="BB2833" s="155"/>
      <c r="BC2833" s="314"/>
      <c r="BD2833" s="314"/>
      <c r="BE2833" s="314"/>
      <c r="BF2833" s="314"/>
      <c r="BG2833" s="314"/>
      <c r="BH2833" s="314"/>
      <c r="BI2833" s="314"/>
      <c r="BJ2833" s="314"/>
      <c r="BK2833" s="40"/>
      <c r="BL2833" s="40"/>
      <c r="BM2833" s="40"/>
      <c r="BN2833" s="40"/>
      <c r="BO2833" s="40"/>
      <c r="BP2833" s="155"/>
      <c r="BQ2833" s="314"/>
      <c r="BR2833" s="314"/>
      <c r="BS2833" s="314"/>
      <c r="BT2833" s="314"/>
      <c r="BU2833" s="314"/>
      <c r="BV2833" s="314"/>
      <c r="BW2833" s="314"/>
      <c r="BX2833" s="155"/>
    </row>
    <row r="2834" spans="1:76" ht="15.75" customHeight="1">
      <c r="A2834" s="25"/>
      <c r="B2834" s="39"/>
      <c r="C2834" s="155"/>
      <c r="D2834" s="155"/>
      <c r="E2834" s="40"/>
      <c r="F2834" s="314"/>
      <c r="H2834" s="315"/>
      <c r="I2834" s="315"/>
      <c r="BA2834" s="30"/>
      <c r="BB2834" s="155"/>
      <c r="BC2834" s="314"/>
      <c r="BD2834" s="314"/>
      <c r="BE2834" s="314"/>
      <c r="BF2834" s="314"/>
      <c r="BG2834" s="314"/>
      <c r="BH2834" s="314"/>
      <c r="BI2834" s="314"/>
      <c r="BJ2834" s="314"/>
      <c r="BK2834" s="40"/>
      <c r="BL2834" s="40"/>
      <c r="BM2834" s="40"/>
      <c r="BN2834" s="40"/>
      <c r="BO2834" s="40"/>
      <c r="BP2834" s="155"/>
      <c r="BQ2834" s="314"/>
      <c r="BR2834" s="314"/>
      <c r="BS2834" s="314"/>
      <c r="BT2834" s="314"/>
      <c r="BU2834" s="314"/>
      <c r="BV2834" s="314"/>
      <c r="BW2834" s="314"/>
      <c r="BX2834" s="155"/>
    </row>
    <row r="2835" spans="1:76" ht="15.75" customHeight="1">
      <c r="A2835" s="25"/>
      <c r="B2835" s="39"/>
      <c r="C2835" s="155"/>
      <c r="D2835" s="155"/>
      <c r="E2835" s="40"/>
      <c r="F2835" s="314"/>
      <c r="H2835" s="315"/>
      <c r="I2835" s="315"/>
      <c r="BA2835" s="30"/>
      <c r="BB2835" s="155"/>
      <c r="BC2835" s="314"/>
      <c r="BD2835" s="314"/>
      <c r="BE2835" s="314"/>
      <c r="BF2835" s="314"/>
      <c r="BG2835" s="314"/>
      <c r="BH2835" s="314"/>
      <c r="BI2835" s="314"/>
      <c r="BJ2835" s="314"/>
      <c r="BK2835" s="40"/>
      <c r="BL2835" s="40"/>
      <c r="BM2835" s="40"/>
      <c r="BN2835" s="40"/>
      <c r="BO2835" s="40"/>
      <c r="BP2835" s="155"/>
      <c r="BQ2835" s="314"/>
      <c r="BR2835" s="314"/>
      <c r="BS2835" s="314"/>
      <c r="BT2835" s="314"/>
      <c r="BU2835" s="314"/>
      <c r="BV2835" s="314"/>
      <c r="BW2835" s="314"/>
      <c r="BX2835" s="155"/>
    </row>
    <row r="2836" spans="1:76" ht="15.75" customHeight="1">
      <c r="A2836" s="25"/>
      <c r="B2836" s="39"/>
      <c r="C2836" s="155"/>
      <c r="D2836" s="155"/>
      <c r="E2836" s="40"/>
      <c r="F2836" s="314"/>
      <c r="H2836" s="315"/>
      <c r="I2836" s="315"/>
      <c r="BA2836" s="30"/>
      <c r="BB2836" s="155"/>
      <c r="BC2836" s="322"/>
      <c r="BD2836" s="322"/>
      <c r="BE2836" s="322"/>
      <c r="BF2836" s="322"/>
      <c r="BG2836" s="322"/>
      <c r="BH2836" s="322"/>
      <c r="BI2836" s="322"/>
      <c r="BJ2836" s="322"/>
      <c r="BK2836" s="341"/>
      <c r="BL2836" s="40"/>
      <c r="BM2836" s="40"/>
      <c r="BN2836" s="40"/>
      <c r="BO2836" s="40"/>
      <c r="BP2836" s="155"/>
      <c r="BQ2836" s="314"/>
      <c r="BR2836" s="314"/>
      <c r="BS2836" s="314"/>
      <c r="BT2836" s="314"/>
      <c r="BU2836" s="314"/>
      <c r="BV2836" s="314"/>
      <c r="BW2836" s="314"/>
      <c r="BX2836" s="155"/>
    </row>
    <row r="2837" spans="1:76" ht="15.75" customHeight="1">
      <c r="A2837" s="25"/>
      <c r="B2837" s="39"/>
      <c r="C2837" s="155"/>
      <c r="D2837" s="155"/>
      <c r="E2837" s="40"/>
      <c r="F2837" s="314"/>
      <c r="H2837" s="315"/>
      <c r="I2837" s="315"/>
      <c r="BA2837" s="30"/>
      <c r="BB2837" s="155"/>
      <c r="BC2837" s="314"/>
      <c r="BD2837" s="314"/>
      <c r="BE2837" s="314"/>
      <c r="BF2837" s="314"/>
      <c r="BG2837" s="314"/>
      <c r="BH2837" s="314"/>
      <c r="BI2837" s="314"/>
      <c r="BJ2837" s="314"/>
      <c r="BK2837" s="40"/>
      <c r="BL2837" s="40"/>
      <c r="BM2837" s="40"/>
      <c r="BN2837" s="40"/>
      <c r="BO2837" s="40"/>
      <c r="BP2837" s="155"/>
      <c r="BQ2837" s="314"/>
      <c r="BR2837" s="314"/>
      <c r="BS2837" s="314"/>
      <c r="BT2837" s="314"/>
      <c r="BU2837" s="314"/>
      <c r="BV2837" s="314"/>
      <c r="BW2837" s="314"/>
      <c r="BX2837" s="155"/>
    </row>
    <row r="2838" spans="1:76" ht="15.75" customHeight="1">
      <c r="A2838" s="25"/>
      <c r="B2838" s="39"/>
      <c r="C2838" s="155"/>
      <c r="D2838" s="155"/>
      <c r="E2838" s="40"/>
      <c r="F2838" s="314"/>
      <c r="H2838" s="315"/>
      <c r="I2838" s="315"/>
      <c r="BA2838" s="30"/>
      <c r="BB2838" s="155"/>
      <c r="BC2838" s="314"/>
      <c r="BD2838" s="314"/>
      <c r="BE2838" s="314"/>
      <c r="BF2838" s="314"/>
      <c r="BG2838" s="314"/>
      <c r="BH2838" s="314"/>
      <c r="BI2838" s="314"/>
      <c r="BJ2838" s="314"/>
      <c r="BK2838" s="40"/>
      <c r="BL2838" s="40"/>
      <c r="BM2838" s="40"/>
      <c r="BN2838" s="40"/>
      <c r="BO2838" s="40"/>
      <c r="BP2838" s="155"/>
      <c r="BQ2838" s="314"/>
      <c r="BR2838" s="314"/>
      <c r="BS2838" s="314"/>
      <c r="BT2838" s="314"/>
      <c r="BU2838" s="314"/>
      <c r="BV2838" s="314"/>
      <c r="BW2838" s="314"/>
      <c r="BX2838" s="155"/>
    </row>
    <row r="2839" spans="1:76" ht="15.75" customHeight="1">
      <c r="A2839" s="25"/>
      <c r="B2839" s="39"/>
      <c r="C2839" s="155"/>
      <c r="D2839" s="155"/>
      <c r="E2839" s="40"/>
      <c r="F2839" s="314"/>
      <c r="H2839" s="315"/>
      <c r="I2839" s="315"/>
      <c r="BA2839" s="30"/>
      <c r="BB2839" s="155"/>
      <c r="BC2839" s="314"/>
      <c r="BD2839" s="314"/>
      <c r="BE2839" s="314"/>
      <c r="BF2839" s="314"/>
      <c r="BG2839" s="314"/>
      <c r="BH2839" s="314"/>
      <c r="BI2839" s="314"/>
      <c r="BJ2839" s="314"/>
      <c r="BK2839" s="40"/>
      <c r="BL2839" s="40"/>
      <c r="BM2839" s="40"/>
      <c r="BN2839" s="40"/>
      <c r="BO2839" s="40"/>
      <c r="BP2839" s="155"/>
      <c r="BQ2839" s="314"/>
      <c r="BR2839" s="314"/>
      <c r="BS2839" s="314"/>
      <c r="BT2839" s="314"/>
      <c r="BU2839" s="314"/>
      <c r="BV2839" s="314"/>
      <c r="BW2839" s="314"/>
      <c r="BX2839" s="155"/>
    </row>
    <row r="2840" spans="1:76" ht="15.75" customHeight="1">
      <c r="A2840" s="25"/>
      <c r="B2840" s="39"/>
      <c r="C2840" s="155"/>
      <c r="D2840" s="155"/>
      <c r="E2840" s="40"/>
      <c r="F2840" s="314"/>
      <c r="H2840" s="315"/>
      <c r="I2840" s="315"/>
      <c r="BA2840" s="30"/>
      <c r="BB2840" s="155"/>
      <c r="BC2840" s="314"/>
      <c r="BD2840" s="314"/>
      <c r="BE2840" s="314"/>
      <c r="BF2840" s="314"/>
      <c r="BG2840" s="314"/>
      <c r="BH2840" s="314"/>
      <c r="BI2840" s="314"/>
      <c r="BJ2840" s="314"/>
      <c r="BK2840" s="40"/>
      <c r="BL2840" s="40"/>
      <c r="BM2840" s="40"/>
      <c r="BN2840" s="40"/>
      <c r="BO2840" s="40"/>
      <c r="BP2840" s="155"/>
      <c r="BQ2840" s="314"/>
      <c r="BR2840" s="314"/>
      <c r="BS2840" s="314"/>
      <c r="BT2840" s="314"/>
      <c r="BU2840" s="314"/>
      <c r="BV2840" s="314"/>
      <c r="BW2840" s="314"/>
      <c r="BX2840" s="155"/>
    </row>
    <row r="2841" spans="1:76" ht="15.75" customHeight="1">
      <c r="A2841" s="25"/>
      <c r="B2841" s="39"/>
      <c r="C2841" s="155"/>
      <c r="D2841" s="155"/>
      <c r="E2841" s="40"/>
      <c r="F2841" s="314"/>
      <c r="H2841" s="315"/>
      <c r="I2841" s="315"/>
      <c r="BA2841" s="30"/>
      <c r="BB2841" s="155"/>
      <c r="BC2841" s="314"/>
      <c r="BD2841" s="314"/>
      <c r="BE2841" s="314"/>
      <c r="BF2841" s="314"/>
      <c r="BG2841" s="314"/>
      <c r="BH2841" s="314"/>
      <c r="BI2841" s="314"/>
      <c r="BJ2841" s="314"/>
      <c r="BK2841" s="40"/>
      <c r="BL2841" s="40"/>
      <c r="BM2841" s="40"/>
      <c r="BN2841" s="40"/>
      <c r="BO2841" s="40"/>
      <c r="BP2841" s="155"/>
      <c r="BQ2841" s="314"/>
      <c r="BR2841" s="314"/>
      <c r="BS2841" s="314"/>
      <c r="BT2841" s="314"/>
      <c r="BU2841" s="314"/>
      <c r="BV2841" s="314"/>
      <c r="BW2841" s="314"/>
      <c r="BX2841" s="155"/>
    </row>
    <row r="2842" spans="1:76" ht="15.75" customHeight="1">
      <c r="A2842" s="25"/>
      <c r="B2842" s="39"/>
      <c r="C2842" s="155"/>
      <c r="D2842" s="155"/>
      <c r="E2842" s="40"/>
      <c r="F2842" s="314"/>
      <c r="H2842" s="315"/>
      <c r="I2842" s="315"/>
      <c r="BA2842" s="30"/>
      <c r="BB2842" s="155"/>
      <c r="BC2842" s="314"/>
      <c r="BD2842" s="314"/>
      <c r="BE2842" s="314"/>
      <c r="BF2842" s="314"/>
      <c r="BG2842" s="314"/>
      <c r="BH2842" s="314"/>
      <c r="BI2842" s="314"/>
      <c r="BJ2842" s="314"/>
      <c r="BK2842" s="40"/>
      <c r="BL2842" s="40"/>
      <c r="BM2842" s="40"/>
      <c r="BN2842" s="40"/>
      <c r="BO2842" s="40"/>
      <c r="BP2842" s="155"/>
      <c r="BQ2842" s="314"/>
      <c r="BR2842" s="314"/>
      <c r="BS2842" s="314"/>
      <c r="BT2842" s="314"/>
      <c r="BU2842" s="314"/>
      <c r="BV2842" s="314"/>
      <c r="BW2842" s="314"/>
      <c r="BX2842" s="155"/>
    </row>
    <row r="2843" spans="1:76" ht="15.75" customHeight="1">
      <c r="A2843" s="25"/>
      <c r="B2843" s="39"/>
      <c r="C2843" s="155"/>
      <c r="D2843" s="155"/>
      <c r="E2843" s="40"/>
      <c r="F2843" s="314"/>
      <c r="H2843" s="315"/>
      <c r="I2843" s="315"/>
      <c r="BA2843" s="30"/>
      <c r="BB2843" s="155"/>
      <c r="BC2843" s="314"/>
      <c r="BD2843" s="314"/>
      <c r="BE2843" s="314"/>
      <c r="BF2843" s="314"/>
      <c r="BG2843" s="314"/>
      <c r="BH2843" s="314"/>
      <c r="BI2843" s="314"/>
      <c r="BJ2843" s="314"/>
      <c r="BK2843" s="40"/>
      <c r="BL2843" s="40"/>
      <c r="BM2843" s="40"/>
      <c r="BN2843" s="40"/>
      <c r="BO2843" s="40"/>
      <c r="BP2843" s="155"/>
      <c r="BQ2843" s="314"/>
      <c r="BR2843" s="314"/>
      <c r="BS2843" s="314"/>
      <c r="BT2843" s="314"/>
      <c r="BU2843" s="314"/>
      <c r="BV2843" s="314"/>
      <c r="BW2843" s="314"/>
      <c r="BX2843" s="155"/>
    </row>
    <row r="2844" spans="1:76" ht="15.75" customHeight="1">
      <c r="A2844" s="25"/>
      <c r="B2844" s="39"/>
      <c r="C2844" s="155"/>
      <c r="D2844" s="155"/>
      <c r="E2844" s="40"/>
      <c r="F2844" s="314"/>
      <c r="H2844" s="315"/>
      <c r="I2844" s="315"/>
      <c r="BA2844" s="30"/>
      <c r="BB2844" s="155"/>
      <c r="BC2844" s="314"/>
      <c r="BD2844" s="314"/>
      <c r="BE2844" s="314"/>
      <c r="BF2844" s="314"/>
      <c r="BG2844" s="314"/>
      <c r="BH2844" s="314"/>
      <c r="BI2844" s="314"/>
      <c r="BJ2844" s="314"/>
      <c r="BK2844" s="40"/>
      <c r="BL2844" s="40"/>
      <c r="BM2844" s="40"/>
      <c r="BN2844" s="40"/>
      <c r="BO2844" s="40"/>
      <c r="BP2844" s="155"/>
      <c r="BQ2844" s="314"/>
      <c r="BR2844" s="314"/>
      <c r="BS2844" s="314"/>
      <c r="BT2844" s="314"/>
      <c r="BU2844" s="314"/>
      <c r="BV2844" s="314"/>
      <c r="BW2844" s="314"/>
      <c r="BX2844" s="155"/>
    </row>
    <row r="2845" spans="1:76" ht="15.75" customHeight="1">
      <c r="A2845" s="25"/>
      <c r="B2845" s="39"/>
      <c r="C2845" s="155"/>
      <c r="D2845" s="155"/>
      <c r="E2845" s="40"/>
      <c r="F2845" s="314"/>
      <c r="H2845" s="315"/>
      <c r="I2845" s="315"/>
      <c r="BA2845" s="30"/>
      <c r="BB2845" s="155"/>
      <c r="BC2845" s="314"/>
      <c r="BD2845" s="314"/>
      <c r="BE2845" s="314"/>
      <c r="BF2845" s="314"/>
      <c r="BG2845" s="314"/>
      <c r="BH2845" s="314"/>
      <c r="BI2845" s="314"/>
      <c r="BJ2845" s="314"/>
      <c r="BK2845" s="40"/>
      <c r="BL2845" s="40"/>
      <c r="BM2845" s="40"/>
      <c r="BN2845" s="40"/>
      <c r="BO2845" s="40"/>
      <c r="BP2845" s="155"/>
      <c r="BQ2845" s="314"/>
      <c r="BR2845" s="314"/>
      <c r="BS2845" s="314"/>
      <c r="BT2845" s="314"/>
      <c r="BU2845" s="314"/>
      <c r="BV2845" s="314"/>
      <c r="BW2845" s="314"/>
      <c r="BX2845" s="155"/>
    </row>
    <row r="2846" spans="1:76" ht="15.75" customHeight="1">
      <c r="A2846" s="25"/>
      <c r="B2846" s="39"/>
      <c r="C2846" s="155"/>
      <c r="D2846" s="155"/>
      <c r="E2846" s="40"/>
      <c r="F2846" s="314"/>
      <c r="H2846" s="315"/>
      <c r="I2846" s="315"/>
      <c r="BA2846" s="30"/>
      <c r="BB2846" s="155"/>
      <c r="BC2846" s="314"/>
      <c r="BD2846" s="314"/>
      <c r="BE2846" s="314"/>
      <c r="BF2846" s="314"/>
      <c r="BG2846" s="314"/>
      <c r="BH2846" s="314"/>
      <c r="BI2846" s="314"/>
      <c r="BJ2846" s="314"/>
      <c r="BK2846" s="40"/>
      <c r="BL2846" s="40"/>
      <c r="BM2846" s="40"/>
      <c r="BN2846" s="40"/>
      <c r="BO2846" s="40"/>
      <c r="BP2846" s="155"/>
      <c r="BQ2846" s="314"/>
      <c r="BR2846" s="314"/>
      <c r="BS2846" s="314"/>
      <c r="BT2846" s="314"/>
      <c r="BU2846" s="314"/>
      <c r="BV2846" s="314"/>
      <c r="BW2846" s="314"/>
      <c r="BX2846" s="155"/>
    </row>
    <row r="2847" spans="1:76" ht="15.75" customHeight="1">
      <c r="A2847" s="25"/>
      <c r="B2847" s="39"/>
      <c r="C2847" s="155"/>
      <c r="D2847" s="155"/>
      <c r="E2847" s="40"/>
      <c r="F2847" s="314"/>
      <c r="H2847" s="315"/>
      <c r="I2847" s="315"/>
      <c r="BA2847" s="30"/>
      <c r="BB2847" s="155"/>
      <c r="BC2847" s="314"/>
      <c r="BD2847" s="314"/>
      <c r="BE2847" s="314"/>
      <c r="BF2847" s="314"/>
      <c r="BG2847" s="314"/>
      <c r="BH2847" s="314"/>
      <c r="BI2847" s="314"/>
      <c r="BJ2847" s="314"/>
      <c r="BK2847" s="40"/>
      <c r="BL2847" s="40"/>
      <c r="BM2847" s="40"/>
      <c r="BN2847" s="40"/>
      <c r="BO2847" s="40"/>
      <c r="BP2847" s="155"/>
      <c r="BQ2847" s="314"/>
      <c r="BR2847" s="314"/>
      <c r="BS2847" s="314"/>
      <c r="BT2847" s="314"/>
      <c r="BU2847" s="314"/>
      <c r="BV2847" s="314"/>
      <c r="BW2847" s="314"/>
      <c r="BX2847" s="155"/>
    </row>
    <row r="2848" spans="1:76" ht="15.75" customHeight="1">
      <c r="A2848" s="25"/>
      <c r="B2848" s="39"/>
      <c r="C2848" s="155"/>
      <c r="D2848" s="155"/>
      <c r="E2848" s="40"/>
      <c r="F2848" s="314"/>
      <c r="H2848" s="315"/>
      <c r="I2848" s="315"/>
      <c r="BA2848" s="30"/>
      <c r="BB2848" s="155"/>
      <c r="BC2848" s="314"/>
      <c r="BD2848" s="314"/>
      <c r="BE2848" s="314"/>
      <c r="BF2848" s="314"/>
      <c r="BG2848" s="314"/>
      <c r="BH2848" s="314"/>
      <c r="BI2848" s="314"/>
      <c r="BJ2848" s="314"/>
      <c r="BK2848" s="40"/>
      <c r="BL2848" s="40"/>
      <c r="BM2848" s="40"/>
      <c r="BN2848" s="40"/>
      <c r="BO2848" s="40"/>
      <c r="BP2848" s="155"/>
      <c r="BQ2848" s="314"/>
      <c r="BR2848" s="314"/>
      <c r="BS2848" s="314"/>
      <c r="BT2848" s="314"/>
      <c r="BU2848" s="314"/>
      <c r="BV2848" s="314"/>
      <c r="BW2848" s="314"/>
      <c r="BX2848" s="155"/>
    </row>
    <row r="2849" spans="1:76" ht="15.75" customHeight="1">
      <c r="A2849" s="25"/>
      <c r="B2849" s="39"/>
      <c r="C2849" s="155"/>
      <c r="D2849" s="155"/>
      <c r="E2849" s="40"/>
      <c r="F2849" s="314"/>
      <c r="H2849" s="315"/>
      <c r="I2849" s="315"/>
      <c r="BA2849" s="30"/>
      <c r="BB2849" s="155"/>
      <c r="BC2849" s="314"/>
      <c r="BD2849" s="314"/>
      <c r="BE2849" s="314"/>
      <c r="BF2849" s="314"/>
      <c r="BG2849" s="314"/>
      <c r="BH2849" s="314"/>
      <c r="BI2849" s="314"/>
      <c r="BJ2849" s="314"/>
      <c r="BK2849" s="40"/>
      <c r="BL2849" s="40"/>
      <c r="BM2849" s="40"/>
      <c r="BN2849" s="40"/>
      <c r="BO2849" s="40"/>
      <c r="BP2849" s="155"/>
      <c r="BQ2849" s="314"/>
      <c r="BR2849" s="314"/>
      <c r="BS2849" s="314"/>
      <c r="BT2849" s="314"/>
      <c r="BU2849" s="314"/>
      <c r="BV2849" s="314"/>
      <c r="BW2849" s="314"/>
      <c r="BX2849" s="155"/>
    </row>
    <row r="2850" spans="1:76" ht="15.75" customHeight="1">
      <c r="A2850" s="25"/>
      <c r="B2850" s="39"/>
      <c r="C2850" s="155"/>
      <c r="D2850" s="155"/>
      <c r="E2850" s="40"/>
      <c r="F2850" s="314"/>
      <c r="H2850" s="315"/>
      <c r="I2850" s="315"/>
      <c r="BA2850" s="30"/>
      <c r="BB2850" s="155"/>
      <c r="BC2850" s="314"/>
      <c r="BD2850" s="314"/>
      <c r="BE2850" s="314"/>
      <c r="BF2850" s="314"/>
      <c r="BG2850" s="314"/>
      <c r="BH2850" s="314"/>
      <c r="BI2850" s="314"/>
      <c r="BJ2850" s="314"/>
      <c r="BK2850" s="40"/>
      <c r="BL2850" s="40"/>
      <c r="BM2850" s="40"/>
      <c r="BN2850" s="40"/>
      <c r="BO2850" s="40"/>
      <c r="BP2850" s="155"/>
      <c r="BQ2850" s="314"/>
      <c r="BR2850" s="314"/>
      <c r="BS2850" s="314"/>
      <c r="BT2850" s="314"/>
      <c r="BU2850" s="314"/>
      <c r="BV2850" s="314"/>
      <c r="BW2850" s="314"/>
      <c r="BX2850" s="155"/>
    </row>
    <row r="2851" spans="1:76" ht="15.75" customHeight="1">
      <c r="A2851" s="25"/>
      <c r="B2851" s="39"/>
      <c r="C2851" s="155"/>
      <c r="D2851" s="155"/>
      <c r="E2851" s="40"/>
      <c r="F2851" s="314"/>
      <c r="H2851" s="315"/>
      <c r="I2851" s="315"/>
      <c r="BA2851" s="30"/>
      <c r="BB2851" s="155"/>
      <c r="BC2851" s="314"/>
      <c r="BD2851" s="314"/>
      <c r="BE2851" s="314"/>
      <c r="BF2851" s="314"/>
      <c r="BG2851" s="314"/>
      <c r="BH2851" s="314"/>
      <c r="BI2851" s="314"/>
      <c r="BJ2851" s="314"/>
      <c r="BK2851" s="40"/>
      <c r="BL2851" s="40"/>
      <c r="BM2851" s="40"/>
      <c r="BN2851" s="40"/>
      <c r="BO2851" s="40"/>
      <c r="BP2851" s="155"/>
      <c r="BQ2851" s="314"/>
      <c r="BR2851" s="314"/>
      <c r="BS2851" s="314"/>
      <c r="BT2851" s="314"/>
      <c r="BU2851" s="314"/>
      <c r="BV2851" s="314"/>
      <c r="BW2851" s="314"/>
      <c r="BX2851" s="155"/>
    </row>
    <row r="2852" spans="1:76" ht="15.75" customHeight="1">
      <c r="A2852" s="25"/>
      <c r="B2852" s="39"/>
      <c r="C2852" s="155"/>
      <c r="D2852" s="155"/>
      <c r="E2852" s="40"/>
      <c r="F2852" s="314"/>
      <c r="H2852" s="315"/>
      <c r="I2852" s="315"/>
      <c r="BA2852" s="30"/>
      <c r="BB2852" s="155"/>
      <c r="BC2852" s="314"/>
      <c r="BD2852" s="314"/>
      <c r="BE2852" s="314"/>
      <c r="BF2852" s="314"/>
      <c r="BG2852" s="314"/>
      <c r="BH2852" s="314"/>
      <c r="BI2852" s="314"/>
      <c r="BJ2852" s="314"/>
      <c r="BK2852" s="40"/>
      <c r="BL2852" s="40"/>
      <c r="BM2852" s="40"/>
      <c r="BN2852" s="40"/>
      <c r="BO2852" s="40"/>
      <c r="BP2852" s="155"/>
      <c r="BQ2852" s="314"/>
      <c r="BR2852" s="314"/>
      <c r="BS2852" s="314"/>
      <c r="BT2852" s="314"/>
      <c r="BU2852" s="314"/>
      <c r="BV2852" s="314"/>
      <c r="BW2852" s="314"/>
      <c r="BX2852" s="155"/>
    </row>
    <row r="2853" spans="1:76" ht="15.75" customHeight="1">
      <c r="A2853" s="25"/>
      <c r="B2853" s="39"/>
      <c r="C2853" s="155"/>
      <c r="D2853" s="155"/>
      <c r="E2853" s="40"/>
      <c r="F2853" s="314"/>
      <c r="H2853" s="315"/>
      <c r="I2853" s="315"/>
      <c r="BA2853" s="30"/>
      <c r="BB2853" s="155"/>
      <c r="BC2853" s="314"/>
      <c r="BD2853" s="314"/>
      <c r="BE2853" s="314"/>
      <c r="BF2853" s="314"/>
      <c r="BG2853" s="314"/>
      <c r="BH2853" s="314"/>
      <c r="BI2853" s="314"/>
      <c r="BJ2853" s="314"/>
      <c r="BK2853" s="40"/>
      <c r="BL2853" s="40"/>
      <c r="BM2853" s="40"/>
      <c r="BN2853" s="40"/>
      <c r="BO2853" s="40"/>
      <c r="BP2853" s="155"/>
      <c r="BQ2853" s="314"/>
      <c r="BR2853" s="314"/>
      <c r="BS2853" s="314"/>
      <c r="BT2853" s="314"/>
      <c r="BU2853" s="314"/>
      <c r="BV2853" s="314"/>
      <c r="BW2853" s="314"/>
      <c r="BX2853" s="155"/>
    </row>
    <row r="2854" spans="1:76" ht="15.75" customHeight="1">
      <c r="A2854" s="25"/>
      <c r="B2854" s="39"/>
      <c r="C2854" s="155"/>
      <c r="D2854" s="155"/>
      <c r="E2854" s="40"/>
      <c r="F2854" s="314"/>
      <c r="H2854" s="315"/>
      <c r="I2854" s="315"/>
      <c r="BA2854" s="30"/>
      <c r="BB2854" s="155"/>
      <c r="BC2854" s="314"/>
      <c r="BD2854" s="314"/>
      <c r="BE2854" s="314"/>
      <c r="BF2854" s="314"/>
      <c r="BG2854" s="314"/>
      <c r="BH2854" s="314"/>
      <c r="BI2854" s="314"/>
      <c r="BJ2854" s="314"/>
      <c r="BK2854" s="40"/>
      <c r="BL2854" s="40"/>
      <c r="BM2854" s="40"/>
      <c r="BN2854" s="40"/>
      <c r="BO2854" s="40"/>
      <c r="BP2854" s="155"/>
      <c r="BQ2854" s="314"/>
      <c r="BR2854" s="314"/>
      <c r="BS2854" s="314"/>
      <c r="BT2854" s="314"/>
      <c r="BU2854" s="314"/>
      <c r="BV2854" s="314"/>
      <c r="BW2854" s="314"/>
      <c r="BX2854" s="155"/>
    </row>
    <row r="2855" spans="1:76" ht="15.75" customHeight="1">
      <c r="A2855" s="25"/>
      <c r="B2855" s="39"/>
      <c r="C2855" s="155"/>
      <c r="D2855" s="155"/>
      <c r="E2855" s="40"/>
      <c r="F2855" s="314"/>
      <c r="H2855" s="315"/>
      <c r="I2855" s="315"/>
      <c r="BA2855" s="30"/>
      <c r="BB2855" s="155"/>
      <c r="BC2855" s="314"/>
      <c r="BD2855" s="314"/>
      <c r="BE2855" s="314"/>
      <c r="BF2855" s="314"/>
      <c r="BG2855" s="314"/>
      <c r="BH2855" s="314"/>
      <c r="BI2855" s="314"/>
      <c r="BJ2855" s="314"/>
      <c r="BK2855" s="40"/>
      <c r="BL2855" s="40"/>
      <c r="BM2855" s="40"/>
      <c r="BN2855" s="40"/>
      <c r="BO2855" s="40"/>
      <c r="BP2855" s="155"/>
      <c r="BQ2855" s="314"/>
      <c r="BR2855" s="314"/>
      <c r="BS2855" s="314"/>
      <c r="BT2855" s="314"/>
      <c r="BU2855" s="314"/>
      <c r="BV2855" s="314"/>
      <c r="BW2855" s="314"/>
      <c r="BX2855" s="155"/>
    </row>
    <row r="2856" spans="1:76" ht="15.75" customHeight="1">
      <c r="A2856" s="25"/>
      <c r="B2856" s="39"/>
      <c r="C2856" s="155"/>
      <c r="D2856" s="155"/>
      <c r="E2856" s="40"/>
      <c r="F2856" s="314"/>
      <c r="H2856" s="315"/>
      <c r="I2856" s="315"/>
      <c r="BA2856" s="30"/>
      <c r="BB2856" s="155"/>
      <c r="BC2856" s="314"/>
      <c r="BD2856" s="314"/>
      <c r="BE2856" s="314"/>
      <c r="BF2856" s="314"/>
      <c r="BG2856" s="314"/>
      <c r="BH2856" s="314"/>
      <c r="BI2856" s="314"/>
      <c r="BJ2856" s="314"/>
      <c r="BK2856" s="40"/>
      <c r="BL2856" s="40"/>
      <c r="BM2856" s="40"/>
      <c r="BN2856" s="40"/>
      <c r="BO2856" s="40"/>
      <c r="BP2856" s="155"/>
      <c r="BQ2856" s="314"/>
      <c r="BR2856" s="314"/>
      <c r="BS2856" s="314"/>
      <c r="BT2856" s="314"/>
      <c r="BU2856" s="314"/>
      <c r="BV2856" s="314"/>
      <c r="BW2856" s="314"/>
      <c r="BX2856" s="155"/>
    </row>
    <row r="2857" spans="1:76" ht="15.75" customHeight="1">
      <c r="A2857" s="25"/>
      <c r="B2857" s="39"/>
      <c r="C2857" s="155"/>
      <c r="D2857" s="155"/>
      <c r="E2857" s="40"/>
      <c r="F2857" s="314"/>
      <c r="H2857" s="315"/>
      <c r="I2857" s="315"/>
      <c r="BA2857" s="30"/>
      <c r="BB2857" s="155"/>
      <c r="BC2857" s="314"/>
      <c r="BD2857" s="314"/>
      <c r="BE2857" s="314"/>
      <c r="BF2857" s="314"/>
      <c r="BG2857" s="314"/>
      <c r="BH2857" s="314"/>
      <c r="BI2857" s="314"/>
      <c r="BJ2857" s="314"/>
      <c r="BK2857" s="40"/>
      <c r="BL2857" s="40"/>
      <c r="BM2857" s="40"/>
      <c r="BN2857" s="40"/>
      <c r="BO2857" s="40"/>
      <c r="BP2857" s="155"/>
      <c r="BQ2857" s="314"/>
      <c r="BR2857" s="314"/>
      <c r="BS2857" s="314"/>
      <c r="BT2857" s="314"/>
      <c r="BU2857" s="314"/>
      <c r="BV2857" s="314"/>
      <c r="BW2857" s="314"/>
      <c r="BX2857" s="155"/>
    </row>
    <row r="2858" spans="1:76" ht="15.75" customHeight="1">
      <c r="A2858" s="25"/>
      <c r="B2858" s="39"/>
      <c r="C2858" s="155"/>
      <c r="D2858" s="155"/>
      <c r="E2858" s="40"/>
      <c r="F2858" s="314"/>
      <c r="H2858" s="315"/>
      <c r="I2858" s="315"/>
      <c r="BA2858" s="30"/>
      <c r="BB2858" s="155"/>
      <c r="BC2858" s="314"/>
      <c r="BD2858" s="314"/>
      <c r="BE2858" s="314"/>
      <c r="BF2858" s="314"/>
      <c r="BG2858" s="314"/>
      <c r="BH2858" s="314"/>
      <c r="BI2858" s="314"/>
      <c r="BJ2858" s="314"/>
      <c r="BK2858" s="40"/>
      <c r="BL2858" s="40"/>
      <c r="BM2858" s="40"/>
      <c r="BN2858" s="40"/>
      <c r="BO2858" s="40"/>
      <c r="BP2858" s="155"/>
      <c r="BQ2858" s="314"/>
      <c r="BR2858" s="314"/>
      <c r="BS2858" s="314"/>
      <c r="BT2858" s="314"/>
      <c r="BU2858" s="314"/>
      <c r="BV2858" s="314"/>
      <c r="BW2858" s="314"/>
      <c r="BX2858" s="155"/>
    </row>
    <row r="2859" spans="1:76" ht="15.75" customHeight="1">
      <c r="A2859" s="25"/>
      <c r="B2859" s="39"/>
      <c r="C2859" s="155"/>
      <c r="D2859" s="155"/>
      <c r="E2859" s="40"/>
      <c r="F2859" s="314"/>
      <c r="H2859" s="315"/>
      <c r="I2859" s="315"/>
      <c r="BA2859" s="30"/>
      <c r="BB2859" s="155"/>
      <c r="BC2859" s="314"/>
      <c r="BD2859" s="314"/>
      <c r="BE2859" s="314"/>
      <c r="BF2859" s="314"/>
      <c r="BG2859" s="314"/>
      <c r="BH2859" s="314"/>
      <c r="BI2859" s="314"/>
      <c r="BJ2859" s="314"/>
      <c r="BK2859" s="40"/>
      <c r="BL2859" s="40"/>
      <c r="BM2859" s="40"/>
      <c r="BN2859" s="40"/>
      <c r="BO2859" s="40"/>
      <c r="BP2859" s="155"/>
      <c r="BQ2859" s="314"/>
      <c r="BR2859" s="314"/>
      <c r="BS2859" s="314"/>
      <c r="BT2859" s="314"/>
      <c r="BU2859" s="314"/>
      <c r="BV2859" s="314"/>
      <c r="BW2859" s="314"/>
      <c r="BX2859" s="155"/>
    </row>
    <row r="2860" spans="1:76" ht="15.75" customHeight="1">
      <c r="A2860" s="25"/>
      <c r="B2860" s="39"/>
      <c r="C2860" s="155"/>
      <c r="D2860" s="155"/>
      <c r="E2860" s="40"/>
      <c r="F2860" s="314"/>
      <c r="H2860" s="315"/>
      <c r="I2860" s="315"/>
      <c r="BA2860" s="30"/>
      <c r="BB2860" s="155"/>
      <c r="BC2860" s="314"/>
      <c r="BD2860" s="314"/>
      <c r="BE2860" s="314"/>
      <c r="BF2860" s="314"/>
      <c r="BG2860" s="314"/>
      <c r="BH2860" s="314"/>
      <c r="BI2860" s="314"/>
      <c r="BJ2860" s="314"/>
      <c r="BK2860" s="40"/>
      <c r="BL2860" s="40"/>
      <c r="BM2860" s="40"/>
      <c r="BN2860" s="40"/>
      <c r="BO2860" s="40"/>
      <c r="BP2860" s="155"/>
      <c r="BQ2860" s="314"/>
      <c r="BR2860" s="314"/>
      <c r="BS2860" s="314"/>
      <c r="BT2860" s="314"/>
      <c r="BU2860" s="314"/>
      <c r="BV2860" s="314"/>
      <c r="BW2860" s="314"/>
      <c r="BX2860" s="155"/>
    </row>
    <row r="2861" spans="1:76" ht="15.75" customHeight="1">
      <c r="A2861" s="25"/>
      <c r="B2861" s="39"/>
      <c r="C2861" s="155"/>
      <c r="D2861" s="155"/>
      <c r="E2861" s="40"/>
      <c r="F2861" s="314"/>
      <c r="H2861" s="315"/>
      <c r="I2861" s="315"/>
      <c r="BA2861" s="30"/>
      <c r="BB2861" s="155"/>
      <c r="BC2861" s="314"/>
      <c r="BD2861" s="314"/>
      <c r="BE2861" s="314"/>
      <c r="BF2861" s="314"/>
      <c r="BG2861" s="314"/>
      <c r="BH2861" s="314"/>
      <c r="BI2861" s="314"/>
      <c r="BJ2861" s="314"/>
      <c r="BK2861" s="40"/>
      <c r="BL2861" s="40"/>
      <c r="BM2861" s="40"/>
      <c r="BN2861" s="40"/>
      <c r="BO2861" s="40"/>
      <c r="BP2861" s="155"/>
      <c r="BQ2861" s="314"/>
      <c r="BR2861" s="314"/>
      <c r="BS2861" s="314"/>
      <c r="BT2861" s="314"/>
      <c r="BU2861" s="314"/>
      <c r="BV2861" s="314"/>
      <c r="BW2861" s="314"/>
      <c r="BX2861" s="155"/>
    </row>
    <row r="2862" spans="1:76" ht="15.75" customHeight="1">
      <c r="A2862" s="25"/>
      <c r="B2862" s="39"/>
      <c r="C2862" s="155"/>
      <c r="D2862" s="155"/>
      <c r="E2862" s="40"/>
      <c r="F2862" s="314"/>
      <c r="H2862" s="315"/>
      <c r="I2862" s="315"/>
      <c r="BA2862" s="30"/>
      <c r="BB2862" s="155"/>
      <c r="BC2862" s="314"/>
      <c r="BD2862" s="314"/>
      <c r="BE2862" s="314"/>
      <c r="BF2862" s="314"/>
      <c r="BG2862" s="314"/>
      <c r="BH2862" s="314"/>
      <c r="BI2862" s="314"/>
      <c r="BJ2862" s="314"/>
      <c r="BK2862" s="40"/>
      <c r="BL2862" s="40"/>
      <c r="BM2862" s="40"/>
      <c r="BN2862" s="40"/>
      <c r="BO2862" s="40"/>
      <c r="BP2862" s="155"/>
      <c r="BQ2862" s="314"/>
      <c r="BR2862" s="314"/>
      <c r="BS2862" s="314"/>
      <c r="BT2862" s="314"/>
      <c r="BU2862" s="314"/>
      <c r="BV2862" s="314"/>
      <c r="BW2862" s="314"/>
      <c r="BX2862" s="155"/>
    </row>
    <row r="2863" spans="1:76" ht="15.75" customHeight="1">
      <c r="A2863" s="25"/>
      <c r="B2863" s="39"/>
      <c r="C2863" s="155"/>
      <c r="D2863" s="155"/>
      <c r="E2863" s="40"/>
      <c r="F2863" s="314"/>
      <c r="H2863" s="315"/>
      <c r="I2863" s="315"/>
      <c r="BA2863" s="30"/>
      <c r="BB2863" s="155"/>
      <c r="BC2863" s="314"/>
      <c r="BD2863" s="314"/>
      <c r="BE2863" s="314"/>
      <c r="BF2863" s="314"/>
      <c r="BG2863" s="314"/>
      <c r="BH2863" s="314"/>
      <c r="BI2863" s="314"/>
      <c r="BJ2863" s="314"/>
      <c r="BK2863" s="40"/>
      <c r="BL2863" s="40"/>
      <c r="BM2863" s="40"/>
      <c r="BN2863" s="40"/>
      <c r="BO2863" s="40"/>
      <c r="BP2863" s="155"/>
      <c r="BQ2863" s="314"/>
      <c r="BR2863" s="314"/>
      <c r="BS2863" s="314"/>
      <c r="BT2863" s="314"/>
      <c r="BU2863" s="314"/>
      <c r="BV2863" s="314"/>
      <c r="BW2863" s="314"/>
      <c r="BX2863" s="155"/>
    </row>
    <row r="2864" spans="1:76" ht="15.75" customHeight="1">
      <c r="A2864" s="25"/>
      <c r="B2864" s="39"/>
      <c r="C2864" s="155"/>
      <c r="D2864" s="155"/>
      <c r="E2864" s="40"/>
      <c r="F2864" s="314"/>
      <c r="H2864" s="315"/>
      <c r="I2864" s="315"/>
      <c r="BA2864" s="30"/>
      <c r="BB2864" s="155"/>
      <c r="BC2864" s="314"/>
      <c r="BD2864" s="314"/>
      <c r="BE2864" s="314"/>
      <c r="BF2864" s="314"/>
      <c r="BG2864" s="314"/>
      <c r="BH2864" s="314"/>
      <c r="BI2864" s="314"/>
      <c r="BJ2864" s="314"/>
      <c r="BK2864" s="40"/>
      <c r="BL2864" s="40"/>
      <c r="BM2864" s="40"/>
      <c r="BN2864" s="40"/>
      <c r="BO2864" s="40"/>
      <c r="BP2864" s="155"/>
      <c r="BQ2864" s="314"/>
      <c r="BR2864" s="314"/>
      <c r="BS2864" s="314"/>
      <c r="BT2864" s="314"/>
      <c r="BU2864" s="314"/>
      <c r="BV2864" s="314"/>
      <c r="BW2864" s="314"/>
      <c r="BX2864" s="155"/>
    </row>
    <row r="2865" spans="1:76" ht="15.75" customHeight="1">
      <c r="A2865" s="25"/>
      <c r="B2865" s="39"/>
      <c r="C2865" s="155"/>
      <c r="D2865" s="155"/>
      <c r="E2865" s="40"/>
      <c r="F2865" s="314"/>
      <c r="H2865" s="315"/>
      <c r="I2865" s="315"/>
      <c r="BA2865" s="30"/>
      <c r="BB2865" s="155"/>
      <c r="BC2865" s="314"/>
      <c r="BD2865" s="314"/>
      <c r="BE2865" s="314"/>
      <c r="BF2865" s="314"/>
      <c r="BG2865" s="314"/>
      <c r="BH2865" s="314"/>
      <c r="BI2865" s="314"/>
      <c r="BJ2865" s="314"/>
      <c r="BK2865" s="40"/>
      <c r="BL2865" s="40"/>
      <c r="BM2865" s="40"/>
      <c r="BN2865" s="40"/>
      <c r="BO2865" s="40"/>
      <c r="BP2865" s="155"/>
      <c r="BQ2865" s="314"/>
      <c r="BR2865" s="314"/>
      <c r="BS2865" s="314"/>
      <c r="BT2865" s="314"/>
      <c r="BU2865" s="314"/>
      <c r="BV2865" s="314"/>
      <c r="BW2865" s="314"/>
      <c r="BX2865" s="155"/>
    </row>
    <row r="2866" spans="1:76" ht="15.75" customHeight="1">
      <c r="A2866" s="25"/>
      <c r="B2866" s="39"/>
      <c r="C2866" s="155"/>
      <c r="D2866" s="155"/>
      <c r="E2866" s="40"/>
      <c r="F2866" s="314"/>
      <c r="H2866" s="315"/>
      <c r="I2866" s="315"/>
      <c r="BA2866" s="30"/>
      <c r="BB2866" s="155"/>
      <c r="BC2866" s="314"/>
      <c r="BD2866" s="314"/>
      <c r="BE2866" s="314"/>
      <c r="BF2866" s="314"/>
      <c r="BG2866" s="314"/>
      <c r="BH2866" s="314"/>
      <c r="BI2866" s="314"/>
      <c r="BJ2866" s="314"/>
      <c r="BK2866" s="40"/>
      <c r="BL2866" s="40"/>
      <c r="BM2866" s="40"/>
      <c r="BN2866" s="40"/>
      <c r="BO2866" s="40"/>
      <c r="BP2866" s="155"/>
      <c r="BQ2866" s="314"/>
      <c r="BR2866" s="314"/>
      <c r="BS2866" s="314"/>
      <c r="BT2866" s="314"/>
      <c r="BU2866" s="314"/>
      <c r="BV2866" s="314"/>
      <c r="BW2866" s="314"/>
      <c r="BX2866" s="155"/>
    </row>
    <row r="2867" spans="1:76" ht="15.75" customHeight="1">
      <c r="A2867" s="25"/>
      <c r="B2867" s="39"/>
      <c r="C2867" s="155"/>
      <c r="D2867" s="155"/>
      <c r="E2867" s="40"/>
      <c r="F2867" s="314"/>
      <c r="H2867" s="315"/>
      <c r="I2867" s="315"/>
      <c r="BA2867" s="30"/>
      <c r="BB2867" s="155"/>
      <c r="BC2867" s="314"/>
      <c r="BD2867" s="314"/>
      <c r="BE2867" s="314"/>
      <c r="BF2867" s="314"/>
      <c r="BG2867" s="314"/>
      <c r="BH2867" s="314"/>
      <c r="BI2867" s="314"/>
      <c r="BJ2867" s="314"/>
      <c r="BK2867" s="40"/>
      <c r="BL2867" s="40"/>
      <c r="BM2867" s="40"/>
      <c r="BN2867" s="40"/>
      <c r="BO2867" s="40"/>
      <c r="BP2867" s="155"/>
      <c r="BQ2867" s="314"/>
      <c r="BR2867" s="314"/>
      <c r="BS2867" s="314"/>
      <c r="BT2867" s="314"/>
      <c r="BU2867" s="314"/>
      <c r="BV2867" s="314"/>
      <c r="BW2867" s="314"/>
      <c r="BX2867" s="155"/>
    </row>
    <row r="2868" spans="1:76" ht="15.75" customHeight="1">
      <c r="A2868" s="25"/>
      <c r="B2868" s="39"/>
      <c r="C2868" s="155"/>
      <c r="D2868" s="155"/>
      <c r="E2868" s="40"/>
      <c r="F2868" s="314"/>
      <c r="H2868" s="315"/>
      <c r="I2868" s="315"/>
      <c r="BA2868" s="30"/>
      <c r="BB2868" s="155"/>
      <c r="BC2868" s="314"/>
      <c r="BD2868" s="314"/>
      <c r="BE2868" s="314"/>
      <c r="BF2868" s="314"/>
      <c r="BG2868" s="314"/>
      <c r="BH2868" s="314"/>
      <c r="BI2868" s="314"/>
      <c r="BJ2868" s="314"/>
      <c r="BK2868" s="40"/>
      <c r="BL2868" s="40"/>
      <c r="BM2868" s="40"/>
      <c r="BN2868" s="40"/>
      <c r="BO2868" s="40"/>
      <c r="BP2868" s="155"/>
      <c r="BQ2868" s="314"/>
      <c r="BR2868" s="314"/>
      <c r="BS2868" s="314"/>
      <c r="BT2868" s="314"/>
      <c r="BU2868" s="314"/>
      <c r="BV2868" s="314"/>
      <c r="BW2868" s="314"/>
      <c r="BX2868" s="155"/>
    </row>
    <row r="2869" spans="1:76" ht="15.75" customHeight="1">
      <c r="A2869" s="25"/>
      <c r="B2869" s="39"/>
      <c r="C2869" s="155"/>
      <c r="D2869" s="155"/>
      <c r="E2869" s="40"/>
      <c r="F2869" s="314"/>
      <c r="H2869" s="315"/>
      <c r="I2869" s="315"/>
      <c r="BA2869" s="30"/>
      <c r="BB2869" s="155"/>
      <c r="BC2869" s="314"/>
      <c r="BD2869" s="314"/>
      <c r="BE2869" s="314"/>
      <c r="BF2869" s="314"/>
      <c r="BG2869" s="314"/>
      <c r="BH2869" s="314"/>
      <c r="BI2869" s="314"/>
      <c r="BJ2869" s="314"/>
      <c r="BK2869" s="40"/>
      <c r="BL2869" s="40"/>
      <c r="BM2869" s="40"/>
      <c r="BN2869" s="40"/>
      <c r="BO2869" s="40"/>
      <c r="BP2869" s="155"/>
      <c r="BQ2869" s="314"/>
      <c r="BR2869" s="314"/>
      <c r="BS2869" s="314"/>
      <c r="BT2869" s="314"/>
      <c r="BU2869" s="314"/>
      <c r="BV2869" s="314"/>
      <c r="BW2869" s="314"/>
      <c r="BX2869" s="155"/>
    </row>
    <row r="2870" spans="1:76" ht="15.75" customHeight="1">
      <c r="A2870" s="25"/>
      <c r="B2870" s="39"/>
      <c r="C2870" s="155"/>
      <c r="D2870" s="155"/>
      <c r="E2870" s="40"/>
      <c r="F2870" s="314"/>
      <c r="H2870" s="315"/>
      <c r="I2870" s="315"/>
      <c r="BA2870" s="30"/>
      <c r="BB2870" s="155"/>
      <c r="BC2870" s="314"/>
      <c r="BD2870" s="314"/>
      <c r="BE2870" s="314"/>
      <c r="BF2870" s="314"/>
      <c r="BG2870" s="314"/>
      <c r="BH2870" s="314"/>
      <c r="BI2870" s="314"/>
      <c r="BJ2870" s="314"/>
      <c r="BK2870" s="40"/>
      <c r="BL2870" s="40"/>
      <c r="BM2870" s="40"/>
      <c r="BN2870" s="40"/>
      <c r="BO2870" s="40"/>
      <c r="BP2870" s="155"/>
      <c r="BQ2870" s="314"/>
      <c r="BR2870" s="314"/>
      <c r="BS2870" s="314"/>
      <c r="BT2870" s="314"/>
      <c r="BU2870" s="314"/>
      <c r="BV2870" s="314"/>
      <c r="BW2870" s="314"/>
      <c r="BX2870" s="155"/>
    </row>
    <row r="2871" spans="1:76" ht="15.75" customHeight="1">
      <c r="A2871" s="25"/>
      <c r="B2871" s="39"/>
      <c r="C2871" s="155"/>
      <c r="D2871" s="155"/>
      <c r="E2871" s="40"/>
      <c r="F2871" s="314"/>
      <c r="H2871" s="315"/>
      <c r="I2871" s="315"/>
      <c r="BA2871" s="30"/>
      <c r="BB2871" s="155"/>
      <c r="BC2871" s="314"/>
      <c r="BD2871" s="314"/>
      <c r="BE2871" s="314"/>
      <c r="BF2871" s="314"/>
      <c r="BG2871" s="314"/>
      <c r="BH2871" s="314"/>
      <c r="BI2871" s="314"/>
      <c r="BJ2871" s="314"/>
      <c r="BK2871" s="40"/>
      <c r="BL2871" s="40"/>
      <c r="BM2871" s="40"/>
      <c r="BN2871" s="40"/>
      <c r="BO2871" s="40"/>
      <c r="BP2871" s="155"/>
      <c r="BQ2871" s="314"/>
      <c r="BR2871" s="314"/>
      <c r="BS2871" s="314"/>
      <c r="BT2871" s="314"/>
      <c r="BU2871" s="314"/>
      <c r="BV2871" s="314"/>
      <c r="BW2871" s="314"/>
      <c r="BX2871" s="155"/>
    </row>
    <row r="2872" spans="1:76" ht="15.75" customHeight="1">
      <c r="A2872" s="25"/>
      <c r="B2872" s="39"/>
      <c r="C2872" s="155"/>
      <c r="D2872" s="155"/>
      <c r="E2872" s="40"/>
      <c r="F2872" s="314"/>
      <c r="H2872" s="315"/>
      <c r="I2872" s="315"/>
      <c r="BA2872" s="30"/>
      <c r="BB2872" s="155"/>
      <c r="BC2872" s="314"/>
      <c r="BD2872" s="314"/>
      <c r="BE2872" s="314"/>
      <c r="BF2872" s="314"/>
      <c r="BG2872" s="314"/>
      <c r="BH2872" s="314"/>
      <c r="BI2872" s="314"/>
      <c r="BJ2872" s="314"/>
      <c r="BK2872" s="40"/>
      <c r="BL2872" s="40"/>
      <c r="BM2872" s="40"/>
      <c r="BN2872" s="40"/>
      <c r="BO2872" s="40"/>
      <c r="BP2872" s="155"/>
      <c r="BQ2872" s="314"/>
      <c r="BR2872" s="314"/>
      <c r="BS2872" s="314"/>
      <c r="BT2872" s="314"/>
      <c r="BU2872" s="314"/>
      <c r="BV2872" s="314"/>
      <c r="BW2872" s="314"/>
      <c r="BX2872" s="155"/>
    </row>
    <row r="2873" spans="1:76" ht="15.75" customHeight="1">
      <c r="A2873" s="25"/>
      <c r="B2873" s="39"/>
      <c r="C2873" s="155"/>
      <c r="D2873" s="155"/>
      <c r="E2873" s="40"/>
      <c r="F2873" s="314"/>
      <c r="H2873" s="315"/>
      <c r="I2873" s="315"/>
      <c r="BA2873" s="30"/>
      <c r="BB2873" s="155"/>
      <c r="BC2873" s="314"/>
      <c r="BD2873" s="314"/>
      <c r="BE2873" s="314"/>
      <c r="BF2873" s="314"/>
      <c r="BG2873" s="314"/>
      <c r="BH2873" s="314"/>
      <c r="BI2873" s="314"/>
      <c r="BJ2873" s="314"/>
      <c r="BK2873" s="40"/>
      <c r="BL2873" s="40"/>
      <c r="BM2873" s="40"/>
      <c r="BN2873" s="40"/>
      <c r="BO2873" s="40"/>
      <c r="BP2873" s="155"/>
      <c r="BQ2873" s="314"/>
      <c r="BR2873" s="314"/>
      <c r="BS2873" s="314"/>
      <c r="BT2873" s="314"/>
      <c r="BU2873" s="314"/>
      <c r="BV2873" s="314"/>
      <c r="BW2873" s="314"/>
      <c r="BX2873" s="155"/>
    </row>
    <row r="2874" spans="1:76" ht="15.75" customHeight="1">
      <c r="A2874" s="25"/>
      <c r="B2874" s="39"/>
      <c r="C2874" s="155"/>
      <c r="D2874" s="155"/>
      <c r="E2874" s="40"/>
      <c r="F2874" s="314"/>
      <c r="H2874" s="315"/>
      <c r="I2874" s="315"/>
      <c r="BA2874" s="30"/>
      <c r="BB2874" s="155"/>
      <c r="BC2874" s="322"/>
      <c r="BD2874" s="322"/>
      <c r="BE2874" s="322"/>
      <c r="BF2874" s="322"/>
      <c r="BG2874" s="322"/>
      <c r="BH2874" s="322"/>
      <c r="BI2874" s="322"/>
      <c r="BJ2874" s="322"/>
      <c r="BK2874" s="341"/>
      <c r="BL2874" s="40"/>
      <c r="BM2874" s="40"/>
      <c r="BN2874" s="40"/>
      <c r="BO2874" s="40"/>
      <c r="BP2874" s="155"/>
      <c r="BQ2874" s="314"/>
      <c r="BR2874" s="314"/>
      <c r="BS2874" s="314"/>
      <c r="BT2874" s="314"/>
      <c r="BU2874" s="314"/>
      <c r="BV2874" s="314"/>
      <c r="BW2874" s="314"/>
      <c r="BX2874" s="155"/>
    </row>
    <row r="2875" spans="1:76" ht="15.75" customHeight="1">
      <c r="A2875" s="25"/>
      <c r="B2875" s="39"/>
      <c r="C2875" s="155"/>
      <c r="D2875" s="155"/>
      <c r="E2875" s="40"/>
      <c r="F2875" s="314"/>
      <c r="H2875" s="315"/>
      <c r="I2875" s="315"/>
      <c r="BA2875" s="30"/>
      <c r="BB2875" s="155"/>
      <c r="BC2875" s="314"/>
      <c r="BD2875" s="314"/>
      <c r="BE2875" s="314"/>
      <c r="BF2875" s="314"/>
      <c r="BG2875" s="314"/>
      <c r="BH2875" s="314"/>
      <c r="BI2875" s="314"/>
      <c r="BJ2875" s="314"/>
      <c r="BK2875" s="40"/>
      <c r="BL2875" s="40"/>
      <c r="BM2875" s="40"/>
      <c r="BN2875" s="40"/>
      <c r="BO2875" s="40"/>
      <c r="BP2875" s="155"/>
      <c r="BQ2875" s="314"/>
      <c r="BR2875" s="314"/>
      <c r="BS2875" s="314"/>
      <c r="BT2875" s="314"/>
      <c r="BU2875" s="314"/>
      <c r="BV2875" s="314"/>
      <c r="BW2875" s="314"/>
      <c r="BX2875" s="155"/>
    </row>
    <row r="2876" spans="1:76" ht="15.75" customHeight="1">
      <c r="A2876" s="25"/>
      <c r="B2876" s="39"/>
      <c r="C2876" s="155"/>
      <c r="D2876" s="155"/>
      <c r="E2876" s="40"/>
      <c r="F2876" s="314"/>
      <c r="H2876" s="315"/>
      <c r="I2876" s="315"/>
      <c r="BA2876" s="30"/>
      <c r="BB2876" s="155"/>
      <c r="BC2876" s="314"/>
      <c r="BD2876" s="314"/>
      <c r="BE2876" s="314"/>
      <c r="BF2876" s="314"/>
      <c r="BG2876" s="314"/>
      <c r="BH2876" s="314"/>
      <c r="BI2876" s="314"/>
      <c r="BJ2876" s="314"/>
      <c r="BK2876" s="40"/>
      <c r="BL2876" s="40"/>
      <c r="BM2876" s="40"/>
      <c r="BN2876" s="40"/>
      <c r="BO2876" s="40"/>
      <c r="BP2876" s="155"/>
      <c r="BQ2876" s="314"/>
      <c r="BR2876" s="314"/>
      <c r="BS2876" s="314"/>
      <c r="BT2876" s="314"/>
      <c r="BU2876" s="314"/>
      <c r="BV2876" s="314"/>
      <c r="BW2876" s="314"/>
      <c r="BX2876" s="155"/>
    </row>
    <row r="2877" spans="1:76" ht="15.75" customHeight="1">
      <c r="A2877" s="25"/>
      <c r="B2877" s="39"/>
      <c r="C2877" s="155"/>
      <c r="D2877" s="155"/>
      <c r="E2877" s="40"/>
      <c r="F2877" s="314"/>
      <c r="H2877" s="315"/>
      <c r="I2877" s="315"/>
      <c r="BA2877" s="30"/>
      <c r="BB2877" s="155"/>
      <c r="BC2877" s="314"/>
      <c r="BD2877" s="314"/>
      <c r="BE2877" s="314"/>
      <c r="BF2877" s="314"/>
      <c r="BG2877" s="314"/>
      <c r="BH2877" s="314"/>
      <c r="BI2877" s="314"/>
      <c r="BJ2877" s="314"/>
      <c r="BK2877" s="40"/>
      <c r="BL2877" s="40"/>
      <c r="BM2877" s="40"/>
      <c r="BN2877" s="40"/>
      <c r="BO2877" s="40"/>
      <c r="BP2877" s="155"/>
      <c r="BQ2877" s="314"/>
      <c r="BR2877" s="314"/>
      <c r="BS2877" s="314"/>
      <c r="BT2877" s="314"/>
      <c r="BU2877" s="314"/>
      <c r="BV2877" s="314"/>
      <c r="BW2877" s="314"/>
      <c r="BX2877" s="155"/>
    </row>
    <row r="2878" spans="1:76" ht="15.75" customHeight="1">
      <c r="A2878" s="25"/>
      <c r="B2878" s="39"/>
      <c r="C2878" s="155"/>
      <c r="D2878" s="155"/>
      <c r="E2878" s="40"/>
      <c r="F2878" s="314"/>
      <c r="H2878" s="315"/>
      <c r="I2878" s="315"/>
      <c r="BA2878" s="30"/>
      <c r="BB2878" s="155"/>
      <c r="BC2878" s="314"/>
      <c r="BD2878" s="314"/>
      <c r="BE2878" s="314"/>
      <c r="BF2878" s="314"/>
      <c r="BG2878" s="314"/>
      <c r="BH2878" s="314"/>
      <c r="BI2878" s="314"/>
      <c r="BJ2878" s="314"/>
      <c r="BK2878" s="40"/>
      <c r="BL2878" s="40"/>
      <c r="BM2878" s="40"/>
      <c r="BN2878" s="40"/>
      <c r="BO2878" s="40"/>
      <c r="BP2878" s="155"/>
      <c r="BQ2878" s="314"/>
      <c r="BR2878" s="314"/>
      <c r="BS2878" s="314"/>
      <c r="BT2878" s="314"/>
      <c r="BU2878" s="314"/>
      <c r="BV2878" s="314"/>
      <c r="BW2878" s="314"/>
      <c r="BX2878" s="155"/>
    </row>
    <row r="2879" spans="1:76" ht="15.75" customHeight="1">
      <c r="A2879" s="25"/>
      <c r="B2879" s="39"/>
      <c r="C2879" s="155"/>
      <c r="D2879" s="155"/>
      <c r="E2879" s="40"/>
      <c r="F2879" s="314"/>
      <c r="H2879" s="315"/>
      <c r="I2879" s="315"/>
      <c r="BA2879" s="30"/>
      <c r="BB2879" s="155"/>
      <c r="BC2879" s="314"/>
      <c r="BD2879" s="314"/>
      <c r="BE2879" s="314"/>
      <c r="BF2879" s="314"/>
      <c r="BG2879" s="314"/>
      <c r="BH2879" s="314"/>
      <c r="BI2879" s="314"/>
      <c r="BJ2879" s="314"/>
      <c r="BK2879" s="40"/>
      <c r="BL2879" s="40"/>
      <c r="BM2879" s="40"/>
      <c r="BN2879" s="40"/>
      <c r="BO2879" s="40"/>
      <c r="BP2879" s="155"/>
      <c r="BQ2879" s="314"/>
      <c r="BR2879" s="314"/>
      <c r="BS2879" s="314"/>
      <c r="BT2879" s="314"/>
      <c r="BU2879" s="314"/>
      <c r="BV2879" s="314"/>
      <c r="BW2879" s="314"/>
      <c r="BX2879" s="155"/>
    </row>
    <row r="2880" spans="1:76" ht="15.75" customHeight="1">
      <c r="A2880" s="25"/>
      <c r="B2880" s="39"/>
      <c r="C2880" s="155"/>
      <c r="D2880" s="155"/>
      <c r="E2880" s="40"/>
      <c r="F2880" s="314"/>
      <c r="H2880" s="315"/>
      <c r="I2880" s="315"/>
      <c r="BA2880" s="30"/>
      <c r="BB2880" s="155"/>
      <c r="BC2880" s="314"/>
      <c r="BD2880" s="314"/>
      <c r="BE2880" s="314"/>
      <c r="BF2880" s="314"/>
      <c r="BG2880" s="314"/>
      <c r="BH2880" s="314"/>
      <c r="BI2880" s="314"/>
      <c r="BJ2880" s="314"/>
      <c r="BK2880" s="40"/>
      <c r="BL2880" s="40"/>
      <c r="BM2880" s="40"/>
      <c r="BN2880" s="40"/>
      <c r="BO2880" s="40"/>
      <c r="BP2880" s="155"/>
      <c r="BQ2880" s="314"/>
      <c r="BR2880" s="314"/>
      <c r="BS2880" s="314"/>
      <c r="BT2880" s="314"/>
      <c r="BU2880" s="314"/>
      <c r="BV2880" s="314"/>
      <c r="BW2880" s="314"/>
      <c r="BX2880" s="155"/>
    </row>
    <row r="2881" spans="1:76" ht="15.75" customHeight="1">
      <c r="A2881" s="25"/>
      <c r="B2881" s="39"/>
      <c r="C2881" s="155"/>
      <c r="D2881" s="155"/>
      <c r="E2881" s="40"/>
      <c r="F2881" s="314"/>
      <c r="H2881" s="315"/>
      <c r="I2881" s="315"/>
      <c r="BA2881" s="30"/>
      <c r="BB2881" s="155"/>
      <c r="BC2881" s="314"/>
      <c r="BD2881" s="314"/>
      <c r="BE2881" s="314"/>
      <c r="BF2881" s="314"/>
      <c r="BG2881" s="314"/>
      <c r="BH2881" s="314"/>
      <c r="BI2881" s="314"/>
      <c r="BJ2881" s="314"/>
      <c r="BK2881" s="40"/>
      <c r="BL2881" s="40"/>
      <c r="BM2881" s="40"/>
      <c r="BN2881" s="40"/>
      <c r="BO2881" s="40"/>
      <c r="BP2881" s="155"/>
      <c r="BQ2881" s="314"/>
      <c r="BR2881" s="314"/>
      <c r="BS2881" s="314"/>
      <c r="BT2881" s="314"/>
      <c r="BU2881" s="314"/>
      <c r="BV2881" s="314"/>
      <c r="BW2881" s="314"/>
      <c r="BX2881" s="155"/>
    </row>
    <row r="2882" spans="1:76" ht="15.75" customHeight="1">
      <c r="A2882" s="25"/>
      <c r="B2882" s="39"/>
      <c r="C2882" s="155"/>
      <c r="D2882" s="155"/>
      <c r="E2882" s="40"/>
      <c r="F2882" s="314"/>
      <c r="H2882" s="315"/>
      <c r="I2882" s="315"/>
      <c r="BA2882" s="30"/>
      <c r="BB2882" s="155"/>
      <c r="BC2882" s="314"/>
      <c r="BD2882" s="314"/>
      <c r="BE2882" s="314"/>
      <c r="BF2882" s="314"/>
      <c r="BG2882" s="314"/>
      <c r="BH2882" s="314"/>
      <c r="BI2882" s="314"/>
      <c r="BJ2882" s="314"/>
      <c r="BK2882" s="40"/>
      <c r="BL2882" s="40"/>
      <c r="BM2882" s="40"/>
      <c r="BN2882" s="40"/>
      <c r="BO2882" s="40"/>
      <c r="BP2882" s="155"/>
      <c r="BQ2882" s="314"/>
      <c r="BR2882" s="314"/>
      <c r="BS2882" s="314"/>
      <c r="BT2882" s="314"/>
      <c r="BU2882" s="314"/>
      <c r="BV2882" s="314"/>
      <c r="BW2882" s="314"/>
      <c r="BX2882" s="155"/>
    </row>
    <row r="2883" spans="1:76" ht="15.75" customHeight="1">
      <c r="A2883" s="25"/>
      <c r="B2883" s="39"/>
      <c r="C2883" s="155"/>
      <c r="D2883" s="155"/>
      <c r="E2883" s="40"/>
      <c r="F2883" s="314"/>
      <c r="H2883" s="315"/>
      <c r="I2883" s="315"/>
      <c r="BA2883" s="30"/>
      <c r="BB2883" s="155"/>
      <c r="BC2883" s="314"/>
      <c r="BD2883" s="314"/>
      <c r="BE2883" s="314"/>
      <c r="BF2883" s="314"/>
      <c r="BG2883" s="314"/>
      <c r="BH2883" s="314"/>
      <c r="BI2883" s="314"/>
      <c r="BJ2883" s="314"/>
      <c r="BK2883" s="40"/>
      <c r="BL2883" s="40"/>
      <c r="BM2883" s="40"/>
      <c r="BN2883" s="40"/>
      <c r="BO2883" s="40"/>
      <c r="BP2883" s="155"/>
      <c r="BQ2883" s="314"/>
      <c r="BR2883" s="314"/>
      <c r="BS2883" s="314"/>
      <c r="BT2883" s="314"/>
      <c r="BU2883" s="314"/>
      <c r="BV2883" s="314"/>
      <c r="BW2883" s="314"/>
      <c r="BX2883" s="155"/>
    </row>
    <row r="2884" spans="1:76" ht="15.75" customHeight="1">
      <c r="A2884" s="25"/>
      <c r="B2884" s="39"/>
      <c r="C2884" s="155"/>
      <c r="D2884" s="155"/>
      <c r="E2884" s="40"/>
      <c r="F2884" s="314"/>
      <c r="H2884" s="315"/>
      <c r="I2884" s="315"/>
      <c r="BA2884" s="30"/>
      <c r="BB2884" s="155"/>
      <c r="BC2884" s="314"/>
      <c r="BD2884" s="314"/>
      <c r="BE2884" s="314"/>
      <c r="BF2884" s="314"/>
      <c r="BG2884" s="314"/>
      <c r="BH2884" s="314"/>
      <c r="BI2884" s="314"/>
      <c r="BJ2884" s="314"/>
      <c r="BK2884" s="40"/>
      <c r="BL2884" s="40"/>
      <c r="BM2884" s="40"/>
      <c r="BN2884" s="40"/>
      <c r="BO2884" s="40"/>
      <c r="BP2884" s="155"/>
      <c r="BQ2884" s="314"/>
      <c r="BR2884" s="314"/>
      <c r="BS2884" s="314"/>
      <c r="BT2884" s="314"/>
      <c r="BU2884" s="314"/>
      <c r="BV2884" s="314"/>
      <c r="BW2884" s="314"/>
      <c r="BX2884" s="155"/>
    </row>
    <row r="2885" spans="1:76" ht="15.75" customHeight="1">
      <c r="A2885" s="25"/>
      <c r="B2885" s="39"/>
      <c r="C2885" s="155"/>
      <c r="D2885" s="155"/>
      <c r="E2885" s="40"/>
      <c r="F2885" s="314"/>
      <c r="H2885" s="315"/>
      <c r="I2885" s="315"/>
      <c r="BA2885" s="30"/>
      <c r="BB2885" s="155"/>
      <c r="BC2885" s="314"/>
      <c r="BD2885" s="314"/>
      <c r="BE2885" s="314"/>
      <c r="BF2885" s="314"/>
      <c r="BG2885" s="314"/>
      <c r="BH2885" s="314"/>
      <c r="BI2885" s="314"/>
      <c r="BJ2885" s="314"/>
      <c r="BK2885" s="40"/>
      <c r="BL2885" s="40"/>
      <c r="BM2885" s="40"/>
      <c r="BN2885" s="40"/>
      <c r="BO2885" s="40"/>
      <c r="BP2885" s="155"/>
      <c r="BQ2885" s="314"/>
      <c r="BR2885" s="314"/>
      <c r="BS2885" s="314"/>
      <c r="BT2885" s="314"/>
      <c r="BU2885" s="314"/>
      <c r="BV2885" s="314"/>
      <c r="BW2885" s="314"/>
      <c r="BX2885" s="155"/>
    </row>
    <row r="2886" spans="1:76" ht="15.75" customHeight="1">
      <c r="A2886" s="25"/>
      <c r="B2886" s="39"/>
      <c r="C2886" s="155"/>
      <c r="D2886" s="155"/>
      <c r="E2886" s="40"/>
      <c r="F2886" s="314"/>
      <c r="H2886" s="315"/>
      <c r="I2886" s="315"/>
      <c r="BA2886" s="30"/>
      <c r="BB2886" s="155"/>
      <c r="BC2886" s="314"/>
      <c r="BD2886" s="314"/>
      <c r="BE2886" s="314"/>
      <c r="BF2886" s="314"/>
      <c r="BG2886" s="314"/>
      <c r="BH2886" s="314"/>
      <c r="BI2886" s="314"/>
      <c r="BJ2886" s="314"/>
      <c r="BK2886" s="40"/>
      <c r="BL2886" s="40"/>
      <c r="BM2886" s="40"/>
      <c r="BN2886" s="40"/>
      <c r="BO2886" s="40"/>
      <c r="BP2886" s="155"/>
      <c r="BQ2886" s="314"/>
      <c r="BR2886" s="314"/>
      <c r="BS2886" s="314"/>
      <c r="BT2886" s="314"/>
      <c r="BU2886" s="314"/>
      <c r="BV2886" s="314"/>
      <c r="BW2886" s="314"/>
      <c r="BX2886" s="155"/>
    </row>
    <row r="2887" spans="1:76" ht="15.75" customHeight="1">
      <c r="A2887" s="25"/>
      <c r="B2887" s="39"/>
      <c r="C2887" s="155"/>
      <c r="D2887" s="155"/>
      <c r="E2887" s="40"/>
      <c r="F2887" s="314"/>
      <c r="H2887" s="315"/>
      <c r="I2887" s="315"/>
      <c r="BA2887" s="30"/>
      <c r="BB2887" s="155"/>
      <c r="BC2887" s="314"/>
      <c r="BD2887" s="314"/>
      <c r="BE2887" s="314"/>
      <c r="BF2887" s="314"/>
      <c r="BG2887" s="314"/>
      <c r="BH2887" s="314"/>
      <c r="BI2887" s="314"/>
      <c r="BJ2887" s="314"/>
      <c r="BK2887" s="40"/>
      <c r="BL2887" s="40"/>
      <c r="BM2887" s="40"/>
      <c r="BN2887" s="40"/>
      <c r="BO2887" s="40"/>
      <c r="BP2887" s="155"/>
      <c r="BQ2887" s="314"/>
      <c r="BR2887" s="314"/>
      <c r="BS2887" s="314"/>
      <c r="BT2887" s="314"/>
      <c r="BU2887" s="314"/>
      <c r="BV2887" s="314"/>
      <c r="BW2887" s="314"/>
      <c r="BX2887" s="155"/>
    </row>
    <row r="2888" spans="1:76" ht="15.75" customHeight="1">
      <c r="A2888" s="25"/>
      <c r="B2888" s="39"/>
      <c r="C2888" s="155"/>
      <c r="D2888" s="155"/>
      <c r="E2888" s="40"/>
      <c r="F2888" s="314"/>
      <c r="H2888" s="315"/>
      <c r="I2888" s="315"/>
      <c r="BA2888" s="30"/>
      <c r="BB2888" s="155"/>
      <c r="BC2888" s="314"/>
      <c r="BD2888" s="314"/>
      <c r="BE2888" s="314"/>
      <c r="BF2888" s="314"/>
      <c r="BG2888" s="314"/>
      <c r="BH2888" s="314"/>
      <c r="BI2888" s="314"/>
      <c r="BJ2888" s="314"/>
      <c r="BK2888" s="40"/>
      <c r="BL2888" s="40"/>
      <c r="BM2888" s="40"/>
      <c r="BN2888" s="40"/>
      <c r="BO2888" s="40"/>
      <c r="BP2888" s="155"/>
      <c r="BQ2888" s="314"/>
      <c r="BR2888" s="314"/>
      <c r="BS2888" s="314"/>
      <c r="BT2888" s="314"/>
      <c r="BU2888" s="314"/>
      <c r="BV2888" s="314"/>
      <c r="BW2888" s="314"/>
      <c r="BX2888" s="155"/>
    </row>
    <row r="2889" spans="1:76" ht="15.75" customHeight="1">
      <c r="A2889" s="25"/>
      <c r="B2889" s="39"/>
      <c r="C2889" s="155"/>
      <c r="D2889" s="155"/>
      <c r="E2889" s="40"/>
      <c r="F2889" s="314"/>
      <c r="H2889" s="315"/>
      <c r="I2889" s="315"/>
      <c r="BA2889" s="30"/>
      <c r="BB2889" s="155"/>
      <c r="BC2889" s="314"/>
      <c r="BD2889" s="314"/>
      <c r="BE2889" s="314"/>
      <c r="BF2889" s="314"/>
      <c r="BG2889" s="314"/>
      <c r="BH2889" s="314"/>
      <c r="BI2889" s="314"/>
      <c r="BJ2889" s="314"/>
      <c r="BK2889" s="40"/>
      <c r="BL2889" s="40"/>
      <c r="BM2889" s="40"/>
      <c r="BN2889" s="40"/>
      <c r="BO2889" s="40"/>
      <c r="BP2889" s="155"/>
      <c r="BQ2889" s="314"/>
      <c r="BR2889" s="314"/>
      <c r="BS2889" s="314"/>
      <c r="BT2889" s="314"/>
      <c r="BU2889" s="314"/>
      <c r="BV2889" s="314"/>
      <c r="BW2889" s="314"/>
      <c r="BX2889" s="155"/>
    </row>
    <row r="2890" spans="1:76" ht="15.75" customHeight="1">
      <c r="A2890" s="25"/>
      <c r="B2890" s="39"/>
      <c r="C2890" s="155"/>
      <c r="D2890" s="155"/>
      <c r="E2890" s="40"/>
      <c r="F2890" s="314"/>
      <c r="H2890" s="315"/>
      <c r="I2890" s="315"/>
      <c r="BA2890" s="30"/>
      <c r="BB2890" s="155"/>
      <c r="BC2890" s="314"/>
      <c r="BD2890" s="314"/>
      <c r="BE2890" s="314"/>
      <c r="BF2890" s="314"/>
      <c r="BG2890" s="314"/>
      <c r="BH2890" s="314"/>
      <c r="BI2890" s="314"/>
      <c r="BJ2890" s="314"/>
      <c r="BK2890" s="40"/>
      <c r="BL2890" s="40"/>
      <c r="BM2890" s="40"/>
      <c r="BN2890" s="40"/>
      <c r="BO2890" s="40"/>
      <c r="BP2890" s="155"/>
      <c r="BQ2890" s="314"/>
      <c r="BR2890" s="314"/>
      <c r="BS2890" s="314"/>
      <c r="BT2890" s="314"/>
      <c r="BU2890" s="314"/>
      <c r="BV2890" s="314"/>
      <c r="BW2890" s="314"/>
      <c r="BX2890" s="155"/>
    </row>
    <row r="2891" spans="1:76" ht="15.75" customHeight="1">
      <c r="A2891" s="25"/>
      <c r="B2891" s="39"/>
      <c r="C2891" s="155"/>
      <c r="D2891" s="155"/>
      <c r="E2891" s="40"/>
      <c r="F2891" s="314"/>
      <c r="H2891" s="315"/>
      <c r="I2891" s="315"/>
      <c r="BA2891" s="30"/>
      <c r="BB2891" s="155"/>
      <c r="BC2891" s="314"/>
      <c r="BD2891" s="314"/>
      <c r="BE2891" s="314"/>
      <c r="BF2891" s="314"/>
      <c r="BG2891" s="314"/>
      <c r="BH2891" s="314"/>
      <c r="BI2891" s="314"/>
      <c r="BJ2891" s="314"/>
      <c r="BK2891" s="40"/>
      <c r="BL2891" s="40"/>
      <c r="BM2891" s="40"/>
      <c r="BN2891" s="40"/>
      <c r="BO2891" s="40"/>
      <c r="BP2891" s="155"/>
      <c r="BQ2891" s="314"/>
      <c r="BR2891" s="314"/>
      <c r="BS2891" s="314"/>
      <c r="BT2891" s="314"/>
      <c r="BU2891" s="314"/>
      <c r="BV2891" s="314"/>
      <c r="BW2891" s="314"/>
      <c r="BX2891" s="155"/>
    </row>
    <row r="2892" spans="1:76" ht="15.75" customHeight="1">
      <c r="A2892" s="25"/>
      <c r="B2892" s="39"/>
      <c r="C2892" s="155"/>
      <c r="D2892" s="155"/>
      <c r="E2892" s="40"/>
      <c r="F2892" s="314"/>
      <c r="H2892" s="315"/>
      <c r="I2892" s="315"/>
      <c r="BA2892" s="30"/>
      <c r="BB2892" s="155"/>
      <c r="BC2892" s="322"/>
      <c r="BD2892" s="322"/>
      <c r="BE2892" s="322"/>
      <c r="BF2892" s="322"/>
      <c r="BG2892" s="322"/>
      <c r="BH2892" s="322"/>
      <c r="BI2892" s="322"/>
      <c r="BJ2892" s="322"/>
      <c r="BK2892" s="341"/>
      <c r="BL2892" s="40"/>
      <c r="BM2892" s="40"/>
      <c r="BN2892" s="40"/>
      <c r="BO2892" s="40"/>
      <c r="BP2892" s="155"/>
      <c r="BQ2892" s="314"/>
      <c r="BR2892" s="314"/>
      <c r="BS2892" s="314"/>
      <c r="BT2892" s="314"/>
      <c r="BU2892" s="314"/>
      <c r="BV2892" s="314"/>
      <c r="BW2892" s="314"/>
      <c r="BX2892" s="155"/>
    </row>
    <row r="2893" spans="1:76" ht="15.75" customHeight="1">
      <c r="A2893" s="25"/>
      <c r="B2893" s="39"/>
      <c r="C2893" s="155"/>
      <c r="D2893" s="155"/>
      <c r="E2893" s="40"/>
      <c r="F2893" s="314"/>
      <c r="H2893" s="315"/>
      <c r="I2893" s="315"/>
      <c r="BA2893" s="30"/>
      <c r="BB2893" s="155"/>
      <c r="BC2893" s="314"/>
      <c r="BD2893" s="314"/>
      <c r="BE2893" s="314"/>
      <c r="BF2893" s="314"/>
      <c r="BG2893" s="314"/>
      <c r="BH2893" s="314"/>
      <c r="BI2893" s="314"/>
      <c r="BJ2893" s="314"/>
      <c r="BK2893" s="40"/>
      <c r="BL2893" s="40"/>
      <c r="BM2893" s="40"/>
      <c r="BN2893" s="40"/>
      <c r="BO2893" s="40"/>
      <c r="BP2893" s="155"/>
      <c r="BQ2893" s="314"/>
      <c r="BR2893" s="314"/>
      <c r="BS2893" s="314"/>
      <c r="BT2893" s="314"/>
      <c r="BU2893" s="314"/>
      <c r="BV2893" s="314"/>
      <c r="BW2893" s="314"/>
      <c r="BX2893" s="155"/>
    </row>
    <row r="2894" spans="1:76" ht="15.75" customHeight="1">
      <c r="A2894" s="25"/>
      <c r="B2894" s="39"/>
      <c r="C2894" s="155"/>
      <c r="D2894" s="155"/>
      <c r="E2894" s="40"/>
      <c r="F2894" s="314"/>
      <c r="H2894" s="315"/>
      <c r="I2894" s="315"/>
      <c r="BA2894" s="30"/>
      <c r="BB2894" s="155"/>
      <c r="BC2894" s="314"/>
      <c r="BD2894" s="314"/>
      <c r="BE2894" s="314"/>
      <c r="BF2894" s="314"/>
      <c r="BG2894" s="314"/>
      <c r="BH2894" s="314"/>
      <c r="BI2894" s="314"/>
      <c r="BJ2894" s="314"/>
      <c r="BK2894" s="40"/>
      <c r="BL2894" s="40"/>
      <c r="BM2894" s="40"/>
      <c r="BN2894" s="40"/>
      <c r="BO2894" s="40"/>
      <c r="BP2894" s="155"/>
      <c r="BQ2894" s="314"/>
      <c r="BR2894" s="314"/>
      <c r="BS2894" s="314"/>
      <c r="BT2894" s="314"/>
      <c r="BU2894" s="314"/>
      <c r="BV2894" s="314"/>
      <c r="BW2894" s="314"/>
      <c r="BX2894" s="155"/>
    </row>
    <row r="2895" spans="1:76" ht="15.75" customHeight="1">
      <c r="A2895" s="25"/>
      <c r="B2895" s="39"/>
      <c r="C2895" s="155"/>
      <c r="D2895" s="155"/>
      <c r="E2895" s="40"/>
      <c r="F2895" s="314"/>
      <c r="H2895" s="315"/>
      <c r="I2895" s="315"/>
      <c r="BA2895" s="30"/>
      <c r="BB2895" s="155"/>
      <c r="BC2895" s="314"/>
      <c r="BD2895" s="314"/>
      <c r="BE2895" s="314"/>
      <c r="BF2895" s="314"/>
      <c r="BG2895" s="314"/>
      <c r="BH2895" s="314"/>
      <c r="BI2895" s="314"/>
      <c r="BJ2895" s="314"/>
      <c r="BK2895" s="40"/>
      <c r="BL2895" s="40"/>
      <c r="BM2895" s="40"/>
      <c r="BN2895" s="40"/>
      <c r="BO2895" s="40"/>
      <c r="BP2895" s="155"/>
      <c r="BQ2895" s="314"/>
      <c r="BR2895" s="314"/>
      <c r="BS2895" s="314"/>
      <c r="BT2895" s="314"/>
      <c r="BU2895" s="314"/>
      <c r="BV2895" s="314"/>
      <c r="BW2895" s="314"/>
      <c r="BX2895" s="155"/>
    </row>
    <row r="2896" spans="1:76" ht="15.75" customHeight="1">
      <c r="A2896" s="25"/>
      <c r="B2896" s="39"/>
      <c r="C2896" s="155"/>
      <c r="D2896" s="155"/>
      <c r="E2896" s="40"/>
      <c r="F2896" s="314"/>
      <c r="H2896" s="315"/>
      <c r="I2896" s="315"/>
      <c r="BA2896" s="30"/>
      <c r="BB2896" s="155"/>
      <c r="BC2896" s="314"/>
      <c r="BD2896" s="314"/>
      <c r="BE2896" s="314"/>
      <c r="BF2896" s="314"/>
      <c r="BG2896" s="314"/>
      <c r="BH2896" s="314"/>
      <c r="BI2896" s="314"/>
      <c r="BJ2896" s="314"/>
      <c r="BK2896" s="40"/>
      <c r="BL2896" s="40"/>
      <c r="BM2896" s="40"/>
      <c r="BN2896" s="40"/>
      <c r="BO2896" s="40"/>
      <c r="BP2896" s="155"/>
      <c r="BQ2896" s="314"/>
      <c r="BR2896" s="314"/>
      <c r="BS2896" s="314"/>
      <c r="BT2896" s="314"/>
      <c r="BU2896" s="314"/>
      <c r="BV2896" s="314"/>
      <c r="BW2896" s="314"/>
      <c r="BX2896" s="155"/>
    </row>
    <row r="2897" spans="1:76" ht="15.75" customHeight="1">
      <c r="A2897" s="25"/>
      <c r="B2897" s="39"/>
      <c r="C2897" s="155"/>
      <c r="D2897" s="155"/>
      <c r="E2897" s="40"/>
      <c r="F2897" s="314"/>
      <c r="H2897" s="315"/>
      <c r="I2897" s="315"/>
      <c r="BA2897" s="30"/>
      <c r="BB2897" s="155"/>
      <c r="BC2897" s="314"/>
      <c r="BD2897" s="314"/>
      <c r="BE2897" s="314"/>
      <c r="BF2897" s="314"/>
      <c r="BG2897" s="314"/>
      <c r="BH2897" s="314"/>
      <c r="BI2897" s="314"/>
      <c r="BJ2897" s="314"/>
      <c r="BK2897" s="40"/>
      <c r="BL2897" s="40"/>
      <c r="BM2897" s="40"/>
      <c r="BN2897" s="40"/>
      <c r="BO2897" s="40"/>
      <c r="BP2897" s="155"/>
      <c r="BQ2897" s="314"/>
      <c r="BR2897" s="314"/>
      <c r="BS2897" s="314"/>
      <c r="BT2897" s="314"/>
      <c r="BU2897" s="314"/>
      <c r="BV2897" s="314"/>
      <c r="BW2897" s="314"/>
      <c r="BX2897" s="155"/>
    </row>
    <row r="2898" spans="1:76" ht="15.75" customHeight="1">
      <c r="A2898" s="25"/>
      <c r="B2898" s="39"/>
      <c r="C2898" s="155"/>
      <c r="D2898" s="155"/>
      <c r="E2898" s="40"/>
      <c r="F2898" s="314"/>
      <c r="H2898" s="315"/>
      <c r="I2898" s="315"/>
      <c r="BA2898" s="30"/>
      <c r="BB2898" s="155"/>
      <c r="BC2898" s="314"/>
      <c r="BD2898" s="314"/>
      <c r="BE2898" s="314"/>
      <c r="BF2898" s="314"/>
      <c r="BG2898" s="314"/>
      <c r="BH2898" s="314"/>
      <c r="BI2898" s="314"/>
      <c r="BJ2898" s="314"/>
      <c r="BK2898" s="40"/>
      <c r="BL2898" s="40"/>
      <c r="BM2898" s="40"/>
      <c r="BN2898" s="40"/>
      <c r="BO2898" s="40"/>
      <c r="BP2898" s="155"/>
      <c r="BQ2898" s="314"/>
      <c r="BR2898" s="314"/>
      <c r="BS2898" s="314"/>
      <c r="BT2898" s="314"/>
      <c r="BU2898" s="314"/>
      <c r="BV2898" s="314"/>
      <c r="BW2898" s="314"/>
      <c r="BX2898" s="155"/>
    </row>
    <row r="2899" spans="1:76" ht="15.75" customHeight="1">
      <c r="A2899" s="25"/>
      <c r="B2899" s="39"/>
      <c r="C2899" s="155"/>
      <c r="D2899" s="155"/>
      <c r="E2899" s="40"/>
      <c r="F2899" s="314"/>
      <c r="H2899" s="315"/>
      <c r="I2899" s="315"/>
      <c r="BA2899" s="30"/>
      <c r="BB2899" s="155"/>
      <c r="BC2899" s="314"/>
      <c r="BD2899" s="314"/>
      <c r="BE2899" s="314"/>
      <c r="BF2899" s="314"/>
      <c r="BG2899" s="314"/>
      <c r="BH2899" s="314"/>
      <c r="BI2899" s="314"/>
      <c r="BJ2899" s="314"/>
      <c r="BK2899" s="40"/>
      <c r="BL2899" s="40"/>
      <c r="BM2899" s="40"/>
      <c r="BN2899" s="40"/>
      <c r="BO2899" s="40"/>
      <c r="BP2899" s="155"/>
      <c r="BQ2899" s="314"/>
      <c r="BR2899" s="314"/>
      <c r="BS2899" s="314"/>
      <c r="BT2899" s="314"/>
      <c r="BU2899" s="314"/>
      <c r="BV2899" s="314"/>
      <c r="BW2899" s="314"/>
      <c r="BX2899" s="155"/>
    </row>
    <row r="2900" spans="1:76" ht="15.75" customHeight="1">
      <c r="A2900" s="25"/>
      <c r="B2900" s="39"/>
      <c r="C2900" s="155"/>
      <c r="D2900" s="155"/>
      <c r="E2900" s="40"/>
      <c r="F2900" s="314"/>
      <c r="H2900" s="315"/>
      <c r="I2900" s="315"/>
      <c r="BA2900" s="30"/>
      <c r="BB2900" s="155"/>
      <c r="BC2900" s="314"/>
      <c r="BD2900" s="314"/>
      <c r="BE2900" s="314"/>
      <c r="BF2900" s="314"/>
      <c r="BG2900" s="314"/>
      <c r="BH2900" s="314"/>
      <c r="BI2900" s="314"/>
      <c r="BJ2900" s="314"/>
      <c r="BK2900" s="40"/>
      <c r="BL2900" s="40"/>
      <c r="BM2900" s="40"/>
      <c r="BN2900" s="40"/>
      <c r="BO2900" s="40"/>
      <c r="BP2900" s="155"/>
      <c r="BQ2900" s="314"/>
      <c r="BR2900" s="314"/>
      <c r="BS2900" s="314"/>
      <c r="BT2900" s="314"/>
      <c r="BU2900" s="314"/>
      <c r="BV2900" s="314"/>
      <c r="BW2900" s="314"/>
      <c r="BX2900" s="155"/>
    </row>
    <row r="2901" spans="1:76" ht="15.75" customHeight="1">
      <c r="A2901" s="25"/>
      <c r="B2901" s="39"/>
      <c r="C2901" s="155"/>
      <c r="D2901" s="155"/>
      <c r="E2901" s="40"/>
      <c r="F2901" s="314"/>
      <c r="H2901" s="315"/>
      <c r="I2901" s="315"/>
      <c r="BA2901" s="30"/>
      <c r="BB2901" s="155"/>
      <c r="BC2901" s="314"/>
      <c r="BD2901" s="314"/>
      <c r="BE2901" s="314"/>
      <c r="BF2901" s="314"/>
      <c r="BG2901" s="314"/>
      <c r="BH2901" s="314"/>
      <c r="BI2901" s="314"/>
      <c r="BJ2901" s="314"/>
      <c r="BK2901" s="40"/>
      <c r="BL2901" s="40"/>
      <c r="BM2901" s="40"/>
      <c r="BN2901" s="40"/>
      <c r="BO2901" s="40"/>
      <c r="BP2901" s="155"/>
      <c r="BQ2901" s="314"/>
      <c r="BR2901" s="314"/>
      <c r="BS2901" s="314"/>
      <c r="BT2901" s="314"/>
      <c r="BU2901" s="314"/>
      <c r="BV2901" s="314"/>
      <c r="BW2901" s="314"/>
      <c r="BX2901" s="155"/>
    </row>
    <row r="2902" spans="1:76" ht="15.75" customHeight="1">
      <c r="A2902" s="25"/>
      <c r="B2902" s="39"/>
      <c r="C2902" s="155"/>
      <c r="D2902" s="155"/>
      <c r="E2902" s="40"/>
      <c r="F2902" s="314"/>
      <c r="H2902" s="315"/>
      <c r="I2902" s="315"/>
      <c r="BA2902" s="30"/>
      <c r="BB2902" s="155"/>
      <c r="BC2902" s="314"/>
      <c r="BD2902" s="314"/>
      <c r="BE2902" s="314"/>
      <c r="BF2902" s="314"/>
      <c r="BG2902" s="314"/>
      <c r="BH2902" s="314"/>
      <c r="BI2902" s="314"/>
      <c r="BJ2902" s="314"/>
      <c r="BK2902" s="40"/>
      <c r="BL2902" s="40"/>
      <c r="BM2902" s="40"/>
      <c r="BN2902" s="40"/>
      <c r="BO2902" s="40"/>
      <c r="BP2902" s="155"/>
      <c r="BQ2902" s="314"/>
      <c r="BR2902" s="314"/>
      <c r="BS2902" s="314"/>
      <c r="BT2902" s="314"/>
      <c r="BU2902" s="314"/>
      <c r="BV2902" s="314"/>
      <c r="BW2902" s="314"/>
      <c r="BX2902" s="155"/>
    </row>
    <row r="2903" spans="1:76" ht="15.75" customHeight="1">
      <c r="A2903" s="25"/>
      <c r="B2903" s="39"/>
      <c r="C2903" s="155"/>
      <c r="D2903" s="155"/>
      <c r="E2903" s="40"/>
      <c r="F2903" s="314"/>
      <c r="H2903" s="315"/>
      <c r="I2903" s="315"/>
      <c r="BA2903" s="30"/>
      <c r="BB2903" s="155"/>
      <c r="BC2903" s="314"/>
      <c r="BD2903" s="314"/>
      <c r="BE2903" s="314"/>
      <c r="BF2903" s="314"/>
      <c r="BG2903" s="314"/>
      <c r="BH2903" s="314"/>
      <c r="BI2903" s="314"/>
      <c r="BJ2903" s="314"/>
      <c r="BK2903" s="40"/>
      <c r="BL2903" s="40"/>
      <c r="BM2903" s="40"/>
      <c r="BN2903" s="40"/>
      <c r="BO2903" s="40"/>
      <c r="BP2903" s="155"/>
      <c r="BQ2903" s="314"/>
      <c r="BR2903" s="314"/>
      <c r="BS2903" s="314"/>
      <c r="BT2903" s="314"/>
      <c r="BU2903" s="314"/>
      <c r="BV2903" s="314"/>
      <c r="BW2903" s="314"/>
      <c r="BX2903" s="155"/>
    </row>
    <row r="2904" spans="1:76" ht="15.75" customHeight="1">
      <c r="A2904" s="25"/>
      <c r="B2904" s="39"/>
      <c r="C2904" s="155"/>
      <c r="D2904" s="155"/>
      <c r="E2904" s="40"/>
      <c r="F2904" s="314"/>
      <c r="H2904" s="315"/>
      <c r="I2904" s="315"/>
      <c r="BA2904" s="30"/>
      <c r="BB2904" s="155"/>
      <c r="BC2904" s="314"/>
      <c r="BD2904" s="314"/>
      <c r="BE2904" s="314"/>
      <c r="BF2904" s="314"/>
      <c r="BG2904" s="314"/>
      <c r="BH2904" s="314"/>
      <c r="BI2904" s="314"/>
      <c r="BJ2904" s="314"/>
      <c r="BK2904" s="40"/>
      <c r="BL2904" s="40"/>
      <c r="BM2904" s="40"/>
      <c r="BN2904" s="40"/>
      <c r="BO2904" s="40"/>
      <c r="BP2904" s="155"/>
      <c r="BQ2904" s="314"/>
      <c r="BR2904" s="314"/>
      <c r="BS2904" s="314"/>
      <c r="BT2904" s="314"/>
      <c r="BU2904" s="314"/>
      <c r="BV2904" s="314"/>
      <c r="BW2904" s="314"/>
      <c r="BX2904" s="155"/>
    </row>
    <row r="2905" spans="1:76" ht="15.75" customHeight="1">
      <c r="A2905" s="25"/>
      <c r="B2905" s="39"/>
      <c r="C2905" s="155"/>
      <c r="D2905" s="155"/>
      <c r="E2905" s="40"/>
      <c r="F2905" s="314"/>
      <c r="H2905" s="315"/>
      <c r="I2905" s="315"/>
      <c r="BA2905" s="30"/>
      <c r="BB2905" s="155"/>
      <c r="BC2905" s="314"/>
      <c r="BD2905" s="314"/>
      <c r="BE2905" s="314"/>
      <c r="BF2905" s="314"/>
      <c r="BG2905" s="314"/>
      <c r="BH2905" s="314"/>
      <c r="BI2905" s="314"/>
      <c r="BJ2905" s="314"/>
      <c r="BK2905" s="40"/>
      <c r="BL2905" s="40"/>
      <c r="BM2905" s="40"/>
      <c r="BN2905" s="40"/>
      <c r="BO2905" s="40"/>
      <c r="BP2905" s="155"/>
      <c r="BQ2905" s="314"/>
      <c r="BR2905" s="314"/>
      <c r="BS2905" s="314"/>
      <c r="BT2905" s="314"/>
      <c r="BU2905" s="314"/>
      <c r="BV2905" s="314"/>
      <c r="BW2905" s="314"/>
      <c r="BX2905" s="155"/>
    </row>
    <row r="2906" spans="1:76" ht="15.75" customHeight="1">
      <c r="A2906" s="25"/>
      <c r="B2906" s="39"/>
      <c r="C2906" s="155"/>
      <c r="D2906" s="155"/>
      <c r="E2906" s="40"/>
      <c r="F2906" s="314"/>
      <c r="H2906" s="315"/>
      <c r="I2906" s="315"/>
      <c r="BA2906" s="30"/>
      <c r="BB2906" s="155"/>
      <c r="BC2906" s="314"/>
      <c r="BD2906" s="314"/>
      <c r="BE2906" s="314"/>
      <c r="BF2906" s="314"/>
      <c r="BG2906" s="314"/>
      <c r="BH2906" s="314"/>
      <c r="BI2906" s="314"/>
      <c r="BJ2906" s="314"/>
      <c r="BK2906" s="40"/>
      <c r="BL2906" s="40"/>
      <c r="BM2906" s="40"/>
      <c r="BN2906" s="40"/>
      <c r="BO2906" s="40"/>
      <c r="BP2906" s="155"/>
      <c r="BQ2906" s="314"/>
      <c r="BR2906" s="314"/>
      <c r="BS2906" s="314"/>
      <c r="BT2906" s="314"/>
      <c r="BU2906" s="314"/>
      <c r="BV2906" s="314"/>
      <c r="BW2906" s="314"/>
      <c r="BX2906" s="155"/>
    </row>
    <row r="2907" spans="1:76" ht="15.75" customHeight="1">
      <c r="A2907" s="25"/>
      <c r="B2907" s="39"/>
      <c r="C2907" s="155"/>
      <c r="D2907" s="155"/>
      <c r="E2907" s="40"/>
      <c r="F2907" s="314"/>
      <c r="H2907" s="315"/>
      <c r="I2907" s="315"/>
      <c r="BA2907" s="30"/>
      <c r="BB2907" s="155"/>
      <c r="BC2907" s="314"/>
      <c r="BD2907" s="314"/>
      <c r="BE2907" s="314"/>
      <c r="BF2907" s="314"/>
      <c r="BG2907" s="314"/>
      <c r="BH2907" s="314"/>
      <c r="BI2907" s="314"/>
      <c r="BJ2907" s="314"/>
      <c r="BK2907" s="40"/>
      <c r="BL2907" s="40"/>
      <c r="BM2907" s="40"/>
      <c r="BN2907" s="40"/>
      <c r="BO2907" s="40"/>
      <c r="BP2907" s="155"/>
      <c r="BQ2907" s="314"/>
      <c r="BR2907" s="314"/>
      <c r="BS2907" s="314"/>
      <c r="BT2907" s="314"/>
      <c r="BU2907" s="314"/>
      <c r="BV2907" s="314"/>
      <c r="BW2907" s="314"/>
      <c r="BX2907" s="155"/>
    </row>
    <row r="2908" spans="1:76" ht="15.75" customHeight="1">
      <c r="A2908" s="25"/>
      <c r="B2908" s="39"/>
      <c r="C2908" s="155"/>
      <c r="D2908" s="155"/>
      <c r="E2908" s="40"/>
      <c r="F2908" s="314"/>
      <c r="H2908" s="315"/>
      <c r="I2908" s="315"/>
      <c r="BA2908" s="30"/>
      <c r="BB2908" s="155"/>
      <c r="BC2908" s="314"/>
      <c r="BD2908" s="314"/>
      <c r="BE2908" s="314"/>
      <c r="BF2908" s="314"/>
      <c r="BG2908" s="314"/>
      <c r="BH2908" s="314"/>
      <c r="BI2908" s="314"/>
      <c r="BJ2908" s="314"/>
      <c r="BK2908" s="40"/>
      <c r="BL2908" s="40"/>
      <c r="BM2908" s="40"/>
      <c r="BN2908" s="40"/>
      <c r="BO2908" s="40"/>
      <c r="BP2908" s="155"/>
      <c r="BQ2908" s="314"/>
      <c r="BR2908" s="314"/>
      <c r="BS2908" s="314"/>
      <c r="BT2908" s="314"/>
      <c r="BU2908" s="314"/>
      <c r="BV2908" s="314"/>
      <c r="BW2908" s="314"/>
      <c r="BX2908" s="155"/>
    </row>
    <row r="2909" spans="1:76" ht="15.75" customHeight="1">
      <c r="A2909" s="25"/>
      <c r="B2909" s="39"/>
      <c r="C2909" s="155"/>
      <c r="D2909" s="155"/>
      <c r="E2909" s="40"/>
      <c r="F2909" s="314"/>
      <c r="H2909" s="315"/>
      <c r="I2909" s="315"/>
      <c r="BA2909" s="30"/>
      <c r="BB2909" s="155"/>
      <c r="BC2909" s="314"/>
      <c r="BD2909" s="314"/>
      <c r="BE2909" s="314"/>
      <c r="BF2909" s="314"/>
      <c r="BG2909" s="314"/>
      <c r="BH2909" s="314"/>
      <c r="BI2909" s="314"/>
      <c r="BJ2909" s="314"/>
      <c r="BK2909" s="40"/>
      <c r="BL2909" s="40"/>
      <c r="BM2909" s="40"/>
      <c r="BN2909" s="40"/>
      <c r="BO2909" s="40"/>
      <c r="BP2909" s="155"/>
      <c r="BQ2909" s="314"/>
      <c r="BR2909" s="314"/>
      <c r="BS2909" s="314"/>
      <c r="BT2909" s="314"/>
      <c r="BU2909" s="314"/>
      <c r="BV2909" s="314"/>
      <c r="BW2909" s="314"/>
      <c r="BX2909" s="155"/>
    </row>
    <row r="2910" spans="1:76" ht="15.75" customHeight="1">
      <c r="A2910" s="25"/>
      <c r="B2910" s="39"/>
      <c r="C2910" s="155"/>
      <c r="D2910" s="155"/>
      <c r="E2910" s="40"/>
      <c r="F2910" s="314"/>
      <c r="H2910" s="315"/>
      <c r="I2910" s="315"/>
      <c r="BA2910" s="30"/>
      <c r="BB2910" s="155"/>
      <c r="BC2910" s="314"/>
      <c r="BD2910" s="314"/>
      <c r="BE2910" s="314"/>
      <c r="BF2910" s="314"/>
      <c r="BG2910" s="314"/>
      <c r="BH2910" s="314"/>
      <c r="BI2910" s="314"/>
      <c r="BJ2910" s="314"/>
      <c r="BK2910" s="40"/>
      <c r="BL2910" s="40"/>
      <c r="BM2910" s="40"/>
      <c r="BN2910" s="40"/>
      <c r="BO2910" s="40"/>
      <c r="BP2910" s="155"/>
      <c r="BQ2910" s="314"/>
      <c r="BR2910" s="314"/>
      <c r="BS2910" s="314"/>
      <c r="BT2910" s="314"/>
      <c r="BU2910" s="314"/>
      <c r="BV2910" s="314"/>
      <c r="BW2910" s="314"/>
      <c r="BX2910" s="155"/>
    </row>
    <row r="2911" spans="1:76" ht="15.75" customHeight="1">
      <c r="A2911" s="25"/>
      <c r="B2911" s="39"/>
      <c r="C2911" s="155"/>
      <c r="D2911" s="155"/>
      <c r="E2911" s="40"/>
      <c r="F2911" s="314"/>
      <c r="H2911" s="315"/>
      <c r="I2911" s="315"/>
      <c r="BA2911" s="30"/>
      <c r="BB2911" s="155"/>
      <c r="BC2911" s="314"/>
      <c r="BD2911" s="314"/>
      <c r="BE2911" s="314"/>
      <c r="BF2911" s="314"/>
      <c r="BG2911" s="314"/>
      <c r="BH2911" s="314"/>
      <c r="BI2911" s="314"/>
      <c r="BJ2911" s="314"/>
      <c r="BK2911" s="40"/>
      <c r="BL2911" s="40"/>
      <c r="BM2911" s="40"/>
      <c r="BN2911" s="40"/>
      <c r="BO2911" s="40"/>
      <c r="BP2911" s="155"/>
      <c r="BQ2911" s="314"/>
      <c r="BR2911" s="314"/>
      <c r="BS2911" s="314"/>
      <c r="BT2911" s="314"/>
      <c r="BU2911" s="314"/>
      <c r="BV2911" s="314"/>
      <c r="BW2911" s="314"/>
      <c r="BX2911" s="155"/>
    </row>
    <row r="2912" spans="1:76" ht="15.75" customHeight="1">
      <c r="A2912" s="25"/>
      <c r="B2912" s="39"/>
      <c r="C2912" s="155"/>
      <c r="D2912" s="155"/>
      <c r="E2912" s="40"/>
      <c r="F2912" s="314"/>
      <c r="H2912" s="315"/>
      <c r="I2912" s="315"/>
      <c r="BA2912" s="30"/>
      <c r="BB2912" s="155"/>
      <c r="BC2912" s="314"/>
      <c r="BD2912" s="314"/>
      <c r="BE2912" s="314"/>
      <c r="BF2912" s="314"/>
      <c r="BG2912" s="314"/>
      <c r="BH2912" s="314"/>
      <c r="BI2912" s="314"/>
      <c r="BJ2912" s="314"/>
      <c r="BK2912" s="40"/>
      <c r="BL2912" s="40"/>
      <c r="BM2912" s="40"/>
      <c r="BN2912" s="40"/>
      <c r="BO2912" s="40"/>
      <c r="BP2912" s="155"/>
      <c r="BQ2912" s="314"/>
      <c r="BR2912" s="314"/>
      <c r="BS2912" s="314"/>
      <c r="BT2912" s="314"/>
      <c r="BU2912" s="314"/>
      <c r="BV2912" s="314"/>
      <c r="BW2912" s="314"/>
      <c r="BX2912" s="155"/>
    </row>
    <row r="2913" spans="1:76" ht="15.75" customHeight="1">
      <c r="A2913" s="25"/>
      <c r="B2913" s="39"/>
      <c r="C2913" s="155"/>
      <c r="D2913" s="155"/>
      <c r="E2913" s="40"/>
      <c r="F2913" s="314"/>
      <c r="H2913" s="315"/>
      <c r="I2913" s="315"/>
      <c r="BA2913" s="30"/>
      <c r="BB2913" s="155"/>
      <c r="BC2913" s="314"/>
      <c r="BD2913" s="314"/>
      <c r="BE2913" s="314"/>
      <c r="BF2913" s="314"/>
      <c r="BG2913" s="314"/>
      <c r="BH2913" s="314"/>
      <c r="BI2913" s="314"/>
      <c r="BJ2913" s="314"/>
      <c r="BK2913" s="40"/>
      <c r="BL2913" s="40"/>
      <c r="BM2913" s="40"/>
      <c r="BN2913" s="40"/>
      <c r="BO2913" s="40"/>
      <c r="BP2913" s="155"/>
      <c r="BQ2913" s="314"/>
      <c r="BR2913" s="314"/>
      <c r="BS2913" s="314"/>
      <c r="BT2913" s="314"/>
      <c r="BU2913" s="314"/>
      <c r="BV2913" s="314"/>
      <c r="BW2913" s="314"/>
      <c r="BX2913" s="155"/>
    </row>
    <row r="2914" spans="1:76" ht="15.75" customHeight="1">
      <c r="A2914" s="25"/>
      <c r="B2914" s="39"/>
      <c r="C2914" s="155"/>
      <c r="D2914" s="155"/>
      <c r="E2914" s="40"/>
      <c r="F2914" s="314"/>
      <c r="H2914" s="315"/>
      <c r="I2914" s="315"/>
      <c r="BA2914" s="30"/>
      <c r="BB2914" s="155"/>
      <c r="BC2914" s="314"/>
      <c r="BD2914" s="314"/>
      <c r="BE2914" s="314"/>
      <c r="BF2914" s="314"/>
      <c r="BG2914" s="314"/>
      <c r="BH2914" s="314"/>
      <c r="BI2914" s="314"/>
      <c r="BJ2914" s="314"/>
      <c r="BK2914" s="40"/>
      <c r="BL2914" s="40"/>
      <c r="BM2914" s="40"/>
      <c r="BN2914" s="40"/>
      <c r="BO2914" s="40"/>
      <c r="BP2914" s="155"/>
      <c r="BQ2914" s="314"/>
      <c r="BR2914" s="314"/>
      <c r="BS2914" s="314"/>
      <c r="BT2914" s="314"/>
      <c r="BU2914" s="314"/>
      <c r="BV2914" s="314"/>
      <c r="BW2914" s="314"/>
      <c r="BX2914" s="155"/>
    </row>
    <row r="2915" spans="1:76" ht="15.75" customHeight="1">
      <c r="A2915" s="25"/>
      <c r="B2915" s="39"/>
      <c r="C2915" s="155"/>
      <c r="D2915" s="155"/>
      <c r="E2915" s="40"/>
      <c r="F2915" s="314"/>
      <c r="H2915" s="315"/>
      <c r="I2915" s="315"/>
      <c r="BA2915" s="30"/>
      <c r="BB2915" s="155"/>
      <c r="BC2915" s="314"/>
      <c r="BD2915" s="314"/>
      <c r="BE2915" s="314"/>
      <c r="BF2915" s="314"/>
      <c r="BG2915" s="314"/>
      <c r="BH2915" s="314"/>
      <c r="BI2915" s="314"/>
      <c r="BJ2915" s="314"/>
      <c r="BK2915" s="40"/>
      <c r="BL2915" s="40"/>
      <c r="BM2915" s="40"/>
      <c r="BN2915" s="40"/>
      <c r="BO2915" s="40"/>
      <c r="BP2915" s="155"/>
      <c r="BQ2915" s="314"/>
      <c r="BR2915" s="314"/>
      <c r="BS2915" s="314"/>
      <c r="BT2915" s="314"/>
      <c r="BU2915" s="314"/>
      <c r="BV2915" s="314"/>
      <c r="BW2915" s="314"/>
      <c r="BX2915" s="155"/>
    </row>
    <row r="2916" spans="1:76" ht="15.75" customHeight="1">
      <c r="A2916" s="25"/>
      <c r="B2916" s="39"/>
      <c r="C2916" s="155"/>
      <c r="D2916" s="155"/>
      <c r="E2916" s="40"/>
      <c r="F2916" s="314"/>
      <c r="H2916" s="315"/>
      <c r="I2916" s="315"/>
      <c r="BA2916" s="30"/>
      <c r="BB2916" s="155"/>
      <c r="BC2916" s="314"/>
      <c r="BD2916" s="314"/>
      <c r="BE2916" s="314"/>
      <c r="BF2916" s="314"/>
      <c r="BG2916" s="314"/>
      <c r="BH2916" s="314"/>
      <c r="BI2916" s="314"/>
      <c r="BJ2916" s="314"/>
      <c r="BK2916" s="40"/>
      <c r="BL2916" s="40"/>
      <c r="BM2916" s="40"/>
      <c r="BN2916" s="40"/>
      <c r="BO2916" s="40"/>
      <c r="BP2916" s="155"/>
      <c r="BQ2916" s="314"/>
      <c r="BR2916" s="314"/>
      <c r="BS2916" s="314"/>
      <c r="BT2916" s="314"/>
      <c r="BU2916" s="314"/>
      <c r="BV2916" s="314"/>
      <c r="BW2916" s="314"/>
      <c r="BX2916" s="155"/>
    </row>
    <row r="2917" spans="1:76" ht="15.75" customHeight="1">
      <c r="A2917" s="25"/>
      <c r="B2917" s="39"/>
      <c r="C2917" s="155"/>
      <c r="D2917" s="155"/>
      <c r="E2917" s="40"/>
      <c r="F2917" s="314"/>
      <c r="H2917" s="315"/>
      <c r="I2917" s="315"/>
      <c r="BA2917" s="30"/>
      <c r="BB2917" s="155"/>
      <c r="BC2917" s="314"/>
      <c r="BD2917" s="314"/>
      <c r="BE2917" s="314"/>
      <c r="BF2917" s="314"/>
      <c r="BG2917" s="314"/>
      <c r="BH2917" s="314"/>
      <c r="BI2917" s="314"/>
      <c r="BJ2917" s="314"/>
      <c r="BK2917" s="40"/>
      <c r="BL2917" s="40"/>
      <c r="BM2917" s="40"/>
      <c r="BN2917" s="40"/>
      <c r="BO2917" s="40"/>
      <c r="BP2917" s="155"/>
      <c r="BQ2917" s="314"/>
      <c r="BR2917" s="314"/>
      <c r="BS2917" s="314"/>
      <c r="BT2917" s="314"/>
      <c r="BU2917" s="314"/>
      <c r="BV2917" s="314"/>
      <c r="BW2917" s="314"/>
      <c r="BX2917" s="155"/>
    </row>
    <row r="2918" spans="1:76" ht="15.75" customHeight="1">
      <c r="A2918" s="25"/>
      <c r="B2918" s="39"/>
      <c r="C2918" s="155"/>
      <c r="D2918" s="155"/>
      <c r="E2918" s="40"/>
      <c r="F2918" s="314"/>
      <c r="H2918" s="315"/>
      <c r="I2918" s="315"/>
      <c r="BA2918" s="30"/>
      <c r="BB2918" s="155"/>
      <c r="BC2918" s="314"/>
      <c r="BD2918" s="314"/>
      <c r="BE2918" s="314"/>
      <c r="BF2918" s="314"/>
      <c r="BG2918" s="314"/>
      <c r="BH2918" s="314"/>
      <c r="BI2918" s="314"/>
      <c r="BJ2918" s="314"/>
      <c r="BK2918" s="40"/>
      <c r="BL2918" s="40"/>
      <c r="BM2918" s="40"/>
      <c r="BN2918" s="40"/>
      <c r="BO2918" s="40"/>
      <c r="BP2918" s="155"/>
      <c r="BQ2918" s="314"/>
      <c r="BR2918" s="314"/>
      <c r="BS2918" s="314"/>
      <c r="BT2918" s="314"/>
      <c r="BU2918" s="314"/>
      <c r="BV2918" s="314"/>
      <c r="BW2918" s="314"/>
      <c r="BX2918" s="155"/>
    </row>
    <row r="2919" spans="1:76" ht="15.75" customHeight="1">
      <c r="A2919" s="25"/>
      <c r="B2919" s="39"/>
      <c r="C2919" s="155"/>
      <c r="D2919" s="155"/>
      <c r="E2919" s="40"/>
      <c r="F2919" s="314"/>
      <c r="H2919" s="315"/>
      <c r="I2919" s="315"/>
      <c r="BA2919" s="30"/>
      <c r="BB2919" s="155"/>
      <c r="BC2919" s="314"/>
      <c r="BD2919" s="314"/>
      <c r="BE2919" s="314"/>
      <c r="BF2919" s="314"/>
      <c r="BG2919" s="314"/>
      <c r="BH2919" s="314"/>
      <c r="BI2919" s="314"/>
      <c r="BJ2919" s="314"/>
      <c r="BK2919" s="40"/>
      <c r="BL2919" s="40"/>
      <c r="BM2919" s="40"/>
      <c r="BN2919" s="40"/>
      <c r="BO2919" s="40"/>
      <c r="BP2919" s="155"/>
      <c r="BQ2919" s="314"/>
      <c r="BR2919" s="314"/>
      <c r="BS2919" s="314"/>
      <c r="BT2919" s="314"/>
      <c r="BU2919" s="314"/>
      <c r="BV2919" s="314"/>
      <c r="BW2919" s="314"/>
      <c r="BX2919" s="155"/>
    </row>
    <row r="2920" spans="1:76" ht="15.75" customHeight="1">
      <c r="A2920" s="25"/>
      <c r="B2920" s="39"/>
      <c r="C2920" s="155"/>
      <c r="D2920" s="155"/>
      <c r="E2920" s="40"/>
      <c r="F2920" s="314"/>
      <c r="H2920" s="315"/>
      <c r="I2920" s="315"/>
      <c r="BA2920" s="30"/>
      <c r="BB2920" s="155"/>
      <c r="BC2920" s="322"/>
      <c r="BD2920" s="322"/>
      <c r="BE2920" s="322"/>
      <c r="BF2920" s="322"/>
      <c r="BG2920" s="322"/>
      <c r="BH2920" s="322"/>
      <c r="BI2920" s="322"/>
      <c r="BJ2920" s="322"/>
      <c r="BK2920" s="341"/>
      <c r="BL2920" s="40"/>
      <c r="BM2920" s="40"/>
      <c r="BN2920" s="40"/>
      <c r="BO2920" s="40"/>
      <c r="BP2920" s="155"/>
      <c r="BQ2920" s="314"/>
      <c r="BR2920" s="314"/>
      <c r="BS2920" s="314"/>
      <c r="BT2920" s="314"/>
      <c r="BU2920" s="314"/>
      <c r="BV2920" s="314"/>
      <c r="BW2920" s="314"/>
      <c r="BX2920" s="155"/>
    </row>
    <row r="2921" spans="1:76" ht="15.75" customHeight="1">
      <c r="A2921" s="25"/>
      <c r="B2921" s="39"/>
      <c r="C2921" s="155"/>
      <c r="D2921" s="155"/>
      <c r="E2921" s="40"/>
      <c r="F2921" s="314"/>
      <c r="H2921" s="315"/>
      <c r="I2921" s="315"/>
      <c r="BA2921" s="30"/>
      <c r="BB2921" s="155"/>
      <c r="BC2921" s="314"/>
      <c r="BD2921" s="314"/>
      <c r="BE2921" s="314"/>
      <c r="BF2921" s="314"/>
      <c r="BG2921" s="314"/>
      <c r="BH2921" s="314"/>
      <c r="BI2921" s="314"/>
      <c r="BJ2921" s="314"/>
      <c r="BK2921" s="40"/>
      <c r="BL2921" s="40"/>
      <c r="BM2921" s="40"/>
      <c r="BN2921" s="40"/>
      <c r="BO2921" s="40"/>
      <c r="BP2921" s="155"/>
      <c r="BQ2921" s="314"/>
      <c r="BR2921" s="314"/>
      <c r="BS2921" s="314"/>
      <c r="BT2921" s="314"/>
      <c r="BU2921" s="314"/>
      <c r="BV2921" s="314"/>
      <c r="BW2921" s="314"/>
      <c r="BX2921" s="155"/>
    </row>
    <row r="2922" spans="1:76" ht="15.75" customHeight="1">
      <c r="A2922" s="25"/>
      <c r="B2922" s="39"/>
      <c r="C2922" s="155"/>
      <c r="D2922" s="155"/>
      <c r="E2922" s="40"/>
      <c r="F2922" s="314"/>
      <c r="H2922" s="315"/>
      <c r="I2922" s="315"/>
      <c r="BA2922" s="30"/>
      <c r="BB2922" s="155"/>
      <c r="BC2922" s="314"/>
      <c r="BD2922" s="314"/>
      <c r="BE2922" s="314"/>
      <c r="BF2922" s="314"/>
      <c r="BG2922" s="314"/>
      <c r="BH2922" s="314"/>
      <c r="BI2922" s="314"/>
      <c r="BJ2922" s="314"/>
      <c r="BK2922" s="40"/>
      <c r="BL2922" s="40"/>
      <c r="BM2922" s="40"/>
      <c r="BN2922" s="40"/>
      <c r="BO2922" s="40"/>
      <c r="BP2922" s="155"/>
      <c r="BQ2922" s="314"/>
      <c r="BR2922" s="314"/>
      <c r="BS2922" s="314"/>
      <c r="BT2922" s="314"/>
      <c r="BU2922" s="314"/>
      <c r="BV2922" s="314"/>
      <c r="BW2922" s="314"/>
      <c r="BX2922" s="155"/>
    </row>
    <row r="2923" spans="1:76" ht="15.75" customHeight="1">
      <c r="A2923" s="25"/>
      <c r="B2923" s="39"/>
      <c r="C2923" s="155"/>
      <c r="D2923" s="155"/>
      <c r="E2923" s="40"/>
      <c r="F2923" s="314"/>
      <c r="H2923" s="315"/>
      <c r="I2923" s="315"/>
      <c r="BA2923" s="30"/>
      <c r="BB2923" s="155"/>
      <c r="BC2923" s="314"/>
      <c r="BD2923" s="314"/>
      <c r="BE2923" s="314"/>
      <c r="BF2923" s="314"/>
      <c r="BG2923" s="314"/>
      <c r="BH2923" s="314"/>
      <c r="BI2923" s="314"/>
      <c r="BJ2923" s="314"/>
      <c r="BK2923" s="40"/>
      <c r="BL2923" s="40"/>
      <c r="BM2923" s="40"/>
      <c r="BN2923" s="40"/>
      <c r="BO2923" s="40"/>
      <c r="BP2923" s="155"/>
      <c r="BQ2923" s="314"/>
      <c r="BR2923" s="314"/>
      <c r="BS2923" s="314"/>
      <c r="BT2923" s="314"/>
      <c r="BU2923" s="314"/>
      <c r="BV2923" s="314"/>
      <c r="BW2923" s="314"/>
      <c r="BX2923" s="155"/>
    </row>
    <row r="2924" spans="1:76" ht="15.75" customHeight="1">
      <c r="A2924" s="25"/>
      <c r="B2924" s="39"/>
      <c r="C2924" s="155"/>
      <c r="D2924" s="155"/>
      <c r="E2924" s="40"/>
      <c r="F2924" s="314"/>
      <c r="H2924" s="315"/>
      <c r="I2924" s="315"/>
      <c r="BA2924" s="30"/>
      <c r="BB2924" s="155"/>
      <c r="BC2924" s="314"/>
      <c r="BD2924" s="314"/>
      <c r="BE2924" s="314"/>
      <c r="BF2924" s="314"/>
      <c r="BG2924" s="314"/>
      <c r="BH2924" s="314"/>
      <c r="BI2924" s="314"/>
      <c r="BJ2924" s="314"/>
      <c r="BK2924" s="40"/>
      <c r="BL2924" s="40"/>
      <c r="BM2924" s="40"/>
      <c r="BN2924" s="40"/>
      <c r="BO2924" s="40"/>
      <c r="BP2924" s="155"/>
      <c r="BQ2924" s="314"/>
      <c r="BR2924" s="314"/>
      <c r="BS2924" s="314"/>
      <c r="BT2924" s="314"/>
      <c r="BU2924" s="314"/>
      <c r="BV2924" s="314"/>
      <c r="BW2924" s="314"/>
      <c r="BX2924" s="155"/>
    </row>
    <row r="2925" spans="1:76" ht="15.75" customHeight="1">
      <c r="A2925" s="25"/>
      <c r="B2925" s="39"/>
      <c r="C2925" s="155"/>
      <c r="D2925" s="155"/>
      <c r="E2925" s="40"/>
      <c r="F2925" s="314"/>
      <c r="H2925" s="315"/>
      <c r="I2925" s="315"/>
      <c r="BA2925" s="30"/>
      <c r="BB2925" s="155"/>
      <c r="BC2925" s="314"/>
      <c r="BD2925" s="314"/>
      <c r="BE2925" s="314"/>
      <c r="BF2925" s="314"/>
      <c r="BG2925" s="314"/>
      <c r="BH2925" s="314"/>
      <c r="BI2925" s="314"/>
      <c r="BJ2925" s="314"/>
      <c r="BK2925" s="40"/>
      <c r="BL2925" s="40"/>
      <c r="BM2925" s="40"/>
      <c r="BN2925" s="40"/>
      <c r="BO2925" s="40"/>
      <c r="BP2925" s="155"/>
      <c r="BQ2925" s="314"/>
      <c r="BR2925" s="314"/>
      <c r="BS2925" s="314"/>
      <c r="BT2925" s="314"/>
      <c r="BU2925" s="314"/>
      <c r="BV2925" s="314"/>
      <c r="BW2925" s="314"/>
      <c r="BX2925" s="155"/>
    </row>
    <row r="2926" spans="1:76" ht="15.75" customHeight="1">
      <c r="A2926" s="25"/>
      <c r="B2926" s="39"/>
      <c r="C2926" s="155"/>
      <c r="D2926" s="155"/>
      <c r="E2926" s="40"/>
      <c r="F2926" s="314"/>
      <c r="H2926" s="315"/>
      <c r="I2926" s="315"/>
      <c r="BA2926" s="30"/>
      <c r="BB2926" s="155"/>
      <c r="BC2926" s="314"/>
      <c r="BD2926" s="314"/>
      <c r="BE2926" s="314"/>
      <c r="BF2926" s="314"/>
      <c r="BG2926" s="314"/>
      <c r="BH2926" s="314"/>
      <c r="BI2926" s="314"/>
      <c r="BJ2926" s="314"/>
      <c r="BK2926" s="40"/>
      <c r="BL2926" s="40"/>
      <c r="BM2926" s="40"/>
      <c r="BN2926" s="40"/>
      <c r="BO2926" s="40"/>
      <c r="BP2926" s="155"/>
      <c r="BQ2926" s="314"/>
      <c r="BR2926" s="314"/>
      <c r="BS2926" s="314"/>
      <c r="BT2926" s="314"/>
      <c r="BU2926" s="314"/>
      <c r="BV2926" s="314"/>
      <c r="BW2926" s="314"/>
      <c r="BX2926" s="155"/>
    </row>
    <row r="2927" spans="1:76" ht="15.75" customHeight="1">
      <c r="A2927" s="25"/>
      <c r="B2927" s="39"/>
      <c r="C2927" s="155"/>
      <c r="D2927" s="155"/>
      <c r="E2927" s="40"/>
      <c r="F2927" s="314"/>
      <c r="H2927" s="315"/>
      <c r="I2927" s="315"/>
      <c r="BA2927" s="30"/>
      <c r="BB2927" s="155"/>
      <c r="BC2927" s="314"/>
      <c r="BD2927" s="314"/>
      <c r="BE2927" s="314"/>
      <c r="BF2927" s="314"/>
      <c r="BG2927" s="314"/>
      <c r="BH2927" s="314"/>
      <c r="BI2927" s="314"/>
      <c r="BJ2927" s="314"/>
      <c r="BK2927" s="40"/>
      <c r="BL2927" s="40"/>
      <c r="BM2927" s="40"/>
      <c r="BN2927" s="40"/>
      <c r="BO2927" s="40"/>
      <c r="BP2927" s="155"/>
      <c r="BQ2927" s="314"/>
      <c r="BR2927" s="314"/>
      <c r="BS2927" s="314"/>
      <c r="BT2927" s="314"/>
      <c r="BU2927" s="314"/>
      <c r="BV2927" s="314"/>
      <c r="BW2927" s="314"/>
      <c r="BX2927" s="155"/>
    </row>
    <row r="2928" spans="1:76" ht="15.75" customHeight="1">
      <c r="A2928" s="25"/>
      <c r="B2928" s="39"/>
      <c r="C2928" s="155"/>
      <c r="D2928" s="155"/>
      <c r="E2928" s="40"/>
      <c r="F2928" s="314"/>
      <c r="H2928" s="315"/>
      <c r="I2928" s="315"/>
      <c r="BA2928" s="30"/>
      <c r="BB2928" s="155"/>
      <c r="BC2928" s="314"/>
      <c r="BD2928" s="314"/>
      <c r="BE2928" s="314"/>
      <c r="BF2928" s="314"/>
      <c r="BG2928" s="314"/>
      <c r="BH2928" s="314"/>
      <c r="BI2928" s="314"/>
      <c r="BJ2928" s="314"/>
      <c r="BK2928" s="40"/>
      <c r="BL2928" s="40"/>
      <c r="BM2928" s="40"/>
      <c r="BN2928" s="40"/>
      <c r="BO2928" s="40"/>
      <c r="BP2928" s="155"/>
      <c r="BQ2928" s="314"/>
      <c r="BR2928" s="314"/>
      <c r="BS2928" s="314"/>
      <c r="BT2928" s="314"/>
      <c r="BU2928" s="314"/>
      <c r="BV2928" s="314"/>
      <c r="BW2928" s="314"/>
      <c r="BX2928" s="155"/>
    </row>
    <row r="2929" spans="1:76" ht="15.75" customHeight="1">
      <c r="A2929" s="25"/>
      <c r="B2929" s="39"/>
      <c r="C2929" s="155"/>
      <c r="D2929" s="155"/>
      <c r="E2929" s="40"/>
      <c r="F2929" s="314"/>
      <c r="H2929" s="315"/>
      <c r="I2929" s="315"/>
      <c r="BA2929" s="30"/>
      <c r="BB2929" s="155"/>
      <c r="BC2929" s="314"/>
      <c r="BD2929" s="314"/>
      <c r="BE2929" s="314"/>
      <c r="BF2929" s="314"/>
      <c r="BG2929" s="314"/>
      <c r="BH2929" s="314"/>
      <c r="BI2929" s="314"/>
      <c r="BJ2929" s="314"/>
      <c r="BK2929" s="40"/>
      <c r="BL2929" s="40"/>
      <c r="BM2929" s="40"/>
      <c r="BN2929" s="40"/>
      <c r="BO2929" s="40"/>
      <c r="BP2929" s="155"/>
      <c r="BQ2929" s="314"/>
      <c r="BR2929" s="314"/>
      <c r="BS2929" s="314"/>
      <c r="BT2929" s="314"/>
      <c r="BU2929" s="314"/>
      <c r="BV2929" s="314"/>
      <c r="BW2929" s="314"/>
      <c r="BX2929" s="155"/>
    </row>
    <row r="2930" spans="1:76" ht="15.75" customHeight="1">
      <c r="A2930" s="25"/>
      <c r="B2930" s="39"/>
      <c r="C2930" s="155"/>
      <c r="D2930" s="155"/>
      <c r="E2930" s="40"/>
      <c r="F2930" s="314"/>
      <c r="H2930" s="315"/>
      <c r="I2930" s="315"/>
      <c r="BA2930" s="30"/>
      <c r="BB2930" s="155"/>
      <c r="BC2930" s="314"/>
      <c r="BD2930" s="314"/>
      <c r="BE2930" s="314"/>
      <c r="BF2930" s="314"/>
      <c r="BG2930" s="314"/>
      <c r="BH2930" s="314"/>
      <c r="BI2930" s="314"/>
      <c r="BJ2930" s="314"/>
      <c r="BK2930" s="40"/>
      <c r="BL2930" s="40"/>
      <c r="BM2930" s="40"/>
      <c r="BN2930" s="40"/>
      <c r="BO2930" s="40"/>
      <c r="BP2930" s="155"/>
      <c r="BQ2930" s="314"/>
      <c r="BR2930" s="314"/>
      <c r="BS2930" s="314"/>
      <c r="BT2930" s="314"/>
      <c r="BU2930" s="314"/>
      <c r="BV2930" s="314"/>
      <c r="BW2930" s="314"/>
      <c r="BX2930" s="155"/>
    </row>
    <row r="2931" spans="1:76" ht="15.75" customHeight="1">
      <c r="A2931" s="25"/>
      <c r="B2931" s="39"/>
      <c r="C2931" s="155"/>
      <c r="D2931" s="155"/>
      <c r="E2931" s="40"/>
      <c r="F2931" s="314"/>
      <c r="H2931" s="315"/>
      <c r="I2931" s="315"/>
      <c r="BA2931" s="30"/>
      <c r="BB2931" s="155"/>
      <c r="BC2931" s="314"/>
      <c r="BD2931" s="314"/>
      <c r="BE2931" s="314"/>
      <c r="BF2931" s="314"/>
      <c r="BG2931" s="314"/>
      <c r="BH2931" s="314"/>
      <c r="BI2931" s="314"/>
      <c r="BJ2931" s="314"/>
      <c r="BK2931" s="40"/>
      <c r="BL2931" s="40"/>
      <c r="BM2931" s="40"/>
      <c r="BN2931" s="40"/>
      <c r="BO2931" s="40"/>
      <c r="BP2931" s="155"/>
      <c r="BQ2931" s="314"/>
      <c r="BR2931" s="314"/>
      <c r="BS2931" s="314"/>
      <c r="BT2931" s="314"/>
      <c r="BU2931" s="314"/>
      <c r="BV2931" s="314"/>
      <c r="BW2931" s="314"/>
      <c r="BX2931" s="155"/>
    </row>
    <row r="2932" spans="1:76" ht="15.75" customHeight="1">
      <c r="A2932" s="25"/>
      <c r="B2932" s="39"/>
      <c r="C2932" s="155"/>
      <c r="D2932" s="155"/>
      <c r="E2932" s="40"/>
      <c r="F2932" s="314"/>
      <c r="H2932" s="315"/>
      <c r="I2932" s="315"/>
      <c r="BA2932" s="30"/>
      <c r="BB2932" s="155"/>
      <c r="BC2932" s="314"/>
      <c r="BD2932" s="314"/>
      <c r="BE2932" s="314"/>
      <c r="BF2932" s="314"/>
      <c r="BG2932" s="314"/>
      <c r="BH2932" s="314"/>
      <c r="BI2932" s="314"/>
      <c r="BJ2932" s="314"/>
      <c r="BK2932" s="40"/>
      <c r="BL2932" s="40"/>
      <c r="BM2932" s="40"/>
      <c r="BN2932" s="40"/>
      <c r="BO2932" s="40"/>
      <c r="BP2932" s="155"/>
      <c r="BQ2932" s="314"/>
      <c r="BR2932" s="314"/>
      <c r="BS2932" s="314"/>
      <c r="BT2932" s="314"/>
      <c r="BU2932" s="314"/>
      <c r="BV2932" s="314"/>
      <c r="BW2932" s="314"/>
      <c r="BX2932" s="155"/>
    </row>
    <row r="2933" spans="1:76" ht="15.75" customHeight="1">
      <c r="A2933" s="25"/>
      <c r="B2933" s="39"/>
      <c r="C2933" s="155"/>
      <c r="D2933" s="155"/>
      <c r="E2933" s="40"/>
      <c r="F2933" s="314"/>
      <c r="H2933" s="315"/>
      <c r="I2933" s="315"/>
      <c r="BA2933" s="30"/>
      <c r="BB2933" s="155"/>
      <c r="BC2933" s="314"/>
      <c r="BD2933" s="314"/>
      <c r="BE2933" s="314"/>
      <c r="BF2933" s="314"/>
      <c r="BG2933" s="314"/>
      <c r="BH2933" s="314"/>
      <c r="BI2933" s="314"/>
      <c r="BJ2933" s="314"/>
      <c r="BK2933" s="40"/>
      <c r="BL2933" s="40"/>
      <c r="BM2933" s="40"/>
      <c r="BN2933" s="40"/>
      <c r="BO2933" s="40"/>
      <c r="BP2933" s="155"/>
      <c r="BQ2933" s="314"/>
      <c r="BR2933" s="314"/>
      <c r="BS2933" s="314"/>
      <c r="BT2933" s="314"/>
      <c r="BU2933" s="314"/>
      <c r="BV2933" s="314"/>
      <c r="BW2933" s="314"/>
      <c r="BX2933" s="155"/>
    </row>
    <row r="2934" spans="1:76" ht="15.75" customHeight="1">
      <c r="A2934" s="25"/>
      <c r="B2934" s="39"/>
      <c r="C2934" s="155"/>
      <c r="D2934" s="155"/>
      <c r="E2934" s="40"/>
      <c r="F2934" s="314"/>
      <c r="H2934" s="315"/>
      <c r="I2934" s="315"/>
      <c r="BA2934" s="30"/>
      <c r="BB2934" s="155"/>
      <c r="BC2934" s="314"/>
      <c r="BD2934" s="314"/>
      <c r="BE2934" s="314"/>
      <c r="BF2934" s="314"/>
      <c r="BG2934" s="314"/>
      <c r="BH2934" s="314"/>
      <c r="BI2934" s="314"/>
      <c r="BJ2934" s="314"/>
      <c r="BK2934" s="40"/>
      <c r="BL2934" s="40"/>
      <c r="BM2934" s="40"/>
      <c r="BN2934" s="40"/>
      <c r="BO2934" s="40"/>
      <c r="BP2934" s="155"/>
      <c r="BQ2934" s="314"/>
      <c r="BR2934" s="314"/>
      <c r="BS2934" s="314"/>
      <c r="BT2934" s="314"/>
      <c r="BU2934" s="314"/>
      <c r="BV2934" s="314"/>
      <c r="BW2934" s="314"/>
      <c r="BX2934" s="155"/>
    </row>
    <row r="2935" spans="1:76" ht="15.75" customHeight="1">
      <c r="A2935" s="25"/>
      <c r="B2935" s="39"/>
      <c r="C2935" s="155"/>
      <c r="D2935" s="155"/>
      <c r="E2935" s="40"/>
      <c r="F2935" s="314"/>
      <c r="H2935" s="315"/>
      <c r="I2935" s="315"/>
      <c r="BA2935" s="30"/>
      <c r="BB2935" s="155"/>
      <c r="BC2935" s="314"/>
      <c r="BD2935" s="314"/>
      <c r="BE2935" s="314"/>
      <c r="BF2935" s="314"/>
      <c r="BG2935" s="314"/>
      <c r="BH2935" s="314"/>
      <c r="BI2935" s="314"/>
      <c r="BJ2935" s="314"/>
      <c r="BK2935" s="40"/>
      <c r="BL2935" s="40"/>
      <c r="BM2935" s="40"/>
      <c r="BN2935" s="40"/>
      <c r="BO2935" s="40"/>
      <c r="BP2935" s="155"/>
      <c r="BQ2935" s="314"/>
      <c r="BR2935" s="314"/>
      <c r="BS2935" s="314"/>
      <c r="BT2935" s="314"/>
      <c r="BU2935" s="314"/>
      <c r="BV2935" s="314"/>
      <c r="BW2935" s="314"/>
      <c r="BX2935" s="155"/>
    </row>
    <row r="2936" spans="1:76" ht="15.75" customHeight="1">
      <c r="A2936" s="25"/>
      <c r="B2936" s="39"/>
      <c r="C2936" s="155"/>
      <c r="D2936" s="155"/>
      <c r="E2936" s="40"/>
      <c r="F2936" s="314"/>
      <c r="H2936" s="315"/>
      <c r="I2936" s="315"/>
      <c r="BA2936" s="30"/>
      <c r="BB2936" s="155"/>
      <c r="BC2936" s="314"/>
      <c r="BD2936" s="314"/>
      <c r="BE2936" s="314"/>
      <c r="BF2936" s="314"/>
      <c r="BG2936" s="314"/>
      <c r="BH2936" s="314"/>
      <c r="BI2936" s="314"/>
      <c r="BJ2936" s="314"/>
      <c r="BK2936" s="40"/>
      <c r="BL2936" s="40"/>
      <c r="BM2936" s="40"/>
      <c r="BN2936" s="40"/>
      <c r="BO2936" s="40"/>
      <c r="BP2936" s="155"/>
      <c r="BQ2936" s="314"/>
      <c r="BR2936" s="314"/>
      <c r="BS2936" s="314"/>
      <c r="BT2936" s="314"/>
      <c r="BU2936" s="314"/>
      <c r="BV2936" s="314"/>
      <c r="BW2936" s="314"/>
      <c r="BX2936" s="155"/>
    </row>
    <row r="2937" spans="1:76" ht="15.75" customHeight="1">
      <c r="A2937" s="25"/>
      <c r="B2937" s="39"/>
      <c r="C2937" s="155"/>
      <c r="D2937" s="155"/>
      <c r="E2937" s="40"/>
      <c r="F2937" s="314"/>
      <c r="H2937" s="315"/>
      <c r="I2937" s="315"/>
      <c r="BA2937" s="30"/>
      <c r="BB2937" s="155"/>
      <c r="BC2937" s="314"/>
      <c r="BD2937" s="314"/>
      <c r="BE2937" s="314"/>
      <c r="BF2937" s="314"/>
      <c r="BG2937" s="314"/>
      <c r="BH2937" s="314"/>
      <c r="BI2937" s="314"/>
      <c r="BJ2937" s="314"/>
      <c r="BK2937" s="40"/>
      <c r="BL2937" s="40"/>
      <c r="BM2937" s="40"/>
      <c r="BN2937" s="40"/>
      <c r="BO2937" s="40"/>
      <c r="BP2937" s="155"/>
      <c r="BQ2937" s="314"/>
      <c r="BR2937" s="314"/>
      <c r="BS2937" s="314"/>
      <c r="BT2937" s="314"/>
      <c r="BU2937" s="314"/>
      <c r="BV2937" s="314"/>
      <c r="BW2937" s="314"/>
      <c r="BX2937" s="155"/>
    </row>
    <row r="2938" spans="1:76" ht="15.75" customHeight="1">
      <c r="A2938" s="25"/>
      <c r="B2938" s="39"/>
      <c r="C2938" s="155"/>
      <c r="D2938" s="155"/>
      <c r="E2938" s="40"/>
      <c r="F2938" s="314"/>
      <c r="H2938" s="315"/>
      <c r="I2938" s="315"/>
      <c r="BA2938" s="30"/>
      <c r="BB2938" s="155"/>
      <c r="BC2938" s="314"/>
      <c r="BD2938" s="314"/>
      <c r="BE2938" s="314"/>
      <c r="BF2938" s="314"/>
      <c r="BG2938" s="314"/>
      <c r="BH2938" s="314"/>
      <c r="BI2938" s="314"/>
      <c r="BJ2938" s="314"/>
      <c r="BK2938" s="40"/>
      <c r="BL2938" s="40"/>
      <c r="BM2938" s="40"/>
      <c r="BN2938" s="40"/>
      <c r="BO2938" s="40"/>
      <c r="BP2938" s="155"/>
      <c r="BQ2938" s="314"/>
      <c r="BR2938" s="314"/>
      <c r="BS2938" s="314"/>
      <c r="BT2938" s="314"/>
      <c r="BU2938" s="314"/>
      <c r="BV2938" s="314"/>
      <c r="BW2938" s="314"/>
      <c r="BX2938" s="155"/>
    </row>
    <row r="2939" spans="1:76" ht="15.75" customHeight="1">
      <c r="A2939" s="25"/>
      <c r="B2939" s="39"/>
      <c r="C2939" s="155"/>
      <c r="D2939" s="155"/>
      <c r="E2939" s="40"/>
      <c r="F2939" s="314"/>
      <c r="H2939" s="315"/>
      <c r="I2939" s="315"/>
      <c r="BA2939" s="30"/>
      <c r="BB2939" s="155"/>
      <c r="BC2939" s="314"/>
      <c r="BD2939" s="314"/>
      <c r="BE2939" s="314"/>
      <c r="BF2939" s="314"/>
      <c r="BG2939" s="314"/>
      <c r="BH2939" s="314"/>
      <c r="BI2939" s="314"/>
      <c r="BJ2939" s="314"/>
      <c r="BK2939" s="40"/>
      <c r="BL2939" s="40"/>
      <c r="BM2939" s="40"/>
      <c r="BN2939" s="40"/>
      <c r="BO2939" s="40"/>
      <c r="BP2939" s="155"/>
      <c r="BQ2939" s="314"/>
      <c r="BR2939" s="314"/>
      <c r="BS2939" s="314"/>
      <c r="BT2939" s="314"/>
      <c r="BU2939" s="314"/>
      <c r="BV2939" s="314"/>
      <c r="BW2939" s="314"/>
      <c r="BX2939" s="155"/>
    </row>
    <row r="2940" spans="1:76" ht="15.75" customHeight="1">
      <c r="A2940" s="25"/>
      <c r="B2940" s="39"/>
      <c r="C2940" s="155"/>
      <c r="D2940" s="155"/>
      <c r="E2940" s="40"/>
      <c r="F2940" s="314"/>
      <c r="H2940" s="315"/>
      <c r="I2940" s="315"/>
      <c r="BA2940" s="30"/>
      <c r="BB2940" s="155"/>
      <c r="BC2940" s="314"/>
      <c r="BD2940" s="314"/>
      <c r="BE2940" s="314"/>
      <c r="BF2940" s="314"/>
      <c r="BG2940" s="314"/>
      <c r="BH2940" s="314"/>
      <c r="BI2940" s="314"/>
      <c r="BJ2940" s="314"/>
      <c r="BK2940" s="40"/>
      <c r="BL2940" s="40"/>
      <c r="BM2940" s="40"/>
      <c r="BN2940" s="40"/>
      <c r="BO2940" s="40"/>
      <c r="BP2940" s="155"/>
      <c r="BQ2940" s="314"/>
      <c r="BR2940" s="314"/>
      <c r="BS2940" s="314"/>
      <c r="BT2940" s="314"/>
      <c r="BU2940" s="314"/>
      <c r="BV2940" s="314"/>
      <c r="BW2940" s="314"/>
      <c r="BX2940" s="155"/>
    </row>
    <row r="2941" spans="1:76" ht="15.75" customHeight="1">
      <c r="A2941" s="25"/>
      <c r="B2941" s="39"/>
      <c r="C2941" s="155"/>
      <c r="D2941" s="155"/>
      <c r="E2941" s="40"/>
      <c r="F2941" s="314"/>
      <c r="H2941" s="315"/>
      <c r="I2941" s="315"/>
      <c r="BA2941" s="30"/>
      <c r="BB2941" s="155"/>
      <c r="BC2941" s="314"/>
      <c r="BD2941" s="314"/>
      <c r="BE2941" s="314"/>
      <c r="BF2941" s="314"/>
      <c r="BG2941" s="314"/>
      <c r="BH2941" s="314"/>
      <c r="BI2941" s="314"/>
      <c r="BJ2941" s="314"/>
      <c r="BK2941" s="40"/>
      <c r="BL2941" s="40"/>
      <c r="BM2941" s="40"/>
      <c r="BN2941" s="40"/>
      <c r="BO2941" s="40"/>
      <c r="BP2941" s="155"/>
      <c r="BQ2941" s="314"/>
      <c r="BR2941" s="314"/>
      <c r="BS2941" s="314"/>
      <c r="BT2941" s="314"/>
      <c r="BU2941" s="314"/>
      <c r="BV2941" s="314"/>
      <c r="BW2941" s="314"/>
      <c r="BX2941" s="155"/>
    </row>
    <row r="2942" spans="1:76" ht="15.75" customHeight="1">
      <c r="A2942" s="25"/>
      <c r="B2942" s="39"/>
      <c r="C2942" s="155"/>
      <c r="D2942" s="155"/>
      <c r="E2942" s="40"/>
      <c r="F2942" s="314"/>
      <c r="H2942" s="315"/>
      <c r="I2942" s="315"/>
      <c r="BA2942" s="30"/>
      <c r="BB2942" s="155"/>
      <c r="BC2942" s="314"/>
      <c r="BD2942" s="314"/>
      <c r="BE2942" s="314"/>
      <c r="BF2942" s="314"/>
      <c r="BG2942" s="314"/>
      <c r="BH2942" s="314"/>
      <c r="BI2942" s="314"/>
      <c r="BJ2942" s="314"/>
      <c r="BK2942" s="40"/>
      <c r="BL2942" s="40"/>
      <c r="BM2942" s="40"/>
      <c r="BN2942" s="40"/>
      <c r="BO2942" s="40"/>
      <c r="BP2942" s="155"/>
      <c r="BQ2942" s="314"/>
      <c r="BR2942" s="314"/>
      <c r="BS2942" s="314"/>
      <c r="BT2942" s="314"/>
      <c r="BU2942" s="314"/>
      <c r="BV2942" s="314"/>
      <c r="BW2942" s="314"/>
      <c r="BX2942" s="155"/>
    </row>
    <row r="2943" spans="1:76" ht="15.75" customHeight="1">
      <c r="A2943" s="25"/>
      <c r="B2943" s="39"/>
      <c r="C2943" s="155"/>
      <c r="D2943" s="155"/>
      <c r="E2943" s="40"/>
      <c r="F2943" s="314"/>
      <c r="H2943" s="315"/>
      <c r="I2943" s="315"/>
      <c r="BA2943" s="30"/>
      <c r="BB2943" s="155"/>
      <c r="BC2943" s="314"/>
      <c r="BD2943" s="314"/>
      <c r="BE2943" s="314"/>
      <c r="BF2943" s="314"/>
      <c r="BG2943" s="314"/>
      <c r="BH2943" s="314"/>
      <c r="BI2943" s="314"/>
      <c r="BJ2943" s="314"/>
      <c r="BK2943" s="40"/>
      <c r="BL2943" s="40"/>
      <c r="BM2943" s="40"/>
      <c r="BN2943" s="40"/>
      <c r="BO2943" s="40"/>
      <c r="BP2943" s="155"/>
      <c r="BQ2943" s="314"/>
      <c r="BR2943" s="314"/>
      <c r="BS2943" s="314"/>
      <c r="BT2943" s="314"/>
      <c r="BU2943" s="314"/>
      <c r="BV2943" s="314"/>
      <c r="BW2943" s="314"/>
      <c r="BX2943" s="155"/>
    </row>
    <row r="2944" spans="1:76" ht="15.75" customHeight="1">
      <c r="A2944" s="25"/>
      <c r="B2944" s="39"/>
      <c r="C2944" s="155"/>
      <c r="D2944" s="155"/>
      <c r="E2944" s="40"/>
      <c r="F2944" s="314"/>
      <c r="H2944" s="315"/>
      <c r="I2944" s="315"/>
      <c r="BA2944" s="30"/>
      <c r="BB2944" s="155"/>
      <c r="BC2944" s="314"/>
      <c r="BD2944" s="314"/>
      <c r="BE2944" s="314"/>
      <c r="BF2944" s="314"/>
      <c r="BG2944" s="314"/>
      <c r="BH2944" s="314"/>
      <c r="BI2944" s="314"/>
      <c r="BJ2944" s="314"/>
      <c r="BK2944" s="40"/>
      <c r="BL2944" s="40"/>
      <c r="BM2944" s="40"/>
      <c r="BN2944" s="40"/>
      <c r="BO2944" s="40"/>
      <c r="BP2944" s="155"/>
      <c r="BQ2944" s="314"/>
      <c r="BR2944" s="314"/>
      <c r="BS2944" s="314"/>
      <c r="BT2944" s="314"/>
      <c r="BU2944" s="314"/>
      <c r="BV2944" s="314"/>
      <c r="BW2944" s="314"/>
      <c r="BX2944" s="155"/>
    </row>
    <row r="2945" spans="1:76" ht="15.75" customHeight="1">
      <c r="A2945" s="25"/>
      <c r="B2945" s="39"/>
      <c r="C2945" s="155"/>
      <c r="D2945" s="155"/>
      <c r="E2945" s="40"/>
      <c r="F2945" s="314"/>
      <c r="H2945" s="315"/>
      <c r="I2945" s="315"/>
      <c r="BA2945" s="30"/>
      <c r="BB2945" s="155"/>
      <c r="BC2945" s="314"/>
      <c r="BD2945" s="314"/>
      <c r="BE2945" s="314"/>
      <c r="BF2945" s="314"/>
      <c r="BG2945" s="314"/>
      <c r="BH2945" s="314"/>
      <c r="BI2945" s="314"/>
      <c r="BJ2945" s="314"/>
      <c r="BK2945" s="40"/>
      <c r="BL2945" s="40"/>
      <c r="BM2945" s="40"/>
      <c r="BN2945" s="40"/>
      <c r="BO2945" s="40"/>
      <c r="BP2945" s="155"/>
      <c r="BQ2945" s="314"/>
      <c r="BR2945" s="314"/>
      <c r="BS2945" s="314"/>
      <c r="BT2945" s="314"/>
      <c r="BU2945" s="314"/>
      <c r="BV2945" s="314"/>
      <c r="BW2945" s="314"/>
      <c r="BX2945" s="155"/>
    </row>
    <row r="2946" spans="1:76" ht="15.75" customHeight="1">
      <c r="A2946" s="25"/>
      <c r="B2946" s="39"/>
      <c r="C2946" s="155"/>
      <c r="D2946" s="155"/>
      <c r="E2946" s="40"/>
      <c r="F2946" s="314"/>
      <c r="H2946" s="315"/>
      <c r="I2946" s="315"/>
      <c r="BA2946" s="30"/>
      <c r="BB2946" s="155"/>
      <c r="BC2946" s="314"/>
      <c r="BD2946" s="314"/>
      <c r="BE2946" s="314"/>
      <c r="BF2946" s="314"/>
      <c r="BG2946" s="314"/>
      <c r="BH2946" s="314"/>
      <c r="BI2946" s="314"/>
      <c r="BJ2946" s="314"/>
      <c r="BK2946" s="40"/>
      <c r="BL2946" s="40"/>
      <c r="BM2946" s="40"/>
      <c r="BN2946" s="40"/>
      <c r="BO2946" s="40"/>
      <c r="BP2946" s="155"/>
      <c r="BQ2946" s="314"/>
      <c r="BR2946" s="314"/>
      <c r="BS2946" s="314"/>
      <c r="BT2946" s="314"/>
      <c r="BU2946" s="314"/>
      <c r="BV2946" s="314"/>
      <c r="BW2946" s="314"/>
      <c r="BX2946" s="155"/>
    </row>
    <row r="2947" spans="1:76" ht="15.75" customHeight="1">
      <c r="A2947" s="25"/>
      <c r="B2947" s="39"/>
      <c r="C2947" s="155"/>
      <c r="D2947" s="155"/>
      <c r="E2947" s="40"/>
      <c r="F2947" s="314"/>
      <c r="H2947" s="315"/>
      <c r="I2947" s="315"/>
      <c r="BA2947" s="30"/>
      <c r="BB2947" s="155"/>
      <c r="BC2947" s="314"/>
      <c r="BD2947" s="314"/>
      <c r="BE2947" s="314"/>
      <c r="BF2947" s="314"/>
      <c r="BG2947" s="314"/>
      <c r="BH2947" s="314"/>
      <c r="BI2947" s="314"/>
      <c r="BJ2947" s="314"/>
      <c r="BK2947" s="40"/>
      <c r="BL2947" s="40"/>
      <c r="BM2947" s="40"/>
      <c r="BN2947" s="40"/>
      <c r="BO2947" s="40"/>
      <c r="BP2947" s="155"/>
      <c r="BQ2947" s="314"/>
      <c r="BR2947" s="314"/>
      <c r="BS2947" s="314"/>
      <c r="BT2947" s="314"/>
      <c r="BU2947" s="314"/>
      <c r="BV2947" s="314"/>
      <c r="BW2947" s="314"/>
      <c r="BX2947" s="155"/>
    </row>
    <row r="2948" spans="1:76" ht="15.75" customHeight="1">
      <c r="A2948" s="25"/>
      <c r="B2948" s="39"/>
      <c r="C2948" s="155"/>
      <c r="D2948" s="155"/>
      <c r="E2948" s="40"/>
      <c r="F2948" s="314"/>
      <c r="H2948" s="315"/>
      <c r="I2948" s="315"/>
      <c r="BA2948" s="30"/>
      <c r="BB2948" s="155"/>
      <c r="BC2948" s="314"/>
      <c r="BD2948" s="314"/>
      <c r="BE2948" s="314"/>
      <c r="BF2948" s="314"/>
      <c r="BG2948" s="314"/>
      <c r="BH2948" s="314"/>
      <c r="BI2948" s="314"/>
      <c r="BJ2948" s="314"/>
      <c r="BK2948" s="40"/>
      <c r="BL2948" s="40"/>
      <c r="BM2948" s="40"/>
      <c r="BN2948" s="40"/>
      <c r="BO2948" s="40"/>
      <c r="BP2948" s="155"/>
      <c r="BQ2948" s="314"/>
      <c r="BR2948" s="314"/>
      <c r="BS2948" s="314"/>
      <c r="BT2948" s="314"/>
      <c r="BU2948" s="314"/>
      <c r="BV2948" s="314"/>
      <c r="BW2948" s="314"/>
      <c r="BX2948" s="155"/>
    </row>
    <row r="2949" spans="1:76" ht="15.75" customHeight="1">
      <c r="A2949" s="25"/>
      <c r="B2949" s="39"/>
      <c r="C2949" s="155"/>
      <c r="D2949" s="155"/>
      <c r="E2949" s="40"/>
      <c r="F2949" s="314"/>
      <c r="H2949" s="315"/>
      <c r="I2949" s="315"/>
      <c r="BA2949" s="30"/>
      <c r="BB2949" s="155"/>
      <c r="BC2949" s="314"/>
      <c r="BD2949" s="314"/>
      <c r="BE2949" s="314"/>
      <c r="BF2949" s="314"/>
      <c r="BG2949" s="314"/>
      <c r="BH2949" s="314"/>
      <c r="BI2949" s="314"/>
      <c r="BJ2949" s="314"/>
      <c r="BK2949" s="40"/>
      <c r="BL2949" s="40"/>
      <c r="BM2949" s="40"/>
      <c r="BN2949" s="40"/>
      <c r="BO2949" s="40"/>
      <c r="BP2949" s="155"/>
      <c r="BQ2949" s="314"/>
      <c r="BR2949" s="314"/>
      <c r="BS2949" s="314"/>
      <c r="BT2949" s="314"/>
      <c r="BU2949" s="314"/>
      <c r="BV2949" s="314"/>
      <c r="BW2949" s="314"/>
      <c r="BX2949" s="155"/>
    </row>
    <row r="2950" spans="1:76" ht="15.75" customHeight="1">
      <c r="A2950" s="25"/>
      <c r="B2950" s="39"/>
      <c r="C2950" s="155"/>
      <c r="D2950" s="155"/>
      <c r="E2950" s="40"/>
      <c r="F2950" s="314"/>
      <c r="H2950" s="315"/>
      <c r="I2950" s="315"/>
      <c r="BA2950" s="30"/>
      <c r="BB2950" s="155"/>
      <c r="BC2950" s="314"/>
      <c r="BD2950" s="314"/>
      <c r="BE2950" s="314"/>
      <c r="BF2950" s="314"/>
      <c r="BG2950" s="314"/>
      <c r="BH2950" s="314"/>
      <c r="BI2950" s="314"/>
      <c r="BJ2950" s="314"/>
      <c r="BK2950" s="40"/>
      <c r="BL2950" s="40"/>
      <c r="BM2950" s="40"/>
      <c r="BN2950" s="40"/>
      <c r="BO2950" s="40"/>
      <c r="BP2950" s="155"/>
      <c r="BQ2950" s="314"/>
      <c r="BR2950" s="314"/>
      <c r="BS2950" s="314"/>
      <c r="BT2950" s="314"/>
      <c r="BU2950" s="314"/>
      <c r="BV2950" s="314"/>
      <c r="BW2950" s="314"/>
      <c r="BX2950" s="155"/>
    </row>
    <row r="2951" spans="1:76" ht="15.75" customHeight="1">
      <c r="A2951" s="25"/>
      <c r="B2951" s="39"/>
      <c r="C2951" s="155"/>
      <c r="D2951" s="155"/>
      <c r="E2951" s="40"/>
      <c r="F2951" s="314"/>
      <c r="H2951" s="315"/>
      <c r="I2951" s="315"/>
      <c r="BA2951" s="30"/>
      <c r="BB2951" s="155"/>
      <c r="BC2951" s="322"/>
      <c r="BD2951" s="322"/>
      <c r="BE2951" s="322"/>
      <c r="BF2951" s="322"/>
      <c r="BG2951" s="322"/>
      <c r="BH2951" s="322"/>
      <c r="BI2951" s="322"/>
      <c r="BJ2951" s="322"/>
      <c r="BK2951" s="341"/>
      <c r="BL2951" s="40"/>
      <c r="BM2951" s="40"/>
      <c r="BN2951" s="40"/>
      <c r="BO2951" s="40"/>
      <c r="BP2951" s="155"/>
      <c r="BQ2951" s="314"/>
      <c r="BR2951" s="314"/>
      <c r="BS2951" s="314"/>
      <c r="BT2951" s="314"/>
      <c r="BU2951" s="314"/>
      <c r="BV2951" s="314"/>
      <c r="BW2951" s="314"/>
      <c r="BX2951" s="155"/>
    </row>
    <row r="2952" spans="1:76" ht="15.75" customHeight="1">
      <c r="A2952" s="25"/>
      <c r="B2952" s="39"/>
      <c r="C2952" s="155"/>
      <c r="D2952" s="155"/>
      <c r="E2952" s="40"/>
      <c r="F2952" s="314"/>
      <c r="H2952" s="315"/>
      <c r="I2952" s="315"/>
      <c r="BA2952" s="30"/>
      <c r="BB2952" s="155"/>
      <c r="BC2952" s="314"/>
      <c r="BD2952" s="314"/>
      <c r="BE2952" s="314"/>
      <c r="BF2952" s="314"/>
      <c r="BG2952" s="314"/>
      <c r="BH2952" s="314"/>
      <c r="BI2952" s="314"/>
      <c r="BJ2952" s="314"/>
      <c r="BK2952" s="40"/>
      <c r="BL2952" s="40"/>
      <c r="BM2952" s="40"/>
      <c r="BN2952" s="40"/>
      <c r="BO2952" s="40"/>
      <c r="BP2952" s="155"/>
      <c r="BQ2952" s="314"/>
      <c r="BR2952" s="314"/>
      <c r="BS2952" s="314"/>
      <c r="BT2952" s="314"/>
      <c r="BU2952" s="314"/>
      <c r="BV2952" s="314"/>
      <c r="BW2952" s="314"/>
      <c r="BX2952" s="155"/>
    </row>
    <row r="2953" spans="1:76" ht="15.75" customHeight="1">
      <c r="A2953" s="25"/>
      <c r="B2953" s="39"/>
      <c r="C2953" s="155"/>
      <c r="D2953" s="155"/>
      <c r="E2953" s="40"/>
      <c r="F2953" s="314"/>
      <c r="H2953" s="315"/>
      <c r="I2953" s="315"/>
      <c r="BA2953" s="30"/>
      <c r="BB2953" s="155"/>
      <c r="BC2953" s="314"/>
      <c r="BD2953" s="314"/>
      <c r="BE2953" s="314"/>
      <c r="BF2953" s="314"/>
      <c r="BG2953" s="314"/>
      <c r="BH2953" s="314"/>
      <c r="BI2953" s="314"/>
      <c r="BJ2953" s="314"/>
      <c r="BK2953" s="40"/>
      <c r="BL2953" s="40"/>
      <c r="BM2953" s="40"/>
      <c r="BN2953" s="40"/>
      <c r="BO2953" s="40"/>
      <c r="BP2953" s="155"/>
      <c r="BQ2953" s="314"/>
      <c r="BR2953" s="314"/>
      <c r="BS2953" s="314"/>
      <c r="BT2953" s="314"/>
      <c r="BU2953" s="314"/>
      <c r="BV2953" s="314"/>
      <c r="BW2953" s="314"/>
      <c r="BX2953" s="155"/>
    </row>
    <row r="2954" spans="1:76" ht="15.75" customHeight="1">
      <c r="A2954" s="25"/>
      <c r="B2954" s="39"/>
      <c r="C2954" s="155"/>
      <c r="D2954" s="155"/>
      <c r="E2954" s="40"/>
      <c r="F2954" s="314"/>
      <c r="H2954" s="315"/>
      <c r="I2954" s="315"/>
      <c r="BA2954" s="30"/>
      <c r="BB2954" s="155"/>
      <c r="BC2954" s="314"/>
      <c r="BD2954" s="314"/>
      <c r="BE2954" s="314"/>
      <c r="BF2954" s="314"/>
      <c r="BG2954" s="314"/>
      <c r="BH2954" s="314"/>
      <c r="BI2954" s="314"/>
      <c r="BJ2954" s="314"/>
      <c r="BK2954" s="40"/>
      <c r="BL2954" s="40"/>
      <c r="BM2954" s="40"/>
      <c r="BN2954" s="40"/>
      <c r="BO2954" s="40"/>
      <c r="BP2954" s="155"/>
      <c r="BQ2954" s="314"/>
      <c r="BR2954" s="314"/>
      <c r="BS2954" s="314"/>
      <c r="BT2954" s="314"/>
      <c r="BU2954" s="314"/>
      <c r="BV2954" s="314"/>
      <c r="BW2954" s="314"/>
      <c r="BX2954" s="155"/>
    </row>
    <row r="2955" spans="1:76" ht="15.75" customHeight="1">
      <c r="A2955" s="25"/>
      <c r="B2955" s="39"/>
      <c r="C2955" s="155"/>
      <c r="D2955" s="155"/>
      <c r="E2955" s="40"/>
      <c r="F2955" s="314"/>
      <c r="H2955" s="315"/>
      <c r="I2955" s="315"/>
      <c r="BA2955" s="30"/>
      <c r="BB2955" s="155"/>
      <c r="BC2955" s="314"/>
      <c r="BD2955" s="314"/>
      <c r="BE2955" s="314"/>
      <c r="BF2955" s="314"/>
      <c r="BG2955" s="314"/>
      <c r="BH2955" s="314"/>
      <c r="BI2955" s="314"/>
      <c r="BJ2955" s="314"/>
      <c r="BK2955" s="40"/>
      <c r="BL2955" s="40"/>
      <c r="BM2955" s="40"/>
      <c r="BN2955" s="40"/>
      <c r="BO2955" s="40"/>
      <c r="BP2955" s="155"/>
      <c r="BQ2955" s="314"/>
      <c r="BR2955" s="314"/>
      <c r="BS2955" s="314"/>
      <c r="BT2955" s="314"/>
      <c r="BU2955" s="314"/>
      <c r="BV2955" s="314"/>
      <c r="BW2955" s="314"/>
      <c r="BX2955" s="155"/>
    </row>
    <row r="2956" spans="1:76" ht="15.75" customHeight="1">
      <c r="A2956" s="25"/>
      <c r="B2956" s="39"/>
      <c r="C2956" s="155"/>
      <c r="D2956" s="155"/>
      <c r="E2956" s="40"/>
      <c r="F2956" s="314"/>
      <c r="H2956" s="315"/>
      <c r="I2956" s="315"/>
      <c r="BA2956" s="30"/>
      <c r="BB2956" s="155"/>
      <c r="BC2956" s="314"/>
      <c r="BD2956" s="314"/>
      <c r="BE2956" s="314"/>
      <c r="BF2956" s="314"/>
      <c r="BG2956" s="314"/>
      <c r="BH2956" s="314"/>
      <c r="BI2956" s="314"/>
      <c r="BJ2956" s="314"/>
      <c r="BK2956" s="40"/>
      <c r="BL2956" s="40"/>
      <c r="BM2956" s="40"/>
      <c r="BN2956" s="40"/>
      <c r="BO2956" s="40"/>
      <c r="BP2956" s="155"/>
      <c r="BQ2956" s="314"/>
      <c r="BR2956" s="314"/>
      <c r="BS2956" s="314"/>
      <c r="BT2956" s="314"/>
      <c r="BU2956" s="314"/>
      <c r="BV2956" s="314"/>
      <c r="BW2956" s="314"/>
      <c r="BX2956" s="155"/>
    </row>
    <row r="2957" spans="1:76" ht="15.75" customHeight="1">
      <c r="A2957" s="25"/>
      <c r="B2957" s="39"/>
      <c r="C2957" s="155"/>
      <c r="D2957" s="155"/>
      <c r="E2957" s="40"/>
      <c r="F2957" s="314"/>
      <c r="H2957" s="315"/>
      <c r="I2957" s="315"/>
      <c r="BA2957" s="30"/>
      <c r="BB2957" s="155"/>
      <c r="BC2957" s="314"/>
      <c r="BD2957" s="314"/>
      <c r="BE2957" s="314"/>
      <c r="BF2957" s="314"/>
      <c r="BG2957" s="314"/>
      <c r="BH2957" s="314"/>
      <c r="BI2957" s="314"/>
      <c r="BJ2957" s="314"/>
      <c r="BK2957" s="40"/>
      <c r="BL2957" s="40"/>
      <c r="BM2957" s="40"/>
      <c r="BN2957" s="40"/>
      <c r="BO2957" s="40"/>
      <c r="BP2957" s="155"/>
      <c r="BQ2957" s="314"/>
      <c r="BR2957" s="314"/>
      <c r="BS2957" s="314"/>
      <c r="BT2957" s="314"/>
      <c r="BU2957" s="314"/>
      <c r="BV2957" s="314"/>
      <c r="BW2957" s="314"/>
      <c r="BX2957" s="155"/>
    </row>
    <row r="2958" spans="1:76" ht="15.75" customHeight="1">
      <c r="A2958" s="25"/>
      <c r="B2958" s="39"/>
      <c r="C2958" s="155"/>
      <c r="D2958" s="155"/>
      <c r="E2958" s="40"/>
      <c r="F2958" s="314"/>
      <c r="H2958" s="315"/>
      <c r="I2958" s="315"/>
      <c r="BA2958" s="30"/>
      <c r="BB2958" s="155"/>
      <c r="BC2958" s="314"/>
      <c r="BD2958" s="314"/>
      <c r="BE2958" s="314"/>
      <c r="BF2958" s="314"/>
      <c r="BG2958" s="314"/>
      <c r="BH2958" s="314"/>
      <c r="BI2958" s="314"/>
      <c r="BJ2958" s="314"/>
      <c r="BK2958" s="40"/>
      <c r="BL2958" s="40"/>
      <c r="BM2958" s="40"/>
      <c r="BN2958" s="40"/>
      <c r="BO2958" s="40"/>
      <c r="BP2958" s="155"/>
      <c r="BQ2958" s="314"/>
      <c r="BR2958" s="314"/>
      <c r="BS2958" s="314"/>
      <c r="BT2958" s="314"/>
      <c r="BU2958" s="314"/>
      <c r="BV2958" s="314"/>
      <c r="BW2958" s="314"/>
      <c r="BX2958" s="155"/>
    </row>
    <row r="2959" spans="1:76" ht="15.75" customHeight="1">
      <c r="A2959" s="25"/>
      <c r="B2959" s="39"/>
      <c r="C2959" s="155"/>
      <c r="D2959" s="155"/>
      <c r="E2959" s="40"/>
      <c r="F2959" s="314"/>
      <c r="H2959" s="315"/>
      <c r="I2959" s="315"/>
      <c r="BA2959" s="30"/>
      <c r="BB2959" s="155"/>
      <c r="BC2959" s="314"/>
      <c r="BD2959" s="314"/>
      <c r="BE2959" s="314"/>
      <c r="BF2959" s="314"/>
      <c r="BG2959" s="314"/>
      <c r="BH2959" s="314"/>
      <c r="BI2959" s="314"/>
      <c r="BJ2959" s="314"/>
      <c r="BK2959" s="40"/>
      <c r="BL2959" s="40"/>
      <c r="BM2959" s="40"/>
      <c r="BN2959" s="40"/>
      <c r="BO2959" s="40"/>
      <c r="BP2959" s="155"/>
      <c r="BQ2959" s="314"/>
      <c r="BR2959" s="314"/>
      <c r="BS2959" s="314"/>
      <c r="BT2959" s="314"/>
      <c r="BU2959" s="314"/>
      <c r="BV2959" s="314"/>
      <c r="BW2959" s="314"/>
      <c r="BX2959" s="155"/>
    </row>
    <row r="2960" spans="1:76" ht="15.75" customHeight="1">
      <c r="A2960" s="25"/>
      <c r="B2960" s="39"/>
      <c r="C2960" s="155"/>
      <c r="D2960" s="155"/>
      <c r="E2960" s="40"/>
      <c r="F2960" s="314"/>
      <c r="H2960" s="315"/>
      <c r="I2960" s="315"/>
      <c r="BA2960" s="30"/>
      <c r="BB2960" s="155"/>
      <c r="BC2960" s="314"/>
      <c r="BD2960" s="314"/>
      <c r="BE2960" s="314"/>
      <c r="BF2960" s="314"/>
      <c r="BG2960" s="314"/>
      <c r="BH2960" s="314"/>
      <c r="BI2960" s="314"/>
      <c r="BJ2960" s="314"/>
      <c r="BK2960" s="40"/>
      <c r="BL2960" s="40"/>
      <c r="BM2960" s="40"/>
      <c r="BN2960" s="40"/>
      <c r="BO2960" s="40"/>
      <c r="BP2960" s="155"/>
      <c r="BQ2960" s="314"/>
      <c r="BR2960" s="314"/>
      <c r="BS2960" s="314"/>
      <c r="BT2960" s="314"/>
      <c r="BU2960" s="314"/>
      <c r="BV2960" s="314"/>
      <c r="BW2960" s="314"/>
      <c r="BX2960" s="155"/>
    </row>
    <row r="2961" spans="1:76" ht="15.75" customHeight="1">
      <c r="A2961" s="25"/>
      <c r="B2961" s="39"/>
      <c r="C2961" s="155"/>
      <c r="D2961" s="155"/>
      <c r="E2961" s="40"/>
      <c r="F2961" s="314"/>
      <c r="H2961" s="315"/>
      <c r="I2961" s="315"/>
      <c r="BA2961" s="30"/>
      <c r="BB2961" s="155"/>
      <c r="BC2961" s="314"/>
      <c r="BD2961" s="314"/>
      <c r="BE2961" s="314"/>
      <c r="BF2961" s="314"/>
      <c r="BG2961" s="314"/>
      <c r="BH2961" s="314"/>
      <c r="BI2961" s="314"/>
      <c r="BJ2961" s="314"/>
      <c r="BK2961" s="40"/>
      <c r="BL2961" s="40"/>
      <c r="BM2961" s="40"/>
      <c r="BN2961" s="40"/>
      <c r="BO2961" s="40"/>
      <c r="BP2961" s="155"/>
      <c r="BQ2961" s="314"/>
      <c r="BR2961" s="314"/>
      <c r="BS2961" s="314"/>
      <c r="BT2961" s="314"/>
      <c r="BU2961" s="314"/>
      <c r="BV2961" s="314"/>
      <c r="BW2961" s="314"/>
      <c r="BX2961" s="155"/>
    </row>
    <row r="2962" spans="1:76" ht="15.75" customHeight="1">
      <c r="A2962" s="25"/>
      <c r="B2962" s="39"/>
      <c r="C2962" s="155"/>
      <c r="D2962" s="155"/>
      <c r="E2962" s="40"/>
      <c r="F2962" s="314"/>
      <c r="H2962" s="315"/>
      <c r="I2962" s="315"/>
      <c r="BA2962" s="30"/>
      <c r="BB2962" s="155"/>
      <c r="BC2962" s="314"/>
      <c r="BD2962" s="314"/>
      <c r="BE2962" s="314"/>
      <c r="BF2962" s="314"/>
      <c r="BG2962" s="314"/>
      <c r="BH2962" s="314"/>
      <c r="BI2962" s="314"/>
      <c r="BJ2962" s="314"/>
      <c r="BK2962" s="40"/>
      <c r="BL2962" s="40"/>
      <c r="BM2962" s="40"/>
      <c r="BN2962" s="40"/>
      <c r="BO2962" s="40"/>
      <c r="BP2962" s="155"/>
      <c r="BQ2962" s="314"/>
      <c r="BR2962" s="314"/>
      <c r="BS2962" s="314"/>
      <c r="BT2962" s="314"/>
      <c r="BU2962" s="314"/>
      <c r="BV2962" s="314"/>
      <c r="BW2962" s="314"/>
      <c r="BX2962" s="155"/>
    </row>
    <row r="2963" spans="1:76" ht="15.75" customHeight="1">
      <c r="A2963" s="25"/>
      <c r="B2963" s="39"/>
      <c r="C2963" s="155"/>
      <c r="D2963" s="155"/>
      <c r="E2963" s="40"/>
      <c r="F2963" s="314"/>
      <c r="H2963" s="315"/>
      <c r="I2963" s="315"/>
      <c r="BA2963" s="30"/>
      <c r="BB2963" s="155"/>
      <c r="BC2963" s="314"/>
      <c r="BD2963" s="314"/>
      <c r="BE2963" s="314"/>
      <c r="BF2963" s="314"/>
      <c r="BG2963" s="314"/>
      <c r="BH2963" s="314"/>
      <c r="BI2963" s="314"/>
      <c r="BJ2963" s="314"/>
      <c r="BK2963" s="40"/>
      <c r="BL2963" s="40"/>
      <c r="BM2963" s="40"/>
      <c r="BN2963" s="40"/>
      <c r="BO2963" s="40"/>
      <c r="BP2963" s="155"/>
      <c r="BQ2963" s="314"/>
      <c r="BR2963" s="314"/>
      <c r="BS2963" s="314"/>
      <c r="BT2963" s="314"/>
      <c r="BU2963" s="314"/>
      <c r="BV2963" s="314"/>
      <c r="BW2963" s="314"/>
      <c r="BX2963" s="155"/>
    </row>
    <row r="2964" spans="1:76" ht="15.75" customHeight="1">
      <c r="A2964" s="25"/>
      <c r="B2964" s="39"/>
      <c r="C2964" s="155"/>
      <c r="D2964" s="155"/>
      <c r="E2964" s="40"/>
      <c r="F2964" s="314"/>
      <c r="H2964" s="315"/>
      <c r="I2964" s="315"/>
      <c r="BA2964" s="30"/>
      <c r="BB2964" s="155"/>
      <c r="BC2964" s="314"/>
      <c r="BD2964" s="314"/>
      <c r="BE2964" s="314"/>
      <c r="BF2964" s="314"/>
      <c r="BG2964" s="314"/>
      <c r="BH2964" s="314"/>
      <c r="BI2964" s="314"/>
      <c r="BJ2964" s="314"/>
      <c r="BK2964" s="40"/>
      <c r="BL2964" s="40"/>
      <c r="BM2964" s="40"/>
      <c r="BN2964" s="40"/>
      <c r="BO2964" s="40"/>
      <c r="BP2964" s="155"/>
      <c r="BQ2964" s="314"/>
      <c r="BR2964" s="314"/>
      <c r="BS2964" s="314"/>
      <c r="BT2964" s="314"/>
      <c r="BU2964" s="314"/>
      <c r="BV2964" s="314"/>
      <c r="BW2964" s="314"/>
      <c r="BX2964" s="155"/>
    </row>
    <row r="2965" spans="1:76" ht="15.75" customHeight="1">
      <c r="A2965" s="25"/>
      <c r="B2965" s="39"/>
      <c r="C2965" s="155"/>
      <c r="D2965" s="155"/>
      <c r="E2965" s="40"/>
      <c r="F2965" s="314"/>
      <c r="H2965" s="315"/>
      <c r="I2965" s="315"/>
      <c r="BA2965" s="30"/>
      <c r="BB2965" s="155"/>
      <c r="BC2965" s="314"/>
      <c r="BD2965" s="314"/>
      <c r="BE2965" s="314"/>
      <c r="BF2965" s="314"/>
      <c r="BG2965" s="314"/>
      <c r="BH2965" s="314"/>
      <c r="BI2965" s="314"/>
      <c r="BJ2965" s="314"/>
      <c r="BK2965" s="40"/>
      <c r="BL2965" s="40"/>
      <c r="BM2965" s="40"/>
      <c r="BN2965" s="40"/>
      <c r="BO2965" s="40"/>
      <c r="BP2965" s="155"/>
      <c r="BQ2965" s="314"/>
      <c r="BR2965" s="314"/>
      <c r="BS2965" s="314"/>
      <c r="BT2965" s="314"/>
      <c r="BU2965" s="314"/>
      <c r="BV2965" s="314"/>
      <c r="BW2965" s="314"/>
      <c r="BX2965" s="155"/>
    </row>
    <row r="2966" spans="1:76" ht="15.75" customHeight="1">
      <c r="A2966" s="25"/>
      <c r="B2966" s="39"/>
      <c r="C2966" s="155"/>
      <c r="D2966" s="155"/>
      <c r="E2966" s="40"/>
      <c r="F2966" s="314"/>
      <c r="H2966" s="315"/>
      <c r="I2966" s="315"/>
      <c r="BA2966" s="30"/>
      <c r="BB2966" s="155"/>
      <c r="BC2966" s="314"/>
      <c r="BD2966" s="314"/>
      <c r="BE2966" s="314"/>
      <c r="BF2966" s="314"/>
      <c r="BG2966" s="314"/>
      <c r="BH2966" s="314"/>
      <c r="BI2966" s="314"/>
      <c r="BJ2966" s="314"/>
      <c r="BK2966" s="40"/>
      <c r="BL2966" s="40"/>
      <c r="BM2966" s="40"/>
      <c r="BN2966" s="40"/>
      <c r="BO2966" s="40"/>
      <c r="BP2966" s="155"/>
      <c r="BQ2966" s="314"/>
      <c r="BR2966" s="314"/>
      <c r="BS2966" s="314"/>
      <c r="BT2966" s="314"/>
      <c r="BU2966" s="314"/>
      <c r="BV2966" s="314"/>
      <c r="BW2966" s="314"/>
      <c r="BX2966" s="155"/>
    </row>
    <row r="2967" spans="1:76" ht="15.75" customHeight="1">
      <c r="A2967" s="25"/>
      <c r="B2967" s="39"/>
      <c r="C2967" s="155"/>
      <c r="D2967" s="155"/>
      <c r="E2967" s="40"/>
      <c r="F2967" s="314"/>
      <c r="H2967" s="315"/>
      <c r="I2967" s="315"/>
      <c r="BA2967" s="30"/>
      <c r="BB2967" s="155"/>
      <c r="BC2967" s="314"/>
      <c r="BD2967" s="314"/>
      <c r="BE2967" s="314"/>
      <c r="BF2967" s="314"/>
      <c r="BG2967" s="314"/>
      <c r="BH2967" s="314"/>
      <c r="BI2967" s="314"/>
      <c r="BJ2967" s="314"/>
      <c r="BK2967" s="40"/>
      <c r="BL2967" s="40"/>
      <c r="BM2967" s="40"/>
      <c r="BN2967" s="40"/>
      <c r="BO2967" s="40"/>
      <c r="BP2967" s="155"/>
      <c r="BQ2967" s="314"/>
      <c r="BR2967" s="314"/>
      <c r="BS2967" s="314"/>
      <c r="BT2967" s="314"/>
      <c r="BU2967" s="314"/>
      <c r="BV2967" s="314"/>
      <c r="BW2967" s="314"/>
      <c r="BX2967" s="155"/>
    </row>
    <row r="2968" spans="1:76" ht="15.75" customHeight="1">
      <c r="A2968" s="25"/>
      <c r="B2968" s="39"/>
      <c r="C2968" s="155"/>
      <c r="D2968" s="155"/>
      <c r="E2968" s="40"/>
      <c r="F2968" s="314"/>
      <c r="H2968" s="315"/>
      <c r="I2968" s="315"/>
      <c r="BA2968" s="30"/>
      <c r="BB2968" s="155"/>
      <c r="BC2968" s="314"/>
      <c r="BD2968" s="314"/>
      <c r="BE2968" s="314"/>
      <c r="BF2968" s="314"/>
      <c r="BG2968" s="314"/>
      <c r="BH2968" s="314"/>
      <c r="BI2968" s="314"/>
      <c r="BJ2968" s="314"/>
      <c r="BK2968" s="40"/>
      <c r="BL2968" s="40"/>
      <c r="BM2968" s="40"/>
      <c r="BN2968" s="40"/>
      <c r="BO2968" s="40"/>
      <c r="BP2968" s="155"/>
      <c r="BQ2968" s="314"/>
      <c r="BR2968" s="314"/>
      <c r="BS2968" s="314"/>
      <c r="BT2968" s="314"/>
      <c r="BU2968" s="314"/>
      <c r="BV2968" s="314"/>
      <c r="BW2968" s="314"/>
      <c r="BX2968" s="155"/>
    </row>
    <row r="2969" spans="1:76" ht="15.75" customHeight="1">
      <c r="A2969" s="25"/>
      <c r="B2969" s="39"/>
      <c r="C2969" s="155"/>
      <c r="D2969" s="155"/>
      <c r="E2969" s="40"/>
      <c r="F2969" s="314"/>
      <c r="H2969" s="315"/>
      <c r="I2969" s="315"/>
      <c r="BA2969" s="30"/>
      <c r="BB2969" s="155"/>
      <c r="BC2969" s="314"/>
      <c r="BD2969" s="314"/>
      <c r="BE2969" s="314"/>
      <c r="BF2969" s="314"/>
      <c r="BG2969" s="314"/>
      <c r="BH2969" s="314"/>
      <c r="BI2969" s="314"/>
      <c r="BJ2969" s="314"/>
      <c r="BK2969" s="40"/>
      <c r="BL2969" s="40"/>
      <c r="BM2969" s="40"/>
      <c r="BN2969" s="40"/>
      <c r="BO2969" s="40"/>
      <c r="BP2969" s="155"/>
      <c r="BQ2969" s="314"/>
      <c r="BR2969" s="314"/>
      <c r="BS2969" s="314"/>
      <c r="BT2969" s="314"/>
      <c r="BU2969" s="314"/>
      <c r="BV2969" s="314"/>
      <c r="BW2969" s="314"/>
      <c r="BX2969" s="155"/>
    </row>
    <row r="2970" spans="1:76" ht="15.75" customHeight="1">
      <c r="A2970" s="25"/>
      <c r="B2970" s="39"/>
      <c r="C2970" s="155"/>
      <c r="D2970" s="155"/>
      <c r="E2970" s="40"/>
      <c r="F2970" s="314"/>
      <c r="H2970" s="315"/>
      <c r="I2970" s="315"/>
      <c r="BA2970" s="30"/>
      <c r="BB2970" s="155"/>
      <c r="BC2970" s="314"/>
      <c r="BD2970" s="314"/>
      <c r="BE2970" s="314"/>
      <c r="BF2970" s="314"/>
      <c r="BG2970" s="314"/>
      <c r="BH2970" s="314"/>
      <c r="BI2970" s="314"/>
      <c r="BJ2970" s="314"/>
      <c r="BK2970" s="40"/>
      <c r="BL2970" s="40"/>
      <c r="BM2970" s="40"/>
      <c r="BN2970" s="40"/>
      <c r="BO2970" s="40"/>
      <c r="BP2970" s="155"/>
      <c r="BQ2970" s="314"/>
      <c r="BR2970" s="314"/>
      <c r="BS2970" s="314"/>
      <c r="BT2970" s="314"/>
      <c r="BU2970" s="314"/>
      <c r="BV2970" s="314"/>
      <c r="BW2970" s="314"/>
      <c r="BX2970" s="155"/>
    </row>
    <row r="2971" spans="1:76" ht="15.75" customHeight="1">
      <c r="A2971" s="25"/>
      <c r="B2971" s="39"/>
      <c r="C2971" s="155"/>
      <c r="D2971" s="155"/>
      <c r="E2971" s="40"/>
      <c r="F2971" s="314"/>
      <c r="H2971" s="315"/>
      <c r="I2971" s="315"/>
      <c r="BA2971" s="30"/>
      <c r="BB2971" s="155"/>
      <c r="BC2971" s="314"/>
      <c r="BD2971" s="314"/>
      <c r="BE2971" s="314"/>
      <c r="BF2971" s="314"/>
      <c r="BG2971" s="314"/>
      <c r="BH2971" s="314"/>
      <c r="BI2971" s="314"/>
      <c r="BJ2971" s="314"/>
      <c r="BK2971" s="40"/>
      <c r="BL2971" s="40"/>
      <c r="BM2971" s="40"/>
      <c r="BN2971" s="40"/>
      <c r="BO2971" s="40"/>
      <c r="BP2971" s="155"/>
      <c r="BQ2971" s="314"/>
      <c r="BR2971" s="314"/>
      <c r="BS2971" s="314"/>
      <c r="BT2971" s="314"/>
      <c r="BU2971" s="314"/>
      <c r="BV2971" s="314"/>
      <c r="BW2971" s="314"/>
      <c r="BX2971" s="155"/>
    </row>
    <row r="2972" spans="1:76" ht="15.75" customHeight="1">
      <c r="A2972" s="25"/>
      <c r="B2972" s="39"/>
      <c r="C2972" s="155"/>
      <c r="D2972" s="155"/>
      <c r="E2972" s="40"/>
      <c r="F2972" s="314"/>
      <c r="H2972" s="315"/>
      <c r="I2972" s="315"/>
      <c r="BA2972" s="30"/>
      <c r="BB2972" s="155"/>
      <c r="BC2972" s="314"/>
      <c r="BD2972" s="314"/>
      <c r="BE2972" s="314"/>
      <c r="BF2972" s="314"/>
      <c r="BG2972" s="314"/>
      <c r="BH2972" s="314"/>
      <c r="BI2972" s="314"/>
      <c r="BJ2972" s="314"/>
      <c r="BK2972" s="40"/>
      <c r="BL2972" s="40"/>
      <c r="BM2972" s="40"/>
      <c r="BN2972" s="40"/>
      <c r="BO2972" s="40"/>
      <c r="BP2972" s="155"/>
      <c r="BQ2972" s="314"/>
      <c r="BR2972" s="314"/>
      <c r="BS2972" s="314"/>
      <c r="BT2972" s="314"/>
      <c r="BU2972" s="314"/>
      <c r="BV2972" s="314"/>
      <c r="BW2972" s="314"/>
      <c r="BX2972" s="155"/>
    </row>
    <row r="2973" spans="1:76" ht="15.75" customHeight="1">
      <c r="A2973" s="25"/>
      <c r="B2973" s="39"/>
      <c r="C2973" s="155"/>
      <c r="D2973" s="155"/>
      <c r="E2973" s="40"/>
      <c r="F2973" s="314"/>
      <c r="H2973" s="315"/>
      <c r="I2973" s="315"/>
      <c r="BA2973" s="30"/>
      <c r="BB2973" s="155"/>
      <c r="BC2973" s="314"/>
      <c r="BD2973" s="314"/>
      <c r="BE2973" s="314"/>
      <c r="BF2973" s="314"/>
      <c r="BG2973" s="314"/>
      <c r="BH2973" s="314"/>
      <c r="BI2973" s="314"/>
      <c r="BJ2973" s="314"/>
      <c r="BK2973" s="40"/>
      <c r="BL2973" s="40"/>
      <c r="BM2973" s="40"/>
      <c r="BN2973" s="40"/>
      <c r="BO2973" s="40"/>
      <c r="BP2973" s="155"/>
      <c r="BQ2973" s="314"/>
      <c r="BR2973" s="314"/>
      <c r="BS2973" s="314"/>
      <c r="BT2973" s="314"/>
      <c r="BU2973" s="314"/>
      <c r="BV2973" s="314"/>
      <c r="BW2973" s="314"/>
      <c r="BX2973" s="155"/>
    </row>
    <row r="2974" spans="1:76" ht="15.75" customHeight="1">
      <c r="A2974" s="25"/>
      <c r="B2974" s="39"/>
      <c r="C2974" s="155"/>
      <c r="D2974" s="155"/>
      <c r="E2974" s="40"/>
      <c r="F2974" s="314"/>
      <c r="H2974" s="315"/>
      <c r="I2974" s="315"/>
      <c r="BA2974" s="30"/>
      <c r="BB2974" s="155"/>
      <c r="BC2974" s="314"/>
      <c r="BD2974" s="314"/>
      <c r="BE2974" s="314"/>
      <c r="BF2974" s="314"/>
      <c r="BG2974" s="314"/>
      <c r="BH2974" s="314"/>
      <c r="BI2974" s="314"/>
      <c r="BJ2974" s="314"/>
      <c r="BK2974" s="40"/>
      <c r="BL2974" s="40"/>
      <c r="BM2974" s="40"/>
      <c r="BN2974" s="40"/>
      <c r="BO2974" s="40"/>
      <c r="BP2974" s="155"/>
      <c r="BQ2974" s="314"/>
      <c r="BR2974" s="314"/>
      <c r="BS2974" s="314"/>
      <c r="BT2974" s="314"/>
      <c r="BU2974" s="314"/>
      <c r="BV2974" s="314"/>
      <c r="BW2974" s="314"/>
      <c r="BX2974" s="155"/>
    </row>
    <row r="2975" spans="1:76" ht="15.75" customHeight="1">
      <c r="A2975" s="25"/>
      <c r="B2975" s="39"/>
      <c r="C2975" s="155"/>
      <c r="D2975" s="155"/>
      <c r="E2975" s="40"/>
      <c r="F2975" s="314"/>
      <c r="H2975" s="315"/>
      <c r="I2975" s="315"/>
      <c r="BA2975" s="30"/>
      <c r="BB2975" s="155"/>
      <c r="BC2975" s="314"/>
      <c r="BD2975" s="314"/>
      <c r="BE2975" s="314"/>
      <c r="BF2975" s="314"/>
      <c r="BG2975" s="314"/>
      <c r="BH2975" s="314"/>
      <c r="BI2975" s="314"/>
      <c r="BJ2975" s="314"/>
      <c r="BK2975" s="40"/>
      <c r="BL2975" s="40"/>
      <c r="BM2975" s="40"/>
      <c r="BN2975" s="40"/>
      <c r="BO2975" s="40"/>
      <c r="BP2975" s="155"/>
      <c r="BQ2975" s="314"/>
      <c r="BR2975" s="314"/>
      <c r="BS2975" s="314"/>
      <c r="BT2975" s="314"/>
      <c r="BU2975" s="314"/>
      <c r="BV2975" s="314"/>
      <c r="BW2975" s="314"/>
      <c r="BX2975" s="155"/>
    </row>
    <row r="2976" spans="1:76" ht="15.75" customHeight="1">
      <c r="A2976" s="25"/>
      <c r="B2976" s="39"/>
      <c r="C2976" s="155"/>
      <c r="D2976" s="155"/>
      <c r="E2976" s="40"/>
      <c r="F2976" s="314"/>
      <c r="H2976" s="315"/>
      <c r="I2976" s="315"/>
      <c r="BA2976" s="30"/>
      <c r="BB2976" s="155"/>
      <c r="BC2976" s="314"/>
      <c r="BD2976" s="314"/>
      <c r="BE2976" s="314"/>
      <c r="BF2976" s="314"/>
      <c r="BG2976" s="314"/>
      <c r="BH2976" s="314"/>
      <c r="BI2976" s="314"/>
      <c r="BJ2976" s="314"/>
      <c r="BK2976" s="40"/>
      <c r="BL2976" s="40"/>
      <c r="BM2976" s="40"/>
      <c r="BN2976" s="40"/>
      <c r="BO2976" s="40"/>
      <c r="BP2976" s="155"/>
      <c r="BQ2976" s="314"/>
      <c r="BR2976" s="314"/>
      <c r="BS2976" s="314"/>
      <c r="BT2976" s="314"/>
      <c r="BU2976" s="314"/>
      <c r="BV2976" s="314"/>
      <c r="BW2976" s="314"/>
      <c r="BX2976" s="155"/>
    </row>
    <row r="2977" spans="1:76" ht="15.75" customHeight="1">
      <c r="A2977" s="25"/>
      <c r="B2977" s="39"/>
      <c r="C2977" s="155"/>
      <c r="D2977" s="155"/>
      <c r="E2977" s="40"/>
      <c r="F2977" s="314"/>
      <c r="H2977" s="315"/>
      <c r="I2977" s="315"/>
      <c r="BA2977" s="30"/>
      <c r="BB2977" s="155"/>
      <c r="BC2977" s="314"/>
      <c r="BD2977" s="314"/>
      <c r="BE2977" s="314"/>
      <c r="BF2977" s="314"/>
      <c r="BG2977" s="314"/>
      <c r="BH2977" s="314"/>
      <c r="BI2977" s="314"/>
      <c r="BJ2977" s="314"/>
      <c r="BK2977" s="40"/>
      <c r="BL2977" s="40"/>
      <c r="BM2977" s="40"/>
      <c r="BN2977" s="40"/>
      <c r="BO2977" s="40"/>
      <c r="BP2977" s="155"/>
      <c r="BQ2977" s="314"/>
      <c r="BR2977" s="314"/>
      <c r="BS2977" s="314"/>
      <c r="BT2977" s="314"/>
      <c r="BU2977" s="314"/>
      <c r="BV2977" s="314"/>
      <c r="BW2977" s="314"/>
      <c r="BX2977" s="155"/>
    </row>
    <row r="2978" spans="1:76" ht="15.75" customHeight="1">
      <c r="A2978" s="25"/>
      <c r="B2978" s="39"/>
      <c r="C2978" s="155"/>
      <c r="D2978" s="155"/>
      <c r="E2978" s="40"/>
      <c r="F2978" s="314"/>
      <c r="H2978" s="315"/>
      <c r="I2978" s="315"/>
      <c r="BA2978" s="30"/>
      <c r="BB2978" s="155"/>
      <c r="BC2978" s="314"/>
      <c r="BD2978" s="314"/>
      <c r="BE2978" s="314"/>
      <c r="BF2978" s="314"/>
      <c r="BG2978" s="314"/>
      <c r="BH2978" s="314"/>
      <c r="BI2978" s="314"/>
      <c r="BJ2978" s="314"/>
      <c r="BK2978" s="40"/>
      <c r="BL2978" s="40"/>
      <c r="BM2978" s="40"/>
      <c r="BN2978" s="40"/>
      <c r="BO2978" s="40"/>
      <c r="BP2978" s="155"/>
      <c r="BQ2978" s="314"/>
      <c r="BR2978" s="314"/>
      <c r="BS2978" s="314"/>
      <c r="BT2978" s="314"/>
      <c r="BU2978" s="314"/>
      <c r="BV2978" s="314"/>
      <c r="BW2978" s="314"/>
      <c r="BX2978" s="155"/>
    </row>
    <row r="2979" spans="1:76" ht="15.75" customHeight="1">
      <c r="A2979" s="25"/>
      <c r="B2979" s="39"/>
      <c r="C2979" s="155"/>
      <c r="D2979" s="155"/>
      <c r="E2979" s="40"/>
      <c r="F2979" s="314"/>
      <c r="H2979" s="315"/>
      <c r="I2979" s="315"/>
      <c r="BA2979" s="30"/>
      <c r="BB2979" s="155"/>
      <c r="BC2979" s="314"/>
      <c r="BD2979" s="314"/>
      <c r="BE2979" s="314"/>
      <c r="BF2979" s="314"/>
      <c r="BG2979" s="314"/>
      <c r="BH2979" s="314"/>
      <c r="BI2979" s="314"/>
      <c r="BJ2979" s="314"/>
      <c r="BK2979" s="40"/>
      <c r="BL2979" s="40"/>
      <c r="BM2979" s="40"/>
      <c r="BN2979" s="40"/>
      <c r="BO2979" s="40"/>
      <c r="BP2979" s="155"/>
      <c r="BQ2979" s="314"/>
      <c r="BR2979" s="314"/>
      <c r="BS2979" s="314"/>
      <c r="BT2979" s="314"/>
      <c r="BU2979" s="314"/>
      <c r="BV2979" s="314"/>
      <c r="BW2979" s="314"/>
      <c r="BX2979" s="155"/>
    </row>
    <row r="2980" spans="1:76" ht="15.75" customHeight="1">
      <c r="A2980" s="25"/>
      <c r="B2980" s="39"/>
      <c r="C2980" s="155"/>
      <c r="D2980" s="155"/>
      <c r="E2980" s="40"/>
      <c r="F2980" s="314"/>
      <c r="H2980" s="315"/>
      <c r="I2980" s="315"/>
      <c r="BA2980" s="30"/>
      <c r="BB2980" s="155"/>
      <c r="BC2980" s="314"/>
      <c r="BD2980" s="314"/>
      <c r="BE2980" s="314"/>
      <c r="BF2980" s="314"/>
      <c r="BG2980" s="314"/>
      <c r="BH2980" s="314"/>
      <c r="BI2980" s="314"/>
      <c r="BJ2980" s="314"/>
      <c r="BK2980" s="40"/>
      <c r="BL2980" s="40"/>
      <c r="BM2980" s="40"/>
      <c r="BN2980" s="40"/>
      <c r="BO2980" s="40"/>
      <c r="BP2980" s="155"/>
      <c r="BQ2980" s="314"/>
      <c r="BR2980" s="314"/>
      <c r="BS2980" s="314"/>
      <c r="BT2980" s="314"/>
      <c r="BU2980" s="314"/>
      <c r="BV2980" s="314"/>
      <c r="BW2980" s="314"/>
      <c r="BX2980" s="155"/>
    </row>
    <row r="2981" spans="1:76" ht="15.75" customHeight="1">
      <c r="A2981" s="25"/>
      <c r="B2981" s="39"/>
      <c r="C2981" s="155"/>
      <c r="D2981" s="155"/>
      <c r="E2981" s="40"/>
      <c r="F2981" s="314"/>
      <c r="H2981" s="315"/>
      <c r="I2981" s="315"/>
      <c r="BA2981" s="30"/>
      <c r="BB2981" s="155"/>
      <c r="BC2981" s="314"/>
      <c r="BD2981" s="314"/>
      <c r="BE2981" s="314"/>
      <c r="BF2981" s="314"/>
      <c r="BG2981" s="314"/>
      <c r="BH2981" s="314"/>
      <c r="BI2981" s="314"/>
      <c r="BJ2981" s="314"/>
      <c r="BK2981" s="40"/>
      <c r="BL2981" s="40"/>
      <c r="BM2981" s="40"/>
      <c r="BN2981" s="40"/>
      <c r="BO2981" s="40"/>
      <c r="BP2981" s="155"/>
      <c r="BQ2981" s="314"/>
      <c r="BR2981" s="314"/>
      <c r="BS2981" s="314"/>
      <c r="BT2981" s="314"/>
      <c r="BU2981" s="314"/>
      <c r="BV2981" s="314"/>
      <c r="BW2981" s="314"/>
      <c r="BX2981" s="155"/>
    </row>
    <row r="2982" spans="1:76" ht="15.75" customHeight="1">
      <c r="A2982" s="25"/>
      <c r="B2982" s="39"/>
      <c r="C2982" s="155"/>
      <c r="D2982" s="155"/>
      <c r="E2982" s="40"/>
      <c r="F2982" s="314"/>
      <c r="H2982" s="315"/>
      <c r="I2982" s="315"/>
      <c r="BA2982" s="30"/>
      <c r="BB2982" s="155"/>
      <c r="BC2982" s="314"/>
      <c r="BD2982" s="314"/>
      <c r="BE2982" s="314"/>
      <c r="BF2982" s="314"/>
      <c r="BG2982" s="314"/>
      <c r="BH2982" s="314"/>
      <c r="BI2982" s="314"/>
      <c r="BJ2982" s="314"/>
      <c r="BK2982" s="40"/>
      <c r="BL2982" s="40"/>
      <c r="BM2982" s="40"/>
      <c r="BN2982" s="40"/>
      <c r="BO2982" s="40"/>
      <c r="BP2982" s="155"/>
      <c r="BQ2982" s="314"/>
      <c r="BR2982" s="314"/>
      <c r="BS2982" s="314"/>
      <c r="BT2982" s="314"/>
      <c r="BU2982" s="314"/>
      <c r="BV2982" s="314"/>
      <c r="BW2982" s="314"/>
      <c r="BX2982" s="155"/>
    </row>
    <row r="2983" spans="1:76" ht="15.75" customHeight="1">
      <c r="A2983" s="25"/>
      <c r="B2983" s="39"/>
      <c r="C2983" s="155"/>
      <c r="D2983" s="155"/>
      <c r="E2983" s="40"/>
      <c r="F2983" s="314"/>
      <c r="H2983" s="315"/>
      <c r="I2983" s="315"/>
      <c r="BA2983" s="30"/>
      <c r="BB2983" s="155"/>
      <c r="BC2983" s="314"/>
      <c r="BD2983" s="314"/>
      <c r="BE2983" s="314"/>
      <c r="BF2983" s="314"/>
      <c r="BG2983" s="314"/>
      <c r="BH2983" s="314"/>
      <c r="BI2983" s="314"/>
      <c r="BJ2983" s="314"/>
      <c r="BK2983" s="40"/>
      <c r="BL2983" s="40"/>
      <c r="BM2983" s="40"/>
      <c r="BN2983" s="40"/>
      <c r="BO2983" s="40"/>
      <c r="BP2983" s="155"/>
      <c r="BQ2983" s="314"/>
      <c r="BR2983" s="314"/>
      <c r="BS2983" s="314"/>
      <c r="BT2983" s="314"/>
      <c r="BU2983" s="314"/>
      <c r="BV2983" s="314"/>
      <c r="BW2983" s="314"/>
      <c r="BX2983" s="155"/>
    </row>
    <row r="2984" spans="1:76" ht="15.75" customHeight="1">
      <c r="A2984" s="25"/>
      <c r="B2984" s="39"/>
      <c r="C2984" s="155"/>
      <c r="D2984" s="155"/>
      <c r="E2984" s="40"/>
      <c r="F2984" s="314"/>
      <c r="H2984" s="315"/>
      <c r="I2984" s="315"/>
      <c r="BA2984" s="30"/>
      <c r="BB2984" s="155"/>
      <c r="BC2984" s="314"/>
      <c r="BD2984" s="314"/>
      <c r="BE2984" s="314"/>
      <c r="BF2984" s="314"/>
      <c r="BG2984" s="314"/>
      <c r="BH2984" s="314"/>
      <c r="BI2984" s="314"/>
      <c r="BJ2984" s="314"/>
      <c r="BK2984" s="40"/>
      <c r="BL2984" s="40"/>
      <c r="BM2984" s="40"/>
      <c r="BN2984" s="40"/>
      <c r="BO2984" s="40"/>
      <c r="BP2984" s="155"/>
      <c r="BQ2984" s="314"/>
      <c r="BR2984" s="314"/>
      <c r="BS2984" s="314"/>
      <c r="BT2984" s="314"/>
      <c r="BU2984" s="314"/>
      <c r="BV2984" s="314"/>
      <c r="BW2984" s="314"/>
      <c r="BX2984" s="155"/>
    </row>
    <row r="2985" spans="1:76" ht="15.75" customHeight="1">
      <c r="A2985" s="25"/>
      <c r="B2985" s="39"/>
      <c r="C2985" s="155"/>
      <c r="D2985" s="155"/>
      <c r="E2985" s="40"/>
      <c r="F2985" s="314"/>
      <c r="H2985" s="315"/>
      <c r="I2985" s="315"/>
      <c r="BA2985" s="30"/>
      <c r="BB2985" s="155"/>
      <c r="BC2985" s="314"/>
      <c r="BD2985" s="314"/>
      <c r="BE2985" s="314"/>
      <c r="BF2985" s="314"/>
      <c r="BG2985" s="314"/>
      <c r="BH2985" s="314"/>
      <c r="BI2985" s="314"/>
      <c r="BJ2985" s="314"/>
      <c r="BK2985" s="40"/>
      <c r="BL2985" s="40"/>
      <c r="BM2985" s="40"/>
      <c r="BN2985" s="40"/>
      <c r="BO2985" s="40"/>
      <c r="BP2985" s="155"/>
      <c r="BQ2985" s="314"/>
      <c r="BR2985" s="314"/>
      <c r="BS2985" s="314"/>
      <c r="BT2985" s="314"/>
      <c r="BU2985" s="314"/>
      <c r="BV2985" s="314"/>
      <c r="BW2985" s="314"/>
      <c r="BX2985" s="155"/>
    </row>
    <row r="2986" spans="1:76" ht="15.75" customHeight="1">
      <c r="A2986" s="25"/>
      <c r="B2986" s="39"/>
      <c r="C2986" s="155"/>
      <c r="D2986" s="155"/>
      <c r="E2986" s="40"/>
      <c r="F2986" s="314"/>
      <c r="H2986" s="315"/>
      <c r="I2986" s="315"/>
      <c r="BA2986" s="30"/>
      <c r="BB2986" s="155"/>
      <c r="BC2986" s="314"/>
      <c r="BD2986" s="314"/>
      <c r="BE2986" s="314"/>
      <c r="BF2986" s="314"/>
      <c r="BG2986" s="314"/>
      <c r="BH2986" s="314"/>
      <c r="BI2986" s="314"/>
      <c r="BJ2986" s="314"/>
      <c r="BK2986" s="40"/>
      <c r="BL2986" s="40"/>
      <c r="BM2986" s="40"/>
      <c r="BN2986" s="40"/>
      <c r="BO2986" s="40"/>
      <c r="BP2986" s="155"/>
      <c r="BQ2986" s="314"/>
      <c r="BR2986" s="314"/>
      <c r="BS2986" s="314"/>
      <c r="BT2986" s="314"/>
      <c r="BU2986" s="314"/>
      <c r="BV2986" s="314"/>
      <c r="BW2986" s="314"/>
      <c r="BX2986" s="155"/>
    </row>
    <row r="2987" spans="1:76" ht="15.75" customHeight="1">
      <c r="A2987" s="25"/>
      <c r="B2987" s="39"/>
      <c r="C2987" s="155"/>
      <c r="D2987" s="155"/>
      <c r="E2987" s="40"/>
      <c r="F2987" s="314"/>
      <c r="H2987" s="315"/>
      <c r="I2987" s="315"/>
      <c r="BA2987" s="30"/>
      <c r="BB2987" s="155"/>
      <c r="BC2987" s="314"/>
      <c r="BD2987" s="314"/>
      <c r="BE2987" s="314"/>
      <c r="BF2987" s="314"/>
      <c r="BG2987" s="314"/>
      <c r="BH2987" s="314"/>
      <c r="BI2987" s="314"/>
      <c r="BJ2987" s="314"/>
      <c r="BK2987" s="40"/>
      <c r="BL2987" s="40"/>
      <c r="BM2987" s="40"/>
      <c r="BN2987" s="40"/>
      <c r="BO2987" s="40"/>
      <c r="BP2987" s="155"/>
      <c r="BQ2987" s="314"/>
      <c r="BR2987" s="314"/>
      <c r="BS2987" s="314"/>
      <c r="BT2987" s="314"/>
      <c r="BU2987" s="314"/>
      <c r="BV2987" s="314"/>
      <c r="BW2987" s="314"/>
      <c r="BX2987" s="155"/>
    </row>
    <row r="2988" spans="1:76" ht="15.75" customHeight="1">
      <c r="A2988" s="25"/>
      <c r="B2988" s="39"/>
      <c r="C2988" s="155"/>
      <c r="D2988" s="155"/>
      <c r="E2988" s="40"/>
      <c r="F2988" s="314"/>
      <c r="H2988" s="315"/>
      <c r="I2988" s="315"/>
      <c r="BA2988" s="30"/>
      <c r="BB2988" s="155"/>
      <c r="BC2988" s="322"/>
      <c r="BD2988" s="322"/>
      <c r="BE2988" s="322"/>
      <c r="BF2988" s="322"/>
      <c r="BG2988" s="322"/>
      <c r="BH2988" s="322"/>
      <c r="BI2988" s="322"/>
      <c r="BJ2988" s="322"/>
      <c r="BK2988" s="341"/>
      <c r="BL2988" s="40"/>
      <c r="BM2988" s="40"/>
      <c r="BN2988" s="40"/>
      <c r="BO2988" s="40"/>
      <c r="BP2988" s="155"/>
      <c r="BQ2988" s="314"/>
      <c r="BR2988" s="314"/>
      <c r="BS2988" s="314"/>
      <c r="BT2988" s="314"/>
      <c r="BU2988" s="314"/>
      <c r="BV2988" s="314"/>
      <c r="BW2988" s="314"/>
      <c r="BX2988" s="155"/>
    </row>
    <row r="2989" spans="1:76" ht="15.75" customHeight="1">
      <c r="A2989" s="25"/>
      <c r="B2989" s="39"/>
      <c r="C2989" s="155"/>
      <c r="D2989" s="155"/>
      <c r="E2989" s="40"/>
      <c r="F2989" s="314"/>
      <c r="H2989" s="315"/>
      <c r="I2989" s="315"/>
      <c r="BA2989" s="30"/>
      <c r="BB2989" s="155"/>
      <c r="BC2989" s="314"/>
      <c r="BD2989" s="314"/>
      <c r="BE2989" s="314"/>
      <c r="BF2989" s="314"/>
      <c r="BG2989" s="314"/>
      <c r="BH2989" s="314"/>
      <c r="BI2989" s="314"/>
      <c r="BJ2989" s="314"/>
      <c r="BK2989" s="40"/>
      <c r="BL2989" s="40"/>
      <c r="BM2989" s="40"/>
      <c r="BN2989" s="40"/>
      <c r="BO2989" s="40"/>
      <c r="BP2989" s="155"/>
      <c r="BQ2989" s="314"/>
      <c r="BR2989" s="314"/>
      <c r="BS2989" s="314"/>
      <c r="BT2989" s="314"/>
      <c r="BU2989" s="314"/>
      <c r="BV2989" s="314"/>
      <c r="BW2989" s="314"/>
      <c r="BX2989" s="155"/>
    </row>
    <row r="2990" spans="1:76" ht="15.75" customHeight="1">
      <c r="A2990" s="25"/>
      <c r="B2990" s="39"/>
      <c r="C2990" s="155"/>
      <c r="D2990" s="155"/>
      <c r="E2990" s="40"/>
      <c r="F2990" s="314"/>
      <c r="H2990" s="315"/>
      <c r="I2990" s="315"/>
      <c r="BA2990" s="30"/>
      <c r="BB2990" s="155"/>
      <c r="BC2990" s="314"/>
      <c r="BD2990" s="314"/>
      <c r="BE2990" s="314"/>
      <c r="BF2990" s="314"/>
      <c r="BG2990" s="314"/>
      <c r="BH2990" s="314"/>
      <c r="BI2990" s="314"/>
      <c r="BJ2990" s="314"/>
      <c r="BK2990" s="40"/>
      <c r="BL2990" s="40"/>
      <c r="BM2990" s="40"/>
      <c r="BN2990" s="40"/>
      <c r="BO2990" s="40"/>
      <c r="BP2990" s="155"/>
      <c r="BQ2990" s="314"/>
      <c r="BR2990" s="314"/>
      <c r="BS2990" s="314"/>
      <c r="BT2990" s="314"/>
      <c r="BU2990" s="314"/>
      <c r="BV2990" s="314"/>
      <c r="BW2990" s="314"/>
      <c r="BX2990" s="155"/>
    </row>
    <row r="2991" spans="1:76" ht="15.75" customHeight="1">
      <c r="A2991" s="25"/>
      <c r="B2991" s="39"/>
      <c r="C2991" s="155"/>
      <c r="D2991" s="155"/>
      <c r="E2991" s="40"/>
      <c r="F2991" s="314"/>
      <c r="H2991" s="315"/>
      <c r="I2991" s="315"/>
      <c r="BA2991" s="30"/>
      <c r="BB2991" s="155"/>
      <c r="BC2991" s="314"/>
      <c r="BD2991" s="314"/>
      <c r="BE2991" s="314"/>
      <c r="BF2991" s="314"/>
      <c r="BG2991" s="314"/>
      <c r="BH2991" s="314"/>
      <c r="BI2991" s="314"/>
      <c r="BJ2991" s="314"/>
      <c r="BK2991" s="40"/>
      <c r="BL2991" s="40"/>
      <c r="BM2991" s="40"/>
      <c r="BN2991" s="40"/>
      <c r="BO2991" s="40"/>
      <c r="BP2991" s="155"/>
      <c r="BQ2991" s="314"/>
      <c r="BR2991" s="314"/>
      <c r="BS2991" s="314"/>
      <c r="BT2991" s="314"/>
      <c r="BU2991" s="314"/>
      <c r="BV2991" s="314"/>
      <c r="BW2991" s="314"/>
      <c r="BX2991" s="155"/>
    </row>
    <row r="2992" spans="1:76" ht="15.75" customHeight="1">
      <c r="A2992" s="25"/>
      <c r="B2992" s="39"/>
      <c r="C2992" s="155"/>
      <c r="D2992" s="155"/>
      <c r="E2992" s="40"/>
      <c r="F2992" s="314"/>
      <c r="H2992" s="315"/>
      <c r="I2992" s="315"/>
      <c r="BA2992" s="30"/>
      <c r="BB2992" s="155"/>
      <c r="BC2992" s="314"/>
      <c r="BD2992" s="314"/>
      <c r="BE2992" s="314"/>
      <c r="BF2992" s="314"/>
      <c r="BG2992" s="314"/>
      <c r="BH2992" s="314"/>
      <c r="BI2992" s="314"/>
      <c r="BJ2992" s="314"/>
      <c r="BK2992" s="40"/>
      <c r="BL2992" s="40"/>
      <c r="BM2992" s="40"/>
      <c r="BN2992" s="40"/>
      <c r="BO2992" s="40"/>
      <c r="BP2992" s="155"/>
      <c r="BQ2992" s="314"/>
      <c r="BR2992" s="314"/>
      <c r="BS2992" s="314"/>
      <c r="BT2992" s="314"/>
      <c r="BU2992" s="314"/>
      <c r="BV2992" s="314"/>
      <c r="BW2992" s="314"/>
      <c r="BX2992" s="155"/>
    </row>
    <row r="2993" spans="1:76" ht="15.75" customHeight="1">
      <c r="A2993" s="25"/>
      <c r="B2993" s="39"/>
      <c r="C2993" s="155"/>
      <c r="D2993" s="155"/>
      <c r="E2993" s="40"/>
      <c r="F2993" s="314"/>
      <c r="H2993" s="315"/>
      <c r="I2993" s="315"/>
      <c r="BA2993" s="30"/>
      <c r="BB2993" s="155"/>
      <c r="BC2993" s="314"/>
      <c r="BD2993" s="314"/>
      <c r="BE2993" s="314"/>
      <c r="BF2993" s="314"/>
      <c r="BG2993" s="314"/>
      <c r="BH2993" s="314"/>
      <c r="BI2993" s="314"/>
      <c r="BJ2993" s="314"/>
      <c r="BK2993" s="40"/>
      <c r="BL2993" s="40"/>
      <c r="BM2993" s="40"/>
      <c r="BN2993" s="40"/>
      <c r="BO2993" s="40"/>
      <c r="BP2993" s="155"/>
      <c r="BQ2993" s="314"/>
      <c r="BR2993" s="314"/>
      <c r="BS2993" s="314"/>
      <c r="BT2993" s="314"/>
      <c r="BU2993" s="314"/>
      <c r="BV2993" s="314"/>
      <c r="BW2993" s="314"/>
      <c r="BX2993" s="155"/>
    </row>
    <row r="2994" spans="1:76" ht="15.75" customHeight="1">
      <c r="A2994" s="25"/>
      <c r="B2994" s="39"/>
      <c r="C2994" s="155"/>
      <c r="D2994" s="155"/>
      <c r="E2994" s="40"/>
      <c r="F2994" s="314"/>
      <c r="H2994" s="315"/>
      <c r="I2994" s="315"/>
      <c r="BA2994" s="30"/>
      <c r="BB2994" s="155"/>
      <c r="BC2994" s="314"/>
      <c r="BD2994" s="314"/>
      <c r="BE2994" s="314"/>
      <c r="BF2994" s="314"/>
      <c r="BG2994" s="314"/>
      <c r="BH2994" s="314"/>
      <c r="BI2994" s="314"/>
      <c r="BJ2994" s="314"/>
      <c r="BK2994" s="40"/>
      <c r="BL2994" s="40"/>
      <c r="BM2994" s="40"/>
      <c r="BN2994" s="40"/>
      <c r="BO2994" s="40"/>
      <c r="BP2994" s="155"/>
      <c r="BQ2994" s="314"/>
      <c r="BR2994" s="314"/>
      <c r="BS2994" s="314"/>
      <c r="BT2994" s="314"/>
      <c r="BU2994" s="314"/>
      <c r="BV2994" s="314"/>
      <c r="BW2994" s="314"/>
      <c r="BX2994" s="155"/>
    </row>
    <row r="2995" spans="1:76" ht="15.75" customHeight="1">
      <c r="A2995" s="25"/>
      <c r="B2995" s="39"/>
      <c r="C2995" s="155"/>
      <c r="D2995" s="155"/>
      <c r="E2995" s="40"/>
      <c r="F2995" s="314"/>
      <c r="H2995" s="315"/>
      <c r="I2995" s="315"/>
      <c r="BA2995" s="30"/>
      <c r="BB2995" s="155"/>
      <c r="BC2995" s="314"/>
      <c r="BD2995" s="314"/>
      <c r="BE2995" s="314"/>
      <c r="BF2995" s="314"/>
      <c r="BG2995" s="314"/>
      <c r="BH2995" s="314"/>
      <c r="BI2995" s="314"/>
      <c r="BJ2995" s="314"/>
      <c r="BK2995" s="40"/>
      <c r="BL2995" s="40"/>
      <c r="BM2995" s="40"/>
      <c r="BN2995" s="40"/>
      <c r="BO2995" s="40"/>
      <c r="BP2995" s="155"/>
      <c r="BQ2995" s="314"/>
      <c r="BR2995" s="314"/>
      <c r="BS2995" s="314"/>
      <c r="BT2995" s="314"/>
      <c r="BU2995" s="314"/>
      <c r="BV2995" s="314"/>
      <c r="BW2995" s="314"/>
      <c r="BX2995" s="155"/>
    </row>
    <row r="2996" spans="1:76" ht="15.75" customHeight="1">
      <c r="A2996" s="25"/>
      <c r="B2996" s="39"/>
      <c r="C2996" s="155"/>
      <c r="D2996" s="155"/>
      <c r="E2996" s="40"/>
      <c r="F2996" s="314"/>
      <c r="H2996" s="315"/>
      <c r="I2996" s="315"/>
      <c r="BA2996" s="30"/>
      <c r="BB2996" s="155"/>
      <c r="BC2996" s="314"/>
      <c r="BD2996" s="314"/>
      <c r="BE2996" s="314"/>
      <c r="BF2996" s="314"/>
      <c r="BG2996" s="314"/>
      <c r="BH2996" s="314"/>
      <c r="BI2996" s="314"/>
      <c r="BJ2996" s="314"/>
      <c r="BK2996" s="40"/>
      <c r="BL2996" s="40"/>
      <c r="BM2996" s="40"/>
      <c r="BN2996" s="40"/>
      <c r="BO2996" s="40"/>
      <c r="BP2996" s="155"/>
      <c r="BQ2996" s="314"/>
      <c r="BR2996" s="314"/>
      <c r="BS2996" s="314"/>
      <c r="BT2996" s="314"/>
      <c r="BU2996" s="314"/>
      <c r="BV2996" s="314"/>
      <c r="BW2996" s="314"/>
      <c r="BX2996" s="155"/>
    </row>
    <row r="2997" spans="1:76" ht="15.75" customHeight="1">
      <c r="A2997" s="25"/>
      <c r="B2997" s="39"/>
      <c r="C2997" s="155"/>
      <c r="D2997" s="155"/>
      <c r="E2997" s="40"/>
      <c r="F2997" s="314"/>
      <c r="H2997" s="315"/>
      <c r="I2997" s="315"/>
      <c r="BA2997" s="30"/>
      <c r="BB2997" s="155"/>
      <c r="BC2997" s="314"/>
      <c r="BD2997" s="314"/>
      <c r="BE2997" s="314"/>
      <c r="BF2997" s="314"/>
      <c r="BG2997" s="314"/>
      <c r="BH2997" s="314"/>
      <c r="BI2997" s="314"/>
      <c r="BJ2997" s="314"/>
      <c r="BK2997" s="40"/>
      <c r="BL2997" s="40"/>
      <c r="BM2997" s="40"/>
      <c r="BN2997" s="40"/>
      <c r="BO2997" s="40"/>
      <c r="BP2997" s="155"/>
      <c r="BQ2997" s="314"/>
      <c r="BR2997" s="314"/>
      <c r="BS2997" s="314"/>
      <c r="BT2997" s="314"/>
      <c r="BU2997" s="314"/>
      <c r="BV2997" s="314"/>
      <c r="BW2997" s="314"/>
      <c r="BX2997" s="155"/>
    </row>
    <row r="2998" spans="1:76" ht="15.75" customHeight="1">
      <c r="A2998" s="25"/>
      <c r="B2998" s="39"/>
      <c r="C2998" s="155"/>
      <c r="D2998" s="155"/>
      <c r="E2998" s="40"/>
      <c r="F2998" s="314"/>
      <c r="H2998" s="315"/>
      <c r="I2998" s="315"/>
      <c r="BA2998" s="30"/>
      <c r="BB2998" s="155"/>
      <c r="BC2998" s="314"/>
      <c r="BD2998" s="314"/>
      <c r="BE2998" s="314"/>
      <c r="BF2998" s="314"/>
      <c r="BG2998" s="314"/>
      <c r="BH2998" s="314"/>
      <c r="BI2998" s="314"/>
      <c r="BJ2998" s="314"/>
      <c r="BK2998" s="40"/>
      <c r="BL2998" s="40"/>
      <c r="BM2998" s="40"/>
      <c r="BN2998" s="40"/>
      <c r="BO2998" s="40"/>
      <c r="BP2998" s="155"/>
      <c r="BQ2998" s="314"/>
      <c r="BR2998" s="314"/>
      <c r="BS2998" s="314"/>
      <c r="BT2998" s="314"/>
      <c r="BU2998" s="314"/>
      <c r="BV2998" s="314"/>
      <c r="BW2998" s="314"/>
      <c r="BX2998" s="155"/>
    </row>
    <row r="2999" spans="1:76" ht="15.75" customHeight="1">
      <c r="A2999" s="25"/>
      <c r="B2999" s="39"/>
      <c r="C2999" s="155"/>
      <c r="D2999" s="155"/>
      <c r="E2999" s="40"/>
      <c r="F2999" s="314"/>
      <c r="H2999" s="315"/>
      <c r="I2999" s="315"/>
      <c r="BA2999" s="30"/>
      <c r="BB2999" s="155"/>
      <c r="BC2999" s="314"/>
      <c r="BD2999" s="314"/>
      <c r="BE2999" s="314"/>
      <c r="BF2999" s="314"/>
      <c r="BG2999" s="314"/>
      <c r="BH2999" s="314"/>
      <c r="BI2999" s="314"/>
      <c r="BJ2999" s="314"/>
      <c r="BK2999" s="40"/>
      <c r="BL2999" s="40"/>
      <c r="BM2999" s="40"/>
      <c r="BN2999" s="40"/>
      <c r="BO2999" s="40"/>
      <c r="BP2999" s="155"/>
      <c r="BQ2999" s="314"/>
      <c r="BR2999" s="314"/>
      <c r="BS2999" s="314"/>
      <c r="BT2999" s="314"/>
      <c r="BU2999" s="314"/>
      <c r="BV2999" s="314"/>
      <c r="BW2999" s="314"/>
      <c r="BX2999" s="155"/>
    </row>
    <row r="3000" spans="1:76" ht="15.75" customHeight="1">
      <c r="A3000" s="25"/>
      <c r="B3000" s="39"/>
      <c r="C3000" s="155"/>
      <c r="D3000" s="155"/>
      <c r="E3000" s="40"/>
      <c r="F3000" s="314"/>
      <c r="H3000" s="315"/>
      <c r="I3000" s="315"/>
      <c r="BA3000" s="30"/>
      <c r="BB3000" s="155"/>
      <c r="BC3000" s="314"/>
      <c r="BD3000" s="314"/>
      <c r="BE3000" s="314"/>
      <c r="BF3000" s="314"/>
      <c r="BG3000" s="314"/>
      <c r="BH3000" s="314"/>
      <c r="BI3000" s="314"/>
      <c r="BJ3000" s="314"/>
      <c r="BK3000" s="40"/>
      <c r="BL3000" s="40"/>
      <c r="BM3000" s="40"/>
      <c r="BN3000" s="40"/>
      <c r="BO3000" s="40"/>
      <c r="BP3000" s="155"/>
      <c r="BQ3000" s="314"/>
      <c r="BR3000" s="314"/>
      <c r="BS3000" s="314"/>
      <c r="BT3000" s="314"/>
      <c r="BU3000" s="314"/>
      <c r="BV3000" s="314"/>
      <c r="BW3000" s="314"/>
      <c r="BX3000" s="155"/>
    </row>
    <row r="3001" spans="1:76" ht="15.75" customHeight="1">
      <c r="A3001" s="25"/>
      <c r="B3001" s="39"/>
      <c r="C3001" s="155"/>
      <c r="D3001" s="155"/>
      <c r="E3001" s="40"/>
      <c r="F3001" s="314"/>
      <c r="H3001" s="315"/>
      <c r="I3001" s="315"/>
      <c r="BA3001" s="30"/>
      <c r="BB3001" s="155"/>
      <c r="BC3001" s="314"/>
      <c r="BD3001" s="314"/>
      <c r="BE3001" s="314"/>
      <c r="BF3001" s="314"/>
      <c r="BG3001" s="314"/>
      <c r="BH3001" s="314"/>
      <c r="BI3001" s="314"/>
      <c r="BJ3001" s="314"/>
      <c r="BK3001" s="40"/>
      <c r="BL3001" s="40"/>
      <c r="BM3001" s="40"/>
      <c r="BN3001" s="40"/>
      <c r="BO3001" s="40"/>
      <c r="BP3001" s="155"/>
      <c r="BQ3001" s="314"/>
      <c r="BR3001" s="314"/>
      <c r="BS3001" s="314"/>
      <c r="BT3001" s="314"/>
      <c r="BU3001" s="314"/>
      <c r="BV3001" s="314"/>
      <c r="BW3001" s="314"/>
      <c r="BX3001" s="155"/>
    </row>
    <row r="3002" spans="1:76" ht="15.75" customHeight="1">
      <c r="A3002" s="25"/>
      <c r="B3002" s="39"/>
      <c r="C3002" s="155"/>
      <c r="D3002" s="155"/>
      <c r="E3002" s="40"/>
      <c r="F3002" s="314"/>
      <c r="H3002" s="315"/>
      <c r="I3002" s="315"/>
      <c r="BA3002" s="30"/>
      <c r="BB3002" s="155"/>
      <c r="BC3002" s="314"/>
      <c r="BD3002" s="314"/>
      <c r="BE3002" s="314"/>
      <c r="BF3002" s="314"/>
      <c r="BG3002" s="314"/>
      <c r="BH3002" s="314"/>
      <c r="BI3002" s="314"/>
      <c r="BJ3002" s="314"/>
      <c r="BK3002" s="40"/>
      <c r="BL3002" s="40"/>
      <c r="BM3002" s="40"/>
      <c r="BN3002" s="40"/>
      <c r="BO3002" s="40"/>
      <c r="BP3002" s="155"/>
      <c r="BQ3002" s="314"/>
      <c r="BR3002" s="314"/>
      <c r="BS3002" s="314"/>
      <c r="BT3002" s="314"/>
      <c r="BU3002" s="314"/>
      <c r="BV3002" s="314"/>
      <c r="BW3002" s="314"/>
      <c r="BX3002" s="155"/>
    </row>
    <row r="3003" spans="1:76" ht="15.75" customHeight="1">
      <c r="A3003" s="25"/>
      <c r="B3003" s="39"/>
      <c r="C3003" s="155"/>
      <c r="D3003" s="155"/>
      <c r="E3003" s="40"/>
      <c r="F3003" s="314"/>
      <c r="H3003" s="315"/>
      <c r="I3003" s="315"/>
      <c r="BA3003" s="30"/>
      <c r="BB3003" s="155"/>
      <c r="BC3003" s="314"/>
      <c r="BD3003" s="314"/>
      <c r="BE3003" s="314"/>
      <c r="BF3003" s="314"/>
      <c r="BG3003" s="314"/>
      <c r="BH3003" s="314"/>
      <c r="BI3003" s="314"/>
      <c r="BJ3003" s="314"/>
      <c r="BK3003" s="40"/>
      <c r="BL3003" s="40"/>
      <c r="BM3003" s="40"/>
      <c r="BN3003" s="40"/>
      <c r="BO3003" s="40"/>
      <c r="BP3003" s="155"/>
      <c r="BQ3003" s="314"/>
      <c r="BR3003" s="314"/>
      <c r="BS3003" s="314"/>
      <c r="BT3003" s="314"/>
      <c r="BU3003" s="314"/>
      <c r="BV3003" s="314"/>
      <c r="BW3003" s="314"/>
      <c r="BX3003" s="155"/>
    </row>
    <row r="3004" spans="1:76" ht="15.75" customHeight="1">
      <c r="A3004" s="25"/>
      <c r="B3004" s="39"/>
      <c r="C3004" s="155"/>
      <c r="D3004" s="155"/>
      <c r="E3004" s="40"/>
      <c r="F3004" s="314"/>
      <c r="H3004" s="315"/>
      <c r="I3004" s="315"/>
      <c r="BA3004" s="30"/>
      <c r="BB3004" s="155"/>
      <c r="BC3004" s="314"/>
      <c r="BD3004" s="314"/>
      <c r="BE3004" s="314"/>
      <c r="BF3004" s="314"/>
      <c r="BG3004" s="314"/>
      <c r="BH3004" s="314"/>
      <c r="BI3004" s="314"/>
      <c r="BJ3004" s="314"/>
      <c r="BK3004" s="40"/>
      <c r="BL3004" s="40"/>
      <c r="BM3004" s="40"/>
      <c r="BN3004" s="40"/>
      <c r="BO3004" s="40"/>
      <c r="BP3004" s="155"/>
      <c r="BQ3004" s="314"/>
      <c r="BR3004" s="314"/>
      <c r="BS3004" s="314"/>
      <c r="BT3004" s="314"/>
      <c r="BU3004" s="314"/>
      <c r="BV3004" s="314"/>
      <c r="BW3004" s="314"/>
      <c r="BX3004" s="155"/>
    </row>
    <row r="3005" spans="1:76" ht="15.75" customHeight="1">
      <c r="A3005" s="25"/>
      <c r="B3005" s="39"/>
      <c r="C3005" s="155"/>
      <c r="D3005" s="155"/>
      <c r="E3005" s="40"/>
      <c r="F3005" s="314"/>
      <c r="H3005" s="315"/>
      <c r="I3005" s="315"/>
      <c r="BA3005" s="30"/>
      <c r="BB3005" s="155"/>
      <c r="BC3005" s="314"/>
      <c r="BD3005" s="314"/>
      <c r="BE3005" s="314"/>
      <c r="BF3005" s="314"/>
      <c r="BG3005" s="314"/>
      <c r="BH3005" s="314"/>
      <c r="BI3005" s="314"/>
      <c r="BJ3005" s="314"/>
      <c r="BK3005" s="40"/>
      <c r="BL3005" s="40"/>
      <c r="BM3005" s="40"/>
      <c r="BN3005" s="40"/>
      <c r="BO3005" s="40"/>
      <c r="BP3005" s="155"/>
      <c r="BQ3005" s="314"/>
      <c r="BR3005" s="314"/>
      <c r="BS3005" s="314"/>
      <c r="BT3005" s="314"/>
      <c r="BU3005" s="314"/>
      <c r="BV3005" s="314"/>
      <c r="BW3005" s="314"/>
      <c r="BX3005" s="155"/>
    </row>
    <row r="3006" spans="1:76" ht="15.75" customHeight="1">
      <c r="A3006" s="25"/>
      <c r="B3006" s="39"/>
      <c r="C3006" s="155"/>
      <c r="D3006" s="155"/>
      <c r="E3006" s="40"/>
      <c r="F3006" s="314"/>
      <c r="H3006" s="315"/>
      <c r="I3006" s="315"/>
      <c r="BA3006" s="30"/>
      <c r="BB3006" s="155"/>
      <c r="BC3006" s="314"/>
      <c r="BD3006" s="314"/>
      <c r="BE3006" s="314"/>
      <c r="BF3006" s="314"/>
      <c r="BG3006" s="314"/>
      <c r="BH3006" s="314"/>
      <c r="BI3006" s="314"/>
      <c r="BJ3006" s="314"/>
      <c r="BK3006" s="40"/>
      <c r="BL3006" s="40"/>
      <c r="BM3006" s="40"/>
      <c r="BN3006" s="40"/>
      <c r="BO3006" s="40"/>
      <c r="BP3006" s="155"/>
      <c r="BQ3006" s="314"/>
      <c r="BR3006" s="314"/>
      <c r="BS3006" s="314"/>
      <c r="BT3006" s="314"/>
      <c r="BU3006" s="314"/>
      <c r="BV3006" s="314"/>
      <c r="BW3006" s="314"/>
      <c r="BX3006" s="155"/>
    </row>
    <row r="3007" spans="1:76" ht="15.75" customHeight="1">
      <c r="A3007" s="25"/>
      <c r="B3007" s="39"/>
      <c r="C3007" s="155"/>
      <c r="D3007" s="155"/>
      <c r="E3007" s="40"/>
      <c r="F3007" s="314"/>
      <c r="H3007" s="315"/>
      <c r="I3007" s="315"/>
      <c r="BA3007" s="30"/>
      <c r="BB3007" s="155"/>
      <c r="BC3007" s="314"/>
      <c r="BD3007" s="314"/>
      <c r="BE3007" s="314"/>
      <c r="BF3007" s="314"/>
      <c r="BG3007" s="314"/>
      <c r="BH3007" s="314"/>
      <c r="BI3007" s="314"/>
      <c r="BJ3007" s="314"/>
      <c r="BK3007" s="40"/>
      <c r="BL3007" s="40"/>
      <c r="BM3007" s="40"/>
      <c r="BN3007" s="40"/>
      <c r="BO3007" s="40"/>
      <c r="BP3007" s="155"/>
      <c r="BQ3007" s="314"/>
      <c r="BR3007" s="314"/>
      <c r="BS3007" s="314"/>
      <c r="BT3007" s="314"/>
      <c r="BU3007" s="314"/>
      <c r="BV3007" s="314"/>
      <c r="BW3007" s="314"/>
      <c r="BX3007" s="155"/>
    </row>
    <row r="3008" spans="1:76" ht="15.75" customHeight="1">
      <c r="A3008" s="25"/>
      <c r="B3008" s="39"/>
      <c r="C3008" s="155"/>
      <c r="D3008" s="155"/>
      <c r="E3008" s="40"/>
      <c r="F3008" s="314"/>
      <c r="H3008" s="315"/>
      <c r="I3008" s="315"/>
      <c r="BA3008" s="30"/>
      <c r="BB3008" s="155"/>
      <c r="BC3008" s="314"/>
      <c r="BD3008" s="314"/>
      <c r="BE3008" s="314"/>
      <c r="BF3008" s="314"/>
      <c r="BG3008" s="314"/>
      <c r="BH3008" s="314"/>
      <c r="BI3008" s="314"/>
      <c r="BJ3008" s="314"/>
      <c r="BK3008" s="40"/>
      <c r="BL3008" s="40"/>
      <c r="BM3008" s="40"/>
      <c r="BN3008" s="40"/>
      <c r="BO3008" s="40"/>
      <c r="BP3008" s="155"/>
      <c r="BQ3008" s="314"/>
      <c r="BR3008" s="314"/>
      <c r="BS3008" s="314"/>
      <c r="BT3008" s="314"/>
      <c r="BU3008" s="314"/>
      <c r="BV3008" s="314"/>
      <c r="BW3008" s="314"/>
      <c r="BX3008" s="155"/>
    </row>
    <row r="3009" spans="1:76" ht="15.75" customHeight="1">
      <c r="A3009" s="25"/>
      <c r="B3009" s="39"/>
      <c r="C3009" s="155"/>
      <c r="D3009" s="155"/>
      <c r="E3009" s="40"/>
      <c r="F3009" s="314"/>
      <c r="H3009" s="315"/>
      <c r="I3009" s="315"/>
      <c r="BA3009" s="30"/>
      <c r="BB3009" s="155"/>
      <c r="BC3009" s="314"/>
      <c r="BD3009" s="314"/>
      <c r="BE3009" s="314"/>
      <c r="BF3009" s="314"/>
      <c r="BG3009" s="314"/>
      <c r="BH3009" s="314"/>
      <c r="BI3009" s="314"/>
      <c r="BJ3009" s="314"/>
      <c r="BK3009" s="40"/>
      <c r="BL3009" s="40"/>
      <c r="BM3009" s="40"/>
      <c r="BN3009" s="40"/>
      <c r="BO3009" s="40"/>
      <c r="BP3009" s="155"/>
      <c r="BQ3009" s="314"/>
      <c r="BR3009" s="314"/>
      <c r="BS3009" s="314"/>
      <c r="BT3009" s="314"/>
      <c r="BU3009" s="314"/>
      <c r="BV3009" s="314"/>
      <c r="BW3009" s="314"/>
      <c r="BX3009" s="155"/>
    </row>
    <row r="3010" spans="1:76" ht="15.75" customHeight="1">
      <c r="A3010" s="25"/>
      <c r="B3010" s="39"/>
      <c r="C3010" s="155"/>
      <c r="D3010" s="155"/>
      <c r="E3010" s="40"/>
      <c r="F3010" s="314"/>
      <c r="H3010" s="315"/>
      <c r="I3010" s="315"/>
      <c r="BA3010" s="30"/>
      <c r="BB3010" s="155"/>
      <c r="BC3010" s="314"/>
      <c r="BD3010" s="314"/>
      <c r="BE3010" s="314"/>
      <c r="BF3010" s="314"/>
      <c r="BG3010" s="314"/>
      <c r="BH3010" s="314"/>
      <c r="BI3010" s="314"/>
      <c r="BJ3010" s="314"/>
      <c r="BK3010" s="40"/>
      <c r="BL3010" s="40"/>
      <c r="BM3010" s="40"/>
      <c r="BN3010" s="40"/>
      <c r="BO3010" s="40"/>
      <c r="BP3010" s="155"/>
      <c r="BQ3010" s="314"/>
      <c r="BR3010" s="314"/>
      <c r="BS3010" s="314"/>
      <c r="BT3010" s="314"/>
      <c r="BU3010" s="314"/>
      <c r="BV3010" s="314"/>
      <c r="BW3010" s="314"/>
      <c r="BX3010" s="155"/>
    </row>
    <row r="3011" spans="1:76" ht="15.75" customHeight="1">
      <c r="A3011" s="25"/>
      <c r="B3011" s="39"/>
      <c r="C3011" s="155"/>
      <c r="D3011" s="155"/>
      <c r="E3011" s="40"/>
      <c r="F3011" s="314"/>
      <c r="H3011" s="315"/>
      <c r="I3011" s="315"/>
      <c r="BA3011" s="30"/>
      <c r="BB3011" s="155"/>
      <c r="BC3011" s="314"/>
      <c r="BD3011" s="314"/>
      <c r="BE3011" s="314"/>
      <c r="BF3011" s="314"/>
      <c r="BG3011" s="314"/>
      <c r="BH3011" s="314"/>
      <c r="BI3011" s="314"/>
      <c r="BJ3011" s="314"/>
      <c r="BK3011" s="40"/>
      <c r="BL3011" s="40"/>
      <c r="BM3011" s="40"/>
      <c r="BN3011" s="40"/>
      <c r="BO3011" s="40"/>
      <c r="BP3011" s="155"/>
      <c r="BQ3011" s="314"/>
      <c r="BR3011" s="314"/>
      <c r="BS3011" s="314"/>
      <c r="BT3011" s="314"/>
      <c r="BU3011" s="314"/>
      <c r="BV3011" s="314"/>
      <c r="BW3011" s="314"/>
      <c r="BX3011" s="155"/>
    </row>
    <row r="3012" spans="1:76" ht="15.75" customHeight="1">
      <c r="A3012" s="25"/>
      <c r="B3012" s="39"/>
      <c r="C3012" s="155"/>
      <c r="D3012" s="155"/>
      <c r="E3012" s="40"/>
      <c r="F3012" s="314"/>
      <c r="H3012" s="315"/>
      <c r="I3012" s="315"/>
      <c r="BA3012" s="30"/>
      <c r="BB3012" s="155"/>
      <c r="BC3012" s="314"/>
      <c r="BD3012" s="314"/>
      <c r="BE3012" s="314"/>
      <c r="BF3012" s="314"/>
      <c r="BG3012" s="314"/>
      <c r="BH3012" s="314"/>
      <c r="BI3012" s="314"/>
      <c r="BJ3012" s="314"/>
      <c r="BK3012" s="40"/>
      <c r="BL3012" s="40"/>
      <c r="BM3012" s="40"/>
      <c r="BN3012" s="40"/>
      <c r="BO3012" s="40"/>
      <c r="BP3012" s="155"/>
      <c r="BQ3012" s="314"/>
      <c r="BR3012" s="314"/>
      <c r="BS3012" s="314"/>
      <c r="BT3012" s="314"/>
      <c r="BU3012" s="314"/>
      <c r="BV3012" s="314"/>
      <c r="BW3012" s="314"/>
      <c r="BX3012" s="155"/>
    </row>
    <row r="3013" spans="1:76" ht="15.75" customHeight="1">
      <c r="A3013" s="25"/>
      <c r="B3013" s="39"/>
      <c r="C3013" s="155"/>
      <c r="D3013" s="155"/>
      <c r="E3013" s="40"/>
      <c r="F3013" s="314"/>
      <c r="H3013" s="315"/>
      <c r="I3013" s="315"/>
      <c r="BA3013" s="30"/>
      <c r="BB3013" s="155"/>
      <c r="BC3013" s="314"/>
      <c r="BD3013" s="314"/>
      <c r="BE3013" s="314"/>
      <c r="BF3013" s="314"/>
      <c r="BG3013" s="314"/>
      <c r="BH3013" s="314"/>
      <c r="BI3013" s="314"/>
      <c r="BJ3013" s="314"/>
      <c r="BK3013" s="40"/>
      <c r="BL3013" s="40"/>
      <c r="BM3013" s="40"/>
      <c r="BN3013" s="40"/>
      <c r="BO3013" s="40"/>
      <c r="BP3013" s="155"/>
      <c r="BQ3013" s="314"/>
      <c r="BR3013" s="314"/>
      <c r="BS3013" s="314"/>
      <c r="BT3013" s="314"/>
      <c r="BU3013" s="314"/>
      <c r="BV3013" s="314"/>
      <c r="BW3013" s="314"/>
      <c r="BX3013" s="155"/>
    </row>
    <row r="3014" spans="1:76" ht="15.75" customHeight="1">
      <c r="A3014" s="25"/>
      <c r="B3014" s="39"/>
      <c r="C3014" s="155"/>
      <c r="D3014" s="155"/>
      <c r="E3014" s="40"/>
      <c r="F3014" s="314"/>
      <c r="H3014" s="315"/>
      <c r="I3014" s="315"/>
      <c r="BA3014" s="30"/>
      <c r="BB3014" s="155"/>
      <c r="BC3014" s="314"/>
      <c r="BD3014" s="314"/>
      <c r="BE3014" s="314"/>
      <c r="BF3014" s="314"/>
      <c r="BG3014" s="314"/>
      <c r="BH3014" s="314"/>
      <c r="BI3014" s="314"/>
      <c r="BJ3014" s="314"/>
      <c r="BK3014" s="40"/>
      <c r="BL3014" s="40"/>
      <c r="BM3014" s="40"/>
      <c r="BN3014" s="40"/>
      <c r="BO3014" s="40"/>
      <c r="BP3014" s="155"/>
      <c r="BQ3014" s="314"/>
      <c r="BR3014" s="314"/>
      <c r="BS3014" s="314"/>
      <c r="BT3014" s="314"/>
      <c r="BU3014" s="314"/>
      <c r="BV3014" s="314"/>
      <c r="BW3014" s="314"/>
      <c r="BX3014" s="155"/>
    </row>
    <row r="3015" spans="1:76" ht="15.75" customHeight="1">
      <c r="A3015" s="25"/>
      <c r="B3015" s="39"/>
      <c r="C3015" s="155"/>
      <c r="D3015" s="155"/>
      <c r="E3015" s="40"/>
      <c r="F3015" s="314"/>
      <c r="H3015" s="315"/>
      <c r="I3015" s="315"/>
      <c r="BA3015" s="30"/>
      <c r="BB3015" s="155"/>
      <c r="BC3015" s="314"/>
      <c r="BD3015" s="314"/>
      <c r="BE3015" s="314"/>
      <c r="BF3015" s="314"/>
      <c r="BG3015" s="314"/>
      <c r="BH3015" s="314"/>
      <c r="BI3015" s="314"/>
      <c r="BJ3015" s="314"/>
      <c r="BK3015" s="40"/>
      <c r="BL3015" s="40"/>
      <c r="BM3015" s="40"/>
      <c r="BN3015" s="40"/>
      <c r="BO3015" s="40"/>
      <c r="BP3015" s="155"/>
      <c r="BQ3015" s="314"/>
      <c r="BR3015" s="314"/>
      <c r="BS3015" s="314"/>
      <c r="BT3015" s="314"/>
      <c r="BU3015" s="314"/>
      <c r="BV3015" s="314"/>
      <c r="BW3015" s="314"/>
      <c r="BX3015" s="155"/>
    </row>
    <row r="3016" spans="1:76" ht="15.75" customHeight="1">
      <c r="A3016" s="25"/>
      <c r="B3016" s="39"/>
      <c r="C3016" s="155"/>
      <c r="D3016" s="155"/>
      <c r="E3016" s="40"/>
      <c r="F3016" s="314"/>
      <c r="H3016" s="315"/>
      <c r="I3016" s="315"/>
      <c r="BA3016" s="30"/>
      <c r="BB3016" s="155"/>
      <c r="BC3016" s="322"/>
      <c r="BD3016" s="322"/>
      <c r="BE3016" s="322"/>
      <c r="BF3016" s="322"/>
      <c r="BG3016" s="322"/>
      <c r="BH3016" s="322"/>
      <c r="BI3016" s="322"/>
      <c r="BJ3016" s="322"/>
      <c r="BK3016" s="341"/>
      <c r="BL3016" s="40"/>
      <c r="BM3016" s="40"/>
      <c r="BN3016" s="40"/>
      <c r="BO3016" s="40"/>
      <c r="BP3016" s="155"/>
      <c r="BQ3016" s="314"/>
      <c r="BR3016" s="314"/>
      <c r="BS3016" s="314"/>
      <c r="BT3016" s="314"/>
      <c r="BU3016" s="314"/>
      <c r="BV3016" s="314"/>
      <c r="BW3016" s="314"/>
      <c r="BX3016" s="155"/>
    </row>
    <row r="3017" spans="1:76" ht="15.75" customHeight="1">
      <c r="A3017" s="25"/>
      <c r="B3017" s="39"/>
      <c r="C3017" s="155"/>
      <c r="D3017" s="155"/>
      <c r="E3017" s="40"/>
      <c r="F3017" s="314"/>
      <c r="H3017" s="315"/>
      <c r="I3017" s="315"/>
      <c r="BA3017" s="30"/>
      <c r="BB3017" s="155"/>
      <c r="BC3017" s="314"/>
      <c r="BD3017" s="314"/>
      <c r="BE3017" s="314"/>
      <c r="BF3017" s="314"/>
      <c r="BG3017" s="314"/>
      <c r="BH3017" s="314"/>
      <c r="BI3017" s="314"/>
      <c r="BJ3017" s="314"/>
      <c r="BK3017" s="40"/>
      <c r="BL3017" s="40"/>
      <c r="BM3017" s="40"/>
      <c r="BN3017" s="40"/>
      <c r="BO3017" s="40"/>
      <c r="BP3017" s="155"/>
      <c r="BQ3017" s="314"/>
      <c r="BR3017" s="314"/>
      <c r="BS3017" s="314"/>
      <c r="BT3017" s="314"/>
      <c r="BU3017" s="314"/>
      <c r="BV3017" s="314"/>
      <c r="BW3017" s="314"/>
      <c r="BX3017" s="155"/>
    </row>
    <row r="3018" spans="1:76" ht="15.75" customHeight="1">
      <c r="A3018" s="25"/>
      <c r="B3018" s="39"/>
      <c r="C3018" s="155"/>
      <c r="D3018" s="155"/>
      <c r="E3018" s="40"/>
      <c r="F3018" s="314"/>
      <c r="H3018" s="315"/>
      <c r="I3018" s="315"/>
      <c r="BA3018" s="30"/>
      <c r="BB3018" s="155"/>
      <c r="BC3018" s="314"/>
      <c r="BD3018" s="314"/>
      <c r="BE3018" s="314"/>
      <c r="BF3018" s="314"/>
      <c r="BG3018" s="314"/>
      <c r="BH3018" s="314"/>
      <c r="BI3018" s="314"/>
      <c r="BJ3018" s="314"/>
      <c r="BK3018" s="40"/>
      <c r="BL3018" s="40"/>
      <c r="BM3018" s="40"/>
      <c r="BN3018" s="40"/>
      <c r="BO3018" s="40"/>
      <c r="BP3018" s="155"/>
      <c r="BQ3018" s="314"/>
      <c r="BR3018" s="314"/>
      <c r="BS3018" s="314"/>
      <c r="BT3018" s="314"/>
      <c r="BU3018" s="314"/>
      <c r="BV3018" s="314"/>
      <c r="BW3018" s="314"/>
      <c r="BX3018" s="155"/>
    </row>
    <row r="3019" spans="1:76" ht="15.75" customHeight="1">
      <c r="A3019" s="25"/>
      <c r="B3019" s="39"/>
      <c r="C3019" s="155"/>
      <c r="D3019" s="155"/>
      <c r="E3019" s="40"/>
      <c r="F3019" s="314"/>
      <c r="H3019" s="315"/>
      <c r="I3019" s="315"/>
      <c r="BA3019" s="30"/>
      <c r="BB3019" s="155"/>
      <c r="BC3019" s="314"/>
      <c r="BD3019" s="314"/>
      <c r="BE3019" s="314"/>
      <c r="BF3019" s="314"/>
      <c r="BG3019" s="314"/>
      <c r="BH3019" s="314"/>
      <c r="BI3019" s="314"/>
      <c r="BJ3019" s="314"/>
      <c r="BK3019" s="40"/>
      <c r="BL3019" s="40"/>
      <c r="BM3019" s="40"/>
      <c r="BN3019" s="40"/>
      <c r="BO3019" s="40"/>
      <c r="BP3019" s="155"/>
      <c r="BQ3019" s="314"/>
      <c r="BR3019" s="314"/>
      <c r="BS3019" s="314"/>
      <c r="BT3019" s="314"/>
      <c r="BU3019" s="314"/>
      <c r="BV3019" s="314"/>
      <c r="BW3019" s="314"/>
      <c r="BX3019" s="155"/>
    </row>
    <row r="3020" spans="1:76" ht="15.75" customHeight="1">
      <c r="A3020" s="25"/>
      <c r="B3020" s="39"/>
      <c r="C3020" s="155"/>
      <c r="D3020" s="155"/>
      <c r="E3020" s="40"/>
      <c r="F3020" s="314"/>
      <c r="H3020" s="315"/>
      <c r="I3020" s="315"/>
      <c r="BA3020" s="30"/>
      <c r="BB3020" s="155"/>
      <c r="BC3020" s="314"/>
      <c r="BD3020" s="314"/>
      <c r="BE3020" s="314"/>
      <c r="BF3020" s="314"/>
      <c r="BG3020" s="314"/>
      <c r="BH3020" s="314"/>
      <c r="BI3020" s="314"/>
      <c r="BJ3020" s="314"/>
      <c r="BK3020" s="40"/>
      <c r="BL3020" s="40"/>
      <c r="BM3020" s="40"/>
      <c r="BN3020" s="40"/>
      <c r="BO3020" s="40"/>
      <c r="BP3020" s="155"/>
      <c r="BQ3020" s="314"/>
      <c r="BR3020" s="314"/>
      <c r="BS3020" s="314"/>
      <c r="BT3020" s="314"/>
      <c r="BU3020" s="314"/>
      <c r="BV3020" s="314"/>
      <c r="BW3020" s="314"/>
      <c r="BX3020" s="155"/>
    </row>
    <row r="3021" spans="1:76" ht="15.75" customHeight="1">
      <c r="A3021" s="25"/>
      <c r="B3021" s="39"/>
      <c r="C3021" s="155"/>
      <c r="D3021" s="155"/>
      <c r="E3021" s="40"/>
      <c r="F3021" s="314"/>
      <c r="H3021" s="315"/>
      <c r="I3021" s="315"/>
      <c r="BA3021" s="30"/>
      <c r="BB3021" s="155"/>
      <c r="BC3021" s="314"/>
      <c r="BD3021" s="314"/>
      <c r="BE3021" s="314"/>
      <c r="BF3021" s="314"/>
      <c r="BG3021" s="314"/>
      <c r="BH3021" s="314"/>
      <c r="BI3021" s="314"/>
      <c r="BJ3021" s="314"/>
      <c r="BK3021" s="40"/>
      <c r="BL3021" s="40"/>
      <c r="BM3021" s="40"/>
      <c r="BN3021" s="40"/>
      <c r="BO3021" s="40"/>
      <c r="BP3021" s="155"/>
      <c r="BQ3021" s="314"/>
      <c r="BR3021" s="314"/>
      <c r="BS3021" s="314"/>
      <c r="BT3021" s="314"/>
      <c r="BU3021" s="314"/>
      <c r="BV3021" s="314"/>
      <c r="BW3021" s="314"/>
      <c r="BX3021" s="155"/>
    </row>
    <row r="3022" spans="1:76" ht="15.75" customHeight="1">
      <c r="A3022" s="25"/>
      <c r="B3022" s="39"/>
      <c r="C3022" s="155"/>
      <c r="D3022" s="155"/>
      <c r="E3022" s="40"/>
      <c r="F3022" s="314"/>
      <c r="H3022" s="315"/>
      <c r="I3022" s="315"/>
      <c r="BA3022" s="30"/>
      <c r="BB3022" s="155"/>
      <c r="BC3022" s="314"/>
      <c r="BD3022" s="314"/>
      <c r="BE3022" s="314"/>
      <c r="BF3022" s="314"/>
      <c r="BG3022" s="314"/>
      <c r="BH3022" s="314"/>
      <c r="BI3022" s="314"/>
      <c r="BJ3022" s="314"/>
      <c r="BK3022" s="40"/>
      <c r="BL3022" s="40"/>
      <c r="BM3022" s="40"/>
      <c r="BN3022" s="40"/>
      <c r="BO3022" s="40"/>
      <c r="BP3022" s="155"/>
      <c r="BQ3022" s="314"/>
      <c r="BR3022" s="314"/>
      <c r="BS3022" s="314"/>
      <c r="BT3022" s="314"/>
      <c r="BU3022" s="314"/>
      <c r="BV3022" s="314"/>
      <c r="BW3022" s="314"/>
      <c r="BX3022" s="155"/>
    </row>
    <row r="3023" spans="1:76" ht="15.75" customHeight="1">
      <c r="A3023" s="25"/>
      <c r="B3023" s="39"/>
      <c r="C3023" s="155"/>
      <c r="D3023" s="155"/>
      <c r="E3023" s="40"/>
      <c r="F3023" s="314"/>
      <c r="H3023" s="315"/>
      <c r="I3023" s="315"/>
      <c r="BA3023" s="30"/>
      <c r="BB3023" s="155"/>
      <c r="BC3023" s="314"/>
      <c r="BD3023" s="314"/>
      <c r="BE3023" s="314"/>
      <c r="BF3023" s="314"/>
      <c r="BG3023" s="314"/>
      <c r="BH3023" s="314"/>
      <c r="BI3023" s="314"/>
      <c r="BJ3023" s="314"/>
      <c r="BK3023" s="40"/>
      <c r="BL3023" s="40"/>
      <c r="BM3023" s="40"/>
      <c r="BN3023" s="40"/>
      <c r="BO3023" s="40"/>
      <c r="BP3023" s="155"/>
      <c r="BQ3023" s="314"/>
      <c r="BR3023" s="314"/>
      <c r="BS3023" s="314"/>
      <c r="BT3023" s="314"/>
      <c r="BU3023" s="314"/>
      <c r="BV3023" s="314"/>
      <c r="BW3023" s="314"/>
      <c r="BX3023" s="155"/>
    </row>
    <row r="3024" spans="1:76" ht="15.75" customHeight="1">
      <c r="A3024" s="25"/>
      <c r="B3024" s="39"/>
      <c r="C3024" s="155"/>
      <c r="D3024" s="155"/>
      <c r="E3024" s="40"/>
      <c r="F3024" s="314"/>
      <c r="H3024" s="315"/>
      <c r="I3024" s="315"/>
      <c r="BA3024" s="30"/>
      <c r="BB3024" s="155"/>
      <c r="BC3024" s="314"/>
      <c r="BD3024" s="314"/>
      <c r="BE3024" s="314"/>
      <c r="BF3024" s="314"/>
      <c r="BG3024" s="314"/>
      <c r="BH3024" s="314"/>
      <c r="BI3024" s="314"/>
      <c r="BJ3024" s="314"/>
      <c r="BK3024" s="40"/>
      <c r="BL3024" s="40"/>
      <c r="BM3024" s="40"/>
      <c r="BN3024" s="40"/>
      <c r="BO3024" s="40"/>
      <c r="BP3024" s="155"/>
      <c r="BQ3024" s="314"/>
      <c r="BR3024" s="314"/>
      <c r="BS3024" s="314"/>
      <c r="BT3024" s="314"/>
      <c r="BU3024" s="314"/>
      <c r="BV3024" s="314"/>
      <c r="BW3024" s="314"/>
      <c r="BX3024" s="155"/>
    </row>
    <row r="3025" spans="1:76" ht="15.75" customHeight="1">
      <c r="A3025" s="25"/>
      <c r="B3025" s="39"/>
      <c r="C3025" s="155"/>
      <c r="D3025" s="155"/>
      <c r="E3025" s="40"/>
      <c r="F3025" s="314"/>
      <c r="H3025" s="315"/>
      <c r="I3025" s="315"/>
      <c r="BA3025" s="30"/>
      <c r="BB3025" s="155"/>
      <c r="BC3025" s="314"/>
      <c r="BD3025" s="314"/>
      <c r="BE3025" s="314"/>
      <c r="BF3025" s="314"/>
      <c r="BG3025" s="314"/>
      <c r="BH3025" s="314"/>
      <c r="BI3025" s="314"/>
      <c r="BJ3025" s="314"/>
      <c r="BK3025" s="40"/>
      <c r="BL3025" s="40"/>
      <c r="BM3025" s="40"/>
      <c r="BN3025" s="40"/>
      <c r="BO3025" s="40"/>
      <c r="BP3025" s="155"/>
      <c r="BQ3025" s="314"/>
      <c r="BR3025" s="314"/>
      <c r="BS3025" s="314"/>
      <c r="BT3025" s="314"/>
      <c r="BU3025" s="314"/>
      <c r="BV3025" s="314"/>
      <c r="BW3025" s="314"/>
      <c r="BX3025" s="155"/>
    </row>
    <row r="3026" spans="1:76" ht="15.75" customHeight="1">
      <c r="A3026" s="25"/>
      <c r="B3026" s="39"/>
      <c r="C3026" s="155"/>
      <c r="D3026" s="155"/>
      <c r="E3026" s="40"/>
      <c r="F3026" s="314"/>
      <c r="H3026" s="315"/>
      <c r="I3026" s="315"/>
      <c r="BA3026" s="30"/>
      <c r="BB3026" s="155"/>
      <c r="BC3026" s="314"/>
      <c r="BD3026" s="314"/>
      <c r="BE3026" s="314"/>
      <c r="BF3026" s="314"/>
      <c r="BG3026" s="314"/>
      <c r="BH3026" s="314"/>
      <c r="BI3026" s="314"/>
      <c r="BJ3026" s="314"/>
      <c r="BK3026" s="40"/>
      <c r="BL3026" s="40"/>
      <c r="BM3026" s="40"/>
      <c r="BN3026" s="40"/>
      <c r="BO3026" s="40"/>
      <c r="BP3026" s="155"/>
      <c r="BQ3026" s="314"/>
      <c r="BR3026" s="314"/>
      <c r="BS3026" s="314"/>
      <c r="BT3026" s="314"/>
      <c r="BU3026" s="314"/>
      <c r="BV3026" s="314"/>
      <c r="BW3026" s="314"/>
      <c r="BX3026" s="155"/>
    </row>
    <row r="3027" spans="1:76" ht="15.75" customHeight="1">
      <c r="A3027" s="25"/>
      <c r="B3027" s="39"/>
      <c r="C3027" s="155"/>
      <c r="D3027" s="155"/>
      <c r="E3027" s="40"/>
      <c r="F3027" s="314"/>
      <c r="H3027" s="315"/>
      <c r="I3027" s="315"/>
      <c r="BA3027" s="30"/>
      <c r="BB3027" s="155"/>
      <c r="BC3027" s="314"/>
      <c r="BD3027" s="314"/>
      <c r="BE3027" s="314"/>
      <c r="BF3027" s="314"/>
      <c r="BG3027" s="314"/>
      <c r="BH3027" s="314"/>
      <c r="BI3027" s="314"/>
      <c r="BJ3027" s="314"/>
      <c r="BK3027" s="40"/>
      <c r="BL3027" s="40"/>
      <c r="BM3027" s="40"/>
      <c r="BN3027" s="40"/>
      <c r="BO3027" s="40"/>
      <c r="BP3027" s="155"/>
      <c r="BQ3027" s="314"/>
      <c r="BR3027" s="314"/>
      <c r="BS3027" s="314"/>
      <c r="BT3027" s="314"/>
      <c r="BU3027" s="314"/>
      <c r="BV3027" s="314"/>
      <c r="BW3027" s="314"/>
      <c r="BX3027" s="155"/>
    </row>
    <row r="3028" spans="1:76" ht="15.75" customHeight="1">
      <c r="A3028" s="25"/>
      <c r="B3028" s="39"/>
      <c r="C3028" s="155"/>
      <c r="D3028" s="155"/>
      <c r="E3028" s="40"/>
      <c r="F3028" s="314"/>
      <c r="H3028" s="315"/>
      <c r="I3028" s="315"/>
      <c r="BA3028" s="30"/>
      <c r="BB3028" s="155"/>
      <c r="BC3028" s="314"/>
      <c r="BD3028" s="314"/>
      <c r="BE3028" s="314"/>
      <c r="BF3028" s="314"/>
      <c r="BG3028" s="314"/>
      <c r="BH3028" s="314"/>
      <c r="BI3028" s="314"/>
      <c r="BJ3028" s="314"/>
      <c r="BK3028" s="40"/>
      <c r="BL3028" s="40"/>
      <c r="BM3028" s="40"/>
      <c r="BN3028" s="40"/>
      <c r="BO3028" s="40"/>
      <c r="BP3028" s="155"/>
      <c r="BQ3028" s="314"/>
      <c r="BR3028" s="314"/>
      <c r="BS3028" s="314"/>
      <c r="BT3028" s="314"/>
      <c r="BU3028" s="314"/>
      <c r="BV3028" s="314"/>
      <c r="BW3028" s="314"/>
      <c r="BX3028" s="155"/>
    </row>
    <row r="3029" spans="1:76" ht="15.75" customHeight="1">
      <c r="A3029" s="25"/>
      <c r="B3029" s="39"/>
      <c r="C3029" s="155"/>
      <c r="D3029" s="155"/>
      <c r="E3029" s="40"/>
      <c r="F3029" s="314"/>
      <c r="H3029" s="315"/>
      <c r="I3029" s="315"/>
      <c r="BA3029" s="30"/>
      <c r="BB3029" s="155"/>
      <c r="BC3029" s="314"/>
      <c r="BD3029" s="314"/>
      <c r="BE3029" s="314"/>
      <c r="BF3029" s="314"/>
      <c r="BG3029" s="314"/>
      <c r="BH3029" s="314"/>
      <c r="BI3029" s="314"/>
      <c r="BJ3029" s="314"/>
      <c r="BK3029" s="40"/>
      <c r="BL3029" s="40"/>
      <c r="BM3029" s="40"/>
      <c r="BN3029" s="40"/>
      <c r="BO3029" s="40"/>
      <c r="BP3029" s="155"/>
      <c r="BQ3029" s="314"/>
      <c r="BR3029" s="314"/>
      <c r="BS3029" s="314"/>
      <c r="BT3029" s="314"/>
      <c r="BU3029" s="314"/>
      <c r="BV3029" s="314"/>
      <c r="BW3029" s="314"/>
      <c r="BX3029" s="155"/>
    </row>
    <row r="3030" spans="1:76" ht="15.75" customHeight="1">
      <c r="A3030" s="25"/>
      <c r="B3030" s="39"/>
      <c r="C3030" s="155"/>
      <c r="D3030" s="155"/>
      <c r="E3030" s="40"/>
      <c r="F3030" s="314"/>
      <c r="H3030" s="315"/>
      <c r="I3030" s="315"/>
      <c r="BA3030" s="30"/>
      <c r="BB3030" s="155"/>
      <c r="BC3030" s="314"/>
      <c r="BD3030" s="314"/>
      <c r="BE3030" s="314"/>
      <c r="BF3030" s="314"/>
      <c r="BG3030" s="314"/>
      <c r="BH3030" s="314"/>
      <c r="BI3030" s="314"/>
      <c r="BJ3030" s="314"/>
      <c r="BK3030" s="40"/>
      <c r="BL3030" s="40"/>
      <c r="BM3030" s="40"/>
      <c r="BN3030" s="40"/>
      <c r="BO3030" s="40"/>
      <c r="BP3030" s="155"/>
      <c r="BQ3030" s="314"/>
      <c r="BR3030" s="314"/>
      <c r="BS3030" s="314"/>
      <c r="BT3030" s="314"/>
      <c r="BU3030" s="314"/>
      <c r="BV3030" s="314"/>
      <c r="BW3030" s="314"/>
      <c r="BX3030" s="155"/>
    </row>
    <row r="3031" spans="1:76" ht="15.75" customHeight="1">
      <c r="A3031" s="25"/>
      <c r="B3031" s="39"/>
      <c r="C3031" s="155"/>
      <c r="D3031" s="155"/>
      <c r="E3031" s="40"/>
      <c r="F3031" s="314"/>
      <c r="H3031" s="315"/>
      <c r="I3031" s="315"/>
      <c r="BA3031" s="30"/>
      <c r="BB3031" s="155"/>
      <c r="BC3031" s="314"/>
      <c r="BD3031" s="314"/>
      <c r="BE3031" s="314"/>
      <c r="BF3031" s="314"/>
      <c r="BG3031" s="314"/>
      <c r="BH3031" s="314"/>
      <c r="BI3031" s="314"/>
      <c r="BJ3031" s="314"/>
      <c r="BK3031" s="40"/>
      <c r="BL3031" s="40"/>
      <c r="BM3031" s="40"/>
      <c r="BN3031" s="40"/>
      <c r="BO3031" s="40"/>
      <c r="BP3031" s="155"/>
      <c r="BQ3031" s="314"/>
      <c r="BR3031" s="314"/>
      <c r="BS3031" s="314"/>
      <c r="BT3031" s="314"/>
      <c r="BU3031" s="314"/>
      <c r="BV3031" s="314"/>
      <c r="BW3031" s="314"/>
      <c r="BX3031" s="155"/>
    </row>
    <row r="3032" spans="1:76" ht="15.75" customHeight="1">
      <c r="A3032" s="25"/>
      <c r="B3032" s="39"/>
      <c r="C3032" s="155"/>
      <c r="D3032" s="155"/>
      <c r="E3032" s="40"/>
      <c r="F3032" s="314"/>
      <c r="H3032" s="315"/>
      <c r="I3032" s="315"/>
      <c r="BA3032" s="30"/>
      <c r="BB3032" s="155"/>
      <c r="BC3032" s="314"/>
      <c r="BD3032" s="314"/>
      <c r="BE3032" s="314"/>
      <c r="BF3032" s="314"/>
      <c r="BG3032" s="314"/>
      <c r="BH3032" s="314"/>
      <c r="BI3032" s="314"/>
      <c r="BJ3032" s="314"/>
      <c r="BK3032" s="40"/>
      <c r="BL3032" s="40"/>
      <c r="BM3032" s="40"/>
      <c r="BN3032" s="40"/>
      <c r="BO3032" s="40"/>
      <c r="BP3032" s="155"/>
      <c r="BQ3032" s="314"/>
      <c r="BR3032" s="314"/>
      <c r="BS3032" s="314"/>
      <c r="BT3032" s="314"/>
      <c r="BU3032" s="314"/>
      <c r="BV3032" s="314"/>
      <c r="BW3032" s="314"/>
      <c r="BX3032" s="155"/>
    </row>
    <row r="3033" spans="1:76" ht="15.75" customHeight="1">
      <c r="A3033" s="25"/>
      <c r="B3033" s="39"/>
      <c r="C3033" s="155"/>
      <c r="D3033" s="155"/>
      <c r="E3033" s="40"/>
      <c r="F3033" s="314"/>
      <c r="H3033" s="315"/>
      <c r="I3033" s="315"/>
      <c r="BA3033" s="30"/>
      <c r="BB3033" s="155"/>
      <c r="BC3033" s="314"/>
      <c r="BD3033" s="314"/>
      <c r="BE3033" s="314"/>
      <c r="BF3033" s="314"/>
      <c r="BG3033" s="314"/>
      <c r="BH3033" s="314"/>
      <c r="BI3033" s="314"/>
      <c r="BJ3033" s="314"/>
      <c r="BK3033" s="40"/>
      <c r="BL3033" s="40"/>
      <c r="BM3033" s="40"/>
      <c r="BN3033" s="40"/>
      <c r="BO3033" s="40"/>
      <c r="BP3033" s="155"/>
      <c r="BQ3033" s="314"/>
      <c r="BR3033" s="314"/>
      <c r="BS3033" s="314"/>
      <c r="BT3033" s="314"/>
      <c r="BU3033" s="314"/>
      <c r="BV3033" s="314"/>
      <c r="BW3033" s="314"/>
      <c r="BX3033" s="155"/>
    </row>
    <row r="3034" spans="1:76" ht="15.75" customHeight="1">
      <c r="A3034" s="25"/>
      <c r="B3034" s="39"/>
      <c r="C3034" s="155"/>
      <c r="D3034" s="155"/>
      <c r="E3034" s="40"/>
      <c r="F3034" s="314"/>
      <c r="H3034" s="315"/>
      <c r="I3034" s="315"/>
      <c r="BA3034" s="30"/>
      <c r="BB3034" s="155"/>
      <c r="BC3034" s="314"/>
      <c r="BD3034" s="314"/>
      <c r="BE3034" s="314"/>
      <c r="BF3034" s="314"/>
      <c r="BG3034" s="314"/>
      <c r="BH3034" s="314"/>
      <c r="BI3034" s="314"/>
      <c r="BJ3034" s="314"/>
      <c r="BK3034" s="40"/>
      <c r="BL3034" s="40"/>
      <c r="BM3034" s="40"/>
      <c r="BN3034" s="40"/>
      <c r="BO3034" s="40"/>
      <c r="BP3034" s="155"/>
      <c r="BQ3034" s="314"/>
      <c r="BR3034" s="314"/>
      <c r="BS3034" s="314"/>
      <c r="BT3034" s="314"/>
      <c r="BU3034" s="314"/>
      <c r="BV3034" s="314"/>
      <c r="BW3034" s="314"/>
      <c r="BX3034" s="155"/>
    </row>
    <row r="3035" spans="1:76" ht="15.75" customHeight="1">
      <c r="A3035" s="25"/>
      <c r="B3035" s="39"/>
      <c r="C3035" s="155"/>
      <c r="D3035" s="155"/>
      <c r="E3035" s="40"/>
      <c r="F3035" s="314"/>
      <c r="H3035" s="315"/>
      <c r="I3035" s="315"/>
      <c r="BA3035" s="30"/>
      <c r="BB3035" s="155"/>
      <c r="BC3035" s="314"/>
      <c r="BD3035" s="314"/>
      <c r="BE3035" s="314"/>
      <c r="BF3035" s="314"/>
      <c r="BG3035" s="314"/>
      <c r="BH3035" s="314"/>
      <c r="BI3035" s="314"/>
      <c r="BJ3035" s="314"/>
      <c r="BK3035" s="40"/>
      <c r="BL3035" s="40"/>
      <c r="BM3035" s="40"/>
      <c r="BN3035" s="40"/>
      <c r="BO3035" s="40"/>
      <c r="BP3035" s="155"/>
      <c r="BQ3035" s="314"/>
      <c r="BR3035" s="314"/>
      <c r="BS3035" s="314"/>
      <c r="BT3035" s="314"/>
      <c r="BU3035" s="314"/>
      <c r="BV3035" s="314"/>
      <c r="BW3035" s="314"/>
      <c r="BX3035" s="155"/>
    </row>
    <row r="3036" spans="1:76" ht="15.75" customHeight="1">
      <c r="A3036" s="25"/>
      <c r="B3036" s="39"/>
      <c r="C3036" s="155"/>
      <c r="D3036" s="155"/>
      <c r="E3036" s="40"/>
      <c r="F3036" s="314"/>
      <c r="H3036" s="315"/>
      <c r="I3036" s="315"/>
      <c r="BA3036" s="30"/>
      <c r="BB3036" s="155"/>
      <c r="BC3036" s="322"/>
      <c r="BD3036" s="322"/>
      <c r="BE3036" s="322"/>
      <c r="BF3036" s="322"/>
      <c r="BG3036" s="322"/>
      <c r="BH3036" s="322"/>
      <c r="BI3036" s="322"/>
      <c r="BJ3036" s="322"/>
      <c r="BK3036" s="341"/>
      <c r="BL3036" s="40"/>
      <c r="BM3036" s="40"/>
      <c r="BN3036" s="40"/>
      <c r="BO3036" s="40"/>
      <c r="BP3036" s="155"/>
      <c r="BQ3036" s="314"/>
      <c r="BR3036" s="314"/>
      <c r="BS3036" s="314"/>
      <c r="BT3036" s="314"/>
      <c r="BU3036" s="314"/>
      <c r="BV3036" s="314"/>
      <c r="BW3036" s="314"/>
      <c r="BX3036" s="155"/>
    </row>
    <row r="3037" spans="1:76" ht="15.75" customHeight="1">
      <c r="A3037" s="25"/>
      <c r="B3037" s="39"/>
      <c r="C3037" s="155"/>
      <c r="D3037" s="155"/>
      <c r="E3037" s="40"/>
      <c r="F3037" s="314"/>
      <c r="H3037" s="315"/>
      <c r="I3037" s="315"/>
      <c r="BA3037" s="30"/>
      <c r="BB3037" s="155"/>
      <c r="BC3037" s="314"/>
      <c r="BD3037" s="314"/>
      <c r="BE3037" s="314"/>
      <c r="BF3037" s="314"/>
      <c r="BG3037" s="314"/>
      <c r="BH3037" s="314"/>
      <c r="BI3037" s="314"/>
      <c r="BJ3037" s="314"/>
      <c r="BK3037" s="40"/>
      <c r="BL3037" s="40"/>
      <c r="BM3037" s="40"/>
      <c r="BN3037" s="40"/>
      <c r="BO3037" s="40"/>
      <c r="BP3037" s="155"/>
      <c r="BQ3037" s="314"/>
      <c r="BR3037" s="314"/>
      <c r="BS3037" s="314"/>
      <c r="BT3037" s="314"/>
      <c r="BU3037" s="314"/>
      <c r="BV3037" s="314"/>
      <c r="BW3037" s="314"/>
      <c r="BX3037" s="155"/>
    </row>
    <row r="3038" spans="1:76" ht="15.75" customHeight="1">
      <c r="A3038" s="25"/>
      <c r="B3038" s="39"/>
      <c r="C3038" s="155"/>
      <c r="D3038" s="155"/>
      <c r="E3038" s="40"/>
      <c r="F3038" s="314"/>
      <c r="H3038" s="315"/>
      <c r="I3038" s="315"/>
      <c r="BA3038" s="30"/>
      <c r="BB3038" s="155"/>
      <c r="BC3038" s="314"/>
      <c r="BD3038" s="314"/>
      <c r="BE3038" s="314"/>
      <c r="BF3038" s="314"/>
      <c r="BG3038" s="314"/>
      <c r="BH3038" s="314"/>
      <c r="BI3038" s="314"/>
      <c r="BJ3038" s="314"/>
      <c r="BK3038" s="40"/>
      <c r="BL3038" s="40"/>
      <c r="BM3038" s="40"/>
      <c r="BN3038" s="40"/>
      <c r="BO3038" s="40"/>
      <c r="BP3038" s="155"/>
      <c r="BQ3038" s="314"/>
      <c r="BR3038" s="314"/>
      <c r="BS3038" s="314"/>
      <c r="BT3038" s="314"/>
      <c r="BU3038" s="314"/>
      <c r="BV3038" s="314"/>
      <c r="BW3038" s="314"/>
      <c r="BX3038" s="155"/>
    </row>
    <row r="3039" spans="1:76" ht="15.75" customHeight="1">
      <c r="A3039" s="25"/>
      <c r="B3039" s="39"/>
      <c r="C3039" s="155"/>
      <c r="D3039" s="155"/>
      <c r="E3039" s="40"/>
      <c r="F3039" s="314"/>
      <c r="H3039" s="315"/>
      <c r="I3039" s="315"/>
      <c r="BA3039" s="30"/>
      <c r="BB3039" s="155"/>
      <c r="BC3039" s="314"/>
      <c r="BD3039" s="314"/>
      <c r="BE3039" s="314"/>
      <c r="BF3039" s="314"/>
      <c r="BG3039" s="314"/>
      <c r="BH3039" s="314"/>
      <c r="BI3039" s="314"/>
      <c r="BJ3039" s="314"/>
      <c r="BK3039" s="40"/>
      <c r="BL3039" s="40"/>
      <c r="BM3039" s="40"/>
      <c r="BN3039" s="40"/>
      <c r="BO3039" s="40"/>
      <c r="BP3039" s="155"/>
      <c r="BQ3039" s="314"/>
      <c r="BR3039" s="314"/>
      <c r="BS3039" s="314"/>
      <c r="BT3039" s="314"/>
      <c r="BU3039" s="314"/>
      <c r="BV3039" s="314"/>
      <c r="BW3039" s="314"/>
      <c r="BX3039" s="155"/>
    </row>
    <row r="3040" spans="1:76" ht="15.75" customHeight="1">
      <c r="A3040" s="25"/>
      <c r="B3040" s="39"/>
      <c r="C3040" s="155"/>
      <c r="D3040" s="155"/>
      <c r="E3040" s="40"/>
      <c r="F3040" s="314"/>
      <c r="H3040" s="315"/>
      <c r="I3040" s="315"/>
      <c r="BA3040" s="30"/>
      <c r="BB3040" s="155"/>
      <c r="BC3040" s="314"/>
      <c r="BD3040" s="314"/>
      <c r="BE3040" s="314"/>
      <c r="BF3040" s="314"/>
      <c r="BG3040" s="314"/>
      <c r="BH3040" s="314"/>
      <c r="BI3040" s="314"/>
      <c r="BJ3040" s="314"/>
      <c r="BK3040" s="40"/>
      <c r="BL3040" s="40"/>
      <c r="BM3040" s="40"/>
      <c r="BN3040" s="40"/>
      <c r="BO3040" s="40"/>
      <c r="BP3040" s="155"/>
      <c r="BQ3040" s="314"/>
      <c r="BR3040" s="314"/>
      <c r="BS3040" s="314"/>
      <c r="BT3040" s="314"/>
      <c r="BU3040" s="314"/>
      <c r="BV3040" s="314"/>
      <c r="BW3040" s="314"/>
      <c r="BX3040" s="155"/>
    </row>
    <row r="3041" spans="1:76" ht="15.75" customHeight="1">
      <c r="A3041" s="25"/>
      <c r="B3041" s="39"/>
      <c r="C3041" s="155"/>
      <c r="D3041" s="155"/>
      <c r="E3041" s="40"/>
      <c r="F3041" s="314"/>
      <c r="H3041" s="315"/>
      <c r="I3041" s="315"/>
      <c r="BA3041" s="30"/>
      <c r="BB3041" s="155"/>
      <c r="BC3041" s="314"/>
      <c r="BD3041" s="314"/>
      <c r="BE3041" s="314"/>
      <c r="BF3041" s="314"/>
      <c r="BG3041" s="314"/>
      <c r="BH3041" s="314"/>
      <c r="BI3041" s="314"/>
      <c r="BJ3041" s="314"/>
      <c r="BK3041" s="40"/>
      <c r="BL3041" s="40"/>
      <c r="BM3041" s="40"/>
      <c r="BN3041" s="40"/>
      <c r="BO3041" s="40"/>
      <c r="BP3041" s="155"/>
      <c r="BQ3041" s="314"/>
      <c r="BR3041" s="314"/>
      <c r="BS3041" s="314"/>
      <c r="BT3041" s="314"/>
      <c r="BU3041" s="314"/>
      <c r="BV3041" s="314"/>
      <c r="BW3041" s="314"/>
      <c r="BX3041" s="155"/>
    </row>
    <row r="3042" spans="1:76" ht="15.75" customHeight="1">
      <c r="A3042" s="25"/>
      <c r="B3042" s="39"/>
      <c r="C3042" s="155"/>
      <c r="D3042" s="155"/>
      <c r="E3042" s="40"/>
      <c r="F3042" s="314"/>
      <c r="H3042" s="315"/>
      <c r="I3042" s="315"/>
      <c r="BA3042" s="30"/>
      <c r="BB3042" s="155"/>
      <c r="BC3042" s="314"/>
      <c r="BD3042" s="314"/>
      <c r="BE3042" s="314"/>
      <c r="BF3042" s="314"/>
      <c r="BG3042" s="314"/>
      <c r="BH3042" s="314"/>
      <c r="BI3042" s="314"/>
      <c r="BJ3042" s="314"/>
      <c r="BK3042" s="40"/>
      <c r="BL3042" s="40"/>
      <c r="BM3042" s="40"/>
      <c r="BN3042" s="40"/>
      <c r="BO3042" s="40"/>
      <c r="BP3042" s="155"/>
      <c r="BQ3042" s="314"/>
      <c r="BR3042" s="314"/>
      <c r="BS3042" s="314"/>
      <c r="BT3042" s="314"/>
      <c r="BU3042" s="314"/>
      <c r="BV3042" s="314"/>
      <c r="BW3042" s="314"/>
      <c r="BX3042" s="155"/>
    </row>
    <row r="3043" spans="1:76" ht="15.75" customHeight="1">
      <c r="A3043" s="25"/>
      <c r="B3043" s="39"/>
      <c r="C3043" s="155"/>
      <c r="D3043" s="155"/>
      <c r="E3043" s="40"/>
      <c r="F3043" s="314"/>
      <c r="H3043" s="315"/>
      <c r="I3043" s="315"/>
      <c r="BA3043" s="30"/>
      <c r="BB3043" s="155"/>
      <c r="BC3043" s="314"/>
      <c r="BD3043" s="314"/>
      <c r="BE3043" s="314"/>
      <c r="BF3043" s="314"/>
      <c r="BG3043" s="314"/>
      <c r="BH3043" s="314"/>
      <c r="BI3043" s="314"/>
      <c r="BJ3043" s="314"/>
      <c r="BK3043" s="40"/>
      <c r="BL3043" s="40"/>
      <c r="BM3043" s="40"/>
      <c r="BN3043" s="40"/>
      <c r="BO3043" s="40"/>
      <c r="BP3043" s="155"/>
      <c r="BQ3043" s="314"/>
      <c r="BR3043" s="314"/>
      <c r="BS3043" s="314"/>
      <c r="BT3043" s="314"/>
      <c r="BU3043" s="314"/>
      <c r="BV3043" s="314"/>
      <c r="BW3043" s="314"/>
      <c r="BX3043" s="155"/>
    </row>
    <row r="3044" spans="1:76" ht="15.75" customHeight="1">
      <c r="A3044" s="25"/>
      <c r="B3044" s="39"/>
      <c r="C3044" s="155"/>
      <c r="D3044" s="155"/>
      <c r="E3044" s="40"/>
      <c r="F3044" s="314"/>
      <c r="H3044" s="315"/>
      <c r="I3044" s="315"/>
      <c r="BA3044" s="30"/>
      <c r="BB3044" s="155"/>
      <c r="BC3044" s="314"/>
      <c r="BD3044" s="314"/>
      <c r="BE3044" s="314"/>
      <c r="BF3044" s="314"/>
      <c r="BG3044" s="314"/>
      <c r="BH3044" s="314"/>
      <c r="BI3044" s="314"/>
      <c r="BJ3044" s="314"/>
      <c r="BK3044" s="40"/>
      <c r="BL3044" s="40"/>
      <c r="BM3044" s="40"/>
      <c r="BN3044" s="40"/>
      <c r="BO3044" s="40"/>
      <c r="BP3044" s="155"/>
      <c r="BQ3044" s="314"/>
      <c r="BR3044" s="314"/>
      <c r="BS3044" s="314"/>
      <c r="BT3044" s="314"/>
      <c r="BU3044" s="314"/>
      <c r="BV3044" s="314"/>
      <c r="BW3044" s="314"/>
      <c r="BX3044" s="155"/>
    </row>
    <row r="3045" spans="1:76" ht="15.75" customHeight="1">
      <c r="A3045" s="25"/>
      <c r="B3045" s="39"/>
      <c r="C3045" s="155"/>
      <c r="D3045" s="155"/>
      <c r="E3045" s="40"/>
      <c r="F3045" s="314"/>
      <c r="H3045" s="315"/>
      <c r="I3045" s="315"/>
      <c r="BA3045" s="30"/>
      <c r="BB3045" s="155"/>
      <c r="BC3045" s="314"/>
      <c r="BD3045" s="314"/>
      <c r="BE3045" s="314"/>
      <c r="BF3045" s="314"/>
      <c r="BG3045" s="314"/>
      <c r="BH3045" s="314"/>
      <c r="BI3045" s="314"/>
      <c r="BJ3045" s="314"/>
      <c r="BK3045" s="40"/>
      <c r="BL3045" s="40"/>
      <c r="BM3045" s="40"/>
      <c r="BN3045" s="40"/>
      <c r="BO3045" s="40"/>
      <c r="BP3045" s="155"/>
      <c r="BQ3045" s="314"/>
      <c r="BR3045" s="314"/>
      <c r="BS3045" s="314"/>
      <c r="BT3045" s="314"/>
      <c r="BU3045" s="314"/>
      <c r="BV3045" s="314"/>
      <c r="BW3045" s="314"/>
      <c r="BX3045" s="155"/>
    </row>
    <row r="3046" spans="1:76" ht="15.75" customHeight="1">
      <c r="A3046" s="25"/>
      <c r="B3046" s="39"/>
      <c r="C3046" s="155"/>
      <c r="D3046" s="155"/>
      <c r="E3046" s="40"/>
      <c r="F3046" s="314"/>
      <c r="H3046" s="315"/>
      <c r="I3046" s="315"/>
      <c r="BA3046" s="30"/>
      <c r="BB3046" s="155"/>
      <c r="BC3046" s="314"/>
      <c r="BD3046" s="314"/>
      <c r="BE3046" s="314"/>
      <c r="BF3046" s="314"/>
      <c r="BG3046" s="314"/>
      <c r="BH3046" s="314"/>
      <c r="BI3046" s="314"/>
      <c r="BJ3046" s="314"/>
      <c r="BK3046" s="40"/>
      <c r="BL3046" s="40"/>
      <c r="BM3046" s="40"/>
      <c r="BN3046" s="40"/>
      <c r="BO3046" s="40"/>
      <c r="BP3046" s="155"/>
      <c r="BQ3046" s="314"/>
      <c r="BR3046" s="314"/>
      <c r="BS3046" s="314"/>
      <c r="BT3046" s="314"/>
      <c r="BU3046" s="314"/>
      <c r="BV3046" s="314"/>
      <c r="BW3046" s="314"/>
      <c r="BX3046" s="155"/>
    </row>
    <row r="3047" spans="1:76" ht="15.75" customHeight="1">
      <c r="A3047" s="25"/>
      <c r="B3047" s="39"/>
      <c r="C3047" s="155"/>
      <c r="D3047" s="155"/>
      <c r="E3047" s="40"/>
      <c r="F3047" s="314"/>
      <c r="H3047" s="315"/>
      <c r="I3047" s="315"/>
      <c r="BA3047" s="30"/>
      <c r="BB3047" s="155"/>
      <c r="BC3047" s="314"/>
      <c r="BD3047" s="314"/>
      <c r="BE3047" s="314"/>
      <c r="BF3047" s="314"/>
      <c r="BG3047" s="314"/>
      <c r="BH3047" s="314"/>
      <c r="BI3047" s="314"/>
      <c r="BJ3047" s="314"/>
      <c r="BK3047" s="40"/>
      <c r="BL3047" s="40"/>
      <c r="BM3047" s="40"/>
      <c r="BN3047" s="40"/>
      <c r="BO3047" s="40"/>
      <c r="BP3047" s="155"/>
      <c r="BQ3047" s="314"/>
      <c r="BR3047" s="314"/>
      <c r="BS3047" s="314"/>
      <c r="BT3047" s="314"/>
      <c r="BU3047" s="314"/>
      <c r="BV3047" s="314"/>
      <c r="BW3047" s="314"/>
      <c r="BX3047" s="155"/>
    </row>
    <row r="3048" spans="1:76" ht="15.75" customHeight="1">
      <c r="A3048" s="25"/>
      <c r="B3048" s="39"/>
      <c r="C3048" s="155"/>
      <c r="D3048" s="155"/>
      <c r="E3048" s="40"/>
      <c r="F3048" s="314"/>
      <c r="H3048" s="315"/>
      <c r="I3048" s="315"/>
      <c r="BA3048" s="30"/>
      <c r="BB3048" s="155"/>
      <c r="BC3048" s="314"/>
      <c r="BD3048" s="314"/>
      <c r="BE3048" s="314"/>
      <c r="BF3048" s="314"/>
      <c r="BG3048" s="314"/>
      <c r="BH3048" s="314"/>
      <c r="BI3048" s="314"/>
      <c r="BJ3048" s="314"/>
      <c r="BK3048" s="40"/>
      <c r="BL3048" s="40"/>
      <c r="BM3048" s="40"/>
      <c r="BN3048" s="40"/>
      <c r="BO3048" s="40"/>
      <c r="BP3048" s="155"/>
      <c r="BQ3048" s="314"/>
      <c r="BR3048" s="314"/>
      <c r="BS3048" s="314"/>
      <c r="BT3048" s="314"/>
      <c r="BU3048" s="314"/>
      <c r="BV3048" s="314"/>
      <c r="BW3048" s="314"/>
      <c r="BX3048" s="155"/>
    </row>
    <row r="3049" spans="1:76" ht="15.75" customHeight="1">
      <c r="A3049" s="25"/>
      <c r="B3049" s="39"/>
      <c r="C3049" s="155"/>
      <c r="D3049" s="155"/>
      <c r="E3049" s="40"/>
      <c r="F3049" s="314"/>
      <c r="H3049" s="315"/>
      <c r="I3049" s="315"/>
      <c r="BA3049" s="30"/>
      <c r="BB3049" s="155"/>
      <c r="BC3049" s="314"/>
      <c r="BD3049" s="314"/>
      <c r="BE3049" s="314"/>
      <c r="BF3049" s="314"/>
      <c r="BG3049" s="314"/>
      <c r="BH3049" s="314"/>
      <c r="BI3049" s="314"/>
      <c r="BJ3049" s="314"/>
      <c r="BK3049" s="40"/>
      <c r="BL3049" s="40"/>
      <c r="BM3049" s="40"/>
      <c r="BN3049" s="40"/>
      <c r="BO3049" s="40"/>
      <c r="BP3049" s="155"/>
      <c r="BQ3049" s="314"/>
      <c r="BR3049" s="314"/>
      <c r="BS3049" s="314"/>
      <c r="BT3049" s="314"/>
      <c r="BU3049" s="314"/>
      <c r="BV3049" s="314"/>
      <c r="BW3049" s="314"/>
      <c r="BX3049" s="155"/>
    </row>
    <row r="3050" spans="1:76" ht="15.75" customHeight="1">
      <c r="A3050" s="25"/>
      <c r="B3050" s="39"/>
      <c r="C3050" s="155"/>
      <c r="D3050" s="155"/>
      <c r="E3050" s="40"/>
      <c r="F3050" s="314"/>
      <c r="H3050" s="315"/>
      <c r="I3050" s="315"/>
      <c r="BA3050" s="30"/>
      <c r="BB3050" s="155"/>
      <c r="BC3050" s="314"/>
      <c r="BD3050" s="314"/>
      <c r="BE3050" s="314"/>
      <c r="BF3050" s="314"/>
      <c r="BG3050" s="314"/>
      <c r="BH3050" s="314"/>
      <c r="BI3050" s="314"/>
      <c r="BJ3050" s="314"/>
      <c r="BK3050" s="40"/>
      <c r="BL3050" s="40"/>
      <c r="BM3050" s="40"/>
      <c r="BN3050" s="40"/>
      <c r="BO3050" s="40"/>
      <c r="BP3050" s="155"/>
      <c r="BQ3050" s="314"/>
      <c r="BR3050" s="314"/>
      <c r="BS3050" s="314"/>
      <c r="BT3050" s="314"/>
      <c r="BU3050" s="314"/>
      <c r="BV3050" s="314"/>
      <c r="BW3050" s="314"/>
      <c r="BX3050" s="155"/>
    </row>
    <row r="3051" spans="1:76" ht="15.75" customHeight="1">
      <c r="A3051" s="25"/>
      <c r="B3051" s="39"/>
      <c r="C3051" s="155"/>
      <c r="D3051" s="155"/>
      <c r="E3051" s="40"/>
      <c r="F3051" s="314"/>
      <c r="H3051" s="315"/>
      <c r="I3051" s="315"/>
      <c r="BA3051" s="30"/>
      <c r="BB3051" s="155"/>
      <c r="BC3051" s="314"/>
      <c r="BD3051" s="314"/>
      <c r="BE3051" s="314"/>
      <c r="BF3051" s="314"/>
      <c r="BG3051" s="314"/>
      <c r="BH3051" s="314"/>
      <c r="BI3051" s="314"/>
      <c r="BJ3051" s="314"/>
      <c r="BK3051" s="40"/>
      <c r="BL3051" s="40"/>
      <c r="BM3051" s="40"/>
      <c r="BN3051" s="40"/>
      <c r="BO3051" s="40"/>
      <c r="BP3051" s="155"/>
      <c r="BQ3051" s="314"/>
      <c r="BR3051" s="314"/>
      <c r="BS3051" s="314"/>
      <c r="BT3051" s="314"/>
      <c r="BU3051" s="314"/>
      <c r="BV3051" s="314"/>
      <c r="BW3051" s="314"/>
      <c r="BX3051" s="155"/>
    </row>
    <row r="3052" spans="1:76" ht="15.75" customHeight="1">
      <c r="A3052" s="25"/>
      <c r="B3052" s="39"/>
      <c r="C3052" s="155"/>
      <c r="D3052" s="155"/>
      <c r="E3052" s="40"/>
      <c r="F3052" s="314"/>
      <c r="H3052" s="315"/>
      <c r="I3052" s="315"/>
      <c r="BA3052" s="30"/>
      <c r="BB3052" s="155"/>
      <c r="BC3052" s="314"/>
      <c r="BD3052" s="314"/>
      <c r="BE3052" s="314"/>
      <c r="BF3052" s="314"/>
      <c r="BG3052" s="314"/>
      <c r="BH3052" s="314"/>
      <c r="BI3052" s="314"/>
      <c r="BJ3052" s="314"/>
      <c r="BK3052" s="40"/>
      <c r="BL3052" s="40"/>
      <c r="BM3052" s="40"/>
      <c r="BN3052" s="40"/>
      <c r="BO3052" s="40"/>
      <c r="BP3052" s="155"/>
      <c r="BQ3052" s="314"/>
      <c r="BR3052" s="314"/>
      <c r="BS3052" s="314"/>
      <c r="BT3052" s="314"/>
      <c r="BU3052" s="314"/>
      <c r="BV3052" s="314"/>
      <c r="BW3052" s="314"/>
      <c r="BX3052" s="155"/>
    </row>
    <row r="3053" spans="1:76" ht="15.75" customHeight="1">
      <c r="A3053" s="25"/>
      <c r="B3053" s="39"/>
      <c r="C3053" s="155"/>
      <c r="D3053" s="155"/>
      <c r="E3053" s="40"/>
      <c r="F3053" s="314"/>
      <c r="H3053" s="315"/>
      <c r="I3053" s="315"/>
      <c r="BA3053" s="30"/>
      <c r="BB3053" s="155"/>
      <c r="BC3053" s="314"/>
      <c r="BD3053" s="314"/>
      <c r="BE3053" s="314"/>
      <c r="BF3053" s="314"/>
      <c r="BG3053" s="314"/>
      <c r="BH3053" s="314"/>
      <c r="BI3053" s="314"/>
      <c r="BJ3053" s="314"/>
      <c r="BK3053" s="40"/>
      <c r="BL3053" s="40"/>
      <c r="BM3053" s="40"/>
      <c r="BN3053" s="40"/>
      <c r="BO3053" s="40"/>
      <c r="BP3053" s="155"/>
      <c r="BQ3053" s="314"/>
      <c r="BR3053" s="314"/>
      <c r="BS3053" s="314"/>
      <c r="BT3053" s="314"/>
      <c r="BU3053" s="314"/>
      <c r="BV3053" s="314"/>
      <c r="BW3053" s="314"/>
      <c r="BX3053" s="155"/>
    </row>
    <row r="3054" spans="1:76" ht="15.75" customHeight="1">
      <c r="A3054" s="25"/>
      <c r="B3054" s="39"/>
      <c r="C3054" s="155"/>
      <c r="D3054" s="155"/>
      <c r="E3054" s="40"/>
      <c r="F3054" s="314"/>
      <c r="H3054" s="315"/>
      <c r="I3054" s="315"/>
      <c r="BA3054" s="30"/>
      <c r="BB3054" s="155"/>
      <c r="BC3054" s="314"/>
      <c r="BD3054" s="314"/>
      <c r="BE3054" s="314"/>
      <c r="BF3054" s="314"/>
      <c r="BG3054" s="314"/>
      <c r="BH3054" s="314"/>
      <c r="BI3054" s="314"/>
      <c r="BJ3054" s="314"/>
      <c r="BK3054" s="40"/>
      <c r="BL3054" s="40"/>
      <c r="BM3054" s="40"/>
      <c r="BN3054" s="40"/>
      <c r="BO3054" s="40"/>
      <c r="BP3054" s="155"/>
      <c r="BQ3054" s="314"/>
      <c r="BR3054" s="314"/>
      <c r="BS3054" s="314"/>
      <c r="BT3054" s="314"/>
      <c r="BU3054" s="314"/>
      <c r="BV3054" s="314"/>
      <c r="BW3054" s="314"/>
      <c r="BX3054" s="155"/>
    </row>
    <row r="3055" spans="1:76" ht="15.75" customHeight="1">
      <c r="A3055" s="25"/>
      <c r="B3055" s="39"/>
      <c r="C3055" s="155"/>
      <c r="D3055" s="155"/>
      <c r="E3055" s="40"/>
      <c r="F3055" s="314"/>
      <c r="H3055" s="315"/>
      <c r="I3055" s="315"/>
      <c r="BA3055" s="30"/>
      <c r="BB3055" s="155"/>
      <c r="BC3055" s="314"/>
      <c r="BD3055" s="314"/>
      <c r="BE3055" s="314"/>
      <c r="BF3055" s="314"/>
      <c r="BG3055" s="314"/>
      <c r="BH3055" s="314"/>
      <c r="BI3055" s="314"/>
      <c r="BJ3055" s="314"/>
      <c r="BK3055" s="40"/>
      <c r="BL3055" s="40"/>
      <c r="BM3055" s="40"/>
      <c r="BN3055" s="40"/>
      <c r="BO3055" s="40"/>
      <c r="BP3055" s="155"/>
      <c r="BQ3055" s="314"/>
      <c r="BR3055" s="314"/>
      <c r="BS3055" s="314"/>
      <c r="BT3055" s="314"/>
      <c r="BU3055" s="314"/>
      <c r="BV3055" s="314"/>
      <c r="BW3055" s="314"/>
      <c r="BX3055" s="155"/>
    </row>
    <row r="3056" spans="1:76" ht="15.75" customHeight="1">
      <c r="A3056" s="25"/>
      <c r="B3056" s="39"/>
      <c r="C3056" s="155"/>
      <c r="D3056" s="155"/>
      <c r="E3056" s="40"/>
      <c r="F3056" s="314"/>
      <c r="H3056" s="315"/>
      <c r="I3056" s="315"/>
      <c r="BA3056" s="30"/>
      <c r="BB3056" s="155"/>
      <c r="BC3056" s="314"/>
      <c r="BD3056" s="314"/>
      <c r="BE3056" s="314"/>
      <c r="BF3056" s="314"/>
      <c r="BG3056" s="314"/>
      <c r="BH3056" s="314"/>
      <c r="BI3056" s="314"/>
      <c r="BJ3056" s="314"/>
      <c r="BK3056" s="40"/>
      <c r="BL3056" s="40"/>
      <c r="BM3056" s="40"/>
      <c r="BN3056" s="40"/>
      <c r="BO3056" s="40"/>
      <c r="BP3056" s="155"/>
      <c r="BQ3056" s="314"/>
      <c r="BR3056" s="314"/>
      <c r="BS3056" s="314"/>
      <c r="BT3056" s="314"/>
      <c r="BU3056" s="314"/>
      <c r="BV3056" s="314"/>
      <c r="BW3056" s="314"/>
      <c r="BX3056" s="155"/>
    </row>
    <row r="3057" spans="1:76" ht="15.75" customHeight="1">
      <c r="A3057" s="25"/>
      <c r="B3057" s="39"/>
      <c r="C3057" s="155"/>
      <c r="D3057" s="155"/>
      <c r="E3057" s="40"/>
      <c r="F3057" s="314"/>
      <c r="H3057" s="315"/>
      <c r="I3057" s="315"/>
      <c r="BA3057" s="30"/>
      <c r="BB3057" s="155"/>
      <c r="BC3057" s="314"/>
      <c r="BD3057" s="314"/>
      <c r="BE3057" s="314"/>
      <c r="BF3057" s="314"/>
      <c r="BG3057" s="314"/>
      <c r="BH3057" s="314"/>
      <c r="BI3057" s="314"/>
      <c r="BJ3057" s="314"/>
      <c r="BK3057" s="40"/>
      <c r="BL3057" s="40"/>
      <c r="BM3057" s="40"/>
      <c r="BN3057" s="40"/>
      <c r="BO3057" s="40"/>
      <c r="BP3057" s="155"/>
      <c r="BQ3057" s="314"/>
      <c r="BR3057" s="314"/>
      <c r="BS3057" s="314"/>
      <c r="BT3057" s="314"/>
      <c r="BU3057" s="314"/>
      <c r="BV3057" s="314"/>
      <c r="BW3057" s="314"/>
      <c r="BX3057" s="155"/>
    </row>
    <row r="3058" spans="1:76" ht="15.75" customHeight="1">
      <c r="A3058" s="25"/>
      <c r="B3058" s="39"/>
      <c r="C3058" s="155"/>
      <c r="D3058" s="155"/>
      <c r="E3058" s="40"/>
      <c r="F3058" s="314"/>
      <c r="H3058" s="315"/>
      <c r="I3058" s="315"/>
      <c r="BA3058" s="30"/>
      <c r="BB3058" s="155"/>
      <c r="BC3058" s="314"/>
      <c r="BD3058" s="314"/>
      <c r="BE3058" s="314"/>
      <c r="BF3058" s="314"/>
      <c r="BG3058" s="314"/>
      <c r="BH3058" s="314"/>
      <c r="BI3058" s="314"/>
      <c r="BJ3058" s="314"/>
      <c r="BK3058" s="40"/>
      <c r="BL3058" s="40"/>
      <c r="BM3058" s="40"/>
      <c r="BN3058" s="40"/>
      <c r="BO3058" s="40"/>
      <c r="BP3058" s="155"/>
      <c r="BQ3058" s="314"/>
      <c r="BR3058" s="314"/>
      <c r="BS3058" s="314"/>
      <c r="BT3058" s="314"/>
      <c r="BU3058" s="314"/>
      <c r="BV3058" s="314"/>
      <c r="BW3058" s="314"/>
      <c r="BX3058" s="155"/>
    </row>
    <row r="3059" spans="1:76" ht="15.75" customHeight="1">
      <c r="A3059" s="25"/>
      <c r="B3059" s="39"/>
      <c r="C3059" s="155"/>
      <c r="D3059" s="155"/>
      <c r="E3059" s="40"/>
      <c r="F3059" s="314"/>
      <c r="H3059" s="315"/>
      <c r="I3059" s="315"/>
      <c r="BA3059" s="30"/>
      <c r="BB3059" s="155"/>
      <c r="BC3059" s="314"/>
      <c r="BD3059" s="314"/>
      <c r="BE3059" s="314"/>
      <c r="BF3059" s="314"/>
      <c r="BG3059" s="314"/>
      <c r="BH3059" s="314"/>
      <c r="BI3059" s="314"/>
      <c r="BJ3059" s="314"/>
      <c r="BK3059" s="40"/>
      <c r="BL3059" s="40"/>
      <c r="BM3059" s="40"/>
      <c r="BN3059" s="40"/>
      <c r="BO3059" s="40"/>
      <c r="BP3059" s="155"/>
      <c r="BQ3059" s="314"/>
      <c r="BR3059" s="314"/>
      <c r="BS3059" s="314"/>
      <c r="BT3059" s="314"/>
      <c r="BU3059" s="314"/>
      <c r="BV3059" s="314"/>
      <c r="BW3059" s="314"/>
      <c r="BX3059" s="155"/>
    </row>
    <row r="3060" spans="1:76" ht="15.75" customHeight="1">
      <c r="A3060" s="25"/>
      <c r="B3060" s="39"/>
      <c r="C3060" s="155"/>
      <c r="D3060" s="155"/>
      <c r="E3060" s="40"/>
      <c r="F3060" s="314"/>
      <c r="H3060" s="315"/>
      <c r="I3060" s="315"/>
      <c r="BA3060" s="30"/>
      <c r="BB3060" s="155"/>
      <c r="BC3060" s="314"/>
      <c r="BD3060" s="314"/>
      <c r="BE3060" s="314"/>
      <c r="BF3060" s="314"/>
      <c r="BG3060" s="314"/>
      <c r="BH3060" s="314"/>
      <c r="BI3060" s="314"/>
      <c r="BJ3060" s="314"/>
      <c r="BK3060" s="40"/>
      <c r="BL3060" s="40"/>
      <c r="BM3060" s="40"/>
      <c r="BN3060" s="40"/>
      <c r="BO3060" s="40"/>
      <c r="BP3060" s="155"/>
      <c r="BQ3060" s="314"/>
      <c r="BR3060" s="314"/>
      <c r="BS3060" s="314"/>
      <c r="BT3060" s="314"/>
      <c r="BU3060" s="314"/>
      <c r="BV3060" s="314"/>
      <c r="BW3060" s="314"/>
      <c r="BX3060" s="155"/>
    </row>
    <row r="3061" spans="1:76" ht="15.75" customHeight="1">
      <c r="A3061" s="25"/>
      <c r="B3061" s="39"/>
      <c r="C3061" s="155"/>
      <c r="D3061" s="155"/>
      <c r="E3061" s="40"/>
      <c r="F3061" s="314"/>
      <c r="H3061" s="315"/>
      <c r="I3061" s="315"/>
      <c r="BA3061" s="30"/>
      <c r="BB3061" s="155"/>
      <c r="BC3061" s="314"/>
      <c r="BD3061" s="314"/>
      <c r="BE3061" s="314"/>
      <c r="BF3061" s="314"/>
      <c r="BG3061" s="314"/>
      <c r="BH3061" s="314"/>
      <c r="BI3061" s="314"/>
      <c r="BJ3061" s="314"/>
      <c r="BK3061" s="40"/>
      <c r="BL3061" s="40"/>
      <c r="BM3061" s="40"/>
      <c r="BN3061" s="40"/>
      <c r="BO3061" s="40"/>
      <c r="BP3061" s="155"/>
      <c r="BQ3061" s="314"/>
      <c r="BR3061" s="314"/>
      <c r="BS3061" s="314"/>
      <c r="BT3061" s="314"/>
      <c r="BU3061" s="314"/>
      <c r="BV3061" s="314"/>
      <c r="BW3061" s="314"/>
      <c r="BX3061" s="155"/>
    </row>
    <row r="3062" spans="1:76" ht="15.75" customHeight="1">
      <c r="A3062" s="25"/>
      <c r="B3062" s="39"/>
      <c r="C3062" s="155"/>
      <c r="D3062" s="155"/>
      <c r="E3062" s="40"/>
      <c r="F3062" s="314"/>
      <c r="H3062" s="315"/>
      <c r="I3062" s="315"/>
      <c r="BA3062" s="30"/>
      <c r="BB3062" s="155"/>
      <c r="BC3062" s="314"/>
      <c r="BD3062" s="314"/>
      <c r="BE3062" s="314"/>
      <c r="BF3062" s="314"/>
      <c r="BG3062" s="314"/>
      <c r="BH3062" s="314"/>
      <c r="BI3062" s="314"/>
      <c r="BJ3062" s="314"/>
      <c r="BK3062" s="40"/>
      <c r="BL3062" s="40"/>
      <c r="BM3062" s="40"/>
      <c r="BN3062" s="40"/>
      <c r="BO3062" s="40"/>
      <c r="BP3062" s="155"/>
      <c r="BQ3062" s="314"/>
      <c r="BR3062" s="314"/>
      <c r="BS3062" s="314"/>
      <c r="BT3062" s="314"/>
      <c r="BU3062" s="314"/>
      <c r="BV3062" s="314"/>
      <c r="BW3062" s="314"/>
      <c r="BX3062" s="155"/>
    </row>
    <row r="3063" spans="1:76" ht="15.75" customHeight="1">
      <c r="A3063" s="25"/>
      <c r="B3063" s="39"/>
      <c r="C3063" s="155"/>
      <c r="D3063" s="155"/>
      <c r="E3063" s="40"/>
      <c r="F3063" s="314"/>
      <c r="H3063" s="315"/>
      <c r="I3063" s="315"/>
      <c r="BA3063" s="30"/>
      <c r="BB3063" s="155"/>
      <c r="BC3063" s="314"/>
      <c r="BD3063" s="314"/>
      <c r="BE3063" s="314"/>
      <c r="BF3063" s="314"/>
      <c r="BG3063" s="314"/>
      <c r="BH3063" s="314"/>
      <c r="BI3063" s="314"/>
      <c r="BJ3063" s="314"/>
      <c r="BK3063" s="40"/>
      <c r="BL3063" s="40"/>
      <c r="BM3063" s="40"/>
      <c r="BN3063" s="40"/>
      <c r="BO3063" s="40"/>
      <c r="BP3063" s="155"/>
      <c r="BQ3063" s="314"/>
      <c r="BR3063" s="314"/>
      <c r="BS3063" s="314"/>
      <c r="BT3063" s="314"/>
      <c r="BU3063" s="314"/>
      <c r="BV3063" s="314"/>
      <c r="BW3063" s="314"/>
      <c r="BX3063" s="155"/>
    </row>
    <row r="3064" spans="1:76" ht="15.75" customHeight="1">
      <c r="A3064" s="25"/>
      <c r="B3064" s="39"/>
      <c r="C3064" s="155"/>
      <c r="D3064" s="155"/>
      <c r="E3064" s="40"/>
      <c r="F3064" s="314"/>
      <c r="H3064" s="315"/>
      <c r="I3064" s="315"/>
      <c r="BA3064" s="30"/>
      <c r="BB3064" s="155"/>
      <c r="BC3064" s="322"/>
      <c r="BD3064" s="322"/>
      <c r="BE3064" s="322"/>
      <c r="BF3064" s="322"/>
      <c r="BG3064" s="322"/>
      <c r="BH3064" s="322"/>
      <c r="BI3064" s="322"/>
      <c r="BJ3064" s="322"/>
      <c r="BK3064" s="341"/>
      <c r="BL3064" s="40"/>
      <c r="BM3064" s="40"/>
      <c r="BN3064" s="40"/>
      <c r="BO3064" s="40"/>
      <c r="BP3064" s="155"/>
      <c r="BQ3064" s="314"/>
      <c r="BR3064" s="314"/>
      <c r="BS3064" s="314"/>
      <c r="BT3064" s="314"/>
      <c r="BU3064" s="314"/>
      <c r="BV3064" s="314"/>
      <c r="BW3064" s="314"/>
      <c r="BX3064" s="155"/>
    </row>
    <row r="3065" spans="1:76" ht="15.75" customHeight="1">
      <c r="A3065" s="25"/>
      <c r="B3065" s="39"/>
      <c r="C3065" s="155"/>
      <c r="D3065" s="155"/>
      <c r="E3065" s="40"/>
      <c r="F3065" s="314"/>
      <c r="H3065" s="315"/>
      <c r="I3065" s="315"/>
      <c r="BA3065" s="30"/>
      <c r="BB3065" s="155"/>
      <c r="BC3065" s="314"/>
      <c r="BD3065" s="314"/>
      <c r="BE3065" s="314"/>
      <c r="BF3065" s="314"/>
      <c r="BG3065" s="314"/>
      <c r="BH3065" s="314"/>
      <c r="BI3065" s="314"/>
      <c r="BJ3065" s="314"/>
      <c r="BK3065" s="40"/>
      <c r="BL3065" s="40"/>
      <c r="BM3065" s="40"/>
      <c r="BN3065" s="40"/>
      <c r="BO3065" s="40"/>
      <c r="BP3065" s="155"/>
      <c r="BQ3065" s="314"/>
      <c r="BR3065" s="314"/>
      <c r="BS3065" s="314"/>
      <c r="BT3065" s="314"/>
      <c r="BU3065" s="314"/>
      <c r="BV3065" s="314"/>
      <c r="BW3065" s="314"/>
      <c r="BX3065" s="155"/>
    </row>
    <row r="3066" spans="1:76" ht="15.75" customHeight="1">
      <c r="A3066" s="25"/>
      <c r="B3066" s="39"/>
      <c r="C3066" s="155"/>
      <c r="D3066" s="155"/>
      <c r="E3066" s="40"/>
      <c r="F3066" s="314"/>
      <c r="H3066" s="315"/>
      <c r="I3066" s="315"/>
      <c r="BA3066" s="30"/>
      <c r="BB3066" s="155"/>
      <c r="BC3066" s="314"/>
      <c r="BD3066" s="314"/>
      <c r="BE3066" s="314"/>
      <c r="BF3066" s="314"/>
      <c r="BG3066" s="314"/>
      <c r="BH3066" s="314"/>
      <c r="BI3066" s="314"/>
      <c r="BJ3066" s="314"/>
      <c r="BK3066" s="40"/>
      <c r="BL3066" s="40"/>
      <c r="BM3066" s="40"/>
      <c r="BN3066" s="40"/>
      <c r="BO3066" s="40"/>
      <c r="BP3066" s="155"/>
      <c r="BQ3066" s="314"/>
      <c r="BR3066" s="314"/>
      <c r="BS3066" s="314"/>
      <c r="BT3066" s="314"/>
      <c r="BU3066" s="314"/>
      <c r="BV3066" s="314"/>
      <c r="BW3066" s="314"/>
      <c r="BX3066" s="155"/>
    </row>
    <row r="3067" spans="1:76" ht="15.75" customHeight="1">
      <c r="A3067" s="25"/>
      <c r="B3067" s="39"/>
      <c r="C3067" s="155"/>
      <c r="D3067" s="155"/>
      <c r="E3067" s="40"/>
      <c r="F3067" s="314"/>
      <c r="H3067" s="315"/>
      <c r="I3067" s="315"/>
      <c r="BA3067" s="30"/>
      <c r="BB3067" s="155"/>
      <c r="BC3067" s="314"/>
      <c r="BD3067" s="314"/>
      <c r="BE3067" s="314"/>
      <c r="BF3067" s="314"/>
      <c r="BG3067" s="314"/>
      <c r="BH3067" s="314"/>
      <c r="BI3067" s="314"/>
      <c r="BJ3067" s="314"/>
      <c r="BK3067" s="40"/>
      <c r="BL3067" s="40"/>
      <c r="BM3067" s="40"/>
      <c r="BN3067" s="40"/>
      <c r="BO3067" s="40"/>
      <c r="BP3067" s="155"/>
      <c r="BQ3067" s="314"/>
      <c r="BR3067" s="314"/>
      <c r="BS3067" s="314"/>
      <c r="BT3067" s="314"/>
      <c r="BU3067" s="314"/>
      <c r="BV3067" s="314"/>
      <c r="BW3067" s="314"/>
      <c r="BX3067" s="155"/>
    </row>
    <row r="3068" spans="1:76" ht="15.75" customHeight="1">
      <c r="A3068" s="25"/>
      <c r="B3068" s="39"/>
      <c r="C3068" s="155"/>
      <c r="D3068" s="155"/>
      <c r="E3068" s="40"/>
      <c r="F3068" s="314"/>
      <c r="H3068" s="315"/>
      <c r="I3068" s="315"/>
      <c r="BA3068" s="30"/>
      <c r="BB3068" s="155"/>
      <c r="BC3068" s="314"/>
      <c r="BD3068" s="314"/>
      <c r="BE3068" s="314"/>
      <c r="BF3068" s="314"/>
      <c r="BG3068" s="314"/>
      <c r="BH3068" s="314"/>
      <c r="BI3068" s="314"/>
      <c r="BJ3068" s="314"/>
      <c r="BK3068" s="40"/>
      <c r="BL3068" s="40"/>
      <c r="BM3068" s="40"/>
      <c r="BN3068" s="40"/>
      <c r="BO3068" s="40"/>
      <c r="BP3068" s="155"/>
      <c r="BQ3068" s="314"/>
      <c r="BR3068" s="314"/>
      <c r="BS3068" s="314"/>
      <c r="BT3068" s="314"/>
      <c r="BU3068" s="314"/>
      <c r="BV3068" s="314"/>
      <c r="BW3068" s="314"/>
      <c r="BX3068" s="155"/>
    </row>
    <row r="3069" spans="1:76" ht="15.75" customHeight="1">
      <c r="A3069" s="25"/>
      <c r="B3069" s="39"/>
      <c r="C3069" s="155"/>
      <c r="D3069" s="155"/>
      <c r="E3069" s="40"/>
      <c r="F3069" s="314"/>
      <c r="H3069" s="315"/>
      <c r="I3069" s="315"/>
      <c r="BA3069" s="30"/>
      <c r="BB3069" s="155"/>
      <c r="BC3069" s="314"/>
      <c r="BD3069" s="314"/>
      <c r="BE3069" s="314"/>
      <c r="BF3069" s="314"/>
      <c r="BG3069" s="314"/>
      <c r="BH3069" s="314"/>
      <c r="BI3069" s="314"/>
      <c r="BJ3069" s="314"/>
      <c r="BK3069" s="40"/>
      <c r="BL3069" s="40"/>
      <c r="BM3069" s="40"/>
      <c r="BN3069" s="40"/>
      <c r="BO3069" s="40"/>
      <c r="BP3069" s="155"/>
      <c r="BQ3069" s="314"/>
      <c r="BR3069" s="314"/>
      <c r="BS3069" s="314"/>
      <c r="BT3069" s="314"/>
      <c r="BU3069" s="314"/>
      <c r="BV3069" s="314"/>
      <c r="BW3069" s="314"/>
      <c r="BX3069" s="155"/>
    </row>
    <row r="3070" spans="1:76" ht="15.75" customHeight="1">
      <c r="A3070" s="25"/>
      <c r="B3070" s="39"/>
      <c r="C3070" s="155"/>
      <c r="D3070" s="155"/>
      <c r="E3070" s="40"/>
      <c r="F3070" s="314"/>
      <c r="H3070" s="315"/>
      <c r="I3070" s="315"/>
      <c r="BA3070" s="30"/>
      <c r="BB3070" s="155"/>
      <c r="BC3070" s="314"/>
      <c r="BD3070" s="314"/>
      <c r="BE3070" s="314"/>
      <c r="BF3070" s="314"/>
      <c r="BG3070" s="314"/>
      <c r="BH3070" s="314"/>
      <c r="BI3070" s="314"/>
      <c r="BJ3070" s="314"/>
      <c r="BK3070" s="40"/>
      <c r="BL3070" s="40"/>
      <c r="BM3070" s="40"/>
      <c r="BN3070" s="40"/>
      <c r="BO3070" s="40"/>
      <c r="BP3070" s="155"/>
      <c r="BQ3070" s="314"/>
      <c r="BR3070" s="314"/>
      <c r="BS3070" s="314"/>
      <c r="BT3070" s="314"/>
      <c r="BU3070" s="314"/>
      <c r="BV3070" s="314"/>
      <c r="BW3070" s="314"/>
      <c r="BX3070" s="155"/>
    </row>
    <row r="3071" spans="1:76" ht="15.75" customHeight="1">
      <c r="A3071" s="25"/>
      <c r="B3071" s="39"/>
      <c r="C3071" s="155"/>
      <c r="D3071" s="155"/>
      <c r="E3071" s="40"/>
      <c r="F3071" s="314"/>
      <c r="H3071" s="315"/>
      <c r="I3071" s="315"/>
      <c r="BA3071" s="30"/>
      <c r="BB3071" s="155"/>
      <c r="BC3071" s="314"/>
      <c r="BD3071" s="314"/>
      <c r="BE3071" s="314"/>
      <c r="BF3071" s="314"/>
      <c r="BG3071" s="314"/>
      <c r="BH3071" s="314"/>
      <c r="BI3071" s="314"/>
      <c r="BJ3071" s="314"/>
      <c r="BK3071" s="40"/>
      <c r="BL3071" s="40"/>
      <c r="BM3071" s="40"/>
      <c r="BN3071" s="40"/>
      <c r="BO3071" s="40"/>
      <c r="BP3071" s="155"/>
      <c r="BQ3071" s="314"/>
      <c r="BR3071" s="314"/>
      <c r="BS3071" s="314"/>
      <c r="BT3071" s="314"/>
      <c r="BU3071" s="314"/>
      <c r="BV3071" s="314"/>
      <c r="BW3071" s="314"/>
      <c r="BX3071" s="155"/>
    </row>
    <row r="3072" spans="1:76" ht="15.75" customHeight="1">
      <c r="A3072" s="25"/>
      <c r="B3072" s="39"/>
      <c r="C3072" s="155"/>
      <c r="D3072" s="155"/>
      <c r="E3072" s="40"/>
      <c r="F3072" s="314"/>
      <c r="H3072" s="315"/>
      <c r="I3072" s="315"/>
      <c r="BA3072" s="30"/>
      <c r="BB3072" s="155"/>
      <c r="BC3072" s="314"/>
      <c r="BD3072" s="314"/>
      <c r="BE3072" s="314"/>
      <c r="BF3072" s="314"/>
      <c r="BG3072" s="314"/>
      <c r="BH3072" s="314"/>
      <c r="BI3072" s="314"/>
      <c r="BJ3072" s="314"/>
      <c r="BK3072" s="40"/>
      <c r="BL3072" s="40"/>
      <c r="BM3072" s="40"/>
      <c r="BN3072" s="40"/>
      <c r="BO3072" s="40"/>
      <c r="BP3072" s="155"/>
      <c r="BQ3072" s="314"/>
      <c r="BR3072" s="314"/>
      <c r="BS3072" s="314"/>
      <c r="BT3072" s="314"/>
      <c r="BU3072" s="314"/>
      <c r="BV3072" s="314"/>
      <c r="BW3072" s="314"/>
      <c r="BX3072" s="155"/>
    </row>
    <row r="3073" spans="1:76" ht="15.75" customHeight="1">
      <c r="A3073" s="25"/>
      <c r="B3073" s="39"/>
      <c r="C3073" s="155"/>
      <c r="D3073" s="155"/>
      <c r="E3073" s="40"/>
      <c r="F3073" s="314"/>
      <c r="H3073" s="315"/>
      <c r="I3073" s="315"/>
      <c r="BA3073" s="30"/>
      <c r="BB3073" s="155"/>
      <c r="BC3073" s="314"/>
      <c r="BD3073" s="314"/>
      <c r="BE3073" s="314"/>
      <c r="BF3073" s="314"/>
      <c r="BG3073" s="314"/>
      <c r="BH3073" s="314"/>
      <c r="BI3073" s="314"/>
      <c r="BJ3073" s="314"/>
      <c r="BK3073" s="40"/>
      <c r="BL3073" s="40"/>
      <c r="BM3073" s="40"/>
      <c r="BN3073" s="40"/>
      <c r="BO3073" s="40"/>
      <c r="BP3073" s="155"/>
      <c r="BQ3073" s="314"/>
      <c r="BR3073" s="314"/>
      <c r="BS3073" s="314"/>
      <c r="BT3073" s="314"/>
      <c r="BU3073" s="314"/>
      <c r="BV3073" s="314"/>
      <c r="BW3073" s="314"/>
      <c r="BX3073" s="155"/>
    </row>
    <row r="3074" spans="1:76" ht="15.75" customHeight="1">
      <c r="A3074" s="25"/>
      <c r="B3074" s="39"/>
      <c r="C3074" s="155"/>
      <c r="D3074" s="155"/>
      <c r="E3074" s="40"/>
      <c r="F3074" s="314"/>
      <c r="H3074" s="315"/>
      <c r="I3074" s="315"/>
      <c r="BA3074" s="30"/>
      <c r="BB3074" s="155"/>
      <c r="BC3074" s="314"/>
      <c r="BD3074" s="314"/>
      <c r="BE3074" s="314"/>
      <c r="BF3074" s="314"/>
      <c r="BG3074" s="314"/>
      <c r="BH3074" s="314"/>
      <c r="BI3074" s="314"/>
      <c r="BJ3074" s="314"/>
      <c r="BK3074" s="40"/>
      <c r="BL3074" s="40"/>
      <c r="BM3074" s="40"/>
      <c r="BN3074" s="40"/>
      <c r="BO3074" s="40"/>
      <c r="BP3074" s="155"/>
      <c r="BQ3074" s="314"/>
      <c r="BR3074" s="314"/>
      <c r="BS3074" s="314"/>
      <c r="BT3074" s="314"/>
      <c r="BU3074" s="314"/>
      <c r="BV3074" s="314"/>
      <c r="BW3074" s="314"/>
      <c r="BX3074" s="155"/>
    </row>
    <row r="3075" spans="1:76" ht="15.75" customHeight="1">
      <c r="A3075" s="25"/>
      <c r="B3075" s="39"/>
      <c r="C3075" s="155"/>
      <c r="D3075" s="155"/>
      <c r="E3075" s="40"/>
      <c r="F3075" s="314"/>
      <c r="H3075" s="315"/>
      <c r="I3075" s="315"/>
      <c r="BA3075" s="30"/>
      <c r="BB3075" s="155"/>
      <c r="BC3075" s="314"/>
      <c r="BD3075" s="314"/>
      <c r="BE3075" s="314"/>
      <c r="BF3075" s="314"/>
      <c r="BG3075" s="314"/>
      <c r="BH3075" s="314"/>
      <c r="BI3075" s="314"/>
      <c r="BJ3075" s="314"/>
      <c r="BK3075" s="40"/>
      <c r="BL3075" s="40"/>
      <c r="BM3075" s="40"/>
      <c r="BN3075" s="40"/>
      <c r="BO3075" s="40"/>
      <c r="BP3075" s="155"/>
      <c r="BQ3075" s="314"/>
      <c r="BR3075" s="314"/>
      <c r="BS3075" s="314"/>
      <c r="BT3075" s="314"/>
      <c r="BU3075" s="314"/>
      <c r="BV3075" s="314"/>
      <c r="BW3075" s="314"/>
      <c r="BX3075" s="155"/>
    </row>
    <row r="3076" spans="1:76" ht="15.75" customHeight="1">
      <c r="A3076" s="25"/>
      <c r="B3076" s="39"/>
      <c r="C3076" s="155"/>
      <c r="D3076" s="155"/>
      <c r="E3076" s="40"/>
      <c r="F3076" s="314"/>
      <c r="H3076" s="315"/>
      <c r="I3076" s="315"/>
      <c r="BA3076" s="30"/>
      <c r="BB3076" s="155"/>
      <c r="BC3076" s="314"/>
      <c r="BD3076" s="314"/>
      <c r="BE3076" s="314"/>
      <c r="BF3076" s="314"/>
      <c r="BG3076" s="314"/>
      <c r="BH3076" s="314"/>
      <c r="BI3076" s="314"/>
      <c r="BJ3076" s="314"/>
      <c r="BK3076" s="40"/>
      <c r="BL3076" s="40"/>
      <c r="BM3076" s="40"/>
      <c r="BN3076" s="40"/>
      <c r="BO3076" s="40"/>
      <c r="BP3076" s="155"/>
      <c r="BQ3076" s="314"/>
      <c r="BR3076" s="314"/>
      <c r="BS3076" s="314"/>
      <c r="BT3076" s="314"/>
      <c r="BU3076" s="314"/>
      <c r="BV3076" s="314"/>
      <c r="BW3076" s="314"/>
      <c r="BX3076" s="155"/>
    </row>
    <row r="3077" spans="1:76" ht="15.75" customHeight="1">
      <c r="A3077" s="25"/>
      <c r="B3077" s="39"/>
      <c r="C3077" s="155"/>
      <c r="D3077" s="155"/>
      <c r="E3077" s="40"/>
      <c r="F3077" s="314"/>
      <c r="H3077" s="315"/>
      <c r="I3077" s="315"/>
      <c r="BA3077" s="30"/>
      <c r="BB3077" s="155"/>
      <c r="BC3077" s="314"/>
      <c r="BD3077" s="314"/>
      <c r="BE3077" s="314"/>
      <c r="BF3077" s="314"/>
      <c r="BG3077" s="314"/>
      <c r="BH3077" s="314"/>
      <c r="BI3077" s="314"/>
      <c r="BJ3077" s="314"/>
      <c r="BK3077" s="40"/>
      <c r="BL3077" s="40"/>
      <c r="BM3077" s="40"/>
      <c r="BN3077" s="40"/>
      <c r="BO3077" s="40"/>
      <c r="BP3077" s="155"/>
      <c r="BQ3077" s="314"/>
      <c r="BR3077" s="314"/>
      <c r="BS3077" s="314"/>
      <c r="BT3077" s="314"/>
      <c r="BU3077" s="314"/>
      <c r="BV3077" s="314"/>
      <c r="BW3077" s="314"/>
      <c r="BX3077" s="155"/>
    </row>
    <row r="3078" spans="1:76" ht="15.75" customHeight="1">
      <c r="A3078" s="25"/>
      <c r="B3078" s="39"/>
      <c r="C3078" s="155"/>
      <c r="D3078" s="155"/>
      <c r="E3078" s="40"/>
      <c r="F3078" s="314"/>
      <c r="H3078" s="315"/>
      <c r="I3078" s="315"/>
      <c r="BA3078" s="30"/>
      <c r="BB3078" s="155"/>
      <c r="BC3078" s="314"/>
      <c r="BD3078" s="314"/>
      <c r="BE3078" s="314"/>
      <c r="BF3078" s="314"/>
      <c r="BG3078" s="314"/>
      <c r="BH3078" s="314"/>
      <c r="BI3078" s="314"/>
      <c r="BJ3078" s="314"/>
      <c r="BK3078" s="40"/>
      <c r="BL3078" s="40"/>
      <c r="BM3078" s="40"/>
      <c r="BN3078" s="40"/>
      <c r="BO3078" s="40"/>
      <c r="BP3078" s="155"/>
      <c r="BQ3078" s="314"/>
      <c r="BR3078" s="314"/>
      <c r="BS3078" s="314"/>
      <c r="BT3078" s="314"/>
      <c r="BU3078" s="314"/>
      <c r="BV3078" s="314"/>
      <c r="BW3078" s="314"/>
      <c r="BX3078" s="155"/>
    </row>
    <row r="3079" spans="1:76" ht="15.75" customHeight="1">
      <c r="A3079" s="25"/>
      <c r="B3079" s="39"/>
      <c r="C3079" s="155"/>
      <c r="D3079" s="155"/>
      <c r="E3079" s="40"/>
      <c r="F3079" s="314"/>
      <c r="H3079" s="315"/>
      <c r="I3079" s="315"/>
      <c r="BA3079" s="30"/>
      <c r="BB3079" s="155"/>
      <c r="BC3079" s="314"/>
      <c r="BD3079" s="314"/>
      <c r="BE3079" s="314"/>
      <c r="BF3079" s="314"/>
      <c r="BG3079" s="314"/>
      <c r="BH3079" s="314"/>
      <c r="BI3079" s="314"/>
      <c r="BJ3079" s="314"/>
      <c r="BK3079" s="40"/>
      <c r="BL3079" s="40"/>
      <c r="BM3079" s="40"/>
      <c r="BN3079" s="40"/>
      <c r="BO3079" s="40"/>
      <c r="BP3079" s="155"/>
      <c r="BQ3079" s="314"/>
      <c r="BR3079" s="314"/>
      <c r="BS3079" s="314"/>
      <c r="BT3079" s="314"/>
      <c r="BU3079" s="314"/>
      <c r="BV3079" s="314"/>
      <c r="BW3079" s="314"/>
      <c r="BX3079" s="155"/>
    </row>
    <row r="3080" spans="1:76" ht="15.75" customHeight="1">
      <c r="A3080" s="25"/>
      <c r="B3080" s="39"/>
      <c r="C3080" s="155"/>
      <c r="D3080" s="155"/>
      <c r="E3080" s="40"/>
      <c r="F3080" s="314"/>
      <c r="H3080" s="315"/>
      <c r="I3080" s="315"/>
      <c r="BA3080" s="30"/>
      <c r="BB3080" s="155"/>
      <c r="BC3080" s="314"/>
      <c r="BD3080" s="314"/>
      <c r="BE3080" s="314"/>
      <c r="BF3080" s="314"/>
      <c r="BG3080" s="314"/>
      <c r="BH3080" s="314"/>
      <c r="BI3080" s="314"/>
      <c r="BJ3080" s="314"/>
      <c r="BK3080" s="40"/>
      <c r="BL3080" s="40"/>
      <c r="BM3080" s="40"/>
      <c r="BN3080" s="40"/>
      <c r="BO3080" s="40"/>
      <c r="BP3080" s="155"/>
      <c r="BQ3080" s="314"/>
      <c r="BR3080" s="314"/>
      <c r="BS3080" s="314"/>
      <c r="BT3080" s="314"/>
      <c r="BU3080" s="314"/>
      <c r="BV3080" s="314"/>
      <c r="BW3080" s="314"/>
      <c r="BX3080" s="155"/>
    </row>
    <row r="3081" spans="1:76" ht="15.75" customHeight="1">
      <c r="A3081" s="25"/>
      <c r="B3081" s="39"/>
      <c r="C3081" s="155"/>
      <c r="D3081" s="155"/>
      <c r="E3081" s="40"/>
      <c r="F3081" s="314"/>
      <c r="H3081" s="315"/>
      <c r="I3081" s="315"/>
      <c r="BA3081" s="30"/>
      <c r="BB3081" s="155"/>
      <c r="BC3081" s="314"/>
      <c r="BD3081" s="314"/>
      <c r="BE3081" s="314"/>
      <c r="BF3081" s="314"/>
      <c r="BG3081" s="314"/>
      <c r="BH3081" s="314"/>
      <c r="BI3081" s="314"/>
      <c r="BJ3081" s="314"/>
      <c r="BK3081" s="40"/>
      <c r="BL3081" s="40"/>
      <c r="BM3081" s="40"/>
      <c r="BN3081" s="40"/>
      <c r="BO3081" s="40"/>
      <c r="BP3081" s="155"/>
      <c r="BQ3081" s="314"/>
      <c r="BR3081" s="314"/>
      <c r="BS3081" s="314"/>
      <c r="BT3081" s="314"/>
      <c r="BU3081" s="314"/>
      <c r="BV3081" s="314"/>
      <c r="BW3081" s="314"/>
      <c r="BX3081" s="155"/>
    </row>
    <row r="3082" spans="1:76" ht="15.75" customHeight="1">
      <c r="A3082" s="25"/>
      <c r="B3082" s="39"/>
      <c r="C3082" s="155"/>
      <c r="D3082" s="155"/>
      <c r="E3082" s="40"/>
      <c r="F3082" s="314"/>
      <c r="H3082" s="315"/>
      <c r="I3082" s="315"/>
      <c r="BA3082" s="30"/>
      <c r="BB3082" s="155"/>
      <c r="BC3082" s="322"/>
      <c r="BD3082" s="322"/>
      <c r="BE3082" s="322"/>
      <c r="BF3082" s="322"/>
      <c r="BG3082" s="322"/>
      <c r="BH3082" s="322"/>
      <c r="BI3082" s="322"/>
      <c r="BJ3082" s="322"/>
      <c r="BK3082" s="341"/>
      <c r="BL3082" s="40"/>
      <c r="BM3082" s="40"/>
      <c r="BN3082" s="40"/>
      <c r="BO3082" s="40"/>
      <c r="BP3082" s="155"/>
      <c r="BQ3082" s="314"/>
      <c r="BR3082" s="314"/>
      <c r="BS3082" s="314"/>
      <c r="BT3082" s="314"/>
      <c r="BU3082" s="314"/>
      <c r="BV3082" s="314"/>
      <c r="BW3082" s="314"/>
      <c r="BX3082" s="155"/>
    </row>
    <row r="3083" spans="1:76" ht="15.75" customHeight="1">
      <c r="A3083" s="25"/>
      <c r="B3083" s="39"/>
      <c r="C3083" s="155"/>
      <c r="D3083" s="155"/>
      <c r="E3083" s="40"/>
      <c r="F3083" s="314"/>
      <c r="H3083" s="315"/>
      <c r="I3083" s="315"/>
      <c r="BA3083" s="30"/>
      <c r="BB3083" s="155"/>
      <c r="BC3083" s="314"/>
      <c r="BD3083" s="314"/>
      <c r="BE3083" s="314"/>
      <c r="BF3083" s="314"/>
      <c r="BG3083" s="314"/>
      <c r="BH3083" s="314"/>
      <c r="BI3083" s="314"/>
      <c r="BJ3083" s="314"/>
      <c r="BK3083" s="40"/>
      <c r="BL3083" s="40"/>
      <c r="BM3083" s="40"/>
      <c r="BN3083" s="40"/>
      <c r="BO3083" s="40"/>
      <c r="BP3083" s="155"/>
      <c r="BQ3083" s="314"/>
      <c r="BR3083" s="314"/>
      <c r="BS3083" s="314"/>
      <c r="BT3083" s="314"/>
      <c r="BU3083" s="314"/>
      <c r="BV3083" s="314"/>
      <c r="BW3083" s="314"/>
      <c r="BX3083" s="155"/>
    </row>
    <row r="3084" spans="1:76" ht="15.75" customHeight="1">
      <c r="A3084" s="25"/>
      <c r="B3084" s="39"/>
      <c r="C3084" s="155"/>
      <c r="D3084" s="155"/>
      <c r="E3084" s="40"/>
      <c r="F3084" s="314"/>
      <c r="H3084" s="315"/>
      <c r="I3084" s="315"/>
      <c r="BA3084" s="30"/>
      <c r="BB3084" s="155"/>
      <c r="BC3084" s="314"/>
      <c r="BD3084" s="314"/>
      <c r="BE3084" s="314"/>
      <c r="BF3084" s="314"/>
      <c r="BG3084" s="314"/>
      <c r="BH3084" s="314"/>
      <c r="BI3084" s="314"/>
      <c r="BJ3084" s="314"/>
      <c r="BK3084" s="40"/>
      <c r="BL3084" s="40"/>
      <c r="BM3084" s="40"/>
      <c r="BN3084" s="40"/>
      <c r="BO3084" s="40"/>
      <c r="BP3084" s="155"/>
      <c r="BQ3084" s="314"/>
      <c r="BR3084" s="314"/>
      <c r="BS3084" s="314"/>
      <c r="BT3084" s="314"/>
      <c r="BU3084" s="314"/>
      <c r="BV3084" s="314"/>
      <c r="BW3084" s="314"/>
      <c r="BX3084" s="155"/>
    </row>
    <row r="3085" spans="1:76" ht="15.75" customHeight="1">
      <c r="A3085" s="25"/>
      <c r="B3085" s="39"/>
      <c r="C3085" s="155"/>
      <c r="D3085" s="155"/>
      <c r="E3085" s="40"/>
      <c r="F3085" s="314"/>
      <c r="H3085" s="315"/>
      <c r="I3085" s="315"/>
      <c r="BA3085" s="30"/>
      <c r="BB3085" s="155"/>
      <c r="BC3085" s="314"/>
      <c r="BD3085" s="314"/>
      <c r="BE3085" s="314"/>
      <c r="BF3085" s="314"/>
      <c r="BG3085" s="314"/>
      <c r="BH3085" s="314"/>
      <c r="BI3085" s="314"/>
      <c r="BJ3085" s="314"/>
      <c r="BK3085" s="40"/>
      <c r="BL3085" s="40"/>
      <c r="BM3085" s="40"/>
      <c r="BN3085" s="40"/>
      <c r="BO3085" s="40"/>
      <c r="BP3085" s="155"/>
      <c r="BQ3085" s="314"/>
      <c r="BR3085" s="314"/>
      <c r="BS3085" s="314"/>
      <c r="BT3085" s="314"/>
      <c r="BU3085" s="314"/>
      <c r="BV3085" s="314"/>
      <c r="BW3085" s="314"/>
      <c r="BX3085" s="155"/>
    </row>
    <row r="3086" spans="1:76" ht="15.75" customHeight="1">
      <c r="A3086" s="25"/>
      <c r="B3086" s="39"/>
      <c r="C3086" s="155"/>
      <c r="D3086" s="155"/>
      <c r="E3086" s="40"/>
      <c r="F3086" s="314"/>
      <c r="H3086" s="315"/>
      <c r="I3086" s="315"/>
      <c r="BA3086" s="30"/>
      <c r="BB3086" s="155"/>
      <c r="BC3086" s="314"/>
      <c r="BD3086" s="314"/>
      <c r="BE3086" s="314"/>
      <c r="BF3086" s="314"/>
      <c r="BG3086" s="314"/>
      <c r="BH3086" s="314"/>
      <c r="BI3086" s="314"/>
      <c r="BJ3086" s="314"/>
      <c r="BK3086" s="40"/>
      <c r="BL3086" s="40"/>
      <c r="BM3086" s="40"/>
      <c r="BN3086" s="40"/>
      <c r="BO3086" s="40"/>
      <c r="BP3086" s="155"/>
      <c r="BQ3086" s="314"/>
      <c r="BR3086" s="314"/>
      <c r="BS3086" s="314"/>
      <c r="BT3086" s="314"/>
      <c r="BU3086" s="314"/>
      <c r="BV3086" s="314"/>
      <c r="BW3086" s="314"/>
      <c r="BX3086" s="155"/>
    </row>
    <row r="3087" spans="1:76" ht="15.75" customHeight="1">
      <c r="A3087" s="25"/>
      <c r="B3087" s="39"/>
      <c r="C3087" s="155"/>
      <c r="D3087" s="155"/>
      <c r="E3087" s="40"/>
      <c r="F3087" s="314"/>
      <c r="H3087" s="315"/>
      <c r="I3087" s="315"/>
      <c r="BA3087" s="30"/>
      <c r="BB3087" s="155"/>
      <c r="BC3087" s="314"/>
      <c r="BD3087" s="314"/>
      <c r="BE3087" s="314"/>
      <c r="BF3087" s="314"/>
      <c r="BG3087" s="314"/>
      <c r="BH3087" s="314"/>
      <c r="BI3087" s="314"/>
      <c r="BJ3087" s="314"/>
      <c r="BK3087" s="40"/>
      <c r="BL3087" s="40"/>
      <c r="BM3087" s="40"/>
      <c r="BN3087" s="40"/>
      <c r="BO3087" s="40"/>
      <c r="BP3087" s="155"/>
      <c r="BQ3087" s="314"/>
      <c r="BR3087" s="314"/>
      <c r="BS3087" s="314"/>
      <c r="BT3087" s="314"/>
      <c r="BU3087" s="314"/>
      <c r="BV3087" s="314"/>
      <c r="BW3087" s="314"/>
      <c r="BX3087" s="155"/>
    </row>
    <row r="3088" spans="1:76" ht="15.75" customHeight="1">
      <c r="A3088" s="25"/>
      <c r="B3088" s="39"/>
      <c r="C3088" s="155"/>
      <c r="D3088" s="155"/>
      <c r="E3088" s="40"/>
      <c r="F3088" s="314"/>
      <c r="H3088" s="315"/>
      <c r="I3088" s="315"/>
      <c r="BA3088" s="30"/>
      <c r="BB3088" s="155"/>
      <c r="BC3088" s="314"/>
      <c r="BD3088" s="314"/>
      <c r="BE3088" s="314"/>
      <c r="BF3088" s="314"/>
      <c r="BG3088" s="314"/>
      <c r="BH3088" s="314"/>
      <c r="BI3088" s="314"/>
      <c r="BJ3088" s="314"/>
      <c r="BK3088" s="40"/>
      <c r="BL3088" s="40"/>
      <c r="BM3088" s="40"/>
      <c r="BN3088" s="40"/>
      <c r="BO3088" s="40"/>
      <c r="BP3088" s="155"/>
      <c r="BQ3088" s="314"/>
      <c r="BR3088" s="314"/>
      <c r="BS3088" s="314"/>
      <c r="BT3088" s="314"/>
      <c r="BU3088" s="314"/>
      <c r="BV3088" s="314"/>
      <c r="BW3088" s="314"/>
      <c r="BX3088" s="155"/>
    </row>
    <row r="3089" spans="1:76" ht="15.75" customHeight="1">
      <c r="A3089" s="25"/>
      <c r="B3089" s="39"/>
      <c r="C3089" s="155"/>
      <c r="D3089" s="155"/>
      <c r="E3089" s="40"/>
      <c r="F3089" s="314"/>
      <c r="H3089" s="315"/>
      <c r="I3089" s="315"/>
      <c r="BA3089" s="30"/>
      <c r="BB3089" s="155"/>
      <c r="BC3089" s="314"/>
      <c r="BD3089" s="314"/>
      <c r="BE3089" s="314"/>
      <c r="BF3089" s="314"/>
      <c r="BG3089" s="314"/>
      <c r="BH3089" s="314"/>
      <c r="BI3089" s="314"/>
      <c r="BJ3089" s="314"/>
      <c r="BK3089" s="40"/>
      <c r="BL3089" s="40"/>
      <c r="BM3089" s="40"/>
      <c r="BN3089" s="40"/>
      <c r="BO3089" s="40"/>
      <c r="BP3089" s="155"/>
      <c r="BQ3089" s="314"/>
      <c r="BR3089" s="314"/>
      <c r="BS3089" s="314"/>
      <c r="BT3089" s="314"/>
      <c r="BU3089" s="314"/>
      <c r="BV3089" s="314"/>
      <c r="BW3089" s="314"/>
      <c r="BX3089" s="155"/>
    </row>
    <row r="3090" spans="1:76" ht="15.75" customHeight="1">
      <c r="A3090" s="25"/>
      <c r="B3090" s="39"/>
      <c r="C3090" s="155"/>
      <c r="D3090" s="155"/>
      <c r="E3090" s="40"/>
      <c r="F3090" s="314"/>
      <c r="H3090" s="315"/>
      <c r="I3090" s="315"/>
      <c r="BA3090" s="30"/>
      <c r="BB3090" s="155"/>
      <c r="BC3090" s="314"/>
      <c r="BD3090" s="314"/>
      <c r="BE3090" s="314"/>
      <c r="BF3090" s="314"/>
      <c r="BG3090" s="314"/>
      <c r="BH3090" s="314"/>
      <c r="BI3090" s="314"/>
      <c r="BJ3090" s="314"/>
      <c r="BK3090" s="40"/>
      <c r="BL3090" s="40"/>
      <c r="BM3090" s="40"/>
      <c r="BN3090" s="40"/>
      <c r="BO3090" s="40"/>
      <c r="BP3090" s="155"/>
      <c r="BQ3090" s="314"/>
      <c r="BR3090" s="314"/>
      <c r="BS3090" s="314"/>
      <c r="BT3090" s="314"/>
      <c r="BU3090" s="314"/>
      <c r="BV3090" s="314"/>
      <c r="BW3090" s="314"/>
      <c r="BX3090" s="155"/>
    </row>
    <row r="3091" spans="1:76" ht="15.75" customHeight="1">
      <c r="A3091" s="25"/>
      <c r="B3091" s="39"/>
      <c r="C3091" s="155"/>
      <c r="D3091" s="155"/>
      <c r="E3091" s="40"/>
      <c r="F3091" s="314"/>
      <c r="H3091" s="315"/>
      <c r="I3091" s="315"/>
      <c r="BA3091" s="30"/>
      <c r="BB3091" s="155"/>
      <c r="BC3091" s="314"/>
      <c r="BD3091" s="314"/>
      <c r="BE3091" s="314"/>
      <c r="BF3091" s="314"/>
      <c r="BG3091" s="314"/>
      <c r="BH3091" s="314"/>
      <c r="BI3091" s="314"/>
      <c r="BJ3091" s="314"/>
      <c r="BK3091" s="40"/>
      <c r="BL3091" s="40"/>
      <c r="BM3091" s="40"/>
      <c r="BN3091" s="40"/>
      <c r="BO3091" s="40"/>
      <c r="BP3091" s="155"/>
      <c r="BQ3091" s="314"/>
      <c r="BR3091" s="314"/>
      <c r="BS3091" s="314"/>
      <c r="BT3091" s="314"/>
      <c r="BU3091" s="314"/>
      <c r="BV3091" s="314"/>
      <c r="BW3091" s="314"/>
      <c r="BX3091" s="155"/>
    </row>
    <row r="3092" spans="1:76" ht="15.75" customHeight="1">
      <c r="A3092" s="25"/>
      <c r="B3092" s="39"/>
      <c r="C3092" s="155"/>
      <c r="D3092" s="155"/>
      <c r="E3092" s="40"/>
      <c r="F3092" s="314"/>
      <c r="H3092" s="315"/>
      <c r="I3092" s="315"/>
      <c r="BA3092" s="30"/>
      <c r="BB3092" s="155"/>
      <c r="BC3092" s="314"/>
      <c r="BD3092" s="314"/>
      <c r="BE3092" s="314"/>
      <c r="BF3092" s="314"/>
      <c r="BG3092" s="314"/>
      <c r="BH3092" s="314"/>
      <c r="BI3092" s="314"/>
      <c r="BJ3092" s="314"/>
      <c r="BK3092" s="40"/>
      <c r="BL3092" s="40"/>
      <c r="BM3092" s="40"/>
      <c r="BN3092" s="40"/>
      <c r="BO3092" s="40"/>
      <c r="BP3092" s="155"/>
      <c r="BQ3092" s="314"/>
      <c r="BR3092" s="314"/>
      <c r="BS3092" s="314"/>
      <c r="BT3092" s="314"/>
      <c r="BU3092" s="314"/>
      <c r="BV3092" s="314"/>
      <c r="BW3092" s="314"/>
      <c r="BX3092" s="155"/>
    </row>
    <row r="3093" spans="1:76" ht="15.75" customHeight="1">
      <c r="A3093" s="25"/>
      <c r="B3093" s="39"/>
      <c r="C3093" s="155"/>
      <c r="D3093" s="155"/>
      <c r="E3093" s="40"/>
      <c r="F3093" s="314"/>
      <c r="H3093" s="315"/>
      <c r="I3093" s="315"/>
      <c r="BA3093" s="30"/>
      <c r="BB3093" s="155"/>
      <c r="BC3093" s="314"/>
      <c r="BD3093" s="314"/>
      <c r="BE3093" s="314"/>
      <c r="BF3093" s="314"/>
      <c r="BG3093" s="314"/>
      <c r="BH3093" s="314"/>
      <c r="BI3093" s="314"/>
      <c r="BJ3093" s="314"/>
      <c r="BK3093" s="40"/>
      <c r="BL3093" s="40"/>
      <c r="BM3093" s="40"/>
      <c r="BN3093" s="40"/>
      <c r="BO3093" s="40"/>
      <c r="BP3093" s="155"/>
      <c r="BQ3093" s="314"/>
      <c r="BR3093" s="314"/>
      <c r="BS3093" s="314"/>
      <c r="BT3093" s="314"/>
      <c r="BU3093" s="314"/>
      <c r="BV3093" s="314"/>
      <c r="BW3093" s="314"/>
      <c r="BX3093" s="155"/>
    </row>
    <row r="3094" spans="1:76" ht="15.75" customHeight="1">
      <c r="A3094" s="25"/>
      <c r="B3094" s="39"/>
      <c r="C3094" s="155"/>
      <c r="D3094" s="155"/>
      <c r="E3094" s="40"/>
      <c r="F3094" s="314"/>
      <c r="H3094" s="315"/>
      <c r="I3094" s="315"/>
      <c r="BA3094" s="30"/>
      <c r="BB3094" s="155"/>
      <c r="BC3094" s="314"/>
      <c r="BD3094" s="314"/>
      <c r="BE3094" s="314"/>
      <c r="BF3094" s="314"/>
      <c r="BG3094" s="314"/>
      <c r="BH3094" s="314"/>
      <c r="BI3094" s="314"/>
      <c r="BJ3094" s="314"/>
      <c r="BK3094" s="40"/>
      <c r="BL3094" s="40"/>
      <c r="BM3094" s="40"/>
      <c r="BN3094" s="40"/>
      <c r="BO3094" s="40"/>
      <c r="BP3094" s="155"/>
      <c r="BQ3094" s="314"/>
      <c r="BR3094" s="314"/>
      <c r="BS3094" s="314"/>
      <c r="BT3094" s="314"/>
      <c r="BU3094" s="314"/>
      <c r="BV3094" s="314"/>
      <c r="BW3094" s="314"/>
      <c r="BX3094" s="155"/>
    </row>
    <row r="3095" spans="1:76" ht="15.75" customHeight="1">
      <c r="A3095" s="25"/>
      <c r="B3095" s="39"/>
      <c r="C3095" s="155"/>
      <c r="D3095" s="155"/>
      <c r="E3095" s="40"/>
      <c r="F3095" s="314"/>
      <c r="H3095" s="315"/>
      <c r="I3095" s="315"/>
      <c r="BA3095" s="30"/>
      <c r="BB3095" s="155"/>
      <c r="BC3095" s="314"/>
      <c r="BD3095" s="314"/>
      <c r="BE3095" s="314"/>
      <c r="BF3095" s="314"/>
      <c r="BG3095" s="314"/>
      <c r="BH3095" s="314"/>
      <c r="BI3095" s="314"/>
      <c r="BJ3095" s="314"/>
      <c r="BK3095" s="40"/>
      <c r="BL3095" s="40"/>
      <c r="BM3095" s="40"/>
      <c r="BN3095" s="40"/>
      <c r="BO3095" s="40"/>
      <c r="BP3095" s="155"/>
      <c r="BQ3095" s="314"/>
      <c r="BR3095" s="314"/>
      <c r="BS3095" s="314"/>
      <c r="BT3095" s="314"/>
      <c r="BU3095" s="314"/>
      <c r="BV3095" s="314"/>
      <c r="BW3095" s="314"/>
      <c r="BX3095" s="155"/>
    </row>
    <row r="3096" spans="1:76" ht="15.75" customHeight="1">
      <c r="A3096" s="25"/>
      <c r="B3096" s="39"/>
      <c r="C3096" s="155"/>
      <c r="D3096" s="155"/>
      <c r="E3096" s="40"/>
      <c r="F3096" s="314"/>
      <c r="H3096" s="315"/>
      <c r="I3096" s="315"/>
      <c r="BA3096" s="30"/>
      <c r="BB3096" s="155"/>
      <c r="BC3096" s="314"/>
      <c r="BD3096" s="314"/>
      <c r="BE3096" s="314"/>
      <c r="BF3096" s="314"/>
      <c r="BG3096" s="314"/>
      <c r="BH3096" s="314"/>
      <c r="BI3096" s="314"/>
      <c r="BJ3096" s="314"/>
      <c r="BK3096" s="40"/>
      <c r="BL3096" s="40"/>
      <c r="BM3096" s="40"/>
      <c r="BN3096" s="40"/>
      <c r="BO3096" s="40"/>
      <c r="BP3096" s="155"/>
      <c r="BQ3096" s="314"/>
      <c r="BR3096" s="314"/>
      <c r="BS3096" s="314"/>
      <c r="BT3096" s="314"/>
      <c r="BU3096" s="314"/>
      <c r="BV3096" s="314"/>
      <c r="BW3096" s="314"/>
      <c r="BX3096" s="155"/>
    </row>
    <row r="3097" spans="1:76" ht="15.75" customHeight="1">
      <c r="A3097" s="25"/>
      <c r="B3097" s="39"/>
      <c r="C3097" s="155"/>
      <c r="D3097" s="155"/>
      <c r="E3097" s="40"/>
      <c r="F3097" s="314"/>
      <c r="H3097" s="315"/>
      <c r="I3097" s="315"/>
      <c r="BA3097" s="30"/>
      <c r="BB3097" s="155"/>
      <c r="BC3097" s="314"/>
      <c r="BD3097" s="314"/>
      <c r="BE3097" s="314"/>
      <c r="BF3097" s="314"/>
      <c r="BG3097" s="314"/>
      <c r="BH3097" s="314"/>
      <c r="BI3097" s="314"/>
      <c r="BJ3097" s="314"/>
      <c r="BK3097" s="40"/>
      <c r="BL3097" s="40"/>
      <c r="BM3097" s="40"/>
      <c r="BN3097" s="40"/>
      <c r="BO3097" s="40"/>
      <c r="BP3097" s="155"/>
      <c r="BQ3097" s="314"/>
      <c r="BR3097" s="314"/>
      <c r="BS3097" s="314"/>
      <c r="BT3097" s="314"/>
      <c r="BU3097" s="314"/>
      <c r="BV3097" s="314"/>
      <c r="BW3097" s="314"/>
      <c r="BX3097" s="155"/>
    </row>
    <row r="3098" spans="1:76" ht="15.75" customHeight="1">
      <c r="A3098" s="25"/>
      <c r="B3098" s="39"/>
      <c r="C3098" s="155"/>
      <c r="D3098" s="155"/>
      <c r="E3098" s="40"/>
      <c r="F3098" s="314"/>
      <c r="H3098" s="315"/>
      <c r="I3098" s="315"/>
      <c r="BA3098" s="30"/>
      <c r="BB3098" s="155"/>
      <c r="BC3098" s="314"/>
      <c r="BD3098" s="314"/>
      <c r="BE3098" s="314"/>
      <c r="BF3098" s="314"/>
      <c r="BG3098" s="314"/>
      <c r="BH3098" s="314"/>
      <c r="BI3098" s="314"/>
      <c r="BJ3098" s="314"/>
      <c r="BK3098" s="40"/>
      <c r="BL3098" s="40"/>
      <c r="BM3098" s="40"/>
      <c r="BN3098" s="40"/>
      <c r="BO3098" s="40"/>
      <c r="BP3098" s="155"/>
      <c r="BQ3098" s="314"/>
      <c r="BR3098" s="314"/>
      <c r="BS3098" s="314"/>
      <c r="BT3098" s="314"/>
      <c r="BU3098" s="314"/>
      <c r="BV3098" s="314"/>
      <c r="BW3098" s="314"/>
      <c r="BX3098" s="155"/>
    </row>
    <row r="3099" spans="1:76" ht="15.75" customHeight="1">
      <c r="A3099" s="25"/>
      <c r="B3099" s="39"/>
      <c r="C3099" s="155"/>
      <c r="D3099" s="155"/>
      <c r="E3099" s="40"/>
      <c r="F3099" s="314"/>
      <c r="H3099" s="315"/>
      <c r="I3099" s="315"/>
      <c r="BA3099" s="30"/>
      <c r="BB3099" s="155"/>
      <c r="BC3099" s="314"/>
      <c r="BD3099" s="314"/>
      <c r="BE3099" s="314"/>
      <c r="BF3099" s="314"/>
      <c r="BG3099" s="314"/>
      <c r="BH3099" s="314"/>
      <c r="BI3099" s="314"/>
      <c r="BJ3099" s="314"/>
      <c r="BK3099" s="40"/>
      <c r="BL3099" s="40"/>
      <c r="BM3099" s="40"/>
      <c r="BN3099" s="40"/>
      <c r="BO3099" s="40"/>
      <c r="BP3099" s="155"/>
      <c r="BQ3099" s="314"/>
      <c r="BR3099" s="314"/>
      <c r="BS3099" s="314"/>
      <c r="BT3099" s="314"/>
      <c r="BU3099" s="314"/>
      <c r="BV3099" s="314"/>
      <c r="BW3099" s="314"/>
      <c r="BX3099" s="155"/>
    </row>
    <row r="3100" spans="1:76" ht="15.75" customHeight="1">
      <c r="A3100" s="25"/>
      <c r="B3100" s="39"/>
      <c r="C3100" s="155"/>
      <c r="D3100" s="155"/>
      <c r="E3100" s="40"/>
      <c r="F3100" s="314"/>
      <c r="H3100" s="315"/>
      <c r="I3100" s="315"/>
      <c r="BA3100" s="30"/>
      <c r="BB3100" s="155"/>
      <c r="BC3100" s="314"/>
      <c r="BD3100" s="314"/>
      <c r="BE3100" s="314"/>
      <c r="BF3100" s="314"/>
      <c r="BG3100" s="314"/>
      <c r="BH3100" s="314"/>
      <c r="BI3100" s="314"/>
      <c r="BJ3100" s="314"/>
      <c r="BK3100" s="40"/>
      <c r="BL3100" s="40"/>
      <c r="BM3100" s="40"/>
      <c r="BN3100" s="40"/>
      <c r="BO3100" s="40"/>
      <c r="BP3100" s="155"/>
      <c r="BQ3100" s="314"/>
      <c r="BR3100" s="314"/>
      <c r="BS3100" s="314"/>
      <c r="BT3100" s="314"/>
      <c r="BU3100" s="314"/>
      <c r="BV3100" s="314"/>
      <c r="BW3100" s="314"/>
      <c r="BX3100" s="155"/>
    </row>
    <row r="3101" spans="1:76" ht="15.75" customHeight="1">
      <c r="A3101" s="25"/>
      <c r="B3101" s="39"/>
      <c r="C3101" s="155"/>
      <c r="D3101" s="155"/>
      <c r="E3101" s="40"/>
      <c r="F3101" s="314"/>
      <c r="H3101" s="315"/>
      <c r="I3101" s="315"/>
      <c r="BA3101" s="30"/>
      <c r="BB3101" s="155"/>
      <c r="BC3101" s="314"/>
      <c r="BD3101" s="314"/>
      <c r="BE3101" s="314"/>
      <c r="BF3101" s="314"/>
      <c r="BG3101" s="314"/>
      <c r="BH3101" s="314"/>
      <c r="BI3101" s="314"/>
      <c r="BJ3101" s="314"/>
      <c r="BK3101" s="40"/>
      <c r="BL3101" s="40"/>
      <c r="BM3101" s="40"/>
      <c r="BN3101" s="40"/>
      <c r="BO3101" s="40"/>
      <c r="BP3101" s="155"/>
      <c r="BQ3101" s="314"/>
      <c r="BR3101" s="314"/>
      <c r="BS3101" s="314"/>
      <c r="BT3101" s="314"/>
      <c r="BU3101" s="314"/>
      <c r="BV3101" s="314"/>
      <c r="BW3101" s="314"/>
      <c r="BX3101" s="155"/>
    </row>
    <row r="3102" spans="1:76" ht="15.75" customHeight="1">
      <c r="A3102" s="25"/>
      <c r="B3102" s="39"/>
      <c r="C3102" s="155"/>
      <c r="D3102" s="155"/>
      <c r="E3102" s="40"/>
      <c r="F3102" s="314"/>
      <c r="H3102" s="315"/>
      <c r="I3102" s="315"/>
      <c r="BA3102" s="30"/>
      <c r="BB3102" s="155"/>
      <c r="BC3102" s="314"/>
      <c r="BD3102" s="314"/>
      <c r="BE3102" s="314"/>
      <c r="BF3102" s="314"/>
      <c r="BG3102" s="314"/>
      <c r="BH3102" s="314"/>
      <c r="BI3102" s="314"/>
      <c r="BJ3102" s="314"/>
      <c r="BK3102" s="40"/>
      <c r="BL3102" s="40"/>
      <c r="BM3102" s="40"/>
      <c r="BN3102" s="40"/>
      <c r="BO3102" s="40"/>
      <c r="BP3102" s="155"/>
      <c r="BQ3102" s="314"/>
      <c r="BR3102" s="314"/>
      <c r="BS3102" s="314"/>
      <c r="BT3102" s="314"/>
      <c r="BU3102" s="314"/>
      <c r="BV3102" s="314"/>
      <c r="BW3102" s="314"/>
      <c r="BX3102" s="155"/>
    </row>
    <row r="3103" spans="1:76" ht="15.75" customHeight="1">
      <c r="A3103" s="25"/>
      <c r="B3103" s="39"/>
      <c r="C3103" s="155"/>
      <c r="D3103" s="155"/>
      <c r="E3103" s="40"/>
      <c r="F3103" s="314"/>
      <c r="H3103" s="315"/>
      <c r="I3103" s="315"/>
      <c r="BA3103" s="30"/>
      <c r="BB3103" s="155"/>
      <c r="BC3103" s="314"/>
      <c r="BD3103" s="314"/>
      <c r="BE3103" s="314"/>
      <c r="BF3103" s="314"/>
      <c r="BG3103" s="314"/>
      <c r="BH3103" s="314"/>
      <c r="BI3103" s="314"/>
      <c r="BJ3103" s="314"/>
      <c r="BK3103" s="40"/>
      <c r="BL3103" s="40"/>
      <c r="BM3103" s="40"/>
      <c r="BN3103" s="40"/>
      <c r="BO3103" s="40"/>
      <c r="BP3103" s="155"/>
      <c r="BQ3103" s="314"/>
      <c r="BR3103" s="314"/>
      <c r="BS3103" s="314"/>
      <c r="BT3103" s="314"/>
      <c r="BU3103" s="314"/>
      <c r="BV3103" s="314"/>
      <c r="BW3103" s="314"/>
      <c r="BX3103" s="155"/>
    </row>
    <row r="3104" spans="1:76" ht="15.75" customHeight="1">
      <c r="A3104" s="25"/>
      <c r="B3104" s="39"/>
      <c r="C3104" s="155"/>
      <c r="D3104" s="155"/>
      <c r="E3104" s="40"/>
      <c r="F3104" s="314"/>
      <c r="H3104" s="315"/>
      <c r="I3104" s="315"/>
      <c r="BA3104" s="30"/>
      <c r="BB3104" s="155"/>
      <c r="BC3104" s="314"/>
      <c r="BD3104" s="314"/>
      <c r="BE3104" s="314"/>
      <c r="BF3104" s="314"/>
      <c r="BG3104" s="314"/>
      <c r="BH3104" s="314"/>
      <c r="BI3104" s="314"/>
      <c r="BJ3104" s="314"/>
      <c r="BK3104" s="40"/>
      <c r="BL3104" s="40"/>
      <c r="BM3104" s="40"/>
      <c r="BN3104" s="40"/>
      <c r="BO3104" s="40"/>
      <c r="BP3104" s="155"/>
      <c r="BQ3104" s="314"/>
      <c r="BR3104" s="314"/>
      <c r="BS3104" s="314"/>
      <c r="BT3104" s="314"/>
      <c r="BU3104" s="314"/>
      <c r="BV3104" s="314"/>
      <c r="BW3104" s="314"/>
      <c r="BX3104" s="155"/>
    </row>
    <row r="3105" spans="1:76" ht="15.75" customHeight="1">
      <c r="A3105" s="25"/>
      <c r="B3105" s="39"/>
      <c r="C3105" s="155"/>
      <c r="D3105" s="155"/>
      <c r="E3105" s="40"/>
      <c r="F3105" s="314"/>
      <c r="H3105" s="315"/>
      <c r="I3105" s="315"/>
      <c r="BA3105" s="30"/>
      <c r="BB3105" s="155"/>
      <c r="BC3105" s="314"/>
      <c r="BD3105" s="314"/>
      <c r="BE3105" s="314"/>
      <c r="BF3105" s="314"/>
      <c r="BG3105" s="314"/>
      <c r="BH3105" s="314"/>
      <c r="BI3105" s="314"/>
      <c r="BJ3105" s="314"/>
      <c r="BK3105" s="40"/>
      <c r="BL3105" s="40"/>
      <c r="BM3105" s="40"/>
      <c r="BN3105" s="40"/>
      <c r="BO3105" s="40"/>
      <c r="BP3105" s="155"/>
      <c r="BQ3105" s="314"/>
      <c r="BR3105" s="314"/>
      <c r="BS3105" s="314"/>
      <c r="BT3105" s="314"/>
      <c r="BU3105" s="314"/>
      <c r="BV3105" s="314"/>
      <c r="BW3105" s="314"/>
      <c r="BX3105" s="155"/>
    </row>
    <row r="3106" spans="1:76" ht="15.75" customHeight="1">
      <c r="A3106" s="25"/>
      <c r="B3106" s="39"/>
      <c r="C3106" s="155"/>
      <c r="D3106" s="155"/>
      <c r="E3106" s="40"/>
      <c r="F3106" s="314"/>
      <c r="H3106" s="315"/>
      <c r="I3106" s="315"/>
      <c r="BA3106" s="30"/>
      <c r="BB3106" s="155"/>
      <c r="BC3106" s="314"/>
      <c r="BD3106" s="314"/>
      <c r="BE3106" s="314"/>
      <c r="BF3106" s="314"/>
      <c r="BG3106" s="314"/>
      <c r="BH3106" s="314"/>
      <c r="BI3106" s="314"/>
      <c r="BJ3106" s="314"/>
      <c r="BK3106" s="40"/>
      <c r="BL3106" s="40"/>
      <c r="BM3106" s="40"/>
      <c r="BN3106" s="40"/>
      <c r="BO3106" s="40"/>
      <c r="BP3106" s="155"/>
      <c r="BQ3106" s="314"/>
      <c r="BR3106" s="314"/>
      <c r="BS3106" s="314"/>
      <c r="BT3106" s="314"/>
      <c r="BU3106" s="314"/>
      <c r="BV3106" s="314"/>
      <c r="BW3106" s="314"/>
      <c r="BX3106" s="155"/>
    </row>
    <row r="3107" spans="1:76" ht="15.75" customHeight="1">
      <c r="A3107" s="25"/>
      <c r="B3107" s="39"/>
      <c r="C3107" s="155"/>
      <c r="D3107" s="155"/>
      <c r="E3107" s="40"/>
      <c r="F3107" s="314"/>
      <c r="H3107" s="315"/>
      <c r="I3107" s="315"/>
      <c r="BA3107" s="30"/>
      <c r="BB3107" s="155"/>
      <c r="BC3107" s="314"/>
      <c r="BD3107" s="314"/>
      <c r="BE3107" s="314"/>
      <c r="BF3107" s="314"/>
      <c r="BG3107" s="314"/>
      <c r="BH3107" s="314"/>
      <c r="BI3107" s="314"/>
      <c r="BJ3107" s="314"/>
      <c r="BK3107" s="40"/>
      <c r="BL3107" s="40"/>
      <c r="BM3107" s="40"/>
      <c r="BN3107" s="40"/>
      <c r="BO3107" s="40"/>
      <c r="BP3107" s="155"/>
      <c r="BQ3107" s="314"/>
      <c r="BR3107" s="314"/>
      <c r="BS3107" s="314"/>
      <c r="BT3107" s="314"/>
      <c r="BU3107" s="314"/>
      <c r="BV3107" s="314"/>
      <c r="BW3107" s="314"/>
      <c r="BX3107" s="155"/>
    </row>
    <row r="3108" spans="1:76" ht="15.75" customHeight="1">
      <c r="A3108" s="25"/>
      <c r="B3108" s="39"/>
      <c r="C3108" s="155"/>
      <c r="D3108" s="155"/>
      <c r="E3108" s="40"/>
      <c r="F3108" s="314"/>
      <c r="H3108" s="315"/>
      <c r="I3108" s="315"/>
      <c r="BA3108" s="30"/>
      <c r="BB3108" s="155"/>
      <c r="BC3108" s="314"/>
      <c r="BD3108" s="314"/>
      <c r="BE3108" s="314"/>
      <c r="BF3108" s="314"/>
      <c r="BG3108" s="314"/>
      <c r="BH3108" s="314"/>
      <c r="BI3108" s="314"/>
      <c r="BJ3108" s="314"/>
      <c r="BK3108" s="40"/>
      <c r="BL3108" s="40"/>
      <c r="BM3108" s="40"/>
      <c r="BN3108" s="40"/>
      <c r="BO3108" s="40"/>
      <c r="BP3108" s="155"/>
      <c r="BQ3108" s="314"/>
      <c r="BR3108" s="314"/>
      <c r="BS3108" s="314"/>
      <c r="BT3108" s="314"/>
      <c r="BU3108" s="314"/>
      <c r="BV3108" s="314"/>
      <c r="BW3108" s="314"/>
      <c r="BX3108" s="155"/>
    </row>
    <row r="3109" spans="1:76" ht="15.75" customHeight="1">
      <c r="A3109" s="25"/>
      <c r="B3109" s="39"/>
      <c r="C3109" s="155"/>
      <c r="D3109" s="155"/>
      <c r="E3109" s="40"/>
      <c r="F3109" s="314"/>
      <c r="H3109" s="315"/>
      <c r="I3109" s="315"/>
      <c r="BA3109" s="30"/>
      <c r="BB3109" s="155"/>
      <c r="BC3109" s="314"/>
      <c r="BD3109" s="314"/>
      <c r="BE3109" s="314"/>
      <c r="BF3109" s="314"/>
      <c r="BG3109" s="314"/>
      <c r="BH3109" s="314"/>
      <c r="BI3109" s="314"/>
      <c r="BJ3109" s="314"/>
      <c r="BK3109" s="40"/>
      <c r="BL3109" s="40"/>
      <c r="BM3109" s="40"/>
      <c r="BN3109" s="40"/>
      <c r="BO3109" s="40"/>
      <c r="BP3109" s="155"/>
      <c r="BQ3109" s="314"/>
      <c r="BR3109" s="314"/>
      <c r="BS3109" s="314"/>
      <c r="BT3109" s="314"/>
      <c r="BU3109" s="314"/>
      <c r="BV3109" s="314"/>
      <c r="BW3109" s="314"/>
      <c r="BX3109" s="155"/>
    </row>
    <row r="3110" spans="1:76" ht="15.75" customHeight="1">
      <c r="A3110" s="25"/>
      <c r="B3110" s="39"/>
      <c r="C3110" s="155"/>
      <c r="D3110" s="155"/>
      <c r="E3110" s="40"/>
      <c r="F3110" s="314"/>
      <c r="H3110" s="315"/>
      <c r="I3110" s="315"/>
      <c r="BA3110" s="30"/>
      <c r="BB3110" s="155"/>
      <c r="BC3110" s="314"/>
      <c r="BD3110" s="314"/>
      <c r="BE3110" s="314"/>
      <c r="BF3110" s="314"/>
      <c r="BG3110" s="314"/>
      <c r="BH3110" s="314"/>
      <c r="BI3110" s="314"/>
      <c r="BJ3110" s="314"/>
      <c r="BK3110" s="40"/>
      <c r="BL3110" s="40"/>
      <c r="BM3110" s="40"/>
      <c r="BN3110" s="40"/>
      <c r="BO3110" s="40"/>
      <c r="BP3110" s="155"/>
      <c r="BQ3110" s="314"/>
      <c r="BR3110" s="314"/>
      <c r="BS3110" s="314"/>
      <c r="BT3110" s="314"/>
      <c r="BU3110" s="314"/>
      <c r="BV3110" s="314"/>
      <c r="BW3110" s="314"/>
      <c r="BX3110" s="155"/>
    </row>
    <row r="3111" spans="1:76" ht="15.75" customHeight="1">
      <c r="A3111" s="25"/>
      <c r="B3111" s="39"/>
      <c r="C3111" s="155"/>
      <c r="D3111" s="155"/>
      <c r="E3111" s="40"/>
      <c r="F3111" s="314"/>
      <c r="H3111" s="315"/>
      <c r="I3111" s="315"/>
      <c r="BA3111" s="30"/>
      <c r="BB3111" s="155"/>
      <c r="BC3111" s="314"/>
      <c r="BD3111" s="314"/>
      <c r="BE3111" s="314"/>
      <c r="BF3111" s="314"/>
      <c r="BG3111" s="314"/>
      <c r="BH3111" s="314"/>
      <c r="BI3111" s="314"/>
      <c r="BJ3111" s="314"/>
      <c r="BK3111" s="40"/>
      <c r="BL3111" s="40"/>
      <c r="BM3111" s="40"/>
      <c r="BN3111" s="40"/>
      <c r="BO3111" s="40"/>
      <c r="BP3111" s="155"/>
      <c r="BQ3111" s="314"/>
      <c r="BR3111" s="314"/>
      <c r="BS3111" s="314"/>
      <c r="BT3111" s="314"/>
      <c r="BU3111" s="314"/>
      <c r="BV3111" s="314"/>
      <c r="BW3111" s="314"/>
      <c r="BX3111" s="155"/>
    </row>
    <row r="3112" spans="1:76" ht="15.75" customHeight="1">
      <c r="A3112" s="25"/>
      <c r="B3112" s="39"/>
      <c r="C3112" s="155"/>
      <c r="D3112" s="155"/>
      <c r="E3112" s="40"/>
      <c r="F3112" s="314"/>
      <c r="H3112" s="315"/>
      <c r="I3112" s="315"/>
      <c r="BA3112" s="30"/>
      <c r="BB3112" s="155"/>
      <c r="BC3112" s="314"/>
      <c r="BD3112" s="314"/>
      <c r="BE3112" s="314"/>
      <c r="BF3112" s="314"/>
      <c r="BG3112" s="314"/>
      <c r="BH3112" s="314"/>
      <c r="BI3112" s="314"/>
      <c r="BJ3112" s="314"/>
      <c r="BK3112" s="40"/>
      <c r="BL3112" s="40"/>
      <c r="BM3112" s="40"/>
      <c r="BN3112" s="40"/>
      <c r="BO3112" s="40"/>
      <c r="BP3112" s="155"/>
      <c r="BQ3112" s="314"/>
      <c r="BR3112" s="314"/>
      <c r="BS3112" s="314"/>
      <c r="BT3112" s="314"/>
      <c r="BU3112" s="314"/>
      <c r="BV3112" s="314"/>
      <c r="BW3112" s="314"/>
      <c r="BX3112" s="155"/>
    </row>
    <row r="3113" spans="1:76" ht="15.75" customHeight="1">
      <c r="A3113" s="25"/>
      <c r="B3113" s="39"/>
      <c r="C3113" s="155"/>
      <c r="D3113" s="155"/>
      <c r="E3113" s="40"/>
      <c r="F3113" s="314"/>
      <c r="H3113" s="315"/>
      <c r="I3113" s="315"/>
      <c r="BA3113" s="30"/>
      <c r="BB3113" s="155"/>
      <c r="BC3113" s="314"/>
      <c r="BD3113" s="314"/>
      <c r="BE3113" s="314"/>
      <c r="BF3113" s="314"/>
      <c r="BG3113" s="314"/>
      <c r="BH3113" s="314"/>
      <c r="BI3113" s="314"/>
      <c r="BJ3113" s="314"/>
      <c r="BK3113" s="40"/>
      <c r="BL3113" s="40"/>
      <c r="BM3113" s="40"/>
      <c r="BN3113" s="40"/>
      <c r="BO3113" s="40"/>
      <c r="BP3113" s="155"/>
      <c r="BQ3113" s="314"/>
      <c r="BR3113" s="314"/>
      <c r="BS3113" s="314"/>
      <c r="BT3113" s="314"/>
      <c r="BU3113" s="314"/>
      <c r="BV3113" s="314"/>
      <c r="BW3113" s="314"/>
      <c r="BX3113" s="155"/>
    </row>
    <row r="3114" spans="1:76" ht="15.75" customHeight="1">
      <c r="A3114" s="25"/>
      <c r="B3114" s="39"/>
      <c r="C3114" s="155"/>
      <c r="D3114" s="155"/>
      <c r="E3114" s="40"/>
      <c r="F3114" s="314"/>
      <c r="H3114" s="315"/>
      <c r="I3114" s="315"/>
      <c r="BA3114" s="30"/>
      <c r="BB3114" s="155"/>
      <c r="BC3114" s="314"/>
      <c r="BD3114" s="314"/>
      <c r="BE3114" s="314"/>
      <c r="BF3114" s="314"/>
      <c r="BG3114" s="314"/>
      <c r="BH3114" s="314"/>
      <c r="BI3114" s="314"/>
      <c r="BJ3114" s="314"/>
      <c r="BK3114" s="40"/>
      <c r="BL3114" s="40"/>
      <c r="BM3114" s="40"/>
      <c r="BN3114" s="40"/>
      <c r="BO3114" s="40"/>
      <c r="BP3114" s="155"/>
      <c r="BQ3114" s="314"/>
      <c r="BR3114" s="314"/>
      <c r="BS3114" s="314"/>
      <c r="BT3114" s="314"/>
      <c r="BU3114" s="314"/>
      <c r="BV3114" s="314"/>
      <c r="BW3114" s="314"/>
      <c r="BX3114" s="155"/>
    </row>
    <row r="3115" spans="1:76" ht="15.75" customHeight="1">
      <c r="A3115" s="25"/>
      <c r="B3115" s="39"/>
      <c r="C3115" s="155"/>
      <c r="D3115" s="155"/>
      <c r="E3115" s="40"/>
      <c r="F3115" s="314"/>
      <c r="H3115" s="315"/>
      <c r="I3115" s="315"/>
      <c r="BA3115" s="30"/>
      <c r="BB3115" s="155"/>
      <c r="BC3115" s="314"/>
      <c r="BD3115" s="314"/>
      <c r="BE3115" s="314"/>
      <c r="BF3115" s="314"/>
      <c r="BG3115" s="314"/>
      <c r="BH3115" s="314"/>
      <c r="BI3115" s="314"/>
      <c r="BJ3115" s="314"/>
      <c r="BK3115" s="40"/>
      <c r="BL3115" s="40"/>
      <c r="BM3115" s="40"/>
      <c r="BN3115" s="40"/>
      <c r="BO3115" s="40"/>
      <c r="BP3115" s="155"/>
      <c r="BQ3115" s="314"/>
      <c r="BR3115" s="314"/>
      <c r="BS3115" s="314"/>
      <c r="BT3115" s="314"/>
      <c r="BU3115" s="314"/>
      <c r="BV3115" s="314"/>
      <c r="BW3115" s="314"/>
      <c r="BX3115" s="155"/>
    </row>
    <row r="3116" spans="1:76" ht="15.75" customHeight="1">
      <c r="A3116" s="25"/>
      <c r="B3116" s="39"/>
      <c r="C3116" s="155"/>
      <c r="D3116" s="155"/>
      <c r="E3116" s="40"/>
      <c r="F3116" s="314"/>
      <c r="H3116" s="315"/>
      <c r="I3116" s="315"/>
      <c r="BA3116" s="30"/>
      <c r="BB3116" s="155"/>
      <c r="BC3116" s="314"/>
      <c r="BD3116" s="314"/>
      <c r="BE3116" s="314"/>
      <c r="BF3116" s="314"/>
      <c r="BG3116" s="314"/>
      <c r="BH3116" s="314"/>
      <c r="BI3116" s="314"/>
      <c r="BJ3116" s="314"/>
      <c r="BK3116" s="40"/>
      <c r="BL3116" s="40"/>
      <c r="BM3116" s="40"/>
      <c r="BN3116" s="40"/>
      <c r="BO3116" s="40"/>
      <c r="BP3116" s="155"/>
      <c r="BQ3116" s="314"/>
      <c r="BR3116" s="314"/>
      <c r="BS3116" s="314"/>
      <c r="BT3116" s="314"/>
      <c r="BU3116" s="314"/>
      <c r="BV3116" s="314"/>
      <c r="BW3116" s="314"/>
      <c r="BX3116" s="155"/>
    </row>
    <row r="3117" spans="1:76" ht="15.75" customHeight="1">
      <c r="A3117" s="25"/>
      <c r="B3117" s="39"/>
      <c r="C3117" s="155"/>
      <c r="D3117" s="155"/>
      <c r="E3117" s="40"/>
      <c r="F3117" s="314"/>
      <c r="H3117" s="315"/>
      <c r="I3117" s="315"/>
      <c r="BA3117" s="30"/>
      <c r="BB3117" s="155"/>
      <c r="BC3117" s="314"/>
      <c r="BD3117" s="314"/>
      <c r="BE3117" s="314"/>
      <c r="BF3117" s="314"/>
      <c r="BG3117" s="314"/>
      <c r="BH3117" s="314"/>
      <c r="BI3117" s="314"/>
      <c r="BJ3117" s="314"/>
      <c r="BK3117" s="40"/>
      <c r="BL3117" s="40"/>
      <c r="BM3117" s="40"/>
      <c r="BN3117" s="40"/>
      <c r="BO3117" s="40"/>
      <c r="BP3117" s="155"/>
      <c r="BQ3117" s="314"/>
      <c r="BR3117" s="314"/>
      <c r="BS3117" s="314"/>
      <c r="BT3117" s="314"/>
      <c r="BU3117" s="314"/>
      <c r="BV3117" s="314"/>
      <c r="BW3117" s="314"/>
      <c r="BX3117" s="155"/>
    </row>
    <row r="3118" spans="1:76" ht="15.75" customHeight="1">
      <c r="A3118" s="25"/>
      <c r="B3118" s="39"/>
      <c r="C3118" s="155"/>
      <c r="D3118" s="155"/>
      <c r="E3118" s="40"/>
      <c r="F3118" s="314"/>
      <c r="H3118" s="315"/>
      <c r="I3118" s="315"/>
      <c r="BA3118" s="30"/>
      <c r="BB3118" s="155"/>
      <c r="BC3118" s="314"/>
      <c r="BD3118" s="314"/>
      <c r="BE3118" s="314"/>
      <c r="BF3118" s="314"/>
      <c r="BG3118" s="314"/>
      <c r="BH3118" s="314"/>
      <c r="BI3118" s="314"/>
      <c r="BJ3118" s="314"/>
      <c r="BK3118" s="40"/>
      <c r="BL3118" s="40"/>
      <c r="BM3118" s="40"/>
      <c r="BN3118" s="40"/>
      <c r="BO3118" s="40"/>
      <c r="BP3118" s="155"/>
      <c r="BQ3118" s="314"/>
      <c r="BR3118" s="314"/>
      <c r="BS3118" s="314"/>
      <c r="BT3118" s="314"/>
      <c r="BU3118" s="314"/>
      <c r="BV3118" s="314"/>
      <c r="BW3118" s="314"/>
      <c r="BX3118" s="155"/>
    </row>
    <row r="3119" spans="1:76" ht="15.75" customHeight="1">
      <c r="A3119" s="25"/>
      <c r="B3119" s="39"/>
      <c r="C3119" s="155"/>
      <c r="D3119" s="155"/>
      <c r="E3119" s="40"/>
      <c r="F3119" s="314"/>
      <c r="H3119" s="315"/>
      <c r="I3119" s="315"/>
      <c r="BA3119" s="30"/>
      <c r="BB3119" s="155"/>
      <c r="BC3119" s="314"/>
      <c r="BD3119" s="314"/>
      <c r="BE3119" s="314"/>
      <c r="BF3119" s="314"/>
      <c r="BG3119" s="314"/>
      <c r="BH3119" s="314"/>
      <c r="BI3119" s="314"/>
      <c r="BJ3119" s="314"/>
      <c r="BK3119" s="40"/>
      <c r="BL3119" s="40"/>
      <c r="BM3119" s="40"/>
      <c r="BN3119" s="40"/>
      <c r="BO3119" s="40"/>
      <c r="BP3119" s="155"/>
      <c r="BQ3119" s="314"/>
      <c r="BR3119" s="314"/>
      <c r="BS3119" s="314"/>
      <c r="BT3119" s="314"/>
      <c r="BU3119" s="314"/>
      <c r="BV3119" s="314"/>
      <c r="BW3119" s="314"/>
      <c r="BX3119" s="155"/>
    </row>
    <row r="3120" spans="1:76" ht="15.75" customHeight="1">
      <c r="A3120" s="25"/>
      <c r="B3120" s="39"/>
      <c r="C3120" s="155"/>
      <c r="D3120" s="155"/>
      <c r="E3120" s="40"/>
      <c r="F3120" s="314"/>
      <c r="H3120" s="315"/>
      <c r="I3120" s="315"/>
      <c r="BA3120" s="30"/>
      <c r="BB3120" s="155"/>
      <c r="BC3120" s="314"/>
      <c r="BD3120" s="314"/>
      <c r="BE3120" s="314"/>
      <c r="BF3120" s="314"/>
      <c r="BG3120" s="314"/>
      <c r="BH3120" s="314"/>
      <c r="BI3120" s="314"/>
      <c r="BJ3120" s="314"/>
      <c r="BK3120" s="40"/>
      <c r="BL3120" s="40"/>
      <c r="BM3120" s="40"/>
      <c r="BN3120" s="40"/>
      <c r="BO3120" s="40"/>
      <c r="BP3120" s="155"/>
      <c r="BQ3120" s="314"/>
      <c r="BR3120" s="314"/>
      <c r="BS3120" s="314"/>
      <c r="BT3120" s="314"/>
      <c r="BU3120" s="314"/>
      <c r="BV3120" s="314"/>
      <c r="BW3120" s="314"/>
      <c r="BX3120" s="155"/>
    </row>
    <row r="3121" spans="1:76" ht="15.75" customHeight="1">
      <c r="A3121" s="25"/>
      <c r="B3121" s="39"/>
      <c r="C3121" s="155"/>
      <c r="D3121" s="155"/>
      <c r="E3121" s="40"/>
      <c r="F3121" s="314"/>
      <c r="H3121" s="315"/>
      <c r="I3121" s="315"/>
      <c r="BA3121" s="30"/>
      <c r="BB3121" s="155"/>
      <c r="BC3121" s="314"/>
      <c r="BD3121" s="314"/>
      <c r="BE3121" s="314"/>
      <c r="BF3121" s="314"/>
      <c r="BG3121" s="314"/>
      <c r="BH3121" s="314"/>
      <c r="BI3121" s="314"/>
      <c r="BJ3121" s="314"/>
      <c r="BK3121" s="40"/>
      <c r="BL3121" s="40"/>
      <c r="BM3121" s="40"/>
      <c r="BN3121" s="40"/>
      <c r="BO3121" s="40"/>
      <c r="BP3121" s="155"/>
      <c r="BQ3121" s="314"/>
      <c r="BR3121" s="314"/>
      <c r="BS3121" s="314"/>
      <c r="BT3121" s="314"/>
      <c r="BU3121" s="314"/>
      <c r="BV3121" s="314"/>
      <c r="BW3121" s="314"/>
      <c r="BX3121" s="155"/>
    </row>
    <row r="3122" spans="1:76" ht="15.75" customHeight="1">
      <c r="A3122" s="25"/>
      <c r="B3122" s="39"/>
      <c r="C3122" s="155"/>
      <c r="D3122" s="155"/>
      <c r="E3122" s="40"/>
      <c r="F3122" s="314"/>
      <c r="H3122" s="315"/>
      <c r="I3122" s="315"/>
      <c r="BA3122" s="30"/>
      <c r="BB3122" s="155"/>
      <c r="BC3122" s="314"/>
      <c r="BD3122" s="314"/>
      <c r="BE3122" s="314"/>
      <c r="BF3122" s="314"/>
      <c r="BG3122" s="314"/>
      <c r="BH3122" s="314"/>
      <c r="BI3122" s="314"/>
      <c r="BJ3122" s="314"/>
      <c r="BK3122" s="40"/>
      <c r="BL3122" s="40"/>
      <c r="BM3122" s="40"/>
      <c r="BN3122" s="40"/>
      <c r="BO3122" s="40"/>
      <c r="BP3122" s="155"/>
      <c r="BQ3122" s="314"/>
      <c r="BR3122" s="314"/>
      <c r="BS3122" s="314"/>
      <c r="BT3122" s="314"/>
      <c r="BU3122" s="314"/>
      <c r="BV3122" s="314"/>
      <c r="BW3122" s="314"/>
      <c r="BX3122" s="155"/>
    </row>
    <row r="3123" spans="1:76" ht="15.75" customHeight="1">
      <c r="A3123" s="25"/>
      <c r="B3123" s="39"/>
      <c r="C3123" s="155"/>
      <c r="D3123" s="155"/>
      <c r="E3123" s="40"/>
      <c r="F3123" s="314"/>
      <c r="H3123" s="315"/>
      <c r="I3123" s="315"/>
      <c r="BA3123" s="30"/>
      <c r="BB3123" s="155"/>
      <c r="BC3123" s="314"/>
      <c r="BD3123" s="314"/>
      <c r="BE3123" s="314"/>
      <c r="BF3123" s="314"/>
      <c r="BG3123" s="314"/>
      <c r="BH3123" s="314"/>
      <c r="BI3123" s="314"/>
      <c r="BJ3123" s="314"/>
      <c r="BK3123" s="40"/>
      <c r="BL3123" s="40"/>
      <c r="BM3123" s="40"/>
      <c r="BN3123" s="40"/>
      <c r="BO3123" s="40"/>
      <c r="BP3123" s="155"/>
      <c r="BQ3123" s="314"/>
      <c r="BR3123" s="314"/>
      <c r="BS3123" s="314"/>
      <c r="BT3123" s="314"/>
      <c r="BU3123" s="314"/>
      <c r="BV3123" s="314"/>
      <c r="BW3123" s="314"/>
      <c r="BX3123" s="155"/>
    </row>
    <row r="3124" spans="1:76" ht="15.75" customHeight="1">
      <c r="A3124" s="25"/>
      <c r="B3124" s="39"/>
      <c r="C3124" s="155"/>
      <c r="D3124" s="155"/>
      <c r="E3124" s="40"/>
      <c r="F3124" s="314"/>
      <c r="H3124" s="315"/>
      <c r="I3124" s="315"/>
      <c r="BA3124" s="30"/>
      <c r="BB3124" s="155"/>
      <c r="BC3124" s="314"/>
      <c r="BD3124" s="314"/>
      <c r="BE3124" s="314"/>
      <c r="BF3124" s="314"/>
      <c r="BG3124" s="314"/>
      <c r="BH3124" s="314"/>
      <c r="BI3124" s="314"/>
      <c r="BJ3124" s="314"/>
      <c r="BK3124" s="40"/>
      <c r="BL3124" s="40"/>
      <c r="BM3124" s="40"/>
      <c r="BN3124" s="40"/>
      <c r="BO3124" s="40"/>
      <c r="BP3124" s="155"/>
      <c r="BQ3124" s="314"/>
      <c r="BR3124" s="314"/>
      <c r="BS3124" s="314"/>
      <c r="BT3124" s="314"/>
      <c r="BU3124" s="314"/>
      <c r="BV3124" s="314"/>
      <c r="BW3124" s="314"/>
      <c r="BX3124" s="155"/>
    </row>
    <row r="3125" spans="1:76" ht="15.75" customHeight="1">
      <c r="A3125" s="25"/>
      <c r="B3125" s="39"/>
      <c r="C3125" s="155"/>
      <c r="D3125" s="155"/>
      <c r="E3125" s="40"/>
      <c r="F3125" s="314"/>
      <c r="H3125" s="315"/>
      <c r="I3125" s="315"/>
      <c r="BA3125" s="30"/>
      <c r="BB3125" s="155"/>
      <c r="BC3125" s="314"/>
      <c r="BD3125" s="314"/>
      <c r="BE3125" s="314"/>
      <c r="BF3125" s="314"/>
      <c r="BG3125" s="314"/>
      <c r="BH3125" s="314"/>
      <c r="BI3125" s="314"/>
      <c r="BJ3125" s="314"/>
      <c r="BK3125" s="40"/>
      <c r="BL3125" s="40"/>
      <c r="BM3125" s="40"/>
      <c r="BN3125" s="40"/>
      <c r="BO3125" s="40"/>
      <c r="BP3125" s="155"/>
      <c r="BQ3125" s="314"/>
      <c r="BR3125" s="314"/>
      <c r="BS3125" s="314"/>
      <c r="BT3125" s="314"/>
      <c r="BU3125" s="314"/>
      <c r="BV3125" s="314"/>
      <c r="BW3125" s="314"/>
      <c r="BX3125" s="155"/>
    </row>
    <row r="3126" spans="1:76" ht="15.75" customHeight="1">
      <c r="A3126" s="25"/>
      <c r="B3126" s="39"/>
      <c r="C3126" s="155"/>
      <c r="D3126" s="155"/>
      <c r="E3126" s="40"/>
      <c r="F3126" s="314"/>
      <c r="H3126" s="315"/>
      <c r="I3126" s="315"/>
      <c r="BA3126" s="30"/>
      <c r="BB3126" s="155"/>
      <c r="BC3126" s="314"/>
      <c r="BD3126" s="314"/>
      <c r="BE3126" s="314"/>
      <c r="BF3126" s="314"/>
      <c r="BG3126" s="314"/>
      <c r="BH3126" s="314"/>
      <c r="BI3126" s="314"/>
      <c r="BJ3126" s="314"/>
      <c r="BK3126" s="40"/>
      <c r="BL3126" s="40"/>
      <c r="BM3126" s="40"/>
      <c r="BN3126" s="40"/>
      <c r="BO3126" s="40"/>
      <c r="BP3126" s="155"/>
      <c r="BQ3126" s="314"/>
      <c r="BR3126" s="314"/>
      <c r="BS3126" s="314"/>
      <c r="BT3126" s="314"/>
      <c r="BU3126" s="314"/>
      <c r="BV3126" s="314"/>
      <c r="BW3126" s="314"/>
      <c r="BX3126" s="155"/>
    </row>
    <row r="3127" spans="1:76" ht="15.75" customHeight="1">
      <c r="A3127" s="25"/>
      <c r="B3127" s="39"/>
      <c r="C3127" s="155"/>
      <c r="D3127" s="155"/>
      <c r="E3127" s="40"/>
      <c r="F3127" s="314"/>
      <c r="H3127" s="315"/>
      <c r="I3127" s="315"/>
      <c r="BA3127" s="30"/>
      <c r="BB3127" s="155"/>
      <c r="BC3127" s="314"/>
      <c r="BD3127" s="314"/>
      <c r="BE3127" s="314"/>
      <c r="BF3127" s="314"/>
      <c r="BG3127" s="314"/>
      <c r="BH3127" s="314"/>
      <c r="BI3127" s="314"/>
      <c r="BJ3127" s="314"/>
      <c r="BK3127" s="40"/>
      <c r="BL3127" s="40"/>
      <c r="BM3127" s="40"/>
      <c r="BN3127" s="40"/>
      <c r="BO3127" s="40"/>
      <c r="BP3127" s="155"/>
      <c r="BQ3127" s="314"/>
      <c r="BR3127" s="314"/>
      <c r="BS3127" s="314"/>
      <c r="BT3127" s="314"/>
      <c r="BU3127" s="314"/>
      <c r="BV3127" s="314"/>
      <c r="BW3127" s="314"/>
      <c r="BX3127" s="155"/>
    </row>
    <row r="3128" spans="1:76" ht="15.75" customHeight="1">
      <c r="A3128" s="25"/>
      <c r="B3128" s="39"/>
      <c r="C3128" s="155"/>
      <c r="D3128" s="155"/>
      <c r="E3128" s="40"/>
      <c r="F3128" s="314"/>
      <c r="H3128" s="315"/>
      <c r="I3128" s="315"/>
      <c r="BA3128" s="30"/>
      <c r="BB3128" s="155"/>
      <c r="BC3128" s="314"/>
      <c r="BD3128" s="314"/>
      <c r="BE3128" s="314"/>
      <c r="BF3128" s="314"/>
      <c r="BG3128" s="314"/>
      <c r="BH3128" s="314"/>
      <c r="BI3128" s="314"/>
      <c r="BJ3128" s="314"/>
      <c r="BK3128" s="40"/>
      <c r="BL3128" s="40"/>
      <c r="BM3128" s="40"/>
      <c r="BN3128" s="40"/>
      <c r="BO3128" s="40"/>
      <c r="BP3128" s="155"/>
      <c r="BQ3128" s="314"/>
      <c r="BR3128" s="314"/>
      <c r="BS3128" s="314"/>
      <c r="BT3128" s="314"/>
      <c r="BU3128" s="314"/>
      <c r="BV3128" s="314"/>
      <c r="BW3128" s="314"/>
      <c r="BX3128" s="155"/>
    </row>
    <row r="3129" spans="1:76" ht="15.75" customHeight="1">
      <c r="A3129" s="25"/>
      <c r="B3129" s="39"/>
      <c r="C3129" s="155"/>
      <c r="D3129" s="155"/>
      <c r="E3129" s="40"/>
      <c r="F3129" s="314"/>
      <c r="H3129" s="315"/>
      <c r="I3129" s="315"/>
      <c r="BA3129" s="30"/>
      <c r="BB3129" s="155"/>
      <c r="BC3129" s="314"/>
      <c r="BD3129" s="314"/>
      <c r="BE3129" s="314"/>
      <c r="BF3129" s="314"/>
      <c r="BG3129" s="314"/>
      <c r="BH3129" s="314"/>
      <c r="BI3129" s="314"/>
      <c r="BJ3129" s="314"/>
      <c r="BK3129" s="40"/>
      <c r="BL3129" s="40"/>
      <c r="BM3129" s="40"/>
      <c r="BN3129" s="40"/>
      <c r="BO3129" s="40"/>
      <c r="BP3129" s="155"/>
      <c r="BQ3129" s="314"/>
      <c r="BR3129" s="314"/>
      <c r="BS3129" s="314"/>
      <c r="BT3129" s="314"/>
      <c r="BU3129" s="314"/>
      <c r="BV3129" s="314"/>
      <c r="BW3129" s="314"/>
      <c r="BX3129" s="155"/>
    </row>
    <row r="3130" spans="1:76" ht="15.75" customHeight="1">
      <c r="A3130" s="25"/>
      <c r="B3130" s="39"/>
      <c r="C3130" s="155"/>
      <c r="D3130" s="155"/>
      <c r="E3130" s="40"/>
      <c r="F3130" s="314"/>
      <c r="H3130" s="315"/>
      <c r="I3130" s="315"/>
      <c r="BA3130" s="30"/>
      <c r="BB3130" s="155"/>
      <c r="BC3130" s="314"/>
      <c r="BD3130" s="314"/>
      <c r="BE3130" s="314"/>
      <c r="BF3130" s="314"/>
      <c r="BG3130" s="314"/>
      <c r="BH3130" s="314"/>
      <c r="BI3130" s="314"/>
      <c r="BJ3130" s="314"/>
      <c r="BK3130" s="40"/>
      <c r="BL3130" s="40"/>
      <c r="BM3130" s="40"/>
      <c r="BN3130" s="40"/>
      <c r="BO3130" s="40"/>
      <c r="BP3130" s="155"/>
      <c r="BQ3130" s="314"/>
      <c r="BR3130" s="314"/>
      <c r="BS3130" s="314"/>
      <c r="BT3130" s="314"/>
      <c r="BU3130" s="314"/>
      <c r="BV3130" s="314"/>
      <c r="BW3130" s="314"/>
      <c r="BX3130" s="155"/>
    </row>
    <row r="3131" spans="1:76" ht="15.75" customHeight="1">
      <c r="A3131" s="25"/>
      <c r="B3131" s="39"/>
      <c r="C3131" s="155"/>
      <c r="D3131" s="155"/>
      <c r="E3131" s="40"/>
      <c r="F3131" s="314"/>
      <c r="H3131" s="315"/>
      <c r="I3131" s="315"/>
      <c r="BA3131" s="30"/>
      <c r="BB3131" s="155"/>
      <c r="BC3131" s="314"/>
      <c r="BD3131" s="314"/>
      <c r="BE3131" s="314"/>
      <c r="BF3131" s="314"/>
      <c r="BG3131" s="314"/>
      <c r="BH3131" s="314"/>
      <c r="BI3131" s="314"/>
      <c r="BJ3131" s="314"/>
      <c r="BK3131" s="40"/>
      <c r="BL3131" s="40"/>
      <c r="BM3131" s="40"/>
      <c r="BN3131" s="40"/>
      <c r="BO3131" s="40"/>
      <c r="BP3131" s="155"/>
      <c r="BQ3131" s="314"/>
      <c r="BR3131" s="314"/>
      <c r="BS3131" s="314"/>
      <c r="BT3131" s="314"/>
      <c r="BU3131" s="314"/>
      <c r="BV3131" s="314"/>
      <c r="BW3131" s="314"/>
      <c r="BX3131" s="155"/>
    </row>
    <row r="3132" spans="1:76" ht="15.75" customHeight="1">
      <c r="A3132" s="25"/>
      <c r="B3132" s="39"/>
      <c r="C3132" s="155"/>
      <c r="D3132" s="155"/>
      <c r="E3132" s="40"/>
      <c r="F3132" s="314"/>
      <c r="H3132" s="315"/>
      <c r="I3132" s="315"/>
      <c r="BA3132" s="30"/>
      <c r="BB3132" s="155"/>
      <c r="BC3132" s="314"/>
      <c r="BD3132" s="314"/>
      <c r="BE3132" s="314"/>
      <c r="BF3132" s="314"/>
      <c r="BG3132" s="314"/>
      <c r="BH3132" s="314"/>
      <c r="BI3132" s="314"/>
      <c r="BJ3132" s="314"/>
      <c r="BK3132" s="40"/>
      <c r="BL3132" s="40"/>
      <c r="BM3132" s="40"/>
      <c r="BN3132" s="40"/>
      <c r="BO3132" s="40"/>
      <c r="BP3132" s="155"/>
      <c r="BQ3132" s="314"/>
      <c r="BR3132" s="314"/>
      <c r="BS3132" s="314"/>
      <c r="BT3132" s="314"/>
      <c r="BU3132" s="314"/>
      <c r="BV3132" s="314"/>
      <c r="BW3132" s="314"/>
      <c r="BX3132" s="155"/>
    </row>
    <row r="3133" spans="1:76" ht="15.75" customHeight="1">
      <c r="A3133" s="25"/>
      <c r="B3133" s="39"/>
      <c r="C3133" s="155"/>
      <c r="D3133" s="155"/>
      <c r="E3133" s="40"/>
      <c r="F3133" s="314"/>
      <c r="H3133" s="315"/>
      <c r="I3133" s="315"/>
      <c r="BA3133" s="30"/>
      <c r="BB3133" s="155"/>
      <c r="BC3133" s="314"/>
      <c r="BD3133" s="314"/>
      <c r="BE3133" s="314"/>
      <c r="BF3133" s="314"/>
      <c r="BG3133" s="314"/>
      <c r="BH3133" s="314"/>
      <c r="BI3133" s="314"/>
      <c r="BJ3133" s="314"/>
      <c r="BK3133" s="40"/>
      <c r="BL3133" s="40"/>
      <c r="BM3133" s="40"/>
      <c r="BN3133" s="40"/>
      <c r="BO3133" s="40"/>
      <c r="BP3133" s="155"/>
      <c r="BQ3133" s="314"/>
      <c r="BR3133" s="314"/>
      <c r="BS3133" s="314"/>
      <c r="BT3133" s="314"/>
      <c r="BU3133" s="314"/>
      <c r="BV3133" s="314"/>
      <c r="BW3133" s="314"/>
      <c r="BX3133" s="155"/>
    </row>
    <row r="3134" spans="1:76" ht="15.75" customHeight="1">
      <c r="A3134" s="25"/>
      <c r="B3134" s="39"/>
      <c r="C3134" s="155"/>
      <c r="D3134" s="155"/>
      <c r="E3134" s="40"/>
      <c r="F3134" s="314"/>
      <c r="H3134" s="315"/>
      <c r="I3134" s="315"/>
      <c r="BA3134" s="30"/>
      <c r="BB3134" s="155"/>
      <c r="BC3134" s="314"/>
      <c r="BD3134" s="314"/>
      <c r="BE3134" s="314"/>
      <c r="BF3134" s="314"/>
      <c r="BG3134" s="314"/>
      <c r="BH3134" s="314"/>
      <c r="BI3134" s="314"/>
      <c r="BJ3134" s="314"/>
      <c r="BK3134" s="40"/>
      <c r="BL3134" s="40"/>
      <c r="BM3134" s="40"/>
      <c r="BN3134" s="40"/>
      <c r="BO3134" s="40"/>
      <c r="BP3134" s="155"/>
      <c r="BQ3134" s="314"/>
      <c r="BR3134" s="314"/>
      <c r="BS3134" s="314"/>
      <c r="BT3134" s="314"/>
      <c r="BU3134" s="314"/>
      <c r="BV3134" s="314"/>
      <c r="BW3134" s="314"/>
      <c r="BX3134" s="155"/>
    </row>
    <row r="3135" spans="1:76" ht="15.75" customHeight="1">
      <c r="A3135" s="25"/>
      <c r="B3135" s="39"/>
      <c r="C3135" s="155"/>
      <c r="D3135" s="155"/>
      <c r="E3135" s="40"/>
      <c r="F3135" s="314"/>
      <c r="H3135" s="315"/>
      <c r="I3135" s="315"/>
      <c r="BA3135" s="30"/>
      <c r="BB3135" s="155"/>
      <c r="BC3135" s="314"/>
      <c r="BD3135" s="314"/>
      <c r="BE3135" s="314"/>
      <c r="BF3135" s="314"/>
      <c r="BG3135" s="314"/>
      <c r="BH3135" s="314"/>
      <c r="BI3135" s="314"/>
      <c r="BJ3135" s="314"/>
      <c r="BK3135" s="40"/>
      <c r="BL3135" s="40"/>
      <c r="BM3135" s="40"/>
      <c r="BN3135" s="40"/>
      <c r="BO3135" s="40"/>
      <c r="BP3135" s="155"/>
      <c r="BQ3135" s="314"/>
      <c r="BR3135" s="314"/>
      <c r="BS3135" s="314"/>
      <c r="BT3135" s="314"/>
      <c r="BU3135" s="314"/>
      <c r="BV3135" s="314"/>
      <c r="BW3135" s="314"/>
      <c r="BX3135" s="155"/>
    </row>
    <row r="3136" spans="1:76" ht="15.75" customHeight="1">
      <c r="A3136" s="25"/>
      <c r="B3136" s="39"/>
      <c r="C3136" s="155"/>
      <c r="D3136" s="155"/>
      <c r="E3136" s="40"/>
      <c r="F3136" s="314"/>
      <c r="H3136" s="315"/>
      <c r="I3136" s="315"/>
      <c r="BA3136" s="30"/>
      <c r="BB3136" s="155"/>
      <c r="BC3136" s="314"/>
      <c r="BD3136" s="314"/>
      <c r="BE3136" s="314"/>
      <c r="BF3136" s="314"/>
      <c r="BG3136" s="314"/>
      <c r="BH3136" s="314"/>
      <c r="BI3136" s="314"/>
      <c r="BJ3136" s="314"/>
      <c r="BK3136" s="40"/>
      <c r="BL3136" s="40"/>
      <c r="BM3136" s="40"/>
      <c r="BN3136" s="40"/>
      <c r="BO3136" s="40"/>
      <c r="BP3136" s="155"/>
      <c r="BQ3136" s="314"/>
      <c r="BR3136" s="314"/>
      <c r="BS3136" s="314"/>
      <c r="BT3136" s="314"/>
      <c r="BU3136" s="314"/>
      <c r="BV3136" s="314"/>
      <c r="BW3136" s="314"/>
      <c r="BX3136" s="155"/>
    </row>
    <row r="3137" spans="1:76" ht="15.75" customHeight="1">
      <c r="A3137" s="25"/>
      <c r="B3137" s="39"/>
      <c r="C3137" s="155"/>
      <c r="D3137" s="155"/>
      <c r="E3137" s="40"/>
      <c r="F3137" s="314"/>
      <c r="H3137" s="315"/>
      <c r="I3137" s="315"/>
      <c r="BA3137" s="30"/>
      <c r="BB3137" s="155"/>
      <c r="BC3137" s="314"/>
      <c r="BD3137" s="314"/>
      <c r="BE3137" s="314"/>
      <c r="BF3137" s="314"/>
      <c r="BG3137" s="314"/>
      <c r="BH3137" s="314"/>
      <c r="BI3137" s="314"/>
      <c r="BJ3137" s="314"/>
      <c r="BK3137" s="40"/>
      <c r="BL3137" s="40"/>
      <c r="BM3137" s="40"/>
      <c r="BN3137" s="40"/>
      <c r="BO3137" s="40"/>
      <c r="BP3137" s="155"/>
      <c r="BQ3137" s="314"/>
      <c r="BR3137" s="314"/>
      <c r="BS3137" s="314"/>
      <c r="BT3137" s="314"/>
      <c r="BU3137" s="314"/>
      <c r="BV3137" s="314"/>
      <c r="BW3137" s="314"/>
      <c r="BX3137" s="155"/>
    </row>
    <row r="3138" spans="1:76" ht="15.75" customHeight="1">
      <c r="A3138" s="25"/>
      <c r="B3138" s="39"/>
      <c r="C3138" s="155"/>
      <c r="D3138" s="155"/>
      <c r="E3138" s="40"/>
      <c r="F3138" s="314"/>
      <c r="H3138" s="315"/>
      <c r="I3138" s="315"/>
      <c r="BA3138" s="30"/>
      <c r="BB3138" s="155"/>
      <c r="BC3138" s="314"/>
      <c r="BD3138" s="314"/>
      <c r="BE3138" s="314"/>
      <c r="BF3138" s="314"/>
      <c r="BG3138" s="314"/>
      <c r="BH3138" s="314"/>
      <c r="BI3138" s="314"/>
      <c r="BJ3138" s="314"/>
      <c r="BK3138" s="40"/>
      <c r="BL3138" s="40"/>
      <c r="BM3138" s="40"/>
      <c r="BN3138" s="40"/>
      <c r="BO3138" s="40"/>
      <c r="BP3138" s="155"/>
      <c r="BQ3138" s="314"/>
      <c r="BR3138" s="314"/>
      <c r="BS3138" s="314"/>
      <c r="BT3138" s="314"/>
      <c r="BU3138" s="314"/>
      <c r="BV3138" s="314"/>
      <c r="BW3138" s="314"/>
      <c r="BX3138" s="155"/>
    </row>
    <row r="3139" spans="1:76" ht="15.75" customHeight="1">
      <c r="A3139" s="25"/>
      <c r="B3139" s="39"/>
      <c r="C3139" s="155"/>
      <c r="D3139" s="155"/>
      <c r="E3139" s="40"/>
      <c r="F3139" s="314"/>
      <c r="H3139" s="315"/>
      <c r="I3139" s="315"/>
      <c r="BA3139" s="30"/>
      <c r="BB3139" s="155"/>
      <c r="BC3139" s="314"/>
      <c r="BD3139" s="314"/>
      <c r="BE3139" s="314"/>
      <c r="BF3139" s="314"/>
      <c r="BG3139" s="314"/>
      <c r="BH3139" s="314"/>
      <c r="BI3139" s="314"/>
      <c r="BJ3139" s="314"/>
      <c r="BK3139" s="40"/>
      <c r="BL3139" s="40"/>
      <c r="BM3139" s="40"/>
      <c r="BN3139" s="40"/>
      <c r="BO3139" s="40"/>
      <c r="BP3139" s="155"/>
      <c r="BQ3139" s="314"/>
      <c r="BR3139" s="314"/>
      <c r="BS3139" s="314"/>
      <c r="BT3139" s="314"/>
      <c r="BU3139" s="314"/>
      <c r="BV3139" s="314"/>
      <c r="BW3139" s="314"/>
      <c r="BX3139" s="155"/>
    </row>
    <row r="3140" spans="1:76" ht="15.75" customHeight="1">
      <c r="A3140" s="25"/>
      <c r="B3140" s="39"/>
      <c r="C3140" s="155"/>
      <c r="D3140" s="155"/>
      <c r="E3140" s="40"/>
      <c r="F3140" s="314"/>
      <c r="H3140" s="315"/>
      <c r="I3140" s="315"/>
      <c r="BA3140" s="30"/>
      <c r="BB3140" s="155"/>
      <c r="BC3140" s="314"/>
      <c r="BD3140" s="314"/>
      <c r="BE3140" s="314"/>
      <c r="BF3140" s="314"/>
      <c r="BG3140" s="314"/>
      <c r="BH3140" s="314"/>
      <c r="BI3140" s="314"/>
      <c r="BJ3140" s="314"/>
      <c r="BK3140" s="40"/>
      <c r="BL3140" s="40"/>
      <c r="BM3140" s="40"/>
      <c r="BN3140" s="40"/>
      <c r="BO3140" s="40"/>
      <c r="BP3140" s="155"/>
      <c r="BQ3140" s="314"/>
      <c r="BR3140" s="314"/>
      <c r="BS3140" s="314"/>
      <c r="BT3140" s="314"/>
      <c r="BU3140" s="314"/>
      <c r="BV3140" s="314"/>
      <c r="BW3140" s="314"/>
      <c r="BX3140" s="155"/>
    </row>
    <row r="3141" spans="1:76" ht="15.75" customHeight="1">
      <c r="A3141" s="25"/>
      <c r="B3141" s="39"/>
      <c r="C3141" s="155"/>
      <c r="D3141" s="155"/>
      <c r="E3141" s="40"/>
      <c r="F3141" s="314"/>
      <c r="H3141" s="315"/>
      <c r="I3141" s="315"/>
      <c r="BA3141" s="30"/>
      <c r="BB3141" s="155"/>
      <c r="BC3141" s="314"/>
      <c r="BD3141" s="314"/>
      <c r="BE3141" s="314"/>
      <c r="BF3141" s="314"/>
      <c r="BG3141" s="314"/>
      <c r="BH3141" s="314"/>
      <c r="BI3141" s="314"/>
      <c r="BJ3141" s="314"/>
      <c r="BK3141" s="40"/>
      <c r="BL3141" s="40"/>
      <c r="BM3141" s="40"/>
      <c r="BN3141" s="40"/>
      <c r="BO3141" s="40"/>
      <c r="BP3141" s="155"/>
      <c r="BQ3141" s="314"/>
      <c r="BR3141" s="314"/>
      <c r="BS3141" s="314"/>
      <c r="BT3141" s="314"/>
      <c r="BU3141" s="314"/>
      <c r="BV3141" s="314"/>
      <c r="BW3141" s="314"/>
      <c r="BX3141" s="155"/>
    </row>
    <row r="3142" spans="1:76" ht="15.75" customHeight="1">
      <c r="A3142" s="25"/>
      <c r="B3142" s="39"/>
      <c r="C3142" s="155"/>
      <c r="D3142" s="155"/>
      <c r="E3142" s="40"/>
      <c r="F3142" s="314"/>
      <c r="H3142" s="315"/>
      <c r="I3142" s="315"/>
      <c r="BA3142" s="30"/>
      <c r="BB3142" s="155"/>
      <c r="BC3142" s="314"/>
      <c r="BD3142" s="314"/>
      <c r="BE3142" s="314"/>
      <c r="BF3142" s="314"/>
      <c r="BG3142" s="314"/>
      <c r="BH3142" s="314"/>
      <c r="BI3142" s="314"/>
      <c r="BJ3142" s="314"/>
      <c r="BK3142" s="40"/>
      <c r="BL3142" s="40"/>
      <c r="BM3142" s="40"/>
      <c r="BN3142" s="40"/>
      <c r="BO3142" s="40"/>
      <c r="BP3142" s="155"/>
      <c r="BQ3142" s="314"/>
      <c r="BR3142" s="314"/>
      <c r="BS3142" s="314"/>
      <c r="BT3142" s="314"/>
      <c r="BU3142" s="314"/>
      <c r="BV3142" s="314"/>
      <c r="BW3142" s="314"/>
      <c r="BX3142" s="155"/>
    </row>
    <row r="3143" spans="1:76" ht="15.75" customHeight="1">
      <c r="A3143" s="25"/>
      <c r="B3143" s="39"/>
      <c r="C3143" s="155"/>
      <c r="D3143" s="155"/>
      <c r="E3143" s="40"/>
      <c r="F3143" s="314"/>
      <c r="H3143" s="315"/>
      <c r="I3143" s="315"/>
      <c r="BA3143" s="30"/>
      <c r="BB3143" s="155"/>
      <c r="BC3143" s="322"/>
      <c r="BD3143" s="322"/>
      <c r="BE3143" s="322"/>
      <c r="BF3143" s="322"/>
      <c r="BG3143" s="322"/>
      <c r="BH3143" s="322"/>
      <c r="BI3143" s="322"/>
      <c r="BJ3143" s="322"/>
      <c r="BK3143" s="341"/>
      <c r="BL3143" s="40"/>
      <c r="BM3143" s="40"/>
      <c r="BN3143" s="40"/>
      <c r="BO3143" s="40"/>
      <c r="BP3143" s="155"/>
      <c r="BQ3143" s="314"/>
      <c r="BR3143" s="314"/>
      <c r="BS3143" s="314"/>
      <c r="BT3143" s="314"/>
      <c r="BU3143" s="314"/>
      <c r="BV3143" s="314"/>
      <c r="BW3143" s="314"/>
      <c r="BX3143" s="155"/>
    </row>
    <row r="3144" spans="1:76" ht="15.75" customHeight="1">
      <c r="A3144" s="25"/>
      <c r="B3144" s="39"/>
      <c r="C3144" s="155"/>
      <c r="D3144" s="155"/>
      <c r="E3144" s="40"/>
      <c r="F3144" s="314"/>
      <c r="H3144" s="315"/>
      <c r="I3144" s="315"/>
      <c r="BA3144" s="30"/>
      <c r="BB3144" s="155"/>
      <c r="BC3144" s="314"/>
      <c r="BD3144" s="314"/>
      <c r="BE3144" s="314"/>
      <c r="BF3144" s="314"/>
      <c r="BG3144" s="314"/>
      <c r="BH3144" s="314"/>
      <c r="BI3144" s="314"/>
      <c r="BJ3144" s="314"/>
      <c r="BK3144" s="40"/>
      <c r="BL3144" s="40"/>
      <c r="BM3144" s="40"/>
      <c r="BN3144" s="40"/>
      <c r="BO3144" s="40"/>
      <c r="BP3144" s="155"/>
      <c r="BQ3144" s="314"/>
      <c r="BR3144" s="314"/>
      <c r="BS3144" s="314"/>
      <c r="BT3144" s="314"/>
      <c r="BU3144" s="314"/>
      <c r="BV3144" s="314"/>
      <c r="BW3144" s="314"/>
      <c r="BX3144" s="155"/>
    </row>
    <row r="3145" spans="1:76" ht="15.75" customHeight="1">
      <c r="A3145" s="25"/>
      <c r="B3145" s="39"/>
      <c r="C3145" s="155"/>
      <c r="D3145" s="155"/>
      <c r="E3145" s="40"/>
      <c r="F3145" s="314"/>
      <c r="H3145" s="315"/>
      <c r="I3145" s="315"/>
      <c r="BA3145" s="30"/>
      <c r="BB3145" s="155"/>
      <c r="BC3145" s="314"/>
      <c r="BD3145" s="314"/>
      <c r="BE3145" s="314"/>
      <c r="BF3145" s="314"/>
      <c r="BG3145" s="314"/>
      <c r="BH3145" s="314"/>
      <c r="BI3145" s="314"/>
      <c r="BJ3145" s="314"/>
      <c r="BK3145" s="40"/>
      <c r="BL3145" s="40"/>
      <c r="BM3145" s="40"/>
      <c r="BN3145" s="40"/>
      <c r="BO3145" s="40"/>
      <c r="BP3145" s="155"/>
      <c r="BQ3145" s="314"/>
      <c r="BR3145" s="314"/>
      <c r="BS3145" s="314"/>
      <c r="BT3145" s="314"/>
      <c r="BU3145" s="314"/>
      <c r="BV3145" s="314"/>
      <c r="BW3145" s="314"/>
      <c r="BX3145" s="155"/>
    </row>
    <row r="3146" spans="1:76" ht="15.75" customHeight="1">
      <c r="A3146" s="25"/>
      <c r="B3146" s="39"/>
      <c r="C3146" s="155"/>
      <c r="D3146" s="155"/>
      <c r="E3146" s="40"/>
      <c r="F3146" s="314"/>
      <c r="H3146" s="315"/>
      <c r="I3146" s="315"/>
      <c r="BA3146" s="30"/>
      <c r="BB3146" s="155"/>
      <c r="BC3146" s="314"/>
      <c r="BD3146" s="314"/>
      <c r="BE3146" s="314"/>
      <c r="BF3146" s="314"/>
      <c r="BG3146" s="314"/>
      <c r="BH3146" s="314"/>
      <c r="BI3146" s="314"/>
      <c r="BJ3146" s="314"/>
      <c r="BK3146" s="40"/>
      <c r="BL3146" s="40"/>
      <c r="BM3146" s="40"/>
      <c r="BN3146" s="40"/>
      <c r="BO3146" s="40"/>
      <c r="BP3146" s="155"/>
      <c r="BQ3146" s="314"/>
      <c r="BR3146" s="314"/>
      <c r="BS3146" s="314"/>
      <c r="BT3146" s="314"/>
      <c r="BU3146" s="314"/>
      <c r="BV3146" s="314"/>
      <c r="BW3146" s="314"/>
      <c r="BX3146" s="155"/>
    </row>
    <row r="3147" spans="1:76" ht="15.75" customHeight="1">
      <c r="A3147" s="25"/>
      <c r="B3147" s="39"/>
      <c r="C3147" s="155"/>
      <c r="D3147" s="155"/>
      <c r="E3147" s="40"/>
      <c r="F3147" s="314"/>
      <c r="H3147" s="315"/>
      <c r="I3147" s="315"/>
      <c r="BA3147" s="30"/>
      <c r="BB3147" s="155"/>
      <c r="BC3147" s="314"/>
      <c r="BD3147" s="314"/>
      <c r="BE3147" s="314"/>
      <c r="BF3147" s="314"/>
      <c r="BG3147" s="314"/>
      <c r="BH3147" s="314"/>
      <c r="BI3147" s="314"/>
      <c r="BJ3147" s="314"/>
      <c r="BK3147" s="40"/>
      <c r="BL3147" s="40"/>
      <c r="BM3147" s="40"/>
      <c r="BN3147" s="40"/>
      <c r="BO3147" s="40"/>
      <c r="BP3147" s="155"/>
      <c r="BQ3147" s="314"/>
      <c r="BR3147" s="314"/>
      <c r="BS3147" s="314"/>
      <c r="BT3147" s="314"/>
      <c r="BU3147" s="314"/>
      <c r="BV3147" s="314"/>
      <c r="BW3147" s="314"/>
      <c r="BX3147" s="155"/>
    </row>
    <row r="3148" spans="1:76" ht="15.75" customHeight="1">
      <c r="A3148" s="25"/>
      <c r="B3148" s="39"/>
      <c r="C3148" s="155"/>
      <c r="D3148" s="155"/>
      <c r="E3148" s="40"/>
      <c r="F3148" s="314"/>
      <c r="H3148" s="315"/>
      <c r="I3148" s="315"/>
      <c r="BA3148" s="30"/>
      <c r="BB3148" s="155"/>
      <c r="BC3148" s="314"/>
      <c r="BD3148" s="314"/>
      <c r="BE3148" s="314"/>
      <c r="BF3148" s="314"/>
      <c r="BG3148" s="314"/>
      <c r="BH3148" s="314"/>
      <c r="BI3148" s="314"/>
      <c r="BJ3148" s="314"/>
      <c r="BK3148" s="40"/>
      <c r="BL3148" s="40"/>
      <c r="BM3148" s="40"/>
      <c r="BN3148" s="40"/>
      <c r="BO3148" s="40"/>
      <c r="BP3148" s="155"/>
      <c r="BQ3148" s="314"/>
      <c r="BR3148" s="314"/>
      <c r="BS3148" s="314"/>
      <c r="BT3148" s="314"/>
      <c r="BU3148" s="314"/>
      <c r="BV3148" s="314"/>
      <c r="BW3148" s="314"/>
      <c r="BX3148" s="155"/>
    </row>
    <row r="3149" spans="1:76" ht="15.75" customHeight="1">
      <c r="A3149" s="25"/>
      <c r="B3149" s="39"/>
      <c r="C3149" s="155"/>
      <c r="D3149" s="155"/>
      <c r="E3149" s="40"/>
      <c r="F3149" s="314"/>
      <c r="H3149" s="315"/>
      <c r="I3149" s="315"/>
      <c r="BA3149" s="30"/>
      <c r="BB3149" s="155"/>
      <c r="BC3149" s="314"/>
      <c r="BD3149" s="314"/>
      <c r="BE3149" s="314"/>
      <c r="BF3149" s="314"/>
      <c r="BG3149" s="314"/>
      <c r="BH3149" s="314"/>
      <c r="BI3149" s="314"/>
      <c r="BJ3149" s="314"/>
      <c r="BK3149" s="40"/>
      <c r="BL3149" s="40"/>
      <c r="BM3149" s="40"/>
      <c r="BN3149" s="40"/>
      <c r="BO3149" s="40"/>
      <c r="BP3149" s="155"/>
      <c r="BQ3149" s="314"/>
      <c r="BR3149" s="314"/>
      <c r="BS3149" s="314"/>
      <c r="BT3149" s="314"/>
      <c r="BU3149" s="314"/>
      <c r="BV3149" s="314"/>
      <c r="BW3149" s="314"/>
      <c r="BX3149" s="155"/>
    </row>
    <row r="3150" spans="1:76" ht="15.75" customHeight="1">
      <c r="A3150" s="25"/>
      <c r="B3150" s="39"/>
      <c r="C3150" s="155"/>
      <c r="D3150" s="155"/>
      <c r="E3150" s="40"/>
      <c r="F3150" s="314"/>
      <c r="H3150" s="315"/>
      <c r="I3150" s="315"/>
      <c r="BA3150" s="30"/>
      <c r="BB3150" s="155"/>
      <c r="BC3150" s="314"/>
      <c r="BD3150" s="314"/>
      <c r="BE3150" s="314"/>
      <c r="BF3150" s="314"/>
      <c r="BG3150" s="314"/>
      <c r="BH3150" s="314"/>
      <c r="BI3150" s="314"/>
      <c r="BJ3150" s="314"/>
      <c r="BK3150" s="40"/>
      <c r="BL3150" s="40"/>
      <c r="BM3150" s="40"/>
      <c r="BN3150" s="40"/>
      <c r="BO3150" s="40"/>
      <c r="BP3150" s="155"/>
      <c r="BQ3150" s="314"/>
      <c r="BR3150" s="314"/>
      <c r="BS3150" s="314"/>
      <c r="BT3150" s="314"/>
      <c r="BU3150" s="314"/>
      <c r="BV3150" s="314"/>
      <c r="BW3150" s="314"/>
      <c r="BX3150" s="155"/>
    </row>
    <row r="3151" spans="1:76" ht="15.75" customHeight="1">
      <c r="A3151" s="25"/>
      <c r="B3151" s="39"/>
      <c r="C3151" s="155"/>
      <c r="D3151" s="155"/>
      <c r="E3151" s="40"/>
      <c r="F3151" s="314"/>
      <c r="H3151" s="315"/>
      <c r="I3151" s="315"/>
      <c r="BA3151" s="30"/>
      <c r="BB3151" s="155"/>
      <c r="BC3151" s="314"/>
      <c r="BD3151" s="314"/>
      <c r="BE3151" s="314"/>
      <c r="BF3151" s="314"/>
      <c r="BG3151" s="314"/>
      <c r="BH3151" s="314"/>
      <c r="BI3151" s="314"/>
      <c r="BJ3151" s="314"/>
      <c r="BK3151" s="40"/>
      <c r="BL3151" s="40"/>
      <c r="BM3151" s="40"/>
      <c r="BN3151" s="40"/>
      <c r="BO3151" s="40"/>
      <c r="BP3151" s="155"/>
      <c r="BQ3151" s="314"/>
      <c r="BR3151" s="314"/>
      <c r="BS3151" s="314"/>
      <c r="BT3151" s="314"/>
      <c r="BU3151" s="314"/>
      <c r="BV3151" s="314"/>
      <c r="BW3151" s="314"/>
      <c r="BX3151" s="155"/>
    </row>
    <row r="3152" spans="1:76" ht="15.75" customHeight="1">
      <c r="A3152" s="25"/>
      <c r="B3152" s="39"/>
      <c r="C3152" s="155"/>
      <c r="D3152" s="155"/>
      <c r="E3152" s="40"/>
      <c r="F3152" s="314"/>
      <c r="H3152" s="315"/>
      <c r="I3152" s="315"/>
      <c r="BA3152" s="30"/>
      <c r="BB3152" s="155"/>
      <c r="BC3152" s="314"/>
      <c r="BD3152" s="314"/>
      <c r="BE3152" s="314"/>
      <c r="BF3152" s="314"/>
      <c r="BG3152" s="314"/>
      <c r="BH3152" s="314"/>
      <c r="BI3152" s="314"/>
      <c r="BJ3152" s="314"/>
      <c r="BK3152" s="40"/>
      <c r="BL3152" s="40"/>
      <c r="BM3152" s="40"/>
      <c r="BN3152" s="40"/>
      <c r="BO3152" s="40"/>
      <c r="BP3152" s="155"/>
      <c r="BQ3152" s="314"/>
      <c r="BR3152" s="314"/>
      <c r="BS3152" s="314"/>
      <c r="BT3152" s="314"/>
      <c r="BU3152" s="314"/>
      <c r="BV3152" s="314"/>
      <c r="BW3152" s="314"/>
      <c r="BX3152" s="155"/>
    </row>
    <row r="3153" spans="1:76" ht="15.75" customHeight="1">
      <c r="A3153" s="25"/>
      <c r="B3153" s="39"/>
      <c r="C3153" s="155"/>
      <c r="D3153" s="155"/>
      <c r="E3153" s="40"/>
      <c r="F3153" s="314"/>
      <c r="H3153" s="315"/>
      <c r="I3153" s="315"/>
      <c r="BA3153" s="30"/>
      <c r="BB3153" s="155"/>
      <c r="BC3153" s="314"/>
      <c r="BD3153" s="314"/>
      <c r="BE3153" s="314"/>
      <c r="BF3153" s="314"/>
      <c r="BG3153" s="314"/>
      <c r="BH3153" s="314"/>
      <c r="BI3153" s="314"/>
      <c r="BJ3153" s="314"/>
      <c r="BK3153" s="40"/>
      <c r="BL3153" s="40"/>
      <c r="BM3153" s="40"/>
      <c r="BN3153" s="40"/>
      <c r="BO3153" s="40"/>
      <c r="BP3153" s="155"/>
      <c r="BQ3153" s="314"/>
      <c r="BR3153" s="314"/>
      <c r="BS3153" s="314"/>
      <c r="BT3153" s="314"/>
      <c r="BU3153" s="314"/>
      <c r="BV3153" s="314"/>
      <c r="BW3153" s="314"/>
      <c r="BX3153" s="155"/>
    </row>
    <row r="3154" spans="1:76" ht="15.75" customHeight="1">
      <c r="A3154" s="25"/>
      <c r="B3154" s="39"/>
      <c r="C3154" s="155"/>
      <c r="D3154" s="155"/>
      <c r="E3154" s="40"/>
      <c r="F3154" s="314"/>
      <c r="H3154" s="315"/>
      <c r="I3154" s="315"/>
      <c r="BA3154" s="30"/>
      <c r="BB3154" s="155"/>
      <c r="BC3154" s="314"/>
      <c r="BD3154" s="314"/>
      <c r="BE3154" s="314"/>
      <c r="BF3154" s="314"/>
      <c r="BG3154" s="314"/>
      <c r="BH3154" s="314"/>
      <c r="BI3154" s="314"/>
      <c r="BJ3154" s="314"/>
      <c r="BK3154" s="40"/>
      <c r="BL3154" s="40"/>
      <c r="BM3154" s="40"/>
      <c r="BN3154" s="40"/>
      <c r="BO3154" s="40"/>
      <c r="BP3154" s="155"/>
      <c r="BQ3154" s="314"/>
      <c r="BR3154" s="314"/>
      <c r="BS3154" s="314"/>
      <c r="BT3154" s="314"/>
      <c r="BU3154" s="314"/>
      <c r="BV3154" s="314"/>
      <c r="BW3154" s="314"/>
      <c r="BX3154" s="155"/>
    </row>
    <row r="3155" spans="1:76" ht="15.75" customHeight="1">
      <c r="A3155" s="25"/>
      <c r="B3155" s="39"/>
      <c r="C3155" s="155"/>
      <c r="D3155" s="155"/>
      <c r="E3155" s="40"/>
      <c r="F3155" s="314"/>
      <c r="H3155" s="315"/>
      <c r="I3155" s="315"/>
      <c r="BA3155" s="30"/>
      <c r="BB3155" s="155"/>
      <c r="BC3155" s="314"/>
      <c r="BD3155" s="314"/>
      <c r="BE3155" s="314"/>
      <c r="BF3155" s="314"/>
      <c r="BG3155" s="314"/>
      <c r="BH3155" s="314"/>
      <c r="BI3155" s="314"/>
      <c r="BJ3155" s="314"/>
      <c r="BK3155" s="40"/>
      <c r="BL3155" s="40"/>
      <c r="BM3155" s="40"/>
      <c r="BN3155" s="40"/>
      <c r="BO3155" s="40"/>
      <c r="BP3155" s="155"/>
      <c r="BQ3155" s="314"/>
      <c r="BR3155" s="314"/>
      <c r="BS3155" s="314"/>
      <c r="BT3155" s="314"/>
      <c r="BU3155" s="314"/>
      <c r="BV3155" s="314"/>
      <c r="BW3155" s="314"/>
      <c r="BX3155" s="155"/>
    </row>
    <row r="3156" spans="1:76" ht="15.75" customHeight="1">
      <c r="A3156" s="25"/>
      <c r="B3156" s="39"/>
      <c r="C3156" s="155"/>
      <c r="D3156" s="155"/>
      <c r="E3156" s="40"/>
      <c r="F3156" s="314"/>
      <c r="H3156" s="315"/>
      <c r="I3156" s="315"/>
      <c r="BA3156" s="30"/>
      <c r="BB3156" s="155"/>
      <c r="BC3156" s="314"/>
      <c r="BD3156" s="314"/>
      <c r="BE3156" s="314"/>
      <c r="BF3156" s="314"/>
      <c r="BG3156" s="314"/>
      <c r="BH3156" s="314"/>
      <c r="BI3156" s="314"/>
      <c r="BJ3156" s="314"/>
      <c r="BK3156" s="40"/>
      <c r="BL3156" s="40"/>
      <c r="BM3156" s="40"/>
      <c r="BN3156" s="40"/>
      <c r="BO3156" s="40"/>
      <c r="BP3156" s="155"/>
      <c r="BQ3156" s="314"/>
      <c r="BR3156" s="314"/>
      <c r="BS3156" s="314"/>
      <c r="BT3156" s="314"/>
      <c r="BU3156" s="314"/>
      <c r="BV3156" s="314"/>
      <c r="BW3156" s="314"/>
      <c r="BX3156" s="155"/>
    </row>
    <row r="3157" spans="1:76" ht="15.75" customHeight="1">
      <c r="A3157" s="25"/>
      <c r="B3157" s="39"/>
      <c r="C3157" s="155"/>
      <c r="D3157" s="155"/>
      <c r="E3157" s="40"/>
      <c r="F3157" s="314"/>
      <c r="H3157" s="315"/>
      <c r="I3157" s="315"/>
      <c r="BA3157" s="30"/>
      <c r="BB3157" s="155"/>
      <c r="BC3157" s="314"/>
      <c r="BD3157" s="314"/>
      <c r="BE3157" s="314"/>
      <c r="BF3157" s="314"/>
      <c r="BG3157" s="314"/>
      <c r="BH3157" s="314"/>
      <c r="BI3157" s="314"/>
      <c r="BJ3157" s="314"/>
      <c r="BK3157" s="40"/>
      <c r="BL3157" s="40"/>
      <c r="BM3157" s="40"/>
      <c r="BN3157" s="40"/>
      <c r="BO3157" s="40"/>
      <c r="BP3157" s="155"/>
      <c r="BQ3157" s="314"/>
      <c r="BR3157" s="314"/>
      <c r="BS3157" s="314"/>
      <c r="BT3157" s="314"/>
      <c r="BU3157" s="314"/>
      <c r="BV3157" s="314"/>
      <c r="BW3157" s="314"/>
      <c r="BX3157" s="155"/>
    </row>
    <row r="3158" spans="1:76" ht="15.75" customHeight="1">
      <c r="A3158" s="25"/>
      <c r="B3158" s="39"/>
      <c r="C3158" s="155"/>
      <c r="D3158" s="155"/>
      <c r="E3158" s="40"/>
      <c r="F3158" s="314"/>
      <c r="H3158" s="315"/>
      <c r="I3158" s="315"/>
      <c r="BA3158" s="30"/>
      <c r="BB3158" s="155"/>
      <c r="BC3158" s="314"/>
      <c r="BD3158" s="314"/>
      <c r="BE3158" s="314"/>
      <c r="BF3158" s="314"/>
      <c r="BG3158" s="314"/>
      <c r="BH3158" s="314"/>
      <c r="BI3158" s="314"/>
      <c r="BJ3158" s="314"/>
      <c r="BK3158" s="40"/>
      <c r="BL3158" s="40"/>
      <c r="BM3158" s="40"/>
      <c r="BN3158" s="40"/>
      <c r="BO3158" s="40"/>
      <c r="BP3158" s="155"/>
      <c r="BQ3158" s="314"/>
      <c r="BR3158" s="314"/>
      <c r="BS3158" s="314"/>
      <c r="BT3158" s="314"/>
      <c r="BU3158" s="314"/>
      <c r="BV3158" s="314"/>
      <c r="BW3158" s="314"/>
      <c r="BX3158" s="155"/>
    </row>
    <row r="3159" spans="1:76" ht="15.75" customHeight="1">
      <c r="A3159" s="25"/>
      <c r="B3159" s="39"/>
      <c r="C3159" s="155"/>
      <c r="D3159" s="155"/>
      <c r="E3159" s="40"/>
      <c r="F3159" s="314"/>
      <c r="H3159" s="315"/>
      <c r="I3159" s="315"/>
      <c r="BA3159" s="30"/>
      <c r="BB3159" s="155"/>
      <c r="BC3159" s="314"/>
      <c r="BD3159" s="314"/>
      <c r="BE3159" s="314"/>
      <c r="BF3159" s="314"/>
      <c r="BG3159" s="314"/>
      <c r="BH3159" s="314"/>
      <c r="BI3159" s="314"/>
      <c r="BJ3159" s="314"/>
      <c r="BK3159" s="40"/>
      <c r="BL3159" s="40"/>
      <c r="BM3159" s="40"/>
      <c r="BN3159" s="40"/>
      <c r="BO3159" s="40"/>
      <c r="BP3159" s="155"/>
      <c r="BQ3159" s="314"/>
      <c r="BR3159" s="314"/>
      <c r="BS3159" s="314"/>
      <c r="BT3159" s="314"/>
      <c r="BU3159" s="314"/>
      <c r="BV3159" s="314"/>
      <c r="BW3159" s="314"/>
      <c r="BX3159" s="155"/>
    </row>
    <row r="3160" spans="1:76" ht="15.75" customHeight="1">
      <c r="A3160" s="25"/>
      <c r="B3160" s="39"/>
      <c r="C3160" s="155"/>
      <c r="D3160" s="155"/>
      <c r="E3160" s="40"/>
      <c r="F3160" s="314"/>
      <c r="H3160" s="315"/>
      <c r="I3160" s="315"/>
      <c r="BA3160" s="30"/>
      <c r="BB3160" s="155"/>
      <c r="BC3160" s="314"/>
      <c r="BD3160" s="314"/>
      <c r="BE3160" s="314"/>
      <c r="BF3160" s="314"/>
      <c r="BG3160" s="314"/>
      <c r="BH3160" s="314"/>
      <c r="BI3160" s="314"/>
      <c r="BJ3160" s="314"/>
      <c r="BK3160" s="40"/>
      <c r="BL3160" s="40"/>
      <c r="BM3160" s="40"/>
      <c r="BN3160" s="40"/>
      <c r="BO3160" s="40"/>
      <c r="BP3160" s="155"/>
      <c r="BQ3160" s="314"/>
      <c r="BR3160" s="314"/>
      <c r="BS3160" s="314"/>
      <c r="BT3160" s="314"/>
      <c r="BU3160" s="314"/>
      <c r="BV3160" s="314"/>
      <c r="BW3160" s="314"/>
      <c r="BX3160" s="155"/>
    </row>
    <row r="3161" spans="1:76" ht="15.75" customHeight="1">
      <c r="A3161" s="25"/>
      <c r="B3161" s="39"/>
      <c r="C3161" s="155"/>
      <c r="D3161" s="155"/>
      <c r="E3161" s="40"/>
      <c r="F3161" s="314"/>
      <c r="H3161" s="315"/>
      <c r="I3161" s="315"/>
      <c r="BA3161" s="30"/>
      <c r="BB3161" s="155"/>
      <c r="BC3161" s="314"/>
      <c r="BD3161" s="314"/>
      <c r="BE3161" s="314"/>
      <c r="BF3161" s="314"/>
      <c r="BG3161" s="314"/>
      <c r="BH3161" s="314"/>
      <c r="BI3161" s="314"/>
      <c r="BJ3161" s="314"/>
      <c r="BK3161" s="40"/>
      <c r="BL3161" s="40"/>
      <c r="BM3161" s="40"/>
      <c r="BN3161" s="40"/>
      <c r="BO3161" s="40"/>
      <c r="BP3161" s="155"/>
      <c r="BQ3161" s="314"/>
      <c r="BR3161" s="314"/>
      <c r="BS3161" s="314"/>
      <c r="BT3161" s="314"/>
      <c r="BU3161" s="314"/>
      <c r="BV3161" s="314"/>
      <c r="BW3161" s="314"/>
      <c r="BX3161" s="155"/>
    </row>
    <row r="3162" spans="1:76" ht="15.75" customHeight="1">
      <c r="A3162" s="25"/>
      <c r="B3162" s="39"/>
      <c r="C3162" s="155"/>
      <c r="D3162" s="155"/>
      <c r="E3162" s="40"/>
      <c r="F3162" s="314"/>
      <c r="H3162" s="315"/>
      <c r="I3162" s="315"/>
      <c r="BA3162" s="30"/>
      <c r="BB3162" s="155"/>
      <c r="BC3162" s="314"/>
      <c r="BD3162" s="314"/>
      <c r="BE3162" s="314"/>
      <c r="BF3162" s="314"/>
      <c r="BG3162" s="314"/>
      <c r="BH3162" s="314"/>
      <c r="BI3162" s="314"/>
      <c r="BJ3162" s="314"/>
      <c r="BK3162" s="40"/>
      <c r="BL3162" s="40"/>
      <c r="BM3162" s="40"/>
      <c r="BN3162" s="40"/>
      <c r="BO3162" s="40"/>
      <c r="BP3162" s="155"/>
      <c r="BQ3162" s="314"/>
      <c r="BR3162" s="314"/>
      <c r="BS3162" s="314"/>
      <c r="BT3162" s="314"/>
      <c r="BU3162" s="314"/>
      <c r="BV3162" s="314"/>
      <c r="BW3162" s="314"/>
      <c r="BX3162" s="155"/>
    </row>
    <row r="3163" spans="1:76" ht="15.75" customHeight="1">
      <c r="A3163" s="25"/>
      <c r="B3163" s="39"/>
      <c r="C3163" s="155"/>
      <c r="D3163" s="155"/>
      <c r="E3163" s="40"/>
      <c r="F3163" s="314"/>
      <c r="H3163" s="315"/>
      <c r="I3163" s="315"/>
      <c r="BA3163" s="30"/>
      <c r="BB3163" s="155"/>
      <c r="BC3163" s="314"/>
      <c r="BD3163" s="314"/>
      <c r="BE3163" s="314"/>
      <c r="BF3163" s="314"/>
      <c r="BG3163" s="314"/>
      <c r="BH3163" s="314"/>
      <c r="BI3163" s="314"/>
      <c r="BJ3163" s="314"/>
      <c r="BK3163" s="40"/>
      <c r="BL3163" s="40"/>
      <c r="BM3163" s="40"/>
      <c r="BN3163" s="40"/>
      <c r="BO3163" s="40"/>
      <c r="BP3163" s="155"/>
      <c r="BQ3163" s="314"/>
      <c r="BR3163" s="314"/>
      <c r="BS3163" s="314"/>
      <c r="BT3163" s="314"/>
      <c r="BU3163" s="314"/>
      <c r="BV3163" s="314"/>
      <c r="BW3163" s="314"/>
      <c r="BX3163" s="155"/>
    </row>
    <row r="3164" spans="1:76" ht="15.75" customHeight="1">
      <c r="A3164" s="25"/>
      <c r="B3164" s="39"/>
      <c r="C3164" s="155"/>
      <c r="D3164" s="155"/>
      <c r="E3164" s="40"/>
      <c r="F3164" s="314"/>
      <c r="H3164" s="315"/>
      <c r="I3164" s="315"/>
      <c r="BA3164" s="30"/>
      <c r="BB3164" s="155"/>
      <c r="BC3164" s="314"/>
      <c r="BD3164" s="314"/>
      <c r="BE3164" s="314"/>
      <c r="BF3164" s="314"/>
      <c r="BG3164" s="314"/>
      <c r="BH3164" s="314"/>
      <c r="BI3164" s="314"/>
      <c r="BJ3164" s="314"/>
      <c r="BK3164" s="40"/>
      <c r="BL3164" s="40"/>
      <c r="BM3164" s="40"/>
      <c r="BN3164" s="40"/>
      <c r="BO3164" s="40"/>
      <c r="BP3164" s="155"/>
      <c r="BQ3164" s="314"/>
      <c r="BR3164" s="314"/>
      <c r="BS3164" s="314"/>
      <c r="BT3164" s="314"/>
      <c r="BU3164" s="314"/>
      <c r="BV3164" s="314"/>
      <c r="BW3164" s="314"/>
      <c r="BX3164" s="155"/>
    </row>
    <row r="3165" spans="1:76" ht="15.75" customHeight="1">
      <c r="A3165" s="25"/>
      <c r="B3165" s="39"/>
      <c r="C3165" s="155"/>
      <c r="D3165" s="155"/>
      <c r="E3165" s="40"/>
      <c r="F3165" s="314"/>
      <c r="H3165" s="315"/>
      <c r="I3165" s="315"/>
      <c r="BA3165" s="30"/>
      <c r="BB3165" s="155"/>
      <c r="BC3165" s="314"/>
      <c r="BD3165" s="314"/>
      <c r="BE3165" s="314"/>
      <c r="BF3165" s="314"/>
      <c r="BG3165" s="314"/>
      <c r="BH3165" s="314"/>
      <c r="BI3165" s="314"/>
      <c r="BJ3165" s="314"/>
      <c r="BK3165" s="40"/>
      <c r="BL3165" s="40"/>
      <c r="BM3165" s="40"/>
      <c r="BN3165" s="40"/>
      <c r="BO3165" s="40"/>
      <c r="BP3165" s="155"/>
      <c r="BQ3165" s="314"/>
      <c r="BR3165" s="314"/>
      <c r="BS3165" s="314"/>
      <c r="BT3165" s="314"/>
      <c r="BU3165" s="314"/>
      <c r="BV3165" s="314"/>
      <c r="BW3165" s="314"/>
      <c r="BX3165" s="155"/>
    </row>
    <row r="3166" spans="1:76" ht="15.75" customHeight="1">
      <c r="A3166" s="25"/>
      <c r="B3166" s="39"/>
      <c r="C3166" s="155"/>
      <c r="D3166" s="155"/>
      <c r="E3166" s="40"/>
      <c r="F3166" s="314"/>
      <c r="H3166" s="315"/>
      <c r="I3166" s="315"/>
      <c r="BA3166" s="30"/>
      <c r="BB3166" s="155"/>
      <c r="BC3166" s="314"/>
      <c r="BD3166" s="314"/>
      <c r="BE3166" s="314"/>
      <c r="BF3166" s="314"/>
      <c r="BG3166" s="314"/>
      <c r="BH3166" s="314"/>
      <c r="BI3166" s="314"/>
      <c r="BJ3166" s="314"/>
      <c r="BK3166" s="40"/>
      <c r="BL3166" s="40"/>
      <c r="BM3166" s="40"/>
      <c r="BN3166" s="40"/>
      <c r="BO3166" s="40"/>
      <c r="BP3166" s="155"/>
      <c r="BQ3166" s="314"/>
      <c r="BR3166" s="314"/>
      <c r="BS3166" s="314"/>
      <c r="BT3166" s="314"/>
      <c r="BU3166" s="314"/>
      <c r="BV3166" s="314"/>
      <c r="BW3166" s="314"/>
      <c r="BX3166" s="155"/>
    </row>
    <row r="3167" spans="1:76" ht="15.75" customHeight="1">
      <c r="A3167" s="25"/>
      <c r="B3167" s="39"/>
      <c r="C3167" s="155"/>
      <c r="D3167" s="155"/>
      <c r="E3167" s="40"/>
      <c r="F3167" s="314"/>
      <c r="H3167" s="315"/>
      <c r="I3167" s="315"/>
      <c r="BA3167" s="30"/>
      <c r="BB3167" s="155"/>
      <c r="BC3167" s="314"/>
      <c r="BD3167" s="314"/>
      <c r="BE3167" s="314"/>
      <c r="BF3167" s="314"/>
      <c r="BG3167" s="314"/>
      <c r="BH3167" s="314"/>
      <c r="BI3167" s="314"/>
      <c r="BJ3167" s="314"/>
      <c r="BK3167" s="40"/>
      <c r="BL3167" s="40"/>
      <c r="BM3167" s="40"/>
      <c r="BN3167" s="40"/>
      <c r="BO3167" s="40"/>
      <c r="BP3167" s="155"/>
      <c r="BQ3167" s="314"/>
      <c r="BR3167" s="314"/>
      <c r="BS3167" s="314"/>
      <c r="BT3167" s="314"/>
      <c r="BU3167" s="314"/>
      <c r="BV3167" s="314"/>
      <c r="BW3167" s="314"/>
      <c r="BX3167" s="155"/>
    </row>
    <row r="3168" spans="1:76" ht="15.75" customHeight="1">
      <c r="A3168" s="25"/>
      <c r="B3168" s="39"/>
      <c r="C3168" s="155"/>
      <c r="D3168" s="155"/>
      <c r="E3168" s="40"/>
      <c r="F3168" s="314"/>
      <c r="H3168" s="315"/>
      <c r="I3168" s="315"/>
      <c r="BA3168" s="30"/>
      <c r="BB3168" s="155"/>
      <c r="BC3168" s="314"/>
      <c r="BD3168" s="314"/>
      <c r="BE3168" s="314"/>
      <c r="BF3168" s="314"/>
      <c r="BG3168" s="314"/>
      <c r="BH3168" s="314"/>
      <c r="BI3168" s="314"/>
      <c r="BJ3168" s="314"/>
      <c r="BK3168" s="40"/>
      <c r="BL3168" s="40"/>
      <c r="BM3168" s="40"/>
      <c r="BN3168" s="40"/>
      <c r="BO3168" s="40"/>
      <c r="BP3168" s="155"/>
      <c r="BQ3168" s="314"/>
      <c r="BR3168" s="314"/>
      <c r="BS3168" s="314"/>
      <c r="BT3168" s="314"/>
      <c r="BU3168" s="314"/>
      <c r="BV3168" s="314"/>
      <c r="BW3168" s="314"/>
      <c r="BX3168" s="155"/>
    </row>
    <row r="3169" spans="1:76" ht="15.75" customHeight="1">
      <c r="A3169" s="25"/>
      <c r="B3169" s="39"/>
      <c r="C3169" s="155"/>
      <c r="D3169" s="155"/>
      <c r="E3169" s="40"/>
      <c r="F3169" s="314"/>
      <c r="H3169" s="315"/>
      <c r="I3169" s="315"/>
      <c r="BA3169" s="30"/>
      <c r="BB3169" s="155"/>
      <c r="BC3169" s="314"/>
      <c r="BD3169" s="314"/>
      <c r="BE3169" s="314"/>
      <c r="BF3169" s="314"/>
      <c r="BG3169" s="314"/>
      <c r="BH3169" s="314"/>
      <c r="BI3169" s="314"/>
      <c r="BJ3169" s="314"/>
      <c r="BK3169" s="40"/>
      <c r="BL3169" s="40"/>
      <c r="BM3169" s="40"/>
      <c r="BN3169" s="40"/>
      <c r="BO3169" s="40"/>
      <c r="BP3169" s="155"/>
      <c r="BQ3169" s="314"/>
      <c r="BR3169" s="314"/>
      <c r="BS3169" s="314"/>
      <c r="BT3169" s="314"/>
      <c r="BU3169" s="314"/>
      <c r="BV3169" s="314"/>
      <c r="BW3169" s="314"/>
      <c r="BX3169" s="155"/>
    </row>
    <row r="3170" spans="1:76" ht="15.75" customHeight="1">
      <c r="A3170" s="25"/>
      <c r="B3170" s="39"/>
      <c r="C3170" s="155"/>
      <c r="D3170" s="155"/>
      <c r="E3170" s="40"/>
      <c r="F3170" s="314"/>
      <c r="H3170" s="315"/>
      <c r="I3170" s="315"/>
      <c r="BA3170" s="30"/>
      <c r="BB3170" s="155"/>
      <c r="BC3170" s="314"/>
      <c r="BD3170" s="314"/>
      <c r="BE3170" s="314"/>
      <c r="BF3170" s="314"/>
      <c r="BG3170" s="314"/>
      <c r="BH3170" s="314"/>
      <c r="BI3170" s="314"/>
      <c r="BJ3170" s="314"/>
      <c r="BK3170" s="40"/>
      <c r="BL3170" s="40"/>
      <c r="BM3170" s="40"/>
      <c r="BN3170" s="40"/>
      <c r="BO3170" s="40"/>
      <c r="BP3170" s="155"/>
      <c r="BQ3170" s="314"/>
      <c r="BR3170" s="314"/>
      <c r="BS3170" s="314"/>
      <c r="BT3170" s="314"/>
      <c r="BU3170" s="314"/>
      <c r="BV3170" s="314"/>
      <c r="BW3170" s="314"/>
      <c r="BX3170" s="155"/>
    </row>
    <row r="3171" spans="1:76" ht="15.75" customHeight="1">
      <c r="A3171" s="25"/>
      <c r="B3171" s="39"/>
      <c r="C3171" s="155"/>
      <c r="D3171" s="155"/>
      <c r="E3171" s="40"/>
      <c r="F3171" s="314"/>
      <c r="H3171" s="315"/>
      <c r="I3171" s="315"/>
      <c r="BA3171" s="30"/>
      <c r="BB3171" s="155"/>
      <c r="BC3171" s="314"/>
      <c r="BD3171" s="314"/>
      <c r="BE3171" s="314"/>
      <c r="BF3171" s="314"/>
      <c r="BG3171" s="314"/>
      <c r="BH3171" s="314"/>
      <c r="BI3171" s="314"/>
      <c r="BJ3171" s="314"/>
      <c r="BK3171" s="40"/>
      <c r="BL3171" s="40"/>
      <c r="BM3171" s="40"/>
      <c r="BN3171" s="40"/>
      <c r="BO3171" s="40"/>
      <c r="BP3171" s="155"/>
      <c r="BQ3171" s="314"/>
      <c r="BR3171" s="314"/>
      <c r="BS3171" s="314"/>
      <c r="BT3171" s="314"/>
      <c r="BU3171" s="314"/>
      <c r="BV3171" s="314"/>
      <c r="BW3171" s="314"/>
      <c r="BX3171" s="155"/>
    </row>
    <row r="3172" spans="1:76" ht="15.75" customHeight="1">
      <c r="A3172" s="25"/>
      <c r="B3172" s="39"/>
      <c r="C3172" s="155"/>
      <c r="D3172" s="155"/>
      <c r="E3172" s="40"/>
      <c r="F3172" s="314"/>
      <c r="H3172" s="315"/>
      <c r="I3172" s="315"/>
      <c r="BA3172" s="30"/>
      <c r="BB3172" s="155"/>
      <c r="BC3172" s="314"/>
      <c r="BD3172" s="314"/>
      <c r="BE3172" s="314"/>
      <c r="BF3172" s="314"/>
      <c r="BG3172" s="314"/>
      <c r="BH3172" s="314"/>
      <c r="BI3172" s="314"/>
      <c r="BJ3172" s="314"/>
      <c r="BK3172" s="40"/>
      <c r="BL3172" s="40"/>
      <c r="BM3172" s="40"/>
      <c r="BN3172" s="40"/>
      <c r="BO3172" s="40"/>
      <c r="BP3172" s="155"/>
      <c r="BQ3172" s="314"/>
      <c r="BR3172" s="314"/>
      <c r="BS3172" s="314"/>
      <c r="BT3172" s="314"/>
      <c r="BU3172" s="314"/>
      <c r="BV3172" s="314"/>
      <c r="BW3172" s="314"/>
      <c r="BX3172" s="155"/>
    </row>
    <row r="3173" spans="1:76" ht="15.75" customHeight="1">
      <c r="A3173" s="25"/>
      <c r="B3173" s="39"/>
      <c r="C3173" s="155"/>
      <c r="D3173" s="155"/>
      <c r="E3173" s="40"/>
      <c r="F3173" s="314"/>
      <c r="H3173" s="315"/>
      <c r="I3173" s="315"/>
      <c r="BA3173" s="30"/>
      <c r="BB3173" s="155"/>
      <c r="BC3173" s="314"/>
      <c r="BD3173" s="314"/>
      <c r="BE3173" s="314"/>
      <c r="BF3173" s="314"/>
      <c r="BG3173" s="314"/>
      <c r="BH3173" s="314"/>
      <c r="BI3173" s="314"/>
      <c r="BJ3173" s="314"/>
      <c r="BK3173" s="40"/>
      <c r="BL3173" s="40"/>
      <c r="BM3173" s="40"/>
      <c r="BN3173" s="40"/>
      <c r="BO3173" s="40"/>
      <c r="BP3173" s="155"/>
      <c r="BQ3173" s="314"/>
      <c r="BR3173" s="314"/>
      <c r="BS3173" s="314"/>
      <c r="BT3173" s="314"/>
      <c r="BU3173" s="314"/>
      <c r="BV3173" s="314"/>
      <c r="BW3173" s="314"/>
      <c r="BX3173" s="155"/>
    </row>
    <row r="3174" spans="1:76" ht="15.75" customHeight="1">
      <c r="A3174" s="25"/>
      <c r="B3174" s="39"/>
      <c r="C3174" s="155"/>
      <c r="D3174" s="155"/>
      <c r="E3174" s="40"/>
      <c r="F3174" s="314"/>
      <c r="H3174" s="315"/>
      <c r="I3174" s="315"/>
      <c r="BA3174" s="30"/>
      <c r="BB3174" s="155"/>
      <c r="BC3174" s="314"/>
      <c r="BD3174" s="314"/>
      <c r="BE3174" s="314"/>
      <c r="BF3174" s="314"/>
      <c r="BG3174" s="314"/>
      <c r="BH3174" s="314"/>
      <c r="BI3174" s="314"/>
      <c r="BJ3174" s="314"/>
      <c r="BK3174" s="40"/>
      <c r="BL3174" s="40"/>
      <c r="BM3174" s="40"/>
      <c r="BN3174" s="40"/>
      <c r="BO3174" s="40"/>
      <c r="BP3174" s="155"/>
      <c r="BQ3174" s="314"/>
      <c r="BR3174" s="314"/>
      <c r="BS3174" s="314"/>
      <c r="BT3174" s="314"/>
      <c r="BU3174" s="314"/>
      <c r="BV3174" s="314"/>
      <c r="BW3174" s="314"/>
      <c r="BX3174" s="155"/>
    </row>
    <row r="3175" spans="1:76" ht="15.75" customHeight="1">
      <c r="A3175" s="25"/>
      <c r="B3175" s="39"/>
      <c r="C3175" s="155"/>
      <c r="D3175" s="155"/>
      <c r="E3175" s="40"/>
      <c r="F3175" s="314"/>
      <c r="H3175" s="315"/>
      <c r="I3175" s="315"/>
      <c r="BA3175" s="30"/>
      <c r="BB3175" s="155"/>
      <c r="BC3175" s="314"/>
      <c r="BD3175" s="314"/>
      <c r="BE3175" s="314"/>
      <c r="BF3175" s="314"/>
      <c r="BG3175" s="314"/>
      <c r="BH3175" s="314"/>
      <c r="BI3175" s="314"/>
      <c r="BJ3175" s="314"/>
      <c r="BK3175" s="40"/>
      <c r="BL3175" s="40"/>
      <c r="BM3175" s="40"/>
      <c r="BN3175" s="40"/>
      <c r="BO3175" s="40"/>
      <c r="BP3175" s="155"/>
      <c r="BQ3175" s="314"/>
      <c r="BR3175" s="314"/>
      <c r="BS3175" s="314"/>
      <c r="BT3175" s="314"/>
      <c r="BU3175" s="314"/>
      <c r="BV3175" s="314"/>
      <c r="BW3175" s="314"/>
      <c r="BX3175" s="155"/>
    </row>
    <row r="3176" spans="1:76" ht="15.75" customHeight="1">
      <c r="A3176" s="25"/>
      <c r="B3176" s="39"/>
      <c r="C3176" s="155"/>
      <c r="D3176" s="155"/>
      <c r="E3176" s="40"/>
      <c r="F3176" s="314"/>
      <c r="H3176" s="315"/>
      <c r="I3176" s="315"/>
      <c r="BA3176" s="30"/>
      <c r="BB3176" s="155"/>
      <c r="BC3176" s="314"/>
      <c r="BD3176" s="314"/>
      <c r="BE3176" s="314"/>
      <c r="BF3176" s="314"/>
      <c r="BG3176" s="314"/>
      <c r="BH3176" s="314"/>
      <c r="BI3176" s="314"/>
      <c r="BJ3176" s="314"/>
      <c r="BK3176" s="40"/>
      <c r="BL3176" s="40"/>
      <c r="BM3176" s="40"/>
      <c r="BN3176" s="40"/>
      <c r="BO3176" s="40"/>
      <c r="BP3176" s="155"/>
      <c r="BQ3176" s="314"/>
      <c r="BR3176" s="314"/>
      <c r="BS3176" s="314"/>
      <c r="BT3176" s="314"/>
      <c r="BU3176" s="314"/>
      <c r="BV3176" s="314"/>
      <c r="BW3176" s="314"/>
      <c r="BX3176" s="155"/>
    </row>
    <row r="3177" spans="1:76" ht="15.75" customHeight="1">
      <c r="A3177" s="25"/>
      <c r="B3177" s="39"/>
      <c r="C3177" s="155"/>
      <c r="D3177" s="155"/>
      <c r="E3177" s="40"/>
      <c r="F3177" s="314"/>
      <c r="H3177" s="315"/>
      <c r="I3177" s="315"/>
      <c r="BA3177" s="30"/>
      <c r="BB3177" s="155"/>
      <c r="BC3177" s="314"/>
      <c r="BD3177" s="314"/>
      <c r="BE3177" s="314"/>
      <c r="BF3177" s="314"/>
      <c r="BG3177" s="314"/>
      <c r="BH3177" s="314"/>
      <c r="BI3177" s="314"/>
      <c r="BJ3177" s="314"/>
      <c r="BK3177" s="40"/>
      <c r="BL3177" s="40"/>
      <c r="BM3177" s="40"/>
      <c r="BN3177" s="40"/>
      <c r="BO3177" s="40"/>
      <c r="BP3177" s="155"/>
      <c r="BQ3177" s="314"/>
      <c r="BR3177" s="314"/>
      <c r="BS3177" s="314"/>
      <c r="BT3177" s="314"/>
      <c r="BU3177" s="314"/>
      <c r="BV3177" s="314"/>
      <c r="BW3177" s="314"/>
      <c r="BX3177" s="155"/>
    </row>
    <row r="3178" spans="1:76" ht="15.75" customHeight="1">
      <c r="A3178" s="25"/>
      <c r="B3178" s="39"/>
      <c r="C3178" s="155"/>
      <c r="D3178" s="155"/>
      <c r="E3178" s="40"/>
      <c r="F3178" s="314"/>
      <c r="H3178" s="315"/>
      <c r="I3178" s="315"/>
      <c r="BA3178" s="30"/>
      <c r="BB3178" s="155"/>
      <c r="BC3178" s="314"/>
      <c r="BD3178" s="314"/>
      <c r="BE3178" s="314"/>
      <c r="BF3178" s="314"/>
      <c r="BG3178" s="314"/>
      <c r="BH3178" s="314"/>
      <c r="BI3178" s="314"/>
      <c r="BJ3178" s="314"/>
      <c r="BK3178" s="40"/>
      <c r="BL3178" s="40"/>
      <c r="BM3178" s="40"/>
      <c r="BN3178" s="40"/>
      <c r="BO3178" s="40"/>
      <c r="BP3178" s="155"/>
      <c r="BQ3178" s="314"/>
      <c r="BR3178" s="314"/>
      <c r="BS3178" s="314"/>
      <c r="BT3178" s="314"/>
      <c r="BU3178" s="314"/>
      <c r="BV3178" s="314"/>
      <c r="BW3178" s="314"/>
      <c r="BX3178" s="155"/>
    </row>
    <row r="3179" spans="1:76" ht="15.75" customHeight="1">
      <c r="A3179" s="25"/>
      <c r="B3179" s="39"/>
      <c r="C3179" s="155"/>
      <c r="D3179" s="155"/>
      <c r="E3179" s="40"/>
      <c r="F3179" s="314"/>
      <c r="H3179" s="315"/>
      <c r="I3179" s="315"/>
      <c r="BA3179" s="30"/>
      <c r="BB3179" s="155"/>
      <c r="BC3179" s="314"/>
      <c r="BD3179" s="314"/>
      <c r="BE3179" s="314"/>
      <c r="BF3179" s="314"/>
      <c r="BG3179" s="314"/>
      <c r="BH3179" s="314"/>
      <c r="BI3179" s="314"/>
      <c r="BJ3179" s="314"/>
      <c r="BK3179" s="40"/>
      <c r="BL3179" s="40"/>
      <c r="BM3179" s="40"/>
      <c r="BN3179" s="40"/>
      <c r="BO3179" s="40"/>
      <c r="BP3179" s="155"/>
      <c r="BQ3179" s="314"/>
      <c r="BR3179" s="314"/>
      <c r="BS3179" s="314"/>
      <c r="BT3179" s="314"/>
      <c r="BU3179" s="314"/>
      <c r="BV3179" s="314"/>
      <c r="BW3179" s="314"/>
      <c r="BX3179" s="155"/>
    </row>
    <row r="3180" spans="1:76" ht="15.75" customHeight="1">
      <c r="A3180" s="25"/>
      <c r="B3180" s="39"/>
      <c r="C3180" s="155"/>
      <c r="D3180" s="155"/>
      <c r="E3180" s="40"/>
      <c r="F3180" s="314"/>
      <c r="H3180" s="315"/>
      <c r="I3180" s="315"/>
      <c r="BA3180" s="30"/>
      <c r="BB3180" s="155"/>
      <c r="BC3180" s="314"/>
      <c r="BD3180" s="314"/>
      <c r="BE3180" s="314"/>
      <c r="BF3180" s="314"/>
      <c r="BG3180" s="314"/>
      <c r="BH3180" s="314"/>
      <c r="BI3180" s="314"/>
      <c r="BJ3180" s="314"/>
      <c r="BK3180" s="40"/>
      <c r="BL3180" s="40"/>
      <c r="BM3180" s="40"/>
      <c r="BN3180" s="40"/>
      <c r="BO3180" s="40"/>
      <c r="BP3180" s="155"/>
      <c r="BQ3180" s="314"/>
      <c r="BR3180" s="314"/>
      <c r="BS3180" s="314"/>
      <c r="BT3180" s="314"/>
      <c r="BU3180" s="314"/>
      <c r="BV3180" s="314"/>
      <c r="BW3180" s="314"/>
      <c r="BX3180" s="155"/>
    </row>
    <row r="3181" spans="1:76" ht="15.75" customHeight="1">
      <c r="A3181" s="25"/>
      <c r="B3181" s="39"/>
      <c r="C3181" s="155"/>
      <c r="D3181" s="155"/>
      <c r="E3181" s="40"/>
      <c r="F3181" s="314"/>
      <c r="H3181" s="315"/>
      <c r="I3181" s="315"/>
      <c r="BA3181" s="30"/>
      <c r="BB3181" s="155"/>
      <c r="BC3181" s="314"/>
      <c r="BD3181" s="314"/>
      <c r="BE3181" s="314"/>
      <c r="BF3181" s="314"/>
      <c r="BG3181" s="314"/>
      <c r="BH3181" s="314"/>
      <c r="BI3181" s="314"/>
      <c r="BJ3181" s="314"/>
      <c r="BK3181" s="40"/>
      <c r="BL3181" s="40"/>
      <c r="BM3181" s="40"/>
      <c r="BN3181" s="40"/>
      <c r="BO3181" s="40"/>
      <c r="BP3181" s="155"/>
      <c r="BQ3181" s="314"/>
      <c r="BR3181" s="314"/>
      <c r="BS3181" s="314"/>
      <c r="BT3181" s="314"/>
      <c r="BU3181" s="314"/>
      <c r="BV3181" s="314"/>
      <c r="BW3181" s="314"/>
      <c r="BX3181" s="155"/>
    </row>
    <row r="3182" spans="1:76" ht="15.75" customHeight="1">
      <c r="A3182" s="25"/>
      <c r="B3182" s="39"/>
      <c r="C3182" s="155"/>
      <c r="D3182" s="155"/>
      <c r="E3182" s="40"/>
      <c r="F3182" s="314"/>
      <c r="H3182" s="315"/>
      <c r="I3182" s="315"/>
      <c r="BA3182" s="30"/>
      <c r="BB3182" s="155"/>
      <c r="BC3182" s="314"/>
      <c r="BD3182" s="314"/>
      <c r="BE3182" s="314"/>
      <c r="BF3182" s="314"/>
      <c r="BG3182" s="314"/>
      <c r="BH3182" s="314"/>
      <c r="BI3182" s="314"/>
      <c r="BJ3182" s="314"/>
      <c r="BK3182" s="40"/>
      <c r="BL3182" s="40"/>
      <c r="BM3182" s="40"/>
      <c r="BN3182" s="40"/>
      <c r="BO3182" s="40"/>
      <c r="BP3182" s="155"/>
      <c r="BQ3182" s="314"/>
      <c r="BR3182" s="314"/>
      <c r="BS3182" s="314"/>
      <c r="BT3182" s="314"/>
      <c r="BU3182" s="314"/>
      <c r="BV3182" s="314"/>
      <c r="BW3182" s="314"/>
      <c r="BX3182" s="155"/>
    </row>
    <row r="3183" spans="1:76" ht="15.75" customHeight="1">
      <c r="A3183" s="25"/>
      <c r="B3183" s="39"/>
      <c r="C3183" s="155"/>
      <c r="D3183" s="155"/>
      <c r="E3183" s="40"/>
      <c r="F3183" s="314"/>
      <c r="H3183" s="315"/>
      <c r="I3183" s="315"/>
      <c r="BA3183" s="30"/>
      <c r="BB3183" s="155"/>
      <c r="BC3183" s="314"/>
      <c r="BD3183" s="314"/>
      <c r="BE3183" s="314"/>
      <c r="BF3183" s="314"/>
      <c r="BG3183" s="314"/>
      <c r="BH3183" s="314"/>
      <c r="BI3183" s="314"/>
      <c r="BJ3183" s="314"/>
      <c r="BK3183" s="40"/>
      <c r="BL3183" s="40"/>
      <c r="BM3183" s="40"/>
      <c r="BN3183" s="40"/>
      <c r="BO3183" s="40"/>
      <c r="BP3183" s="155"/>
      <c r="BQ3183" s="314"/>
      <c r="BR3183" s="314"/>
      <c r="BS3183" s="314"/>
      <c r="BT3183" s="314"/>
      <c r="BU3183" s="314"/>
      <c r="BV3183" s="314"/>
      <c r="BW3183" s="314"/>
      <c r="BX3183" s="155"/>
    </row>
    <row r="3184" spans="1:76" ht="15.75" customHeight="1">
      <c r="A3184" s="25"/>
      <c r="B3184" s="39"/>
      <c r="C3184" s="155"/>
      <c r="D3184" s="155"/>
      <c r="E3184" s="40"/>
      <c r="F3184" s="314"/>
      <c r="H3184" s="315"/>
      <c r="I3184" s="315"/>
      <c r="BA3184" s="30"/>
      <c r="BB3184" s="155"/>
      <c r="BC3184" s="314"/>
      <c r="BD3184" s="314"/>
      <c r="BE3184" s="314"/>
      <c r="BF3184" s="314"/>
      <c r="BG3184" s="314"/>
      <c r="BH3184" s="314"/>
      <c r="BI3184" s="314"/>
      <c r="BJ3184" s="314"/>
      <c r="BK3184" s="40"/>
      <c r="BL3184" s="40"/>
      <c r="BM3184" s="40"/>
      <c r="BN3184" s="40"/>
      <c r="BO3184" s="40"/>
      <c r="BP3184" s="155"/>
      <c r="BQ3184" s="314"/>
      <c r="BR3184" s="314"/>
      <c r="BS3184" s="314"/>
      <c r="BT3184" s="314"/>
      <c r="BU3184" s="314"/>
      <c r="BV3184" s="314"/>
      <c r="BW3184" s="314"/>
      <c r="BX3184" s="155"/>
    </row>
    <row r="3185" spans="1:76" ht="15.75" customHeight="1">
      <c r="A3185" s="25"/>
      <c r="B3185" s="39"/>
      <c r="C3185" s="155"/>
      <c r="D3185" s="155"/>
      <c r="E3185" s="40"/>
      <c r="F3185" s="314"/>
      <c r="H3185" s="315"/>
      <c r="I3185" s="315"/>
      <c r="BA3185" s="30"/>
      <c r="BB3185" s="155"/>
      <c r="BC3185" s="314"/>
      <c r="BD3185" s="314"/>
      <c r="BE3185" s="314"/>
      <c r="BF3185" s="314"/>
      <c r="BG3185" s="314"/>
      <c r="BH3185" s="314"/>
      <c r="BI3185" s="314"/>
      <c r="BJ3185" s="314"/>
      <c r="BK3185" s="40"/>
      <c r="BL3185" s="40"/>
      <c r="BM3185" s="40"/>
      <c r="BN3185" s="40"/>
      <c r="BO3185" s="40"/>
      <c r="BP3185" s="155"/>
      <c r="BQ3185" s="314"/>
      <c r="BR3185" s="314"/>
      <c r="BS3185" s="314"/>
      <c r="BT3185" s="314"/>
      <c r="BU3185" s="314"/>
      <c r="BV3185" s="314"/>
      <c r="BW3185" s="314"/>
      <c r="BX3185" s="155"/>
    </row>
    <row r="3186" spans="1:76" ht="15.75" customHeight="1">
      <c r="A3186" s="25"/>
      <c r="B3186" s="39"/>
      <c r="C3186" s="155"/>
      <c r="D3186" s="155"/>
      <c r="E3186" s="40"/>
      <c r="F3186" s="314"/>
      <c r="H3186" s="315"/>
      <c r="I3186" s="315"/>
      <c r="BA3186" s="30"/>
      <c r="BB3186" s="155"/>
      <c r="BC3186" s="314"/>
      <c r="BD3186" s="314"/>
      <c r="BE3186" s="314"/>
      <c r="BF3186" s="314"/>
      <c r="BG3186" s="314"/>
      <c r="BH3186" s="314"/>
      <c r="BI3186" s="314"/>
      <c r="BJ3186" s="314"/>
      <c r="BK3186" s="40"/>
      <c r="BL3186" s="40"/>
      <c r="BM3186" s="40"/>
      <c r="BN3186" s="40"/>
      <c r="BO3186" s="40"/>
      <c r="BP3186" s="155"/>
      <c r="BQ3186" s="314"/>
      <c r="BR3186" s="314"/>
      <c r="BS3186" s="314"/>
      <c r="BT3186" s="314"/>
      <c r="BU3186" s="314"/>
      <c r="BV3186" s="314"/>
      <c r="BW3186" s="314"/>
      <c r="BX3186" s="155"/>
    </row>
    <row r="3187" spans="1:76" ht="15.75" customHeight="1">
      <c r="A3187" s="25"/>
      <c r="B3187" s="39"/>
      <c r="C3187" s="155"/>
      <c r="D3187" s="155"/>
      <c r="E3187" s="40"/>
      <c r="F3187" s="314"/>
      <c r="H3187" s="315"/>
      <c r="I3187" s="315"/>
      <c r="BA3187" s="30"/>
      <c r="BB3187" s="155"/>
      <c r="BC3187" s="314"/>
      <c r="BD3187" s="314"/>
      <c r="BE3187" s="314"/>
      <c r="BF3187" s="314"/>
      <c r="BG3187" s="314"/>
      <c r="BH3187" s="314"/>
      <c r="BI3187" s="314"/>
      <c r="BJ3187" s="314"/>
      <c r="BK3187" s="40"/>
      <c r="BL3187" s="40"/>
      <c r="BM3187" s="40"/>
      <c r="BN3187" s="40"/>
      <c r="BO3187" s="40"/>
      <c r="BP3187" s="155"/>
      <c r="BQ3187" s="314"/>
      <c r="BR3187" s="314"/>
      <c r="BS3187" s="314"/>
      <c r="BT3187" s="314"/>
      <c r="BU3187" s="314"/>
      <c r="BV3187" s="314"/>
      <c r="BW3187" s="314"/>
      <c r="BX3187" s="155"/>
    </row>
    <row r="3188" spans="1:76" ht="15.75" customHeight="1">
      <c r="A3188" s="25"/>
      <c r="B3188" s="39"/>
      <c r="C3188" s="155"/>
      <c r="D3188" s="155"/>
      <c r="E3188" s="40"/>
      <c r="F3188" s="314"/>
      <c r="H3188" s="315"/>
      <c r="I3188" s="315"/>
      <c r="BA3188" s="30"/>
      <c r="BB3188" s="155"/>
      <c r="BC3188" s="314"/>
      <c r="BD3188" s="314"/>
      <c r="BE3188" s="314"/>
      <c r="BF3188" s="314"/>
      <c r="BG3188" s="314"/>
      <c r="BH3188" s="314"/>
      <c r="BI3188" s="314"/>
      <c r="BJ3188" s="314"/>
      <c r="BK3188" s="40"/>
      <c r="BL3188" s="40"/>
      <c r="BM3188" s="40"/>
      <c r="BN3188" s="40"/>
      <c r="BO3188" s="40"/>
      <c r="BP3188" s="155"/>
      <c r="BQ3188" s="314"/>
      <c r="BR3188" s="314"/>
      <c r="BS3188" s="314"/>
      <c r="BT3188" s="314"/>
      <c r="BU3188" s="314"/>
      <c r="BV3188" s="314"/>
      <c r="BW3188" s="314"/>
      <c r="BX3188" s="155"/>
    </row>
    <row r="3189" spans="1:76" ht="15.75" customHeight="1">
      <c r="A3189" s="25"/>
      <c r="B3189" s="39"/>
      <c r="C3189" s="155"/>
      <c r="D3189" s="155"/>
      <c r="E3189" s="40"/>
      <c r="F3189" s="314"/>
      <c r="H3189" s="315"/>
      <c r="I3189" s="315"/>
      <c r="BA3189" s="30"/>
      <c r="BB3189" s="155"/>
      <c r="BC3189" s="322"/>
      <c r="BD3189" s="322"/>
      <c r="BE3189" s="322"/>
      <c r="BF3189" s="322"/>
      <c r="BG3189" s="322"/>
      <c r="BH3189" s="322"/>
      <c r="BI3189" s="322"/>
      <c r="BJ3189" s="322"/>
      <c r="BK3189" s="341"/>
      <c r="BL3189" s="40"/>
      <c r="BM3189" s="40"/>
      <c r="BN3189" s="40"/>
      <c r="BO3189" s="40"/>
      <c r="BP3189" s="155"/>
      <c r="BQ3189" s="314"/>
      <c r="BR3189" s="314"/>
      <c r="BS3189" s="314"/>
      <c r="BT3189" s="314"/>
      <c r="BU3189" s="314"/>
      <c r="BV3189" s="314"/>
      <c r="BW3189" s="314"/>
      <c r="BX3189" s="155"/>
    </row>
    <row r="3190" spans="1:76" ht="15.75" customHeight="1">
      <c r="A3190" s="25"/>
      <c r="B3190" s="39"/>
      <c r="C3190" s="155"/>
      <c r="D3190" s="155"/>
      <c r="E3190" s="40"/>
      <c r="F3190" s="314"/>
      <c r="H3190" s="315"/>
      <c r="I3190" s="315"/>
      <c r="BA3190" s="30"/>
      <c r="BB3190" s="155"/>
      <c r="BC3190" s="314"/>
      <c r="BD3190" s="314"/>
      <c r="BE3190" s="314"/>
      <c r="BF3190" s="314"/>
      <c r="BG3190" s="314"/>
      <c r="BH3190" s="314"/>
      <c r="BI3190" s="314"/>
      <c r="BJ3190" s="314"/>
      <c r="BK3190" s="40"/>
      <c r="BL3190" s="40"/>
      <c r="BM3190" s="40"/>
      <c r="BN3190" s="40"/>
      <c r="BO3190" s="40"/>
      <c r="BP3190" s="155"/>
      <c r="BQ3190" s="314"/>
      <c r="BR3190" s="314"/>
      <c r="BS3190" s="314"/>
      <c r="BT3190" s="314"/>
      <c r="BU3190" s="314"/>
      <c r="BV3190" s="314"/>
      <c r="BW3190" s="314"/>
      <c r="BX3190" s="155"/>
    </row>
    <row r="3191" spans="1:76" ht="15.75" customHeight="1">
      <c r="A3191" s="25"/>
      <c r="B3191" s="39"/>
      <c r="C3191" s="155"/>
      <c r="D3191" s="155"/>
      <c r="E3191" s="40"/>
      <c r="F3191" s="314"/>
      <c r="H3191" s="315"/>
      <c r="I3191" s="315"/>
      <c r="BA3191" s="30"/>
      <c r="BB3191" s="155"/>
      <c r="BC3191" s="314"/>
      <c r="BD3191" s="314"/>
      <c r="BE3191" s="314"/>
      <c r="BF3191" s="314"/>
      <c r="BG3191" s="314"/>
      <c r="BH3191" s="314"/>
      <c r="BI3191" s="314"/>
      <c r="BJ3191" s="314"/>
      <c r="BK3191" s="40"/>
      <c r="BL3191" s="40"/>
      <c r="BM3191" s="40"/>
      <c r="BN3191" s="40"/>
      <c r="BO3191" s="40"/>
      <c r="BP3191" s="155"/>
      <c r="BQ3191" s="314"/>
      <c r="BR3191" s="314"/>
      <c r="BS3191" s="314"/>
      <c r="BT3191" s="314"/>
      <c r="BU3191" s="314"/>
      <c r="BV3191" s="314"/>
      <c r="BW3191" s="314"/>
      <c r="BX3191" s="155"/>
    </row>
    <row r="3192" spans="1:76" ht="15.75" customHeight="1">
      <c r="A3192" s="25"/>
      <c r="B3192" s="39"/>
      <c r="C3192" s="155"/>
      <c r="D3192" s="155"/>
      <c r="E3192" s="40"/>
      <c r="F3192" s="314"/>
      <c r="H3192" s="315"/>
      <c r="I3192" s="315"/>
      <c r="BA3192" s="30"/>
      <c r="BB3192" s="155"/>
      <c r="BC3192" s="314"/>
      <c r="BD3192" s="314"/>
      <c r="BE3192" s="314"/>
      <c r="BF3192" s="314"/>
      <c r="BG3192" s="314"/>
      <c r="BH3192" s="314"/>
      <c r="BI3192" s="314"/>
      <c r="BJ3192" s="314"/>
      <c r="BK3192" s="40"/>
      <c r="BL3192" s="40"/>
      <c r="BM3192" s="40"/>
      <c r="BN3192" s="40"/>
      <c r="BO3192" s="40"/>
      <c r="BP3192" s="155"/>
      <c r="BQ3192" s="314"/>
      <c r="BR3192" s="314"/>
      <c r="BS3192" s="314"/>
      <c r="BT3192" s="314"/>
      <c r="BU3192" s="314"/>
      <c r="BV3192" s="314"/>
      <c r="BW3192" s="314"/>
      <c r="BX3192" s="155"/>
    </row>
    <row r="3193" spans="1:76" ht="15.75" customHeight="1">
      <c r="A3193" s="25"/>
      <c r="B3193" s="39"/>
      <c r="C3193" s="155"/>
      <c r="D3193" s="155"/>
      <c r="E3193" s="40"/>
      <c r="F3193" s="314"/>
      <c r="H3193" s="315"/>
      <c r="I3193" s="315"/>
      <c r="BA3193" s="30"/>
      <c r="BB3193" s="155"/>
      <c r="BC3193" s="314"/>
      <c r="BD3193" s="314"/>
      <c r="BE3193" s="314"/>
      <c r="BF3193" s="314"/>
      <c r="BG3193" s="314"/>
      <c r="BH3193" s="314"/>
      <c r="BI3193" s="314"/>
      <c r="BJ3193" s="314"/>
      <c r="BK3193" s="40"/>
      <c r="BL3193" s="40"/>
      <c r="BM3193" s="40"/>
      <c r="BN3193" s="40"/>
      <c r="BO3193" s="40"/>
      <c r="BP3193" s="155"/>
      <c r="BQ3193" s="314"/>
      <c r="BR3193" s="314"/>
      <c r="BS3193" s="314"/>
      <c r="BT3193" s="314"/>
      <c r="BU3193" s="314"/>
      <c r="BV3193" s="314"/>
      <c r="BW3193" s="314"/>
      <c r="BX3193" s="155"/>
    </row>
    <row r="3194" spans="1:76" ht="15.75" customHeight="1">
      <c r="A3194" s="25"/>
      <c r="B3194" s="39"/>
      <c r="C3194" s="155"/>
      <c r="D3194" s="155"/>
      <c r="E3194" s="40"/>
      <c r="F3194" s="314"/>
      <c r="H3194" s="315"/>
      <c r="I3194" s="315"/>
      <c r="BA3194" s="30"/>
      <c r="BB3194" s="155"/>
      <c r="BC3194" s="314"/>
      <c r="BD3194" s="314"/>
      <c r="BE3194" s="314"/>
      <c r="BF3194" s="314"/>
      <c r="BG3194" s="314"/>
      <c r="BH3194" s="314"/>
      <c r="BI3194" s="314"/>
      <c r="BJ3194" s="314"/>
      <c r="BK3194" s="40"/>
      <c r="BL3194" s="40"/>
      <c r="BM3194" s="40"/>
      <c r="BN3194" s="40"/>
      <c r="BO3194" s="40"/>
      <c r="BP3194" s="155"/>
      <c r="BQ3194" s="314"/>
      <c r="BR3194" s="314"/>
      <c r="BS3194" s="314"/>
      <c r="BT3194" s="314"/>
      <c r="BU3194" s="314"/>
      <c r="BV3194" s="314"/>
      <c r="BW3194" s="314"/>
      <c r="BX3194" s="155"/>
    </row>
    <row r="3195" spans="1:76" ht="15.75" customHeight="1">
      <c r="A3195" s="25"/>
      <c r="B3195" s="39"/>
      <c r="C3195" s="155"/>
      <c r="D3195" s="155"/>
      <c r="E3195" s="40"/>
      <c r="F3195" s="314"/>
      <c r="H3195" s="315"/>
      <c r="I3195" s="315"/>
      <c r="BA3195" s="30"/>
      <c r="BB3195" s="155"/>
      <c r="BC3195" s="314"/>
      <c r="BD3195" s="314"/>
      <c r="BE3195" s="314"/>
      <c r="BF3195" s="314"/>
      <c r="BG3195" s="314"/>
      <c r="BH3195" s="314"/>
      <c r="BI3195" s="314"/>
      <c r="BJ3195" s="314"/>
      <c r="BK3195" s="40"/>
      <c r="BL3195" s="40"/>
      <c r="BM3195" s="40"/>
      <c r="BN3195" s="40"/>
      <c r="BO3195" s="40"/>
      <c r="BP3195" s="155"/>
      <c r="BQ3195" s="314"/>
      <c r="BR3195" s="314"/>
      <c r="BS3195" s="314"/>
      <c r="BT3195" s="314"/>
      <c r="BU3195" s="314"/>
      <c r="BV3195" s="314"/>
      <c r="BW3195" s="314"/>
      <c r="BX3195" s="155"/>
    </row>
    <row r="3196" spans="1:76" ht="15.75" customHeight="1">
      <c r="A3196" s="25"/>
      <c r="B3196" s="39"/>
      <c r="C3196" s="155"/>
      <c r="D3196" s="155"/>
      <c r="E3196" s="40"/>
      <c r="F3196" s="314"/>
      <c r="H3196" s="315"/>
      <c r="I3196" s="315"/>
      <c r="BA3196" s="30"/>
      <c r="BB3196" s="155"/>
      <c r="BC3196" s="314"/>
      <c r="BD3196" s="314"/>
      <c r="BE3196" s="314"/>
      <c r="BF3196" s="314"/>
      <c r="BG3196" s="314"/>
      <c r="BH3196" s="314"/>
      <c r="BI3196" s="314"/>
      <c r="BJ3196" s="314"/>
      <c r="BK3196" s="40"/>
      <c r="BL3196" s="40"/>
      <c r="BM3196" s="40"/>
      <c r="BN3196" s="40"/>
      <c r="BO3196" s="40"/>
      <c r="BP3196" s="155"/>
      <c r="BQ3196" s="314"/>
      <c r="BR3196" s="314"/>
      <c r="BS3196" s="314"/>
      <c r="BT3196" s="314"/>
      <c r="BU3196" s="314"/>
      <c r="BV3196" s="314"/>
      <c r="BW3196" s="314"/>
      <c r="BX3196" s="155"/>
    </row>
    <row r="3197" spans="1:76" ht="15.75" customHeight="1">
      <c r="A3197" s="25"/>
      <c r="B3197" s="39"/>
      <c r="C3197" s="155"/>
      <c r="D3197" s="155"/>
      <c r="E3197" s="40"/>
      <c r="F3197" s="314"/>
      <c r="H3197" s="315"/>
      <c r="I3197" s="315"/>
      <c r="BA3197" s="30"/>
      <c r="BB3197" s="155"/>
      <c r="BC3197" s="314"/>
      <c r="BD3197" s="314"/>
      <c r="BE3197" s="314"/>
      <c r="BF3197" s="314"/>
      <c r="BG3197" s="314"/>
      <c r="BH3197" s="314"/>
      <c r="BI3197" s="314"/>
      <c r="BJ3197" s="314"/>
      <c r="BK3197" s="40"/>
      <c r="BL3197" s="40"/>
      <c r="BM3197" s="40"/>
      <c r="BN3197" s="40"/>
      <c r="BO3197" s="40"/>
      <c r="BP3197" s="155"/>
      <c r="BQ3197" s="314"/>
      <c r="BR3197" s="314"/>
      <c r="BS3197" s="314"/>
      <c r="BT3197" s="314"/>
      <c r="BU3197" s="314"/>
      <c r="BV3197" s="314"/>
      <c r="BW3197" s="314"/>
      <c r="BX3197" s="155"/>
    </row>
    <row r="3198" spans="1:76" ht="15.75" customHeight="1">
      <c r="A3198" s="25"/>
      <c r="B3198" s="39"/>
      <c r="C3198" s="155"/>
      <c r="D3198" s="155"/>
      <c r="E3198" s="40"/>
      <c r="F3198" s="314"/>
      <c r="H3198" s="315"/>
      <c r="I3198" s="315"/>
      <c r="BA3198" s="30"/>
      <c r="BB3198" s="155"/>
      <c r="BC3198" s="314"/>
      <c r="BD3198" s="314"/>
      <c r="BE3198" s="314"/>
      <c r="BF3198" s="314"/>
      <c r="BG3198" s="314"/>
      <c r="BH3198" s="314"/>
      <c r="BI3198" s="314"/>
      <c r="BJ3198" s="314"/>
      <c r="BK3198" s="40"/>
      <c r="BL3198" s="40"/>
      <c r="BM3198" s="40"/>
      <c r="BN3198" s="40"/>
      <c r="BO3198" s="40"/>
      <c r="BP3198" s="155"/>
      <c r="BQ3198" s="314"/>
      <c r="BR3198" s="314"/>
      <c r="BS3198" s="314"/>
      <c r="BT3198" s="314"/>
      <c r="BU3198" s="314"/>
      <c r="BV3198" s="314"/>
      <c r="BW3198" s="314"/>
      <c r="BX3198" s="155"/>
    </row>
    <row r="3199" spans="1:76" ht="15.75" customHeight="1">
      <c r="A3199" s="25"/>
      <c r="B3199" s="39"/>
      <c r="C3199" s="155"/>
      <c r="D3199" s="155"/>
      <c r="E3199" s="40"/>
      <c r="F3199" s="314"/>
      <c r="H3199" s="315"/>
      <c r="I3199" s="315"/>
      <c r="BA3199" s="30"/>
      <c r="BB3199" s="155"/>
      <c r="BC3199" s="314"/>
      <c r="BD3199" s="314"/>
      <c r="BE3199" s="314"/>
      <c r="BF3199" s="314"/>
      <c r="BG3199" s="314"/>
      <c r="BH3199" s="314"/>
      <c r="BI3199" s="314"/>
      <c r="BJ3199" s="314"/>
      <c r="BK3199" s="40"/>
      <c r="BL3199" s="40"/>
      <c r="BM3199" s="40"/>
      <c r="BN3199" s="40"/>
      <c r="BO3199" s="40"/>
      <c r="BP3199" s="155"/>
      <c r="BQ3199" s="314"/>
      <c r="BR3199" s="314"/>
      <c r="BS3199" s="314"/>
      <c r="BT3199" s="314"/>
      <c r="BU3199" s="314"/>
      <c r="BV3199" s="314"/>
      <c r="BW3199" s="314"/>
      <c r="BX3199" s="155"/>
    </row>
    <row r="3200" spans="1:76" ht="15.75" customHeight="1">
      <c r="A3200" s="25"/>
      <c r="B3200" s="39"/>
      <c r="C3200" s="155"/>
      <c r="D3200" s="155"/>
      <c r="E3200" s="40"/>
      <c r="F3200" s="314"/>
      <c r="H3200" s="315"/>
      <c r="I3200" s="315"/>
      <c r="BA3200" s="30"/>
      <c r="BB3200" s="155"/>
      <c r="BC3200" s="314"/>
      <c r="BD3200" s="314"/>
      <c r="BE3200" s="314"/>
      <c r="BF3200" s="314"/>
      <c r="BG3200" s="314"/>
      <c r="BH3200" s="314"/>
      <c r="BI3200" s="314"/>
      <c r="BJ3200" s="314"/>
      <c r="BK3200" s="40"/>
      <c r="BL3200" s="40"/>
      <c r="BM3200" s="40"/>
      <c r="BN3200" s="40"/>
      <c r="BO3200" s="40"/>
      <c r="BP3200" s="155"/>
      <c r="BQ3200" s="314"/>
      <c r="BR3200" s="314"/>
      <c r="BS3200" s="314"/>
      <c r="BT3200" s="314"/>
      <c r="BU3200" s="314"/>
      <c r="BV3200" s="314"/>
      <c r="BW3200" s="314"/>
      <c r="BX3200" s="155"/>
    </row>
    <row r="3201" spans="1:76" ht="15.75" customHeight="1">
      <c r="A3201" s="25"/>
      <c r="B3201" s="39"/>
      <c r="C3201" s="155"/>
      <c r="D3201" s="155"/>
      <c r="E3201" s="40"/>
      <c r="F3201" s="314"/>
      <c r="H3201" s="315"/>
      <c r="I3201" s="315"/>
      <c r="BA3201" s="30"/>
      <c r="BB3201" s="155"/>
      <c r="BC3201" s="314"/>
      <c r="BD3201" s="314"/>
      <c r="BE3201" s="314"/>
      <c r="BF3201" s="314"/>
      <c r="BG3201" s="314"/>
      <c r="BH3201" s="314"/>
      <c r="BI3201" s="314"/>
      <c r="BJ3201" s="314"/>
      <c r="BK3201" s="40"/>
      <c r="BL3201" s="40"/>
      <c r="BM3201" s="40"/>
      <c r="BN3201" s="40"/>
      <c r="BO3201" s="40"/>
      <c r="BP3201" s="155"/>
      <c r="BQ3201" s="314"/>
      <c r="BR3201" s="314"/>
      <c r="BS3201" s="314"/>
      <c r="BT3201" s="314"/>
      <c r="BU3201" s="314"/>
      <c r="BV3201" s="314"/>
      <c r="BW3201" s="314"/>
      <c r="BX3201" s="155"/>
    </row>
    <row r="3202" spans="1:76" ht="15.75" customHeight="1">
      <c r="A3202" s="25"/>
      <c r="B3202" s="39"/>
      <c r="C3202" s="155"/>
      <c r="D3202" s="155"/>
      <c r="E3202" s="40"/>
      <c r="F3202" s="314"/>
      <c r="H3202" s="315"/>
      <c r="I3202" s="315"/>
      <c r="BA3202" s="30"/>
      <c r="BB3202" s="155"/>
      <c r="BC3202" s="314"/>
      <c r="BD3202" s="314"/>
      <c r="BE3202" s="314"/>
      <c r="BF3202" s="314"/>
      <c r="BG3202" s="314"/>
      <c r="BH3202" s="314"/>
      <c r="BI3202" s="314"/>
      <c r="BJ3202" s="314"/>
      <c r="BK3202" s="40"/>
      <c r="BL3202" s="40"/>
      <c r="BM3202" s="40"/>
      <c r="BN3202" s="40"/>
      <c r="BO3202" s="40"/>
      <c r="BP3202" s="155"/>
      <c r="BQ3202" s="314"/>
      <c r="BR3202" s="314"/>
      <c r="BS3202" s="314"/>
      <c r="BT3202" s="314"/>
      <c r="BU3202" s="314"/>
      <c r="BV3202" s="314"/>
      <c r="BW3202" s="314"/>
      <c r="BX3202" s="155"/>
    </row>
    <row r="3203" spans="1:76" ht="15.75" customHeight="1">
      <c r="A3203" s="25"/>
      <c r="B3203" s="39"/>
      <c r="C3203" s="155"/>
      <c r="D3203" s="155"/>
      <c r="E3203" s="40"/>
      <c r="F3203" s="314"/>
      <c r="H3203" s="315"/>
      <c r="I3203" s="315"/>
      <c r="BA3203" s="30"/>
      <c r="BB3203" s="155"/>
      <c r="BC3203" s="314"/>
      <c r="BD3203" s="314"/>
      <c r="BE3203" s="314"/>
      <c r="BF3203" s="314"/>
      <c r="BG3203" s="314"/>
      <c r="BH3203" s="314"/>
      <c r="BI3203" s="314"/>
      <c r="BJ3203" s="314"/>
      <c r="BK3203" s="40"/>
      <c r="BL3203" s="40"/>
      <c r="BM3203" s="40"/>
      <c r="BN3203" s="40"/>
      <c r="BO3203" s="40"/>
      <c r="BP3203" s="155"/>
      <c r="BQ3203" s="314"/>
      <c r="BR3203" s="314"/>
      <c r="BS3203" s="314"/>
      <c r="BT3203" s="314"/>
      <c r="BU3203" s="314"/>
      <c r="BV3203" s="314"/>
      <c r="BW3203" s="314"/>
      <c r="BX3203" s="155"/>
    </row>
    <row r="3204" spans="1:76" ht="15.75" customHeight="1">
      <c r="A3204" s="25"/>
      <c r="B3204" s="39"/>
      <c r="C3204" s="155"/>
      <c r="D3204" s="155"/>
      <c r="E3204" s="40"/>
      <c r="F3204" s="314"/>
      <c r="H3204" s="315"/>
      <c r="I3204" s="315"/>
      <c r="BA3204" s="30"/>
      <c r="BB3204" s="155"/>
      <c r="BC3204" s="314"/>
      <c r="BD3204" s="314"/>
      <c r="BE3204" s="314"/>
      <c r="BF3204" s="314"/>
      <c r="BG3204" s="314"/>
      <c r="BH3204" s="314"/>
      <c r="BI3204" s="314"/>
      <c r="BJ3204" s="314"/>
      <c r="BK3204" s="40"/>
      <c r="BL3204" s="40"/>
      <c r="BM3204" s="40"/>
      <c r="BN3204" s="40"/>
      <c r="BO3204" s="40"/>
      <c r="BP3204" s="155"/>
      <c r="BQ3204" s="314"/>
      <c r="BR3204" s="314"/>
      <c r="BS3204" s="314"/>
      <c r="BT3204" s="314"/>
      <c r="BU3204" s="314"/>
      <c r="BV3204" s="314"/>
      <c r="BW3204" s="314"/>
      <c r="BX3204" s="155"/>
    </row>
    <row r="3205" spans="1:76" ht="15.75" customHeight="1">
      <c r="A3205" s="25"/>
      <c r="B3205" s="39"/>
      <c r="C3205" s="155"/>
      <c r="D3205" s="155"/>
      <c r="E3205" s="40"/>
      <c r="F3205" s="314"/>
      <c r="H3205" s="315"/>
      <c r="I3205" s="315"/>
      <c r="BA3205" s="30"/>
      <c r="BB3205" s="155"/>
      <c r="BC3205" s="314"/>
      <c r="BD3205" s="314"/>
      <c r="BE3205" s="314"/>
      <c r="BF3205" s="314"/>
      <c r="BG3205" s="314"/>
      <c r="BH3205" s="314"/>
      <c r="BI3205" s="314"/>
      <c r="BJ3205" s="314"/>
      <c r="BK3205" s="40"/>
      <c r="BL3205" s="40"/>
      <c r="BM3205" s="40"/>
      <c r="BN3205" s="40"/>
      <c r="BO3205" s="40"/>
      <c r="BP3205" s="155"/>
      <c r="BQ3205" s="314"/>
      <c r="BR3205" s="314"/>
      <c r="BS3205" s="314"/>
      <c r="BT3205" s="314"/>
      <c r="BU3205" s="314"/>
      <c r="BV3205" s="314"/>
      <c r="BW3205" s="314"/>
      <c r="BX3205" s="155"/>
    </row>
    <row r="3206" spans="1:76" ht="15.75" customHeight="1">
      <c r="A3206" s="25"/>
      <c r="B3206" s="39"/>
      <c r="C3206" s="155"/>
      <c r="D3206" s="155"/>
      <c r="E3206" s="40"/>
      <c r="F3206" s="314"/>
      <c r="H3206" s="315"/>
      <c r="I3206" s="315"/>
      <c r="BA3206" s="30"/>
      <c r="BB3206" s="155"/>
      <c r="BC3206" s="314"/>
      <c r="BD3206" s="314"/>
      <c r="BE3206" s="314"/>
      <c r="BF3206" s="314"/>
      <c r="BG3206" s="314"/>
      <c r="BH3206" s="314"/>
      <c r="BI3206" s="314"/>
      <c r="BJ3206" s="314"/>
      <c r="BK3206" s="40"/>
      <c r="BL3206" s="40"/>
      <c r="BM3206" s="40"/>
      <c r="BN3206" s="40"/>
      <c r="BO3206" s="40"/>
      <c r="BP3206" s="155"/>
      <c r="BQ3206" s="314"/>
      <c r="BR3206" s="314"/>
      <c r="BS3206" s="314"/>
      <c r="BT3206" s="314"/>
      <c r="BU3206" s="314"/>
      <c r="BV3206" s="314"/>
      <c r="BW3206" s="314"/>
      <c r="BX3206" s="155"/>
    </row>
    <row r="3207" spans="1:76" ht="15.75" customHeight="1">
      <c r="A3207" s="25"/>
      <c r="B3207" s="39"/>
      <c r="C3207" s="155"/>
      <c r="D3207" s="155"/>
      <c r="E3207" s="40"/>
      <c r="F3207" s="314"/>
      <c r="H3207" s="315"/>
      <c r="I3207" s="315"/>
      <c r="BA3207" s="30"/>
      <c r="BB3207" s="155"/>
      <c r="BC3207" s="314"/>
      <c r="BD3207" s="314"/>
      <c r="BE3207" s="314"/>
      <c r="BF3207" s="314"/>
      <c r="BG3207" s="314"/>
      <c r="BH3207" s="314"/>
      <c r="BI3207" s="314"/>
      <c r="BJ3207" s="314"/>
      <c r="BK3207" s="40"/>
      <c r="BL3207" s="40"/>
      <c r="BM3207" s="40"/>
      <c r="BN3207" s="40"/>
      <c r="BO3207" s="40"/>
      <c r="BP3207" s="155"/>
      <c r="BQ3207" s="314"/>
      <c r="BR3207" s="314"/>
      <c r="BS3207" s="314"/>
      <c r="BT3207" s="314"/>
      <c r="BU3207" s="314"/>
      <c r="BV3207" s="314"/>
      <c r="BW3207" s="314"/>
      <c r="BX3207" s="155"/>
    </row>
    <row r="3208" spans="1:76" ht="15.75" customHeight="1">
      <c r="A3208" s="25"/>
      <c r="B3208" s="39"/>
      <c r="C3208" s="155"/>
      <c r="D3208" s="155"/>
      <c r="E3208" s="40"/>
      <c r="F3208" s="314"/>
      <c r="H3208" s="315"/>
      <c r="I3208" s="315"/>
      <c r="BA3208" s="30"/>
      <c r="BB3208" s="155"/>
      <c r="BC3208" s="314"/>
      <c r="BD3208" s="314"/>
      <c r="BE3208" s="314"/>
      <c r="BF3208" s="314"/>
      <c r="BG3208" s="314"/>
      <c r="BH3208" s="314"/>
      <c r="BI3208" s="314"/>
      <c r="BJ3208" s="314"/>
      <c r="BK3208" s="40"/>
      <c r="BL3208" s="40"/>
      <c r="BM3208" s="40"/>
      <c r="BN3208" s="40"/>
      <c r="BO3208" s="40"/>
      <c r="BP3208" s="155"/>
      <c r="BQ3208" s="314"/>
      <c r="BR3208" s="314"/>
      <c r="BS3208" s="314"/>
      <c r="BT3208" s="314"/>
      <c r="BU3208" s="314"/>
      <c r="BV3208" s="314"/>
      <c r="BW3208" s="314"/>
      <c r="BX3208" s="155"/>
    </row>
    <row r="3209" spans="1:76" ht="15.75" customHeight="1">
      <c r="A3209" s="25"/>
      <c r="B3209" s="39"/>
      <c r="C3209" s="155"/>
      <c r="D3209" s="155"/>
      <c r="E3209" s="40"/>
      <c r="F3209" s="314"/>
      <c r="H3209" s="315"/>
      <c r="I3209" s="315"/>
      <c r="BA3209" s="30"/>
      <c r="BB3209" s="155"/>
      <c r="BC3209" s="314"/>
      <c r="BD3209" s="314"/>
      <c r="BE3209" s="314"/>
      <c r="BF3209" s="314"/>
      <c r="BG3209" s="314"/>
      <c r="BH3209" s="314"/>
      <c r="BI3209" s="314"/>
      <c r="BJ3209" s="314"/>
      <c r="BK3209" s="40"/>
      <c r="BL3209" s="40"/>
      <c r="BM3209" s="40"/>
      <c r="BN3209" s="40"/>
      <c r="BO3209" s="40"/>
      <c r="BP3209" s="155"/>
      <c r="BQ3209" s="314"/>
      <c r="BR3209" s="314"/>
      <c r="BS3209" s="314"/>
      <c r="BT3209" s="314"/>
      <c r="BU3209" s="314"/>
      <c r="BV3209" s="314"/>
      <c r="BW3209" s="314"/>
      <c r="BX3209" s="155"/>
    </row>
    <row r="3210" spans="1:76" ht="15.75" customHeight="1">
      <c r="A3210" s="25"/>
      <c r="B3210" s="39"/>
      <c r="C3210" s="155"/>
      <c r="D3210" s="155"/>
      <c r="E3210" s="40"/>
      <c r="F3210" s="314"/>
      <c r="H3210" s="315"/>
      <c r="I3210" s="315"/>
      <c r="BA3210" s="30"/>
      <c r="BB3210" s="155"/>
      <c r="BC3210" s="322"/>
      <c r="BD3210" s="322"/>
      <c r="BE3210" s="322"/>
      <c r="BF3210" s="322"/>
      <c r="BG3210" s="322"/>
      <c r="BH3210" s="322"/>
      <c r="BI3210" s="322"/>
      <c r="BJ3210" s="322"/>
      <c r="BK3210" s="341"/>
      <c r="BL3210" s="40"/>
      <c r="BM3210" s="40"/>
      <c r="BN3210" s="40"/>
      <c r="BO3210" s="40"/>
      <c r="BP3210" s="155"/>
      <c r="BQ3210" s="314"/>
      <c r="BR3210" s="314"/>
      <c r="BS3210" s="314"/>
      <c r="BT3210" s="314"/>
      <c r="BU3210" s="314"/>
      <c r="BV3210" s="314"/>
      <c r="BW3210" s="314"/>
      <c r="BX3210" s="155"/>
    </row>
    <row r="3211" spans="1:76" ht="15.75" customHeight="1">
      <c r="A3211" s="25"/>
      <c r="B3211" s="39"/>
      <c r="C3211" s="155"/>
      <c r="D3211" s="155"/>
      <c r="E3211" s="40"/>
      <c r="F3211" s="314"/>
      <c r="H3211" s="315"/>
      <c r="I3211" s="315"/>
      <c r="BA3211" s="30"/>
      <c r="BB3211" s="155"/>
      <c r="BC3211" s="314"/>
      <c r="BD3211" s="314"/>
      <c r="BE3211" s="314"/>
      <c r="BF3211" s="314"/>
      <c r="BG3211" s="314"/>
      <c r="BH3211" s="314"/>
      <c r="BI3211" s="314"/>
      <c r="BJ3211" s="314"/>
      <c r="BK3211" s="40"/>
      <c r="BL3211" s="40"/>
      <c r="BM3211" s="40"/>
      <c r="BN3211" s="40"/>
      <c r="BO3211" s="40"/>
      <c r="BP3211" s="155"/>
      <c r="BQ3211" s="314"/>
      <c r="BR3211" s="314"/>
      <c r="BS3211" s="314"/>
      <c r="BT3211" s="314"/>
      <c r="BU3211" s="314"/>
      <c r="BV3211" s="314"/>
      <c r="BW3211" s="314"/>
      <c r="BX3211" s="155"/>
    </row>
    <row r="3212" spans="1:76" ht="15.75" customHeight="1">
      <c r="A3212" s="25"/>
      <c r="B3212" s="39"/>
      <c r="C3212" s="155"/>
      <c r="D3212" s="155"/>
      <c r="E3212" s="40"/>
      <c r="F3212" s="314"/>
      <c r="H3212" s="315"/>
      <c r="I3212" s="315"/>
      <c r="BA3212" s="30"/>
      <c r="BB3212" s="155"/>
      <c r="BC3212" s="314"/>
      <c r="BD3212" s="314"/>
      <c r="BE3212" s="314"/>
      <c r="BF3212" s="314"/>
      <c r="BG3212" s="314"/>
      <c r="BH3212" s="314"/>
      <c r="BI3212" s="314"/>
      <c r="BJ3212" s="314"/>
      <c r="BK3212" s="40"/>
      <c r="BL3212" s="40"/>
      <c r="BM3212" s="40"/>
      <c r="BN3212" s="40"/>
      <c r="BO3212" s="40"/>
      <c r="BP3212" s="155"/>
      <c r="BQ3212" s="314"/>
      <c r="BR3212" s="314"/>
      <c r="BS3212" s="314"/>
      <c r="BT3212" s="314"/>
      <c r="BU3212" s="314"/>
      <c r="BV3212" s="314"/>
      <c r="BW3212" s="314"/>
      <c r="BX3212" s="155"/>
    </row>
    <row r="3213" spans="1:76" ht="15.75" customHeight="1">
      <c r="A3213" s="25"/>
      <c r="B3213" s="39"/>
      <c r="C3213" s="155"/>
      <c r="D3213" s="155"/>
      <c r="E3213" s="40"/>
      <c r="F3213" s="314"/>
      <c r="H3213" s="315"/>
      <c r="I3213" s="315"/>
      <c r="BA3213" s="30"/>
      <c r="BB3213" s="155"/>
      <c r="BC3213" s="314"/>
      <c r="BD3213" s="314"/>
      <c r="BE3213" s="314"/>
      <c r="BF3213" s="314"/>
      <c r="BG3213" s="314"/>
      <c r="BH3213" s="314"/>
      <c r="BI3213" s="314"/>
      <c r="BJ3213" s="314"/>
      <c r="BK3213" s="40"/>
      <c r="BL3213" s="40"/>
      <c r="BM3213" s="40"/>
      <c r="BN3213" s="40"/>
      <c r="BO3213" s="40"/>
      <c r="BP3213" s="155"/>
      <c r="BQ3213" s="314"/>
      <c r="BR3213" s="314"/>
      <c r="BS3213" s="314"/>
      <c r="BT3213" s="314"/>
      <c r="BU3213" s="314"/>
      <c r="BV3213" s="314"/>
      <c r="BW3213" s="314"/>
      <c r="BX3213" s="155"/>
    </row>
    <row r="3214" spans="1:76" ht="15.75" customHeight="1">
      <c r="A3214" s="25"/>
      <c r="B3214" s="39"/>
      <c r="C3214" s="155"/>
      <c r="D3214" s="155"/>
      <c r="E3214" s="40"/>
      <c r="F3214" s="314"/>
      <c r="H3214" s="315"/>
      <c r="I3214" s="315"/>
      <c r="BA3214" s="30"/>
      <c r="BB3214" s="155"/>
      <c r="BC3214" s="314"/>
      <c r="BD3214" s="314"/>
      <c r="BE3214" s="314"/>
      <c r="BF3214" s="314"/>
      <c r="BG3214" s="314"/>
      <c r="BH3214" s="314"/>
      <c r="BI3214" s="314"/>
      <c r="BJ3214" s="314"/>
      <c r="BK3214" s="40"/>
      <c r="BL3214" s="40"/>
      <c r="BM3214" s="40"/>
      <c r="BN3214" s="40"/>
      <c r="BO3214" s="40"/>
      <c r="BP3214" s="155"/>
      <c r="BQ3214" s="314"/>
      <c r="BR3214" s="314"/>
      <c r="BS3214" s="314"/>
      <c r="BT3214" s="314"/>
      <c r="BU3214" s="314"/>
      <c r="BV3214" s="314"/>
      <c r="BW3214" s="314"/>
      <c r="BX3214" s="155"/>
    </row>
    <row r="3215" spans="1:76" ht="15.75" customHeight="1">
      <c r="A3215" s="25"/>
      <c r="B3215" s="39"/>
      <c r="C3215" s="155"/>
      <c r="D3215" s="155"/>
      <c r="E3215" s="40"/>
      <c r="F3215" s="314"/>
      <c r="H3215" s="315"/>
      <c r="I3215" s="315"/>
      <c r="BA3215" s="30"/>
      <c r="BB3215" s="155"/>
      <c r="BC3215" s="314"/>
      <c r="BD3215" s="314"/>
      <c r="BE3215" s="314"/>
      <c r="BF3215" s="314"/>
      <c r="BG3215" s="314"/>
      <c r="BH3215" s="314"/>
      <c r="BI3215" s="314"/>
      <c r="BJ3215" s="314"/>
      <c r="BK3215" s="40"/>
      <c r="BL3215" s="40"/>
      <c r="BM3215" s="40"/>
      <c r="BN3215" s="40"/>
      <c r="BO3215" s="40"/>
      <c r="BP3215" s="155"/>
      <c r="BQ3215" s="314"/>
      <c r="BR3215" s="314"/>
      <c r="BS3215" s="314"/>
      <c r="BT3215" s="314"/>
      <c r="BU3215" s="314"/>
      <c r="BV3215" s="314"/>
      <c r="BW3215" s="314"/>
      <c r="BX3215" s="155"/>
    </row>
    <row r="3216" spans="1:76" ht="15.75" customHeight="1">
      <c r="A3216" s="25"/>
      <c r="B3216" s="39"/>
      <c r="C3216" s="155"/>
      <c r="D3216" s="155"/>
      <c r="E3216" s="40"/>
      <c r="F3216" s="314"/>
      <c r="H3216" s="315"/>
      <c r="I3216" s="315"/>
      <c r="BA3216" s="30"/>
      <c r="BB3216" s="155"/>
      <c r="BC3216" s="314"/>
      <c r="BD3216" s="314"/>
      <c r="BE3216" s="314"/>
      <c r="BF3216" s="314"/>
      <c r="BG3216" s="314"/>
      <c r="BH3216" s="314"/>
      <c r="BI3216" s="314"/>
      <c r="BJ3216" s="314"/>
      <c r="BK3216" s="40"/>
      <c r="BL3216" s="40"/>
      <c r="BM3216" s="40"/>
      <c r="BN3216" s="40"/>
      <c r="BO3216" s="40"/>
      <c r="BP3216" s="155"/>
      <c r="BQ3216" s="314"/>
      <c r="BR3216" s="314"/>
      <c r="BS3216" s="314"/>
      <c r="BT3216" s="314"/>
      <c r="BU3216" s="314"/>
      <c r="BV3216" s="314"/>
      <c r="BW3216" s="314"/>
      <c r="BX3216" s="155"/>
    </row>
    <row r="3217" spans="1:76" ht="15.75" customHeight="1">
      <c r="A3217" s="25"/>
      <c r="B3217" s="39"/>
      <c r="C3217" s="155"/>
      <c r="D3217" s="155"/>
      <c r="E3217" s="40"/>
      <c r="F3217" s="314"/>
      <c r="H3217" s="315"/>
      <c r="I3217" s="315"/>
      <c r="BA3217" s="30"/>
      <c r="BB3217" s="155"/>
      <c r="BC3217" s="314"/>
      <c r="BD3217" s="314"/>
      <c r="BE3217" s="314"/>
      <c r="BF3217" s="314"/>
      <c r="BG3217" s="314"/>
      <c r="BH3217" s="314"/>
      <c r="BI3217" s="314"/>
      <c r="BJ3217" s="314"/>
      <c r="BK3217" s="40"/>
      <c r="BL3217" s="40"/>
      <c r="BM3217" s="40"/>
      <c r="BN3217" s="40"/>
      <c r="BO3217" s="40"/>
      <c r="BP3217" s="155"/>
      <c r="BQ3217" s="314"/>
      <c r="BR3217" s="314"/>
      <c r="BS3217" s="314"/>
      <c r="BT3217" s="314"/>
      <c r="BU3217" s="314"/>
      <c r="BV3217" s="314"/>
      <c r="BW3217" s="314"/>
      <c r="BX3217" s="155"/>
    </row>
    <row r="3218" spans="1:76" ht="15.75" customHeight="1">
      <c r="A3218" s="25"/>
      <c r="B3218" s="39"/>
      <c r="C3218" s="155"/>
      <c r="D3218" s="155"/>
      <c r="E3218" s="40"/>
      <c r="F3218" s="314"/>
      <c r="H3218" s="315"/>
      <c r="I3218" s="315"/>
      <c r="BA3218" s="30"/>
      <c r="BB3218" s="155"/>
      <c r="BC3218" s="314"/>
      <c r="BD3218" s="314"/>
      <c r="BE3218" s="314"/>
      <c r="BF3218" s="314"/>
      <c r="BG3218" s="314"/>
      <c r="BH3218" s="314"/>
      <c r="BI3218" s="314"/>
      <c r="BJ3218" s="314"/>
      <c r="BK3218" s="40"/>
      <c r="BL3218" s="40"/>
      <c r="BM3218" s="40"/>
      <c r="BN3218" s="40"/>
      <c r="BO3218" s="40"/>
      <c r="BP3218" s="155"/>
      <c r="BQ3218" s="314"/>
      <c r="BR3218" s="314"/>
      <c r="BS3218" s="314"/>
      <c r="BT3218" s="314"/>
      <c r="BU3218" s="314"/>
      <c r="BV3218" s="314"/>
      <c r="BW3218" s="314"/>
      <c r="BX3218" s="155"/>
    </row>
    <row r="3219" spans="1:76" ht="15.75" customHeight="1">
      <c r="A3219" s="25"/>
      <c r="B3219" s="39"/>
      <c r="C3219" s="155"/>
      <c r="D3219" s="155"/>
      <c r="E3219" s="40"/>
      <c r="F3219" s="314"/>
      <c r="H3219" s="315"/>
      <c r="I3219" s="315"/>
      <c r="BA3219" s="30"/>
      <c r="BB3219" s="155"/>
      <c r="BC3219" s="314"/>
      <c r="BD3219" s="314"/>
      <c r="BE3219" s="314"/>
      <c r="BF3219" s="314"/>
      <c r="BG3219" s="314"/>
      <c r="BH3219" s="314"/>
      <c r="BI3219" s="314"/>
      <c r="BJ3219" s="314"/>
      <c r="BK3219" s="40"/>
      <c r="BL3219" s="40"/>
      <c r="BM3219" s="40"/>
      <c r="BN3219" s="40"/>
      <c r="BO3219" s="40"/>
      <c r="BP3219" s="155"/>
      <c r="BQ3219" s="314"/>
      <c r="BR3219" s="314"/>
      <c r="BS3219" s="314"/>
      <c r="BT3219" s="314"/>
      <c r="BU3219" s="314"/>
      <c r="BV3219" s="314"/>
      <c r="BW3219" s="314"/>
      <c r="BX3219" s="155"/>
    </row>
    <row r="3220" spans="1:76" ht="15.75" customHeight="1">
      <c r="A3220" s="25"/>
      <c r="B3220" s="39"/>
      <c r="C3220" s="155"/>
      <c r="D3220" s="155"/>
      <c r="E3220" s="40"/>
      <c r="F3220" s="314"/>
      <c r="H3220" s="315"/>
      <c r="I3220" s="315"/>
      <c r="BA3220" s="30"/>
      <c r="BB3220" s="155"/>
      <c r="BC3220" s="314"/>
      <c r="BD3220" s="314"/>
      <c r="BE3220" s="314"/>
      <c r="BF3220" s="314"/>
      <c r="BG3220" s="314"/>
      <c r="BH3220" s="314"/>
      <c r="BI3220" s="314"/>
      <c r="BJ3220" s="314"/>
      <c r="BK3220" s="40"/>
      <c r="BL3220" s="40"/>
      <c r="BM3220" s="40"/>
      <c r="BN3220" s="40"/>
      <c r="BO3220" s="40"/>
      <c r="BP3220" s="155"/>
      <c r="BQ3220" s="314"/>
      <c r="BR3220" s="314"/>
      <c r="BS3220" s="314"/>
      <c r="BT3220" s="314"/>
      <c r="BU3220" s="314"/>
      <c r="BV3220" s="314"/>
      <c r="BW3220" s="314"/>
      <c r="BX3220" s="155"/>
    </row>
    <row r="3221" spans="1:76" ht="15.75" customHeight="1">
      <c r="A3221" s="25"/>
      <c r="B3221" s="39"/>
      <c r="C3221" s="155"/>
      <c r="D3221" s="155"/>
      <c r="E3221" s="40"/>
      <c r="F3221" s="314"/>
      <c r="H3221" s="315"/>
      <c r="I3221" s="315"/>
      <c r="BA3221" s="30"/>
      <c r="BB3221" s="155"/>
      <c r="BC3221" s="314"/>
      <c r="BD3221" s="314"/>
      <c r="BE3221" s="314"/>
      <c r="BF3221" s="314"/>
      <c r="BG3221" s="314"/>
      <c r="BH3221" s="314"/>
      <c r="BI3221" s="314"/>
      <c r="BJ3221" s="314"/>
      <c r="BK3221" s="40"/>
      <c r="BL3221" s="40"/>
      <c r="BM3221" s="40"/>
      <c r="BN3221" s="40"/>
      <c r="BO3221" s="40"/>
      <c r="BP3221" s="155"/>
      <c r="BQ3221" s="314"/>
      <c r="BR3221" s="314"/>
      <c r="BS3221" s="314"/>
      <c r="BT3221" s="314"/>
      <c r="BU3221" s="314"/>
      <c r="BV3221" s="314"/>
      <c r="BW3221" s="314"/>
      <c r="BX3221" s="155"/>
    </row>
    <row r="3222" spans="1:76" ht="15.75" customHeight="1">
      <c r="A3222" s="25"/>
      <c r="B3222" s="39"/>
      <c r="C3222" s="155"/>
      <c r="D3222" s="155"/>
      <c r="E3222" s="40"/>
      <c r="F3222" s="314"/>
      <c r="H3222" s="315"/>
      <c r="I3222" s="315"/>
      <c r="BA3222" s="30"/>
      <c r="BB3222" s="155"/>
      <c r="BC3222" s="314"/>
      <c r="BD3222" s="314"/>
      <c r="BE3222" s="314"/>
      <c r="BF3222" s="314"/>
      <c r="BG3222" s="314"/>
      <c r="BH3222" s="314"/>
      <c r="BI3222" s="314"/>
      <c r="BJ3222" s="314"/>
      <c r="BK3222" s="40"/>
      <c r="BL3222" s="40"/>
      <c r="BM3222" s="40"/>
      <c r="BN3222" s="40"/>
      <c r="BO3222" s="40"/>
      <c r="BP3222" s="155"/>
      <c r="BQ3222" s="314"/>
      <c r="BR3222" s="314"/>
      <c r="BS3222" s="314"/>
      <c r="BT3222" s="314"/>
      <c r="BU3222" s="314"/>
      <c r="BV3222" s="314"/>
      <c r="BW3222" s="314"/>
      <c r="BX3222" s="155"/>
    </row>
    <row r="3223" spans="1:76" ht="15.75" customHeight="1">
      <c r="A3223" s="25"/>
      <c r="B3223" s="39"/>
      <c r="C3223" s="155"/>
      <c r="D3223" s="155"/>
      <c r="E3223" s="40"/>
      <c r="F3223" s="314"/>
      <c r="H3223" s="315"/>
      <c r="I3223" s="315"/>
      <c r="BA3223" s="30"/>
      <c r="BB3223" s="155"/>
      <c r="BC3223" s="314"/>
      <c r="BD3223" s="314"/>
      <c r="BE3223" s="314"/>
      <c r="BF3223" s="314"/>
      <c r="BG3223" s="314"/>
      <c r="BH3223" s="314"/>
      <c r="BI3223" s="314"/>
      <c r="BJ3223" s="314"/>
      <c r="BK3223" s="40"/>
      <c r="BL3223" s="40"/>
      <c r="BM3223" s="40"/>
      <c r="BN3223" s="40"/>
      <c r="BO3223" s="40"/>
      <c r="BP3223" s="155"/>
      <c r="BQ3223" s="314"/>
      <c r="BR3223" s="314"/>
      <c r="BS3223" s="314"/>
      <c r="BT3223" s="314"/>
      <c r="BU3223" s="314"/>
      <c r="BV3223" s="314"/>
      <c r="BW3223" s="314"/>
      <c r="BX3223" s="155"/>
    </row>
    <row r="3224" spans="1:76" ht="15.75" customHeight="1">
      <c r="A3224" s="25"/>
      <c r="B3224" s="39"/>
      <c r="C3224" s="155"/>
      <c r="D3224" s="155"/>
      <c r="E3224" s="40"/>
      <c r="F3224" s="314"/>
      <c r="H3224" s="315"/>
      <c r="I3224" s="315"/>
      <c r="BA3224" s="30"/>
      <c r="BB3224" s="155"/>
      <c r="BC3224" s="314"/>
      <c r="BD3224" s="314"/>
      <c r="BE3224" s="314"/>
      <c r="BF3224" s="314"/>
      <c r="BG3224" s="314"/>
      <c r="BH3224" s="314"/>
      <c r="BI3224" s="314"/>
      <c r="BJ3224" s="314"/>
      <c r="BK3224" s="40"/>
      <c r="BL3224" s="40"/>
      <c r="BM3224" s="40"/>
      <c r="BN3224" s="40"/>
      <c r="BO3224" s="40"/>
      <c r="BP3224" s="155"/>
      <c r="BQ3224" s="314"/>
      <c r="BR3224" s="314"/>
      <c r="BS3224" s="314"/>
      <c r="BT3224" s="314"/>
      <c r="BU3224" s="314"/>
      <c r="BV3224" s="314"/>
      <c r="BW3224" s="314"/>
      <c r="BX3224" s="155"/>
    </row>
    <row r="3225" spans="1:76" ht="15.75" customHeight="1">
      <c r="A3225" s="25"/>
      <c r="B3225" s="39"/>
      <c r="C3225" s="155"/>
      <c r="D3225" s="155"/>
      <c r="E3225" s="40"/>
      <c r="F3225" s="314"/>
      <c r="H3225" s="315"/>
      <c r="I3225" s="315"/>
      <c r="BA3225" s="30"/>
      <c r="BB3225" s="155"/>
      <c r="BC3225" s="314"/>
      <c r="BD3225" s="314"/>
      <c r="BE3225" s="314"/>
      <c r="BF3225" s="314"/>
      <c r="BG3225" s="314"/>
      <c r="BH3225" s="314"/>
      <c r="BI3225" s="314"/>
      <c r="BJ3225" s="314"/>
      <c r="BK3225" s="40"/>
      <c r="BL3225" s="40"/>
      <c r="BM3225" s="40"/>
      <c r="BN3225" s="40"/>
      <c r="BO3225" s="40"/>
      <c r="BP3225" s="155"/>
      <c r="BQ3225" s="314"/>
      <c r="BR3225" s="314"/>
      <c r="BS3225" s="314"/>
      <c r="BT3225" s="314"/>
      <c r="BU3225" s="314"/>
      <c r="BV3225" s="314"/>
      <c r="BW3225" s="314"/>
      <c r="BX3225" s="155"/>
    </row>
    <row r="3226" spans="1:76" ht="15.75" customHeight="1">
      <c r="A3226" s="25"/>
      <c r="B3226" s="39"/>
      <c r="C3226" s="155"/>
      <c r="D3226" s="155"/>
      <c r="E3226" s="40"/>
      <c r="F3226" s="314"/>
      <c r="H3226" s="315"/>
      <c r="I3226" s="315"/>
      <c r="BA3226" s="30"/>
      <c r="BB3226" s="155"/>
      <c r="BC3226" s="314"/>
      <c r="BD3226" s="314"/>
      <c r="BE3226" s="314"/>
      <c r="BF3226" s="314"/>
      <c r="BG3226" s="314"/>
      <c r="BH3226" s="314"/>
      <c r="BI3226" s="314"/>
      <c r="BJ3226" s="314"/>
      <c r="BK3226" s="40"/>
      <c r="BL3226" s="40"/>
      <c r="BM3226" s="40"/>
      <c r="BN3226" s="40"/>
      <c r="BO3226" s="40"/>
      <c r="BP3226" s="155"/>
      <c r="BQ3226" s="314"/>
      <c r="BR3226" s="314"/>
      <c r="BS3226" s="314"/>
      <c r="BT3226" s="314"/>
      <c r="BU3226" s="314"/>
      <c r="BV3226" s="314"/>
      <c r="BW3226" s="314"/>
      <c r="BX3226" s="155"/>
    </row>
    <row r="3227" spans="1:76" ht="15.75" customHeight="1">
      <c r="A3227" s="25"/>
      <c r="B3227" s="39"/>
      <c r="C3227" s="155"/>
      <c r="D3227" s="155"/>
      <c r="E3227" s="40"/>
      <c r="F3227" s="314"/>
      <c r="H3227" s="315"/>
      <c r="I3227" s="315"/>
      <c r="BA3227" s="30"/>
      <c r="BB3227" s="155"/>
      <c r="BC3227" s="314"/>
      <c r="BD3227" s="314"/>
      <c r="BE3227" s="314"/>
      <c r="BF3227" s="314"/>
      <c r="BG3227" s="314"/>
      <c r="BH3227" s="314"/>
      <c r="BI3227" s="314"/>
      <c r="BJ3227" s="314"/>
      <c r="BK3227" s="40"/>
      <c r="BL3227" s="40"/>
      <c r="BM3227" s="40"/>
      <c r="BN3227" s="40"/>
      <c r="BO3227" s="40"/>
      <c r="BP3227" s="155"/>
      <c r="BQ3227" s="314"/>
      <c r="BR3227" s="314"/>
      <c r="BS3227" s="314"/>
      <c r="BT3227" s="314"/>
      <c r="BU3227" s="314"/>
      <c r="BV3227" s="314"/>
      <c r="BW3227" s="314"/>
      <c r="BX3227" s="155"/>
    </row>
    <row r="3228" spans="1:76" ht="15.75" customHeight="1">
      <c r="A3228" s="25"/>
      <c r="B3228" s="39"/>
      <c r="C3228" s="155"/>
      <c r="D3228" s="155"/>
      <c r="E3228" s="40"/>
      <c r="F3228" s="314"/>
      <c r="H3228" s="315"/>
      <c r="I3228" s="315"/>
      <c r="BA3228" s="30"/>
      <c r="BB3228" s="155"/>
      <c r="BC3228" s="322"/>
      <c r="BD3228" s="322"/>
      <c r="BE3228" s="322"/>
      <c r="BF3228" s="322"/>
      <c r="BG3228" s="322"/>
      <c r="BH3228" s="322"/>
      <c r="BI3228" s="322"/>
      <c r="BJ3228" s="322"/>
      <c r="BK3228" s="341"/>
      <c r="BL3228" s="40"/>
      <c r="BM3228" s="40"/>
      <c r="BN3228" s="40"/>
      <c r="BO3228" s="40"/>
      <c r="BP3228" s="155"/>
      <c r="BQ3228" s="314"/>
      <c r="BR3228" s="314"/>
      <c r="BS3228" s="314"/>
      <c r="BT3228" s="314"/>
      <c r="BU3228" s="314"/>
      <c r="BV3228" s="314"/>
      <c r="BW3228" s="314"/>
      <c r="BX3228" s="155"/>
    </row>
    <row r="3229" spans="1:76" ht="15.75" customHeight="1">
      <c r="A3229" s="25"/>
      <c r="B3229" s="39"/>
      <c r="C3229" s="155"/>
      <c r="D3229" s="155"/>
      <c r="E3229" s="40"/>
      <c r="F3229" s="314"/>
      <c r="H3229" s="315"/>
      <c r="I3229" s="315"/>
      <c r="BA3229" s="30"/>
      <c r="BB3229" s="155"/>
      <c r="BC3229" s="314"/>
      <c r="BD3229" s="314"/>
      <c r="BE3229" s="314"/>
      <c r="BF3229" s="314"/>
      <c r="BG3229" s="314"/>
      <c r="BH3229" s="314"/>
      <c r="BI3229" s="314"/>
      <c r="BJ3229" s="314"/>
      <c r="BK3229" s="40"/>
      <c r="BL3229" s="40"/>
      <c r="BM3229" s="40"/>
      <c r="BN3229" s="40"/>
      <c r="BO3229" s="40"/>
      <c r="BP3229" s="155"/>
      <c r="BQ3229" s="314"/>
      <c r="BR3229" s="314"/>
      <c r="BS3229" s="314"/>
      <c r="BT3229" s="314"/>
      <c r="BU3229" s="314"/>
      <c r="BV3229" s="314"/>
      <c r="BW3229" s="314"/>
      <c r="BX3229" s="155"/>
    </row>
    <row r="3230" spans="1:76" ht="15.75" customHeight="1">
      <c r="A3230" s="25"/>
      <c r="B3230" s="39"/>
      <c r="C3230" s="155"/>
      <c r="D3230" s="155"/>
      <c r="E3230" s="40"/>
      <c r="F3230" s="314"/>
      <c r="H3230" s="315"/>
      <c r="I3230" s="315"/>
      <c r="BA3230" s="30"/>
      <c r="BB3230" s="155"/>
      <c r="BC3230" s="314"/>
      <c r="BD3230" s="314"/>
      <c r="BE3230" s="314"/>
      <c r="BF3230" s="314"/>
      <c r="BG3230" s="314"/>
      <c r="BH3230" s="314"/>
      <c r="BI3230" s="314"/>
      <c r="BJ3230" s="314"/>
      <c r="BK3230" s="40"/>
      <c r="BL3230" s="40"/>
      <c r="BM3230" s="40"/>
      <c r="BN3230" s="40"/>
      <c r="BO3230" s="40"/>
      <c r="BP3230" s="155"/>
      <c r="BQ3230" s="314"/>
      <c r="BR3230" s="314"/>
      <c r="BS3230" s="314"/>
      <c r="BT3230" s="314"/>
      <c r="BU3230" s="314"/>
      <c r="BV3230" s="314"/>
      <c r="BW3230" s="314"/>
      <c r="BX3230" s="155"/>
    </row>
    <row r="3231" spans="1:76" ht="15.75" customHeight="1">
      <c r="A3231" s="25"/>
      <c r="B3231" s="39"/>
      <c r="C3231" s="155"/>
      <c r="D3231" s="155"/>
      <c r="E3231" s="40"/>
      <c r="F3231" s="314"/>
      <c r="H3231" s="315"/>
      <c r="I3231" s="315"/>
      <c r="BA3231" s="30"/>
      <c r="BB3231" s="155"/>
      <c r="BC3231" s="314"/>
      <c r="BD3231" s="314"/>
      <c r="BE3231" s="314"/>
      <c r="BF3231" s="314"/>
      <c r="BG3231" s="314"/>
      <c r="BH3231" s="314"/>
      <c r="BI3231" s="314"/>
      <c r="BJ3231" s="314"/>
      <c r="BK3231" s="40"/>
      <c r="BL3231" s="40"/>
      <c r="BM3231" s="40"/>
      <c r="BN3231" s="40"/>
      <c r="BO3231" s="40"/>
      <c r="BP3231" s="155"/>
      <c r="BQ3231" s="314"/>
      <c r="BR3231" s="314"/>
      <c r="BS3231" s="314"/>
      <c r="BT3231" s="314"/>
      <c r="BU3231" s="314"/>
      <c r="BV3231" s="314"/>
      <c r="BW3231" s="314"/>
      <c r="BX3231" s="155"/>
    </row>
    <row r="3232" spans="1:76" ht="15.75" customHeight="1">
      <c r="A3232" s="25"/>
      <c r="B3232" s="39"/>
      <c r="C3232" s="155"/>
      <c r="D3232" s="155"/>
      <c r="E3232" s="40"/>
      <c r="F3232" s="314"/>
      <c r="H3232" s="315"/>
      <c r="I3232" s="315"/>
      <c r="BA3232" s="30"/>
      <c r="BB3232" s="155"/>
      <c r="BC3232" s="314"/>
      <c r="BD3232" s="314"/>
      <c r="BE3232" s="314"/>
      <c r="BF3232" s="314"/>
      <c r="BG3232" s="314"/>
      <c r="BH3232" s="314"/>
      <c r="BI3232" s="314"/>
      <c r="BJ3232" s="314"/>
      <c r="BK3232" s="40"/>
      <c r="BL3232" s="40"/>
      <c r="BM3232" s="40"/>
      <c r="BN3232" s="40"/>
      <c r="BO3232" s="40"/>
      <c r="BP3232" s="155"/>
      <c r="BQ3232" s="314"/>
      <c r="BR3232" s="314"/>
      <c r="BS3232" s="314"/>
      <c r="BT3232" s="314"/>
      <c r="BU3232" s="314"/>
      <c r="BV3232" s="314"/>
      <c r="BW3232" s="314"/>
      <c r="BX3232" s="155"/>
    </row>
    <row r="3233" spans="1:76" ht="15.75" customHeight="1">
      <c r="A3233" s="25"/>
      <c r="B3233" s="39"/>
      <c r="C3233" s="155"/>
      <c r="D3233" s="155"/>
      <c r="E3233" s="40"/>
      <c r="F3233" s="314"/>
      <c r="H3233" s="315"/>
      <c r="I3233" s="315"/>
      <c r="BA3233" s="30"/>
      <c r="BB3233" s="155"/>
      <c r="BC3233" s="314"/>
      <c r="BD3233" s="314"/>
      <c r="BE3233" s="314"/>
      <c r="BF3233" s="314"/>
      <c r="BG3233" s="314"/>
      <c r="BH3233" s="314"/>
      <c r="BI3233" s="314"/>
      <c r="BJ3233" s="314"/>
      <c r="BK3233" s="40"/>
      <c r="BL3233" s="40"/>
      <c r="BM3233" s="40"/>
      <c r="BN3233" s="40"/>
      <c r="BO3233" s="40"/>
      <c r="BP3233" s="155"/>
      <c r="BQ3233" s="314"/>
      <c r="BR3233" s="314"/>
      <c r="BS3233" s="314"/>
      <c r="BT3233" s="314"/>
      <c r="BU3233" s="314"/>
      <c r="BV3233" s="314"/>
      <c r="BW3233" s="314"/>
      <c r="BX3233" s="155"/>
    </row>
    <row r="3234" spans="1:76" ht="15.75" customHeight="1">
      <c r="A3234" s="25"/>
      <c r="B3234" s="39"/>
      <c r="C3234" s="155"/>
      <c r="D3234" s="155"/>
      <c r="E3234" s="40"/>
      <c r="F3234" s="314"/>
      <c r="H3234" s="315"/>
      <c r="I3234" s="315"/>
      <c r="BA3234" s="30"/>
      <c r="BB3234" s="155"/>
      <c r="BC3234" s="314"/>
      <c r="BD3234" s="314"/>
      <c r="BE3234" s="314"/>
      <c r="BF3234" s="314"/>
      <c r="BG3234" s="314"/>
      <c r="BH3234" s="314"/>
      <c r="BI3234" s="314"/>
      <c r="BJ3234" s="314"/>
      <c r="BK3234" s="40"/>
      <c r="BL3234" s="40"/>
      <c r="BM3234" s="40"/>
      <c r="BN3234" s="40"/>
      <c r="BO3234" s="40"/>
      <c r="BP3234" s="155"/>
      <c r="BQ3234" s="314"/>
      <c r="BR3234" s="314"/>
      <c r="BS3234" s="314"/>
      <c r="BT3234" s="314"/>
      <c r="BU3234" s="314"/>
      <c r="BV3234" s="314"/>
      <c r="BW3234" s="314"/>
      <c r="BX3234" s="155"/>
    </row>
    <row r="3235" spans="1:76" ht="15.75" customHeight="1">
      <c r="A3235" s="25"/>
      <c r="B3235" s="39"/>
      <c r="C3235" s="155"/>
      <c r="D3235" s="155"/>
      <c r="E3235" s="40"/>
      <c r="F3235" s="314"/>
      <c r="H3235" s="315"/>
      <c r="I3235" s="315"/>
      <c r="BA3235" s="30"/>
      <c r="BB3235" s="155"/>
      <c r="BC3235" s="314"/>
      <c r="BD3235" s="314"/>
      <c r="BE3235" s="314"/>
      <c r="BF3235" s="314"/>
      <c r="BG3235" s="314"/>
      <c r="BH3235" s="314"/>
      <c r="BI3235" s="314"/>
      <c r="BJ3235" s="314"/>
      <c r="BK3235" s="40"/>
      <c r="BL3235" s="40"/>
      <c r="BM3235" s="40"/>
      <c r="BN3235" s="40"/>
      <c r="BO3235" s="40"/>
      <c r="BP3235" s="155"/>
      <c r="BQ3235" s="314"/>
      <c r="BR3235" s="314"/>
      <c r="BS3235" s="314"/>
      <c r="BT3235" s="314"/>
      <c r="BU3235" s="314"/>
      <c r="BV3235" s="314"/>
      <c r="BW3235" s="314"/>
      <c r="BX3235" s="155"/>
    </row>
    <row r="3236" spans="1:76" ht="15.75" customHeight="1">
      <c r="A3236" s="25"/>
      <c r="B3236" s="39"/>
      <c r="C3236" s="155"/>
      <c r="D3236" s="155"/>
      <c r="E3236" s="40"/>
      <c r="F3236" s="314"/>
      <c r="H3236" s="315"/>
      <c r="I3236" s="315"/>
      <c r="BA3236" s="30"/>
      <c r="BB3236" s="155"/>
      <c r="BC3236" s="314"/>
      <c r="BD3236" s="314"/>
      <c r="BE3236" s="314"/>
      <c r="BF3236" s="314"/>
      <c r="BG3236" s="314"/>
      <c r="BH3236" s="314"/>
      <c r="BI3236" s="314"/>
      <c r="BJ3236" s="314"/>
      <c r="BK3236" s="40"/>
      <c r="BL3236" s="40"/>
      <c r="BM3236" s="40"/>
      <c r="BN3236" s="40"/>
      <c r="BO3236" s="40"/>
      <c r="BP3236" s="155"/>
      <c r="BQ3236" s="314"/>
      <c r="BR3236" s="314"/>
      <c r="BS3236" s="314"/>
      <c r="BT3236" s="314"/>
      <c r="BU3236" s="314"/>
      <c r="BV3236" s="314"/>
      <c r="BW3236" s="314"/>
      <c r="BX3236" s="155"/>
    </row>
    <row r="3237" spans="1:76" ht="15.75" customHeight="1">
      <c r="A3237" s="25"/>
      <c r="B3237" s="39"/>
      <c r="C3237" s="155"/>
      <c r="D3237" s="155"/>
      <c r="E3237" s="40"/>
      <c r="F3237" s="314"/>
      <c r="H3237" s="315"/>
      <c r="I3237" s="315"/>
      <c r="BA3237" s="30"/>
      <c r="BB3237" s="155"/>
      <c r="BC3237" s="314"/>
      <c r="BD3237" s="314"/>
      <c r="BE3237" s="314"/>
      <c r="BF3237" s="314"/>
      <c r="BG3237" s="314"/>
      <c r="BH3237" s="314"/>
      <c r="BI3237" s="314"/>
      <c r="BJ3237" s="314"/>
      <c r="BK3237" s="40"/>
      <c r="BL3237" s="40"/>
      <c r="BM3237" s="40"/>
      <c r="BN3237" s="40"/>
      <c r="BO3237" s="40"/>
      <c r="BP3237" s="155"/>
      <c r="BQ3237" s="314"/>
      <c r="BR3237" s="314"/>
      <c r="BS3237" s="314"/>
      <c r="BT3237" s="314"/>
      <c r="BU3237" s="314"/>
      <c r="BV3237" s="314"/>
      <c r="BW3237" s="314"/>
      <c r="BX3237" s="155"/>
    </row>
    <row r="3238" spans="1:76" ht="15.75" customHeight="1">
      <c r="A3238" s="25"/>
      <c r="B3238" s="39"/>
      <c r="C3238" s="155"/>
      <c r="D3238" s="155"/>
      <c r="E3238" s="40"/>
      <c r="F3238" s="314"/>
      <c r="H3238" s="315"/>
      <c r="I3238" s="315"/>
      <c r="BA3238" s="30"/>
      <c r="BB3238" s="155"/>
      <c r="BC3238" s="314"/>
      <c r="BD3238" s="314"/>
      <c r="BE3238" s="314"/>
      <c r="BF3238" s="314"/>
      <c r="BG3238" s="314"/>
      <c r="BH3238" s="314"/>
      <c r="BI3238" s="314"/>
      <c r="BJ3238" s="314"/>
      <c r="BK3238" s="40"/>
      <c r="BL3238" s="40"/>
      <c r="BM3238" s="40"/>
      <c r="BN3238" s="40"/>
      <c r="BO3238" s="40"/>
      <c r="BP3238" s="155"/>
      <c r="BQ3238" s="314"/>
      <c r="BR3238" s="314"/>
      <c r="BS3238" s="314"/>
      <c r="BT3238" s="314"/>
      <c r="BU3238" s="314"/>
      <c r="BV3238" s="314"/>
      <c r="BW3238" s="314"/>
      <c r="BX3238" s="155"/>
    </row>
    <row r="3239" spans="1:76" ht="15.75" customHeight="1">
      <c r="A3239" s="25"/>
      <c r="B3239" s="39"/>
      <c r="C3239" s="155"/>
      <c r="D3239" s="155"/>
      <c r="E3239" s="40"/>
      <c r="F3239" s="314"/>
      <c r="H3239" s="315"/>
      <c r="I3239" s="315"/>
      <c r="BA3239" s="30"/>
      <c r="BB3239" s="155"/>
      <c r="BC3239" s="314"/>
      <c r="BD3239" s="314"/>
      <c r="BE3239" s="314"/>
      <c r="BF3239" s="314"/>
      <c r="BG3239" s="314"/>
      <c r="BH3239" s="314"/>
      <c r="BI3239" s="314"/>
      <c r="BJ3239" s="314"/>
      <c r="BK3239" s="40"/>
      <c r="BL3239" s="40"/>
      <c r="BM3239" s="40"/>
      <c r="BN3239" s="40"/>
      <c r="BO3239" s="40"/>
      <c r="BP3239" s="155"/>
      <c r="BQ3239" s="314"/>
      <c r="BR3239" s="314"/>
      <c r="BS3239" s="314"/>
      <c r="BT3239" s="314"/>
      <c r="BU3239" s="314"/>
      <c r="BV3239" s="314"/>
      <c r="BW3239" s="314"/>
      <c r="BX3239" s="155"/>
    </row>
    <row r="3240" spans="1:76" ht="15.75" customHeight="1">
      <c r="A3240" s="25"/>
      <c r="B3240" s="39"/>
      <c r="C3240" s="155"/>
      <c r="D3240" s="155"/>
      <c r="E3240" s="40"/>
      <c r="F3240" s="314"/>
      <c r="H3240" s="315"/>
      <c r="I3240" s="315"/>
      <c r="BA3240" s="30"/>
      <c r="BB3240" s="155"/>
      <c r="BC3240" s="314"/>
      <c r="BD3240" s="314"/>
      <c r="BE3240" s="314"/>
      <c r="BF3240" s="314"/>
      <c r="BG3240" s="314"/>
      <c r="BH3240" s="314"/>
      <c r="BI3240" s="314"/>
      <c r="BJ3240" s="314"/>
      <c r="BK3240" s="40"/>
      <c r="BL3240" s="40"/>
      <c r="BM3240" s="40"/>
      <c r="BN3240" s="40"/>
      <c r="BO3240" s="40"/>
      <c r="BP3240" s="155"/>
      <c r="BQ3240" s="314"/>
      <c r="BR3240" s="314"/>
      <c r="BS3240" s="314"/>
      <c r="BT3240" s="314"/>
      <c r="BU3240" s="314"/>
      <c r="BV3240" s="314"/>
      <c r="BW3240" s="314"/>
      <c r="BX3240" s="155"/>
    </row>
    <row r="3241" spans="1:76" ht="15.75" customHeight="1">
      <c r="A3241" s="25"/>
      <c r="B3241" s="39"/>
      <c r="C3241" s="155"/>
      <c r="D3241" s="155"/>
      <c r="E3241" s="40"/>
      <c r="F3241" s="314"/>
      <c r="H3241" s="315"/>
      <c r="I3241" s="315"/>
      <c r="BA3241" s="30"/>
      <c r="BB3241" s="155"/>
      <c r="BC3241" s="314"/>
      <c r="BD3241" s="314"/>
      <c r="BE3241" s="314"/>
      <c r="BF3241" s="314"/>
      <c r="BG3241" s="314"/>
      <c r="BH3241" s="314"/>
      <c r="BI3241" s="314"/>
      <c r="BJ3241" s="314"/>
      <c r="BK3241" s="40"/>
      <c r="BL3241" s="40"/>
      <c r="BM3241" s="40"/>
      <c r="BN3241" s="40"/>
      <c r="BO3241" s="40"/>
      <c r="BP3241" s="155"/>
      <c r="BQ3241" s="314"/>
      <c r="BR3241" s="314"/>
      <c r="BS3241" s="314"/>
      <c r="BT3241" s="314"/>
      <c r="BU3241" s="314"/>
      <c r="BV3241" s="314"/>
      <c r="BW3241" s="314"/>
      <c r="BX3241" s="155"/>
    </row>
    <row r="3242" spans="1:76" ht="15.75" customHeight="1">
      <c r="A3242" s="25"/>
      <c r="B3242" s="39"/>
      <c r="C3242" s="155"/>
      <c r="D3242" s="155"/>
      <c r="E3242" s="40"/>
      <c r="F3242" s="314"/>
      <c r="H3242" s="315"/>
      <c r="I3242" s="315"/>
      <c r="BA3242" s="30"/>
      <c r="BB3242" s="155"/>
      <c r="BC3242" s="314"/>
      <c r="BD3242" s="314"/>
      <c r="BE3242" s="314"/>
      <c r="BF3242" s="314"/>
      <c r="BG3242" s="314"/>
      <c r="BH3242" s="314"/>
      <c r="BI3242" s="314"/>
      <c r="BJ3242" s="314"/>
      <c r="BK3242" s="40"/>
      <c r="BL3242" s="40"/>
      <c r="BM3242" s="40"/>
      <c r="BN3242" s="40"/>
      <c r="BO3242" s="40"/>
      <c r="BP3242" s="155"/>
      <c r="BQ3242" s="314"/>
      <c r="BR3242" s="314"/>
      <c r="BS3242" s="314"/>
      <c r="BT3242" s="314"/>
      <c r="BU3242" s="314"/>
      <c r="BV3242" s="314"/>
      <c r="BW3242" s="314"/>
      <c r="BX3242" s="155"/>
    </row>
    <row r="3243" spans="1:76" ht="15.75" customHeight="1">
      <c r="A3243" s="25"/>
      <c r="B3243" s="39"/>
      <c r="C3243" s="155"/>
      <c r="D3243" s="155"/>
      <c r="E3243" s="40"/>
      <c r="F3243" s="314"/>
      <c r="H3243" s="315"/>
      <c r="I3243" s="315"/>
      <c r="BA3243" s="30"/>
      <c r="BB3243" s="155"/>
      <c r="BC3243" s="314"/>
      <c r="BD3243" s="314"/>
      <c r="BE3243" s="314"/>
      <c r="BF3243" s="314"/>
      <c r="BG3243" s="314"/>
      <c r="BH3243" s="314"/>
      <c r="BI3243" s="314"/>
      <c r="BJ3243" s="314"/>
      <c r="BK3243" s="40"/>
      <c r="BL3243" s="40"/>
      <c r="BM3243" s="40"/>
      <c r="BN3243" s="40"/>
      <c r="BO3243" s="40"/>
      <c r="BP3243" s="155"/>
      <c r="BQ3243" s="314"/>
      <c r="BR3243" s="314"/>
      <c r="BS3243" s="314"/>
      <c r="BT3243" s="314"/>
      <c r="BU3243" s="314"/>
      <c r="BV3243" s="314"/>
      <c r="BW3243" s="314"/>
      <c r="BX3243" s="155"/>
    </row>
    <row r="3244" spans="1:76" ht="15.75" customHeight="1">
      <c r="A3244" s="25"/>
      <c r="B3244" s="39"/>
      <c r="C3244" s="155"/>
      <c r="D3244" s="155"/>
      <c r="E3244" s="40"/>
      <c r="F3244" s="314"/>
      <c r="H3244" s="315"/>
      <c r="I3244" s="315"/>
      <c r="BA3244" s="30"/>
      <c r="BB3244" s="155"/>
      <c r="BC3244" s="314"/>
      <c r="BD3244" s="314"/>
      <c r="BE3244" s="314"/>
      <c r="BF3244" s="314"/>
      <c r="BG3244" s="314"/>
      <c r="BH3244" s="314"/>
      <c r="BI3244" s="314"/>
      <c r="BJ3244" s="314"/>
      <c r="BK3244" s="40"/>
      <c r="BL3244" s="40"/>
      <c r="BM3244" s="40"/>
      <c r="BN3244" s="40"/>
      <c r="BO3244" s="40"/>
      <c r="BP3244" s="155"/>
      <c r="BQ3244" s="314"/>
      <c r="BR3244" s="314"/>
      <c r="BS3244" s="314"/>
      <c r="BT3244" s="314"/>
      <c r="BU3244" s="314"/>
      <c r="BV3244" s="314"/>
      <c r="BW3244" s="314"/>
      <c r="BX3244" s="155"/>
    </row>
    <row r="3245" spans="1:76" ht="15.75" customHeight="1">
      <c r="A3245" s="25"/>
      <c r="B3245" s="39"/>
      <c r="C3245" s="155"/>
      <c r="D3245" s="155"/>
      <c r="E3245" s="40"/>
      <c r="F3245" s="314"/>
      <c r="H3245" s="315"/>
      <c r="I3245" s="315"/>
      <c r="BA3245" s="30"/>
      <c r="BB3245" s="155"/>
      <c r="BC3245" s="314"/>
      <c r="BD3245" s="314"/>
      <c r="BE3245" s="314"/>
      <c r="BF3245" s="314"/>
      <c r="BG3245" s="314"/>
      <c r="BH3245" s="314"/>
      <c r="BI3245" s="314"/>
      <c r="BJ3245" s="314"/>
      <c r="BK3245" s="40"/>
      <c r="BL3245" s="40"/>
      <c r="BM3245" s="40"/>
      <c r="BN3245" s="40"/>
      <c r="BO3245" s="40"/>
      <c r="BP3245" s="155"/>
      <c r="BQ3245" s="314"/>
      <c r="BR3245" s="314"/>
      <c r="BS3245" s="314"/>
      <c r="BT3245" s="314"/>
      <c r="BU3245" s="314"/>
      <c r="BV3245" s="314"/>
      <c r="BW3245" s="314"/>
      <c r="BX3245" s="155"/>
    </row>
    <row r="3246" spans="1:76" ht="15.75" customHeight="1">
      <c r="A3246" s="25"/>
      <c r="B3246" s="39"/>
      <c r="C3246" s="155"/>
      <c r="D3246" s="155"/>
      <c r="E3246" s="40"/>
      <c r="F3246" s="314"/>
      <c r="H3246" s="315"/>
      <c r="I3246" s="315"/>
      <c r="BA3246" s="30"/>
      <c r="BB3246" s="155"/>
      <c r="BC3246" s="314"/>
      <c r="BD3246" s="314"/>
      <c r="BE3246" s="314"/>
      <c r="BF3246" s="314"/>
      <c r="BG3246" s="314"/>
      <c r="BH3246" s="314"/>
      <c r="BI3246" s="314"/>
      <c r="BJ3246" s="314"/>
      <c r="BK3246" s="40"/>
      <c r="BL3246" s="40"/>
      <c r="BM3246" s="40"/>
      <c r="BN3246" s="40"/>
      <c r="BO3246" s="40"/>
      <c r="BP3246" s="155"/>
      <c r="BQ3246" s="314"/>
      <c r="BR3246" s="314"/>
      <c r="BS3246" s="314"/>
      <c r="BT3246" s="314"/>
      <c r="BU3246" s="314"/>
      <c r="BV3246" s="314"/>
      <c r="BW3246" s="314"/>
      <c r="BX3246" s="155"/>
    </row>
    <row r="3247" spans="1:76" ht="15.75" customHeight="1">
      <c r="A3247" s="25"/>
      <c r="B3247" s="39"/>
      <c r="C3247" s="155"/>
      <c r="D3247" s="155"/>
      <c r="E3247" s="40"/>
      <c r="F3247" s="314"/>
      <c r="H3247" s="315"/>
      <c r="I3247" s="315"/>
      <c r="BA3247" s="30"/>
      <c r="BB3247" s="155"/>
      <c r="BC3247" s="322"/>
      <c r="BD3247" s="322"/>
      <c r="BE3247" s="322"/>
      <c r="BF3247" s="322"/>
      <c r="BG3247" s="322"/>
      <c r="BH3247" s="322"/>
      <c r="BI3247" s="322"/>
      <c r="BJ3247" s="322"/>
      <c r="BK3247" s="341"/>
      <c r="BL3247" s="40"/>
      <c r="BM3247" s="40"/>
      <c r="BN3247" s="40"/>
      <c r="BO3247" s="40"/>
      <c r="BP3247" s="155"/>
      <c r="BQ3247" s="314"/>
      <c r="BR3247" s="314"/>
      <c r="BS3247" s="314"/>
      <c r="BT3247" s="314"/>
      <c r="BU3247" s="314"/>
      <c r="BV3247" s="314"/>
      <c r="BW3247" s="314"/>
      <c r="BX3247" s="155"/>
    </row>
    <row r="3248" spans="1:76" ht="15.75" customHeight="1">
      <c r="A3248" s="25"/>
      <c r="B3248" s="39"/>
      <c r="C3248" s="155"/>
      <c r="D3248" s="155"/>
      <c r="E3248" s="40"/>
      <c r="F3248" s="314"/>
      <c r="H3248" s="315"/>
      <c r="I3248" s="315"/>
      <c r="BA3248" s="30"/>
      <c r="BB3248" s="155"/>
      <c r="BC3248" s="314"/>
      <c r="BD3248" s="314"/>
      <c r="BE3248" s="314"/>
      <c r="BF3248" s="314"/>
      <c r="BG3248" s="314"/>
      <c r="BH3248" s="314"/>
      <c r="BI3248" s="314"/>
      <c r="BJ3248" s="314"/>
      <c r="BK3248" s="40"/>
      <c r="BL3248" s="40"/>
      <c r="BM3248" s="40"/>
      <c r="BN3248" s="40"/>
      <c r="BO3248" s="40"/>
      <c r="BP3248" s="155"/>
      <c r="BQ3248" s="314"/>
      <c r="BR3248" s="314"/>
      <c r="BS3248" s="314"/>
      <c r="BT3248" s="314"/>
      <c r="BU3248" s="314"/>
      <c r="BV3248" s="314"/>
      <c r="BW3248" s="314"/>
      <c r="BX3248" s="155"/>
    </row>
    <row r="3249" spans="1:76" ht="15.75" customHeight="1">
      <c r="A3249" s="25"/>
      <c r="B3249" s="39"/>
      <c r="C3249" s="155"/>
      <c r="D3249" s="155"/>
      <c r="E3249" s="40"/>
      <c r="F3249" s="314"/>
      <c r="H3249" s="315"/>
      <c r="I3249" s="315"/>
      <c r="BA3249" s="30"/>
      <c r="BB3249" s="155"/>
      <c r="BC3249" s="314"/>
      <c r="BD3249" s="314"/>
      <c r="BE3249" s="314"/>
      <c r="BF3249" s="314"/>
      <c r="BG3249" s="314"/>
      <c r="BH3249" s="314"/>
      <c r="BI3249" s="314"/>
      <c r="BJ3249" s="314"/>
      <c r="BK3249" s="40"/>
      <c r="BL3249" s="40"/>
      <c r="BM3249" s="40"/>
      <c r="BN3249" s="40"/>
      <c r="BO3249" s="40"/>
      <c r="BP3249" s="155"/>
      <c r="BQ3249" s="314"/>
      <c r="BR3249" s="314"/>
      <c r="BS3249" s="314"/>
      <c r="BT3249" s="314"/>
      <c r="BU3249" s="314"/>
      <c r="BV3249" s="314"/>
      <c r="BW3249" s="314"/>
      <c r="BX3249" s="155"/>
    </row>
    <row r="3250" spans="1:76" ht="15.75" customHeight="1">
      <c r="A3250" s="25"/>
      <c r="B3250" s="39"/>
      <c r="C3250" s="155"/>
      <c r="D3250" s="155"/>
      <c r="E3250" s="40"/>
      <c r="F3250" s="314"/>
      <c r="H3250" s="315"/>
      <c r="I3250" s="315"/>
      <c r="BA3250" s="30"/>
      <c r="BB3250" s="155"/>
      <c r="BC3250" s="314"/>
      <c r="BD3250" s="314"/>
      <c r="BE3250" s="314"/>
      <c r="BF3250" s="314"/>
      <c r="BG3250" s="314"/>
      <c r="BH3250" s="314"/>
      <c r="BI3250" s="314"/>
      <c r="BJ3250" s="314"/>
      <c r="BK3250" s="40"/>
      <c r="BL3250" s="40"/>
      <c r="BM3250" s="40"/>
      <c r="BN3250" s="40"/>
      <c r="BO3250" s="40"/>
      <c r="BP3250" s="155"/>
      <c r="BQ3250" s="314"/>
      <c r="BR3250" s="314"/>
      <c r="BS3250" s="314"/>
      <c r="BT3250" s="314"/>
      <c r="BU3250" s="314"/>
      <c r="BV3250" s="314"/>
      <c r="BW3250" s="314"/>
      <c r="BX3250" s="155"/>
    </row>
    <row r="3251" spans="1:76" ht="15.75" customHeight="1">
      <c r="A3251" s="25"/>
      <c r="B3251" s="39"/>
      <c r="C3251" s="155"/>
      <c r="D3251" s="155"/>
      <c r="E3251" s="40"/>
      <c r="F3251" s="314"/>
      <c r="H3251" s="315"/>
      <c r="I3251" s="315"/>
      <c r="BA3251" s="30"/>
      <c r="BB3251" s="155"/>
      <c r="BC3251" s="314"/>
      <c r="BD3251" s="314"/>
      <c r="BE3251" s="314"/>
      <c r="BF3251" s="314"/>
      <c r="BG3251" s="314"/>
      <c r="BH3251" s="314"/>
      <c r="BI3251" s="314"/>
      <c r="BJ3251" s="314"/>
      <c r="BK3251" s="40"/>
      <c r="BL3251" s="40"/>
      <c r="BM3251" s="40"/>
      <c r="BN3251" s="40"/>
      <c r="BO3251" s="40"/>
      <c r="BP3251" s="155"/>
      <c r="BQ3251" s="314"/>
      <c r="BR3251" s="314"/>
      <c r="BS3251" s="314"/>
      <c r="BT3251" s="314"/>
      <c r="BU3251" s="314"/>
      <c r="BV3251" s="314"/>
      <c r="BW3251" s="314"/>
      <c r="BX3251" s="155"/>
    </row>
    <row r="3252" spans="1:76" ht="15.75" customHeight="1">
      <c r="A3252" s="25"/>
      <c r="B3252" s="39"/>
      <c r="C3252" s="155"/>
      <c r="D3252" s="155"/>
      <c r="E3252" s="40"/>
      <c r="F3252" s="314"/>
      <c r="H3252" s="315"/>
      <c r="I3252" s="315"/>
      <c r="BA3252" s="30"/>
      <c r="BB3252" s="155"/>
      <c r="BC3252" s="314"/>
      <c r="BD3252" s="314"/>
      <c r="BE3252" s="314"/>
      <c r="BF3252" s="314"/>
      <c r="BG3252" s="314"/>
      <c r="BH3252" s="314"/>
      <c r="BI3252" s="314"/>
      <c r="BJ3252" s="314"/>
      <c r="BK3252" s="40"/>
      <c r="BL3252" s="40"/>
      <c r="BM3252" s="40"/>
      <c r="BN3252" s="40"/>
      <c r="BO3252" s="40"/>
      <c r="BP3252" s="155"/>
      <c r="BQ3252" s="314"/>
      <c r="BR3252" s="314"/>
      <c r="BS3252" s="314"/>
      <c r="BT3252" s="314"/>
      <c r="BU3252" s="314"/>
      <c r="BV3252" s="314"/>
      <c r="BW3252" s="314"/>
      <c r="BX3252" s="155"/>
    </row>
    <row r="3253" spans="1:76" ht="15.75" customHeight="1">
      <c r="A3253" s="25"/>
      <c r="B3253" s="39"/>
      <c r="C3253" s="155"/>
      <c r="D3253" s="155"/>
      <c r="E3253" s="40"/>
      <c r="F3253" s="314"/>
      <c r="H3253" s="315"/>
      <c r="I3253" s="315"/>
      <c r="BA3253" s="30"/>
      <c r="BB3253" s="155"/>
      <c r="BC3253" s="314"/>
      <c r="BD3253" s="314"/>
      <c r="BE3253" s="314"/>
      <c r="BF3253" s="314"/>
      <c r="BG3253" s="314"/>
      <c r="BH3253" s="314"/>
      <c r="BI3253" s="314"/>
      <c r="BJ3253" s="314"/>
      <c r="BK3253" s="40"/>
      <c r="BL3253" s="40"/>
      <c r="BM3253" s="40"/>
      <c r="BN3253" s="40"/>
      <c r="BO3253" s="40"/>
      <c r="BP3253" s="155"/>
      <c r="BQ3253" s="314"/>
      <c r="BR3253" s="314"/>
      <c r="BS3253" s="314"/>
      <c r="BT3253" s="314"/>
      <c r="BU3253" s="314"/>
      <c r="BV3253" s="314"/>
      <c r="BW3253" s="314"/>
      <c r="BX3253" s="155"/>
    </row>
    <row r="3254" spans="1:76" ht="15.75" customHeight="1">
      <c r="A3254" s="25"/>
      <c r="B3254" s="39"/>
      <c r="C3254" s="155"/>
      <c r="D3254" s="155"/>
      <c r="E3254" s="40"/>
      <c r="F3254" s="314"/>
      <c r="H3254" s="315"/>
      <c r="I3254" s="315"/>
      <c r="BA3254" s="30"/>
      <c r="BB3254" s="155"/>
      <c r="BC3254" s="314"/>
      <c r="BD3254" s="314"/>
      <c r="BE3254" s="314"/>
      <c r="BF3254" s="314"/>
      <c r="BG3254" s="314"/>
      <c r="BH3254" s="314"/>
      <c r="BI3254" s="314"/>
      <c r="BJ3254" s="314"/>
      <c r="BK3254" s="40"/>
      <c r="BL3254" s="40"/>
      <c r="BM3254" s="40"/>
      <c r="BN3254" s="40"/>
      <c r="BO3254" s="40"/>
      <c r="BP3254" s="155"/>
      <c r="BQ3254" s="314"/>
      <c r="BR3254" s="314"/>
      <c r="BS3254" s="314"/>
      <c r="BT3254" s="314"/>
      <c r="BU3254" s="314"/>
      <c r="BV3254" s="314"/>
      <c r="BW3254" s="314"/>
      <c r="BX3254" s="155"/>
    </row>
    <row r="3255" spans="1:76" ht="15.75" customHeight="1">
      <c r="A3255" s="25"/>
      <c r="B3255" s="39"/>
      <c r="C3255" s="155"/>
      <c r="D3255" s="155"/>
      <c r="E3255" s="40"/>
      <c r="F3255" s="314"/>
      <c r="H3255" s="315"/>
      <c r="I3255" s="315"/>
      <c r="BA3255" s="30"/>
      <c r="BB3255" s="155"/>
      <c r="BC3255" s="314"/>
      <c r="BD3255" s="314"/>
      <c r="BE3255" s="314"/>
      <c r="BF3255" s="314"/>
      <c r="BG3255" s="314"/>
      <c r="BH3255" s="314"/>
      <c r="BI3255" s="314"/>
      <c r="BJ3255" s="314"/>
      <c r="BK3255" s="40"/>
      <c r="BL3255" s="40"/>
      <c r="BM3255" s="40"/>
      <c r="BN3255" s="40"/>
      <c r="BO3255" s="40"/>
      <c r="BP3255" s="155"/>
      <c r="BQ3255" s="314"/>
      <c r="BR3255" s="314"/>
      <c r="BS3255" s="314"/>
      <c r="BT3255" s="314"/>
      <c r="BU3255" s="314"/>
      <c r="BV3255" s="314"/>
      <c r="BW3255" s="314"/>
      <c r="BX3255" s="155"/>
    </row>
    <row r="3256" spans="1:76" ht="15.75" customHeight="1">
      <c r="A3256" s="25"/>
      <c r="B3256" s="39"/>
      <c r="C3256" s="155"/>
      <c r="D3256" s="155"/>
      <c r="E3256" s="40"/>
      <c r="F3256" s="314"/>
      <c r="H3256" s="315"/>
      <c r="I3256" s="315"/>
      <c r="BA3256" s="30"/>
      <c r="BB3256" s="155"/>
      <c r="BC3256" s="314"/>
      <c r="BD3256" s="314"/>
      <c r="BE3256" s="314"/>
      <c r="BF3256" s="314"/>
      <c r="BG3256" s="314"/>
      <c r="BH3256" s="314"/>
      <c r="BI3256" s="314"/>
      <c r="BJ3256" s="314"/>
      <c r="BK3256" s="40"/>
      <c r="BL3256" s="40"/>
      <c r="BM3256" s="40"/>
      <c r="BN3256" s="40"/>
      <c r="BO3256" s="40"/>
      <c r="BP3256" s="155"/>
      <c r="BQ3256" s="314"/>
      <c r="BR3256" s="314"/>
      <c r="BS3256" s="314"/>
      <c r="BT3256" s="314"/>
      <c r="BU3256" s="314"/>
      <c r="BV3256" s="314"/>
      <c r="BW3256" s="314"/>
      <c r="BX3256" s="155"/>
    </row>
    <row r="3257" spans="1:76" ht="15.75" customHeight="1">
      <c r="A3257" s="25"/>
      <c r="B3257" s="39"/>
      <c r="C3257" s="155"/>
      <c r="D3257" s="155"/>
      <c r="E3257" s="40"/>
      <c r="F3257" s="314"/>
      <c r="H3257" s="315"/>
      <c r="I3257" s="315"/>
      <c r="BA3257" s="30"/>
      <c r="BB3257" s="155"/>
      <c r="BC3257" s="314"/>
      <c r="BD3257" s="314"/>
      <c r="BE3257" s="314"/>
      <c r="BF3257" s="314"/>
      <c r="BG3257" s="314"/>
      <c r="BH3257" s="314"/>
      <c r="BI3257" s="314"/>
      <c r="BJ3257" s="314"/>
      <c r="BK3257" s="40"/>
      <c r="BL3257" s="40"/>
      <c r="BM3257" s="40"/>
      <c r="BN3257" s="40"/>
      <c r="BO3257" s="40"/>
      <c r="BP3257" s="155"/>
      <c r="BQ3257" s="314"/>
      <c r="BR3257" s="314"/>
      <c r="BS3257" s="314"/>
      <c r="BT3257" s="314"/>
      <c r="BU3257" s="314"/>
      <c r="BV3257" s="314"/>
      <c r="BW3257" s="314"/>
      <c r="BX3257" s="155"/>
    </row>
    <row r="3258" spans="1:76" ht="15.75" customHeight="1">
      <c r="A3258" s="25"/>
      <c r="B3258" s="39"/>
      <c r="C3258" s="155"/>
      <c r="D3258" s="155"/>
      <c r="E3258" s="40"/>
      <c r="F3258" s="314"/>
      <c r="H3258" s="315"/>
      <c r="I3258" s="315"/>
      <c r="BA3258" s="30"/>
      <c r="BB3258" s="155"/>
      <c r="BC3258" s="314"/>
      <c r="BD3258" s="314"/>
      <c r="BE3258" s="314"/>
      <c r="BF3258" s="314"/>
      <c r="BG3258" s="314"/>
      <c r="BH3258" s="314"/>
      <c r="BI3258" s="314"/>
      <c r="BJ3258" s="314"/>
      <c r="BK3258" s="40"/>
      <c r="BL3258" s="40"/>
      <c r="BM3258" s="40"/>
      <c r="BN3258" s="40"/>
      <c r="BO3258" s="40"/>
      <c r="BP3258" s="155"/>
      <c r="BQ3258" s="314"/>
      <c r="BR3258" s="314"/>
      <c r="BS3258" s="314"/>
      <c r="BT3258" s="314"/>
      <c r="BU3258" s="314"/>
      <c r="BV3258" s="314"/>
      <c r="BW3258" s="314"/>
      <c r="BX3258" s="155"/>
    </row>
    <row r="3259" spans="1:76" ht="15.75" customHeight="1">
      <c r="A3259" s="25"/>
      <c r="B3259" s="39"/>
      <c r="C3259" s="155"/>
      <c r="D3259" s="155"/>
      <c r="E3259" s="40"/>
      <c r="F3259" s="314"/>
      <c r="H3259" s="315"/>
      <c r="I3259" s="315"/>
      <c r="BA3259" s="30"/>
      <c r="BB3259" s="155"/>
      <c r="BC3259" s="314"/>
      <c r="BD3259" s="314"/>
      <c r="BE3259" s="314"/>
      <c r="BF3259" s="314"/>
      <c r="BG3259" s="314"/>
      <c r="BH3259" s="314"/>
      <c r="BI3259" s="314"/>
      <c r="BJ3259" s="314"/>
      <c r="BK3259" s="40"/>
      <c r="BL3259" s="40"/>
      <c r="BM3259" s="40"/>
      <c r="BN3259" s="40"/>
      <c r="BO3259" s="40"/>
      <c r="BP3259" s="155"/>
      <c r="BQ3259" s="314"/>
      <c r="BR3259" s="314"/>
      <c r="BS3259" s="314"/>
      <c r="BT3259" s="314"/>
      <c r="BU3259" s="314"/>
      <c r="BV3259" s="314"/>
      <c r="BW3259" s="314"/>
      <c r="BX3259" s="155"/>
    </row>
    <row r="3260" spans="1:76" ht="15.75" customHeight="1">
      <c r="A3260" s="25"/>
      <c r="B3260" s="39"/>
      <c r="C3260" s="155"/>
      <c r="D3260" s="155"/>
      <c r="E3260" s="40"/>
      <c r="F3260" s="314"/>
      <c r="H3260" s="315"/>
      <c r="I3260" s="315"/>
      <c r="BA3260" s="30"/>
      <c r="BB3260" s="155"/>
      <c r="BC3260" s="314"/>
      <c r="BD3260" s="314"/>
      <c r="BE3260" s="314"/>
      <c r="BF3260" s="314"/>
      <c r="BG3260" s="314"/>
      <c r="BH3260" s="314"/>
      <c r="BI3260" s="314"/>
      <c r="BJ3260" s="314"/>
      <c r="BK3260" s="40"/>
      <c r="BL3260" s="40"/>
      <c r="BM3260" s="40"/>
      <c r="BN3260" s="40"/>
      <c r="BO3260" s="40"/>
      <c r="BP3260" s="155"/>
      <c r="BQ3260" s="314"/>
      <c r="BR3260" s="314"/>
      <c r="BS3260" s="314"/>
      <c r="BT3260" s="314"/>
      <c r="BU3260" s="314"/>
      <c r="BV3260" s="314"/>
      <c r="BW3260" s="314"/>
      <c r="BX3260" s="155"/>
    </row>
    <row r="3261" spans="1:76" ht="15.75" customHeight="1">
      <c r="A3261" s="25"/>
      <c r="B3261" s="39"/>
      <c r="C3261" s="155"/>
      <c r="D3261" s="155"/>
      <c r="E3261" s="40"/>
      <c r="F3261" s="314"/>
      <c r="H3261" s="315"/>
      <c r="I3261" s="315"/>
      <c r="BA3261" s="30"/>
      <c r="BB3261" s="155"/>
      <c r="BC3261" s="314"/>
      <c r="BD3261" s="314"/>
      <c r="BE3261" s="314"/>
      <c r="BF3261" s="314"/>
      <c r="BG3261" s="314"/>
      <c r="BH3261" s="314"/>
      <c r="BI3261" s="314"/>
      <c r="BJ3261" s="314"/>
      <c r="BK3261" s="40"/>
      <c r="BL3261" s="40"/>
      <c r="BM3261" s="40"/>
      <c r="BN3261" s="40"/>
      <c r="BO3261" s="40"/>
      <c r="BP3261" s="155"/>
      <c r="BQ3261" s="314"/>
      <c r="BR3261" s="314"/>
      <c r="BS3261" s="314"/>
      <c r="BT3261" s="314"/>
      <c r="BU3261" s="314"/>
      <c r="BV3261" s="314"/>
      <c r="BW3261" s="314"/>
      <c r="BX3261" s="155"/>
    </row>
    <row r="3262" spans="1:76" ht="15.75" customHeight="1">
      <c r="A3262" s="25"/>
      <c r="B3262" s="39"/>
      <c r="C3262" s="155"/>
      <c r="D3262" s="155"/>
      <c r="E3262" s="40"/>
      <c r="F3262" s="314"/>
      <c r="H3262" s="315"/>
      <c r="I3262" s="315"/>
      <c r="BA3262" s="30"/>
      <c r="BB3262" s="155"/>
      <c r="BC3262" s="314"/>
      <c r="BD3262" s="314"/>
      <c r="BE3262" s="314"/>
      <c r="BF3262" s="314"/>
      <c r="BG3262" s="314"/>
      <c r="BH3262" s="314"/>
      <c r="BI3262" s="314"/>
      <c r="BJ3262" s="314"/>
      <c r="BK3262" s="40"/>
      <c r="BL3262" s="40"/>
      <c r="BM3262" s="40"/>
      <c r="BN3262" s="40"/>
      <c r="BO3262" s="40"/>
      <c r="BP3262" s="155"/>
      <c r="BQ3262" s="314"/>
      <c r="BR3262" s="314"/>
      <c r="BS3262" s="314"/>
      <c r="BT3262" s="314"/>
      <c r="BU3262" s="314"/>
      <c r="BV3262" s="314"/>
      <c r="BW3262" s="314"/>
      <c r="BX3262" s="155"/>
    </row>
    <row r="3263" spans="1:76" ht="15.75" customHeight="1">
      <c r="A3263" s="25"/>
      <c r="B3263" s="39"/>
      <c r="C3263" s="155"/>
      <c r="D3263" s="155"/>
      <c r="E3263" s="40"/>
      <c r="F3263" s="314"/>
      <c r="H3263" s="315"/>
      <c r="I3263" s="315"/>
      <c r="BA3263" s="30"/>
      <c r="BB3263" s="155"/>
      <c r="BC3263" s="314"/>
      <c r="BD3263" s="314"/>
      <c r="BE3263" s="314"/>
      <c r="BF3263" s="314"/>
      <c r="BG3263" s="314"/>
      <c r="BH3263" s="314"/>
      <c r="BI3263" s="314"/>
      <c r="BJ3263" s="314"/>
      <c r="BK3263" s="40"/>
      <c r="BL3263" s="40"/>
      <c r="BM3263" s="40"/>
      <c r="BN3263" s="40"/>
      <c r="BO3263" s="40"/>
      <c r="BP3263" s="155"/>
      <c r="BQ3263" s="314"/>
      <c r="BR3263" s="314"/>
      <c r="BS3263" s="314"/>
      <c r="BT3263" s="314"/>
      <c r="BU3263" s="314"/>
      <c r="BV3263" s="314"/>
      <c r="BW3263" s="314"/>
      <c r="BX3263" s="155"/>
    </row>
    <row r="3264" spans="1:76" ht="15.75" customHeight="1">
      <c r="A3264" s="25"/>
      <c r="B3264" s="39"/>
      <c r="C3264" s="155"/>
      <c r="D3264" s="155"/>
      <c r="E3264" s="40"/>
      <c r="F3264" s="314"/>
      <c r="H3264" s="315"/>
      <c r="I3264" s="315"/>
      <c r="BA3264" s="30"/>
      <c r="BB3264" s="155"/>
      <c r="BC3264" s="314"/>
      <c r="BD3264" s="314"/>
      <c r="BE3264" s="314"/>
      <c r="BF3264" s="314"/>
      <c r="BG3264" s="314"/>
      <c r="BH3264" s="314"/>
      <c r="BI3264" s="314"/>
      <c r="BJ3264" s="314"/>
      <c r="BK3264" s="40"/>
      <c r="BL3264" s="40"/>
      <c r="BM3264" s="40"/>
      <c r="BN3264" s="40"/>
      <c r="BO3264" s="40"/>
      <c r="BP3264" s="155"/>
      <c r="BQ3264" s="314"/>
      <c r="BR3264" s="314"/>
      <c r="BS3264" s="314"/>
      <c r="BT3264" s="314"/>
      <c r="BU3264" s="314"/>
      <c r="BV3264" s="314"/>
      <c r="BW3264" s="314"/>
      <c r="BX3264" s="155"/>
    </row>
    <row r="3265" spans="1:76" ht="15.75" customHeight="1">
      <c r="A3265" s="25"/>
      <c r="B3265" s="39"/>
      <c r="C3265" s="155"/>
      <c r="D3265" s="155"/>
      <c r="E3265" s="40"/>
      <c r="F3265" s="314"/>
      <c r="H3265" s="315"/>
      <c r="I3265" s="315"/>
      <c r="BA3265" s="30"/>
      <c r="BB3265" s="155"/>
      <c r="BC3265" s="314"/>
      <c r="BD3265" s="314"/>
      <c r="BE3265" s="314"/>
      <c r="BF3265" s="314"/>
      <c r="BG3265" s="314"/>
      <c r="BH3265" s="314"/>
      <c r="BI3265" s="314"/>
      <c r="BJ3265" s="314"/>
      <c r="BK3265" s="40"/>
      <c r="BL3265" s="40"/>
      <c r="BM3265" s="40"/>
      <c r="BN3265" s="40"/>
      <c r="BO3265" s="40"/>
      <c r="BP3265" s="155"/>
      <c r="BQ3265" s="314"/>
      <c r="BR3265" s="314"/>
      <c r="BS3265" s="314"/>
      <c r="BT3265" s="314"/>
      <c r="BU3265" s="314"/>
      <c r="BV3265" s="314"/>
      <c r="BW3265" s="314"/>
      <c r="BX3265" s="155"/>
    </row>
    <row r="3266" spans="1:76" ht="15.75" customHeight="1">
      <c r="A3266" s="25"/>
      <c r="B3266" s="39"/>
      <c r="C3266" s="155"/>
      <c r="D3266" s="155"/>
      <c r="E3266" s="40"/>
      <c r="F3266" s="314"/>
      <c r="H3266" s="315"/>
      <c r="I3266" s="315"/>
      <c r="BA3266" s="30"/>
      <c r="BB3266" s="155"/>
      <c r="BC3266" s="314"/>
      <c r="BD3266" s="314"/>
      <c r="BE3266" s="314"/>
      <c r="BF3266" s="314"/>
      <c r="BG3266" s="314"/>
      <c r="BH3266" s="314"/>
      <c r="BI3266" s="314"/>
      <c r="BJ3266" s="314"/>
      <c r="BK3266" s="40"/>
      <c r="BL3266" s="40"/>
      <c r="BM3266" s="40"/>
      <c r="BN3266" s="40"/>
      <c r="BO3266" s="40"/>
      <c r="BP3266" s="155"/>
      <c r="BQ3266" s="314"/>
      <c r="BR3266" s="314"/>
      <c r="BS3266" s="314"/>
      <c r="BT3266" s="314"/>
      <c r="BU3266" s="314"/>
      <c r="BV3266" s="314"/>
      <c r="BW3266" s="314"/>
      <c r="BX3266" s="155"/>
    </row>
    <row r="3267" spans="1:76" ht="15.75" customHeight="1">
      <c r="A3267" s="25"/>
      <c r="B3267" s="39"/>
      <c r="C3267" s="155"/>
      <c r="D3267" s="155"/>
      <c r="E3267" s="40"/>
      <c r="F3267" s="314"/>
      <c r="H3267" s="315"/>
      <c r="I3267" s="315"/>
      <c r="BA3267" s="30"/>
      <c r="BB3267" s="155"/>
      <c r="BC3267" s="314"/>
      <c r="BD3267" s="314"/>
      <c r="BE3267" s="314"/>
      <c r="BF3267" s="314"/>
      <c r="BG3267" s="314"/>
      <c r="BH3267" s="314"/>
      <c r="BI3267" s="314"/>
      <c r="BJ3267" s="314"/>
      <c r="BK3267" s="40"/>
      <c r="BL3267" s="40"/>
      <c r="BM3267" s="40"/>
      <c r="BN3267" s="40"/>
      <c r="BO3267" s="40"/>
      <c r="BP3267" s="155"/>
      <c r="BQ3267" s="314"/>
      <c r="BR3267" s="314"/>
      <c r="BS3267" s="314"/>
      <c r="BT3267" s="314"/>
      <c r="BU3267" s="314"/>
      <c r="BV3267" s="314"/>
      <c r="BW3267" s="314"/>
      <c r="BX3267" s="155"/>
    </row>
    <row r="3268" spans="1:76" ht="15.75" customHeight="1">
      <c r="A3268" s="25"/>
      <c r="B3268" s="39"/>
      <c r="C3268" s="155"/>
      <c r="D3268" s="155"/>
      <c r="E3268" s="40"/>
      <c r="F3268" s="314"/>
      <c r="H3268" s="315"/>
      <c r="I3268" s="315"/>
      <c r="BA3268" s="30"/>
      <c r="BB3268" s="155"/>
      <c r="BC3268" s="314"/>
      <c r="BD3268" s="314"/>
      <c r="BE3268" s="314"/>
      <c r="BF3268" s="314"/>
      <c r="BG3268" s="314"/>
      <c r="BH3268" s="314"/>
      <c r="BI3268" s="314"/>
      <c r="BJ3268" s="314"/>
      <c r="BK3268" s="40"/>
      <c r="BL3268" s="40"/>
      <c r="BM3268" s="40"/>
      <c r="BN3268" s="40"/>
      <c r="BO3268" s="40"/>
      <c r="BP3268" s="155"/>
      <c r="BQ3268" s="314"/>
      <c r="BR3268" s="314"/>
      <c r="BS3268" s="314"/>
      <c r="BT3268" s="314"/>
      <c r="BU3268" s="314"/>
      <c r="BV3268" s="314"/>
      <c r="BW3268" s="314"/>
      <c r="BX3268" s="155"/>
    </row>
    <row r="3269" spans="1:76" ht="15.75" customHeight="1">
      <c r="A3269" s="25"/>
      <c r="B3269" s="39"/>
      <c r="C3269" s="155"/>
      <c r="D3269" s="155"/>
      <c r="E3269" s="40"/>
      <c r="F3269" s="314"/>
      <c r="H3269" s="315"/>
      <c r="I3269" s="315"/>
      <c r="BA3269" s="30"/>
      <c r="BB3269" s="155"/>
      <c r="BC3269" s="314"/>
      <c r="BD3269" s="314"/>
      <c r="BE3269" s="314"/>
      <c r="BF3269" s="314"/>
      <c r="BG3269" s="314"/>
      <c r="BH3269" s="314"/>
      <c r="BI3269" s="314"/>
      <c r="BJ3269" s="314"/>
      <c r="BK3269" s="40"/>
      <c r="BL3269" s="40"/>
      <c r="BM3269" s="40"/>
      <c r="BN3269" s="40"/>
      <c r="BO3269" s="40"/>
      <c r="BP3269" s="155"/>
      <c r="BQ3269" s="314"/>
      <c r="BR3269" s="314"/>
      <c r="BS3269" s="314"/>
      <c r="BT3269" s="314"/>
      <c r="BU3269" s="314"/>
      <c r="BV3269" s="314"/>
      <c r="BW3269" s="314"/>
      <c r="BX3269" s="155"/>
    </row>
    <row r="3270" spans="1:76" ht="15.75" customHeight="1">
      <c r="A3270" s="25"/>
      <c r="B3270" s="39"/>
      <c r="C3270" s="155"/>
      <c r="D3270" s="155"/>
      <c r="E3270" s="40"/>
      <c r="F3270" s="314"/>
      <c r="H3270" s="315"/>
      <c r="I3270" s="315"/>
      <c r="BA3270" s="30"/>
      <c r="BB3270" s="155"/>
      <c r="BC3270" s="314"/>
      <c r="BD3270" s="314"/>
      <c r="BE3270" s="314"/>
      <c r="BF3270" s="314"/>
      <c r="BG3270" s="314"/>
      <c r="BH3270" s="314"/>
      <c r="BI3270" s="314"/>
      <c r="BJ3270" s="314"/>
      <c r="BK3270" s="40"/>
      <c r="BL3270" s="40"/>
      <c r="BM3270" s="40"/>
      <c r="BN3270" s="40"/>
      <c r="BO3270" s="40"/>
      <c r="BP3270" s="155"/>
      <c r="BQ3270" s="314"/>
      <c r="BR3270" s="314"/>
      <c r="BS3270" s="314"/>
      <c r="BT3270" s="314"/>
      <c r="BU3270" s="314"/>
      <c r="BV3270" s="314"/>
      <c r="BW3270" s="314"/>
      <c r="BX3270" s="155"/>
    </row>
    <row r="3271" spans="1:76" ht="15.75" customHeight="1">
      <c r="A3271" s="25"/>
      <c r="B3271" s="39"/>
      <c r="C3271" s="155"/>
      <c r="D3271" s="155"/>
      <c r="E3271" s="40"/>
      <c r="F3271" s="314"/>
      <c r="H3271" s="315"/>
      <c r="I3271" s="315"/>
      <c r="BA3271" s="30"/>
      <c r="BB3271" s="155"/>
      <c r="BC3271" s="314"/>
      <c r="BD3271" s="314"/>
      <c r="BE3271" s="314"/>
      <c r="BF3271" s="314"/>
      <c r="BG3271" s="314"/>
      <c r="BH3271" s="314"/>
      <c r="BI3271" s="314"/>
      <c r="BJ3271" s="314"/>
      <c r="BK3271" s="40"/>
      <c r="BL3271" s="40"/>
      <c r="BM3271" s="40"/>
      <c r="BN3271" s="40"/>
      <c r="BO3271" s="40"/>
      <c r="BP3271" s="155"/>
      <c r="BQ3271" s="314"/>
      <c r="BR3271" s="314"/>
      <c r="BS3271" s="314"/>
      <c r="BT3271" s="314"/>
      <c r="BU3271" s="314"/>
      <c r="BV3271" s="314"/>
      <c r="BW3271" s="314"/>
      <c r="BX3271" s="155"/>
    </row>
    <row r="3272" spans="1:76" ht="15.75" customHeight="1">
      <c r="A3272" s="25"/>
      <c r="B3272" s="39"/>
      <c r="C3272" s="155"/>
      <c r="D3272" s="155"/>
      <c r="E3272" s="40"/>
      <c r="F3272" s="314"/>
      <c r="H3272" s="315"/>
      <c r="I3272" s="315"/>
      <c r="BA3272" s="30"/>
      <c r="BB3272" s="155"/>
      <c r="BC3272" s="314"/>
      <c r="BD3272" s="314"/>
      <c r="BE3272" s="314"/>
      <c r="BF3272" s="314"/>
      <c r="BG3272" s="314"/>
      <c r="BH3272" s="314"/>
      <c r="BI3272" s="314"/>
      <c r="BJ3272" s="314"/>
      <c r="BK3272" s="40"/>
      <c r="BL3272" s="40"/>
      <c r="BM3272" s="40"/>
      <c r="BN3272" s="40"/>
      <c r="BO3272" s="40"/>
      <c r="BP3272" s="155"/>
      <c r="BQ3272" s="314"/>
      <c r="BR3272" s="314"/>
      <c r="BS3272" s="314"/>
      <c r="BT3272" s="314"/>
      <c r="BU3272" s="314"/>
      <c r="BV3272" s="314"/>
      <c r="BW3272" s="314"/>
      <c r="BX3272" s="155"/>
    </row>
    <row r="3273" spans="1:76" ht="15.75" customHeight="1">
      <c r="A3273" s="25"/>
      <c r="B3273" s="39"/>
      <c r="C3273" s="155"/>
      <c r="D3273" s="155"/>
      <c r="E3273" s="40"/>
      <c r="F3273" s="314"/>
      <c r="H3273" s="315"/>
      <c r="I3273" s="315"/>
      <c r="BA3273" s="30"/>
      <c r="BB3273" s="155"/>
      <c r="BC3273" s="314"/>
      <c r="BD3273" s="314"/>
      <c r="BE3273" s="314"/>
      <c r="BF3273" s="314"/>
      <c r="BG3273" s="314"/>
      <c r="BH3273" s="314"/>
      <c r="BI3273" s="314"/>
      <c r="BJ3273" s="314"/>
      <c r="BK3273" s="40"/>
      <c r="BL3273" s="40"/>
      <c r="BM3273" s="40"/>
      <c r="BN3273" s="40"/>
      <c r="BO3273" s="40"/>
      <c r="BP3273" s="155"/>
      <c r="BQ3273" s="314"/>
      <c r="BR3273" s="314"/>
      <c r="BS3273" s="314"/>
      <c r="BT3273" s="314"/>
      <c r="BU3273" s="314"/>
      <c r="BV3273" s="314"/>
      <c r="BW3273" s="314"/>
      <c r="BX3273" s="155"/>
    </row>
    <row r="3274" spans="1:76" ht="15.75" customHeight="1">
      <c r="A3274" s="25"/>
      <c r="B3274" s="39"/>
      <c r="C3274" s="155"/>
      <c r="D3274" s="155"/>
      <c r="E3274" s="40"/>
      <c r="F3274" s="314"/>
      <c r="H3274" s="315"/>
      <c r="I3274" s="315"/>
      <c r="BA3274" s="30"/>
      <c r="BB3274" s="155"/>
      <c r="BC3274" s="314"/>
      <c r="BD3274" s="314"/>
      <c r="BE3274" s="314"/>
      <c r="BF3274" s="314"/>
      <c r="BG3274" s="314"/>
      <c r="BH3274" s="314"/>
      <c r="BI3274" s="314"/>
      <c r="BJ3274" s="314"/>
      <c r="BK3274" s="40"/>
      <c r="BL3274" s="40"/>
      <c r="BM3274" s="40"/>
      <c r="BN3274" s="40"/>
      <c r="BO3274" s="40"/>
      <c r="BP3274" s="155"/>
      <c r="BQ3274" s="314"/>
      <c r="BR3274" s="314"/>
      <c r="BS3274" s="314"/>
      <c r="BT3274" s="314"/>
      <c r="BU3274" s="314"/>
      <c r="BV3274" s="314"/>
      <c r="BW3274" s="314"/>
      <c r="BX3274" s="155"/>
    </row>
    <row r="3275" spans="1:76" ht="15.75" customHeight="1">
      <c r="A3275" s="25"/>
      <c r="B3275" s="39"/>
      <c r="C3275" s="155"/>
      <c r="D3275" s="155"/>
      <c r="E3275" s="40"/>
      <c r="F3275" s="314"/>
      <c r="H3275" s="315"/>
      <c r="I3275" s="315"/>
      <c r="BA3275" s="30"/>
      <c r="BB3275" s="155"/>
      <c r="BC3275" s="314"/>
      <c r="BD3275" s="314"/>
      <c r="BE3275" s="314"/>
      <c r="BF3275" s="314"/>
      <c r="BG3275" s="314"/>
      <c r="BH3275" s="314"/>
      <c r="BI3275" s="314"/>
      <c r="BJ3275" s="314"/>
      <c r="BK3275" s="40"/>
      <c r="BL3275" s="40"/>
      <c r="BM3275" s="40"/>
      <c r="BN3275" s="40"/>
      <c r="BO3275" s="40"/>
      <c r="BP3275" s="155"/>
      <c r="BQ3275" s="314"/>
      <c r="BR3275" s="314"/>
      <c r="BS3275" s="314"/>
      <c r="BT3275" s="314"/>
      <c r="BU3275" s="314"/>
      <c r="BV3275" s="314"/>
      <c r="BW3275" s="314"/>
      <c r="BX3275" s="155"/>
    </row>
    <row r="3276" spans="1:76" ht="15.75" customHeight="1">
      <c r="A3276" s="25"/>
      <c r="B3276" s="39"/>
      <c r="C3276" s="155"/>
      <c r="D3276" s="155"/>
      <c r="E3276" s="40"/>
      <c r="F3276" s="314"/>
      <c r="H3276" s="315"/>
      <c r="I3276" s="315"/>
      <c r="BA3276" s="30"/>
      <c r="BB3276" s="155"/>
      <c r="BC3276" s="322"/>
      <c r="BD3276" s="322"/>
      <c r="BE3276" s="322"/>
      <c r="BF3276" s="322"/>
      <c r="BG3276" s="322"/>
      <c r="BH3276" s="322"/>
      <c r="BI3276" s="322"/>
      <c r="BJ3276" s="322"/>
      <c r="BK3276" s="341"/>
      <c r="BL3276" s="40"/>
      <c r="BM3276" s="40"/>
      <c r="BN3276" s="40"/>
      <c r="BO3276" s="40"/>
      <c r="BP3276" s="155"/>
      <c r="BQ3276" s="314"/>
      <c r="BR3276" s="314"/>
      <c r="BS3276" s="314"/>
      <c r="BT3276" s="314"/>
      <c r="BU3276" s="314"/>
      <c r="BV3276" s="314"/>
      <c r="BW3276" s="314"/>
      <c r="BX3276" s="155"/>
    </row>
    <row r="3277" spans="1:76" ht="15.75" customHeight="1">
      <c r="A3277" s="25"/>
      <c r="B3277" s="39"/>
      <c r="C3277" s="155"/>
      <c r="D3277" s="155"/>
      <c r="E3277" s="40"/>
      <c r="F3277" s="314"/>
      <c r="H3277" s="315"/>
      <c r="I3277" s="315"/>
      <c r="BA3277" s="30"/>
      <c r="BB3277" s="155"/>
      <c r="BC3277" s="314"/>
      <c r="BD3277" s="314"/>
      <c r="BE3277" s="314"/>
      <c r="BF3277" s="314"/>
      <c r="BG3277" s="314"/>
      <c r="BH3277" s="314"/>
      <c r="BI3277" s="314"/>
      <c r="BJ3277" s="314"/>
      <c r="BK3277" s="40"/>
      <c r="BL3277" s="40"/>
      <c r="BM3277" s="40"/>
      <c r="BN3277" s="40"/>
      <c r="BO3277" s="40"/>
      <c r="BP3277" s="155"/>
      <c r="BQ3277" s="314"/>
      <c r="BR3277" s="314"/>
      <c r="BS3277" s="314"/>
      <c r="BT3277" s="314"/>
      <c r="BU3277" s="314"/>
      <c r="BV3277" s="314"/>
      <c r="BW3277" s="314"/>
      <c r="BX3277" s="155"/>
    </row>
    <row r="3278" spans="1:76" ht="15.75" customHeight="1">
      <c r="A3278" s="25"/>
      <c r="B3278" s="39"/>
      <c r="C3278" s="155"/>
      <c r="D3278" s="155"/>
      <c r="E3278" s="40"/>
      <c r="F3278" s="314"/>
      <c r="H3278" s="315"/>
      <c r="I3278" s="315"/>
      <c r="BA3278" s="30"/>
      <c r="BB3278" s="155"/>
      <c r="BC3278" s="314"/>
      <c r="BD3278" s="314"/>
      <c r="BE3278" s="314"/>
      <c r="BF3278" s="314"/>
      <c r="BG3278" s="314"/>
      <c r="BH3278" s="314"/>
      <c r="BI3278" s="314"/>
      <c r="BJ3278" s="314"/>
      <c r="BK3278" s="40"/>
      <c r="BL3278" s="40"/>
      <c r="BM3278" s="40"/>
      <c r="BN3278" s="40"/>
      <c r="BO3278" s="40"/>
      <c r="BP3278" s="155"/>
      <c r="BQ3278" s="314"/>
      <c r="BR3278" s="314"/>
      <c r="BS3278" s="314"/>
      <c r="BT3278" s="314"/>
      <c r="BU3278" s="314"/>
      <c r="BV3278" s="314"/>
      <c r="BW3278" s="314"/>
      <c r="BX3278" s="155"/>
    </row>
    <row r="3279" spans="1:76" ht="15.75" customHeight="1">
      <c r="A3279" s="25"/>
      <c r="B3279" s="39"/>
      <c r="C3279" s="155"/>
      <c r="D3279" s="155"/>
      <c r="E3279" s="40"/>
      <c r="F3279" s="314"/>
      <c r="H3279" s="315"/>
      <c r="I3279" s="315"/>
      <c r="BA3279" s="30"/>
      <c r="BB3279" s="155"/>
      <c r="BC3279" s="314"/>
      <c r="BD3279" s="314"/>
      <c r="BE3279" s="314"/>
      <c r="BF3279" s="314"/>
      <c r="BG3279" s="314"/>
      <c r="BH3279" s="314"/>
      <c r="BI3279" s="314"/>
      <c r="BJ3279" s="314"/>
      <c r="BK3279" s="40"/>
      <c r="BL3279" s="40"/>
      <c r="BM3279" s="40"/>
      <c r="BN3279" s="40"/>
      <c r="BO3279" s="40"/>
      <c r="BP3279" s="155"/>
      <c r="BQ3279" s="314"/>
      <c r="BR3279" s="314"/>
      <c r="BS3279" s="314"/>
      <c r="BT3279" s="314"/>
      <c r="BU3279" s="314"/>
      <c r="BV3279" s="314"/>
      <c r="BW3279" s="314"/>
      <c r="BX3279" s="155"/>
    </row>
    <row r="3280" spans="1:76" ht="15.75" customHeight="1">
      <c r="A3280" s="25"/>
      <c r="B3280" s="39"/>
      <c r="C3280" s="155"/>
      <c r="D3280" s="155"/>
      <c r="E3280" s="40"/>
      <c r="F3280" s="314"/>
      <c r="H3280" s="315"/>
      <c r="I3280" s="315"/>
      <c r="BA3280" s="30"/>
      <c r="BB3280" s="155"/>
      <c r="BC3280" s="314"/>
      <c r="BD3280" s="314"/>
      <c r="BE3280" s="314"/>
      <c r="BF3280" s="314"/>
      <c r="BG3280" s="314"/>
      <c r="BH3280" s="314"/>
      <c r="BI3280" s="314"/>
      <c r="BJ3280" s="314"/>
      <c r="BK3280" s="40"/>
      <c r="BL3280" s="40"/>
      <c r="BM3280" s="40"/>
      <c r="BN3280" s="40"/>
      <c r="BO3280" s="40"/>
      <c r="BP3280" s="155"/>
      <c r="BQ3280" s="314"/>
      <c r="BR3280" s="314"/>
      <c r="BS3280" s="314"/>
      <c r="BT3280" s="314"/>
      <c r="BU3280" s="314"/>
      <c r="BV3280" s="314"/>
      <c r="BW3280" s="314"/>
      <c r="BX3280" s="155"/>
    </row>
    <row r="3281" spans="1:76" ht="15.75" customHeight="1">
      <c r="A3281" s="25"/>
      <c r="B3281" s="39"/>
      <c r="C3281" s="155"/>
      <c r="D3281" s="155"/>
      <c r="E3281" s="40"/>
      <c r="F3281" s="314"/>
      <c r="H3281" s="315"/>
      <c r="I3281" s="315"/>
      <c r="BA3281" s="30"/>
      <c r="BB3281" s="155"/>
      <c r="BC3281" s="314"/>
      <c r="BD3281" s="314"/>
      <c r="BE3281" s="314"/>
      <c r="BF3281" s="314"/>
      <c r="BG3281" s="314"/>
      <c r="BH3281" s="314"/>
      <c r="BI3281" s="314"/>
      <c r="BJ3281" s="314"/>
      <c r="BK3281" s="40"/>
      <c r="BL3281" s="40"/>
      <c r="BM3281" s="40"/>
      <c r="BN3281" s="40"/>
      <c r="BO3281" s="40"/>
      <c r="BP3281" s="155"/>
      <c r="BQ3281" s="314"/>
      <c r="BR3281" s="314"/>
      <c r="BS3281" s="314"/>
      <c r="BT3281" s="314"/>
      <c r="BU3281" s="314"/>
      <c r="BV3281" s="314"/>
      <c r="BW3281" s="314"/>
      <c r="BX3281" s="155"/>
    </row>
    <row r="3282" spans="1:76" ht="15.75" customHeight="1">
      <c r="A3282" s="25"/>
      <c r="B3282" s="39"/>
      <c r="C3282" s="155"/>
      <c r="D3282" s="155"/>
      <c r="E3282" s="40"/>
      <c r="F3282" s="314"/>
      <c r="H3282" s="315"/>
      <c r="I3282" s="315"/>
      <c r="BA3282" s="30"/>
      <c r="BB3282" s="155"/>
      <c r="BC3282" s="314"/>
      <c r="BD3282" s="314"/>
      <c r="BE3282" s="314"/>
      <c r="BF3282" s="314"/>
      <c r="BG3282" s="314"/>
      <c r="BH3282" s="314"/>
      <c r="BI3282" s="314"/>
      <c r="BJ3282" s="314"/>
      <c r="BK3282" s="40"/>
      <c r="BL3282" s="40"/>
      <c r="BM3282" s="40"/>
      <c r="BN3282" s="40"/>
      <c r="BO3282" s="40"/>
      <c r="BP3282" s="155"/>
      <c r="BQ3282" s="314"/>
      <c r="BR3282" s="314"/>
      <c r="BS3282" s="314"/>
      <c r="BT3282" s="314"/>
      <c r="BU3282" s="314"/>
      <c r="BV3282" s="314"/>
      <c r="BW3282" s="314"/>
      <c r="BX3282" s="155"/>
    </row>
    <row r="3283" spans="1:76" ht="15.75" customHeight="1">
      <c r="A3283" s="25"/>
      <c r="B3283" s="39"/>
      <c r="C3283" s="155"/>
      <c r="D3283" s="155"/>
      <c r="E3283" s="40"/>
      <c r="F3283" s="314"/>
      <c r="H3283" s="315"/>
      <c r="I3283" s="315"/>
      <c r="BA3283" s="30"/>
      <c r="BB3283" s="155"/>
      <c r="BC3283" s="314"/>
      <c r="BD3283" s="314"/>
      <c r="BE3283" s="314"/>
      <c r="BF3283" s="314"/>
      <c r="BG3283" s="314"/>
      <c r="BH3283" s="314"/>
      <c r="BI3283" s="314"/>
      <c r="BJ3283" s="314"/>
      <c r="BK3283" s="40"/>
      <c r="BL3283" s="40"/>
      <c r="BM3283" s="40"/>
      <c r="BN3283" s="40"/>
      <c r="BO3283" s="40"/>
      <c r="BP3283" s="155"/>
      <c r="BQ3283" s="314"/>
      <c r="BR3283" s="314"/>
      <c r="BS3283" s="314"/>
      <c r="BT3283" s="314"/>
      <c r="BU3283" s="314"/>
      <c r="BV3283" s="314"/>
      <c r="BW3283" s="314"/>
      <c r="BX3283" s="155"/>
    </row>
    <row r="3284" spans="1:76" ht="15.75" customHeight="1">
      <c r="A3284" s="25"/>
      <c r="B3284" s="39"/>
      <c r="C3284" s="155"/>
      <c r="D3284" s="155"/>
      <c r="E3284" s="40"/>
      <c r="F3284" s="314"/>
      <c r="H3284" s="315"/>
      <c r="I3284" s="315"/>
      <c r="BA3284" s="30"/>
      <c r="BB3284" s="155"/>
      <c r="BC3284" s="314"/>
      <c r="BD3284" s="314"/>
      <c r="BE3284" s="314"/>
      <c r="BF3284" s="314"/>
      <c r="BG3284" s="314"/>
      <c r="BH3284" s="314"/>
      <c r="BI3284" s="314"/>
      <c r="BJ3284" s="314"/>
      <c r="BK3284" s="40"/>
      <c r="BL3284" s="40"/>
      <c r="BM3284" s="40"/>
      <c r="BN3284" s="40"/>
      <c r="BO3284" s="40"/>
      <c r="BP3284" s="155"/>
      <c r="BQ3284" s="314"/>
      <c r="BR3284" s="314"/>
      <c r="BS3284" s="314"/>
      <c r="BT3284" s="314"/>
      <c r="BU3284" s="314"/>
      <c r="BV3284" s="314"/>
      <c r="BW3284" s="314"/>
      <c r="BX3284" s="155"/>
    </row>
    <row r="3285" spans="1:76" ht="15.75" customHeight="1">
      <c r="A3285" s="25"/>
      <c r="B3285" s="39"/>
      <c r="C3285" s="155"/>
      <c r="D3285" s="155"/>
      <c r="E3285" s="40"/>
      <c r="F3285" s="314"/>
      <c r="H3285" s="315"/>
      <c r="I3285" s="315"/>
      <c r="BA3285" s="30"/>
      <c r="BB3285" s="155"/>
      <c r="BC3285" s="314"/>
      <c r="BD3285" s="314"/>
      <c r="BE3285" s="314"/>
      <c r="BF3285" s="314"/>
      <c r="BG3285" s="314"/>
      <c r="BH3285" s="314"/>
      <c r="BI3285" s="314"/>
      <c r="BJ3285" s="314"/>
      <c r="BK3285" s="40"/>
      <c r="BL3285" s="40"/>
      <c r="BM3285" s="40"/>
      <c r="BN3285" s="40"/>
      <c r="BO3285" s="40"/>
      <c r="BP3285" s="155"/>
      <c r="BQ3285" s="314"/>
      <c r="BR3285" s="314"/>
      <c r="BS3285" s="314"/>
      <c r="BT3285" s="314"/>
      <c r="BU3285" s="314"/>
      <c r="BV3285" s="314"/>
      <c r="BW3285" s="314"/>
      <c r="BX3285" s="155"/>
    </row>
    <row r="3286" spans="1:76" ht="15.75" customHeight="1">
      <c r="A3286" s="25"/>
      <c r="B3286" s="39"/>
      <c r="C3286" s="155"/>
      <c r="D3286" s="155"/>
      <c r="E3286" s="40"/>
      <c r="F3286" s="314"/>
      <c r="H3286" s="315"/>
      <c r="I3286" s="315"/>
      <c r="BA3286" s="30"/>
      <c r="BB3286" s="155"/>
      <c r="BC3286" s="314"/>
      <c r="BD3286" s="314"/>
      <c r="BE3286" s="314"/>
      <c r="BF3286" s="314"/>
      <c r="BG3286" s="314"/>
      <c r="BH3286" s="314"/>
      <c r="BI3286" s="314"/>
      <c r="BJ3286" s="314"/>
      <c r="BK3286" s="40"/>
      <c r="BL3286" s="40"/>
      <c r="BM3286" s="40"/>
      <c r="BN3286" s="40"/>
      <c r="BO3286" s="40"/>
      <c r="BP3286" s="155"/>
      <c r="BQ3286" s="314"/>
      <c r="BR3286" s="314"/>
      <c r="BS3286" s="314"/>
      <c r="BT3286" s="314"/>
      <c r="BU3286" s="314"/>
      <c r="BV3286" s="314"/>
      <c r="BW3286" s="314"/>
      <c r="BX3286" s="155"/>
    </row>
    <row r="3287" spans="1:76" ht="15.75" customHeight="1">
      <c r="A3287" s="25"/>
      <c r="B3287" s="39"/>
      <c r="C3287" s="155"/>
      <c r="D3287" s="155"/>
      <c r="E3287" s="40"/>
      <c r="F3287" s="314"/>
      <c r="H3287" s="315"/>
      <c r="I3287" s="315"/>
      <c r="BA3287" s="30"/>
      <c r="BB3287" s="155"/>
      <c r="BC3287" s="314"/>
      <c r="BD3287" s="314"/>
      <c r="BE3287" s="314"/>
      <c r="BF3287" s="314"/>
      <c r="BG3287" s="314"/>
      <c r="BH3287" s="314"/>
      <c r="BI3287" s="314"/>
      <c r="BJ3287" s="314"/>
      <c r="BK3287" s="40"/>
      <c r="BL3287" s="40"/>
      <c r="BM3287" s="40"/>
      <c r="BN3287" s="40"/>
      <c r="BO3287" s="40"/>
      <c r="BP3287" s="155"/>
      <c r="BQ3287" s="314"/>
      <c r="BR3287" s="314"/>
      <c r="BS3287" s="314"/>
      <c r="BT3287" s="314"/>
      <c r="BU3287" s="314"/>
      <c r="BV3287" s="314"/>
      <c r="BW3287" s="314"/>
      <c r="BX3287" s="155"/>
    </row>
    <row r="3288" spans="1:76" ht="15.75" customHeight="1">
      <c r="A3288" s="25"/>
      <c r="B3288" s="39"/>
      <c r="C3288" s="155"/>
      <c r="D3288" s="155"/>
      <c r="E3288" s="40"/>
      <c r="F3288" s="314"/>
      <c r="H3288" s="315"/>
      <c r="I3288" s="315"/>
      <c r="BA3288" s="30"/>
      <c r="BB3288" s="155"/>
      <c r="BC3288" s="314"/>
      <c r="BD3288" s="314"/>
      <c r="BE3288" s="314"/>
      <c r="BF3288" s="314"/>
      <c r="BG3288" s="314"/>
      <c r="BH3288" s="314"/>
      <c r="BI3288" s="314"/>
      <c r="BJ3288" s="314"/>
      <c r="BK3288" s="40"/>
      <c r="BL3288" s="40"/>
      <c r="BM3288" s="40"/>
      <c r="BN3288" s="40"/>
      <c r="BO3288" s="40"/>
      <c r="BP3288" s="155"/>
      <c r="BQ3288" s="314"/>
      <c r="BR3288" s="314"/>
      <c r="BS3288" s="314"/>
      <c r="BT3288" s="314"/>
      <c r="BU3288" s="314"/>
      <c r="BV3288" s="314"/>
      <c r="BW3288" s="314"/>
      <c r="BX3288" s="155"/>
    </row>
    <row r="3289" spans="1:76" ht="15.75" customHeight="1">
      <c r="A3289" s="25"/>
      <c r="B3289" s="39"/>
      <c r="C3289" s="155"/>
      <c r="D3289" s="155"/>
      <c r="E3289" s="40"/>
      <c r="F3289" s="314"/>
      <c r="H3289" s="315"/>
      <c r="I3289" s="315"/>
      <c r="BA3289" s="30"/>
      <c r="BB3289" s="155"/>
      <c r="BC3289" s="314"/>
      <c r="BD3289" s="314"/>
      <c r="BE3289" s="314"/>
      <c r="BF3289" s="314"/>
      <c r="BG3289" s="314"/>
      <c r="BH3289" s="314"/>
      <c r="BI3289" s="314"/>
      <c r="BJ3289" s="314"/>
      <c r="BK3289" s="40"/>
      <c r="BL3289" s="40"/>
      <c r="BM3289" s="40"/>
      <c r="BN3289" s="40"/>
      <c r="BO3289" s="40"/>
      <c r="BP3289" s="155"/>
      <c r="BQ3289" s="314"/>
      <c r="BR3289" s="314"/>
      <c r="BS3289" s="314"/>
      <c r="BT3289" s="314"/>
      <c r="BU3289" s="314"/>
      <c r="BV3289" s="314"/>
      <c r="BW3289" s="314"/>
      <c r="BX3289" s="155"/>
    </row>
    <row r="3290" spans="1:76" ht="15.75" customHeight="1">
      <c r="A3290" s="25"/>
      <c r="B3290" s="39"/>
      <c r="C3290" s="155"/>
      <c r="D3290" s="155"/>
      <c r="E3290" s="40"/>
      <c r="F3290" s="314"/>
      <c r="H3290" s="315"/>
      <c r="I3290" s="315"/>
      <c r="BA3290" s="30"/>
      <c r="BB3290" s="155"/>
      <c r="BC3290" s="314"/>
      <c r="BD3290" s="314"/>
      <c r="BE3290" s="314"/>
      <c r="BF3290" s="314"/>
      <c r="BG3290" s="314"/>
      <c r="BH3290" s="314"/>
      <c r="BI3290" s="314"/>
      <c r="BJ3290" s="314"/>
      <c r="BK3290" s="40"/>
      <c r="BL3290" s="40"/>
      <c r="BM3290" s="40"/>
      <c r="BN3290" s="40"/>
      <c r="BO3290" s="40"/>
      <c r="BP3290" s="155"/>
      <c r="BQ3290" s="314"/>
      <c r="BR3290" s="314"/>
      <c r="BS3290" s="314"/>
      <c r="BT3290" s="314"/>
      <c r="BU3290" s="314"/>
      <c r="BV3290" s="314"/>
      <c r="BW3290" s="314"/>
      <c r="BX3290" s="155"/>
    </row>
    <row r="3291" spans="1:76" ht="15.75" customHeight="1">
      <c r="A3291" s="25"/>
      <c r="B3291" s="39"/>
      <c r="C3291" s="155"/>
      <c r="D3291" s="155"/>
      <c r="E3291" s="40"/>
      <c r="F3291" s="314"/>
      <c r="H3291" s="315"/>
      <c r="I3291" s="315"/>
      <c r="BA3291" s="30"/>
      <c r="BB3291" s="155"/>
      <c r="BC3291" s="314"/>
      <c r="BD3291" s="314"/>
      <c r="BE3291" s="314"/>
      <c r="BF3291" s="314"/>
      <c r="BG3291" s="314"/>
      <c r="BH3291" s="314"/>
      <c r="BI3291" s="314"/>
      <c r="BJ3291" s="314"/>
      <c r="BK3291" s="40"/>
      <c r="BL3291" s="40"/>
      <c r="BM3291" s="40"/>
      <c r="BN3291" s="40"/>
      <c r="BO3291" s="40"/>
      <c r="BP3291" s="155"/>
      <c r="BQ3291" s="314"/>
      <c r="BR3291" s="314"/>
      <c r="BS3291" s="314"/>
      <c r="BT3291" s="314"/>
      <c r="BU3291" s="314"/>
      <c r="BV3291" s="314"/>
      <c r="BW3291" s="314"/>
      <c r="BX3291" s="155"/>
    </row>
    <row r="3292" spans="1:76" ht="15.75" customHeight="1">
      <c r="A3292" s="25"/>
      <c r="B3292" s="39"/>
      <c r="C3292" s="155"/>
      <c r="D3292" s="155"/>
      <c r="E3292" s="40"/>
      <c r="F3292" s="314"/>
      <c r="H3292" s="315"/>
      <c r="I3292" s="315"/>
      <c r="BA3292" s="30"/>
      <c r="BB3292" s="155"/>
      <c r="BC3292" s="314"/>
      <c r="BD3292" s="314"/>
      <c r="BE3292" s="314"/>
      <c r="BF3292" s="314"/>
      <c r="BG3292" s="314"/>
      <c r="BH3292" s="314"/>
      <c r="BI3292" s="314"/>
      <c r="BJ3292" s="314"/>
      <c r="BK3292" s="40"/>
      <c r="BL3292" s="40"/>
      <c r="BM3292" s="40"/>
      <c r="BN3292" s="40"/>
      <c r="BO3292" s="40"/>
      <c r="BP3292" s="155"/>
      <c r="BQ3292" s="314"/>
      <c r="BR3292" s="314"/>
      <c r="BS3292" s="314"/>
      <c r="BT3292" s="314"/>
      <c r="BU3292" s="314"/>
      <c r="BV3292" s="314"/>
      <c r="BW3292" s="314"/>
      <c r="BX3292" s="155"/>
    </row>
    <row r="3293" spans="1:76" ht="15.75" customHeight="1">
      <c r="A3293" s="25"/>
      <c r="B3293" s="39"/>
      <c r="C3293" s="155"/>
      <c r="D3293" s="155"/>
      <c r="E3293" s="40"/>
      <c r="F3293" s="314"/>
      <c r="H3293" s="315"/>
      <c r="I3293" s="315"/>
      <c r="BA3293" s="30"/>
      <c r="BB3293" s="155"/>
      <c r="BC3293" s="314"/>
      <c r="BD3293" s="314"/>
      <c r="BE3293" s="314"/>
      <c r="BF3293" s="314"/>
      <c r="BG3293" s="314"/>
      <c r="BH3293" s="314"/>
      <c r="BI3293" s="314"/>
      <c r="BJ3293" s="314"/>
      <c r="BK3293" s="40"/>
      <c r="BL3293" s="40"/>
      <c r="BM3293" s="40"/>
      <c r="BN3293" s="40"/>
      <c r="BO3293" s="40"/>
      <c r="BP3293" s="155"/>
      <c r="BQ3293" s="314"/>
      <c r="BR3293" s="314"/>
      <c r="BS3293" s="314"/>
      <c r="BT3293" s="314"/>
      <c r="BU3293" s="314"/>
      <c r="BV3293" s="314"/>
      <c r="BW3293" s="314"/>
      <c r="BX3293" s="155"/>
    </row>
    <row r="3294" spans="1:76" ht="15.75" customHeight="1">
      <c r="A3294" s="25"/>
      <c r="B3294" s="39"/>
      <c r="C3294" s="155"/>
      <c r="D3294" s="155"/>
      <c r="E3294" s="40"/>
      <c r="F3294" s="314"/>
      <c r="H3294" s="315"/>
      <c r="I3294" s="315"/>
      <c r="BA3294" s="30"/>
      <c r="BB3294" s="155"/>
      <c r="BC3294" s="314"/>
      <c r="BD3294" s="314"/>
      <c r="BE3294" s="314"/>
      <c r="BF3294" s="314"/>
      <c r="BG3294" s="314"/>
      <c r="BH3294" s="314"/>
      <c r="BI3294" s="314"/>
      <c r="BJ3294" s="314"/>
      <c r="BK3294" s="40"/>
      <c r="BL3294" s="40"/>
      <c r="BM3294" s="40"/>
      <c r="BN3294" s="40"/>
      <c r="BO3294" s="40"/>
      <c r="BP3294" s="155"/>
      <c r="BQ3294" s="314"/>
      <c r="BR3294" s="314"/>
      <c r="BS3294" s="314"/>
      <c r="BT3294" s="314"/>
      <c r="BU3294" s="314"/>
      <c r="BV3294" s="314"/>
      <c r="BW3294" s="314"/>
      <c r="BX3294" s="155"/>
    </row>
    <row r="3295" spans="1:76" ht="15.75" customHeight="1">
      <c r="A3295" s="25"/>
      <c r="B3295" s="39"/>
      <c r="C3295" s="155"/>
      <c r="D3295" s="155"/>
      <c r="E3295" s="40"/>
      <c r="F3295" s="314"/>
      <c r="H3295" s="315"/>
      <c r="I3295" s="315"/>
      <c r="BA3295" s="30"/>
      <c r="BB3295" s="155"/>
      <c r="BC3295" s="314"/>
      <c r="BD3295" s="314"/>
      <c r="BE3295" s="314"/>
      <c r="BF3295" s="314"/>
      <c r="BG3295" s="314"/>
      <c r="BH3295" s="314"/>
      <c r="BI3295" s="314"/>
      <c r="BJ3295" s="314"/>
      <c r="BK3295" s="40"/>
      <c r="BL3295" s="40"/>
      <c r="BM3295" s="40"/>
      <c r="BN3295" s="40"/>
      <c r="BO3295" s="40"/>
      <c r="BP3295" s="155"/>
      <c r="BQ3295" s="314"/>
      <c r="BR3295" s="314"/>
      <c r="BS3295" s="314"/>
      <c r="BT3295" s="314"/>
      <c r="BU3295" s="314"/>
      <c r="BV3295" s="314"/>
      <c r="BW3295" s="314"/>
      <c r="BX3295" s="155"/>
    </row>
    <row r="3296" spans="1:76" ht="15.75" customHeight="1">
      <c r="A3296" s="25"/>
      <c r="B3296" s="39"/>
      <c r="C3296" s="155"/>
      <c r="D3296" s="155"/>
      <c r="E3296" s="40"/>
      <c r="F3296" s="314"/>
      <c r="H3296" s="315"/>
      <c r="I3296" s="315"/>
      <c r="BA3296" s="30"/>
      <c r="BB3296" s="155"/>
      <c r="BC3296" s="314"/>
      <c r="BD3296" s="314"/>
      <c r="BE3296" s="314"/>
      <c r="BF3296" s="314"/>
      <c r="BG3296" s="314"/>
      <c r="BH3296" s="314"/>
      <c r="BI3296" s="314"/>
      <c r="BJ3296" s="314"/>
      <c r="BK3296" s="40"/>
      <c r="BL3296" s="40"/>
      <c r="BM3296" s="40"/>
      <c r="BN3296" s="40"/>
      <c r="BO3296" s="40"/>
      <c r="BP3296" s="155"/>
      <c r="BQ3296" s="314"/>
      <c r="BR3296" s="314"/>
      <c r="BS3296" s="314"/>
      <c r="BT3296" s="314"/>
      <c r="BU3296" s="314"/>
      <c r="BV3296" s="314"/>
      <c r="BW3296" s="314"/>
      <c r="BX3296" s="155"/>
    </row>
    <row r="3297" spans="1:76" ht="15.75" customHeight="1">
      <c r="A3297" s="25"/>
      <c r="B3297" s="39"/>
      <c r="C3297" s="155"/>
      <c r="D3297" s="155"/>
      <c r="E3297" s="40"/>
      <c r="F3297" s="314"/>
      <c r="H3297" s="315"/>
      <c r="I3297" s="315"/>
      <c r="BA3297" s="30"/>
      <c r="BB3297" s="155"/>
      <c r="BC3297" s="314"/>
      <c r="BD3297" s="314"/>
      <c r="BE3297" s="314"/>
      <c r="BF3297" s="314"/>
      <c r="BG3297" s="314"/>
      <c r="BH3297" s="314"/>
      <c r="BI3297" s="314"/>
      <c r="BJ3297" s="314"/>
      <c r="BK3297" s="40"/>
      <c r="BL3297" s="40"/>
      <c r="BM3297" s="40"/>
      <c r="BN3297" s="40"/>
      <c r="BO3297" s="40"/>
      <c r="BP3297" s="155"/>
      <c r="BQ3297" s="314"/>
      <c r="BR3297" s="314"/>
      <c r="BS3297" s="314"/>
      <c r="BT3297" s="314"/>
      <c r="BU3297" s="314"/>
      <c r="BV3297" s="314"/>
      <c r="BW3297" s="314"/>
      <c r="BX3297" s="155"/>
    </row>
    <row r="3298" spans="1:76" ht="15.75" customHeight="1">
      <c r="A3298" s="25"/>
      <c r="B3298" s="39"/>
      <c r="C3298" s="155"/>
      <c r="D3298" s="155"/>
      <c r="E3298" s="40"/>
      <c r="F3298" s="314"/>
      <c r="H3298" s="315"/>
      <c r="I3298" s="315"/>
      <c r="BA3298" s="30"/>
      <c r="BB3298" s="155"/>
      <c r="BC3298" s="314"/>
      <c r="BD3298" s="314"/>
      <c r="BE3298" s="314"/>
      <c r="BF3298" s="314"/>
      <c r="BG3298" s="314"/>
      <c r="BH3298" s="314"/>
      <c r="BI3298" s="314"/>
      <c r="BJ3298" s="314"/>
      <c r="BK3298" s="40"/>
      <c r="BL3298" s="40"/>
      <c r="BM3298" s="40"/>
      <c r="BN3298" s="40"/>
      <c r="BO3298" s="40"/>
      <c r="BP3298" s="155"/>
      <c r="BQ3298" s="314"/>
      <c r="BR3298" s="314"/>
      <c r="BS3298" s="314"/>
      <c r="BT3298" s="314"/>
      <c r="BU3298" s="314"/>
      <c r="BV3298" s="314"/>
      <c r="BW3298" s="314"/>
      <c r="BX3298" s="155"/>
    </row>
    <row r="3299" spans="1:76" ht="15.75" customHeight="1">
      <c r="A3299" s="25"/>
      <c r="B3299" s="39"/>
      <c r="C3299" s="155"/>
      <c r="D3299" s="155"/>
      <c r="E3299" s="40"/>
      <c r="F3299" s="314"/>
      <c r="H3299" s="315"/>
      <c r="I3299" s="315"/>
      <c r="BA3299" s="30"/>
      <c r="BB3299" s="155"/>
      <c r="BC3299" s="314"/>
      <c r="BD3299" s="314"/>
      <c r="BE3299" s="314"/>
      <c r="BF3299" s="314"/>
      <c r="BG3299" s="314"/>
      <c r="BH3299" s="314"/>
      <c r="BI3299" s="314"/>
      <c r="BJ3299" s="314"/>
      <c r="BK3299" s="40"/>
      <c r="BL3299" s="40"/>
      <c r="BM3299" s="40"/>
      <c r="BN3299" s="40"/>
      <c r="BO3299" s="40"/>
      <c r="BP3299" s="155"/>
      <c r="BQ3299" s="314"/>
      <c r="BR3299" s="314"/>
      <c r="BS3299" s="314"/>
      <c r="BT3299" s="314"/>
      <c r="BU3299" s="314"/>
      <c r="BV3299" s="314"/>
      <c r="BW3299" s="314"/>
      <c r="BX3299" s="155"/>
    </row>
    <row r="3300" spans="1:76" ht="15.75" customHeight="1">
      <c r="A3300" s="25"/>
      <c r="B3300" s="39"/>
      <c r="C3300" s="155"/>
      <c r="D3300" s="155"/>
      <c r="E3300" s="40"/>
      <c r="F3300" s="314"/>
      <c r="H3300" s="315"/>
      <c r="I3300" s="315"/>
      <c r="BA3300" s="30"/>
      <c r="BB3300" s="155"/>
      <c r="BC3300" s="314"/>
      <c r="BD3300" s="314"/>
      <c r="BE3300" s="314"/>
      <c r="BF3300" s="314"/>
      <c r="BG3300" s="314"/>
      <c r="BH3300" s="314"/>
      <c r="BI3300" s="314"/>
      <c r="BJ3300" s="314"/>
      <c r="BK3300" s="40"/>
      <c r="BL3300" s="40"/>
      <c r="BM3300" s="40"/>
      <c r="BN3300" s="40"/>
      <c r="BO3300" s="40"/>
      <c r="BP3300" s="155"/>
      <c r="BQ3300" s="314"/>
      <c r="BR3300" s="314"/>
      <c r="BS3300" s="314"/>
      <c r="BT3300" s="314"/>
      <c r="BU3300" s="314"/>
      <c r="BV3300" s="314"/>
      <c r="BW3300" s="314"/>
      <c r="BX3300" s="155"/>
    </row>
    <row r="3301" spans="1:76" ht="15.75" customHeight="1">
      <c r="A3301" s="25"/>
      <c r="B3301" s="39"/>
      <c r="C3301" s="155"/>
      <c r="D3301" s="155"/>
      <c r="E3301" s="40"/>
      <c r="F3301" s="314"/>
      <c r="H3301" s="315"/>
      <c r="I3301" s="315"/>
      <c r="BA3301" s="30"/>
      <c r="BB3301" s="155"/>
      <c r="BC3301" s="314"/>
      <c r="BD3301" s="314"/>
      <c r="BE3301" s="314"/>
      <c r="BF3301" s="314"/>
      <c r="BG3301" s="314"/>
      <c r="BH3301" s="314"/>
      <c r="BI3301" s="314"/>
      <c r="BJ3301" s="314"/>
      <c r="BK3301" s="40"/>
      <c r="BL3301" s="40"/>
      <c r="BM3301" s="40"/>
      <c r="BN3301" s="40"/>
      <c r="BO3301" s="40"/>
      <c r="BP3301" s="155"/>
      <c r="BQ3301" s="314"/>
      <c r="BR3301" s="314"/>
      <c r="BS3301" s="314"/>
      <c r="BT3301" s="314"/>
      <c r="BU3301" s="314"/>
      <c r="BV3301" s="314"/>
      <c r="BW3301" s="314"/>
      <c r="BX3301" s="155"/>
    </row>
    <row r="3302" spans="1:76" ht="15.75" customHeight="1">
      <c r="A3302" s="25"/>
      <c r="B3302" s="39"/>
      <c r="C3302" s="155"/>
      <c r="D3302" s="155"/>
      <c r="E3302" s="40"/>
      <c r="F3302" s="314"/>
      <c r="H3302" s="315"/>
      <c r="I3302" s="315"/>
      <c r="BA3302" s="30"/>
      <c r="BB3302" s="155"/>
      <c r="BC3302" s="314"/>
      <c r="BD3302" s="314"/>
      <c r="BE3302" s="314"/>
      <c r="BF3302" s="314"/>
      <c r="BG3302" s="314"/>
      <c r="BH3302" s="314"/>
      <c r="BI3302" s="314"/>
      <c r="BJ3302" s="314"/>
      <c r="BK3302" s="40"/>
      <c r="BL3302" s="40"/>
      <c r="BM3302" s="40"/>
      <c r="BN3302" s="40"/>
      <c r="BO3302" s="40"/>
      <c r="BP3302" s="155"/>
      <c r="BQ3302" s="314"/>
      <c r="BR3302" s="314"/>
      <c r="BS3302" s="314"/>
      <c r="BT3302" s="314"/>
      <c r="BU3302" s="314"/>
      <c r="BV3302" s="314"/>
      <c r="BW3302" s="314"/>
      <c r="BX3302" s="155"/>
    </row>
    <row r="3303" spans="1:76" ht="15.75" customHeight="1">
      <c r="A3303" s="25"/>
      <c r="B3303" s="39"/>
      <c r="C3303" s="155"/>
      <c r="D3303" s="155"/>
      <c r="E3303" s="40"/>
      <c r="F3303" s="314"/>
      <c r="H3303" s="315"/>
      <c r="I3303" s="315"/>
      <c r="BA3303" s="30"/>
      <c r="BB3303" s="155"/>
      <c r="BC3303" s="314"/>
      <c r="BD3303" s="314"/>
      <c r="BE3303" s="314"/>
      <c r="BF3303" s="314"/>
      <c r="BG3303" s="314"/>
      <c r="BH3303" s="314"/>
      <c r="BI3303" s="314"/>
      <c r="BJ3303" s="314"/>
      <c r="BK3303" s="40"/>
      <c r="BL3303" s="40"/>
      <c r="BM3303" s="40"/>
      <c r="BN3303" s="40"/>
      <c r="BO3303" s="40"/>
      <c r="BP3303" s="155"/>
      <c r="BQ3303" s="314"/>
      <c r="BR3303" s="314"/>
      <c r="BS3303" s="314"/>
      <c r="BT3303" s="314"/>
      <c r="BU3303" s="314"/>
      <c r="BV3303" s="314"/>
      <c r="BW3303" s="314"/>
      <c r="BX3303" s="155"/>
    </row>
    <row r="3304" spans="1:76" ht="15.75" customHeight="1">
      <c r="A3304" s="25"/>
      <c r="B3304" s="39"/>
      <c r="C3304" s="155"/>
      <c r="D3304" s="155"/>
      <c r="E3304" s="40"/>
      <c r="F3304" s="314"/>
      <c r="H3304" s="315"/>
      <c r="I3304" s="315"/>
      <c r="BA3304" s="30"/>
      <c r="BB3304" s="155"/>
      <c r="BC3304" s="314"/>
      <c r="BD3304" s="314"/>
      <c r="BE3304" s="314"/>
      <c r="BF3304" s="314"/>
      <c r="BG3304" s="314"/>
      <c r="BH3304" s="314"/>
      <c r="BI3304" s="314"/>
      <c r="BJ3304" s="314"/>
      <c r="BK3304" s="40"/>
      <c r="BL3304" s="40"/>
      <c r="BM3304" s="40"/>
      <c r="BN3304" s="40"/>
      <c r="BO3304" s="40"/>
      <c r="BP3304" s="155"/>
      <c r="BQ3304" s="314"/>
      <c r="BR3304" s="314"/>
      <c r="BS3304" s="314"/>
      <c r="BT3304" s="314"/>
      <c r="BU3304" s="314"/>
      <c r="BV3304" s="314"/>
      <c r="BW3304" s="314"/>
      <c r="BX3304" s="155"/>
    </row>
    <row r="3305" spans="1:76" ht="15.75" customHeight="1">
      <c r="A3305" s="25"/>
      <c r="B3305" s="39"/>
      <c r="C3305" s="155"/>
      <c r="D3305" s="155"/>
      <c r="E3305" s="40"/>
      <c r="F3305" s="314"/>
      <c r="H3305" s="315"/>
      <c r="I3305" s="315"/>
      <c r="BA3305" s="30"/>
      <c r="BB3305" s="155"/>
      <c r="BC3305" s="314"/>
      <c r="BD3305" s="314"/>
      <c r="BE3305" s="314"/>
      <c r="BF3305" s="314"/>
      <c r="BG3305" s="314"/>
      <c r="BH3305" s="314"/>
      <c r="BI3305" s="314"/>
      <c r="BJ3305" s="314"/>
      <c r="BK3305" s="40"/>
      <c r="BL3305" s="40"/>
      <c r="BM3305" s="40"/>
      <c r="BN3305" s="40"/>
      <c r="BO3305" s="40"/>
      <c r="BP3305" s="155"/>
      <c r="BQ3305" s="314"/>
      <c r="BR3305" s="314"/>
      <c r="BS3305" s="314"/>
      <c r="BT3305" s="314"/>
      <c r="BU3305" s="314"/>
      <c r="BV3305" s="314"/>
      <c r="BW3305" s="314"/>
      <c r="BX3305" s="155"/>
    </row>
    <row r="3306" spans="1:76" ht="15.75" customHeight="1">
      <c r="A3306" s="25"/>
      <c r="B3306" s="39"/>
      <c r="C3306" s="155"/>
      <c r="D3306" s="155"/>
      <c r="E3306" s="40"/>
      <c r="F3306" s="314"/>
      <c r="H3306" s="315"/>
      <c r="I3306" s="315"/>
      <c r="BA3306" s="30"/>
      <c r="BB3306" s="155"/>
      <c r="BC3306" s="322"/>
      <c r="BD3306" s="322"/>
      <c r="BE3306" s="322"/>
      <c r="BF3306" s="322"/>
      <c r="BG3306" s="322"/>
      <c r="BH3306" s="322"/>
      <c r="BI3306" s="322"/>
      <c r="BJ3306" s="322"/>
      <c r="BK3306" s="341"/>
      <c r="BL3306" s="40"/>
      <c r="BM3306" s="40"/>
      <c r="BN3306" s="40"/>
      <c r="BO3306" s="40"/>
      <c r="BP3306" s="155"/>
      <c r="BQ3306" s="314"/>
      <c r="BR3306" s="314"/>
      <c r="BS3306" s="314"/>
      <c r="BT3306" s="314"/>
      <c r="BU3306" s="314"/>
      <c r="BV3306" s="314"/>
      <c r="BW3306" s="314"/>
      <c r="BX3306" s="155"/>
    </row>
    <row r="3307" spans="1:76" ht="15.75" customHeight="1">
      <c r="A3307" s="25"/>
      <c r="B3307" s="39"/>
      <c r="C3307" s="155"/>
      <c r="D3307" s="155"/>
      <c r="E3307" s="40"/>
      <c r="F3307" s="314"/>
      <c r="H3307" s="315"/>
      <c r="I3307" s="315"/>
      <c r="BA3307" s="30"/>
      <c r="BB3307" s="155"/>
      <c r="BC3307" s="314"/>
      <c r="BD3307" s="314"/>
      <c r="BE3307" s="314"/>
      <c r="BF3307" s="314"/>
      <c r="BG3307" s="314"/>
      <c r="BH3307" s="314"/>
      <c r="BI3307" s="314"/>
      <c r="BJ3307" s="314"/>
      <c r="BK3307" s="40"/>
      <c r="BL3307" s="40"/>
      <c r="BM3307" s="40"/>
      <c r="BN3307" s="40"/>
      <c r="BO3307" s="40"/>
      <c r="BP3307" s="155"/>
      <c r="BQ3307" s="314"/>
      <c r="BR3307" s="314"/>
      <c r="BS3307" s="314"/>
      <c r="BT3307" s="314"/>
      <c r="BU3307" s="314"/>
      <c r="BV3307" s="314"/>
      <c r="BW3307" s="314"/>
      <c r="BX3307" s="155"/>
    </row>
    <row r="3308" spans="1:76" ht="15.75" customHeight="1">
      <c r="A3308" s="25"/>
      <c r="B3308" s="39"/>
      <c r="C3308" s="155"/>
      <c r="D3308" s="155"/>
      <c r="E3308" s="40"/>
      <c r="F3308" s="314"/>
      <c r="H3308" s="315"/>
      <c r="I3308" s="315"/>
      <c r="BA3308" s="30"/>
      <c r="BB3308" s="155"/>
      <c r="BC3308" s="314"/>
      <c r="BD3308" s="314"/>
      <c r="BE3308" s="314"/>
      <c r="BF3308" s="314"/>
      <c r="BG3308" s="314"/>
      <c r="BH3308" s="314"/>
      <c r="BI3308" s="314"/>
      <c r="BJ3308" s="314"/>
      <c r="BK3308" s="40"/>
      <c r="BL3308" s="40"/>
      <c r="BM3308" s="40"/>
      <c r="BN3308" s="40"/>
      <c r="BO3308" s="40"/>
      <c r="BP3308" s="155"/>
      <c r="BQ3308" s="314"/>
      <c r="BR3308" s="314"/>
      <c r="BS3308" s="314"/>
      <c r="BT3308" s="314"/>
      <c r="BU3308" s="314"/>
      <c r="BV3308" s="314"/>
      <c r="BW3308" s="314"/>
      <c r="BX3308" s="155"/>
    </row>
    <row r="3309" spans="1:76" ht="15.75" customHeight="1">
      <c r="A3309" s="25"/>
      <c r="B3309" s="39"/>
      <c r="C3309" s="155"/>
      <c r="D3309" s="155"/>
      <c r="E3309" s="40"/>
      <c r="F3309" s="314"/>
      <c r="H3309" s="315"/>
      <c r="I3309" s="315"/>
      <c r="BA3309" s="30"/>
      <c r="BB3309" s="155"/>
      <c r="BC3309" s="314"/>
      <c r="BD3309" s="314"/>
      <c r="BE3309" s="314"/>
      <c r="BF3309" s="314"/>
      <c r="BG3309" s="314"/>
      <c r="BH3309" s="314"/>
      <c r="BI3309" s="314"/>
      <c r="BJ3309" s="314"/>
      <c r="BK3309" s="40"/>
      <c r="BL3309" s="40"/>
      <c r="BM3309" s="40"/>
      <c r="BN3309" s="40"/>
      <c r="BO3309" s="40"/>
      <c r="BP3309" s="155"/>
      <c r="BQ3309" s="314"/>
      <c r="BR3309" s="314"/>
      <c r="BS3309" s="314"/>
      <c r="BT3309" s="314"/>
      <c r="BU3309" s="314"/>
      <c r="BV3309" s="314"/>
      <c r="BW3309" s="314"/>
      <c r="BX3309" s="155"/>
    </row>
    <row r="3310" spans="1:76" ht="15.75" customHeight="1">
      <c r="A3310" s="25"/>
      <c r="B3310" s="39"/>
      <c r="C3310" s="155"/>
      <c r="D3310" s="155"/>
      <c r="E3310" s="40"/>
      <c r="F3310" s="314"/>
      <c r="H3310" s="315"/>
      <c r="I3310" s="315"/>
      <c r="BA3310" s="30"/>
      <c r="BB3310" s="155"/>
      <c r="BC3310" s="314"/>
      <c r="BD3310" s="314"/>
      <c r="BE3310" s="314"/>
      <c r="BF3310" s="314"/>
      <c r="BG3310" s="314"/>
      <c r="BH3310" s="314"/>
      <c r="BI3310" s="314"/>
      <c r="BJ3310" s="314"/>
      <c r="BK3310" s="40"/>
      <c r="BL3310" s="40"/>
      <c r="BM3310" s="40"/>
      <c r="BN3310" s="40"/>
      <c r="BO3310" s="40"/>
      <c r="BP3310" s="155"/>
      <c r="BQ3310" s="314"/>
      <c r="BR3310" s="314"/>
      <c r="BS3310" s="314"/>
      <c r="BT3310" s="314"/>
      <c r="BU3310" s="314"/>
      <c r="BV3310" s="314"/>
      <c r="BW3310" s="314"/>
      <c r="BX3310" s="155"/>
    </row>
    <row r="3311" spans="1:76" ht="15.75" customHeight="1">
      <c r="A3311" s="25"/>
      <c r="B3311" s="39"/>
      <c r="C3311" s="155"/>
      <c r="D3311" s="155"/>
      <c r="E3311" s="40"/>
      <c r="F3311" s="314"/>
      <c r="H3311" s="315"/>
      <c r="I3311" s="315"/>
      <c r="BA3311" s="30"/>
      <c r="BB3311" s="155"/>
      <c r="BC3311" s="314"/>
      <c r="BD3311" s="314"/>
      <c r="BE3311" s="314"/>
      <c r="BF3311" s="314"/>
      <c r="BG3311" s="314"/>
      <c r="BH3311" s="314"/>
      <c r="BI3311" s="314"/>
      <c r="BJ3311" s="314"/>
      <c r="BK3311" s="40"/>
      <c r="BL3311" s="40"/>
      <c r="BM3311" s="40"/>
      <c r="BN3311" s="40"/>
      <c r="BO3311" s="40"/>
      <c r="BP3311" s="155"/>
      <c r="BQ3311" s="314"/>
      <c r="BR3311" s="314"/>
      <c r="BS3311" s="314"/>
      <c r="BT3311" s="314"/>
      <c r="BU3311" s="314"/>
      <c r="BV3311" s="314"/>
      <c r="BW3311" s="314"/>
      <c r="BX3311" s="155"/>
    </row>
    <row r="3312" spans="1:76" ht="15.75" customHeight="1">
      <c r="A3312" s="25"/>
      <c r="B3312" s="39"/>
      <c r="C3312" s="155"/>
      <c r="D3312" s="155"/>
      <c r="E3312" s="40"/>
      <c r="F3312" s="314"/>
      <c r="H3312" s="315"/>
      <c r="I3312" s="315"/>
      <c r="BA3312" s="30"/>
      <c r="BB3312" s="155"/>
      <c r="BC3312" s="314"/>
      <c r="BD3312" s="314"/>
      <c r="BE3312" s="314"/>
      <c r="BF3312" s="314"/>
      <c r="BG3312" s="314"/>
      <c r="BH3312" s="314"/>
      <c r="BI3312" s="314"/>
      <c r="BJ3312" s="314"/>
      <c r="BK3312" s="40"/>
      <c r="BL3312" s="40"/>
      <c r="BM3312" s="40"/>
      <c r="BN3312" s="40"/>
      <c r="BO3312" s="40"/>
      <c r="BP3312" s="155"/>
      <c r="BQ3312" s="314"/>
      <c r="BR3312" s="314"/>
      <c r="BS3312" s="314"/>
      <c r="BT3312" s="314"/>
      <c r="BU3312" s="314"/>
      <c r="BV3312" s="314"/>
      <c r="BW3312" s="314"/>
      <c r="BX3312" s="155"/>
    </row>
    <row r="3313" spans="1:76" ht="15.75" customHeight="1">
      <c r="A3313" s="25"/>
      <c r="B3313" s="39"/>
      <c r="C3313" s="155"/>
      <c r="D3313" s="155"/>
      <c r="E3313" s="40"/>
      <c r="F3313" s="314"/>
      <c r="H3313" s="315"/>
      <c r="I3313" s="315"/>
      <c r="BA3313" s="30"/>
      <c r="BB3313" s="155"/>
      <c r="BC3313" s="314"/>
      <c r="BD3313" s="314"/>
      <c r="BE3313" s="314"/>
      <c r="BF3313" s="314"/>
      <c r="BG3313" s="314"/>
      <c r="BH3313" s="314"/>
      <c r="BI3313" s="314"/>
      <c r="BJ3313" s="314"/>
      <c r="BK3313" s="40"/>
      <c r="BL3313" s="40"/>
      <c r="BM3313" s="40"/>
      <c r="BN3313" s="40"/>
      <c r="BO3313" s="40"/>
      <c r="BP3313" s="155"/>
      <c r="BQ3313" s="314"/>
      <c r="BR3313" s="314"/>
      <c r="BS3313" s="314"/>
      <c r="BT3313" s="314"/>
      <c r="BU3313" s="314"/>
      <c r="BV3313" s="314"/>
      <c r="BW3313" s="314"/>
      <c r="BX3313" s="155"/>
    </row>
    <row r="3314" spans="1:76" ht="15.75" customHeight="1">
      <c r="A3314" s="25"/>
      <c r="B3314" s="39"/>
      <c r="C3314" s="155"/>
      <c r="D3314" s="155"/>
      <c r="E3314" s="40"/>
      <c r="F3314" s="314"/>
      <c r="H3314" s="315"/>
      <c r="I3314" s="315"/>
      <c r="BA3314" s="30"/>
      <c r="BB3314" s="155"/>
      <c r="BC3314" s="314"/>
      <c r="BD3314" s="314"/>
      <c r="BE3314" s="314"/>
      <c r="BF3314" s="314"/>
      <c r="BG3314" s="314"/>
      <c r="BH3314" s="314"/>
      <c r="BI3314" s="314"/>
      <c r="BJ3314" s="314"/>
      <c r="BK3314" s="40"/>
      <c r="BL3314" s="40"/>
      <c r="BM3314" s="40"/>
      <c r="BN3314" s="40"/>
      <c r="BO3314" s="40"/>
      <c r="BP3314" s="155"/>
      <c r="BQ3314" s="314"/>
      <c r="BR3314" s="314"/>
      <c r="BS3314" s="314"/>
      <c r="BT3314" s="314"/>
      <c r="BU3314" s="314"/>
      <c r="BV3314" s="314"/>
      <c r="BW3314" s="314"/>
      <c r="BX3314" s="155"/>
    </row>
    <row r="3315" spans="1:76" ht="15.75" customHeight="1">
      <c r="A3315" s="25"/>
      <c r="B3315" s="39"/>
      <c r="C3315" s="155"/>
      <c r="D3315" s="155"/>
      <c r="E3315" s="40"/>
      <c r="F3315" s="314"/>
      <c r="H3315" s="315"/>
      <c r="I3315" s="315"/>
      <c r="BA3315" s="30"/>
      <c r="BB3315" s="155"/>
      <c r="BC3315" s="314"/>
      <c r="BD3315" s="314"/>
      <c r="BE3315" s="314"/>
      <c r="BF3315" s="314"/>
      <c r="BG3315" s="314"/>
      <c r="BH3315" s="314"/>
      <c r="BI3315" s="314"/>
      <c r="BJ3315" s="314"/>
      <c r="BK3315" s="40"/>
      <c r="BL3315" s="40"/>
      <c r="BM3315" s="40"/>
      <c r="BN3315" s="40"/>
      <c r="BO3315" s="40"/>
      <c r="BP3315" s="155"/>
      <c r="BQ3315" s="314"/>
      <c r="BR3315" s="314"/>
      <c r="BS3315" s="314"/>
      <c r="BT3315" s="314"/>
      <c r="BU3315" s="314"/>
      <c r="BV3315" s="314"/>
      <c r="BW3315" s="314"/>
      <c r="BX3315" s="155"/>
    </row>
    <row r="3316" spans="1:76" ht="15.75" customHeight="1">
      <c r="A3316" s="25"/>
      <c r="B3316" s="39"/>
      <c r="C3316" s="155"/>
      <c r="D3316" s="155"/>
      <c r="E3316" s="40"/>
      <c r="F3316" s="314"/>
      <c r="H3316" s="315"/>
      <c r="I3316" s="315"/>
      <c r="BA3316" s="30"/>
      <c r="BB3316" s="155"/>
      <c r="BC3316" s="314"/>
      <c r="BD3316" s="314"/>
      <c r="BE3316" s="314"/>
      <c r="BF3316" s="314"/>
      <c r="BG3316" s="314"/>
      <c r="BH3316" s="314"/>
      <c r="BI3316" s="314"/>
      <c r="BJ3316" s="314"/>
      <c r="BK3316" s="40"/>
      <c r="BL3316" s="40"/>
      <c r="BM3316" s="40"/>
      <c r="BN3316" s="40"/>
      <c r="BO3316" s="40"/>
      <c r="BP3316" s="155"/>
      <c r="BQ3316" s="314"/>
      <c r="BR3316" s="314"/>
      <c r="BS3316" s="314"/>
      <c r="BT3316" s="314"/>
      <c r="BU3316" s="314"/>
      <c r="BV3316" s="314"/>
      <c r="BW3316" s="314"/>
      <c r="BX3316" s="155"/>
    </row>
    <row r="3317" spans="1:76" ht="15.75" customHeight="1">
      <c r="A3317" s="25"/>
      <c r="B3317" s="39"/>
      <c r="C3317" s="155"/>
      <c r="D3317" s="155"/>
      <c r="E3317" s="40"/>
      <c r="F3317" s="314"/>
      <c r="H3317" s="315"/>
      <c r="I3317" s="315"/>
      <c r="BA3317" s="30"/>
      <c r="BB3317" s="155"/>
      <c r="BC3317" s="314"/>
      <c r="BD3317" s="314"/>
      <c r="BE3317" s="314"/>
      <c r="BF3317" s="314"/>
      <c r="BG3317" s="314"/>
      <c r="BH3317" s="314"/>
      <c r="BI3317" s="314"/>
      <c r="BJ3317" s="314"/>
      <c r="BK3317" s="40"/>
      <c r="BL3317" s="40"/>
      <c r="BM3317" s="40"/>
      <c r="BN3317" s="40"/>
      <c r="BO3317" s="40"/>
      <c r="BP3317" s="155"/>
      <c r="BQ3317" s="314"/>
      <c r="BR3317" s="314"/>
      <c r="BS3317" s="314"/>
      <c r="BT3317" s="314"/>
      <c r="BU3317" s="314"/>
      <c r="BV3317" s="314"/>
      <c r="BW3317" s="314"/>
      <c r="BX3317" s="155"/>
    </row>
    <row r="3318" spans="1:76" ht="15.75" customHeight="1">
      <c r="A3318" s="25"/>
      <c r="B3318" s="39"/>
      <c r="C3318" s="155"/>
      <c r="D3318" s="155"/>
      <c r="E3318" s="40"/>
      <c r="F3318" s="314"/>
      <c r="H3318" s="315"/>
      <c r="I3318" s="315"/>
      <c r="BA3318" s="30"/>
      <c r="BB3318" s="155"/>
      <c r="BC3318" s="314"/>
      <c r="BD3318" s="314"/>
      <c r="BE3318" s="314"/>
      <c r="BF3318" s="314"/>
      <c r="BG3318" s="314"/>
      <c r="BH3318" s="314"/>
      <c r="BI3318" s="314"/>
      <c r="BJ3318" s="314"/>
      <c r="BK3318" s="40"/>
      <c r="BL3318" s="40"/>
      <c r="BM3318" s="40"/>
      <c r="BN3318" s="40"/>
      <c r="BO3318" s="40"/>
      <c r="BP3318" s="155"/>
      <c r="BQ3318" s="314"/>
      <c r="BR3318" s="314"/>
      <c r="BS3318" s="314"/>
      <c r="BT3318" s="314"/>
      <c r="BU3318" s="314"/>
      <c r="BV3318" s="314"/>
      <c r="BW3318" s="314"/>
      <c r="BX3318" s="155"/>
    </row>
    <row r="3319" spans="1:76" ht="15.75" customHeight="1">
      <c r="A3319" s="25"/>
      <c r="B3319" s="39"/>
      <c r="C3319" s="155"/>
      <c r="D3319" s="155"/>
      <c r="E3319" s="40"/>
      <c r="F3319" s="314"/>
      <c r="H3319" s="315"/>
      <c r="I3319" s="315"/>
      <c r="BA3319" s="30"/>
      <c r="BB3319" s="155"/>
      <c r="BC3319" s="314"/>
      <c r="BD3319" s="314"/>
      <c r="BE3319" s="314"/>
      <c r="BF3319" s="314"/>
      <c r="BG3319" s="314"/>
      <c r="BH3319" s="314"/>
      <c r="BI3319" s="314"/>
      <c r="BJ3319" s="314"/>
      <c r="BK3319" s="40"/>
      <c r="BL3319" s="40"/>
      <c r="BM3319" s="40"/>
      <c r="BN3319" s="40"/>
      <c r="BO3319" s="40"/>
      <c r="BP3319" s="155"/>
      <c r="BQ3319" s="314"/>
      <c r="BR3319" s="314"/>
      <c r="BS3319" s="314"/>
      <c r="BT3319" s="314"/>
      <c r="BU3319" s="314"/>
      <c r="BV3319" s="314"/>
      <c r="BW3319" s="314"/>
      <c r="BX3319" s="155"/>
    </row>
    <row r="3320" spans="1:76" ht="15.75" customHeight="1">
      <c r="A3320" s="25"/>
      <c r="B3320" s="39"/>
      <c r="C3320" s="155"/>
      <c r="D3320" s="155"/>
      <c r="E3320" s="40"/>
      <c r="F3320" s="314"/>
      <c r="H3320" s="315"/>
      <c r="I3320" s="315"/>
      <c r="BA3320" s="30"/>
      <c r="BB3320" s="155"/>
      <c r="BC3320" s="314"/>
      <c r="BD3320" s="314"/>
      <c r="BE3320" s="314"/>
      <c r="BF3320" s="314"/>
      <c r="BG3320" s="314"/>
      <c r="BH3320" s="314"/>
      <c r="BI3320" s="314"/>
      <c r="BJ3320" s="314"/>
      <c r="BK3320" s="40"/>
      <c r="BL3320" s="40"/>
      <c r="BM3320" s="40"/>
      <c r="BN3320" s="40"/>
      <c r="BO3320" s="40"/>
      <c r="BP3320" s="155"/>
      <c r="BQ3320" s="314"/>
      <c r="BR3320" s="314"/>
      <c r="BS3320" s="314"/>
      <c r="BT3320" s="314"/>
      <c r="BU3320" s="314"/>
      <c r="BV3320" s="314"/>
      <c r="BW3320" s="314"/>
      <c r="BX3320" s="155"/>
    </row>
    <row r="3321" spans="1:76" ht="15.75" customHeight="1">
      <c r="A3321" s="25"/>
      <c r="B3321" s="39"/>
      <c r="C3321" s="155"/>
      <c r="D3321" s="155"/>
      <c r="E3321" s="40"/>
      <c r="F3321" s="314"/>
      <c r="H3321" s="315"/>
      <c r="I3321" s="315"/>
      <c r="BA3321" s="30"/>
      <c r="BB3321" s="155"/>
      <c r="BC3321" s="314"/>
      <c r="BD3321" s="314"/>
      <c r="BE3321" s="314"/>
      <c r="BF3321" s="314"/>
      <c r="BG3321" s="314"/>
      <c r="BH3321" s="314"/>
      <c r="BI3321" s="314"/>
      <c r="BJ3321" s="314"/>
      <c r="BK3321" s="40"/>
      <c r="BL3321" s="40"/>
      <c r="BM3321" s="40"/>
      <c r="BN3321" s="40"/>
      <c r="BO3321" s="40"/>
      <c r="BP3321" s="155"/>
      <c r="BQ3321" s="314"/>
      <c r="BR3321" s="314"/>
      <c r="BS3321" s="314"/>
      <c r="BT3321" s="314"/>
      <c r="BU3321" s="314"/>
      <c r="BV3321" s="314"/>
      <c r="BW3321" s="314"/>
      <c r="BX3321" s="155"/>
    </row>
    <row r="3322" spans="1:76" ht="15.75" customHeight="1">
      <c r="A3322" s="25"/>
      <c r="B3322" s="39"/>
      <c r="C3322" s="155"/>
      <c r="D3322" s="155"/>
      <c r="E3322" s="40"/>
      <c r="F3322" s="314"/>
      <c r="H3322" s="315"/>
      <c r="I3322" s="315"/>
      <c r="BA3322" s="30"/>
      <c r="BB3322" s="155"/>
      <c r="BC3322" s="314"/>
      <c r="BD3322" s="314"/>
      <c r="BE3322" s="314"/>
      <c r="BF3322" s="314"/>
      <c r="BG3322" s="314"/>
      <c r="BH3322" s="314"/>
      <c r="BI3322" s="314"/>
      <c r="BJ3322" s="314"/>
      <c r="BK3322" s="40"/>
      <c r="BL3322" s="40"/>
      <c r="BM3322" s="40"/>
      <c r="BN3322" s="40"/>
      <c r="BO3322" s="40"/>
      <c r="BP3322" s="155"/>
      <c r="BQ3322" s="314"/>
      <c r="BR3322" s="314"/>
      <c r="BS3322" s="314"/>
      <c r="BT3322" s="314"/>
      <c r="BU3322" s="314"/>
      <c r="BV3322" s="314"/>
      <c r="BW3322" s="314"/>
      <c r="BX3322" s="155"/>
    </row>
    <row r="3323" spans="1:76" ht="15.75" customHeight="1">
      <c r="A3323" s="25"/>
      <c r="B3323" s="39"/>
      <c r="C3323" s="155"/>
      <c r="D3323" s="155"/>
      <c r="E3323" s="40"/>
      <c r="F3323" s="314"/>
      <c r="H3323" s="315"/>
      <c r="I3323" s="315"/>
      <c r="BA3323" s="30"/>
      <c r="BB3323" s="155"/>
      <c r="BC3323" s="314"/>
      <c r="BD3323" s="314"/>
      <c r="BE3323" s="314"/>
      <c r="BF3323" s="314"/>
      <c r="BG3323" s="314"/>
      <c r="BH3323" s="314"/>
      <c r="BI3323" s="314"/>
      <c r="BJ3323" s="314"/>
      <c r="BK3323" s="40"/>
      <c r="BL3323" s="40"/>
      <c r="BM3323" s="40"/>
      <c r="BN3323" s="40"/>
      <c r="BO3323" s="40"/>
      <c r="BP3323" s="155"/>
      <c r="BQ3323" s="314"/>
      <c r="BR3323" s="314"/>
      <c r="BS3323" s="314"/>
      <c r="BT3323" s="314"/>
      <c r="BU3323" s="314"/>
      <c r="BV3323" s="314"/>
      <c r="BW3323" s="314"/>
      <c r="BX3323" s="155"/>
    </row>
    <row r="3324" spans="1:76" ht="15.75" customHeight="1">
      <c r="A3324" s="25"/>
      <c r="B3324" s="39"/>
      <c r="C3324" s="155"/>
      <c r="D3324" s="155"/>
      <c r="E3324" s="40"/>
      <c r="F3324" s="314"/>
      <c r="H3324" s="315"/>
      <c r="I3324" s="315"/>
      <c r="BA3324" s="30"/>
      <c r="BB3324" s="155"/>
      <c r="BC3324" s="314"/>
      <c r="BD3324" s="314"/>
      <c r="BE3324" s="314"/>
      <c r="BF3324" s="314"/>
      <c r="BG3324" s="314"/>
      <c r="BH3324" s="314"/>
      <c r="BI3324" s="314"/>
      <c r="BJ3324" s="314"/>
      <c r="BK3324" s="40"/>
      <c r="BL3324" s="40"/>
      <c r="BM3324" s="40"/>
      <c r="BN3324" s="40"/>
      <c r="BO3324" s="40"/>
      <c r="BP3324" s="155"/>
      <c r="BQ3324" s="314"/>
      <c r="BR3324" s="314"/>
      <c r="BS3324" s="314"/>
      <c r="BT3324" s="314"/>
      <c r="BU3324" s="314"/>
      <c r="BV3324" s="314"/>
      <c r="BW3324" s="314"/>
      <c r="BX3324" s="155"/>
    </row>
    <row r="3325" spans="1:76" ht="15.75" customHeight="1">
      <c r="A3325" s="25"/>
      <c r="B3325" s="39"/>
      <c r="C3325" s="155"/>
      <c r="D3325" s="155"/>
      <c r="E3325" s="40"/>
      <c r="F3325" s="314"/>
      <c r="H3325" s="315"/>
      <c r="I3325" s="315"/>
      <c r="BA3325" s="30"/>
      <c r="BB3325" s="155"/>
      <c r="BC3325" s="314"/>
      <c r="BD3325" s="314"/>
      <c r="BE3325" s="314"/>
      <c r="BF3325" s="314"/>
      <c r="BG3325" s="314"/>
      <c r="BH3325" s="314"/>
      <c r="BI3325" s="314"/>
      <c r="BJ3325" s="314"/>
      <c r="BK3325" s="40"/>
      <c r="BL3325" s="40"/>
      <c r="BM3325" s="40"/>
      <c r="BN3325" s="40"/>
      <c r="BO3325" s="40"/>
      <c r="BP3325" s="155"/>
      <c r="BQ3325" s="314"/>
      <c r="BR3325" s="314"/>
      <c r="BS3325" s="314"/>
      <c r="BT3325" s="314"/>
      <c r="BU3325" s="314"/>
      <c r="BV3325" s="314"/>
      <c r="BW3325" s="314"/>
      <c r="BX3325" s="155"/>
    </row>
    <row r="3326" spans="1:76" ht="15.75" customHeight="1">
      <c r="A3326" s="25"/>
      <c r="B3326" s="39"/>
      <c r="C3326" s="155"/>
      <c r="D3326" s="155"/>
      <c r="E3326" s="40"/>
      <c r="F3326" s="314"/>
      <c r="H3326" s="315"/>
      <c r="I3326" s="315"/>
      <c r="BA3326" s="30"/>
      <c r="BB3326" s="155"/>
      <c r="BC3326" s="314"/>
      <c r="BD3326" s="314"/>
      <c r="BE3326" s="314"/>
      <c r="BF3326" s="314"/>
      <c r="BG3326" s="314"/>
      <c r="BH3326" s="314"/>
      <c r="BI3326" s="314"/>
      <c r="BJ3326" s="314"/>
      <c r="BK3326" s="40"/>
      <c r="BL3326" s="40"/>
      <c r="BM3326" s="40"/>
      <c r="BN3326" s="40"/>
      <c r="BO3326" s="40"/>
      <c r="BP3326" s="155"/>
      <c r="BQ3326" s="314"/>
      <c r="BR3326" s="314"/>
      <c r="BS3326" s="314"/>
      <c r="BT3326" s="314"/>
      <c r="BU3326" s="314"/>
      <c r="BV3326" s="314"/>
      <c r="BW3326" s="314"/>
      <c r="BX3326" s="155"/>
    </row>
    <row r="3327" spans="1:76" ht="15.75" customHeight="1">
      <c r="A3327" s="25"/>
      <c r="B3327" s="39"/>
      <c r="C3327" s="155"/>
      <c r="D3327" s="155"/>
      <c r="E3327" s="40"/>
      <c r="F3327" s="314"/>
      <c r="H3327" s="315"/>
      <c r="I3327" s="315"/>
      <c r="BA3327" s="30"/>
      <c r="BB3327" s="155"/>
      <c r="BC3327" s="314"/>
      <c r="BD3327" s="314"/>
      <c r="BE3327" s="314"/>
      <c r="BF3327" s="314"/>
      <c r="BG3327" s="314"/>
      <c r="BH3327" s="314"/>
      <c r="BI3327" s="314"/>
      <c r="BJ3327" s="314"/>
      <c r="BK3327" s="40"/>
      <c r="BL3327" s="40"/>
      <c r="BM3327" s="40"/>
      <c r="BN3327" s="40"/>
      <c r="BO3327" s="40"/>
      <c r="BP3327" s="155"/>
      <c r="BQ3327" s="314"/>
      <c r="BR3327" s="314"/>
      <c r="BS3327" s="314"/>
      <c r="BT3327" s="314"/>
      <c r="BU3327" s="314"/>
      <c r="BV3327" s="314"/>
      <c r="BW3327" s="314"/>
      <c r="BX3327" s="155"/>
    </row>
    <row r="3328" spans="1:76" ht="15.75" customHeight="1">
      <c r="A3328" s="25"/>
      <c r="B3328" s="39"/>
      <c r="C3328" s="155"/>
      <c r="D3328" s="155"/>
      <c r="E3328" s="40"/>
      <c r="F3328" s="314"/>
      <c r="H3328" s="315"/>
      <c r="I3328" s="315"/>
      <c r="BA3328" s="30"/>
      <c r="BB3328" s="155"/>
      <c r="BC3328" s="314"/>
      <c r="BD3328" s="314"/>
      <c r="BE3328" s="314"/>
      <c r="BF3328" s="314"/>
      <c r="BG3328" s="314"/>
      <c r="BH3328" s="314"/>
      <c r="BI3328" s="314"/>
      <c r="BJ3328" s="314"/>
      <c r="BK3328" s="40"/>
      <c r="BL3328" s="40"/>
      <c r="BM3328" s="40"/>
      <c r="BN3328" s="40"/>
      <c r="BO3328" s="40"/>
      <c r="BP3328" s="155"/>
      <c r="BQ3328" s="314"/>
      <c r="BR3328" s="314"/>
      <c r="BS3328" s="314"/>
      <c r="BT3328" s="314"/>
      <c r="BU3328" s="314"/>
      <c r="BV3328" s="314"/>
      <c r="BW3328" s="314"/>
      <c r="BX3328" s="155"/>
    </row>
    <row r="3329" spans="1:76" ht="15.75" customHeight="1">
      <c r="A3329" s="25"/>
      <c r="B3329" s="39"/>
      <c r="C3329" s="155"/>
      <c r="D3329" s="155"/>
      <c r="E3329" s="40"/>
      <c r="F3329" s="314"/>
      <c r="H3329" s="315"/>
      <c r="I3329" s="315"/>
      <c r="BA3329" s="30"/>
      <c r="BB3329" s="155"/>
      <c r="BC3329" s="314"/>
      <c r="BD3329" s="314"/>
      <c r="BE3329" s="314"/>
      <c r="BF3329" s="314"/>
      <c r="BG3329" s="314"/>
      <c r="BH3329" s="314"/>
      <c r="BI3329" s="314"/>
      <c r="BJ3329" s="314"/>
      <c r="BK3329" s="40"/>
      <c r="BL3329" s="40"/>
      <c r="BM3329" s="40"/>
      <c r="BN3329" s="40"/>
      <c r="BO3329" s="40"/>
      <c r="BP3329" s="155"/>
      <c r="BQ3329" s="314"/>
      <c r="BR3329" s="314"/>
      <c r="BS3329" s="314"/>
      <c r="BT3329" s="314"/>
      <c r="BU3329" s="314"/>
      <c r="BV3329" s="314"/>
      <c r="BW3329" s="314"/>
      <c r="BX3329" s="155"/>
    </row>
    <row r="3330" spans="1:76" ht="15.75" customHeight="1">
      <c r="A3330" s="25"/>
      <c r="B3330" s="39"/>
      <c r="C3330" s="155"/>
      <c r="D3330" s="155"/>
      <c r="E3330" s="40"/>
      <c r="F3330" s="314"/>
      <c r="H3330" s="315"/>
      <c r="I3330" s="315"/>
      <c r="BA3330" s="30"/>
      <c r="BB3330" s="155"/>
      <c r="BC3330" s="314"/>
      <c r="BD3330" s="314"/>
      <c r="BE3330" s="314"/>
      <c r="BF3330" s="314"/>
      <c r="BG3330" s="314"/>
      <c r="BH3330" s="314"/>
      <c r="BI3330" s="314"/>
      <c r="BJ3330" s="314"/>
      <c r="BK3330" s="40"/>
      <c r="BL3330" s="40"/>
      <c r="BM3330" s="40"/>
      <c r="BN3330" s="40"/>
      <c r="BO3330" s="40"/>
      <c r="BP3330" s="155"/>
      <c r="BQ3330" s="314"/>
      <c r="BR3330" s="314"/>
      <c r="BS3330" s="314"/>
      <c r="BT3330" s="314"/>
      <c r="BU3330" s="314"/>
      <c r="BV3330" s="314"/>
      <c r="BW3330" s="314"/>
      <c r="BX3330" s="155"/>
    </row>
    <row r="3331" spans="1:76" ht="15.75" customHeight="1">
      <c r="A3331" s="25"/>
      <c r="B3331" s="39"/>
      <c r="C3331" s="155"/>
      <c r="D3331" s="155"/>
      <c r="E3331" s="40"/>
      <c r="F3331" s="314"/>
      <c r="H3331" s="315"/>
      <c r="I3331" s="315"/>
      <c r="BA3331" s="30"/>
      <c r="BB3331" s="155"/>
      <c r="BC3331" s="314"/>
      <c r="BD3331" s="314"/>
      <c r="BE3331" s="314"/>
      <c r="BF3331" s="314"/>
      <c r="BG3331" s="314"/>
      <c r="BH3331" s="314"/>
      <c r="BI3331" s="314"/>
      <c r="BJ3331" s="314"/>
      <c r="BK3331" s="40"/>
      <c r="BL3331" s="40"/>
      <c r="BM3331" s="40"/>
      <c r="BN3331" s="40"/>
      <c r="BO3331" s="40"/>
      <c r="BP3331" s="155"/>
      <c r="BQ3331" s="314"/>
      <c r="BR3331" s="314"/>
      <c r="BS3331" s="314"/>
      <c r="BT3331" s="314"/>
      <c r="BU3331" s="314"/>
      <c r="BV3331" s="314"/>
      <c r="BW3331" s="314"/>
      <c r="BX3331" s="155"/>
    </row>
    <row r="3332" spans="1:76" ht="15.75" customHeight="1">
      <c r="A3332" s="25"/>
      <c r="B3332" s="39"/>
      <c r="C3332" s="155"/>
      <c r="D3332" s="155"/>
      <c r="E3332" s="40"/>
      <c r="F3332" s="314"/>
      <c r="H3332" s="315"/>
      <c r="I3332" s="315"/>
      <c r="BA3332" s="30"/>
      <c r="BB3332" s="155"/>
      <c r="BC3332" s="314"/>
      <c r="BD3332" s="314"/>
      <c r="BE3332" s="314"/>
      <c r="BF3332" s="314"/>
      <c r="BG3332" s="314"/>
      <c r="BH3332" s="314"/>
      <c r="BI3332" s="314"/>
      <c r="BJ3332" s="314"/>
      <c r="BK3332" s="40"/>
      <c r="BL3332" s="40"/>
      <c r="BM3332" s="40"/>
      <c r="BN3332" s="40"/>
      <c r="BO3332" s="40"/>
      <c r="BP3332" s="155"/>
      <c r="BQ3332" s="314"/>
      <c r="BR3332" s="314"/>
      <c r="BS3332" s="314"/>
      <c r="BT3332" s="314"/>
      <c r="BU3332" s="314"/>
      <c r="BV3332" s="314"/>
      <c r="BW3332" s="314"/>
      <c r="BX3332" s="155"/>
    </row>
    <row r="3333" spans="1:76" ht="15.75" customHeight="1">
      <c r="A3333" s="25"/>
      <c r="B3333" s="39"/>
      <c r="C3333" s="155"/>
      <c r="D3333" s="155"/>
      <c r="E3333" s="40"/>
      <c r="F3333" s="314"/>
      <c r="H3333" s="315"/>
      <c r="I3333" s="315"/>
      <c r="BA3333" s="30"/>
      <c r="BB3333" s="155"/>
      <c r="BC3333" s="314"/>
      <c r="BD3333" s="314"/>
      <c r="BE3333" s="314"/>
      <c r="BF3333" s="314"/>
      <c r="BG3333" s="314"/>
      <c r="BH3333" s="314"/>
      <c r="BI3333" s="314"/>
      <c r="BJ3333" s="314"/>
      <c r="BK3333" s="40"/>
      <c r="BL3333" s="40"/>
      <c r="BM3333" s="40"/>
      <c r="BN3333" s="40"/>
      <c r="BO3333" s="40"/>
      <c r="BP3333" s="155"/>
      <c r="BQ3333" s="314"/>
      <c r="BR3333" s="314"/>
      <c r="BS3333" s="314"/>
      <c r="BT3333" s="314"/>
      <c r="BU3333" s="314"/>
      <c r="BV3333" s="314"/>
      <c r="BW3333" s="314"/>
      <c r="BX3333" s="155"/>
    </row>
    <row r="3334" spans="1:76" ht="15.75" customHeight="1">
      <c r="A3334" s="25"/>
      <c r="B3334" s="39"/>
      <c r="C3334" s="155"/>
      <c r="D3334" s="155"/>
      <c r="E3334" s="40"/>
      <c r="F3334" s="314"/>
      <c r="H3334" s="315"/>
      <c r="I3334" s="315"/>
      <c r="BA3334" s="30"/>
      <c r="BB3334" s="155"/>
      <c r="BC3334" s="314"/>
      <c r="BD3334" s="314"/>
      <c r="BE3334" s="314"/>
      <c r="BF3334" s="314"/>
      <c r="BG3334" s="314"/>
      <c r="BH3334" s="314"/>
      <c r="BI3334" s="314"/>
      <c r="BJ3334" s="314"/>
      <c r="BK3334" s="40"/>
      <c r="BL3334" s="40"/>
      <c r="BM3334" s="40"/>
      <c r="BN3334" s="40"/>
      <c r="BO3334" s="40"/>
      <c r="BP3334" s="155"/>
      <c r="BQ3334" s="314"/>
      <c r="BR3334" s="314"/>
      <c r="BS3334" s="314"/>
      <c r="BT3334" s="314"/>
      <c r="BU3334" s="314"/>
      <c r="BV3334" s="314"/>
      <c r="BW3334" s="314"/>
      <c r="BX3334" s="155"/>
    </row>
    <row r="3335" spans="1:76" ht="15.75" customHeight="1">
      <c r="A3335" s="25"/>
      <c r="B3335" s="39"/>
      <c r="C3335" s="155"/>
      <c r="D3335" s="155"/>
      <c r="E3335" s="40"/>
      <c r="F3335" s="314"/>
      <c r="H3335" s="315"/>
      <c r="I3335" s="315"/>
      <c r="BA3335" s="30"/>
      <c r="BB3335" s="155"/>
      <c r="BC3335" s="314"/>
      <c r="BD3335" s="314"/>
      <c r="BE3335" s="314"/>
      <c r="BF3335" s="314"/>
      <c r="BG3335" s="314"/>
      <c r="BH3335" s="314"/>
      <c r="BI3335" s="314"/>
      <c r="BJ3335" s="314"/>
      <c r="BK3335" s="40"/>
      <c r="BL3335" s="40"/>
      <c r="BM3335" s="40"/>
      <c r="BN3335" s="40"/>
      <c r="BO3335" s="40"/>
      <c r="BP3335" s="155"/>
      <c r="BQ3335" s="314"/>
      <c r="BR3335" s="314"/>
      <c r="BS3335" s="314"/>
      <c r="BT3335" s="314"/>
      <c r="BU3335" s="314"/>
      <c r="BV3335" s="314"/>
      <c r="BW3335" s="314"/>
      <c r="BX3335" s="155"/>
    </row>
    <row r="3336" spans="1:76" ht="15.75" customHeight="1">
      <c r="A3336" s="25"/>
      <c r="B3336" s="39"/>
      <c r="C3336" s="155"/>
      <c r="D3336" s="155"/>
      <c r="E3336" s="40"/>
      <c r="F3336" s="314"/>
      <c r="H3336" s="315"/>
      <c r="I3336" s="315"/>
      <c r="BA3336" s="30"/>
      <c r="BB3336" s="155"/>
      <c r="BC3336" s="314"/>
      <c r="BD3336" s="314"/>
      <c r="BE3336" s="314"/>
      <c r="BF3336" s="314"/>
      <c r="BG3336" s="314"/>
      <c r="BH3336" s="314"/>
      <c r="BI3336" s="314"/>
      <c r="BJ3336" s="314"/>
      <c r="BK3336" s="40"/>
      <c r="BL3336" s="40"/>
      <c r="BM3336" s="40"/>
      <c r="BN3336" s="40"/>
      <c r="BO3336" s="40"/>
      <c r="BP3336" s="155"/>
      <c r="BQ3336" s="314"/>
      <c r="BR3336" s="314"/>
      <c r="BS3336" s="314"/>
      <c r="BT3336" s="314"/>
      <c r="BU3336" s="314"/>
      <c r="BV3336" s="314"/>
      <c r="BW3336" s="314"/>
      <c r="BX3336" s="155"/>
    </row>
    <row r="3337" spans="1:76" ht="15.75" customHeight="1">
      <c r="A3337" s="25"/>
      <c r="B3337" s="39"/>
      <c r="C3337" s="155"/>
      <c r="D3337" s="155"/>
      <c r="E3337" s="40"/>
      <c r="F3337" s="314"/>
      <c r="H3337" s="315"/>
      <c r="I3337" s="315"/>
      <c r="BA3337" s="30"/>
      <c r="BB3337" s="155"/>
      <c r="BC3337" s="314"/>
      <c r="BD3337" s="314"/>
      <c r="BE3337" s="314"/>
      <c r="BF3337" s="314"/>
      <c r="BG3337" s="314"/>
      <c r="BH3337" s="314"/>
      <c r="BI3337" s="314"/>
      <c r="BJ3337" s="314"/>
      <c r="BK3337" s="40"/>
      <c r="BL3337" s="40"/>
      <c r="BM3337" s="40"/>
      <c r="BN3337" s="40"/>
      <c r="BO3337" s="40"/>
      <c r="BP3337" s="155"/>
      <c r="BQ3337" s="314"/>
      <c r="BR3337" s="314"/>
      <c r="BS3337" s="314"/>
      <c r="BT3337" s="314"/>
      <c r="BU3337" s="314"/>
      <c r="BV3337" s="314"/>
      <c r="BW3337" s="314"/>
      <c r="BX3337" s="155"/>
    </row>
    <row r="3338" spans="1:76" ht="15.75" customHeight="1">
      <c r="A3338" s="25"/>
      <c r="B3338" s="39"/>
      <c r="C3338" s="155"/>
      <c r="D3338" s="155"/>
      <c r="E3338" s="40"/>
      <c r="F3338" s="314"/>
      <c r="H3338" s="315"/>
      <c r="I3338" s="315"/>
      <c r="BA3338" s="30"/>
      <c r="BB3338" s="155"/>
      <c r="BC3338" s="314"/>
      <c r="BD3338" s="314"/>
      <c r="BE3338" s="314"/>
      <c r="BF3338" s="314"/>
      <c r="BG3338" s="314"/>
      <c r="BH3338" s="314"/>
      <c r="BI3338" s="314"/>
      <c r="BJ3338" s="314"/>
      <c r="BK3338" s="40"/>
      <c r="BL3338" s="40"/>
      <c r="BM3338" s="40"/>
      <c r="BN3338" s="40"/>
      <c r="BO3338" s="40"/>
      <c r="BP3338" s="155"/>
      <c r="BQ3338" s="314"/>
      <c r="BR3338" s="314"/>
      <c r="BS3338" s="314"/>
      <c r="BT3338" s="314"/>
      <c r="BU3338" s="314"/>
      <c r="BV3338" s="314"/>
      <c r="BW3338" s="314"/>
      <c r="BX3338" s="155"/>
    </row>
    <row r="3339" spans="1:76" ht="15.75" customHeight="1">
      <c r="A3339" s="25"/>
      <c r="B3339" s="39"/>
      <c r="C3339" s="155"/>
      <c r="D3339" s="155"/>
      <c r="E3339" s="40"/>
      <c r="F3339" s="314"/>
      <c r="H3339" s="315"/>
      <c r="I3339" s="315"/>
      <c r="BA3339" s="30"/>
      <c r="BB3339" s="155"/>
      <c r="BC3339" s="314"/>
      <c r="BD3339" s="314"/>
      <c r="BE3339" s="314"/>
      <c r="BF3339" s="314"/>
      <c r="BG3339" s="314"/>
      <c r="BH3339" s="314"/>
      <c r="BI3339" s="314"/>
      <c r="BJ3339" s="314"/>
      <c r="BK3339" s="40"/>
      <c r="BL3339" s="40"/>
      <c r="BM3339" s="40"/>
      <c r="BN3339" s="40"/>
      <c r="BO3339" s="40"/>
      <c r="BP3339" s="155"/>
      <c r="BQ3339" s="314"/>
      <c r="BR3339" s="314"/>
      <c r="BS3339" s="314"/>
      <c r="BT3339" s="314"/>
      <c r="BU3339" s="314"/>
      <c r="BV3339" s="314"/>
      <c r="BW3339" s="314"/>
      <c r="BX3339" s="155"/>
    </row>
    <row r="3340" spans="1:76" ht="15.75" customHeight="1">
      <c r="A3340" s="25"/>
      <c r="B3340" s="39"/>
      <c r="C3340" s="155"/>
      <c r="D3340" s="155"/>
      <c r="E3340" s="40"/>
      <c r="F3340" s="314"/>
      <c r="H3340" s="315"/>
      <c r="I3340" s="315"/>
      <c r="BA3340" s="30"/>
      <c r="BB3340" s="155"/>
      <c r="BC3340" s="314"/>
      <c r="BD3340" s="314"/>
      <c r="BE3340" s="314"/>
      <c r="BF3340" s="314"/>
      <c r="BG3340" s="314"/>
      <c r="BH3340" s="314"/>
      <c r="BI3340" s="314"/>
      <c r="BJ3340" s="314"/>
      <c r="BK3340" s="40"/>
      <c r="BL3340" s="40"/>
      <c r="BM3340" s="40"/>
      <c r="BN3340" s="40"/>
      <c r="BO3340" s="40"/>
      <c r="BP3340" s="155"/>
      <c r="BQ3340" s="314"/>
      <c r="BR3340" s="314"/>
      <c r="BS3340" s="314"/>
      <c r="BT3340" s="314"/>
      <c r="BU3340" s="314"/>
      <c r="BV3340" s="314"/>
      <c r="BW3340" s="314"/>
      <c r="BX3340" s="155"/>
    </row>
    <row r="3341" spans="1:76" ht="15.75" customHeight="1">
      <c r="A3341" s="25"/>
      <c r="B3341" s="39"/>
      <c r="C3341" s="155"/>
      <c r="D3341" s="155"/>
      <c r="E3341" s="40"/>
      <c r="F3341" s="314"/>
      <c r="H3341" s="315"/>
      <c r="I3341" s="315"/>
      <c r="BA3341" s="30"/>
      <c r="BB3341" s="155"/>
      <c r="BC3341" s="314"/>
      <c r="BD3341" s="314"/>
      <c r="BE3341" s="314"/>
      <c r="BF3341" s="314"/>
      <c r="BG3341" s="314"/>
      <c r="BH3341" s="314"/>
      <c r="BI3341" s="314"/>
      <c r="BJ3341" s="314"/>
      <c r="BK3341" s="40"/>
      <c r="BL3341" s="40"/>
      <c r="BM3341" s="40"/>
      <c r="BN3341" s="40"/>
      <c r="BO3341" s="40"/>
      <c r="BP3341" s="155"/>
      <c r="BQ3341" s="314"/>
      <c r="BR3341" s="314"/>
      <c r="BS3341" s="314"/>
      <c r="BT3341" s="314"/>
      <c r="BU3341" s="314"/>
      <c r="BV3341" s="314"/>
      <c r="BW3341" s="314"/>
      <c r="BX3341" s="155"/>
    </row>
    <row r="3342" spans="1:76" ht="15.75" customHeight="1">
      <c r="A3342" s="25"/>
      <c r="B3342" s="39"/>
      <c r="C3342" s="155"/>
      <c r="D3342" s="155"/>
      <c r="E3342" s="40"/>
      <c r="F3342" s="314"/>
      <c r="H3342" s="315"/>
      <c r="I3342" s="315"/>
      <c r="BA3342" s="30"/>
      <c r="BB3342" s="155"/>
      <c r="BC3342" s="314"/>
      <c r="BD3342" s="314"/>
      <c r="BE3342" s="314"/>
      <c r="BF3342" s="314"/>
      <c r="BG3342" s="314"/>
      <c r="BH3342" s="314"/>
      <c r="BI3342" s="314"/>
      <c r="BJ3342" s="314"/>
      <c r="BK3342" s="40"/>
      <c r="BL3342" s="40"/>
      <c r="BM3342" s="40"/>
      <c r="BN3342" s="40"/>
      <c r="BO3342" s="40"/>
      <c r="BP3342" s="155"/>
      <c r="BQ3342" s="314"/>
      <c r="BR3342" s="314"/>
      <c r="BS3342" s="314"/>
      <c r="BT3342" s="314"/>
      <c r="BU3342" s="314"/>
      <c r="BV3342" s="314"/>
      <c r="BW3342" s="314"/>
      <c r="BX3342" s="155"/>
    </row>
    <row r="3343" spans="1:76" ht="15.75" customHeight="1">
      <c r="A3343" s="25"/>
      <c r="B3343" s="39"/>
      <c r="C3343" s="155"/>
      <c r="D3343" s="155"/>
      <c r="E3343" s="40"/>
      <c r="F3343" s="314"/>
      <c r="H3343" s="315"/>
      <c r="I3343" s="315"/>
      <c r="BA3343" s="30"/>
      <c r="BB3343" s="155"/>
      <c r="BC3343" s="314"/>
      <c r="BD3343" s="314"/>
      <c r="BE3343" s="314"/>
      <c r="BF3343" s="314"/>
      <c r="BG3343" s="314"/>
      <c r="BH3343" s="314"/>
      <c r="BI3343" s="314"/>
      <c r="BJ3343" s="314"/>
      <c r="BK3343" s="40"/>
      <c r="BL3343" s="40"/>
      <c r="BM3343" s="40"/>
      <c r="BN3343" s="40"/>
      <c r="BO3343" s="40"/>
      <c r="BP3343" s="155"/>
      <c r="BQ3343" s="314"/>
      <c r="BR3343" s="314"/>
      <c r="BS3343" s="314"/>
      <c r="BT3343" s="314"/>
      <c r="BU3343" s="314"/>
      <c r="BV3343" s="314"/>
      <c r="BW3343" s="314"/>
      <c r="BX3343" s="155"/>
    </row>
    <row r="3344" spans="1:76" ht="15.75" customHeight="1">
      <c r="A3344" s="25"/>
      <c r="B3344" s="39"/>
      <c r="C3344" s="155"/>
      <c r="D3344" s="155"/>
      <c r="E3344" s="40"/>
      <c r="F3344" s="314"/>
      <c r="H3344" s="315"/>
      <c r="I3344" s="315"/>
      <c r="BA3344" s="30"/>
      <c r="BB3344" s="155"/>
      <c r="BC3344" s="314"/>
      <c r="BD3344" s="314"/>
      <c r="BE3344" s="314"/>
      <c r="BF3344" s="314"/>
      <c r="BG3344" s="314"/>
      <c r="BH3344" s="314"/>
      <c r="BI3344" s="314"/>
      <c r="BJ3344" s="314"/>
      <c r="BK3344" s="40"/>
      <c r="BL3344" s="40"/>
      <c r="BM3344" s="40"/>
      <c r="BN3344" s="40"/>
      <c r="BO3344" s="40"/>
      <c r="BP3344" s="155"/>
      <c r="BQ3344" s="314"/>
      <c r="BR3344" s="314"/>
      <c r="BS3344" s="314"/>
      <c r="BT3344" s="314"/>
      <c r="BU3344" s="314"/>
      <c r="BV3344" s="314"/>
      <c r="BW3344" s="314"/>
      <c r="BX3344" s="155"/>
    </row>
    <row r="3345" spans="1:76" ht="15.75" customHeight="1">
      <c r="A3345" s="25"/>
      <c r="B3345" s="39"/>
      <c r="C3345" s="155"/>
      <c r="D3345" s="155"/>
      <c r="E3345" s="40"/>
      <c r="F3345" s="314"/>
      <c r="H3345" s="315"/>
      <c r="I3345" s="315"/>
      <c r="BA3345" s="30"/>
      <c r="BB3345" s="155"/>
      <c r="BC3345" s="314"/>
      <c r="BD3345" s="314"/>
      <c r="BE3345" s="314"/>
      <c r="BF3345" s="314"/>
      <c r="BG3345" s="314"/>
      <c r="BH3345" s="314"/>
      <c r="BI3345" s="314"/>
      <c r="BJ3345" s="314"/>
      <c r="BK3345" s="40"/>
      <c r="BL3345" s="40"/>
      <c r="BM3345" s="40"/>
      <c r="BN3345" s="40"/>
      <c r="BO3345" s="40"/>
      <c r="BP3345" s="155"/>
      <c r="BQ3345" s="314"/>
      <c r="BR3345" s="314"/>
      <c r="BS3345" s="314"/>
      <c r="BT3345" s="314"/>
      <c r="BU3345" s="314"/>
      <c r="BV3345" s="314"/>
      <c r="BW3345" s="314"/>
      <c r="BX3345" s="155"/>
    </row>
    <row r="3346" spans="1:76" ht="15.75" customHeight="1">
      <c r="A3346" s="25"/>
      <c r="B3346" s="39"/>
      <c r="C3346" s="155"/>
      <c r="D3346" s="155"/>
      <c r="E3346" s="40"/>
      <c r="F3346" s="314"/>
      <c r="H3346" s="315"/>
      <c r="I3346" s="315"/>
      <c r="BA3346" s="30"/>
      <c r="BB3346" s="155"/>
      <c r="BC3346" s="314"/>
      <c r="BD3346" s="314"/>
      <c r="BE3346" s="314"/>
      <c r="BF3346" s="314"/>
      <c r="BG3346" s="314"/>
      <c r="BH3346" s="314"/>
      <c r="BI3346" s="314"/>
      <c r="BJ3346" s="314"/>
      <c r="BK3346" s="40"/>
      <c r="BL3346" s="40"/>
      <c r="BM3346" s="40"/>
      <c r="BN3346" s="40"/>
      <c r="BO3346" s="40"/>
      <c r="BP3346" s="155"/>
      <c r="BQ3346" s="314"/>
      <c r="BR3346" s="314"/>
      <c r="BS3346" s="314"/>
      <c r="BT3346" s="314"/>
      <c r="BU3346" s="314"/>
      <c r="BV3346" s="314"/>
      <c r="BW3346" s="314"/>
      <c r="BX3346" s="155"/>
    </row>
    <row r="3347" spans="1:76" ht="15.75" customHeight="1">
      <c r="A3347" s="25"/>
      <c r="B3347" s="39"/>
      <c r="C3347" s="155"/>
      <c r="D3347" s="155"/>
      <c r="E3347" s="40"/>
      <c r="F3347" s="314"/>
      <c r="H3347" s="315"/>
      <c r="I3347" s="315"/>
      <c r="BA3347" s="30"/>
      <c r="BB3347" s="155"/>
      <c r="BC3347" s="314"/>
      <c r="BD3347" s="314"/>
      <c r="BE3347" s="314"/>
      <c r="BF3347" s="314"/>
      <c r="BG3347" s="314"/>
      <c r="BH3347" s="314"/>
      <c r="BI3347" s="314"/>
      <c r="BJ3347" s="314"/>
      <c r="BK3347" s="40"/>
      <c r="BL3347" s="40"/>
      <c r="BM3347" s="40"/>
      <c r="BN3347" s="40"/>
      <c r="BO3347" s="40"/>
      <c r="BP3347" s="155"/>
      <c r="BQ3347" s="314"/>
      <c r="BR3347" s="314"/>
      <c r="BS3347" s="314"/>
      <c r="BT3347" s="314"/>
      <c r="BU3347" s="314"/>
      <c r="BV3347" s="314"/>
      <c r="BW3347" s="314"/>
      <c r="BX3347" s="155"/>
    </row>
    <row r="3348" spans="1:76" ht="15.75" customHeight="1">
      <c r="A3348" s="25"/>
      <c r="B3348" s="39"/>
      <c r="C3348" s="155"/>
      <c r="D3348" s="155"/>
      <c r="E3348" s="40"/>
      <c r="F3348" s="314"/>
      <c r="H3348" s="315"/>
      <c r="I3348" s="315"/>
      <c r="BA3348" s="30"/>
      <c r="BB3348" s="155"/>
      <c r="BC3348" s="314"/>
      <c r="BD3348" s="314"/>
      <c r="BE3348" s="314"/>
      <c r="BF3348" s="314"/>
      <c r="BG3348" s="314"/>
      <c r="BH3348" s="314"/>
      <c r="BI3348" s="314"/>
      <c r="BJ3348" s="314"/>
      <c r="BK3348" s="40"/>
      <c r="BL3348" s="40"/>
      <c r="BM3348" s="40"/>
      <c r="BN3348" s="40"/>
      <c r="BO3348" s="40"/>
      <c r="BP3348" s="155"/>
      <c r="BQ3348" s="314"/>
      <c r="BR3348" s="314"/>
      <c r="BS3348" s="314"/>
      <c r="BT3348" s="314"/>
      <c r="BU3348" s="314"/>
      <c r="BV3348" s="314"/>
      <c r="BW3348" s="314"/>
      <c r="BX3348" s="155"/>
    </row>
    <row r="3349" spans="1:76" ht="15.75" customHeight="1">
      <c r="A3349" s="25"/>
      <c r="B3349" s="39"/>
      <c r="C3349" s="155"/>
      <c r="D3349" s="155"/>
      <c r="E3349" s="40"/>
      <c r="F3349" s="314"/>
      <c r="H3349" s="315"/>
      <c r="I3349" s="315"/>
      <c r="BA3349" s="30"/>
      <c r="BB3349" s="155"/>
      <c r="BC3349" s="314"/>
      <c r="BD3349" s="314"/>
      <c r="BE3349" s="314"/>
      <c r="BF3349" s="314"/>
      <c r="BG3349" s="314"/>
      <c r="BH3349" s="314"/>
      <c r="BI3349" s="314"/>
      <c r="BJ3349" s="314"/>
      <c r="BK3349" s="40"/>
      <c r="BL3349" s="40"/>
      <c r="BM3349" s="40"/>
      <c r="BN3349" s="40"/>
      <c r="BO3349" s="40"/>
      <c r="BP3349" s="155"/>
      <c r="BQ3349" s="314"/>
      <c r="BR3349" s="314"/>
      <c r="BS3349" s="314"/>
      <c r="BT3349" s="314"/>
      <c r="BU3349" s="314"/>
      <c r="BV3349" s="314"/>
      <c r="BW3349" s="314"/>
      <c r="BX3349" s="155"/>
    </row>
    <row r="3350" spans="1:76" ht="15.75" customHeight="1">
      <c r="A3350" s="25"/>
      <c r="B3350" s="39"/>
      <c r="C3350" s="155"/>
      <c r="D3350" s="155"/>
      <c r="E3350" s="40"/>
      <c r="F3350" s="314"/>
      <c r="H3350" s="315"/>
      <c r="I3350" s="315"/>
      <c r="BA3350" s="30"/>
      <c r="BB3350" s="155"/>
      <c r="BC3350" s="314"/>
      <c r="BD3350" s="314"/>
      <c r="BE3350" s="314"/>
      <c r="BF3350" s="314"/>
      <c r="BG3350" s="314"/>
      <c r="BH3350" s="314"/>
      <c r="BI3350" s="314"/>
      <c r="BJ3350" s="314"/>
      <c r="BK3350" s="40"/>
      <c r="BL3350" s="40"/>
      <c r="BM3350" s="40"/>
      <c r="BN3350" s="40"/>
      <c r="BO3350" s="40"/>
      <c r="BP3350" s="155"/>
      <c r="BQ3350" s="314"/>
      <c r="BR3350" s="314"/>
      <c r="BS3350" s="314"/>
      <c r="BT3350" s="314"/>
      <c r="BU3350" s="314"/>
      <c r="BV3350" s="314"/>
      <c r="BW3350" s="314"/>
      <c r="BX3350" s="155"/>
    </row>
    <row r="3351" spans="1:76" ht="15.75" customHeight="1">
      <c r="A3351" s="25"/>
      <c r="B3351" s="39"/>
      <c r="C3351" s="155"/>
      <c r="D3351" s="155"/>
      <c r="E3351" s="40"/>
      <c r="F3351" s="314"/>
      <c r="H3351" s="315"/>
      <c r="I3351" s="315"/>
      <c r="BA3351" s="30"/>
      <c r="BB3351" s="155"/>
      <c r="BC3351" s="314"/>
      <c r="BD3351" s="314"/>
      <c r="BE3351" s="314"/>
      <c r="BF3351" s="314"/>
      <c r="BG3351" s="314"/>
      <c r="BH3351" s="314"/>
      <c r="BI3351" s="314"/>
      <c r="BJ3351" s="314"/>
      <c r="BK3351" s="40"/>
      <c r="BL3351" s="40"/>
      <c r="BM3351" s="40"/>
      <c r="BN3351" s="40"/>
      <c r="BO3351" s="40"/>
      <c r="BP3351" s="155"/>
      <c r="BQ3351" s="314"/>
      <c r="BR3351" s="314"/>
      <c r="BS3351" s="314"/>
      <c r="BT3351" s="314"/>
      <c r="BU3351" s="314"/>
      <c r="BV3351" s="314"/>
      <c r="BW3351" s="314"/>
      <c r="BX3351" s="155"/>
    </row>
    <row r="3352" spans="1:76" ht="15.75" customHeight="1">
      <c r="A3352" s="25"/>
      <c r="B3352" s="39"/>
      <c r="C3352" s="155"/>
      <c r="D3352" s="155"/>
      <c r="E3352" s="40"/>
      <c r="F3352" s="314"/>
      <c r="H3352" s="315"/>
      <c r="I3352" s="315"/>
      <c r="BA3352" s="30"/>
      <c r="BB3352" s="155"/>
      <c r="BC3352" s="314"/>
      <c r="BD3352" s="314"/>
      <c r="BE3352" s="314"/>
      <c r="BF3352" s="314"/>
      <c r="BG3352" s="314"/>
      <c r="BH3352" s="314"/>
      <c r="BI3352" s="314"/>
      <c r="BJ3352" s="314"/>
      <c r="BK3352" s="40"/>
      <c r="BL3352" s="40"/>
      <c r="BM3352" s="40"/>
      <c r="BN3352" s="40"/>
      <c r="BO3352" s="40"/>
      <c r="BP3352" s="155"/>
      <c r="BQ3352" s="314"/>
      <c r="BR3352" s="314"/>
      <c r="BS3352" s="314"/>
      <c r="BT3352" s="314"/>
      <c r="BU3352" s="314"/>
      <c r="BV3352" s="314"/>
      <c r="BW3352" s="314"/>
      <c r="BX3352" s="155"/>
    </row>
    <row r="3353" spans="1:76" ht="15.75" customHeight="1">
      <c r="A3353" s="25"/>
      <c r="B3353" s="39"/>
      <c r="C3353" s="155"/>
      <c r="D3353" s="155"/>
      <c r="E3353" s="40"/>
      <c r="F3353" s="314"/>
      <c r="H3353" s="315"/>
      <c r="I3353" s="315"/>
      <c r="BA3353" s="30"/>
      <c r="BB3353" s="155"/>
      <c r="BC3353" s="314"/>
      <c r="BD3353" s="314"/>
      <c r="BE3353" s="314"/>
      <c r="BF3353" s="314"/>
      <c r="BG3353" s="314"/>
      <c r="BH3353" s="314"/>
      <c r="BI3353" s="314"/>
      <c r="BJ3353" s="314"/>
      <c r="BK3353" s="40"/>
      <c r="BL3353" s="40"/>
      <c r="BM3353" s="40"/>
      <c r="BN3353" s="40"/>
      <c r="BO3353" s="40"/>
      <c r="BP3353" s="155"/>
      <c r="BQ3353" s="314"/>
      <c r="BR3353" s="314"/>
      <c r="BS3353" s="314"/>
      <c r="BT3353" s="314"/>
      <c r="BU3353" s="314"/>
      <c r="BV3353" s="314"/>
      <c r="BW3353" s="314"/>
      <c r="BX3353" s="155"/>
    </row>
    <row r="3354" spans="1:76" ht="15.75" customHeight="1">
      <c r="A3354" s="25"/>
      <c r="B3354" s="39"/>
      <c r="C3354" s="155"/>
      <c r="D3354" s="155"/>
      <c r="E3354" s="40"/>
      <c r="F3354" s="314"/>
      <c r="H3354" s="315"/>
      <c r="I3354" s="315"/>
      <c r="BA3354" s="30"/>
      <c r="BB3354" s="155"/>
      <c r="BC3354" s="314"/>
      <c r="BD3354" s="314"/>
      <c r="BE3354" s="314"/>
      <c r="BF3354" s="314"/>
      <c r="BG3354" s="314"/>
      <c r="BH3354" s="314"/>
      <c r="BI3354" s="314"/>
      <c r="BJ3354" s="314"/>
      <c r="BK3354" s="40"/>
      <c r="BL3354" s="40"/>
      <c r="BM3354" s="40"/>
      <c r="BN3354" s="40"/>
      <c r="BO3354" s="40"/>
      <c r="BP3354" s="155"/>
      <c r="BQ3354" s="314"/>
      <c r="BR3354" s="314"/>
      <c r="BS3354" s="314"/>
      <c r="BT3354" s="314"/>
      <c r="BU3354" s="314"/>
      <c r="BV3354" s="314"/>
      <c r="BW3354" s="314"/>
      <c r="BX3354" s="155"/>
    </row>
    <row r="3355" spans="1:76" ht="15.75" customHeight="1">
      <c r="A3355" s="25"/>
      <c r="B3355" s="39"/>
      <c r="C3355" s="155"/>
      <c r="D3355" s="155"/>
      <c r="E3355" s="40"/>
      <c r="F3355" s="314"/>
      <c r="H3355" s="315"/>
      <c r="I3355" s="315"/>
      <c r="BA3355" s="30"/>
      <c r="BB3355" s="155"/>
      <c r="BC3355" s="314"/>
      <c r="BD3355" s="314"/>
      <c r="BE3355" s="314"/>
      <c r="BF3355" s="314"/>
      <c r="BG3355" s="314"/>
      <c r="BH3355" s="314"/>
      <c r="BI3355" s="314"/>
      <c r="BJ3355" s="314"/>
      <c r="BK3355" s="40"/>
      <c r="BL3355" s="40"/>
      <c r="BM3355" s="40"/>
      <c r="BN3355" s="40"/>
      <c r="BO3355" s="40"/>
      <c r="BP3355" s="155"/>
      <c r="BQ3355" s="314"/>
      <c r="BR3355" s="314"/>
      <c r="BS3355" s="314"/>
      <c r="BT3355" s="314"/>
      <c r="BU3355" s="314"/>
      <c r="BV3355" s="314"/>
      <c r="BW3355" s="314"/>
      <c r="BX3355" s="155"/>
    </row>
    <row r="3356" spans="1:76" ht="15.75" customHeight="1">
      <c r="A3356" s="25"/>
      <c r="B3356" s="39"/>
      <c r="C3356" s="155"/>
      <c r="D3356" s="155"/>
      <c r="E3356" s="40"/>
      <c r="F3356" s="314"/>
      <c r="H3356" s="315"/>
      <c r="I3356" s="315"/>
      <c r="BA3356" s="30"/>
      <c r="BB3356" s="155"/>
      <c r="BC3356" s="314"/>
      <c r="BD3356" s="314"/>
      <c r="BE3356" s="314"/>
      <c r="BF3356" s="314"/>
      <c r="BG3356" s="314"/>
      <c r="BH3356" s="314"/>
      <c r="BI3356" s="314"/>
      <c r="BJ3356" s="314"/>
      <c r="BK3356" s="40"/>
      <c r="BL3356" s="40"/>
      <c r="BM3356" s="40"/>
      <c r="BN3356" s="40"/>
      <c r="BO3356" s="40"/>
      <c r="BP3356" s="155"/>
      <c r="BQ3356" s="314"/>
      <c r="BR3356" s="314"/>
      <c r="BS3356" s="314"/>
      <c r="BT3356" s="314"/>
      <c r="BU3356" s="314"/>
      <c r="BV3356" s="314"/>
      <c r="BW3356" s="314"/>
      <c r="BX3356" s="155"/>
    </row>
    <row r="3357" spans="1:76" ht="15.75" customHeight="1">
      <c r="A3357" s="25"/>
      <c r="B3357" s="39"/>
      <c r="C3357" s="155"/>
      <c r="D3357" s="155"/>
      <c r="E3357" s="40"/>
      <c r="F3357" s="314"/>
      <c r="H3357" s="315"/>
      <c r="I3357" s="315"/>
      <c r="BA3357" s="30"/>
      <c r="BB3357" s="155"/>
      <c r="BC3357" s="322"/>
      <c r="BD3357" s="322"/>
      <c r="BE3357" s="322"/>
      <c r="BF3357" s="322"/>
      <c r="BG3357" s="322"/>
      <c r="BH3357" s="322"/>
      <c r="BI3357" s="322"/>
      <c r="BJ3357" s="322"/>
      <c r="BK3357" s="341"/>
      <c r="BL3357" s="40"/>
      <c r="BM3357" s="40"/>
      <c r="BN3357" s="40"/>
      <c r="BO3357" s="40"/>
      <c r="BP3357" s="155"/>
      <c r="BQ3357" s="314"/>
      <c r="BR3357" s="314"/>
      <c r="BS3357" s="314"/>
      <c r="BT3357" s="314"/>
      <c r="BU3357" s="314"/>
      <c r="BV3357" s="314"/>
      <c r="BW3357" s="314"/>
      <c r="BX3357" s="155"/>
    </row>
    <row r="3358" spans="1:76" ht="15.75" customHeight="1">
      <c r="A3358" s="25"/>
      <c r="B3358" s="39"/>
      <c r="C3358" s="155"/>
      <c r="D3358" s="155"/>
      <c r="E3358" s="40"/>
      <c r="F3358" s="314"/>
      <c r="H3358" s="315"/>
      <c r="I3358" s="315"/>
      <c r="BA3358" s="30"/>
      <c r="BB3358" s="155"/>
      <c r="BC3358" s="314"/>
      <c r="BD3358" s="314"/>
      <c r="BE3358" s="314"/>
      <c r="BF3358" s="314"/>
      <c r="BG3358" s="314"/>
      <c r="BH3358" s="314"/>
      <c r="BI3358" s="314"/>
      <c r="BJ3358" s="314"/>
      <c r="BK3358" s="40"/>
      <c r="BL3358" s="40"/>
      <c r="BM3358" s="40"/>
      <c r="BN3358" s="40"/>
      <c r="BO3358" s="40"/>
      <c r="BP3358" s="155"/>
      <c r="BQ3358" s="314"/>
      <c r="BR3358" s="314"/>
      <c r="BS3358" s="314"/>
      <c r="BT3358" s="314"/>
      <c r="BU3358" s="314"/>
      <c r="BV3358" s="314"/>
      <c r="BW3358" s="314"/>
      <c r="BX3358" s="155"/>
    </row>
    <row r="3359" spans="1:76" ht="15.75" customHeight="1">
      <c r="A3359" s="25"/>
      <c r="B3359" s="39"/>
      <c r="C3359" s="155"/>
      <c r="D3359" s="155"/>
      <c r="E3359" s="40"/>
      <c r="F3359" s="314"/>
      <c r="H3359" s="315"/>
      <c r="I3359" s="315"/>
      <c r="BA3359" s="30"/>
      <c r="BB3359" s="155"/>
      <c r="BC3359" s="314"/>
      <c r="BD3359" s="314"/>
      <c r="BE3359" s="314"/>
      <c r="BF3359" s="314"/>
      <c r="BG3359" s="314"/>
      <c r="BH3359" s="314"/>
      <c r="BI3359" s="314"/>
      <c r="BJ3359" s="314"/>
      <c r="BK3359" s="40"/>
      <c r="BL3359" s="40"/>
      <c r="BM3359" s="40"/>
      <c r="BN3359" s="40"/>
      <c r="BO3359" s="40"/>
      <c r="BP3359" s="155"/>
      <c r="BQ3359" s="314"/>
      <c r="BR3359" s="314"/>
      <c r="BS3359" s="314"/>
      <c r="BT3359" s="314"/>
      <c r="BU3359" s="314"/>
      <c r="BV3359" s="314"/>
      <c r="BW3359" s="314"/>
      <c r="BX3359" s="155"/>
    </row>
    <row r="3360" spans="1:76" ht="15.75" customHeight="1">
      <c r="A3360" s="25"/>
      <c r="B3360" s="39"/>
      <c r="C3360" s="155"/>
      <c r="D3360" s="155"/>
      <c r="E3360" s="40"/>
      <c r="F3360" s="314"/>
      <c r="H3360" s="315"/>
      <c r="I3360" s="315"/>
      <c r="BA3360" s="30"/>
      <c r="BB3360" s="155"/>
      <c r="BC3360" s="314"/>
      <c r="BD3360" s="314"/>
      <c r="BE3360" s="314"/>
      <c r="BF3360" s="314"/>
      <c r="BG3360" s="314"/>
      <c r="BH3360" s="314"/>
      <c r="BI3360" s="314"/>
      <c r="BJ3360" s="314"/>
      <c r="BK3360" s="40"/>
      <c r="BL3360" s="40"/>
      <c r="BM3360" s="40"/>
      <c r="BN3360" s="40"/>
      <c r="BO3360" s="40"/>
      <c r="BP3360" s="155"/>
      <c r="BQ3360" s="314"/>
      <c r="BR3360" s="314"/>
      <c r="BS3360" s="314"/>
      <c r="BT3360" s="314"/>
      <c r="BU3360" s="314"/>
      <c r="BV3360" s="314"/>
      <c r="BW3360" s="314"/>
      <c r="BX3360" s="155"/>
    </row>
    <row r="3361" spans="1:76" ht="15.75" customHeight="1">
      <c r="A3361" s="25"/>
      <c r="B3361" s="39"/>
      <c r="C3361" s="155"/>
      <c r="D3361" s="155"/>
      <c r="E3361" s="40"/>
      <c r="F3361" s="314"/>
      <c r="H3361" s="315"/>
      <c r="I3361" s="315"/>
      <c r="BA3361" s="30"/>
      <c r="BB3361" s="155"/>
      <c r="BC3361" s="314"/>
      <c r="BD3361" s="314"/>
      <c r="BE3361" s="314"/>
      <c r="BF3361" s="314"/>
      <c r="BG3361" s="314"/>
      <c r="BH3361" s="314"/>
      <c r="BI3361" s="314"/>
      <c r="BJ3361" s="314"/>
      <c r="BK3361" s="40"/>
      <c r="BL3361" s="40"/>
      <c r="BM3361" s="40"/>
      <c r="BN3361" s="40"/>
      <c r="BO3361" s="40"/>
      <c r="BP3361" s="155"/>
      <c r="BQ3361" s="314"/>
      <c r="BR3361" s="314"/>
      <c r="BS3361" s="314"/>
      <c r="BT3361" s="314"/>
      <c r="BU3361" s="314"/>
      <c r="BV3361" s="314"/>
      <c r="BW3361" s="314"/>
      <c r="BX3361" s="155"/>
    </row>
    <row r="3362" spans="1:76" ht="15.75" customHeight="1">
      <c r="A3362" s="25"/>
      <c r="B3362" s="39"/>
      <c r="C3362" s="155"/>
      <c r="D3362" s="155"/>
      <c r="E3362" s="40"/>
      <c r="F3362" s="314"/>
      <c r="H3362" s="315"/>
      <c r="I3362" s="315"/>
      <c r="BA3362" s="30"/>
      <c r="BB3362" s="155"/>
      <c r="BC3362" s="314"/>
      <c r="BD3362" s="314"/>
      <c r="BE3362" s="314"/>
      <c r="BF3362" s="314"/>
      <c r="BG3362" s="314"/>
      <c r="BH3362" s="314"/>
      <c r="BI3362" s="314"/>
      <c r="BJ3362" s="314"/>
      <c r="BK3362" s="40"/>
      <c r="BL3362" s="40"/>
      <c r="BM3362" s="40"/>
      <c r="BN3362" s="40"/>
      <c r="BO3362" s="40"/>
      <c r="BP3362" s="155"/>
      <c r="BQ3362" s="314"/>
      <c r="BR3362" s="314"/>
      <c r="BS3362" s="314"/>
      <c r="BT3362" s="314"/>
      <c r="BU3362" s="314"/>
      <c r="BV3362" s="314"/>
      <c r="BW3362" s="314"/>
      <c r="BX3362" s="155"/>
    </row>
    <row r="3363" spans="1:76" ht="15.75" customHeight="1">
      <c r="A3363" s="25"/>
      <c r="B3363" s="39"/>
      <c r="C3363" s="155"/>
      <c r="D3363" s="155"/>
      <c r="E3363" s="40"/>
      <c r="F3363" s="314"/>
      <c r="H3363" s="315"/>
      <c r="I3363" s="315"/>
      <c r="BA3363" s="30"/>
      <c r="BB3363" s="155"/>
      <c r="BC3363" s="314"/>
      <c r="BD3363" s="314"/>
      <c r="BE3363" s="314"/>
      <c r="BF3363" s="314"/>
      <c r="BG3363" s="314"/>
      <c r="BH3363" s="314"/>
      <c r="BI3363" s="314"/>
      <c r="BJ3363" s="314"/>
      <c r="BK3363" s="40"/>
      <c r="BL3363" s="40"/>
      <c r="BM3363" s="40"/>
      <c r="BN3363" s="40"/>
      <c r="BO3363" s="40"/>
      <c r="BP3363" s="155"/>
      <c r="BQ3363" s="314"/>
      <c r="BR3363" s="314"/>
      <c r="BS3363" s="314"/>
      <c r="BT3363" s="314"/>
      <c r="BU3363" s="314"/>
      <c r="BV3363" s="314"/>
      <c r="BW3363" s="314"/>
      <c r="BX3363" s="155"/>
    </row>
    <row r="3364" spans="1:76" ht="15.75" customHeight="1">
      <c r="A3364" s="25"/>
      <c r="B3364" s="39"/>
      <c r="C3364" s="155"/>
      <c r="D3364" s="155"/>
      <c r="E3364" s="40"/>
      <c r="F3364" s="314"/>
      <c r="H3364" s="315"/>
      <c r="I3364" s="315"/>
      <c r="BA3364" s="30"/>
      <c r="BB3364" s="155"/>
      <c r="BC3364" s="314"/>
      <c r="BD3364" s="314"/>
      <c r="BE3364" s="314"/>
      <c r="BF3364" s="314"/>
      <c r="BG3364" s="314"/>
      <c r="BH3364" s="314"/>
      <c r="BI3364" s="314"/>
      <c r="BJ3364" s="314"/>
      <c r="BK3364" s="40"/>
      <c r="BL3364" s="40"/>
      <c r="BM3364" s="40"/>
      <c r="BN3364" s="40"/>
      <c r="BO3364" s="40"/>
      <c r="BP3364" s="155"/>
      <c r="BQ3364" s="314"/>
      <c r="BR3364" s="314"/>
      <c r="BS3364" s="314"/>
      <c r="BT3364" s="314"/>
      <c r="BU3364" s="314"/>
      <c r="BV3364" s="314"/>
      <c r="BW3364" s="314"/>
      <c r="BX3364" s="155"/>
    </row>
    <row r="3365" spans="1:76" ht="15.75" customHeight="1">
      <c r="A3365" s="25"/>
      <c r="B3365" s="39"/>
      <c r="C3365" s="155"/>
      <c r="D3365" s="155"/>
      <c r="E3365" s="40"/>
      <c r="F3365" s="314"/>
      <c r="H3365" s="315"/>
      <c r="I3365" s="315"/>
      <c r="BA3365" s="30"/>
      <c r="BB3365" s="155"/>
      <c r="BC3365" s="314"/>
      <c r="BD3365" s="314"/>
      <c r="BE3365" s="314"/>
      <c r="BF3365" s="314"/>
      <c r="BG3365" s="314"/>
      <c r="BH3365" s="314"/>
      <c r="BI3365" s="314"/>
      <c r="BJ3365" s="314"/>
      <c r="BK3365" s="40"/>
      <c r="BL3365" s="40"/>
      <c r="BM3365" s="40"/>
      <c r="BN3365" s="40"/>
      <c r="BO3365" s="40"/>
      <c r="BP3365" s="155"/>
      <c r="BQ3365" s="314"/>
      <c r="BR3365" s="314"/>
      <c r="BS3365" s="314"/>
      <c r="BT3365" s="314"/>
      <c r="BU3365" s="314"/>
      <c r="BV3365" s="314"/>
      <c r="BW3365" s="314"/>
      <c r="BX3365" s="155"/>
    </row>
    <row r="3366" spans="1:76" ht="15.75" customHeight="1">
      <c r="A3366" s="25"/>
      <c r="B3366" s="39"/>
      <c r="C3366" s="155"/>
      <c r="D3366" s="155"/>
      <c r="E3366" s="40"/>
      <c r="F3366" s="314"/>
      <c r="H3366" s="315"/>
      <c r="I3366" s="315"/>
      <c r="BA3366" s="30"/>
      <c r="BB3366" s="155"/>
      <c r="BC3366" s="314"/>
      <c r="BD3366" s="314"/>
      <c r="BE3366" s="314"/>
      <c r="BF3366" s="314"/>
      <c r="BG3366" s="314"/>
      <c r="BH3366" s="314"/>
      <c r="BI3366" s="314"/>
      <c r="BJ3366" s="314"/>
      <c r="BK3366" s="40"/>
      <c r="BL3366" s="40"/>
      <c r="BM3366" s="40"/>
      <c r="BN3366" s="40"/>
      <c r="BO3366" s="40"/>
      <c r="BP3366" s="155"/>
      <c r="BQ3366" s="314"/>
      <c r="BR3366" s="314"/>
      <c r="BS3366" s="314"/>
      <c r="BT3366" s="314"/>
      <c r="BU3366" s="314"/>
      <c r="BV3366" s="314"/>
      <c r="BW3366" s="314"/>
      <c r="BX3366" s="155"/>
    </row>
    <row r="3367" spans="1:76" ht="15.75" customHeight="1">
      <c r="A3367" s="25"/>
      <c r="B3367" s="39"/>
      <c r="C3367" s="155"/>
      <c r="D3367" s="155"/>
      <c r="E3367" s="40"/>
      <c r="F3367" s="314"/>
      <c r="H3367" s="315"/>
      <c r="I3367" s="315"/>
      <c r="BA3367" s="30"/>
      <c r="BB3367" s="155"/>
      <c r="BC3367" s="314"/>
      <c r="BD3367" s="314"/>
      <c r="BE3367" s="314"/>
      <c r="BF3367" s="314"/>
      <c r="BG3367" s="314"/>
      <c r="BH3367" s="314"/>
      <c r="BI3367" s="314"/>
      <c r="BJ3367" s="314"/>
      <c r="BK3367" s="40"/>
      <c r="BL3367" s="40"/>
      <c r="BM3367" s="40"/>
      <c r="BN3367" s="40"/>
      <c r="BO3367" s="40"/>
      <c r="BP3367" s="155"/>
      <c r="BQ3367" s="314"/>
      <c r="BR3367" s="314"/>
      <c r="BS3367" s="314"/>
      <c r="BT3367" s="314"/>
      <c r="BU3367" s="314"/>
      <c r="BV3367" s="314"/>
      <c r="BW3367" s="314"/>
      <c r="BX3367" s="155"/>
    </row>
    <row r="3368" spans="1:76" ht="15.75" customHeight="1">
      <c r="A3368" s="25"/>
      <c r="B3368" s="39"/>
      <c r="C3368" s="155"/>
      <c r="D3368" s="155"/>
      <c r="E3368" s="40"/>
      <c r="F3368" s="314"/>
      <c r="H3368" s="315"/>
      <c r="I3368" s="315"/>
      <c r="BA3368" s="30"/>
      <c r="BB3368" s="155"/>
      <c r="BC3368" s="314"/>
      <c r="BD3368" s="314"/>
      <c r="BE3368" s="314"/>
      <c r="BF3368" s="314"/>
      <c r="BG3368" s="314"/>
      <c r="BH3368" s="314"/>
      <c r="BI3368" s="314"/>
      <c r="BJ3368" s="314"/>
      <c r="BK3368" s="40"/>
      <c r="BL3368" s="40"/>
      <c r="BM3368" s="40"/>
      <c r="BN3368" s="40"/>
      <c r="BO3368" s="40"/>
      <c r="BP3368" s="155"/>
      <c r="BQ3368" s="314"/>
      <c r="BR3368" s="314"/>
      <c r="BS3368" s="314"/>
      <c r="BT3368" s="314"/>
      <c r="BU3368" s="314"/>
      <c r="BV3368" s="314"/>
      <c r="BW3368" s="314"/>
      <c r="BX3368" s="155"/>
    </row>
    <row r="3369" spans="1:76" ht="15.75" customHeight="1">
      <c r="A3369" s="25"/>
      <c r="B3369" s="39"/>
      <c r="C3369" s="155"/>
      <c r="D3369" s="155"/>
      <c r="E3369" s="40"/>
      <c r="F3369" s="314"/>
      <c r="H3369" s="315"/>
      <c r="I3369" s="315"/>
      <c r="BA3369" s="30"/>
      <c r="BB3369" s="155"/>
      <c r="BC3369" s="314"/>
      <c r="BD3369" s="314"/>
      <c r="BE3369" s="314"/>
      <c r="BF3369" s="314"/>
      <c r="BG3369" s="314"/>
      <c r="BH3369" s="314"/>
      <c r="BI3369" s="314"/>
      <c r="BJ3369" s="314"/>
      <c r="BK3369" s="40"/>
      <c r="BL3369" s="40"/>
      <c r="BM3369" s="40"/>
      <c r="BN3369" s="40"/>
      <c r="BO3369" s="40"/>
      <c r="BP3369" s="155"/>
      <c r="BQ3369" s="314"/>
      <c r="BR3369" s="314"/>
      <c r="BS3369" s="314"/>
      <c r="BT3369" s="314"/>
      <c r="BU3369" s="314"/>
      <c r="BV3369" s="314"/>
      <c r="BW3369" s="314"/>
      <c r="BX3369" s="155"/>
    </row>
    <row r="3370" spans="1:76" ht="15.75" customHeight="1">
      <c r="A3370" s="25"/>
      <c r="B3370" s="39"/>
      <c r="C3370" s="155"/>
      <c r="D3370" s="155"/>
      <c r="E3370" s="40"/>
      <c r="F3370" s="314"/>
      <c r="H3370" s="315"/>
      <c r="I3370" s="315"/>
      <c r="BA3370" s="30"/>
      <c r="BB3370" s="155"/>
      <c r="BC3370" s="314"/>
      <c r="BD3370" s="314"/>
      <c r="BE3370" s="314"/>
      <c r="BF3370" s="314"/>
      <c r="BG3370" s="314"/>
      <c r="BH3370" s="314"/>
      <c r="BI3370" s="314"/>
      <c r="BJ3370" s="314"/>
      <c r="BK3370" s="40"/>
      <c r="BL3370" s="40"/>
      <c r="BM3370" s="40"/>
      <c r="BN3370" s="40"/>
      <c r="BO3370" s="40"/>
      <c r="BP3370" s="155"/>
      <c r="BQ3370" s="314"/>
      <c r="BR3370" s="314"/>
      <c r="BS3370" s="314"/>
      <c r="BT3370" s="314"/>
      <c r="BU3370" s="314"/>
      <c r="BV3370" s="314"/>
      <c r="BW3370" s="314"/>
      <c r="BX3370" s="155"/>
    </row>
    <row r="3371" spans="1:76" ht="15.75" customHeight="1">
      <c r="A3371" s="25"/>
      <c r="B3371" s="39"/>
      <c r="C3371" s="155"/>
      <c r="D3371" s="155"/>
      <c r="E3371" s="40"/>
      <c r="F3371" s="314"/>
      <c r="H3371" s="315"/>
      <c r="I3371" s="315"/>
      <c r="BA3371" s="30"/>
      <c r="BB3371" s="155"/>
      <c r="BC3371" s="314"/>
      <c r="BD3371" s="314"/>
      <c r="BE3371" s="314"/>
      <c r="BF3371" s="314"/>
      <c r="BG3371" s="314"/>
      <c r="BH3371" s="314"/>
      <c r="BI3371" s="314"/>
      <c r="BJ3371" s="314"/>
      <c r="BK3371" s="40"/>
      <c r="BL3371" s="40"/>
      <c r="BM3371" s="40"/>
      <c r="BN3371" s="40"/>
      <c r="BO3371" s="40"/>
      <c r="BP3371" s="155"/>
      <c r="BQ3371" s="314"/>
      <c r="BR3371" s="314"/>
      <c r="BS3371" s="314"/>
      <c r="BT3371" s="314"/>
      <c r="BU3371" s="314"/>
      <c r="BV3371" s="314"/>
      <c r="BW3371" s="314"/>
      <c r="BX3371" s="155"/>
    </row>
    <row r="3372" spans="1:76" ht="15.75" customHeight="1">
      <c r="A3372" s="25"/>
      <c r="B3372" s="39"/>
      <c r="C3372" s="155"/>
      <c r="D3372" s="155"/>
      <c r="E3372" s="40"/>
      <c r="F3372" s="314"/>
      <c r="H3372" s="315"/>
      <c r="I3372" s="315"/>
      <c r="BA3372" s="30"/>
      <c r="BB3372" s="155"/>
      <c r="BC3372" s="314"/>
      <c r="BD3372" s="314"/>
      <c r="BE3372" s="314"/>
      <c r="BF3372" s="314"/>
      <c r="BG3372" s="314"/>
      <c r="BH3372" s="314"/>
      <c r="BI3372" s="314"/>
      <c r="BJ3372" s="314"/>
      <c r="BK3372" s="40"/>
      <c r="BL3372" s="40"/>
      <c r="BM3372" s="40"/>
      <c r="BN3372" s="40"/>
      <c r="BO3372" s="40"/>
      <c r="BP3372" s="155"/>
      <c r="BQ3372" s="314"/>
      <c r="BR3372" s="314"/>
      <c r="BS3372" s="314"/>
      <c r="BT3372" s="314"/>
      <c r="BU3372" s="314"/>
      <c r="BV3372" s="314"/>
      <c r="BW3372" s="314"/>
      <c r="BX3372" s="155"/>
    </row>
    <row r="3373" spans="1:76" ht="15.75" customHeight="1">
      <c r="A3373" s="25"/>
      <c r="B3373" s="39"/>
      <c r="C3373" s="155"/>
      <c r="D3373" s="155"/>
      <c r="E3373" s="40"/>
      <c r="F3373" s="314"/>
      <c r="H3373" s="315"/>
      <c r="I3373" s="315"/>
      <c r="BA3373" s="30"/>
      <c r="BB3373" s="155"/>
      <c r="BC3373" s="314"/>
      <c r="BD3373" s="314"/>
      <c r="BE3373" s="314"/>
      <c r="BF3373" s="314"/>
      <c r="BG3373" s="314"/>
      <c r="BH3373" s="314"/>
      <c r="BI3373" s="314"/>
      <c r="BJ3373" s="314"/>
      <c r="BK3373" s="40"/>
      <c r="BL3373" s="40"/>
      <c r="BM3373" s="40"/>
      <c r="BN3373" s="40"/>
      <c r="BO3373" s="40"/>
      <c r="BP3373" s="155"/>
      <c r="BQ3373" s="314"/>
      <c r="BR3373" s="314"/>
      <c r="BS3373" s="314"/>
      <c r="BT3373" s="314"/>
      <c r="BU3373" s="314"/>
      <c r="BV3373" s="314"/>
      <c r="BW3373" s="314"/>
      <c r="BX3373" s="155"/>
    </row>
    <row r="3374" spans="1:76" ht="15.75" customHeight="1">
      <c r="A3374" s="25"/>
      <c r="B3374" s="39"/>
      <c r="C3374" s="155"/>
      <c r="D3374" s="155"/>
      <c r="E3374" s="40"/>
      <c r="F3374" s="314"/>
      <c r="H3374" s="315"/>
      <c r="I3374" s="315"/>
      <c r="BA3374" s="30"/>
      <c r="BB3374" s="155"/>
      <c r="BC3374" s="314"/>
      <c r="BD3374" s="314"/>
      <c r="BE3374" s="314"/>
      <c r="BF3374" s="314"/>
      <c r="BG3374" s="314"/>
      <c r="BH3374" s="314"/>
      <c r="BI3374" s="314"/>
      <c r="BJ3374" s="314"/>
      <c r="BK3374" s="40"/>
      <c r="BL3374" s="40"/>
      <c r="BM3374" s="40"/>
      <c r="BN3374" s="40"/>
      <c r="BO3374" s="40"/>
      <c r="BP3374" s="155"/>
      <c r="BQ3374" s="314"/>
      <c r="BR3374" s="314"/>
      <c r="BS3374" s="314"/>
      <c r="BT3374" s="314"/>
      <c r="BU3374" s="314"/>
      <c r="BV3374" s="314"/>
      <c r="BW3374" s="314"/>
      <c r="BX3374" s="155"/>
    </row>
    <row r="3375" spans="1:76" ht="15.75" customHeight="1">
      <c r="A3375" s="25"/>
      <c r="B3375" s="39"/>
      <c r="C3375" s="155"/>
      <c r="D3375" s="155"/>
      <c r="E3375" s="40"/>
      <c r="F3375" s="314"/>
      <c r="H3375" s="315"/>
      <c r="I3375" s="315"/>
      <c r="BA3375" s="30"/>
      <c r="BB3375" s="155"/>
      <c r="BC3375" s="314"/>
      <c r="BD3375" s="314"/>
      <c r="BE3375" s="314"/>
      <c r="BF3375" s="314"/>
      <c r="BG3375" s="314"/>
      <c r="BH3375" s="314"/>
      <c r="BI3375" s="314"/>
      <c r="BJ3375" s="314"/>
      <c r="BK3375" s="40"/>
      <c r="BL3375" s="40"/>
      <c r="BM3375" s="40"/>
      <c r="BN3375" s="40"/>
      <c r="BO3375" s="40"/>
      <c r="BP3375" s="155"/>
      <c r="BQ3375" s="314"/>
      <c r="BR3375" s="314"/>
      <c r="BS3375" s="314"/>
      <c r="BT3375" s="314"/>
      <c r="BU3375" s="314"/>
      <c r="BV3375" s="314"/>
      <c r="BW3375" s="314"/>
      <c r="BX3375" s="155"/>
    </row>
    <row r="3376" spans="1:76" ht="15.75" customHeight="1">
      <c r="A3376" s="25"/>
      <c r="B3376" s="39"/>
      <c r="C3376" s="155"/>
      <c r="D3376" s="155"/>
      <c r="E3376" s="40"/>
      <c r="F3376" s="314"/>
      <c r="H3376" s="315"/>
      <c r="I3376" s="315"/>
      <c r="BA3376" s="30"/>
      <c r="BB3376" s="155"/>
      <c r="BC3376" s="314"/>
      <c r="BD3376" s="314"/>
      <c r="BE3376" s="314"/>
      <c r="BF3376" s="314"/>
      <c r="BG3376" s="314"/>
      <c r="BH3376" s="314"/>
      <c r="BI3376" s="314"/>
      <c r="BJ3376" s="314"/>
      <c r="BK3376" s="40"/>
      <c r="BL3376" s="40"/>
      <c r="BM3376" s="40"/>
      <c r="BN3376" s="40"/>
      <c r="BO3376" s="40"/>
      <c r="BP3376" s="155"/>
      <c r="BQ3376" s="314"/>
      <c r="BR3376" s="314"/>
      <c r="BS3376" s="314"/>
      <c r="BT3376" s="314"/>
      <c r="BU3376" s="314"/>
      <c r="BV3376" s="314"/>
      <c r="BW3376" s="314"/>
      <c r="BX3376" s="155"/>
    </row>
    <row r="3377" spans="1:76" ht="15.75" customHeight="1">
      <c r="A3377" s="25"/>
      <c r="B3377" s="39"/>
      <c r="C3377" s="155"/>
      <c r="D3377" s="155"/>
      <c r="E3377" s="40"/>
      <c r="F3377" s="314"/>
      <c r="H3377" s="315"/>
      <c r="I3377" s="315"/>
      <c r="BA3377" s="30"/>
      <c r="BB3377" s="155"/>
      <c r="BC3377" s="314"/>
      <c r="BD3377" s="314"/>
      <c r="BE3377" s="314"/>
      <c r="BF3377" s="314"/>
      <c r="BG3377" s="314"/>
      <c r="BH3377" s="314"/>
      <c r="BI3377" s="314"/>
      <c r="BJ3377" s="314"/>
      <c r="BK3377" s="40"/>
      <c r="BL3377" s="40"/>
      <c r="BM3377" s="40"/>
      <c r="BN3377" s="40"/>
      <c r="BO3377" s="40"/>
      <c r="BP3377" s="155"/>
      <c r="BQ3377" s="314"/>
      <c r="BR3377" s="314"/>
      <c r="BS3377" s="314"/>
      <c r="BT3377" s="314"/>
      <c r="BU3377" s="314"/>
      <c r="BV3377" s="314"/>
      <c r="BW3377" s="314"/>
      <c r="BX3377" s="155"/>
    </row>
    <row r="3378" spans="1:76" ht="15.75" customHeight="1">
      <c r="A3378" s="25"/>
      <c r="B3378" s="39"/>
      <c r="C3378" s="155"/>
      <c r="D3378" s="155"/>
      <c r="E3378" s="40"/>
      <c r="F3378" s="314"/>
      <c r="H3378" s="315"/>
      <c r="I3378" s="315"/>
      <c r="BA3378" s="30"/>
      <c r="BB3378" s="155"/>
      <c r="BC3378" s="314"/>
      <c r="BD3378" s="314"/>
      <c r="BE3378" s="314"/>
      <c r="BF3378" s="314"/>
      <c r="BG3378" s="314"/>
      <c r="BH3378" s="314"/>
      <c r="BI3378" s="314"/>
      <c r="BJ3378" s="314"/>
      <c r="BK3378" s="40"/>
      <c r="BL3378" s="40"/>
      <c r="BM3378" s="40"/>
      <c r="BN3378" s="40"/>
      <c r="BO3378" s="40"/>
      <c r="BP3378" s="155"/>
      <c r="BQ3378" s="314"/>
      <c r="BR3378" s="314"/>
      <c r="BS3378" s="314"/>
      <c r="BT3378" s="314"/>
      <c r="BU3378" s="314"/>
      <c r="BV3378" s="314"/>
      <c r="BW3378" s="314"/>
      <c r="BX3378" s="155"/>
    </row>
    <row r="3379" spans="1:76" ht="15.75" customHeight="1">
      <c r="A3379" s="25"/>
      <c r="B3379" s="39"/>
      <c r="C3379" s="155"/>
      <c r="D3379" s="155"/>
      <c r="E3379" s="40"/>
      <c r="F3379" s="314"/>
      <c r="H3379" s="315"/>
      <c r="I3379" s="315"/>
      <c r="BA3379" s="30"/>
      <c r="BB3379" s="155"/>
      <c r="BC3379" s="314"/>
      <c r="BD3379" s="314"/>
      <c r="BE3379" s="314"/>
      <c r="BF3379" s="314"/>
      <c r="BG3379" s="314"/>
      <c r="BH3379" s="314"/>
      <c r="BI3379" s="314"/>
      <c r="BJ3379" s="314"/>
      <c r="BK3379" s="40"/>
      <c r="BL3379" s="40"/>
      <c r="BM3379" s="40"/>
      <c r="BN3379" s="40"/>
      <c r="BO3379" s="40"/>
      <c r="BP3379" s="155"/>
      <c r="BQ3379" s="314"/>
      <c r="BR3379" s="314"/>
      <c r="BS3379" s="314"/>
      <c r="BT3379" s="314"/>
      <c r="BU3379" s="314"/>
      <c r="BV3379" s="314"/>
      <c r="BW3379" s="314"/>
      <c r="BX3379" s="155"/>
    </row>
    <row r="3380" spans="1:76" ht="15.75" customHeight="1">
      <c r="A3380" s="25"/>
      <c r="B3380" s="39"/>
      <c r="C3380" s="155"/>
      <c r="D3380" s="155"/>
      <c r="E3380" s="40"/>
      <c r="F3380" s="314"/>
      <c r="H3380" s="315"/>
      <c r="I3380" s="315"/>
      <c r="BA3380" s="30"/>
      <c r="BB3380" s="155"/>
      <c r="BC3380" s="314"/>
      <c r="BD3380" s="314"/>
      <c r="BE3380" s="314"/>
      <c r="BF3380" s="314"/>
      <c r="BG3380" s="314"/>
      <c r="BH3380" s="314"/>
      <c r="BI3380" s="314"/>
      <c r="BJ3380" s="314"/>
      <c r="BK3380" s="40"/>
      <c r="BL3380" s="40"/>
      <c r="BM3380" s="40"/>
      <c r="BN3380" s="40"/>
      <c r="BO3380" s="40"/>
      <c r="BP3380" s="155"/>
      <c r="BQ3380" s="314"/>
      <c r="BR3380" s="314"/>
      <c r="BS3380" s="314"/>
      <c r="BT3380" s="314"/>
      <c r="BU3380" s="314"/>
      <c r="BV3380" s="314"/>
      <c r="BW3380" s="314"/>
      <c r="BX3380" s="155"/>
    </row>
    <row r="3381" spans="1:76" ht="15.75" customHeight="1">
      <c r="A3381" s="25"/>
      <c r="B3381" s="39"/>
      <c r="C3381" s="155"/>
      <c r="D3381" s="155"/>
      <c r="E3381" s="40"/>
      <c r="F3381" s="314"/>
      <c r="H3381" s="315"/>
      <c r="I3381" s="315"/>
      <c r="BA3381" s="30"/>
      <c r="BB3381" s="155"/>
      <c r="BC3381" s="314"/>
      <c r="BD3381" s="314"/>
      <c r="BE3381" s="314"/>
      <c r="BF3381" s="314"/>
      <c r="BG3381" s="314"/>
      <c r="BH3381" s="314"/>
      <c r="BI3381" s="314"/>
      <c r="BJ3381" s="314"/>
      <c r="BK3381" s="40"/>
      <c r="BL3381" s="40"/>
      <c r="BM3381" s="40"/>
      <c r="BN3381" s="40"/>
      <c r="BO3381" s="40"/>
      <c r="BP3381" s="155"/>
      <c r="BQ3381" s="314"/>
      <c r="BR3381" s="314"/>
      <c r="BS3381" s="314"/>
      <c r="BT3381" s="314"/>
      <c r="BU3381" s="314"/>
      <c r="BV3381" s="314"/>
      <c r="BW3381" s="314"/>
      <c r="BX3381" s="155"/>
    </row>
    <row r="3382" spans="1:76" ht="15.75" customHeight="1">
      <c r="A3382" s="25"/>
      <c r="B3382" s="39"/>
      <c r="C3382" s="155"/>
      <c r="D3382" s="155"/>
      <c r="E3382" s="40"/>
      <c r="F3382" s="314"/>
      <c r="H3382" s="315"/>
      <c r="I3382" s="315"/>
      <c r="BA3382" s="30"/>
      <c r="BB3382" s="155"/>
      <c r="BC3382" s="314"/>
      <c r="BD3382" s="314"/>
      <c r="BE3382" s="314"/>
      <c r="BF3382" s="314"/>
      <c r="BG3382" s="314"/>
      <c r="BH3382" s="314"/>
      <c r="BI3382" s="314"/>
      <c r="BJ3382" s="314"/>
      <c r="BK3382" s="40"/>
      <c r="BL3382" s="40"/>
      <c r="BM3382" s="40"/>
      <c r="BN3382" s="40"/>
      <c r="BO3382" s="40"/>
      <c r="BP3382" s="155"/>
      <c r="BQ3382" s="314"/>
      <c r="BR3382" s="314"/>
      <c r="BS3382" s="314"/>
      <c r="BT3382" s="314"/>
      <c r="BU3382" s="314"/>
      <c r="BV3382" s="314"/>
      <c r="BW3382" s="314"/>
      <c r="BX3382" s="155"/>
    </row>
    <row r="3383" spans="1:76" ht="15.75" customHeight="1">
      <c r="A3383" s="25"/>
      <c r="B3383" s="39"/>
      <c r="C3383" s="155"/>
      <c r="D3383" s="155"/>
      <c r="E3383" s="40"/>
      <c r="F3383" s="314"/>
      <c r="H3383" s="315"/>
      <c r="I3383" s="315"/>
      <c r="BA3383" s="30"/>
      <c r="BB3383" s="155"/>
      <c r="BC3383" s="314"/>
      <c r="BD3383" s="314"/>
      <c r="BE3383" s="314"/>
      <c r="BF3383" s="314"/>
      <c r="BG3383" s="314"/>
      <c r="BH3383" s="314"/>
      <c r="BI3383" s="314"/>
      <c r="BJ3383" s="314"/>
      <c r="BK3383" s="40"/>
      <c r="BL3383" s="40"/>
      <c r="BM3383" s="40"/>
      <c r="BN3383" s="40"/>
      <c r="BO3383" s="40"/>
      <c r="BP3383" s="155"/>
      <c r="BQ3383" s="314"/>
      <c r="BR3383" s="314"/>
      <c r="BS3383" s="314"/>
      <c r="BT3383" s="314"/>
      <c r="BU3383" s="314"/>
      <c r="BV3383" s="314"/>
      <c r="BW3383" s="314"/>
      <c r="BX3383" s="155"/>
    </row>
    <row r="3384" spans="1:76" ht="15.75" customHeight="1">
      <c r="A3384" s="25"/>
      <c r="B3384" s="39"/>
      <c r="C3384" s="155"/>
      <c r="D3384" s="155"/>
      <c r="E3384" s="40"/>
      <c r="F3384" s="314"/>
      <c r="H3384" s="315"/>
      <c r="I3384" s="315"/>
      <c r="BA3384" s="30"/>
      <c r="BB3384" s="155"/>
      <c r="BC3384" s="314"/>
      <c r="BD3384" s="314"/>
      <c r="BE3384" s="314"/>
      <c r="BF3384" s="314"/>
      <c r="BG3384" s="314"/>
      <c r="BH3384" s="314"/>
      <c r="BI3384" s="314"/>
      <c r="BJ3384" s="314"/>
      <c r="BK3384" s="40"/>
      <c r="BL3384" s="40"/>
      <c r="BM3384" s="40"/>
      <c r="BN3384" s="40"/>
      <c r="BO3384" s="40"/>
      <c r="BP3384" s="155"/>
      <c r="BQ3384" s="314"/>
      <c r="BR3384" s="314"/>
      <c r="BS3384" s="314"/>
      <c r="BT3384" s="314"/>
      <c r="BU3384" s="314"/>
      <c r="BV3384" s="314"/>
      <c r="BW3384" s="314"/>
      <c r="BX3384" s="155"/>
    </row>
    <row r="3385" spans="1:76" ht="15.75" customHeight="1">
      <c r="A3385" s="25"/>
      <c r="B3385" s="39"/>
      <c r="C3385" s="155"/>
      <c r="D3385" s="155"/>
      <c r="E3385" s="40"/>
      <c r="F3385" s="314"/>
      <c r="H3385" s="315"/>
      <c r="I3385" s="315"/>
      <c r="BA3385" s="30"/>
      <c r="BB3385" s="155"/>
      <c r="BC3385" s="314"/>
      <c r="BD3385" s="314"/>
      <c r="BE3385" s="314"/>
      <c r="BF3385" s="314"/>
      <c r="BG3385" s="314"/>
      <c r="BH3385" s="314"/>
      <c r="BI3385" s="314"/>
      <c r="BJ3385" s="314"/>
      <c r="BK3385" s="40"/>
      <c r="BL3385" s="40"/>
      <c r="BM3385" s="40"/>
      <c r="BN3385" s="40"/>
      <c r="BO3385" s="40"/>
      <c r="BP3385" s="155"/>
      <c r="BQ3385" s="314"/>
      <c r="BR3385" s="314"/>
      <c r="BS3385" s="314"/>
      <c r="BT3385" s="314"/>
      <c r="BU3385" s="314"/>
      <c r="BV3385" s="314"/>
      <c r="BW3385" s="314"/>
      <c r="BX3385" s="155"/>
    </row>
    <row r="3386" spans="1:76" ht="15.75" customHeight="1">
      <c r="A3386" s="25"/>
      <c r="B3386" s="39"/>
      <c r="C3386" s="155"/>
      <c r="D3386" s="155"/>
      <c r="E3386" s="40"/>
      <c r="F3386" s="314"/>
      <c r="H3386" s="315"/>
      <c r="I3386" s="315"/>
      <c r="BA3386" s="30"/>
      <c r="BB3386" s="155"/>
      <c r="BC3386" s="314"/>
      <c r="BD3386" s="314"/>
      <c r="BE3386" s="314"/>
      <c r="BF3386" s="314"/>
      <c r="BG3386" s="314"/>
      <c r="BH3386" s="314"/>
      <c r="BI3386" s="314"/>
      <c r="BJ3386" s="314"/>
      <c r="BK3386" s="40"/>
      <c r="BL3386" s="40"/>
      <c r="BM3386" s="40"/>
      <c r="BN3386" s="40"/>
      <c r="BO3386" s="40"/>
      <c r="BP3386" s="155"/>
      <c r="BQ3386" s="314"/>
      <c r="BR3386" s="314"/>
      <c r="BS3386" s="314"/>
      <c r="BT3386" s="314"/>
      <c r="BU3386" s="314"/>
      <c r="BV3386" s="314"/>
      <c r="BW3386" s="314"/>
      <c r="BX3386" s="155"/>
    </row>
    <row r="3387" spans="1:76" ht="15.75" customHeight="1">
      <c r="A3387" s="25"/>
      <c r="B3387" s="39"/>
      <c r="C3387" s="155"/>
      <c r="D3387" s="155"/>
      <c r="E3387" s="40"/>
      <c r="F3387" s="314"/>
      <c r="H3387" s="315"/>
      <c r="I3387" s="315"/>
      <c r="BA3387" s="30"/>
      <c r="BB3387" s="155"/>
      <c r="BC3387" s="314"/>
      <c r="BD3387" s="314"/>
      <c r="BE3387" s="314"/>
      <c r="BF3387" s="314"/>
      <c r="BG3387" s="314"/>
      <c r="BH3387" s="314"/>
      <c r="BI3387" s="314"/>
      <c r="BJ3387" s="314"/>
      <c r="BK3387" s="40"/>
      <c r="BL3387" s="40"/>
      <c r="BM3387" s="40"/>
      <c r="BN3387" s="40"/>
      <c r="BO3387" s="40"/>
      <c r="BP3387" s="155"/>
      <c r="BQ3387" s="314"/>
      <c r="BR3387" s="314"/>
      <c r="BS3387" s="314"/>
      <c r="BT3387" s="314"/>
      <c r="BU3387" s="314"/>
      <c r="BV3387" s="314"/>
      <c r="BW3387" s="314"/>
      <c r="BX3387" s="155"/>
    </row>
    <row r="3388" spans="1:76" ht="15.75" customHeight="1">
      <c r="A3388" s="25"/>
      <c r="B3388" s="39"/>
      <c r="C3388" s="155"/>
      <c r="D3388" s="155"/>
      <c r="E3388" s="40"/>
      <c r="F3388" s="314"/>
      <c r="H3388" s="315"/>
      <c r="I3388" s="315"/>
      <c r="BA3388" s="30"/>
      <c r="BB3388" s="155"/>
      <c r="BC3388" s="314"/>
      <c r="BD3388" s="314"/>
      <c r="BE3388" s="314"/>
      <c r="BF3388" s="314"/>
      <c r="BG3388" s="314"/>
      <c r="BH3388" s="314"/>
      <c r="BI3388" s="314"/>
      <c r="BJ3388" s="314"/>
      <c r="BK3388" s="40"/>
      <c r="BL3388" s="40"/>
      <c r="BM3388" s="40"/>
      <c r="BN3388" s="40"/>
      <c r="BO3388" s="40"/>
      <c r="BP3388" s="155"/>
      <c r="BQ3388" s="314"/>
      <c r="BR3388" s="314"/>
      <c r="BS3388" s="314"/>
      <c r="BT3388" s="314"/>
      <c r="BU3388" s="314"/>
      <c r="BV3388" s="314"/>
      <c r="BW3388" s="314"/>
      <c r="BX3388" s="155"/>
    </row>
    <row r="3389" spans="1:76" ht="15.75" customHeight="1">
      <c r="A3389" s="25"/>
      <c r="B3389" s="39"/>
      <c r="C3389" s="155"/>
      <c r="D3389" s="155"/>
      <c r="E3389" s="40"/>
      <c r="F3389" s="314"/>
      <c r="H3389" s="315"/>
      <c r="I3389" s="315"/>
      <c r="BA3389" s="30"/>
      <c r="BB3389" s="155"/>
      <c r="BC3389" s="314"/>
      <c r="BD3389" s="314"/>
      <c r="BE3389" s="314"/>
      <c r="BF3389" s="314"/>
      <c r="BG3389" s="314"/>
      <c r="BH3389" s="314"/>
      <c r="BI3389" s="314"/>
      <c r="BJ3389" s="314"/>
      <c r="BK3389" s="40"/>
      <c r="BL3389" s="40"/>
      <c r="BM3389" s="40"/>
      <c r="BN3389" s="40"/>
      <c r="BO3389" s="40"/>
      <c r="BP3389" s="155"/>
      <c r="BQ3389" s="314"/>
      <c r="BR3389" s="314"/>
      <c r="BS3389" s="314"/>
      <c r="BT3389" s="314"/>
      <c r="BU3389" s="314"/>
      <c r="BV3389" s="314"/>
      <c r="BW3389" s="314"/>
      <c r="BX3389" s="155"/>
    </row>
    <row r="3390" spans="1:76" ht="15.75" customHeight="1">
      <c r="A3390" s="25"/>
      <c r="B3390" s="39"/>
      <c r="C3390" s="155"/>
      <c r="D3390" s="155"/>
      <c r="E3390" s="40"/>
      <c r="F3390" s="314"/>
      <c r="H3390" s="315"/>
      <c r="I3390" s="315"/>
      <c r="BA3390" s="30"/>
      <c r="BB3390" s="155"/>
      <c r="BC3390" s="314"/>
      <c r="BD3390" s="314"/>
      <c r="BE3390" s="314"/>
      <c r="BF3390" s="314"/>
      <c r="BG3390" s="314"/>
      <c r="BH3390" s="314"/>
      <c r="BI3390" s="314"/>
      <c r="BJ3390" s="314"/>
      <c r="BK3390" s="40"/>
      <c r="BL3390" s="40"/>
      <c r="BM3390" s="40"/>
      <c r="BN3390" s="40"/>
      <c r="BO3390" s="40"/>
      <c r="BP3390" s="155"/>
      <c r="BQ3390" s="314"/>
      <c r="BR3390" s="314"/>
      <c r="BS3390" s="314"/>
      <c r="BT3390" s="314"/>
      <c r="BU3390" s="314"/>
      <c r="BV3390" s="314"/>
      <c r="BW3390" s="314"/>
      <c r="BX3390" s="155"/>
    </row>
    <row r="3391" spans="1:76" ht="15.75" customHeight="1">
      <c r="A3391" s="25"/>
      <c r="B3391" s="39"/>
      <c r="C3391" s="155"/>
      <c r="D3391" s="155"/>
      <c r="E3391" s="40"/>
      <c r="F3391" s="314"/>
      <c r="H3391" s="315"/>
      <c r="I3391" s="315"/>
      <c r="BA3391" s="30"/>
      <c r="BB3391" s="155"/>
      <c r="BC3391" s="314"/>
      <c r="BD3391" s="314"/>
      <c r="BE3391" s="314"/>
      <c r="BF3391" s="314"/>
      <c r="BG3391" s="314"/>
      <c r="BH3391" s="314"/>
      <c r="BI3391" s="314"/>
      <c r="BJ3391" s="314"/>
      <c r="BK3391" s="40"/>
      <c r="BL3391" s="40"/>
      <c r="BM3391" s="40"/>
      <c r="BN3391" s="40"/>
      <c r="BO3391" s="40"/>
      <c r="BP3391" s="155"/>
      <c r="BQ3391" s="314"/>
      <c r="BR3391" s="314"/>
      <c r="BS3391" s="314"/>
      <c r="BT3391" s="314"/>
      <c r="BU3391" s="314"/>
      <c r="BV3391" s="314"/>
      <c r="BW3391" s="314"/>
      <c r="BX3391" s="155"/>
    </row>
    <row r="3392" spans="1:76" ht="15.75" customHeight="1">
      <c r="A3392" s="25"/>
      <c r="B3392" s="39"/>
      <c r="C3392" s="155"/>
      <c r="D3392" s="155"/>
      <c r="E3392" s="40"/>
      <c r="F3392" s="314"/>
      <c r="H3392" s="315"/>
      <c r="I3392" s="315"/>
      <c r="BA3392" s="30"/>
      <c r="BB3392" s="155"/>
      <c r="BC3392" s="314"/>
      <c r="BD3392" s="314"/>
      <c r="BE3392" s="314"/>
      <c r="BF3392" s="314"/>
      <c r="BG3392" s="314"/>
      <c r="BH3392" s="314"/>
      <c r="BI3392" s="314"/>
      <c r="BJ3392" s="314"/>
      <c r="BK3392" s="40"/>
      <c r="BL3392" s="40"/>
      <c r="BM3392" s="40"/>
      <c r="BN3392" s="40"/>
      <c r="BO3392" s="40"/>
      <c r="BP3392" s="155"/>
      <c r="BQ3392" s="314"/>
      <c r="BR3392" s="314"/>
      <c r="BS3392" s="314"/>
      <c r="BT3392" s="314"/>
      <c r="BU3392" s="314"/>
      <c r="BV3392" s="314"/>
      <c r="BW3392" s="314"/>
      <c r="BX3392" s="155"/>
    </row>
    <row r="3393" spans="1:76" ht="15.75" customHeight="1">
      <c r="A3393" s="25"/>
      <c r="B3393" s="39"/>
      <c r="C3393" s="155"/>
      <c r="D3393" s="155"/>
      <c r="E3393" s="40"/>
      <c r="F3393" s="314"/>
      <c r="H3393" s="315"/>
      <c r="I3393" s="315"/>
      <c r="BA3393" s="30"/>
      <c r="BB3393" s="155"/>
      <c r="BC3393" s="314"/>
      <c r="BD3393" s="314"/>
      <c r="BE3393" s="314"/>
      <c r="BF3393" s="314"/>
      <c r="BG3393" s="314"/>
      <c r="BH3393" s="314"/>
      <c r="BI3393" s="314"/>
      <c r="BJ3393" s="314"/>
      <c r="BK3393" s="40"/>
      <c r="BL3393" s="40"/>
      <c r="BM3393" s="40"/>
      <c r="BN3393" s="40"/>
      <c r="BO3393" s="40"/>
      <c r="BP3393" s="155"/>
      <c r="BQ3393" s="314"/>
      <c r="BR3393" s="314"/>
      <c r="BS3393" s="314"/>
      <c r="BT3393" s="314"/>
      <c r="BU3393" s="314"/>
      <c r="BV3393" s="314"/>
      <c r="BW3393" s="314"/>
      <c r="BX3393" s="155"/>
    </row>
    <row r="3394" spans="1:76" ht="15.75" customHeight="1">
      <c r="A3394" s="25"/>
      <c r="B3394" s="39"/>
      <c r="C3394" s="155"/>
      <c r="D3394" s="155"/>
      <c r="E3394" s="40"/>
      <c r="F3394" s="314"/>
      <c r="H3394" s="315"/>
      <c r="I3394" s="315"/>
      <c r="BA3394" s="30"/>
      <c r="BB3394" s="155"/>
      <c r="BC3394" s="314"/>
      <c r="BD3394" s="314"/>
      <c r="BE3394" s="314"/>
      <c r="BF3394" s="314"/>
      <c r="BG3394" s="314"/>
      <c r="BH3394" s="314"/>
      <c r="BI3394" s="314"/>
      <c r="BJ3394" s="314"/>
      <c r="BK3394" s="40"/>
      <c r="BL3394" s="40"/>
      <c r="BM3394" s="40"/>
      <c r="BN3394" s="40"/>
      <c r="BO3394" s="40"/>
      <c r="BP3394" s="155"/>
      <c r="BQ3394" s="314"/>
      <c r="BR3394" s="314"/>
      <c r="BS3394" s="314"/>
      <c r="BT3394" s="314"/>
      <c r="BU3394" s="314"/>
      <c r="BV3394" s="314"/>
      <c r="BW3394" s="314"/>
      <c r="BX3394" s="155"/>
    </row>
    <row r="3395" spans="1:76" ht="15.75" customHeight="1">
      <c r="A3395" s="25"/>
      <c r="B3395" s="39"/>
      <c r="C3395" s="155"/>
      <c r="D3395" s="155"/>
      <c r="E3395" s="40"/>
      <c r="F3395" s="314"/>
      <c r="H3395" s="315"/>
      <c r="I3395" s="315"/>
      <c r="BA3395" s="30"/>
      <c r="BB3395" s="155"/>
      <c r="BC3395" s="314"/>
      <c r="BD3395" s="314"/>
      <c r="BE3395" s="314"/>
      <c r="BF3395" s="314"/>
      <c r="BG3395" s="314"/>
      <c r="BH3395" s="314"/>
      <c r="BI3395" s="314"/>
      <c r="BJ3395" s="314"/>
      <c r="BK3395" s="40"/>
      <c r="BL3395" s="40"/>
      <c r="BM3395" s="40"/>
      <c r="BN3395" s="40"/>
      <c r="BO3395" s="40"/>
      <c r="BP3395" s="155"/>
      <c r="BQ3395" s="314"/>
      <c r="BR3395" s="314"/>
      <c r="BS3395" s="314"/>
      <c r="BT3395" s="314"/>
      <c r="BU3395" s="314"/>
      <c r="BV3395" s="314"/>
      <c r="BW3395" s="314"/>
      <c r="BX3395" s="155"/>
    </row>
    <row r="3396" spans="1:76" ht="15.75" customHeight="1">
      <c r="A3396" s="25"/>
      <c r="B3396" s="39"/>
      <c r="C3396" s="155"/>
      <c r="D3396" s="155"/>
      <c r="E3396" s="40"/>
      <c r="F3396" s="314"/>
      <c r="H3396" s="315"/>
      <c r="I3396" s="315"/>
      <c r="BA3396" s="30"/>
      <c r="BB3396" s="155"/>
      <c r="BC3396" s="314"/>
      <c r="BD3396" s="314"/>
      <c r="BE3396" s="314"/>
      <c r="BF3396" s="314"/>
      <c r="BG3396" s="314"/>
      <c r="BH3396" s="314"/>
      <c r="BI3396" s="314"/>
      <c r="BJ3396" s="314"/>
      <c r="BK3396" s="40"/>
      <c r="BL3396" s="40"/>
      <c r="BM3396" s="40"/>
      <c r="BN3396" s="40"/>
      <c r="BO3396" s="40"/>
      <c r="BP3396" s="155"/>
      <c r="BQ3396" s="314"/>
      <c r="BR3396" s="314"/>
      <c r="BS3396" s="314"/>
      <c r="BT3396" s="314"/>
      <c r="BU3396" s="314"/>
      <c r="BV3396" s="314"/>
      <c r="BW3396" s="314"/>
      <c r="BX3396" s="155"/>
    </row>
    <row r="3397" spans="1:76" ht="15.75" customHeight="1">
      <c r="A3397" s="25"/>
      <c r="B3397" s="39"/>
      <c r="C3397" s="155"/>
      <c r="D3397" s="155"/>
      <c r="E3397" s="40"/>
      <c r="F3397" s="314"/>
      <c r="H3397" s="315"/>
      <c r="I3397" s="315"/>
      <c r="BA3397" s="30"/>
      <c r="BB3397" s="155"/>
      <c r="BC3397" s="314"/>
      <c r="BD3397" s="314"/>
      <c r="BE3397" s="314"/>
      <c r="BF3397" s="314"/>
      <c r="BG3397" s="314"/>
      <c r="BH3397" s="314"/>
      <c r="BI3397" s="314"/>
      <c r="BJ3397" s="314"/>
      <c r="BK3397" s="40"/>
      <c r="BL3397" s="40"/>
      <c r="BM3397" s="40"/>
      <c r="BN3397" s="40"/>
      <c r="BO3397" s="40"/>
      <c r="BP3397" s="155"/>
      <c r="BQ3397" s="314"/>
      <c r="BR3397" s="314"/>
      <c r="BS3397" s="314"/>
      <c r="BT3397" s="314"/>
      <c r="BU3397" s="314"/>
      <c r="BV3397" s="314"/>
      <c r="BW3397" s="314"/>
      <c r="BX3397" s="155"/>
    </row>
    <row r="3398" spans="1:76" ht="15.75" customHeight="1">
      <c r="A3398" s="25"/>
      <c r="B3398" s="39"/>
      <c r="C3398" s="155"/>
      <c r="D3398" s="155"/>
      <c r="E3398" s="40"/>
      <c r="F3398" s="314"/>
      <c r="H3398" s="315"/>
      <c r="I3398" s="315"/>
      <c r="BA3398" s="30"/>
      <c r="BB3398" s="155"/>
      <c r="BC3398" s="314"/>
      <c r="BD3398" s="314"/>
      <c r="BE3398" s="314"/>
      <c r="BF3398" s="314"/>
      <c r="BG3398" s="314"/>
      <c r="BH3398" s="314"/>
      <c r="BI3398" s="314"/>
      <c r="BJ3398" s="314"/>
      <c r="BK3398" s="40"/>
      <c r="BL3398" s="40"/>
      <c r="BM3398" s="40"/>
      <c r="BN3398" s="40"/>
      <c r="BO3398" s="40"/>
      <c r="BP3398" s="155"/>
      <c r="BQ3398" s="314"/>
      <c r="BR3398" s="314"/>
      <c r="BS3398" s="314"/>
      <c r="BT3398" s="314"/>
      <c r="BU3398" s="314"/>
      <c r="BV3398" s="314"/>
      <c r="BW3398" s="314"/>
      <c r="BX3398" s="155"/>
    </row>
    <row r="3399" spans="1:76" ht="15.75" customHeight="1">
      <c r="A3399" s="25"/>
      <c r="B3399" s="39"/>
      <c r="C3399" s="155"/>
      <c r="D3399" s="155"/>
      <c r="E3399" s="40"/>
      <c r="F3399" s="314"/>
      <c r="H3399" s="315"/>
      <c r="I3399" s="315"/>
      <c r="BA3399" s="30"/>
      <c r="BB3399" s="155"/>
      <c r="BC3399" s="322"/>
      <c r="BD3399" s="322"/>
      <c r="BE3399" s="322"/>
      <c r="BF3399" s="322"/>
      <c r="BG3399" s="322"/>
      <c r="BH3399" s="322"/>
      <c r="BI3399" s="322"/>
      <c r="BJ3399" s="322"/>
      <c r="BK3399" s="341"/>
      <c r="BL3399" s="40"/>
      <c r="BM3399" s="40"/>
      <c r="BN3399" s="40"/>
      <c r="BO3399" s="40"/>
      <c r="BP3399" s="155"/>
      <c r="BQ3399" s="314"/>
      <c r="BR3399" s="314"/>
      <c r="BS3399" s="314"/>
      <c r="BT3399" s="314"/>
      <c r="BU3399" s="314"/>
      <c r="BV3399" s="314"/>
      <c r="BW3399" s="314"/>
      <c r="BX3399" s="155"/>
    </row>
    <row r="3400" spans="1:76" ht="15.75" customHeight="1">
      <c r="A3400" s="25"/>
      <c r="B3400" s="39"/>
      <c r="C3400" s="155"/>
      <c r="D3400" s="155"/>
      <c r="E3400" s="40"/>
      <c r="F3400" s="314"/>
      <c r="H3400" s="315"/>
      <c r="I3400" s="315"/>
      <c r="BA3400" s="30"/>
      <c r="BB3400" s="155"/>
      <c r="BC3400" s="314"/>
      <c r="BD3400" s="314"/>
      <c r="BE3400" s="314"/>
      <c r="BF3400" s="314"/>
      <c r="BG3400" s="314"/>
      <c r="BH3400" s="314"/>
      <c r="BI3400" s="314"/>
      <c r="BJ3400" s="314"/>
      <c r="BK3400" s="40"/>
      <c r="BL3400" s="40"/>
      <c r="BM3400" s="40"/>
      <c r="BN3400" s="40"/>
      <c r="BO3400" s="40"/>
      <c r="BP3400" s="155"/>
      <c r="BQ3400" s="314"/>
      <c r="BR3400" s="314"/>
      <c r="BS3400" s="314"/>
      <c r="BT3400" s="314"/>
      <c r="BU3400" s="314"/>
      <c r="BV3400" s="314"/>
      <c r="BW3400" s="314"/>
      <c r="BX3400" s="155"/>
    </row>
    <row r="3401" spans="1:76" ht="15.75" customHeight="1">
      <c r="A3401" s="25"/>
      <c r="B3401" s="39"/>
      <c r="C3401" s="155"/>
      <c r="D3401" s="155"/>
      <c r="E3401" s="40"/>
      <c r="F3401" s="314"/>
      <c r="H3401" s="315"/>
      <c r="I3401" s="315"/>
      <c r="BA3401" s="30"/>
      <c r="BB3401" s="155"/>
      <c r="BC3401" s="314"/>
      <c r="BD3401" s="314"/>
      <c r="BE3401" s="314"/>
      <c r="BF3401" s="314"/>
      <c r="BG3401" s="314"/>
      <c r="BH3401" s="314"/>
      <c r="BI3401" s="314"/>
      <c r="BJ3401" s="314"/>
      <c r="BK3401" s="40"/>
      <c r="BL3401" s="40"/>
      <c r="BM3401" s="40"/>
      <c r="BN3401" s="40"/>
      <c r="BO3401" s="40"/>
      <c r="BP3401" s="155"/>
      <c r="BQ3401" s="314"/>
      <c r="BR3401" s="314"/>
      <c r="BS3401" s="314"/>
      <c r="BT3401" s="314"/>
      <c r="BU3401" s="314"/>
      <c r="BV3401" s="314"/>
      <c r="BW3401" s="314"/>
      <c r="BX3401" s="155"/>
    </row>
    <row r="3402" spans="1:76" ht="15.75" customHeight="1">
      <c r="A3402" s="25"/>
      <c r="B3402" s="39"/>
      <c r="C3402" s="155"/>
      <c r="D3402" s="155"/>
      <c r="E3402" s="40"/>
      <c r="F3402" s="314"/>
      <c r="H3402" s="315"/>
      <c r="I3402" s="315"/>
      <c r="BA3402" s="30"/>
      <c r="BB3402" s="155"/>
      <c r="BC3402" s="314"/>
      <c r="BD3402" s="314"/>
      <c r="BE3402" s="314"/>
      <c r="BF3402" s="314"/>
      <c r="BG3402" s="314"/>
      <c r="BH3402" s="314"/>
      <c r="BI3402" s="314"/>
      <c r="BJ3402" s="314"/>
      <c r="BK3402" s="40"/>
      <c r="BL3402" s="40"/>
      <c r="BM3402" s="40"/>
      <c r="BN3402" s="40"/>
      <c r="BO3402" s="40"/>
      <c r="BP3402" s="155"/>
      <c r="BQ3402" s="314"/>
      <c r="BR3402" s="314"/>
      <c r="BS3402" s="314"/>
      <c r="BT3402" s="314"/>
      <c r="BU3402" s="314"/>
      <c r="BV3402" s="314"/>
      <c r="BW3402" s="314"/>
      <c r="BX3402" s="155"/>
    </row>
    <row r="3403" spans="1:76" ht="15.75" customHeight="1">
      <c r="A3403" s="25"/>
      <c r="B3403" s="39"/>
      <c r="C3403" s="155"/>
      <c r="D3403" s="155"/>
      <c r="E3403" s="40"/>
      <c r="F3403" s="314"/>
      <c r="H3403" s="315"/>
      <c r="I3403" s="315"/>
      <c r="BA3403" s="30"/>
      <c r="BB3403" s="155"/>
      <c r="BC3403" s="314"/>
      <c r="BD3403" s="314"/>
      <c r="BE3403" s="314"/>
      <c r="BF3403" s="314"/>
      <c r="BG3403" s="314"/>
      <c r="BH3403" s="314"/>
      <c r="BI3403" s="314"/>
      <c r="BJ3403" s="314"/>
      <c r="BK3403" s="40"/>
      <c r="BL3403" s="40"/>
      <c r="BM3403" s="40"/>
      <c r="BN3403" s="40"/>
      <c r="BO3403" s="40"/>
      <c r="BP3403" s="155"/>
      <c r="BQ3403" s="314"/>
      <c r="BR3403" s="314"/>
      <c r="BS3403" s="314"/>
      <c r="BT3403" s="314"/>
      <c r="BU3403" s="314"/>
      <c r="BV3403" s="314"/>
      <c r="BW3403" s="314"/>
      <c r="BX3403" s="155"/>
    </row>
    <row r="3404" spans="1:76" ht="15.75" customHeight="1">
      <c r="A3404" s="25"/>
      <c r="B3404" s="39"/>
      <c r="C3404" s="155"/>
      <c r="D3404" s="155"/>
      <c r="E3404" s="40"/>
      <c r="F3404" s="314"/>
      <c r="H3404" s="315"/>
      <c r="I3404" s="315"/>
      <c r="BA3404" s="30"/>
      <c r="BB3404" s="155"/>
      <c r="BC3404" s="314"/>
      <c r="BD3404" s="314"/>
      <c r="BE3404" s="314"/>
      <c r="BF3404" s="314"/>
      <c r="BG3404" s="314"/>
      <c r="BH3404" s="314"/>
      <c r="BI3404" s="314"/>
      <c r="BJ3404" s="314"/>
      <c r="BK3404" s="40"/>
      <c r="BL3404" s="40"/>
      <c r="BM3404" s="40"/>
      <c r="BN3404" s="40"/>
      <c r="BO3404" s="40"/>
      <c r="BP3404" s="155"/>
      <c r="BQ3404" s="314"/>
      <c r="BR3404" s="314"/>
      <c r="BS3404" s="314"/>
      <c r="BT3404" s="314"/>
      <c r="BU3404" s="314"/>
      <c r="BV3404" s="314"/>
      <c r="BW3404" s="314"/>
      <c r="BX3404" s="155"/>
    </row>
    <row r="3405" spans="1:76" ht="15.75" customHeight="1">
      <c r="A3405" s="25"/>
      <c r="B3405" s="39"/>
      <c r="C3405" s="155"/>
      <c r="D3405" s="155"/>
      <c r="E3405" s="40"/>
      <c r="F3405" s="314"/>
      <c r="H3405" s="315"/>
      <c r="I3405" s="315"/>
      <c r="BA3405" s="30"/>
      <c r="BB3405" s="155"/>
      <c r="BC3405" s="314"/>
      <c r="BD3405" s="314"/>
      <c r="BE3405" s="314"/>
      <c r="BF3405" s="314"/>
      <c r="BG3405" s="314"/>
      <c r="BH3405" s="314"/>
      <c r="BI3405" s="314"/>
      <c r="BJ3405" s="314"/>
      <c r="BK3405" s="40"/>
      <c r="BL3405" s="40"/>
      <c r="BM3405" s="40"/>
      <c r="BN3405" s="40"/>
      <c r="BO3405" s="40"/>
      <c r="BP3405" s="155"/>
      <c r="BQ3405" s="314"/>
      <c r="BR3405" s="314"/>
      <c r="BS3405" s="314"/>
      <c r="BT3405" s="314"/>
      <c r="BU3405" s="314"/>
      <c r="BV3405" s="314"/>
      <c r="BW3405" s="314"/>
      <c r="BX3405" s="155"/>
    </row>
    <row r="3406" spans="1:76" ht="15.75" customHeight="1">
      <c r="A3406" s="25"/>
      <c r="B3406" s="39"/>
      <c r="C3406" s="155"/>
      <c r="D3406" s="155"/>
      <c r="E3406" s="40"/>
      <c r="F3406" s="314"/>
      <c r="H3406" s="315"/>
      <c r="I3406" s="315"/>
      <c r="BA3406" s="30"/>
      <c r="BB3406" s="155"/>
      <c r="BC3406" s="314"/>
      <c r="BD3406" s="314"/>
      <c r="BE3406" s="314"/>
      <c r="BF3406" s="314"/>
      <c r="BG3406" s="314"/>
      <c r="BH3406" s="314"/>
      <c r="BI3406" s="314"/>
      <c r="BJ3406" s="314"/>
      <c r="BK3406" s="40"/>
      <c r="BL3406" s="40"/>
      <c r="BM3406" s="40"/>
      <c r="BN3406" s="40"/>
      <c r="BO3406" s="40"/>
      <c r="BP3406" s="155"/>
      <c r="BQ3406" s="314"/>
      <c r="BR3406" s="314"/>
      <c r="BS3406" s="314"/>
      <c r="BT3406" s="314"/>
      <c r="BU3406" s="314"/>
      <c r="BV3406" s="314"/>
      <c r="BW3406" s="314"/>
      <c r="BX3406" s="155"/>
    </row>
    <row r="3407" spans="1:76" ht="15.75" customHeight="1">
      <c r="A3407" s="25"/>
      <c r="B3407" s="39"/>
      <c r="C3407" s="155"/>
      <c r="D3407" s="155"/>
      <c r="E3407" s="40"/>
      <c r="F3407" s="314"/>
      <c r="H3407" s="315"/>
      <c r="I3407" s="315"/>
      <c r="BA3407" s="30"/>
      <c r="BB3407" s="155"/>
      <c r="BC3407" s="314"/>
      <c r="BD3407" s="314"/>
      <c r="BE3407" s="314"/>
      <c r="BF3407" s="314"/>
      <c r="BG3407" s="314"/>
      <c r="BH3407" s="314"/>
      <c r="BI3407" s="314"/>
      <c r="BJ3407" s="314"/>
      <c r="BK3407" s="40"/>
      <c r="BL3407" s="40"/>
      <c r="BM3407" s="40"/>
      <c r="BN3407" s="40"/>
      <c r="BO3407" s="40"/>
      <c r="BP3407" s="155"/>
      <c r="BQ3407" s="314"/>
      <c r="BR3407" s="314"/>
      <c r="BS3407" s="314"/>
      <c r="BT3407" s="314"/>
      <c r="BU3407" s="314"/>
      <c r="BV3407" s="314"/>
      <c r="BW3407" s="314"/>
      <c r="BX3407" s="155"/>
    </row>
    <row r="3408" spans="1:76" ht="15.75" customHeight="1">
      <c r="A3408" s="25"/>
      <c r="B3408" s="39"/>
      <c r="C3408" s="155"/>
      <c r="D3408" s="155"/>
      <c r="E3408" s="40"/>
      <c r="F3408" s="314"/>
      <c r="H3408" s="315"/>
      <c r="I3408" s="315"/>
      <c r="BA3408" s="30"/>
      <c r="BB3408" s="155"/>
      <c r="BC3408" s="314"/>
      <c r="BD3408" s="314"/>
      <c r="BE3408" s="314"/>
      <c r="BF3408" s="314"/>
      <c r="BG3408" s="314"/>
      <c r="BH3408" s="314"/>
      <c r="BI3408" s="314"/>
      <c r="BJ3408" s="314"/>
      <c r="BK3408" s="40"/>
      <c r="BL3408" s="40"/>
      <c r="BM3408" s="40"/>
      <c r="BN3408" s="40"/>
      <c r="BO3408" s="40"/>
      <c r="BP3408" s="155"/>
      <c r="BQ3408" s="314"/>
      <c r="BR3408" s="314"/>
      <c r="BS3408" s="314"/>
      <c r="BT3408" s="314"/>
      <c r="BU3408" s="314"/>
      <c r="BV3408" s="314"/>
      <c r="BW3408" s="314"/>
      <c r="BX3408" s="155"/>
    </row>
    <row r="3409" spans="1:76" ht="15.75" customHeight="1">
      <c r="A3409" s="25"/>
      <c r="B3409" s="39"/>
      <c r="C3409" s="155"/>
      <c r="D3409" s="155"/>
      <c r="E3409" s="40"/>
      <c r="F3409" s="314"/>
      <c r="H3409" s="315"/>
      <c r="I3409" s="315"/>
      <c r="BA3409" s="30"/>
      <c r="BB3409" s="155"/>
      <c r="BC3409" s="314"/>
      <c r="BD3409" s="314"/>
      <c r="BE3409" s="314"/>
      <c r="BF3409" s="314"/>
      <c r="BG3409" s="314"/>
      <c r="BH3409" s="314"/>
      <c r="BI3409" s="314"/>
      <c r="BJ3409" s="314"/>
      <c r="BK3409" s="40"/>
      <c r="BL3409" s="40"/>
      <c r="BM3409" s="40"/>
      <c r="BN3409" s="40"/>
      <c r="BO3409" s="40"/>
      <c r="BP3409" s="155"/>
      <c r="BQ3409" s="314"/>
      <c r="BR3409" s="314"/>
      <c r="BS3409" s="314"/>
      <c r="BT3409" s="314"/>
      <c r="BU3409" s="314"/>
      <c r="BV3409" s="314"/>
      <c r="BW3409" s="314"/>
      <c r="BX3409" s="155"/>
    </row>
    <row r="3410" spans="1:76" ht="15.75" customHeight="1">
      <c r="A3410" s="25"/>
      <c r="B3410" s="39"/>
      <c r="C3410" s="155"/>
      <c r="D3410" s="155"/>
      <c r="E3410" s="40"/>
      <c r="F3410" s="314"/>
      <c r="H3410" s="315"/>
      <c r="I3410" s="315"/>
      <c r="BA3410" s="30"/>
      <c r="BB3410" s="155"/>
      <c r="BC3410" s="314"/>
      <c r="BD3410" s="314"/>
      <c r="BE3410" s="314"/>
      <c r="BF3410" s="314"/>
      <c r="BG3410" s="314"/>
      <c r="BH3410" s="314"/>
      <c r="BI3410" s="314"/>
      <c r="BJ3410" s="314"/>
      <c r="BK3410" s="40"/>
      <c r="BL3410" s="40"/>
      <c r="BM3410" s="40"/>
      <c r="BN3410" s="40"/>
      <c r="BO3410" s="40"/>
      <c r="BP3410" s="155"/>
      <c r="BQ3410" s="314"/>
      <c r="BR3410" s="314"/>
      <c r="BS3410" s="314"/>
      <c r="BT3410" s="314"/>
      <c r="BU3410" s="314"/>
      <c r="BV3410" s="314"/>
      <c r="BW3410" s="314"/>
      <c r="BX3410" s="155"/>
    </row>
    <row r="3411" spans="1:76" ht="15.75" customHeight="1">
      <c r="A3411" s="25"/>
      <c r="B3411" s="39"/>
      <c r="C3411" s="155"/>
      <c r="D3411" s="155"/>
      <c r="E3411" s="40"/>
      <c r="F3411" s="314"/>
      <c r="H3411" s="315"/>
      <c r="I3411" s="315"/>
      <c r="BA3411" s="30"/>
      <c r="BB3411" s="155"/>
      <c r="BC3411" s="314"/>
      <c r="BD3411" s="314"/>
      <c r="BE3411" s="314"/>
      <c r="BF3411" s="314"/>
      <c r="BG3411" s="314"/>
      <c r="BH3411" s="314"/>
      <c r="BI3411" s="314"/>
      <c r="BJ3411" s="314"/>
      <c r="BK3411" s="40"/>
      <c r="BL3411" s="40"/>
      <c r="BM3411" s="40"/>
      <c r="BN3411" s="40"/>
      <c r="BO3411" s="40"/>
      <c r="BP3411" s="155"/>
      <c r="BQ3411" s="314"/>
      <c r="BR3411" s="314"/>
      <c r="BS3411" s="314"/>
      <c r="BT3411" s="314"/>
      <c r="BU3411" s="314"/>
      <c r="BV3411" s="314"/>
      <c r="BW3411" s="314"/>
      <c r="BX3411" s="155"/>
    </row>
    <row r="3412" spans="1:76" ht="15.75" customHeight="1">
      <c r="A3412" s="25"/>
      <c r="B3412" s="39"/>
      <c r="C3412" s="155"/>
      <c r="D3412" s="155"/>
      <c r="E3412" s="40"/>
      <c r="F3412" s="314"/>
      <c r="H3412" s="315"/>
      <c r="I3412" s="315"/>
      <c r="BA3412" s="30"/>
      <c r="BB3412" s="155"/>
      <c r="BC3412" s="314"/>
      <c r="BD3412" s="314"/>
      <c r="BE3412" s="314"/>
      <c r="BF3412" s="314"/>
      <c r="BG3412" s="314"/>
      <c r="BH3412" s="314"/>
      <c r="BI3412" s="314"/>
      <c r="BJ3412" s="314"/>
      <c r="BK3412" s="40"/>
      <c r="BL3412" s="40"/>
      <c r="BM3412" s="40"/>
      <c r="BN3412" s="40"/>
      <c r="BO3412" s="40"/>
      <c r="BP3412" s="155"/>
      <c r="BQ3412" s="314"/>
      <c r="BR3412" s="314"/>
      <c r="BS3412" s="314"/>
      <c r="BT3412" s="314"/>
      <c r="BU3412" s="314"/>
      <c r="BV3412" s="314"/>
      <c r="BW3412" s="314"/>
      <c r="BX3412" s="155"/>
    </row>
    <row r="3413" spans="1:76" ht="15.75" customHeight="1">
      <c r="A3413" s="25"/>
      <c r="B3413" s="39"/>
      <c r="C3413" s="155"/>
      <c r="D3413" s="155"/>
      <c r="E3413" s="40"/>
      <c r="F3413" s="314"/>
      <c r="H3413" s="315"/>
      <c r="I3413" s="315"/>
      <c r="BA3413" s="30"/>
      <c r="BB3413" s="155"/>
      <c r="BC3413" s="314"/>
      <c r="BD3413" s="314"/>
      <c r="BE3413" s="314"/>
      <c r="BF3413" s="314"/>
      <c r="BG3413" s="314"/>
      <c r="BH3413" s="314"/>
      <c r="BI3413" s="314"/>
      <c r="BJ3413" s="314"/>
      <c r="BK3413" s="40"/>
      <c r="BL3413" s="40"/>
      <c r="BM3413" s="40"/>
      <c r="BN3413" s="40"/>
      <c r="BO3413" s="40"/>
      <c r="BP3413" s="155"/>
      <c r="BQ3413" s="314"/>
      <c r="BR3413" s="314"/>
      <c r="BS3413" s="314"/>
      <c r="BT3413" s="314"/>
      <c r="BU3413" s="314"/>
      <c r="BV3413" s="314"/>
      <c r="BW3413" s="314"/>
      <c r="BX3413" s="155"/>
    </row>
    <row r="3414" spans="1:76" ht="15.75" customHeight="1">
      <c r="A3414" s="25"/>
      <c r="B3414" s="39"/>
      <c r="C3414" s="155"/>
      <c r="D3414" s="155"/>
      <c r="E3414" s="40"/>
      <c r="F3414" s="314"/>
      <c r="H3414" s="315"/>
      <c r="I3414" s="315"/>
      <c r="BA3414" s="30"/>
      <c r="BB3414" s="155"/>
      <c r="BC3414" s="314"/>
      <c r="BD3414" s="314"/>
      <c r="BE3414" s="314"/>
      <c r="BF3414" s="314"/>
      <c r="BG3414" s="314"/>
      <c r="BH3414" s="314"/>
      <c r="BI3414" s="314"/>
      <c r="BJ3414" s="314"/>
      <c r="BK3414" s="40"/>
      <c r="BL3414" s="40"/>
      <c r="BM3414" s="40"/>
      <c r="BN3414" s="40"/>
      <c r="BO3414" s="40"/>
      <c r="BP3414" s="155"/>
      <c r="BQ3414" s="314"/>
      <c r="BR3414" s="314"/>
      <c r="BS3414" s="314"/>
      <c r="BT3414" s="314"/>
      <c r="BU3414" s="314"/>
      <c r="BV3414" s="314"/>
      <c r="BW3414" s="314"/>
      <c r="BX3414" s="155"/>
    </row>
    <row r="3415" spans="1:76" ht="15.75" customHeight="1">
      <c r="A3415" s="25"/>
      <c r="B3415" s="39"/>
      <c r="C3415" s="155"/>
      <c r="D3415" s="155"/>
      <c r="E3415" s="40"/>
      <c r="F3415" s="314"/>
      <c r="H3415" s="315"/>
      <c r="I3415" s="315"/>
      <c r="BA3415" s="30"/>
      <c r="BB3415" s="155"/>
      <c r="BC3415" s="314"/>
      <c r="BD3415" s="314"/>
      <c r="BE3415" s="314"/>
      <c r="BF3415" s="314"/>
      <c r="BG3415" s="314"/>
      <c r="BH3415" s="314"/>
      <c r="BI3415" s="314"/>
      <c r="BJ3415" s="314"/>
      <c r="BK3415" s="40"/>
      <c r="BL3415" s="40"/>
      <c r="BM3415" s="40"/>
      <c r="BN3415" s="40"/>
      <c r="BO3415" s="40"/>
      <c r="BP3415" s="155"/>
      <c r="BQ3415" s="314"/>
      <c r="BR3415" s="314"/>
      <c r="BS3415" s="314"/>
      <c r="BT3415" s="314"/>
      <c r="BU3415" s="314"/>
      <c r="BV3415" s="314"/>
      <c r="BW3415" s="314"/>
      <c r="BX3415" s="155"/>
    </row>
    <row r="3416" spans="1:76" ht="15.75" customHeight="1">
      <c r="A3416" s="25"/>
      <c r="B3416" s="39"/>
      <c r="C3416" s="155"/>
      <c r="D3416" s="155"/>
      <c r="E3416" s="40"/>
      <c r="F3416" s="314"/>
      <c r="H3416" s="315"/>
      <c r="I3416" s="315"/>
      <c r="BA3416" s="30"/>
      <c r="BB3416" s="155"/>
      <c r="BC3416" s="314"/>
      <c r="BD3416" s="314"/>
      <c r="BE3416" s="314"/>
      <c r="BF3416" s="314"/>
      <c r="BG3416" s="314"/>
      <c r="BH3416" s="314"/>
      <c r="BI3416" s="314"/>
      <c r="BJ3416" s="314"/>
      <c r="BK3416" s="40"/>
      <c r="BL3416" s="40"/>
      <c r="BM3416" s="40"/>
      <c r="BN3416" s="40"/>
      <c r="BO3416" s="40"/>
      <c r="BP3416" s="155"/>
      <c r="BQ3416" s="314"/>
      <c r="BR3416" s="314"/>
      <c r="BS3416" s="314"/>
      <c r="BT3416" s="314"/>
      <c r="BU3416" s="314"/>
      <c r="BV3416" s="314"/>
      <c r="BW3416" s="314"/>
      <c r="BX3416" s="155"/>
    </row>
    <row r="3417" spans="1:76" ht="15.75" customHeight="1">
      <c r="A3417" s="25"/>
      <c r="B3417" s="39"/>
      <c r="C3417" s="155"/>
      <c r="D3417" s="155"/>
      <c r="E3417" s="40"/>
      <c r="F3417" s="314"/>
      <c r="H3417" s="315"/>
      <c r="I3417" s="315"/>
      <c r="BA3417" s="30"/>
      <c r="BB3417" s="155"/>
      <c r="BC3417" s="314"/>
      <c r="BD3417" s="314"/>
      <c r="BE3417" s="314"/>
      <c r="BF3417" s="314"/>
      <c r="BG3417" s="314"/>
      <c r="BH3417" s="314"/>
      <c r="BI3417" s="314"/>
      <c r="BJ3417" s="314"/>
      <c r="BK3417" s="40"/>
      <c r="BL3417" s="40"/>
      <c r="BM3417" s="40"/>
      <c r="BN3417" s="40"/>
      <c r="BO3417" s="40"/>
      <c r="BP3417" s="155"/>
      <c r="BQ3417" s="314"/>
      <c r="BR3417" s="314"/>
      <c r="BS3417" s="314"/>
      <c r="BT3417" s="314"/>
      <c r="BU3417" s="314"/>
      <c r="BV3417" s="314"/>
      <c r="BW3417" s="314"/>
      <c r="BX3417" s="155"/>
    </row>
    <row r="3418" spans="1:76" ht="15.75" customHeight="1">
      <c r="A3418" s="25"/>
      <c r="B3418" s="39"/>
      <c r="C3418" s="155"/>
      <c r="D3418" s="155"/>
      <c r="E3418" s="40"/>
      <c r="F3418" s="314"/>
      <c r="H3418" s="315"/>
      <c r="I3418" s="315"/>
      <c r="BA3418" s="30"/>
      <c r="BB3418" s="155"/>
      <c r="BC3418" s="314"/>
      <c r="BD3418" s="314"/>
      <c r="BE3418" s="314"/>
      <c r="BF3418" s="314"/>
      <c r="BG3418" s="314"/>
      <c r="BH3418" s="314"/>
      <c r="BI3418" s="314"/>
      <c r="BJ3418" s="314"/>
      <c r="BK3418" s="40"/>
      <c r="BL3418" s="40"/>
      <c r="BM3418" s="40"/>
      <c r="BN3418" s="40"/>
      <c r="BO3418" s="40"/>
      <c r="BP3418" s="155"/>
      <c r="BQ3418" s="314"/>
      <c r="BR3418" s="314"/>
      <c r="BS3418" s="314"/>
      <c r="BT3418" s="314"/>
      <c r="BU3418" s="314"/>
      <c r="BV3418" s="314"/>
      <c r="BW3418" s="314"/>
      <c r="BX3418" s="155"/>
    </row>
    <row r="3419" spans="1:76" ht="15.75" customHeight="1">
      <c r="A3419" s="25"/>
      <c r="B3419" s="39"/>
      <c r="C3419" s="155"/>
      <c r="D3419" s="155"/>
      <c r="E3419" s="40"/>
      <c r="F3419" s="314"/>
      <c r="H3419" s="315"/>
      <c r="I3419" s="315"/>
      <c r="BA3419" s="30"/>
      <c r="BB3419" s="155"/>
      <c r="BC3419" s="314"/>
      <c r="BD3419" s="314"/>
      <c r="BE3419" s="314"/>
      <c r="BF3419" s="314"/>
      <c r="BG3419" s="314"/>
      <c r="BH3419" s="314"/>
      <c r="BI3419" s="314"/>
      <c r="BJ3419" s="314"/>
      <c r="BK3419" s="40"/>
      <c r="BL3419" s="40"/>
      <c r="BM3419" s="40"/>
      <c r="BN3419" s="40"/>
      <c r="BO3419" s="40"/>
      <c r="BP3419" s="155"/>
      <c r="BQ3419" s="314"/>
      <c r="BR3419" s="314"/>
      <c r="BS3419" s="314"/>
      <c r="BT3419" s="314"/>
      <c r="BU3419" s="314"/>
      <c r="BV3419" s="314"/>
      <c r="BW3419" s="314"/>
      <c r="BX3419" s="155"/>
    </row>
    <row r="3420" spans="1:76" ht="15.75" customHeight="1">
      <c r="A3420" s="25"/>
      <c r="B3420" s="39"/>
      <c r="C3420" s="155"/>
      <c r="D3420" s="155"/>
      <c r="E3420" s="40"/>
      <c r="F3420" s="314"/>
      <c r="H3420" s="315"/>
      <c r="I3420" s="315"/>
      <c r="BA3420" s="30"/>
      <c r="BB3420" s="155"/>
      <c r="BC3420" s="314"/>
      <c r="BD3420" s="314"/>
      <c r="BE3420" s="314"/>
      <c r="BF3420" s="314"/>
      <c r="BG3420" s="314"/>
      <c r="BH3420" s="314"/>
      <c r="BI3420" s="314"/>
      <c r="BJ3420" s="314"/>
      <c r="BK3420" s="40"/>
      <c r="BL3420" s="40"/>
      <c r="BM3420" s="40"/>
      <c r="BN3420" s="40"/>
      <c r="BO3420" s="40"/>
      <c r="BP3420" s="155"/>
      <c r="BQ3420" s="314"/>
      <c r="BR3420" s="314"/>
      <c r="BS3420" s="314"/>
      <c r="BT3420" s="314"/>
      <c r="BU3420" s="314"/>
      <c r="BV3420" s="314"/>
      <c r="BW3420" s="314"/>
      <c r="BX3420" s="155"/>
    </row>
    <row r="3421" spans="1:76" ht="15.75" customHeight="1">
      <c r="A3421" s="25"/>
      <c r="B3421" s="39"/>
      <c r="C3421" s="155"/>
      <c r="D3421" s="155"/>
      <c r="E3421" s="40"/>
      <c r="F3421" s="314"/>
      <c r="H3421" s="315"/>
      <c r="I3421" s="315"/>
      <c r="BA3421" s="30"/>
      <c r="BB3421" s="155"/>
      <c r="BC3421" s="314"/>
      <c r="BD3421" s="314"/>
      <c r="BE3421" s="314"/>
      <c r="BF3421" s="314"/>
      <c r="BG3421" s="314"/>
      <c r="BH3421" s="314"/>
      <c r="BI3421" s="314"/>
      <c r="BJ3421" s="314"/>
      <c r="BK3421" s="40"/>
      <c r="BL3421" s="40"/>
      <c r="BM3421" s="40"/>
      <c r="BN3421" s="40"/>
      <c r="BO3421" s="40"/>
      <c r="BP3421" s="155"/>
      <c r="BQ3421" s="314"/>
      <c r="BR3421" s="314"/>
      <c r="BS3421" s="314"/>
      <c r="BT3421" s="314"/>
      <c r="BU3421" s="314"/>
      <c r="BV3421" s="314"/>
      <c r="BW3421" s="314"/>
      <c r="BX3421" s="155"/>
    </row>
    <row r="3422" spans="1:76" ht="15.75" customHeight="1">
      <c r="A3422" s="25"/>
      <c r="B3422" s="39"/>
      <c r="C3422" s="155"/>
      <c r="D3422" s="155"/>
      <c r="E3422" s="40"/>
      <c r="F3422" s="314"/>
      <c r="H3422" s="315"/>
      <c r="I3422" s="315"/>
      <c r="BA3422" s="30"/>
      <c r="BB3422" s="155"/>
      <c r="BC3422" s="314"/>
      <c r="BD3422" s="314"/>
      <c r="BE3422" s="314"/>
      <c r="BF3422" s="314"/>
      <c r="BG3422" s="314"/>
      <c r="BH3422" s="314"/>
      <c r="BI3422" s="314"/>
      <c r="BJ3422" s="314"/>
      <c r="BK3422" s="40"/>
      <c r="BL3422" s="40"/>
      <c r="BM3422" s="40"/>
      <c r="BN3422" s="40"/>
      <c r="BO3422" s="40"/>
      <c r="BP3422" s="155"/>
      <c r="BQ3422" s="314"/>
      <c r="BR3422" s="314"/>
      <c r="BS3422" s="314"/>
      <c r="BT3422" s="314"/>
      <c r="BU3422" s="314"/>
      <c r="BV3422" s="314"/>
      <c r="BW3422" s="314"/>
      <c r="BX3422" s="155"/>
    </row>
    <row r="3423" spans="1:76" ht="15.75" customHeight="1">
      <c r="A3423" s="25"/>
      <c r="B3423" s="39"/>
      <c r="C3423" s="155"/>
      <c r="D3423" s="155"/>
      <c r="E3423" s="40"/>
      <c r="F3423" s="314"/>
      <c r="H3423" s="315"/>
      <c r="I3423" s="315"/>
      <c r="BA3423" s="30"/>
      <c r="BB3423" s="155"/>
      <c r="BC3423" s="314"/>
      <c r="BD3423" s="314"/>
      <c r="BE3423" s="314"/>
      <c r="BF3423" s="314"/>
      <c r="BG3423" s="314"/>
      <c r="BH3423" s="314"/>
      <c r="BI3423" s="314"/>
      <c r="BJ3423" s="314"/>
      <c r="BK3423" s="40"/>
      <c r="BL3423" s="40"/>
      <c r="BM3423" s="40"/>
      <c r="BN3423" s="40"/>
      <c r="BO3423" s="40"/>
      <c r="BP3423" s="155"/>
      <c r="BQ3423" s="314"/>
      <c r="BR3423" s="314"/>
      <c r="BS3423" s="314"/>
      <c r="BT3423" s="314"/>
      <c r="BU3423" s="314"/>
      <c r="BV3423" s="314"/>
      <c r="BW3423" s="314"/>
      <c r="BX3423" s="155"/>
    </row>
    <row r="3424" spans="1:76" ht="15.75" customHeight="1">
      <c r="A3424" s="25"/>
      <c r="B3424" s="39"/>
      <c r="C3424" s="155"/>
      <c r="D3424" s="155"/>
      <c r="E3424" s="40"/>
      <c r="F3424" s="314"/>
      <c r="H3424" s="315"/>
      <c r="I3424" s="315"/>
      <c r="BA3424" s="30"/>
      <c r="BB3424" s="155"/>
      <c r="BC3424" s="314"/>
      <c r="BD3424" s="314"/>
      <c r="BE3424" s="314"/>
      <c r="BF3424" s="314"/>
      <c r="BG3424" s="314"/>
      <c r="BH3424" s="314"/>
      <c r="BI3424" s="314"/>
      <c r="BJ3424" s="314"/>
      <c r="BK3424" s="40"/>
      <c r="BL3424" s="40"/>
      <c r="BM3424" s="40"/>
      <c r="BN3424" s="40"/>
      <c r="BO3424" s="40"/>
      <c r="BP3424" s="155"/>
      <c r="BQ3424" s="314"/>
      <c r="BR3424" s="314"/>
      <c r="BS3424" s="314"/>
      <c r="BT3424" s="314"/>
      <c r="BU3424" s="314"/>
      <c r="BV3424" s="314"/>
      <c r="BW3424" s="314"/>
      <c r="BX3424" s="155"/>
    </row>
    <row r="3425" spans="1:76" ht="15.75" customHeight="1">
      <c r="A3425" s="25"/>
      <c r="B3425" s="39"/>
      <c r="C3425" s="155"/>
      <c r="D3425" s="155"/>
      <c r="E3425" s="40"/>
      <c r="F3425" s="314"/>
      <c r="H3425" s="315"/>
      <c r="I3425" s="315"/>
      <c r="BA3425" s="30"/>
      <c r="BB3425" s="155"/>
      <c r="BC3425" s="314"/>
      <c r="BD3425" s="314"/>
      <c r="BE3425" s="314"/>
      <c r="BF3425" s="314"/>
      <c r="BG3425" s="314"/>
      <c r="BH3425" s="314"/>
      <c r="BI3425" s="314"/>
      <c r="BJ3425" s="314"/>
      <c r="BK3425" s="40"/>
      <c r="BL3425" s="40"/>
      <c r="BM3425" s="40"/>
      <c r="BN3425" s="40"/>
      <c r="BO3425" s="40"/>
      <c r="BP3425" s="155"/>
      <c r="BQ3425" s="314"/>
      <c r="BR3425" s="314"/>
      <c r="BS3425" s="314"/>
      <c r="BT3425" s="314"/>
      <c r="BU3425" s="314"/>
      <c r="BV3425" s="314"/>
      <c r="BW3425" s="314"/>
      <c r="BX3425" s="155"/>
    </row>
    <row r="3426" spans="1:76" ht="15.75" customHeight="1">
      <c r="A3426" s="25"/>
      <c r="B3426" s="39"/>
      <c r="C3426" s="155"/>
      <c r="D3426" s="155"/>
      <c r="E3426" s="40"/>
      <c r="F3426" s="314"/>
      <c r="H3426" s="315"/>
      <c r="I3426" s="315"/>
      <c r="BA3426" s="30"/>
      <c r="BB3426" s="155"/>
      <c r="BC3426" s="314"/>
      <c r="BD3426" s="314"/>
      <c r="BE3426" s="314"/>
      <c r="BF3426" s="314"/>
      <c r="BG3426" s="314"/>
      <c r="BH3426" s="314"/>
      <c r="BI3426" s="314"/>
      <c r="BJ3426" s="314"/>
      <c r="BK3426" s="40"/>
      <c r="BL3426" s="40"/>
      <c r="BM3426" s="40"/>
      <c r="BN3426" s="40"/>
      <c r="BO3426" s="40"/>
      <c r="BP3426" s="155"/>
      <c r="BQ3426" s="314"/>
      <c r="BR3426" s="314"/>
      <c r="BS3426" s="314"/>
      <c r="BT3426" s="314"/>
      <c r="BU3426" s="314"/>
      <c r="BV3426" s="314"/>
      <c r="BW3426" s="314"/>
      <c r="BX3426" s="155"/>
    </row>
    <row r="3427" spans="1:76" ht="15.75" customHeight="1">
      <c r="A3427" s="25"/>
      <c r="B3427" s="39"/>
      <c r="C3427" s="155"/>
      <c r="D3427" s="155"/>
      <c r="E3427" s="40"/>
      <c r="F3427" s="314"/>
      <c r="H3427" s="315"/>
      <c r="I3427" s="315"/>
      <c r="BA3427" s="30"/>
      <c r="BB3427" s="155"/>
      <c r="BC3427" s="314"/>
      <c r="BD3427" s="314"/>
      <c r="BE3427" s="314"/>
      <c r="BF3427" s="314"/>
      <c r="BG3427" s="314"/>
      <c r="BH3427" s="314"/>
      <c r="BI3427" s="314"/>
      <c r="BJ3427" s="314"/>
      <c r="BK3427" s="40"/>
      <c r="BL3427" s="40"/>
      <c r="BM3427" s="40"/>
      <c r="BN3427" s="40"/>
      <c r="BO3427" s="40"/>
      <c r="BP3427" s="155"/>
      <c r="BQ3427" s="314"/>
      <c r="BR3427" s="314"/>
      <c r="BS3427" s="314"/>
      <c r="BT3427" s="314"/>
      <c r="BU3427" s="314"/>
      <c r="BV3427" s="314"/>
      <c r="BW3427" s="314"/>
      <c r="BX3427" s="155"/>
    </row>
    <row r="3428" spans="1:76" ht="15.75" customHeight="1">
      <c r="A3428" s="25"/>
      <c r="B3428" s="39"/>
      <c r="C3428" s="155"/>
      <c r="D3428" s="155"/>
      <c r="E3428" s="40"/>
      <c r="F3428" s="314"/>
      <c r="H3428" s="315"/>
      <c r="I3428" s="315"/>
      <c r="BA3428" s="30"/>
      <c r="BB3428" s="155"/>
      <c r="BC3428" s="314"/>
      <c r="BD3428" s="314"/>
      <c r="BE3428" s="314"/>
      <c r="BF3428" s="314"/>
      <c r="BG3428" s="314"/>
      <c r="BH3428" s="314"/>
      <c r="BI3428" s="314"/>
      <c r="BJ3428" s="314"/>
      <c r="BK3428" s="40"/>
      <c r="BL3428" s="40"/>
      <c r="BM3428" s="40"/>
      <c r="BN3428" s="40"/>
      <c r="BO3428" s="40"/>
      <c r="BP3428" s="155"/>
      <c r="BQ3428" s="314"/>
      <c r="BR3428" s="314"/>
      <c r="BS3428" s="314"/>
      <c r="BT3428" s="314"/>
      <c r="BU3428" s="314"/>
      <c r="BV3428" s="314"/>
      <c r="BW3428" s="314"/>
      <c r="BX3428" s="155"/>
    </row>
    <row r="3429" spans="1:76" ht="15.75" customHeight="1">
      <c r="A3429" s="25"/>
      <c r="B3429" s="39"/>
      <c r="C3429" s="155"/>
      <c r="D3429" s="155"/>
      <c r="E3429" s="40"/>
      <c r="F3429" s="314"/>
      <c r="H3429" s="315"/>
      <c r="I3429" s="315"/>
      <c r="BA3429" s="30"/>
      <c r="BB3429" s="155"/>
      <c r="BC3429" s="314"/>
      <c r="BD3429" s="314"/>
      <c r="BE3429" s="314"/>
      <c r="BF3429" s="314"/>
      <c r="BG3429" s="314"/>
      <c r="BH3429" s="314"/>
      <c r="BI3429" s="314"/>
      <c r="BJ3429" s="314"/>
      <c r="BK3429" s="40"/>
      <c r="BL3429" s="40"/>
      <c r="BM3429" s="40"/>
      <c r="BN3429" s="40"/>
      <c r="BO3429" s="40"/>
      <c r="BP3429" s="155"/>
      <c r="BQ3429" s="314"/>
      <c r="BR3429" s="314"/>
      <c r="BS3429" s="314"/>
      <c r="BT3429" s="314"/>
      <c r="BU3429" s="314"/>
      <c r="BV3429" s="314"/>
      <c r="BW3429" s="314"/>
      <c r="BX3429" s="155"/>
    </row>
    <row r="3430" spans="1:76" ht="15.75" customHeight="1">
      <c r="A3430" s="25"/>
      <c r="B3430" s="39"/>
      <c r="C3430" s="155"/>
      <c r="D3430" s="155"/>
      <c r="E3430" s="40"/>
      <c r="F3430" s="314"/>
      <c r="H3430" s="315"/>
      <c r="I3430" s="315"/>
      <c r="BA3430" s="30"/>
      <c r="BB3430" s="155"/>
      <c r="BC3430" s="314"/>
      <c r="BD3430" s="314"/>
      <c r="BE3430" s="314"/>
      <c r="BF3430" s="314"/>
      <c r="BG3430" s="314"/>
      <c r="BH3430" s="314"/>
      <c r="BI3430" s="314"/>
      <c r="BJ3430" s="314"/>
      <c r="BK3430" s="40"/>
      <c r="BL3430" s="40"/>
      <c r="BM3430" s="40"/>
      <c r="BN3430" s="40"/>
      <c r="BO3430" s="40"/>
      <c r="BP3430" s="155"/>
      <c r="BQ3430" s="314"/>
      <c r="BR3430" s="314"/>
      <c r="BS3430" s="314"/>
      <c r="BT3430" s="314"/>
      <c r="BU3430" s="314"/>
      <c r="BV3430" s="314"/>
      <c r="BW3430" s="314"/>
      <c r="BX3430" s="155"/>
    </row>
    <row r="3431" spans="1:76" ht="15.75" customHeight="1">
      <c r="A3431" s="25"/>
      <c r="B3431" s="39"/>
      <c r="C3431" s="155"/>
      <c r="D3431" s="155"/>
      <c r="E3431" s="40"/>
      <c r="F3431" s="314"/>
      <c r="H3431" s="315"/>
      <c r="I3431" s="315"/>
      <c r="BA3431" s="30"/>
      <c r="BB3431" s="155"/>
      <c r="BC3431" s="314"/>
      <c r="BD3431" s="314"/>
      <c r="BE3431" s="314"/>
      <c r="BF3431" s="314"/>
      <c r="BG3431" s="314"/>
      <c r="BH3431" s="314"/>
      <c r="BI3431" s="314"/>
      <c r="BJ3431" s="314"/>
      <c r="BK3431" s="40"/>
      <c r="BL3431" s="40"/>
      <c r="BM3431" s="40"/>
      <c r="BN3431" s="40"/>
      <c r="BO3431" s="40"/>
      <c r="BP3431" s="155"/>
      <c r="BQ3431" s="314"/>
      <c r="BR3431" s="314"/>
      <c r="BS3431" s="314"/>
      <c r="BT3431" s="314"/>
      <c r="BU3431" s="314"/>
      <c r="BV3431" s="314"/>
      <c r="BW3431" s="314"/>
      <c r="BX3431" s="155"/>
    </row>
    <row r="3432" spans="1:76" ht="15.75" customHeight="1">
      <c r="A3432" s="25"/>
      <c r="B3432" s="39"/>
      <c r="C3432" s="155"/>
      <c r="D3432" s="155"/>
      <c r="E3432" s="40"/>
      <c r="F3432" s="314"/>
      <c r="H3432" s="315"/>
      <c r="I3432" s="315"/>
      <c r="BA3432" s="30"/>
      <c r="BB3432" s="155"/>
      <c r="BC3432" s="314"/>
      <c r="BD3432" s="314"/>
      <c r="BE3432" s="314"/>
      <c r="BF3432" s="314"/>
      <c r="BG3432" s="314"/>
      <c r="BH3432" s="314"/>
      <c r="BI3432" s="314"/>
      <c r="BJ3432" s="314"/>
      <c r="BK3432" s="40"/>
      <c r="BL3432" s="40"/>
      <c r="BM3432" s="40"/>
      <c r="BN3432" s="40"/>
      <c r="BO3432" s="40"/>
      <c r="BP3432" s="155"/>
      <c r="BQ3432" s="314"/>
      <c r="BR3432" s="314"/>
      <c r="BS3432" s="314"/>
      <c r="BT3432" s="314"/>
      <c r="BU3432" s="314"/>
      <c r="BV3432" s="314"/>
      <c r="BW3432" s="314"/>
      <c r="BX3432" s="155"/>
    </row>
    <row r="3433" spans="1:76" ht="15.75" customHeight="1">
      <c r="A3433" s="25"/>
      <c r="B3433" s="39"/>
      <c r="C3433" s="155"/>
      <c r="D3433" s="155"/>
      <c r="E3433" s="40"/>
      <c r="F3433" s="314"/>
      <c r="H3433" s="315"/>
      <c r="I3433" s="315"/>
      <c r="BA3433" s="30"/>
      <c r="BB3433" s="155"/>
      <c r="BC3433" s="314"/>
      <c r="BD3433" s="314"/>
      <c r="BE3433" s="314"/>
      <c r="BF3433" s="314"/>
      <c r="BG3433" s="314"/>
      <c r="BH3433" s="314"/>
      <c r="BI3433" s="314"/>
      <c r="BJ3433" s="314"/>
      <c r="BK3433" s="40"/>
      <c r="BL3433" s="40"/>
      <c r="BM3433" s="40"/>
      <c r="BN3433" s="40"/>
      <c r="BO3433" s="40"/>
      <c r="BP3433" s="155"/>
      <c r="BQ3433" s="314"/>
      <c r="BR3433" s="314"/>
      <c r="BS3433" s="314"/>
      <c r="BT3433" s="314"/>
      <c r="BU3433" s="314"/>
      <c r="BV3433" s="314"/>
      <c r="BW3433" s="314"/>
      <c r="BX3433" s="155"/>
    </row>
    <row r="3434" spans="1:76" ht="15.75" customHeight="1">
      <c r="A3434" s="25"/>
      <c r="B3434" s="39"/>
      <c r="C3434" s="155"/>
      <c r="D3434" s="155"/>
      <c r="E3434" s="40"/>
      <c r="F3434" s="314"/>
      <c r="H3434" s="315"/>
      <c r="I3434" s="315"/>
      <c r="BA3434" s="30"/>
      <c r="BB3434" s="155"/>
      <c r="BC3434" s="314"/>
      <c r="BD3434" s="314"/>
      <c r="BE3434" s="314"/>
      <c r="BF3434" s="314"/>
      <c r="BG3434" s="314"/>
      <c r="BH3434" s="314"/>
      <c r="BI3434" s="314"/>
      <c r="BJ3434" s="314"/>
      <c r="BK3434" s="40"/>
      <c r="BL3434" s="40"/>
      <c r="BM3434" s="40"/>
      <c r="BN3434" s="40"/>
      <c r="BO3434" s="40"/>
      <c r="BP3434" s="155"/>
      <c r="BQ3434" s="314"/>
      <c r="BR3434" s="314"/>
      <c r="BS3434" s="314"/>
      <c r="BT3434" s="314"/>
      <c r="BU3434" s="314"/>
      <c r="BV3434" s="314"/>
      <c r="BW3434" s="314"/>
      <c r="BX3434" s="155"/>
    </row>
    <row r="3435" spans="1:76" ht="15.75" customHeight="1">
      <c r="A3435" s="25"/>
      <c r="B3435" s="39"/>
      <c r="C3435" s="155"/>
      <c r="D3435" s="155"/>
      <c r="E3435" s="40"/>
      <c r="F3435" s="314"/>
      <c r="H3435" s="315"/>
      <c r="I3435" s="315"/>
      <c r="BA3435" s="30"/>
      <c r="BB3435" s="155"/>
      <c r="BC3435" s="322"/>
      <c r="BD3435" s="322"/>
      <c r="BE3435" s="322"/>
      <c r="BF3435" s="322"/>
      <c r="BG3435" s="322"/>
      <c r="BH3435" s="322"/>
      <c r="BI3435" s="322"/>
      <c r="BJ3435" s="322"/>
      <c r="BK3435" s="341"/>
      <c r="BL3435" s="40"/>
      <c r="BM3435" s="40"/>
      <c r="BN3435" s="40"/>
      <c r="BO3435" s="40"/>
      <c r="BP3435" s="155"/>
      <c r="BQ3435" s="314"/>
      <c r="BR3435" s="314"/>
      <c r="BS3435" s="314"/>
      <c r="BT3435" s="314"/>
      <c r="BU3435" s="314"/>
      <c r="BV3435" s="314"/>
      <c r="BW3435" s="314"/>
      <c r="BX3435" s="155"/>
    </row>
    <row r="3436" spans="1:76" ht="15.75" customHeight="1">
      <c r="A3436" s="25"/>
      <c r="B3436" s="39"/>
      <c r="C3436" s="155"/>
      <c r="D3436" s="155"/>
      <c r="E3436" s="40"/>
      <c r="F3436" s="314"/>
      <c r="H3436" s="315"/>
      <c r="I3436" s="315"/>
      <c r="BA3436" s="30"/>
      <c r="BB3436" s="155"/>
      <c r="BC3436" s="314"/>
      <c r="BD3436" s="314"/>
      <c r="BE3436" s="314"/>
      <c r="BF3436" s="314"/>
      <c r="BG3436" s="314"/>
      <c r="BH3436" s="314"/>
      <c r="BI3436" s="314"/>
      <c r="BJ3436" s="314"/>
      <c r="BK3436" s="40"/>
      <c r="BL3436" s="40"/>
      <c r="BM3436" s="40"/>
      <c r="BN3436" s="40"/>
      <c r="BO3436" s="40"/>
      <c r="BP3436" s="155"/>
      <c r="BQ3436" s="314"/>
      <c r="BR3436" s="314"/>
      <c r="BS3436" s="314"/>
      <c r="BT3436" s="314"/>
      <c r="BU3436" s="314"/>
      <c r="BV3436" s="314"/>
      <c r="BW3436" s="314"/>
      <c r="BX3436" s="155"/>
    </row>
    <row r="3437" spans="1:76" ht="15.75" customHeight="1">
      <c r="A3437" s="25"/>
      <c r="B3437" s="39"/>
      <c r="C3437" s="155"/>
      <c r="D3437" s="155"/>
      <c r="E3437" s="40"/>
      <c r="F3437" s="314"/>
      <c r="H3437" s="315"/>
      <c r="I3437" s="315"/>
      <c r="BA3437" s="30"/>
      <c r="BB3437" s="155"/>
      <c r="BC3437" s="314"/>
      <c r="BD3437" s="314"/>
      <c r="BE3437" s="314"/>
      <c r="BF3437" s="314"/>
      <c r="BG3437" s="314"/>
      <c r="BH3437" s="314"/>
      <c r="BI3437" s="314"/>
      <c r="BJ3437" s="314"/>
      <c r="BK3437" s="40"/>
      <c r="BL3437" s="40"/>
      <c r="BM3437" s="40"/>
      <c r="BN3437" s="40"/>
      <c r="BO3437" s="40"/>
      <c r="BP3437" s="155"/>
      <c r="BQ3437" s="314"/>
      <c r="BR3437" s="314"/>
      <c r="BS3437" s="314"/>
      <c r="BT3437" s="314"/>
      <c r="BU3437" s="314"/>
      <c r="BV3437" s="314"/>
      <c r="BW3437" s="314"/>
      <c r="BX3437" s="155"/>
    </row>
    <row r="3438" spans="1:76" ht="15.75" customHeight="1">
      <c r="A3438" s="25"/>
      <c r="B3438" s="39"/>
      <c r="C3438" s="155"/>
      <c r="D3438" s="155"/>
      <c r="E3438" s="40"/>
      <c r="F3438" s="314"/>
      <c r="H3438" s="315"/>
      <c r="I3438" s="315"/>
      <c r="BA3438" s="30"/>
      <c r="BB3438" s="155"/>
      <c r="BC3438" s="314"/>
      <c r="BD3438" s="314"/>
      <c r="BE3438" s="314"/>
      <c r="BF3438" s="314"/>
      <c r="BG3438" s="314"/>
      <c r="BH3438" s="314"/>
      <c r="BI3438" s="314"/>
      <c r="BJ3438" s="314"/>
      <c r="BK3438" s="40"/>
      <c r="BL3438" s="40"/>
      <c r="BM3438" s="40"/>
      <c r="BN3438" s="40"/>
      <c r="BO3438" s="40"/>
      <c r="BP3438" s="155"/>
      <c r="BQ3438" s="314"/>
      <c r="BR3438" s="314"/>
      <c r="BS3438" s="314"/>
      <c r="BT3438" s="314"/>
      <c r="BU3438" s="314"/>
      <c r="BV3438" s="314"/>
      <c r="BW3438" s="314"/>
      <c r="BX3438" s="155"/>
    </row>
    <row r="3439" spans="1:76" ht="15.75" customHeight="1">
      <c r="A3439" s="25"/>
      <c r="B3439" s="39"/>
      <c r="C3439" s="155"/>
      <c r="D3439" s="155"/>
      <c r="E3439" s="40"/>
      <c r="F3439" s="314"/>
      <c r="H3439" s="315"/>
      <c r="I3439" s="315"/>
      <c r="BA3439" s="30"/>
      <c r="BB3439" s="155"/>
      <c r="BC3439" s="314"/>
      <c r="BD3439" s="314"/>
      <c r="BE3439" s="314"/>
      <c r="BF3439" s="314"/>
      <c r="BG3439" s="314"/>
      <c r="BH3439" s="314"/>
      <c r="BI3439" s="314"/>
      <c r="BJ3439" s="314"/>
      <c r="BK3439" s="40"/>
      <c r="BL3439" s="40"/>
      <c r="BM3439" s="40"/>
      <c r="BN3439" s="40"/>
      <c r="BO3439" s="40"/>
      <c r="BP3439" s="155"/>
      <c r="BQ3439" s="314"/>
      <c r="BR3439" s="314"/>
      <c r="BS3439" s="314"/>
      <c r="BT3439" s="314"/>
      <c r="BU3439" s="314"/>
      <c r="BV3439" s="314"/>
      <c r="BW3439" s="314"/>
      <c r="BX3439" s="155"/>
    </row>
    <row r="3440" spans="1:76" ht="15.75" customHeight="1">
      <c r="A3440" s="25"/>
      <c r="B3440" s="39"/>
      <c r="C3440" s="155"/>
      <c r="D3440" s="155"/>
      <c r="E3440" s="40"/>
      <c r="F3440" s="314"/>
      <c r="H3440" s="315"/>
      <c r="I3440" s="315"/>
      <c r="BA3440" s="30"/>
      <c r="BB3440" s="155"/>
      <c r="BC3440" s="314"/>
      <c r="BD3440" s="314"/>
      <c r="BE3440" s="314"/>
      <c r="BF3440" s="314"/>
      <c r="BG3440" s="314"/>
      <c r="BH3440" s="314"/>
      <c r="BI3440" s="314"/>
      <c r="BJ3440" s="314"/>
      <c r="BK3440" s="40"/>
      <c r="BL3440" s="40"/>
      <c r="BM3440" s="40"/>
      <c r="BN3440" s="40"/>
      <c r="BO3440" s="40"/>
      <c r="BP3440" s="155"/>
      <c r="BQ3440" s="314"/>
      <c r="BR3440" s="314"/>
      <c r="BS3440" s="314"/>
      <c r="BT3440" s="314"/>
      <c r="BU3440" s="314"/>
      <c r="BV3440" s="314"/>
      <c r="BW3440" s="314"/>
      <c r="BX3440" s="155"/>
    </row>
    <row r="3441" spans="1:76" ht="15.75" customHeight="1">
      <c r="A3441" s="25"/>
      <c r="B3441" s="39"/>
      <c r="C3441" s="155"/>
      <c r="D3441" s="155"/>
      <c r="E3441" s="40"/>
      <c r="F3441" s="314"/>
      <c r="H3441" s="315"/>
      <c r="I3441" s="315"/>
      <c r="BA3441" s="30"/>
      <c r="BB3441" s="155"/>
      <c r="BC3441" s="314"/>
      <c r="BD3441" s="314"/>
      <c r="BE3441" s="314"/>
      <c r="BF3441" s="314"/>
      <c r="BG3441" s="314"/>
      <c r="BH3441" s="314"/>
      <c r="BI3441" s="314"/>
      <c r="BJ3441" s="314"/>
      <c r="BK3441" s="40"/>
      <c r="BL3441" s="40"/>
      <c r="BM3441" s="40"/>
      <c r="BN3441" s="40"/>
      <c r="BO3441" s="40"/>
      <c r="BP3441" s="155"/>
      <c r="BQ3441" s="314"/>
      <c r="BR3441" s="314"/>
      <c r="BS3441" s="314"/>
      <c r="BT3441" s="314"/>
      <c r="BU3441" s="314"/>
      <c r="BV3441" s="314"/>
      <c r="BW3441" s="314"/>
      <c r="BX3441" s="155"/>
    </row>
    <row r="3442" spans="1:76" ht="15.75" customHeight="1">
      <c r="A3442" s="25"/>
      <c r="B3442" s="39"/>
      <c r="C3442" s="155"/>
      <c r="D3442" s="155"/>
      <c r="E3442" s="40"/>
      <c r="F3442" s="314"/>
      <c r="H3442" s="315"/>
      <c r="I3442" s="315"/>
      <c r="BA3442" s="30"/>
      <c r="BB3442" s="155"/>
      <c r="BC3442" s="314"/>
      <c r="BD3442" s="314"/>
      <c r="BE3442" s="314"/>
      <c r="BF3442" s="314"/>
      <c r="BG3442" s="314"/>
      <c r="BH3442" s="314"/>
      <c r="BI3442" s="314"/>
      <c r="BJ3442" s="314"/>
      <c r="BK3442" s="40"/>
      <c r="BL3442" s="40"/>
      <c r="BM3442" s="40"/>
      <c r="BN3442" s="40"/>
      <c r="BO3442" s="40"/>
      <c r="BP3442" s="155"/>
      <c r="BQ3442" s="314"/>
      <c r="BR3442" s="314"/>
      <c r="BS3442" s="314"/>
      <c r="BT3442" s="314"/>
      <c r="BU3442" s="314"/>
      <c r="BV3442" s="314"/>
      <c r="BW3442" s="314"/>
      <c r="BX3442" s="155"/>
    </row>
    <row r="3443" spans="1:76" ht="15.75" customHeight="1">
      <c r="A3443" s="25"/>
      <c r="B3443" s="39"/>
      <c r="C3443" s="155"/>
      <c r="D3443" s="155"/>
      <c r="E3443" s="40"/>
      <c r="F3443" s="314"/>
      <c r="H3443" s="315"/>
      <c r="I3443" s="315"/>
      <c r="BA3443" s="30"/>
      <c r="BB3443" s="155"/>
      <c r="BC3443" s="314"/>
      <c r="BD3443" s="314"/>
      <c r="BE3443" s="314"/>
      <c r="BF3443" s="314"/>
      <c r="BG3443" s="314"/>
      <c r="BH3443" s="314"/>
      <c r="BI3443" s="314"/>
      <c r="BJ3443" s="314"/>
      <c r="BK3443" s="40"/>
      <c r="BL3443" s="40"/>
      <c r="BM3443" s="40"/>
      <c r="BN3443" s="40"/>
      <c r="BO3443" s="40"/>
      <c r="BP3443" s="155"/>
      <c r="BQ3443" s="314"/>
      <c r="BR3443" s="314"/>
      <c r="BS3443" s="314"/>
      <c r="BT3443" s="314"/>
      <c r="BU3443" s="314"/>
      <c r="BV3443" s="314"/>
      <c r="BW3443" s="314"/>
      <c r="BX3443" s="155"/>
    </row>
    <row r="3444" spans="1:76" ht="15.75" customHeight="1">
      <c r="A3444" s="25"/>
      <c r="B3444" s="39"/>
      <c r="C3444" s="155"/>
      <c r="D3444" s="155"/>
      <c r="E3444" s="40"/>
      <c r="F3444" s="314"/>
      <c r="H3444" s="315"/>
      <c r="I3444" s="315"/>
      <c r="BA3444" s="30"/>
      <c r="BB3444" s="155"/>
      <c r="BC3444" s="314"/>
      <c r="BD3444" s="314"/>
      <c r="BE3444" s="314"/>
      <c r="BF3444" s="314"/>
      <c r="BG3444" s="314"/>
      <c r="BH3444" s="314"/>
      <c r="BI3444" s="314"/>
      <c r="BJ3444" s="314"/>
      <c r="BK3444" s="40"/>
      <c r="BL3444" s="40"/>
      <c r="BM3444" s="40"/>
      <c r="BN3444" s="40"/>
      <c r="BO3444" s="40"/>
      <c r="BP3444" s="155"/>
      <c r="BQ3444" s="314"/>
      <c r="BR3444" s="314"/>
      <c r="BS3444" s="314"/>
      <c r="BT3444" s="314"/>
      <c r="BU3444" s="314"/>
      <c r="BV3444" s="314"/>
      <c r="BW3444" s="314"/>
      <c r="BX3444" s="155"/>
    </row>
    <row r="3445" spans="1:76" ht="15.75" customHeight="1">
      <c r="A3445" s="25"/>
      <c r="B3445" s="39"/>
      <c r="C3445" s="155"/>
      <c r="D3445" s="155"/>
      <c r="E3445" s="40"/>
      <c r="F3445" s="314"/>
      <c r="H3445" s="315"/>
      <c r="I3445" s="315"/>
      <c r="BA3445" s="30"/>
      <c r="BB3445" s="155"/>
      <c r="BC3445" s="314"/>
      <c r="BD3445" s="314"/>
      <c r="BE3445" s="314"/>
      <c r="BF3445" s="314"/>
      <c r="BG3445" s="314"/>
      <c r="BH3445" s="314"/>
      <c r="BI3445" s="314"/>
      <c r="BJ3445" s="314"/>
      <c r="BK3445" s="40"/>
      <c r="BL3445" s="40"/>
      <c r="BM3445" s="40"/>
      <c r="BN3445" s="40"/>
      <c r="BO3445" s="40"/>
      <c r="BP3445" s="155"/>
      <c r="BQ3445" s="314"/>
      <c r="BR3445" s="314"/>
      <c r="BS3445" s="314"/>
      <c r="BT3445" s="314"/>
      <c r="BU3445" s="314"/>
      <c r="BV3445" s="314"/>
      <c r="BW3445" s="314"/>
      <c r="BX3445" s="155"/>
    </row>
    <row r="3446" spans="1:76" ht="15.75" customHeight="1">
      <c r="A3446" s="25"/>
      <c r="B3446" s="39"/>
      <c r="C3446" s="155"/>
      <c r="D3446" s="155"/>
      <c r="E3446" s="40"/>
      <c r="F3446" s="314"/>
      <c r="H3446" s="315"/>
      <c r="I3446" s="315"/>
      <c r="BA3446" s="30"/>
      <c r="BB3446" s="155"/>
      <c r="BC3446" s="314"/>
      <c r="BD3446" s="314"/>
      <c r="BE3446" s="314"/>
      <c r="BF3446" s="314"/>
      <c r="BG3446" s="314"/>
      <c r="BH3446" s="314"/>
      <c r="BI3446" s="314"/>
      <c r="BJ3446" s="314"/>
      <c r="BK3446" s="40"/>
      <c r="BL3446" s="40"/>
      <c r="BM3446" s="40"/>
      <c r="BN3446" s="40"/>
      <c r="BO3446" s="40"/>
      <c r="BP3446" s="155"/>
      <c r="BQ3446" s="314"/>
      <c r="BR3446" s="314"/>
      <c r="BS3446" s="314"/>
      <c r="BT3446" s="314"/>
      <c r="BU3446" s="314"/>
      <c r="BV3446" s="314"/>
      <c r="BW3446" s="314"/>
      <c r="BX3446" s="155"/>
    </row>
    <row r="3447" spans="1:76" ht="15.75" customHeight="1">
      <c r="A3447" s="25"/>
      <c r="B3447" s="39"/>
      <c r="C3447" s="155"/>
      <c r="D3447" s="155"/>
      <c r="E3447" s="40"/>
      <c r="F3447" s="314"/>
      <c r="H3447" s="315"/>
      <c r="I3447" s="315"/>
      <c r="BA3447" s="30"/>
      <c r="BB3447" s="155"/>
      <c r="BC3447" s="314"/>
      <c r="BD3447" s="314"/>
      <c r="BE3447" s="314"/>
      <c r="BF3447" s="314"/>
      <c r="BG3447" s="314"/>
      <c r="BH3447" s="314"/>
      <c r="BI3447" s="314"/>
      <c r="BJ3447" s="314"/>
      <c r="BK3447" s="40"/>
      <c r="BL3447" s="40"/>
      <c r="BM3447" s="40"/>
      <c r="BN3447" s="40"/>
      <c r="BO3447" s="40"/>
      <c r="BP3447" s="155"/>
      <c r="BQ3447" s="314"/>
      <c r="BR3447" s="314"/>
      <c r="BS3447" s="314"/>
      <c r="BT3447" s="314"/>
      <c r="BU3447" s="314"/>
      <c r="BV3447" s="314"/>
      <c r="BW3447" s="314"/>
      <c r="BX3447" s="155"/>
    </row>
    <row r="3448" spans="1:76" ht="15.75" customHeight="1">
      <c r="A3448" s="25"/>
      <c r="B3448" s="39"/>
      <c r="C3448" s="155"/>
      <c r="D3448" s="155"/>
      <c r="E3448" s="40"/>
      <c r="F3448" s="314"/>
      <c r="H3448" s="315"/>
      <c r="I3448" s="315"/>
      <c r="BA3448" s="30"/>
      <c r="BB3448" s="155"/>
      <c r="BC3448" s="314"/>
      <c r="BD3448" s="314"/>
      <c r="BE3448" s="314"/>
      <c r="BF3448" s="314"/>
      <c r="BG3448" s="314"/>
      <c r="BH3448" s="314"/>
      <c r="BI3448" s="314"/>
      <c r="BJ3448" s="314"/>
      <c r="BK3448" s="40"/>
      <c r="BL3448" s="40"/>
      <c r="BM3448" s="40"/>
      <c r="BN3448" s="40"/>
      <c r="BO3448" s="40"/>
      <c r="BP3448" s="155"/>
      <c r="BQ3448" s="314"/>
      <c r="BR3448" s="314"/>
      <c r="BS3448" s="314"/>
      <c r="BT3448" s="314"/>
      <c r="BU3448" s="314"/>
      <c r="BV3448" s="314"/>
      <c r="BW3448" s="314"/>
      <c r="BX3448" s="155"/>
    </row>
    <row r="3449" spans="1:76" ht="15.75" customHeight="1">
      <c r="A3449" s="25"/>
      <c r="B3449" s="39"/>
      <c r="C3449" s="155"/>
      <c r="D3449" s="155"/>
      <c r="E3449" s="40"/>
      <c r="F3449" s="314"/>
      <c r="H3449" s="315"/>
      <c r="I3449" s="315"/>
      <c r="BA3449" s="30"/>
      <c r="BB3449" s="155"/>
      <c r="BC3449" s="314"/>
      <c r="BD3449" s="314"/>
      <c r="BE3449" s="314"/>
      <c r="BF3449" s="314"/>
      <c r="BG3449" s="314"/>
      <c r="BH3449" s="314"/>
      <c r="BI3449" s="314"/>
      <c r="BJ3449" s="314"/>
      <c r="BK3449" s="40"/>
      <c r="BL3449" s="40"/>
      <c r="BM3449" s="40"/>
      <c r="BN3449" s="40"/>
      <c r="BO3449" s="40"/>
      <c r="BP3449" s="155"/>
      <c r="BQ3449" s="314"/>
      <c r="BR3449" s="314"/>
      <c r="BS3449" s="314"/>
      <c r="BT3449" s="314"/>
      <c r="BU3449" s="314"/>
      <c r="BV3449" s="314"/>
      <c r="BW3449" s="314"/>
      <c r="BX3449" s="155"/>
    </row>
    <row r="3450" spans="1:76" ht="15.75" customHeight="1">
      <c r="A3450" s="25"/>
      <c r="B3450" s="39"/>
      <c r="C3450" s="155"/>
      <c r="D3450" s="155"/>
      <c r="E3450" s="40"/>
      <c r="F3450" s="314"/>
      <c r="H3450" s="315"/>
      <c r="I3450" s="315"/>
      <c r="BA3450" s="30"/>
      <c r="BB3450" s="155"/>
      <c r="BC3450" s="314"/>
      <c r="BD3450" s="314"/>
      <c r="BE3450" s="314"/>
      <c r="BF3450" s="314"/>
      <c r="BG3450" s="314"/>
      <c r="BH3450" s="314"/>
      <c r="BI3450" s="314"/>
      <c r="BJ3450" s="314"/>
      <c r="BK3450" s="40"/>
      <c r="BL3450" s="40"/>
      <c r="BM3450" s="40"/>
      <c r="BN3450" s="40"/>
      <c r="BO3450" s="40"/>
      <c r="BP3450" s="155"/>
      <c r="BQ3450" s="314"/>
      <c r="BR3450" s="314"/>
      <c r="BS3450" s="314"/>
      <c r="BT3450" s="314"/>
      <c r="BU3450" s="314"/>
      <c r="BV3450" s="314"/>
      <c r="BW3450" s="314"/>
      <c r="BX3450" s="155"/>
    </row>
    <row r="3451" spans="1:76" ht="15.75" customHeight="1">
      <c r="A3451" s="25"/>
      <c r="B3451" s="39"/>
      <c r="C3451" s="155"/>
      <c r="D3451" s="155"/>
      <c r="E3451" s="40"/>
      <c r="F3451" s="314"/>
      <c r="H3451" s="315"/>
      <c r="I3451" s="315"/>
      <c r="BA3451" s="30"/>
      <c r="BB3451" s="155"/>
      <c r="BC3451" s="314"/>
      <c r="BD3451" s="314"/>
      <c r="BE3451" s="314"/>
      <c r="BF3451" s="314"/>
      <c r="BG3451" s="314"/>
      <c r="BH3451" s="314"/>
      <c r="BI3451" s="314"/>
      <c r="BJ3451" s="314"/>
      <c r="BK3451" s="40"/>
      <c r="BL3451" s="40"/>
      <c r="BM3451" s="40"/>
      <c r="BN3451" s="40"/>
      <c r="BO3451" s="40"/>
      <c r="BP3451" s="155"/>
      <c r="BQ3451" s="314"/>
      <c r="BR3451" s="314"/>
      <c r="BS3451" s="314"/>
      <c r="BT3451" s="314"/>
      <c r="BU3451" s="314"/>
      <c r="BV3451" s="314"/>
      <c r="BW3451" s="314"/>
      <c r="BX3451" s="155"/>
    </row>
    <row r="3452" spans="1:76" ht="15.75" customHeight="1">
      <c r="A3452" s="25"/>
      <c r="B3452" s="39"/>
      <c r="C3452" s="155"/>
      <c r="D3452" s="155"/>
      <c r="E3452" s="40"/>
      <c r="F3452" s="314"/>
      <c r="H3452" s="315"/>
      <c r="I3452" s="315"/>
      <c r="BA3452" s="30"/>
      <c r="BB3452" s="155"/>
      <c r="BC3452" s="314"/>
      <c r="BD3452" s="314"/>
      <c r="BE3452" s="314"/>
      <c r="BF3452" s="314"/>
      <c r="BG3452" s="314"/>
      <c r="BH3452" s="314"/>
      <c r="BI3452" s="314"/>
      <c r="BJ3452" s="314"/>
      <c r="BK3452" s="40"/>
      <c r="BL3452" s="40"/>
      <c r="BM3452" s="40"/>
      <c r="BN3452" s="40"/>
      <c r="BO3452" s="40"/>
      <c r="BP3452" s="155"/>
      <c r="BQ3452" s="314"/>
      <c r="BR3452" s="314"/>
      <c r="BS3452" s="314"/>
      <c r="BT3452" s="314"/>
      <c r="BU3452" s="314"/>
      <c r="BV3452" s="314"/>
      <c r="BW3452" s="314"/>
      <c r="BX3452" s="155"/>
    </row>
    <row r="3453" spans="1:76" ht="15.75" customHeight="1">
      <c r="A3453" s="25"/>
      <c r="B3453" s="39"/>
      <c r="C3453" s="155"/>
      <c r="D3453" s="155"/>
      <c r="E3453" s="40"/>
      <c r="F3453" s="314"/>
      <c r="H3453" s="315"/>
      <c r="I3453" s="315"/>
      <c r="BA3453" s="30"/>
      <c r="BB3453" s="155"/>
      <c r="BC3453" s="314"/>
      <c r="BD3453" s="314"/>
      <c r="BE3453" s="314"/>
      <c r="BF3453" s="314"/>
      <c r="BG3453" s="314"/>
      <c r="BH3453" s="314"/>
      <c r="BI3453" s="314"/>
      <c r="BJ3453" s="314"/>
      <c r="BK3453" s="40"/>
      <c r="BL3453" s="40"/>
      <c r="BM3453" s="40"/>
      <c r="BN3453" s="40"/>
      <c r="BO3453" s="40"/>
      <c r="BP3453" s="155"/>
      <c r="BQ3453" s="314"/>
      <c r="BR3453" s="314"/>
      <c r="BS3453" s="314"/>
      <c r="BT3453" s="314"/>
      <c r="BU3453" s="314"/>
      <c r="BV3453" s="314"/>
      <c r="BW3453" s="314"/>
      <c r="BX3453" s="155"/>
    </row>
    <row r="3454" spans="1:76" ht="15.75" customHeight="1">
      <c r="A3454" s="25"/>
      <c r="B3454" s="39"/>
      <c r="C3454" s="155"/>
      <c r="D3454" s="155"/>
      <c r="E3454" s="40"/>
      <c r="F3454" s="314"/>
      <c r="H3454" s="315"/>
      <c r="I3454" s="315"/>
      <c r="BA3454" s="30"/>
      <c r="BB3454" s="155"/>
      <c r="BC3454" s="314"/>
      <c r="BD3454" s="314"/>
      <c r="BE3454" s="314"/>
      <c r="BF3454" s="314"/>
      <c r="BG3454" s="314"/>
      <c r="BH3454" s="314"/>
      <c r="BI3454" s="314"/>
      <c r="BJ3454" s="314"/>
      <c r="BK3454" s="40"/>
      <c r="BL3454" s="40"/>
      <c r="BM3454" s="40"/>
      <c r="BN3454" s="40"/>
      <c r="BO3454" s="40"/>
      <c r="BP3454" s="155"/>
      <c r="BQ3454" s="314"/>
      <c r="BR3454" s="314"/>
      <c r="BS3454" s="314"/>
      <c r="BT3454" s="314"/>
      <c r="BU3454" s="314"/>
      <c r="BV3454" s="314"/>
      <c r="BW3454" s="314"/>
      <c r="BX3454" s="155"/>
    </row>
    <row r="3455" spans="1:76" ht="15.75" customHeight="1">
      <c r="A3455" s="25"/>
      <c r="B3455" s="39"/>
      <c r="C3455" s="155"/>
      <c r="D3455" s="155"/>
      <c r="E3455" s="40"/>
      <c r="F3455" s="314"/>
      <c r="H3455" s="315"/>
      <c r="I3455" s="315"/>
      <c r="BA3455" s="30"/>
      <c r="BB3455" s="155"/>
      <c r="BC3455" s="314"/>
      <c r="BD3455" s="314"/>
      <c r="BE3455" s="314"/>
      <c r="BF3455" s="314"/>
      <c r="BG3455" s="314"/>
      <c r="BH3455" s="314"/>
      <c r="BI3455" s="314"/>
      <c r="BJ3455" s="314"/>
      <c r="BK3455" s="40"/>
      <c r="BL3455" s="40"/>
      <c r="BM3455" s="40"/>
      <c r="BN3455" s="40"/>
      <c r="BO3455" s="40"/>
      <c r="BP3455" s="155"/>
      <c r="BQ3455" s="314"/>
      <c r="BR3455" s="314"/>
      <c r="BS3455" s="314"/>
      <c r="BT3455" s="314"/>
      <c r="BU3455" s="314"/>
      <c r="BV3455" s="314"/>
      <c r="BW3455" s="314"/>
      <c r="BX3455" s="155"/>
    </row>
    <row r="3456" spans="1:76" ht="15.75" customHeight="1">
      <c r="A3456" s="25"/>
      <c r="B3456" s="39"/>
      <c r="C3456" s="155"/>
      <c r="D3456" s="155"/>
      <c r="E3456" s="40"/>
      <c r="F3456" s="314"/>
      <c r="H3456" s="315"/>
      <c r="I3456" s="315"/>
      <c r="BA3456" s="30"/>
      <c r="BB3456" s="155"/>
      <c r="BC3456" s="314"/>
      <c r="BD3456" s="314"/>
      <c r="BE3456" s="314"/>
      <c r="BF3456" s="314"/>
      <c r="BG3456" s="314"/>
      <c r="BH3456" s="314"/>
      <c r="BI3456" s="314"/>
      <c r="BJ3456" s="314"/>
      <c r="BK3456" s="40"/>
      <c r="BL3456" s="40"/>
      <c r="BM3456" s="40"/>
      <c r="BN3456" s="40"/>
      <c r="BO3456" s="40"/>
      <c r="BP3456" s="155"/>
      <c r="BQ3456" s="314"/>
      <c r="BR3456" s="314"/>
      <c r="BS3456" s="314"/>
      <c r="BT3456" s="314"/>
      <c r="BU3456" s="314"/>
      <c r="BV3456" s="314"/>
      <c r="BW3456" s="314"/>
      <c r="BX3456" s="155"/>
    </row>
    <row r="3457" spans="1:76" ht="15.75" customHeight="1">
      <c r="A3457" s="25"/>
      <c r="B3457" s="39"/>
      <c r="C3457" s="155"/>
      <c r="D3457" s="155"/>
      <c r="E3457" s="40"/>
      <c r="F3457" s="314"/>
      <c r="H3457" s="315"/>
      <c r="I3457" s="315"/>
      <c r="BA3457" s="30"/>
      <c r="BB3457" s="155"/>
      <c r="BC3457" s="314"/>
      <c r="BD3457" s="314"/>
      <c r="BE3457" s="314"/>
      <c r="BF3457" s="314"/>
      <c r="BG3457" s="314"/>
      <c r="BH3457" s="314"/>
      <c r="BI3457" s="314"/>
      <c r="BJ3457" s="314"/>
      <c r="BK3457" s="40"/>
      <c r="BL3457" s="40"/>
      <c r="BM3457" s="40"/>
      <c r="BN3457" s="40"/>
      <c r="BO3457" s="40"/>
      <c r="BP3457" s="155"/>
      <c r="BQ3457" s="314"/>
      <c r="BR3457" s="314"/>
      <c r="BS3457" s="314"/>
      <c r="BT3457" s="314"/>
      <c r="BU3457" s="314"/>
      <c r="BV3457" s="314"/>
      <c r="BW3457" s="314"/>
      <c r="BX3457" s="155"/>
    </row>
    <row r="3458" spans="1:76" ht="15.75" customHeight="1">
      <c r="A3458" s="25"/>
      <c r="B3458" s="39"/>
      <c r="C3458" s="155"/>
      <c r="D3458" s="155"/>
      <c r="E3458" s="40"/>
      <c r="F3458" s="314"/>
      <c r="H3458" s="315"/>
      <c r="I3458" s="315"/>
      <c r="BA3458" s="30"/>
      <c r="BB3458" s="155"/>
      <c r="BC3458" s="314"/>
      <c r="BD3458" s="314"/>
      <c r="BE3458" s="314"/>
      <c r="BF3458" s="314"/>
      <c r="BG3458" s="314"/>
      <c r="BH3458" s="314"/>
      <c r="BI3458" s="314"/>
      <c r="BJ3458" s="314"/>
      <c r="BK3458" s="40"/>
      <c r="BL3458" s="40"/>
      <c r="BM3458" s="40"/>
      <c r="BN3458" s="40"/>
      <c r="BO3458" s="40"/>
      <c r="BP3458" s="155"/>
      <c r="BQ3458" s="314"/>
      <c r="BR3458" s="314"/>
      <c r="BS3458" s="314"/>
      <c r="BT3458" s="314"/>
      <c r="BU3458" s="314"/>
      <c r="BV3458" s="314"/>
      <c r="BW3458" s="314"/>
      <c r="BX3458" s="155"/>
    </row>
    <row r="3459" spans="1:76" ht="15.75" customHeight="1">
      <c r="A3459" s="25"/>
      <c r="B3459" s="39"/>
      <c r="C3459" s="155"/>
      <c r="D3459" s="155"/>
      <c r="E3459" s="40"/>
      <c r="F3459" s="314"/>
      <c r="H3459" s="315"/>
      <c r="I3459" s="315"/>
      <c r="BA3459" s="30"/>
      <c r="BB3459" s="155"/>
      <c r="BC3459" s="314"/>
      <c r="BD3459" s="314"/>
      <c r="BE3459" s="314"/>
      <c r="BF3459" s="314"/>
      <c r="BG3459" s="314"/>
      <c r="BH3459" s="314"/>
      <c r="BI3459" s="314"/>
      <c r="BJ3459" s="314"/>
      <c r="BK3459" s="40"/>
      <c r="BL3459" s="40"/>
      <c r="BM3459" s="40"/>
      <c r="BN3459" s="40"/>
      <c r="BO3459" s="40"/>
      <c r="BP3459" s="155"/>
      <c r="BQ3459" s="314"/>
      <c r="BR3459" s="314"/>
      <c r="BS3459" s="314"/>
      <c r="BT3459" s="314"/>
      <c r="BU3459" s="314"/>
      <c r="BV3459" s="314"/>
      <c r="BW3459" s="314"/>
      <c r="BX3459" s="155"/>
    </row>
    <row r="3460" spans="1:76" ht="15.75" customHeight="1">
      <c r="A3460" s="25"/>
      <c r="B3460" s="39"/>
      <c r="C3460" s="155"/>
      <c r="D3460" s="155"/>
      <c r="E3460" s="40"/>
      <c r="F3460" s="314"/>
      <c r="H3460" s="315"/>
      <c r="I3460" s="315"/>
      <c r="BA3460" s="30"/>
      <c r="BB3460" s="155"/>
      <c r="BC3460" s="314"/>
      <c r="BD3460" s="314"/>
      <c r="BE3460" s="314"/>
      <c r="BF3460" s="314"/>
      <c r="BG3460" s="314"/>
      <c r="BH3460" s="314"/>
      <c r="BI3460" s="314"/>
      <c r="BJ3460" s="314"/>
      <c r="BK3460" s="40"/>
      <c r="BL3460" s="40"/>
      <c r="BM3460" s="40"/>
      <c r="BN3460" s="40"/>
      <c r="BO3460" s="40"/>
      <c r="BP3460" s="155"/>
      <c r="BQ3460" s="314"/>
      <c r="BR3460" s="314"/>
      <c r="BS3460" s="314"/>
      <c r="BT3460" s="314"/>
      <c r="BU3460" s="314"/>
      <c r="BV3460" s="314"/>
      <c r="BW3460" s="314"/>
      <c r="BX3460" s="155"/>
    </row>
    <row r="3461" spans="1:76" ht="15.75" customHeight="1">
      <c r="A3461" s="25"/>
      <c r="B3461" s="39"/>
      <c r="C3461" s="155"/>
      <c r="D3461" s="155"/>
      <c r="E3461" s="40"/>
      <c r="F3461" s="314"/>
      <c r="H3461" s="315"/>
      <c r="I3461" s="315"/>
      <c r="BA3461" s="30"/>
      <c r="BB3461" s="155"/>
      <c r="BC3461" s="314"/>
      <c r="BD3461" s="314"/>
      <c r="BE3461" s="314"/>
      <c r="BF3461" s="314"/>
      <c r="BG3461" s="314"/>
      <c r="BH3461" s="314"/>
      <c r="BI3461" s="314"/>
      <c r="BJ3461" s="314"/>
      <c r="BK3461" s="40"/>
      <c r="BL3461" s="40"/>
      <c r="BM3461" s="40"/>
      <c r="BN3461" s="40"/>
      <c r="BO3461" s="40"/>
      <c r="BP3461" s="155"/>
      <c r="BQ3461" s="314"/>
      <c r="BR3461" s="314"/>
      <c r="BS3461" s="314"/>
      <c r="BT3461" s="314"/>
      <c r="BU3461" s="314"/>
      <c r="BV3461" s="314"/>
      <c r="BW3461" s="314"/>
      <c r="BX3461" s="155"/>
    </row>
    <row r="3462" spans="1:76" ht="15.75" customHeight="1">
      <c r="A3462" s="25"/>
      <c r="B3462" s="39"/>
      <c r="C3462" s="155"/>
      <c r="D3462" s="155"/>
      <c r="E3462" s="40"/>
      <c r="F3462" s="314"/>
      <c r="H3462" s="315"/>
      <c r="I3462" s="315"/>
      <c r="BA3462" s="30"/>
      <c r="BB3462" s="155"/>
      <c r="BC3462" s="314"/>
      <c r="BD3462" s="314"/>
      <c r="BE3462" s="314"/>
      <c r="BF3462" s="314"/>
      <c r="BG3462" s="314"/>
      <c r="BH3462" s="314"/>
      <c r="BI3462" s="314"/>
      <c r="BJ3462" s="314"/>
      <c r="BK3462" s="40"/>
      <c r="BL3462" s="40"/>
      <c r="BM3462" s="40"/>
      <c r="BN3462" s="40"/>
      <c r="BO3462" s="40"/>
      <c r="BP3462" s="155"/>
      <c r="BQ3462" s="314"/>
      <c r="BR3462" s="314"/>
      <c r="BS3462" s="314"/>
      <c r="BT3462" s="314"/>
      <c r="BU3462" s="314"/>
      <c r="BV3462" s="314"/>
      <c r="BW3462" s="314"/>
      <c r="BX3462" s="155"/>
    </row>
    <row r="3463" spans="1:76" ht="15.75" customHeight="1">
      <c r="A3463" s="25"/>
      <c r="B3463" s="39"/>
      <c r="C3463" s="155"/>
      <c r="D3463" s="155"/>
      <c r="E3463" s="40"/>
      <c r="F3463" s="314"/>
      <c r="H3463" s="315"/>
      <c r="I3463" s="315"/>
      <c r="BA3463" s="30"/>
      <c r="BB3463" s="155"/>
      <c r="BC3463" s="314"/>
      <c r="BD3463" s="314"/>
      <c r="BE3463" s="314"/>
      <c r="BF3463" s="314"/>
      <c r="BG3463" s="314"/>
      <c r="BH3463" s="314"/>
      <c r="BI3463" s="314"/>
      <c r="BJ3463" s="314"/>
      <c r="BK3463" s="40"/>
      <c r="BL3463" s="40"/>
      <c r="BM3463" s="40"/>
      <c r="BN3463" s="40"/>
      <c r="BO3463" s="40"/>
      <c r="BP3463" s="155"/>
      <c r="BQ3463" s="314"/>
      <c r="BR3463" s="314"/>
      <c r="BS3463" s="314"/>
      <c r="BT3463" s="314"/>
      <c r="BU3463" s="314"/>
      <c r="BV3463" s="314"/>
      <c r="BW3463" s="314"/>
      <c r="BX3463" s="155"/>
    </row>
    <row r="3464" spans="1:76" ht="15.75" customHeight="1">
      <c r="A3464" s="25"/>
      <c r="B3464" s="39"/>
      <c r="C3464" s="155"/>
      <c r="D3464" s="155"/>
      <c r="E3464" s="40"/>
      <c r="F3464" s="314"/>
      <c r="H3464" s="315"/>
      <c r="I3464" s="315"/>
      <c r="BA3464" s="30"/>
      <c r="BB3464" s="155"/>
      <c r="BC3464" s="314"/>
      <c r="BD3464" s="314"/>
      <c r="BE3464" s="314"/>
      <c r="BF3464" s="314"/>
      <c r="BG3464" s="314"/>
      <c r="BH3464" s="314"/>
      <c r="BI3464" s="314"/>
      <c r="BJ3464" s="314"/>
      <c r="BK3464" s="40"/>
      <c r="BL3464" s="40"/>
      <c r="BM3464" s="40"/>
      <c r="BN3464" s="40"/>
      <c r="BO3464" s="40"/>
      <c r="BP3464" s="155"/>
      <c r="BQ3464" s="314"/>
      <c r="BR3464" s="314"/>
      <c r="BS3464" s="314"/>
      <c r="BT3464" s="314"/>
      <c r="BU3464" s="314"/>
      <c r="BV3464" s="314"/>
      <c r="BW3464" s="314"/>
      <c r="BX3464" s="155"/>
    </row>
    <row r="3465" spans="1:76" ht="15.75" customHeight="1">
      <c r="A3465" s="25"/>
      <c r="B3465" s="39"/>
      <c r="C3465" s="155"/>
      <c r="D3465" s="155"/>
      <c r="E3465" s="40"/>
      <c r="F3465" s="314"/>
      <c r="H3465" s="315"/>
      <c r="I3465" s="315"/>
      <c r="BA3465" s="30"/>
      <c r="BB3465" s="155"/>
      <c r="BC3465" s="314"/>
      <c r="BD3465" s="314"/>
      <c r="BE3465" s="314"/>
      <c r="BF3465" s="314"/>
      <c r="BG3465" s="314"/>
      <c r="BH3465" s="314"/>
      <c r="BI3465" s="314"/>
      <c r="BJ3465" s="314"/>
      <c r="BK3465" s="40"/>
      <c r="BL3465" s="40"/>
      <c r="BM3465" s="40"/>
      <c r="BN3465" s="40"/>
      <c r="BO3465" s="40"/>
      <c r="BP3465" s="155"/>
      <c r="BQ3465" s="314"/>
      <c r="BR3465" s="314"/>
      <c r="BS3465" s="314"/>
      <c r="BT3465" s="314"/>
      <c r="BU3465" s="314"/>
      <c r="BV3465" s="314"/>
      <c r="BW3465" s="314"/>
      <c r="BX3465" s="155"/>
    </row>
    <row r="3466" spans="1:76" ht="15.75" customHeight="1">
      <c r="A3466" s="25"/>
      <c r="B3466" s="39"/>
      <c r="C3466" s="155"/>
      <c r="D3466" s="155"/>
      <c r="E3466" s="40"/>
      <c r="F3466" s="314"/>
      <c r="H3466" s="315"/>
      <c r="I3466" s="315"/>
      <c r="BA3466" s="30"/>
      <c r="BB3466" s="155"/>
      <c r="BC3466" s="314"/>
      <c r="BD3466" s="314"/>
      <c r="BE3466" s="314"/>
      <c r="BF3466" s="314"/>
      <c r="BG3466" s="314"/>
      <c r="BH3466" s="314"/>
      <c r="BI3466" s="314"/>
      <c r="BJ3466" s="314"/>
      <c r="BK3466" s="40"/>
      <c r="BL3466" s="40"/>
      <c r="BM3466" s="40"/>
      <c r="BN3466" s="40"/>
      <c r="BO3466" s="40"/>
      <c r="BP3466" s="155"/>
      <c r="BQ3466" s="314"/>
      <c r="BR3466" s="314"/>
      <c r="BS3466" s="314"/>
      <c r="BT3466" s="314"/>
      <c r="BU3466" s="314"/>
      <c r="BV3466" s="314"/>
      <c r="BW3466" s="314"/>
      <c r="BX3466" s="155"/>
    </row>
    <row r="3467" spans="1:76" ht="15.75" customHeight="1">
      <c r="A3467" s="25"/>
      <c r="B3467" s="39"/>
      <c r="C3467" s="155"/>
      <c r="D3467" s="155"/>
      <c r="E3467" s="40"/>
      <c r="F3467" s="314"/>
      <c r="H3467" s="315"/>
      <c r="I3467" s="315"/>
      <c r="BA3467" s="30"/>
      <c r="BB3467" s="155"/>
      <c r="BC3467" s="314"/>
      <c r="BD3467" s="314"/>
      <c r="BE3467" s="314"/>
      <c r="BF3467" s="314"/>
      <c r="BG3467" s="314"/>
      <c r="BH3467" s="314"/>
      <c r="BI3467" s="314"/>
      <c r="BJ3467" s="314"/>
      <c r="BK3467" s="40"/>
      <c r="BL3467" s="40"/>
      <c r="BM3467" s="40"/>
      <c r="BN3467" s="40"/>
      <c r="BO3467" s="40"/>
      <c r="BP3467" s="155"/>
      <c r="BQ3467" s="314"/>
      <c r="BR3467" s="314"/>
      <c r="BS3467" s="314"/>
      <c r="BT3467" s="314"/>
      <c r="BU3467" s="314"/>
      <c r="BV3467" s="314"/>
      <c r="BW3467" s="314"/>
      <c r="BX3467" s="155"/>
    </row>
    <row r="3468" spans="1:76" ht="15.75" customHeight="1">
      <c r="A3468" s="25"/>
      <c r="B3468" s="39"/>
      <c r="C3468" s="155"/>
      <c r="D3468" s="155"/>
      <c r="E3468" s="40"/>
      <c r="F3468" s="314"/>
      <c r="H3468" s="315"/>
      <c r="I3468" s="315"/>
      <c r="BA3468" s="30"/>
      <c r="BB3468" s="155"/>
      <c r="BC3468" s="322"/>
      <c r="BD3468" s="322"/>
      <c r="BE3468" s="322"/>
      <c r="BF3468" s="322"/>
      <c r="BG3468" s="322"/>
      <c r="BH3468" s="322"/>
      <c r="BI3468" s="322"/>
      <c r="BJ3468" s="322"/>
      <c r="BK3468" s="341"/>
      <c r="BL3468" s="40"/>
      <c r="BM3468" s="40"/>
      <c r="BN3468" s="40"/>
      <c r="BO3468" s="40"/>
      <c r="BP3468" s="155"/>
      <c r="BQ3468" s="314"/>
      <c r="BR3468" s="314"/>
      <c r="BS3468" s="314"/>
      <c r="BT3468" s="314"/>
      <c r="BU3468" s="314"/>
      <c r="BV3468" s="314"/>
      <c r="BW3468" s="314"/>
      <c r="BX3468" s="155"/>
    </row>
    <row r="3469" spans="1:76" ht="15.75" customHeight="1">
      <c r="A3469" s="25"/>
      <c r="B3469" s="39"/>
      <c r="C3469" s="155"/>
      <c r="D3469" s="155"/>
      <c r="E3469" s="40"/>
      <c r="F3469" s="314"/>
      <c r="H3469" s="315"/>
      <c r="I3469" s="315"/>
      <c r="BA3469" s="30"/>
      <c r="BB3469" s="155"/>
      <c r="BC3469" s="314"/>
      <c r="BD3469" s="314"/>
      <c r="BE3469" s="314"/>
      <c r="BF3469" s="314"/>
      <c r="BG3469" s="314"/>
      <c r="BH3469" s="314"/>
      <c r="BI3469" s="314"/>
      <c r="BJ3469" s="314"/>
      <c r="BK3469" s="40"/>
      <c r="BL3469" s="40"/>
      <c r="BM3469" s="40"/>
      <c r="BN3469" s="40"/>
      <c r="BO3469" s="40"/>
      <c r="BP3469" s="155"/>
      <c r="BQ3469" s="314"/>
      <c r="BR3469" s="314"/>
      <c r="BS3469" s="314"/>
      <c r="BT3469" s="314"/>
      <c r="BU3469" s="314"/>
      <c r="BV3469" s="314"/>
      <c r="BW3469" s="314"/>
      <c r="BX3469" s="155"/>
    </row>
    <row r="3470" spans="1:76" ht="15.75" customHeight="1">
      <c r="A3470" s="25"/>
      <c r="B3470" s="39"/>
      <c r="C3470" s="155"/>
      <c r="D3470" s="155"/>
      <c r="E3470" s="40"/>
      <c r="F3470" s="314"/>
      <c r="H3470" s="315"/>
      <c r="I3470" s="315"/>
      <c r="BA3470" s="30"/>
      <c r="BB3470" s="155"/>
      <c r="BC3470" s="314"/>
      <c r="BD3470" s="314"/>
      <c r="BE3470" s="314"/>
      <c r="BF3470" s="314"/>
      <c r="BG3470" s="314"/>
      <c r="BH3470" s="314"/>
      <c r="BI3470" s="314"/>
      <c r="BJ3470" s="314"/>
      <c r="BK3470" s="40"/>
      <c r="BL3470" s="40"/>
      <c r="BM3470" s="40"/>
      <c r="BN3470" s="40"/>
      <c r="BO3470" s="40"/>
      <c r="BP3470" s="155"/>
      <c r="BQ3470" s="314"/>
      <c r="BR3470" s="314"/>
      <c r="BS3470" s="314"/>
      <c r="BT3470" s="314"/>
      <c r="BU3470" s="314"/>
      <c r="BV3470" s="314"/>
      <c r="BW3470" s="314"/>
      <c r="BX3470" s="155"/>
    </row>
    <row r="3471" spans="1:76" ht="15.75" customHeight="1">
      <c r="A3471" s="25"/>
      <c r="B3471" s="39"/>
      <c r="C3471" s="155"/>
      <c r="D3471" s="155"/>
      <c r="E3471" s="40"/>
      <c r="F3471" s="314"/>
      <c r="H3471" s="315"/>
      <c r="I3471" s="315"/>
      <c r="BA3471" s="30"/>
      <c r="BB3471" s="155"/>
      <c r="BC3471" s="314"/>
      <c r="BD3471" s="314"/>
      <c r="BE3471" s="314"/>
      <c r="BF3471" s="314"/>
      <c r="BG3471" s="314"/>
      <c r="BH3471" s="314"/>
      <c r="BI3471" s="314"/>
      <c r="BJ3471" s="314"/>
      <c r="BK3471" s="40"/>
      <c r="BL3471" s="40"/>
      <c r="BM3471" s="40"/>
      <c r="BN3471" s="40"/>
      <c r="BO3471" s="40"/>
      <c r="BP3471" s="155"/>
      <c r="BQ3471" s="314"/>
      <c r="BR3471" s="314"/>
      <c r="BS3471" s="314"/>
      <c r="BT3471" s="314"/>
      <c r="BU3471" s="314"/>
      <c r="BV3471" s="314"/>
      <c r="BW3471" s="314"/>
      <c r="BX3471" s="155"/>
    </row>
    <row r="3472" spans="1:76" ht="15.75" customHeight="1">
      <c r="A3472" s="25"/>
      <c r="B3472" s="39"/>
      <c r="C3472" s="155"/>
      <c r="D3472" s="155"/>
      <c r="E3472" s="40"/>
      <c r="F3472" s="314"/>
      <c r="H3472" s="315"/>
      <c r="I3472" s="315"/>
      <c r="BA3472" s="30"/>
      <c r="BB3472" s="155"/>
      <c r="BC3472" s="314"/>
      <c r="BD3472" s="314"/>
      <c r="BE3472" s="314"/>
      <c r="BF3472" s="314"/>
      <c r="BG3472" s="314"/>
      <c r="BH3472" s="314"/>
      <c r="BI3472" s="314"/>
      <c r="BJ3472" s="314"/>
      <c r="BK3472" s="40"/>
      <c r="BL3472" s="40"/>
      <c r="BM3472" s="40"/>
      <c r="BN3472" s="40"/>
      <c r="BO3472" s="40"/>
      <c r="BP3472" s="155"/>
      <c r="BQ3472" s="314"/>
      <c r="BR3472" s="314"/>
      <c r="BS3472" s="314"/>
      <c r="BT3472" s="314"/>
      <c r="BU3472" s="314"/>
      <c r="BV3472" s="314"/>
      <c r="BW3472" s="314"/>
      <c r="BX3472" s="155"/>
    </row>
    <row r="3473" spans="1:76" ht="15.75" customHeight="1">
      <c r="A3473" s="25"/>
      <c r="B3473" s="39"/>
      <c r="C3473" s="155"/>
      <c r="D3473" s="155"/>
      <c r="E3473" s="40"/>
      <c r="F3473" s="314"/>
      <c r="H3473" s="315"/>
      <c r="I3473" s="315"/>
      <c r="BA3473" s="30"/>
      <c r="BB3473" s="155"/>
      <c r="BC3473" s="314"/>
      <c r="BD3473" s="314"/>
      <c r="BE3473" s="314"/>
      <c r="BF3473" s="314"/>
      <c r="BG3473" s="314"/>
      <c r="BH3473" s="314"/>
      <c r="BI3473" s="314"/>
      <c r="BJ3473" s="314"/>
      <c r="BK3473" s="40"/>
      <c r="BL3473" s="40"/>
      <c r="BM3473" s="40"/>
      <c r="BN3473" s="40"/>
      <c r="BO3473" s="40"/>
      <c r="BP3473" s="155"/>
      <c r="BQ3473" s="314"/>
      <c r="BR3473" s="314"/>
      <c r="BS3473" s="314"/>
      <c r="BT3473" s="314"/>
      <c r="BU3473" s="314"/>
      <c r="BV3473" s="314"/>
      <c r="BW3473" s="314"/>
      <c r="BX3473" s="155"/>
    </row>
    <row r="3474" spans="1:76" ht="15.75" customHeight="1">
      <c r="A3474" s="25"/>
      <c r="B3474" s="39"/>
      <c r="C3474" s="155"/>
      <c r="D3474" s="155"/>
      <c r="E3474" s="40"/>
      <c r="F3474" s="314"/>
      <c r="H3474" s="315"/>
      <c r="I3474" s="315"/>
      <c r="BA3474" s="30"/>
      <c r="BB3474" s="155"/>
      <c r="BC3474" s="314"/>
      <c r="BD3474" s="314"/>
      <c r="BE3474" s="314"/>
      <c r="BF3474" s="314"/>
      <c r="BG3474" s="314"/>
      <c r="BH3474" s="314"/>
      <c r="BI3474" s="314"/>
      <c r="BJ3474" s="314"/>
      <c r="BK3474" s="40"/>
      <c r="BL3474" s="40"/>
      <c r="BM3474" s="40"/>
      <c r="BN3474" s="40"/>
      <c r="BO3474" s="40"/>
      <c r="BP3474" s="155"/>
      <c r="BQ3474" s="314"/>
      <c r="BR3474" s="314"/>
      <c r="BS3474" s="314"/>
      <c r="BT3474" s="314"/>
      <c r="BU3474" s="314"/>
      <c r="BV3474" s="314"/>
      <c r="BW3474" s="314"/>
      <c r="BX3474" s="155"/>
    </row>
    <row r="3475" spans="1:76" ht="15.75" customHeight="1">
      <c r="A3475" s="25"/>
      <c r="B3475" s="39"/>
      <c r="C3475" s="155"/>
      <c r="D3475" s="155"/>
      <c r="E3475" s="40"/>
      <c r="F3475" s="314"/>
      <c r="H3475" s="315"/>
      <c r="I3475" s="315"/>
      <c r="BA3475" s="30"/>
      <c r="BB3475" s="155"/>
      <c r="BC3475" s="314"/>
      <c r="BD3475" s="314"/>
      <c r="BE3475" s="314"/>
      <c r="BF3475" s="314"/>
      <c r="BG3475" s="314"/>
      <c r="BH3475" s="314"/>
      <c r="BI3475" s="314"/>
      <c r="BJ3475" s="314"/>
      <c r="BK3475" s="40"/>
      <c r="BL3475" s="40"/>
      <c r="BM3475" s="40"/>
      <c r="BN3475" s="40"/>
      <c r="BO3475" s="40"/>
      <c r="BP3475" s="155"/>
      <c r="BQ3475" s="314"/>
      <c r="BR3475" s="314"/>
      <c r="BS3475" s="314"/>
      <c r="BT3475" s="314"/>
      <c r="BU3475" s="314"/>
      <c r="BV3475" s="314"/>
      <c r="BW3475" s="314"/>
      <c r="BX3475" s="155"/>
    </row>
    <row r="3476" spans="1:76" ht="15.75" customHeight="1">
      <c r="A3476" s="25"/>
      <c r="B3476" s="39"/>
      <c r="C3476" s="155"/>
      <c r="D3476" s="155"/>
      <c r="E3476" s="40"/>
      <c r="F3476" s="314"/>
      <c r="H3476" s="315"/>
      <c r="I3476" s="315"/>
      <c r="BA3476" s="30"/>
      <c r="BB3476" s="155"/>
      <c r="BC3476" s="314"/>
      <c r="BD3476" s="314"/>
      <c r="BE3476" s="314"/>
      <c r="BF3476" s="314"/>
      <c r="BG3476" s="314"/>
      <c r="BH3476" s="314"/>
      <c r="BI3476" s="314"/>
      <c r="BJ3476" s="314"/>
      <c r="BK3476" s="40"/>
      <c r="BL3476" s="40"/>
      <c r="BM3476" s="40"/>
      <c r="BN3476" s="40"/>
      <c r="BO3476" s="40"/>
      <c r="BP3476" s="155"/>
      <c r="BQ3476" s="314"/>
      <c r="BR3476" s="314"/>
      <c r="BS3476" s="314"/>
      <c r="BT3476" s="314"/>
      <c r="BU3476" s="314"/>
      <c r="BV3476" s="314"/>
      <c r="BW3476" s="314"/>
      <c r="BX3476" s="155"/>
    </row>
    <row r="3477" spans="1:76" ht="15.75" customHeight="1">
      <c r="A3477" s="25"/>
      <c r="B3477" s="39"/>
      <c r="C3477" s="155"/>
      <c r="D3477" s="155"/>
      <c r="E3477" s="40"/>
      <c r="F3477" s="314"/>
      <c r="H3477" s="315"/>
      <c r="I3477" s="315"/>
      <c r="BA3477" s="30"/>
      <c r="BB3477" s="155"/>
      <c r="BC3477" s="314"/>
      <c r="BD3477" s="314"/>
      <c r="BE3477" s="314"/>
      <c r="BF3477" s="314"/>
      <c r="BG3477" s="314"/>
      <c r="BH3477" s="314"/>
      <c r="BI3477" s="314"/>
      <c r="BJ3477" s="314"/>
      <c r="BK3477" s="40"/>
      <c r="BL3477" s="40"/>
      <c r="BM3477" s="40"/>
      <c r="BN3477" s="40"/>
      <c r="BO3477" s="40"/>
      <c r="BP3477" s="155"/>
      <c r="BQ3477" s="314"/>
      <c r="BR3477" s="314"/>
      <c r="BS3477" s="314"/>
      <c r="BT3477" s="314"/>
      <c r="BU3477" s="314"/>
      <c r="BV3477" s="314"/>
      <c r="BW3477" s="314"/>
      <c r="BX3477" s="155"/>
    </row>
    <row r="3478" spans="1:76" ht="15.75" customHeight="1">
      <c r="A3478" s="25"/>
      <c r="B3478" s="39"/>
      <c r="C3478" s="155"/>
      <c r="D3478" s="155"/>
      <c r="E3478" s="40"/>
      <c r="F3478" s="314"/>
      <c r="H3478" s="315"/>
      <c r="I3478" s="315"/>
      <c r="BA3478" s="30"/>
      <c r="BB3478" s="155"/>
      <c r="BC3478" s="314"/>
      <c r="BD3478" s="314"/>
      <c r="BE3478" s="314"/>
      <c r="BF3478" s="314"/>
      <c r="BG3478" s="314"/>
      <c r="BH3478" s="314"/>
      <c r="BI3478" s="314"/>
      <c r="BJ3478" s="314"/>
      <c r="BK3478" s="40"/>
      <c r="BL3478" s="40"/>
      <c r="BM3478" s="40"/>
      <c r="BN3478" s="40"/>
      <c r="BO3478" s="40"/>
      <c r="BP3478" s="155"/>
      <c r="BQ3478" s="314"/>
      <c r="BR3478" s="314"/>
      <c r="BS3478" s="314"/>
      <c r="BT3478" s="314"/>
      <c r="BU3478" s="314"/>
      <c r="BV3478" s="314"/>
      <c r="BW3478" s="314"/>
      <c r="BX3478" s="155"/>
    </row>
    <row r="3479" spans="1:76" ht="15.75" customHeight="1">
      <c r="A3479" s="25"/>
      <c r="B3479" s="39"/>
      <c r="C3479" s="155"/>
      <c r="D3479" s="155"/>
      <c r="E3479" s="40"/>
      <c r="F3479" s="314"/>
      <c r="H3479" s="315"/>
      <c r="I3479" s="315"/>
      <c r="BA3479" s="30"/>
      <c r="BB3479" s="155"/>
      <c r="BC3479" s="314"/>
      <c r="BD3479" s="314"/>
      <c r="BE3479" s="314"/>
      <c r="BF3479" s="314"/>
      <c r="BG3479" s="314"/>
      <c r="BH3479" s="314"/>
      <c r="BI3479" s="314"/>
      <c r="BJ3479" s="314"/>
      <c r="BK3479" s="40"/>
      <c r="BL3479" s="40"/>
      <c r="BM3479" s="40"/>
      <c r="BN3479" s="40"/>
      <c r="BO3479" s="40"/>
      <c r="BP3479" s="155"/>
      <c r="BQ3479" s="314"/>
      <c r="BR3479" s="314"/>
      <c r="BS3479" s="314"/>
      <c r="BT3479" s="314"/>
      <c r="BU3479" s="314"/>
      <c r="BV3479" s="314"/>
      <c r="BW3479" s="314"/>
      <c r="BX3479" s="155"/>
    </row>
    <row r="3480" spans="1:76" ht="15.75" customHeight="1">
      <c r="A3480" s="25"/>
      <c r="B3480" s="39"/>
      <c r="C3480" s="155"/>
      <c r="D3480" s="155"/>
      <c r="E3480" s="40"/>
      <c r="F3480" s="314"/>
      <c r="H3480" s="315"/>
      <c r="I3480" s="315"/>
      <c r="BA3480" s="30"/>
      <c r="BB3480" s="155"/>
      <c r="BC3480" s="314"/>
      <c r="BD3480" s="314"/>
      <c r="BE3480" s="314"/>
      <c r="BF3480" s="314"/>
      <c r="BG3480" s="314"/>
      <c r="BH3480" s="314"/>
      <c r="BI3480" s="314"/>
      <c r="BJ3480" s="314"/>
      <c r="BK3480" s="40"/>
      <c r="BL3480" s="40"/>
      <c r="BM3480" s="40"/>
      <c r="BN3480" s="40"/>
      <c r="BO3480" s="40"/>
      <c r="BP3480" s="155"/>
      <c r="BQ3480" s="314"/>
      <c r="BR3480" s="314"/>
      <c r="BS3480" s="314"/>
      <c r="BT3480" s="314"/>
      <c r="BU3480" s="314"/>
      <c r="BV3480" s="314"/>
      <c r="BW3480" s="314"/>
      <c r="BX3480" s="155"/>
    </row>
    <row r="3481" spans="1:76" ht="15.75" customHeight="1">
      <c r="A3481" s="25"/>
      <c r="B3481" s="39"/>
      <c r="C3481" s="155"/>
      <c r="D3481" s="155"/>
      <c r="E3481" s="40"/>
      <c r="F3481" s="314"/>
      <c r="H3481" s="315"/>
      <c r="I3481" s="315"/>
      <c r="BA3481" s="30"/>
      <c r="BB3481" s="155"/>
      <c r="BC3481" s="314"/>
      <c r="BD3481" s="314"/>
      <c r="BE3481" s="314"/>
      <c r="BF3481" s="314"/>
      <c r="BG3481" s="314"/>
      <c r="BH3481" s="314"/>
      <c r="BI3481" s="314"/>
      <c r="BJ3481" s="314"/>
      <c r="BK3481" s="40"/>
      <c r="BL3481" s="40"/>
      <c r="BM3481" s="40"/>
      <c r="BN3481" s="40"/>
      <c r="BO3481" s="40"/>
      <c r="BP3481" s="155"/>
      <c r="BQ3481" s="314"/>
      <c r="BR3481" s="314"/>
      <c r="BS3481" s="314"/>
      <c r="BT3481" s="314"/>
      <c r="BU3481" s="314"/>
      <c r="BV3481" s="314"/>
      <c r="BW3481" s="314"/>
      <c r="BX3481" s="155"/>
    </row>
    <row r="3482" spans="1:76" ht="15.75" customHeight="1">
      <c r="A3482" s="25"/>
      <c r="B3482" s="39"/>
      <c r="C3482" s="155"/>
      <c r="D3482" s="155"/>
      <c r="E3482" s="40"/>
      <c r="F3482" s="314"/>
      <c r="H3482" s="315"/>
      <c r="I3482" s="315"/>
      <c r="BA3482" s="30"/>
      <c r="BB3482" s="155"/>
      <c r="BC3482" s="314"/>
      <c r="BD3482" s="314"/>
      <c r="BE3482" s="314"/>
      <c r="BF3482" s="314"/>
      <c r="BG3482" s="314"/>
      <c r="BH3482" s="314"/>
      <c r="BI3482" s="314"/>
      <c r="BJ3482" s="314"/>
      <c r="BK3482" s="40"/>
      <c r="BL3482" s="40"/>
      <c r="BM3482" s="40"/>
      <c r="BN3482" s="40"/>
      <c r="BO3482" s="40"/>
      <c r="BP3482" s="155"/>
      <c r="BQ3482" s="314"/>
      <c r="BR3482" s="314"/>
      <c r="BS3482" s="314"/>
      <c r="BT3482" s="314"/>
      <c r="BU3482" s="314"/>
      <c r="BV3482" s="314"/>
      <c r="BW3482" s="314"/>
      <c r="BX3482" s="155"/>
    </row>
    <row r="3483" spans="1:76" ht="15.75" customHeight="1">
      <c r="A3483" s="25"/>
      <c r="B3483" s="39"/>
      <c r="C3483" s="155"/>
      <c r="D3483" s="155"/>
      <c r="E3483" s="40"/>
      <c r="F3483" s="314"/>
      <c r="H3483" s="315"/>
      <c r="I3483" s="315"/>
      <c r="BA3483" s="30"/>
      <c r="BB3483" s="155"/>
      <c r="BC3483" s="314"/>
      <c r="BD3483" s="314"/>
      <c r="BE3483" s="314"/>
      <c r="BF3483" s="314"/>
      <c r="BG3483" s="314"/>
      <c r="BH3483" s="314"/>
      <c r="BI3483" s="314"/>
      <c r="BJ3483" s="314"/>
      <c r="BK3483" s="40"/>
      <c r="BL3483" s="40"/>
      <c r="BM3483" s="40"/>
      <c r="BN3483" s="40"/>
      <c r="BO3483" s="40"/>
      <c r="BP3483" s="155"/>
      <c r="BQ3483" s="314"/>
      <c r="BR3483" s="314"/>
      <c r="BS3483" s="314"/>
      <c r="BT3483" s="314"/>
      <c r="BU3483" s="314"/>
      <c r="BV3483" s="314"/>
      <c r="BW3483" s="314"/>
      <c r="BX3483" s="155"/>
    </row>
    <row r="3484" spans="1:76" ht="15.75" customHeight="1">
      <c r="A3484" s="25"/>
      <c r="B3484" s="39"/>
      <c r="C3484" s="155"/>
      <c r="D3484" s="155"/>
      <c r="E3484" s="40"/>
      <c r="F3484" s="314"/>
      <c r="H3484" s="315"/>
      <c r="I3484" s="315"/>
      <c r="BA3484" s="30"/>
      <c r="BB3484" s="155"/>
      <c r="BC3484" s="314"/>
      <c r="BD3484" s="314"/>
      <c r="BE3484" s="314"/>
      <c r="BF3484" s="314"/>
      <c r="BG3484" s="314"/>
      <c r="BH3484" s="314"/>
      <c r="BI3484" s="314"/>
      <c r="BJ3484" s="314"/>
      <c r="BK3484" s="40"/>
      <c r="BL3484" s="40"/>
      <c r="BM3484" s="40"/>
      <c r="BN3484" s="40"/>
      <c r="BO3484" s="40"/>
      <c r="BP3484" s="155"/>
      <c r="BQ3484" s="314"/>
      <c r="BR3484" s="314"/>
      <c r="BS3484" s="314"/>
      <c r="BT3484" s="314"/>
      <c r="BU3484" s="314"/>
      <c r="BV3484" s="314"/>
      <c r="BW3484" s="314"/>
      <c r="BX3484" s="155"/>
    </row>
    <row r="3485" spans="1:76" ht="15.75" customHeight="1">
      <c r="A3485" s="25"/>
      <c r="B3485" s="39"/>
      <c r="C3485" s="155"/>
      <c r="D3485" s="155"/>
      <c r="E3485" s="40"/>
      <c r="F3485" s="314"/>
      <c r="H3485" s="315"/>
      <c r="I3485" s="315"/>
      <c r="BA3485" s="30"/>
      <c r="BB3485" s="155"/>
      <c r="BC3485" s="314"/>
      <c r="BD3485" s="314"/>
      <c r="BE3485" s="314"/>
      <c r="BF3485" s="314"/>
      <c r="BG3485" s="314"/>
      <c r="BH3485" s="314"/>
      <c r="BI3485" s="314"/>
      <c r="BJ3485" s="314"/>
      <c r="BK3485" s="40"/>
      <c r="BL3485" s="40"/>
      <c r="BM3485" s="40"/>
      <c r="BN3485" s="40"/>
      <c r="BO3485" s="40"/>
      <c r="BP3485" s="155"/>
      <c r="BQ3485" s="314"/>
      <c r="BR3485" s="314"/>
      <c r="BS3485" s="314"/>
      <c r="BT3485" s="314"/>
      <c r="BU3485" s="314"/>
      <c r="BV3485" s="314"/>
      <c r="BW3485" s="314"/>
      <c r="BX3485" s="155"/>
    </row>
    <row r="3486" spans="1:76" ht="15.75" customHeight="1">
      <c r="A3486" s="25"/>
      <c r="B3486" s="39"/>
      <c r="C3486" s="155"/>
      <c r="D3486" s="155"/>
      <c r="E3486" s="40"/>
      <c r="F3486" s="314"/>
      <c r="H3486" s="315"/>
      <c r="I3486" s="315"/>
      <c r="BA3486" s="30"/>
      <c r="BB3486" s="155"/>
      <c r="BC3486" s="314"/>
      <c r="BD3486" s="314"/>
      <c r="BE3486" s="314"/>
      <c r="BF3486" s="314"/>
      <c r="BG3486" s="314"/>
      <c r="BH3486" s="314"/>
      <c r="BI3486" s="314"/>
      <c r="BJ3486" s="314"/>
      <c r="BK3486" s="40"/>
      <c r="BL3486" s="40"/>
      <c r="BM3486" s="40"/>
      <c r="BN3486" s="40"/>
      <c r="BO3486" s="40"/>
      <c r="BP3486" s="155"/>
      <c r="BQ3486" s="314"/>
      <c r="BR3486" s="314"/>
      <c r="BS3486" s="314"/>
      <c r="BT3486" s="314"/>
      <c r="BU3486" s="314"/>
      <c r="BV3486" s="314"/>
      <c r="BW3486" s="314"/>
      <c r="BX3486" s="155"/>
    </row>
    <row r="3487" spans="1:76" ht="15.75" customHeight="1">
      <c r="A3487" s="25"/>
      <c r="B3487" s="39"/>
      <c r="C3487" s="155"/>
      <c r="D3487" s="155"/>
      <c r="E3487" s="40"/>
      <c r="F3487" s="314"/>
      <c r="H3487" s="315"/>
      <c r="I3487" s="315"/>
      <c r="BA3487" s="30"/>
      <c r="BB3487" s="155"/>
      <c r="BC3487" s="314"/>
      <c r="BD3487" s="314"/>
      <c r="BE3487" s="314"/>
      <c r="BF3487" s="314"/>
      <c r="BG3487" s="314"/>
      <c r="BH3487" s="314"/>
      <c r="BI3487" s="314"/>
      <c r="BJ3487" s="314"/>
      <c r="BK3487" s="40"/>
      <c r="BL3487" s="40"/>
      <c r="BM3487" s="40"/>
      <c r="BN3487" s="40"/>
      <c r="BO3487" s="40"/>
      <c r="BP3487" s="155"/>
      <c r="BQ3487" s="314"/>
      <c r="BR3487" s="314"/>
      <c r="BS3487" s="314"/>
      <c r="BT3487" s="314"/>
      <c r="BU3487" s="314"/>
      <c r="BV3487" s="314"/>
      <c r="BW3487" s="314"/>
      <c r="BX3487" s="155"/>
    </row>
    <row r="3488" spans="1:76" ht="15.75" customHeight="1">
      <c r="A3488" s="25"/>
      <c r="B3488" s="39"/>
      <c r="C3488" s="155"/>
      <c r="D3488" s="155"/>
      <c r="E3488" s="40"/>
      <c r="F3488" s="314"/>
      <c r="H3488" s="315"/>
      <c r="I3488" s="315"/>
      <c r="BA3488" s="30"/>
      <c r="BB3488" s="155"/>
      <c r="BC3488" s="314"/>
      <c r="BD3488" s="314"/>
      <c r="BE3488" s="314"/>
      <c r="BF3488" s="314"/>
      <c r="BG3488" s="314"/>
      <c r="BH3488" s="314"/>
      <c r="BI3488" s="314"/>
      <c r="BJ3488" s="314"/>
      <c r="BK3488" s="40"/>
      <c r="BL3488" s="40"/>
      <c r="BM3488" s="40"/>
      <c r="BN3488" s="40"/>
      <c r="BO3488" s="40"/>
      <c r="BP3488" s="155"/>
      <c r="BQ3488" s="314"/>
      <c r="BR3488" s="314"/>
      <c r="BS3488" s="314"/>
      <c r="BT3488" s="314"/>
      <c r="BU3488" s="314"/>
      <c r="BV3488" s="314"/>
      <c r="BW3488" s="314"/>
      <c r="BX3488" s="155"/>
    </row>
    <row r="3489" spans="1:76" ht="15.75" customHeight="1">
      <c r="A3489" s="25"/>
      <c r="B3489" s="39"/>
      <c r="C3489" s="155"/>
      <c r="D3489" s="155"/>
      <c r="E3489" s="40"/>
      <c r="F3489" s="314"/>
      <c r="H3489" s="315"/>
      <c r="I3489" s="315"/>
      <c r="BA3489" s="30"/>
      <c r="BB3489" s="155"/>
      <c r="BC3489" s="314"/>
      <c r="BD3489" s="314"/>
      <c r="BE3489" s="314"/>
      <c r="BF3489" s="314"/>
      <c r="BG3489" s="314"/>
      <c r="BH3489" s="314"/>
      <c r="BI3489" s="314"/>
      <c r="BJ3489" s="314"/>
      <c r="BK3489" s="40"/>
      <c r="BL3489" s="40"/>
      <c r="BM3489" s="40"/>
      <c r="BN3489" s="40"/>
      <c r="BO3489" s="40"/>
      <c r="BP3489" s="155"/>
      <c r="BQ3489" s="314"/>
      <c r="BR3489" s="314"/>
      <c r="BS3489" s="314"/>
      <c r="BT3489" s="314"/>
      <c r="BU3489" s="314"/>
      <c r="BV3489" s="314"/>
      <c r="BW3489" s="314"/>
      <c r="BX3489" s="155"/>
    </row>
    <row r="3490" spans="1:76" ht="15.75" customHeight="1">
      <c r="A3490" s="25"/>
      <c r="B3490" s="39"/>
      <c r="C3490" s="155"/>
      <c r="D3490" s="155"/>
      <c r="E3490" s="40"/>
      <c r="F3490" s="314"/>
      <c r="H3490" s="315"/>
      <c r="I3490" s="315"/>
      <c r="BA3490" s="30"/>
      <c r="BB3490" s="155"/>
      <c r="BC3490" s="314"/>
      <c r="BD3490" s="314"/>
      <c r="BE3490" s="314"/>
      <c r="BF3490" s="314"/>
      <c r="BG3490" s="314"/>
      <c r="BH3490" s="314"/>
      <c r="BI3490" s="314"/>
      <c r="BJ3490" s="314"/>
      <c r="BK3490" s="40"/>
      <c r="BL3490" s="40"/>
      <c r="BM3490" s="40"/>
      <c r="BN3490" s="40"/>
      <c r="BO3490" s="40"/>
      <c r="BP3490" s="155"/>
      <c r="BQ3490" s="314"/>
      <c r="BR3490" s="314"/>
      <c r="BS3490" s="314"/>
      <c r="BT3490" s="314"/>
      <c r="BU3490" s="314"/>
      <c r="BV3490" s="314"/>
      <c r="BW3490" s="314"/>
      <c r="BX3490" s="155"/>
    </row>
    <row r="3491" spans="1:76" ht="15.75" customHeight="1">
      <c r="A3491" s="25"/>
      <c r="B3491" s="39"/>
      <c r="C3491" s="155"/>
      <c r="D3491" s="155"/>
      <c r="E3491" s="40"/>
      <c r="F3491" s="314"/>
      <c r="H3491" s="315"/>
      <c r="I3491" s="315"/>
      <c r="BA3491" s="30"/>
      <c r="BB3491" s="155"/>
      <c r="BC3491" s="314"/>
      <c r="BD3491" s="314"/>
      <c r="BE3491" s="314"/>
      <c r="BF3491" s="314"/>
      <c r="BG3491" s="314"/>
      <c r="BH3491" s="314"/>
      <c r="BI3491" s="314"/>
      <c r="BJ3491" s="314"/>
      <c r="BK3491" s="40"/>
      <c r="BL3491" s="40"/>
      <c r="BM3491" s="40"/>
      <c r="BN3491" s="40"/>
      <c r="BO3491" s="40"/>
      <c r="BP3491" s="155"/>
      <c r="BQ3491" s="314"/>
      <c r="BR3491" s="314"/>
      <c r="BS3491" s="314"/>
      <c r="BT3491" s="314"/>
      <c r="BU3491" s="314"/>
      <c r="BV3491" s="314"/>
      <c r="BW3491" s="314"/>
      <c r="BX3491" s="155"/>
    </row>
    <row r="3492" spans="1:76" ht="15.75" customHeight="1">
      <c r="A3492" s="25"/>
      <c r="B3492" s="39"/>
      <c r="C3492" s="155"/>
      <c r="D3492" s="155"/>
      <c r="E3492" s="40"/>
      <c r="F3492" s="314"/>
      <c r="H3492" s="315"/>
      <c r="I3492" s="315"/>
      <c r="BA3492" s="30"/>
      <c r="BB3492" s="155"/>
      <c r="BC3492" s="314"/>
      <c r="BD3492" s="314"/>
      <c r="BE3492" s="314"/>
      <c r="BF3492" s="314"/>
      <c r="BG3492" s="314"/>
      <c r="BH3492" s="314"/>
      <c r="BI3492" s="314"/>
      <c r="BJ3492" s="314"/>
      <c r="BK3492" s="40"/>
      <c r="BL3492" s="40"/>
      <c r="BM3492" s="40"/>
      <c r="BN3492" s="40"/>
      <c r="BO3492" s="40"/>
      <c r="BP3492" s="155"/>
      <c r="BQ3492" s="314"/>
      <c r="BR3492" s="314"/>
      <c r="BS3492" s="314"/>
      <c r="BT3492" s="314"/>
      <c r="BU3492" s="314"/>
      <c r="BV3492" s="314"/>
      <c r="BW3492" s="314"/>
      <c r="BX3492" s="155"/>
    </row>
    <row r="3493" spans="1:76" ht="15.75" customHeight="1">
      <c r="A3493" s="25"/>
      <c r="B3493" s="39"/>
      <c r="C3493" s="155"/>
      <c r="D3493" s="155"/>
      <c r="E3493" s="40"/>
      <c r="F3493" s="314"/>
      <c r="H3493" s="315"/>
      <c r="I3493" s="315"/>
      <c r="BA3493" s="30"/>
      <c r="BB3493" s="155"/>
      <c r="BC3493" s="314"/>
      <c r="BD3493" s="314"/>
      <c r="BE3493" s="314"/>
      <c r="BF3493" s="314"/>
      <c r="BG3493" s="314"/>
      <c r="BH3493" s="314"/>
      <c r="BI3493" s="314"/>
      <c r="BJ3493" s="314"/>
      <c r="BK3493" s="40"/>
      <c r="BL3493" s="40"/>
      <c r="BM3493" s="40"/>
      <c r="BN3493" s="40"/>
      <c r="BO3493" s="40"/>
      <c r="BP3493" s="155"/>
      <c r="BQ3493" s="314"/>
      <c r="BR3493" s="314"/>
      <c r="BS3493" s="314"/>
      <c r="BT3493" s="314"/>
      <c r="BU3493" s="314"/>
      <c r="BV3493" s="314"/>
      <c r="BW3493" s="314"/>
      <c r="BX3493" s="155"/>
    </row>
    <row r="3494" spans="1:76" ht="15.75" customHeight="1">
      <c r="A3494" s="25"/>
      <c r="B3494" s="39"/>
      <c r="C3494" s="155"/>
      <c r="D3494" s="155"/>
      <c r="E3494" s="40"/>
      <c r="F3494" s="314"/>
      <c r="H3494" s="315"/>
      <c r="I3494" s="315"/>
      <c r="BA3494" s="30"/>
      <c r="BB3494" s="155"/>
      <c r="BC3494" s="314"/>
      <c r="BD3494" s="314"/>
      <c r="BE3494" s="314"/>
      <c r="BF3494" s="314"/>
      <c r="BG3494" s="314"/>
      <c r="BH3494" s="314"/>
      <c r="BI3494" s="314"/>
      <c r="BJ3494" s="314"/>
      <c r="BK3494" s="40"/>
      <c r="BL3494" s="40"/>
      <c r="BM3494" s="40"/>
      <c r="BN3494" s="40"/>
      <c r="BO3494" s="40"/>
      <c r="BP3494" s="155"/>
      <c r="BQ3494" s="314"/>
      <c r="BR3494" s="314"/>
      <c r="BS3494" s="314"/>
      <c r="BT3494" s="314"/>
      <c r="BU3494" s="314"/>
      <c r="BV3494" s="314"/>
      <c r="BW3494" s="314"/>
      <c r="BX3494" s="155"/>
    </row>
    <row r="3495" spans="1:76" ht="15.75" customHeight="1">
      <c r="A3495" s="25"/>
      <c r="B3495" s="39"/>
      <c r="C3495" s="155"/>
      <c r="D3495" s="155"/>
      <c r="E3495" s="40"/>
      <c r="F3495" s="314"/>
      <c r="H3495" s="315"/>
      <c r="I3495" s="315"/>
      <c r="BA3495" s="30"/>
      <c r="BB3495" s="155"/>
      <c r="BC3495" s="314"/>
      <c r="BD3495" s="314"/>
      <c r="BE3495" s="314"/>
      <c r="BF3495" s="314"/>
      <c r="BG3495" s="314"/>
      <c r="BH3495" s="314"/>
      <c r="BI3495" s="314"/>
      <c r="BJ3495" s="314"/>
      <c r="BK3495" s="40"/>
      <c r="BL3495" s="40"/>
      <c r="BM3495" s="40"/>
      <c r="BN3495" s="40"/>
      <c r="BO3495" s="40"/>
      <c r="BP3495" s="155"/>
      <c r="BQ3495" s="314"/>
      <c r="BR3495" s="314"/>
      <c r="BS3495" s="314"/>
      <c r="BT3495" s="314"/>
      <c r="BU3495" s="314"/>
      <c r="BV3495" s="314"/>
      <c r="BW3495" s="314"/>
      <c r="BX3495" s="155"/>
    </row>
    <row r="3496" spans="1:76" ht="15.75" customHeight="1">
      <c r="A3496" s="25"/>
      <c r="B3496" s="39"/>
      <c r="C3496" s="155"/>
      <c r="D3496" s="155"/>
      <c r="E3496" s="40"/>
      <c r="F3496" s="314"/>
      <c r="H3496" s="315"/>
      <c r="I3496" s="315"/>
      <c r="BA3496" s="30"/>
      <c r="BB3496" s="155"/>
      <c r="BC3496" s="314"/>
      <c r="BD3496" s="314"/>
      <c r="BE3496" s="314"/>
      <c r="BF3496" s="314"/>
      <c r="BG3496" s="314"/>
      <c r="BH3496" s="314"/>
      <c r="BI3496" s="314"/>
      <c r="BJ3496" s="314"/>
      <c r="BK3496" s="40"/>
      <c r="BL3496" s="40"/>
      <c r="BM3496" s="40"/>
      <c r="BN3496" s="40"/>
      <c r="BO3496" s="40"/>
      <c r="BP3496" s="155"/>
      <c r="BQ3496" s="314"/>
      <c r="BR3496" s="314"/>
      <c r="BS3496" s="314"/>
      <c r="BT3496" s="314"/>
      <c r="BU3496" s="314"/>
      <c r="BV3496" s="314"/>
      <c r="BW3496" s="314"/>
      <c r="BX3496" s="155"/>
    </row>
    <row r="3497" spans="1:76" ht="15.75" customHeight="1">
      <c r="A3497" s="25"/>
      <c r="B3497" s="39"/>
      <c r="C3497" s="155"/>
      <c r="D3497" s="155"/>
      <c r="E3497" s="40"/>
      <c r="F3497" s="314"/>
      <c r="H3497" s="315"/>
      <c r="I3497" s="315"/>
      <c r="BA3497" s="30"/>
      <c r="BB3497" s="155"/>
      <c r="BC3497" s="314"/>
      <c r="BD3497" s="314"/>
      <c r="BE3497" s="314"/>
      <c r="BF3497" s="314"/>
      <c r="BG3497" s="314"/>
      <c r="BH3497" s="314"/>
      <c r="BI3497" s="314"/>
      <c r="BJ3497" s="314"/>
      <c r="BK3497" s="40"/>
      <c r="BL3497" s="40"/>
      <c r="BM3497" s="40"/>
      <c r="BN3497" s="40"/>
      <c r="BO3497" s="40"/>
      <c r="BP3497" s="155"/>
      <c r="BQ3497" s="314"/>
      <c r="BR3497" s="314"/>
      <c r="BS3497" s="314"/>
      <c r="BT3497" s="314"/>
      <c r="BU3497" s="314"/>
      <c r="BV3497" s="314"/>
      <c r="BW3497" s="314"/>
      <c r="BX3497" s="155"/>
    </row>
    <row r="3498" spans="1:76" ht="15.75" customHeight="1">
      <c r="A3498" s="25"/>
      <c r="B3498" s="39"/>
      <c r="C3498" s="155"/>
      <c r="D3498" s="155"/>
      <c r="E3498" s="40"/>
      <c r="F3498" s="314"/>
      <c r="H3498" s="315"/>
      <c r="I3498" s="315"/>
      <c r="BA3498" s="30"/>
      <c r="BB3498" s="155"/>
      <c r="BC3498" s="322"/>
      <c r="BD3498" s="322"/>
      <c r="BE3498" s="322"/>
      <c r="BF3498" s="322"/>
      <c r="BG3498" s="322"/>
      <c r="BH3498" s="322"/>
      <c r="BI3498" s="322"/>
      <c r="BJ3498" s="322"/>
      <c r="BK3498" s="341"/>
      <c r="BL3498" s="40"/>
      <c r="BM3498" s="40"/>
      <c r="BN3498" s="40"/>
      <c r="BO3498" s="40"/>
      <c r="BP3498" s="155"/>
      <c r="BQ3498" s="314"/>
      <c r="BR3498" s="314"/>
      <c r="BS3498" s="314"/>
      <c r="BT3498" s="314"/>
      <c r="BU3498" s="314"/>
      <c r="BV3498" s="314"/>
      <c r="BW3498" s="314"/>
      <c r="BX3498" s="155"/>
    </row>
    <row r="3499" spans="1:76" ht="15.75" customHeight="1">
      <c r="A3499" s="25"/>
      <c r="B3499" s="39"/>
      <c r="C3499" s="155"/>
      <c r="D3499" s="155"/>
      <c r="E3499" s="40"/>
      <c r="F3499" s="314"/>
      <c r="H3499" s="315"/>
      <c r="I3499" s="315"/>
      <c r="BA3499" s="30"/>
      <c r="BB3499" s="155"/>
      <c r="BC3499" s="314"/>
      <c r="BD3499" s="314"/>
      <c r="BE3499" s="314"/>
      <c r="BF3499" s="314"/>
      <c r="BG3499" s="314"/>
      <c r="BH3499" s="314"/>
      <c r="BI3499" s="314"/>
      <c r="BJ3499" s="314"/>
      <c r="BK3499" s="40"/>
      <c r="BL3499" s="40"/>
      <c r="BM3499" s="40"/>
      <c r="BN3499" s="40"/>
      <c r="BO3499" s="40"/>
      <c r="BP3499" s="155"/>
      <c r="BQ3499" s="314"/>
      <c r="BR3499" s="314"/>
      <c r="BS3499" s="314"/>
      <c r="BT3499" s="314"/>
      <c r="BU3499" s="314"/>
      <c r="BV3499" s="314"/>
      <c r="BW3499" s="314"/>
      <c r="BX3499" s="155"/>
    </row>
    <row r="3500" spans="1:76" ht="15.75" customHeight="1">
      <c r="A3500" s="25"/>
      <c r="B3500" s="39"/>
      <c r="C3500" s="155"/>
      <c r="D3500" s="155"/>
      <c r="E3500" s="40"/>
      <c r="F3500" s="314"/>
      <c r="H3500" s="315"/>
      <c r="I3500" s="315"/>
      <c r="BA3500" s="30"/>
      <c r="BB3500" s="155"/>
      <c r="BC3500" s="314"/>
      <c r="BD3500" s="314"/>
      <c r="BE3500" s="314"/>
      <c r="BF3500" s="314"/>
      <c r="BG3500" s="314"/>
      <c r="BH3500" s="314"/>
      <c r="BI3500" s="314"/>
      <c r="BJ3500" s="314"/>
      <c r="BK3500" s="40"/>
      <c r="BL3500" s="40"/>
      <c r="BM3500" s="40"/>
      <c r="BN3500" s="40"/>
      <c r="BO3500" s="40"/>
      <c r="BP3500" s="155"/>
      <c r="BQ3500" s="314"/>
      <c r="BR3500" s="314"/>
      <c r="BS3500" s="314"/>
      <c r="BT3500" s="314"/>
      <c r="BU3500" s="314"/>
      <c r="BV3500" s="314"/>
      <c r="BW3500" s="314"/>
      <c r="BX3500" s="155"/>
    </row>
    <row r="3501" spans="1:76" ht="15.75" customHeight="1">
      <c r="A3501" s="25"/>
      <c r="B3501" s="39"/>
      <c r="C3501" s="155"/>
      <c r="D3501" s="155"/>
      <c r="E3501" s="40"/>
      <c r="F3501" s="314"/>
      <c r="H3501" s="315"/>
      <c r="I3501" s="315"/>
      <c r="BA3501" s="30"/>
      <c r="BB3501" s="155"/>
      <c r="BC3501" s="314"/>
      <c r="BD3501" s="314"/>
      <c r="BE3501" s="314"/>
      <c r="BF3501" s="314"/>
      <c r="BG3501" s="314"/>
      <c r="BH3501" s="314"/>
      <c r="BI3501" s="314"/>
      <c r="BJ3501" s="314"/>
      <c r="BK3501" s="40"/>
      <c r="BL3501" s="40"/>
      <c r="BM3501" s="40"/>
      <c r="BN3501" s="40"/>
      <c r="BO3501" s="40"/>
      <c r="BP3501" s="155"/>
      <c r="BQ3501" s="314"/>
      <c r="BR3501" s="314"/>
      <c r="BS3501" s="314"/>
      <c r="BT3501" s="314"/>
      <c r="BU3501" s="314"/>
      <c r="BV3501" s="314"/>
      <c r="BW3501" s="314"/>
      <c r="BX3501" s="155"/>
    </row>
    <row r="3502" spans="1:76" ht="15.75" customHeight="1">
      <c r="A3502" s="25"/>
      <c r="B3502" s="39"/>
      <c r="C3502" s="155"/>
      <c r="D3502" s="155"/>
      <c r="E3502" s="40"/>
      <c r="F3502" s="314"/>
      <c r="H3502" s="315"/>
      <c r="I3502" s="315"/>
      <c r="BA3502" s="30"/>
      <c r="BB3502" s="155"/>
      <c r="BC3502" s="314"/>
      <c r="BD3502" s="314"/>
      <c r="BE3502" s="314"/>
      <c r="BF3502" s="314"/>
      <c r="BG3502" s="314"/>
      <c r="BH3502" s="314"/>
      <c r="BI3502" s="314"/>
      <c r="BJ3502" s="314"/>
      <c r="BK3502" s="40"/>
      <c r="BL3502" s="40"/>
      <c r="BM3502" s="40"/>
      <c r="BN3502" s="40"/>
      <c r="BO3502" s="40"/>
      <c r="BP3502" s="155"/>
      <c r="BQ3502" s="314"/>
      <c r="BR3502" s="314"/>
      <c r="BS3502" s="314"/>
      <c r="BT3502" s="314"/>
      <c r="BU3502" s="314"/>
      <c r="BV3502" s="314"/>
      <c r="BW3502" s="314"/>
      <c r="BX3502" s="155"/>
    </row>
    <row r="3503" spans="1:76" ht="15.75" customHeight="1">
      <c r="A3503" s="25"/>
      <c r="B3503" s="39"/>
      <c r="C3503" s="155"/>
      <c r="D3503" s="155"/>
      <c r="E3503" s="40"/>
      <c r="F3503" s="314"/>
      <c r="H3503" s="315"/>
      <c r="I3503" s="315"/>
      <c r="BA3503" s="30"/>
      <c r="BB3503" s="155"/>
      <c r="BC3503" s="314"/>
      <c r="BD3503" s="314"/>
      <c r="BE3503" s="314"/>
      <c r="BF3503" s="314"/>
      <c r="BG3503" s="314"/>
      <c r="BH3503" s="314"/>
      <c r="BI3503" s="314"/>
      <c r="BJ3503" s="314"/>
      <c r="BK3503" s="40"/>
      <c r="BL3503" s="40"/>
      <c r="BM3503" s="40"/>
      <c r="BN3503" s="40"/>
      <c r="BO3503" s="40"/>
      <c r="BP3503" s="155"/>
      <c r="BQ3503" s="314"/>
      <c r="BR3503" s="314"/>
      <c r="BS3503" s="314"/>
      <c r="BT3503" s="314"/>
      <c r="BU3503" s="314"/>
      <c r="BV3503" s="314"/>
      <c r="BW3503" s="314"/>
      <c r="BX3503" s="155"/>
    </row>
    <row r="3504" spans="1:76" ht="15.75" customHeight="1">
      <c r="A3504" s="25"/>
      <c r="B3504" s="39"/>
      <c r="C3504" s="155"/>
      <c r="D3504" s="155"/>
      <c r="E3504" s="40"/>
      <c r="F3504" s="314"/>
      <c r="H3504" s="315"/>
      <c r="I3504" s="315"/>
      <c r="BA3504" s="30"/>
      <c r="BB3504" s="155"/>
      <c r="BC3504" s="314"/>
      <c r="BD3504" s="314"/>
      <c r="BE3504" s="314"/>
      <c r="BF3504" s="314"/>
      <c r="BG3504" s="314"/>
      <c r="BH3504" s="314"/>
      <c r="BI3504" s="314"/>
      <c r="BJ3504" s="314"/>
      <c r="BK3504" s="40"/>
      <c r="BL3504" s="40"/>
      <c r="BM3504" s="40"/>
      <c r="BN3504" s="40"/>
      <c r="BO3504" s="40"/>
      <c r="BP3504" s="155"/>
      <c r="BQ3504" s="314"/>
      <c r="BR3504" s="314"/>
      <c r="BS3504" s="314"/>
      <c r="BT3504" s="314"/>
      <c r="BU3504" s="314"/>
      <c r="BV3504" s="314"/>
      <c r="BW3504" s="314"/>
      <c r="BX3504" s="155"/>
    </row>
    <row r="3505" spans="1:76" ht="15.75" customHeight="1">
      <c r="A3505" s="25"/>
      <c r="B3505" s="39"/>
      <c r="C3505" s="155"/>
      <c r="D3505" s="155"/>
      <c r="E3505" s="40"/>
      <c r="F3505" s="314"/>
      <c r="H3505" s="315"/>
      <c r="I3505" s="315"/>
      <c r="BA3505" s="30"/>
      <c r="BB3505" s="155"/>
      <c r="BC3505" s="314"/>
      <c r="BD3505" s="314"/>
      <c r="BE3505" s="314"/>
      <c r="BF3505" s="314"/>
      <c r="BG3505" s="314"/>
      <c r="BH3505" s="314"/>
      <c r="BI3505" s="314"/>
      <c r="BJ3505" s="314"/>
      <c r="BK3505" s="40"/>
      <c r="BL3505" s="40"/>
      <c r="BM3505" s="40"/>
      <c r="BN3505" s="40"/>
      <c r="BO3505" s="40"/>
      <c r="BP3505" s="155"/>
      <c r="BQ3505" s="314"/>
      <c r="BR3505" s="314"/>
      <c r="BS3505" s="314"/>
      <c r="BT3505" s="314"/>
      <c r="BU3505" s="314"/>
      <c r="BV3505" s="314"/>
      <c r="BW3505" s="314"/>
      <c r="BX3505" s="155"/>
    </row>
    <row r="3506" spans="1:76" ht="15.75" customHeight="1">
      <c r="A3506" s="25"/>
      <c r="B3506" s="39"/>
      <c r="C3506" s="155"/>
      <c r="D3506" s="155"/>
      <c r="E3506" s="40"/>
      <c r="F3506" s="314"/>
      <c r="H3506" s="315"/>
      <c r="I3506" s="315"/>
      <c r="BA3506" s="30"/>
      <c r="BB3506" s="155"/>
      <c r="BC3506" s="314"/>
      <c r="BD3506" s="314"/>
      <c r="BE3506" s="314"/>
      <c r="BF3506" s="314"/>
      <c r="BG3506" s="314"/>
      <c r="BH3506" s="314"/>
      <c r="BI3506" s="314"/>
      <c r="BJ3506" s="314"/>
      <c r="BK3506" s="40"/>
      <c r="BL3506" s="40"/>
      <c r="BM3506" s="40"/>
      <c r="BN3506" s="40"/>
      <c r="BO3506" s="40"/>
      <c r="BP3506" s="155"/>
      <c r="BQ3506" s="314"/>
      <c r="BR3506" s="314"/>
      <c r="BS3506" s="314"/>
      <c r="BT3506" s="314"/>
      <c r="BU3506" s="314"/>
      <c r="BV3506" s="314"/>
      <c r="BW3506" s="314"/>
      <c r="BX3506" s="155"/>
    </row>
    <row r="3507" spans="1:76" ht="15.75" customHeight="1">
      <c r="A3507" s="25"/>
      <c r="B3507" s="39"/>
      <c r="C3507" s="155"/>
      <c r="D3507" s="155"/>
      <c r="E3507" s="40"/>
      <c r="F3507" s="314"/>
      <c r="H3507" s="315"/>
      <c r="I3507" s="315"/>
      <c r="BA3507" s="30"/>
      <c r="BB3507" s="155"/>
      <c r="BC3507" s="314"/>
      <c r="BD3507" s="314"/>
      <c r="BE3507" s="314"/>
      <c r="BF3507" s="314"/>
      <c r="BG3507" s="314"/>
      <c r="BH3507" s="314"/>
      <c r="BI3507" s="314"/>
      <c r="BJ3507" s="314"/>
      <c r="BK3507" s="40"/>
      <c r="BL3507" s="40"/>
      <c r="BM3507" s="40"/>
      <c r="BN3507" s="40"/>
      <c r="BO3507" s="40"/>
      <c r="BP3507" s="155"/>
      <c r="BQ3507" s="314"/>
      <c r="BR3507" s="314"/>
      <c r="BS3507" s="314"/>
      <c r="BT3507" s="314"/>
      <c r="BU3507" s="314"/>
      <c r="BV3507" s="314"/>
      <c r="BW3507" s="314"/>
      <c r="BX3507" s="155"/>
    </row>
    <row r="3508" spans="1:76" ht="15.75" customHeight="1">
      <c r="A3508" s="25"/>
      <c r="B3508" s="39"/>
      <c r="C3508" s="155"/>
      <c r="D3508" s="155"/>
      <c r="E3508" s="40"/>
      <c r="F3508" s="314"/>
      <c r="H3508" s="315"/>
      <c r="I3508" s="315"/>
      <c r="BA3508" s="30"/>
      <c r="BB3508" s="155"/>
      <c r="BC3508" s="314"/>
      <c r="BD3508" s="314"/>
      <c r="BE3508" s="314"/>
      <c r="BF3508" s="314"/>
      <c r="BG3508" s="314"/>
      <c r="BH3508" s="314"/>
      <c r="BI3508" s="314"/>
      <c r="BJ3508" s="314"/>
      <c r="BK3508" s="40"/>
      <c r="BL3508" s="40"/>
      <c r="BM3508" s="40"/>
      <c r="BN3508" s="40"/>
      <c r="BO3508" s="40"/>
      <c r="BP3508" s="155"/>
      <c r="BQ3508" s="314"/>
      <c r="BR3508" s="314"/>
      <c r="BS3508" s="314"/>
      <c r="BT3508" s="314"/>
      <c r="BU3508" s="314"/>
      <c r="BV3508" s="314"/>
      <c r="BW3508" s="314"/>
      <c r="BX3508" s="155"/>
    </row>
    <row r="3509" spans="1:76" ht="15.75" customHeight="1">
      <c r="A3509" s="25"/>
      <c r="B3509" s="39"/>
      <c r="C3509" s="155"/>
      <c r="D3509" s="155"/>
      <c r="E3509" s="40"/>
      <c r="F3509" s="314"/>
      <c r="H3509" s="315"/>
      <c r="I3509" s="315"/>
      <c r="BA3509" s="30"/>
      <c r="BB3509" s="155"/>
      <c r="BC3509" s="314"/>
      <c r="BD3509" s="314"/>
      <c r="BE3509" s="314"/>
      <c r="BF3509" s="314"/>
      <c r="BG3509" s="314"/>
      <c r="BH3509" s="314"/>
      <c r="BI3509" s="314"/>
      <c r="BJ3509" s="314"/>
      <c r="BK3509" s="40"/>
      <c r="BL3509" s="40"/>
      <c r="BM3509" s="40"/>
      <c r="BN3509" s="40"/>
      <c r="BO3509" s="40"/>
      <c r="BP3509" s="155"/>
      <c r="BQ3509" s="314"/>
      <c r="BR3509" s="314"/>
      <c r="BS3509" s="314"/>
      <c r="BT3509" s="314"/>
      <c r="BU3509" s="314"/>
      <c r="BV3509" s="314"/>
      <c r="BW3509" s="314"/>
      <c r="BX3509" s="155"/>
    </row>
    <row r="3510" spans="1:76" ht="15.75" customHeight="1">
      <c r="A3510" s="25"/>
      <c r="B3510" s="39"/>
      <c r="C3510" s="155"/>
      <c r="D3510" s="155"/>
      <c r="E3510" s="40"/>
      <c r="F3510" s="314"/>
      <c r="H3510" s="315"/>
      <c r="I3510" s="315"/>
      <c r="BA3510" s="30"/>
      <c r="BB3510" s="155"/>
      <c r="BC3510" s="314"/>
      <c r="BD3510" s="314"/>
      <c r="BE3510" s="314"/>
      <c r="BF3510" s="314"/>
      <c r="BG3510" s="314"/>
      <c r="BH3510" s="314"/>
      <c r="BI3510" s="314"/>
      <c r="BJ3510" s="314"/>
      <c r="BK3510" s="40"/>
      <c r="BL3510" s="40"/>
      <c r="BM3510" s="40"/>
      <c r="BN3510" s="40"/>
      <c r="BO3510" s="40"/>
      <c r="BP3510" s="155"/>
      <c r="BQ3510" s="314"/>
      <c r="BR3510" s="314"/>
      <c r="BS3510" s="314"/>
      <c r="BT3510" s="314"/>
      <c r="BU3510" s="314"/>
      <c r="BV3510" s="314"/>
      <c r="BW3510" s="314"/>
      <c r="BX3510" s="155"/>
    </row>
    <row r="3511" spans="1:76" ht="15.75" customHeight="1">
      <c r="A3511" s="25"/>
      <c r="B3511" s="39"/>
      <c r="C3511" s="155"/>
      <c r="D3511" s="155"/>
      <c r="E3511" s="40"/>
      <c r="F3511" s="314"/>
      <c r="H3511" s="315"/>
      <c r="I3511" s="315"/>
      <c r="BA3511" s="30"/>
      <c r="BB3511" s="155"/>
      <c r="BC3511" s="314"/>
      <c r="BD3511" s="314"/>
      <c r="BE3511" s="314"/>
      <c r="BF3511" s="314"/>
      <c r="BG3511" s="314"/>
      <c r="BH3511" s="314"/>
      <c r="BI3511" s="314"/>
      <c r="BJ3511" s="314"/>
      <c r="BK3511" s="40"/>
      <c r="BL3511" s="40"/>
      <c r="BM3511" s="40"/>
      <c r="BN3511" s="40"/>
      <c r="BO3511" s="40"/>
      <c r="BP3511" s="155"/>
      <c r="BQ3511" s="314"/>
      <c r="BR3511" s="314"/>
      <c r="BS3511" s="314"/>
      <c r="BT3511" s="314"/>
      <c r="BU3511" s="314"/>
      <c r="BV3511" s="314"/>
      <c r="BW3511" s="314"/>
      <c r="BX3511" s="155"/>
    </row>
    <row r="3512" spans="1:76" ht="15.75" customHeight="1">
      <c r="A3512" s="25"/>
      <c r="B3512" s="39"/>
      <c r="C3512" s="155"/>
      <c r="D3512" s="155"/>
      <c r="E3512" s="40"/>
      <c r="F3512" s="314"/>
      <c r="H3512" s="315"/>
      <c r="I3512" s="315"/>
      <c r="BA3512" s="30"/>
      <c r="BB3512" s="155"/>
      <c r="BC3512" s="314"/>
      <c r="BD3512" s="314"/>
      <c r="BE3512" s="314"/>
      <c r="BF3512" s="314"/>
      <c r="BG3512" s="314"/>
      <c r="BH3512" s="314"/>
      <c r="BI3512" s="314"/>
      <c r="BJ3512" s="314"/>
      <c r="BK3512" s="40"/>
      <c r="BL3512" s="40"/>
      <c r="BM3512" s="40"/>
      <c r="BN3512" s="40"/>
      <c r="BO3512" s="40"/>
      <c r="BP3512" s="155"/>
      <c r="BQ3512" s="314"/>
      <c r="BR3512" s="314"/>
      <c r="BS3512" s="314"/>
      <c r="BT3512" s="314"/>
      <c r="BU3512" s="314"/>
      <c r="BV3512" s="314"/>
      <c r="BW3512" s="314"/>
      <c r="BX3512" s="155"/>
    </row>
    <row r="3513" spans="1:76" ht="15.75" customHeight="1">
      <c r="A3513" s="25"/>
      <c r="B3513" s="39"/>
      <c r="C3513" s="155"/>
      <c r="D3513" s="155"/>
      <c r="E3513" s="40"/>
      <c r="F3513" s="314"/>
      <c r="H3513" s="315"/>
      <c r="I3513" s="315"/>
      <c r="BA3513" s="30"/>
      <c r="BB3513" s="155"/>
      <c r="BC3513" s="314"/>
      <c r="BD3513" s="314"/>
      <c r="BE3513" s="314"/>
      <c r="BF3513" s="314"/>
      <c r="BG3513" s="314"/>
      <c r="BH3513" s="314"/>
      <c r="BI3513" s="314"/>
      <c r="BJ3513" s="314"/>
      <c r="BK3513" s="40"/>
      <c r="BL3513" s="40"/>
      <c r="BM3513" s="40"/>
      <c r="BN3513" s="40"/>
      <c r="BO3513" s="40"/>
      <c r="BP3513" s="155"/>
      <c r="BQ3513" s="314"/>
      <c r="BR3513" s="314"/>
      <c r="BS3513" s="314"/>
      <c r="BT3513" s="314"/>
      <c r="BU3513" s="314"/>
      <c r="BV3513" s="314"/>
      <c r="BW3513" s="314"/>
      <c r="BX3513" s="155"/>
    </row>
    <row r="3514" spans="1:76" ht="15.75" customHeight="1">
      <c r="A3514" s="25"/>
      <c r="B3514" s="39"/>
      <c r="C3514" s="155"/>
      <c r="D3514" s="155"/>
      <c r="E3514" s="40"/>
      <c r="F3514" s="314"/>
      <c r="H3514" s="315"/>
      <c r="I3514" s="315"/>
      <c r="BA3514" s="30"/>
      <c r="BB3514" s="155"/>
      <c r="BC3514" s="314"/>
      <c r="BD3514" s="314"/>
      <c r="BE3514" s="314"/>
      <c r="BF3514" s="314"/>
      <c r="BG3514" s="314"/>
      <c r="BH3514" s="314"/>
      <c r="BI3514" s="314"/>
      <c r="BJ3514" s="314"/>
      <c r="BK3514" s="40"/>
      <c r="BL3514" s="40"/>
      <c r="BM3514" s="40"/>
      <c r="BN3514" s="40"/>
      <c r="BO3514" s="40"/>
      <c r="BP3514" s="155"/>
      <c r="BQ3514" s="314"/>
      <c r="BR3514" s="314"/>
      <c r="BS3514" s="314"/>
      <c r="BT3514" s="314"/>
      <c r="BU3514" s="314"/>
      <c r="BV3514" s="314"/>
      <c r="BW3514" s="314"/>
      <c r="BX3514" s="155"/>
    </row>
    <row r="3515" spans="1:76" ht="15.75" customHeight="1">
      <c r="A3515" s="25"/>
      <c r="B3515" s="39"/>
      <c r="C3515" s="155"/>
      <c r="D3515" s="155"/>
      <c r="E3515" s="40"/>
      <c r="F3515" s="314"/>
      <c r="H3515" s="315"/>
      <c r="I3515" s="315"/>
      <c r="BA3515" s="30"/>
      <c r="BB3515" s="155"/>
      <c r="BC3515" s="314"/>
      <c r="BD3515" s="314"/>
      <c r="BE3515" s="314"/>
      <c r="BF3515" s="314"/>
      <c r="BG3515" s="314"/>
      <c r="BH3515" s="314"/>
      <c r="BI3515" s="314"/>
      <c r="BJ3515" s="314"/>
      <c r="BK3515" s="40"/>
      <c r="BL3515" s="40"/>
      <c r="BM3515" s="40"/>
      <c r="BN3515" s="40"/>
      <c r="BO3515" s="40"/>
      <c r="BP3515" s="155"/>
      <c r="BQ3515" s="314"/>
      <c r="BR3515" s="314"/>
      <c r="BS3515" s="314"/>
      <c r="BT3515" s="314"/>
      <c r="BU3515" s="314"/>
      <c r="BV3515" s="314"/>
      <c r="BW3515" s="314"/>
      <c r="BX3515" s="155"/>
    </row>
    <row r="3516" spans="1:76" ht="15.75" customHeight="1">
      <c r="A3516" s="25"/>
      <c r="B3516" s="39"/>
      <c r="C3516" s="155"/>
      <c r="D3516" s="155"/>
      <c r="E3516" s="40"/>
      <c r="F3516" s="314"/>
      <c r="H3516" s="315"/>
      <c r="I3516" s="315"/>
      <c r="BA3516" s="30"/>
      <c r="BB3516" s="155"/>
      <c r="BC3516" s="314"/>
      <c r="BD3516" s="314"/>
      <c r="BE3516" s="314"/>
      <c r="BF3516" s="314"/>
      <c r="BG3516" s="314"/>
      <c r="BH3516" s="314"/>
      <c r="BI3516" s="314"/>
      <c r="BJ3516" s="314"/>
      <c r="BK3516" s="40"/>
      <c r="BL3516" s="40"/>
      <c r="BM3516" s="40"/>
      <c r="BN3516" s="40"/>
      <c r="BO3516" s="40"/>
      <c r="BP3516" s="155"/>
      <c r="BQ3516" s="314"/>
      <c r="BR3516" s="314"/>
      <c r="BS3516" s="314"/>
      <c r="BT3516" s="314"/>
      <c r="BU3516" s="314"/>
      <c r="BV3516" s="314"/>
      <c r="BW3516" s="314"/>
      <c r="BX3516" s="155"/>
    </row>
    <row r="3517" spans="1:76" ht="15.75" customHeight="1">
      <c r="A3517" s="25"/>
      <c r="B3517" s="39"/>
      <c r="C3517" s="155"/>
      <c r="D3517" s="155"/>
      <c r="E3517" s="40"/>
      <c r="F3517" s="314"/>
      <c r="H3517" s="315"/>
      <c r="I3517" s="315"/>
      <c r="BA3517" s="30"/>
      <c r="BB3517" s="155"/>
      <c r="BC3517" s="314"/>
      <c r="BD3517" s="314"/>
      <c r="BE3517" s="314"/>
      <c r="BF3517" s="314"/>
      <c r="BG3517" s="314"/>
      <c r="BH3517" s="314"/>
      <c r="BI3517" s="314"/>
      <c r="BJ3517" s="314"/>
      <c r="BK3517" s="40"/>
      <c r="BL3517" s="40"/>
      <c r="BM3517" s="40"/>
      <c r="BN3517" s="40"/>
      <c r="BO3517" s="40"/>
      <c r="BP3517" s="155"/>
      <c r="BQ3517" s="314"/>
      <c r="BR3517" s="314"/>
      <c r="BS3517" s="314"/>
      <c r="BT3517" s="314"/>
      <c r="BU3517" s="314"/>
      <c r="BV3517" s="314"/>
      <c r="BW3517" s="314"/>
      <c r="BX3517" s="155"/>
    </row>
    <row r="3518" spans="1:76" ht="15.75" customHeight="1">
      <c r="A3518" s="25"/>
      <c r="B3518" s="39"/>
      <c r="C3518" s="155"/>
      <c r="D3518" s="155"/>
      <c r="E3518" s="40"/>
      <c r="F3518" s="314"/>
      <c r="H3518" s="315"/>
      <c r="I3518" s="315"/>
      <c r="BA3518" s="30"/>
      <c r="BB3518" s="155"/>
      <c r="BC3518" s="314"/>
      <c r="BD3518" s="314"/>
      <c r="BE3518" s="314"/>
      <c r="BF3518" s="314"/>
      <c r="BG3518" s="314"/>
      <c r="BH3518" s="314"/>
      <c r="BI3518" s="314"/>
      <c r="BJ3518" s="314"/>
      <c r="BK3518" s="40"/>
      <c r="BL3518" s="40"/>
      <c r="BM3518" s="40"/>
      <c r="BN3518" s="40"/>
      <c r="BO3518" s="40"/>
      <c r="BP3518" s="155"/>
      <c r="BQ3518" s="314"/>
      <c r="BR3518" s="314"/>
      <c r="BS3518" s="314"/>
      <c r="BT3518" s="314"/>
      <c r="BU3518" s="314"/>
      <c r="BV3518" s="314"/>
      <c r="BW3518" s="314"/>
      <c r="BX3518" s="155"/>
    </row>
    <row r="3519" spans="1:76" ht="15.75" customHeight="1">
      <c r="A3519" s="25"/>
      <c r="B3519" s="39"/>
      <c r="C3519" s="155"/>
      <c r="D3519" s="155"/>
      <c r="E3519" s="40"/>
      <c r="F3519" s="314"/>
      <c r="H3519" s="315"/>
      <c r="I3519" s="315"/>
      <c r="BA3519" s="30"/>
      <c r="BB3519" s="155"/>
      <c r="BC3519" s="314"/>
      <c r="BD3519" s="314"/>
      <c r="BE3519" s="314"/>
      <c r="BF3519" s="314"/>
      <c r="BG3519" s="314"/>
      <c r="BH3519" s="314"/>
      <c r="BI3519" s="314"/>
      <c r="BJ3519" s="314"/>
      <c r="BK3519" s="40"/>
      <c r="BL3519" s="40"/>
      <c r="BM3519" s="40"/>
      <c r="BN3519" s="40"/>
      <c r="BO3519" s="40"/>
      <c r="BP3519" s="155"/>
      <c r="BQ3519" s="314"/>
      <c r="BR3519" s="314"/>
      <c r="BS3519" s="314"/>
      <c r="BT3519" s="314"/>
      <c r="BU3519" s="314"/>
      <c r="BV3519" s="314"/>
      <c r="BW3519" s="314"/>
      <c r="BX3519" s="155"/>
    </row>
    <row r="3520" spans="1:76" ht="15.75" customHeight="1">
      <c r="A3520" s="25"/>
      <c r="B3520" s="39"/>
      <c r="C3520" s="155"/>
      <c r="D3520" s="155"/>
      <c r="E3520" s="40"/>
      <c r="F3520" s="314"/>
      <c r="H3520" s="315"/>
      <c r="I3520" s="315"/>
      <c r="BA3520" s="30"/>
      <c r="BB3520" s="155"/>
      <c r="BC3520" s="314"/>
      <c r="BD3520" s="314"/>
      <c r="BE3520" s="314"/>
      <c r="BF3520" s="314"/>
      <c r="BG3520" s="314"/>
      <c r="BH3520" s="314"/>
      <c r="BI3520" s="314"/>
      <c r="BJ3520" s="314"/>
      <c r="BK3520" s="40"/>
      <c r="BL3520" s="40"/>
      <c r="BM3520" s="40"/>
      <c r="BN3520" s="40"/>
      <c r="BO3520" s="40"/>
      <c r="BP3520" s="155"/>
      <c r="BQ3520" s="314"/>
      <c r="BR3520" s="314"/>
      <c r="BS3520" s="314"/>
      <c r="BT3520" s="314"/>
      <c r="BU3520" s="314"/>
      <c r="BV3520" s="314"/>
      <c r="BW3520" s="314"/>
      <c r="BX3520" s="155"/>
    </row>
    <row r="3521" spans="1:76" ht="15.75" customHeight="1">
      <c r="A3521" s="25"/>
      <c r="B3521" s="39"/>
      <c r="C3521" s="155"/>
      <c r="D3521" s="155"/>
      <c r="E3521" s="40"/>
      <c r="F3521" s="314"/>
      <c r="H3521" s="315"/>
      <c r="I3521" s="315"/>
      <c r="BA3521" s="30"/>
      <c r="BB3521" s="155"/>
      <c r="BC3521" s="314"/>
      <c r="BD3521" s="314"/>
      <c r="BE3521" s="314"/>
      <c r="BF3521" s="314"/>
      <c r="BG3521" s="314"/>
      <c r="BH3521" s="314"/>
      <c r="BI3521" s="314"/>
      <c r="BJ3521" s="314"/>
      <c r="BK3521" s="40"/>
      <c r="BL3521" s="40"/>
      <c r="BM3521" s="40"/>
      <c r="BN3521" s="40"/>
      <c r="BO3521" s="40"/>
      <c r="BP3521" s="155"/>
      <c r="BQ3521" s="314"/>
      <c r="BR3521" s="314"/>
      <c r="BS3521" s="314"/>
      <c r="BT3521" s="314"/>
      <c r="BU3521" s="314"/>
      <c r="BV3521" s="314"/>
      <c r="BW3521" s="314"/>
      <c r="BX3521" s="155"/>
    </row>
    <row r="3522" spans="1:76" ht="15.75" customHeight="1">
      <c r="A3522" s="25"/>
      <c r="B3522" s="39"/>
      <c r="C3522" s="155"/>
      <c r="D3522" s="155"/>
      <c r="E3522" s="40"/>
      <c r="F3522" s="314"/>
      <c r="H3522" s="315"/>
      <c r="I3522" s="315"/>
      <c r="BA3522" s="30"/>
      <c r="BB3522" s="155"/>
      <c r="BC3522" s="314"/>
      <c r="BD3522" s="314"/>
      <c r="BE3522" s="314"/>
      <c r="BF3522" s="314"/>
      <c r="BG3522" s="314"/>
      <c r="BH3522" s="314"/>
      <c r="BI3522" s="314"/>
      <c r="BJ3522" s="314"/>
      <c r="BK3522" s="40"/>
      <c r="BL3522" s="40"/>
      <c r="BM3522" s="40"/>
      <c r="BN3522" s="40"/>
      <c r="BO3522" s="40"/>
      <c r="BP3522" s="155"/>
      <c r="BQ3522" s="314"/>
      <c r="BR3522" s="314"/>
      <c r="BS3522" s="314"/>
      <c r="BT3522" s="314"/>
      <c r="BU3522" s="314"/>
      <c r="BV3522" s="314"/>
      <c r="BW3522" s="314"/>
      <c r="BX3522" s="155"/>
    </row>
    <row r="3523" spans="1:76" ht="15.75" customHeight="1">
      <c r="A3523" s="25"/>
      <c r="B3523" s="39"/>
      <c r="C3523" s="155"/>
      <c r="D3523" s="155"/>
      <c r="E3523" s="40"/>
      <c r="F3523" s="314"/>
      <c r="H3523" s="315"/>
      <c r="I3523" s="315"/>
      <c r="BA3523" s="30"/>
      <c r="BB3523" s="155"/>
      <c r="BC3523" s="314"/>
      <c r="BD3523" s="314"/>
      <c r="BE3523" s="314"/>
      <c r="BF3523" s="314"/>
      <c r="BG3523" s="314"/>
      <c r="BH3523" s="314"/>
      <c r="BI3523" s="314"/>
      <c r="BJ3523" s="314"/>
      <c r="BK3523" s="40"/>
      <c r="BL3523" s="40"/>
      <c r="BM3523" s="40"/>
      <c r="BN3523" s="40"/>
      <c r="BO3523" s="40"/>
      <c r="BP3523" s="155"/>
      <c r="BQ3523" s="314"/>
      <c r="BR3523" s="314"/>
      <c r="BS3523" s="314"/>
      <c r="BT3523" s="314"/>
      <c r="BU3523" s="314"/>
      <c r="BV3523" s="314"/>
      <c r="BW3523" s="314"/>
      <c r="BX3523" s="155"/>
    </row>
    <row r="3524" spans="1:76" ht="15.75" customHeight="1">
      <c r="A3524" s="25"/>
      <c r="B3524" s="39"/>
      <c r="C3524" s="155"/>
      <c r="D3524" s="155"/>
      <c r="E3524" s="40"/>
      <c r="F3524" s="314"/>
      <c r="H3524" s="315"/>
      <c r="I3524" s="315"/>
      <c r="BA3524" s="30"/>
      <c r="BB3524" s="155"/>
      <c r="BC3524" s="314"/>
      <c r="BD3524" s="314"/>
      <c r="BE3524" s="314"/>
      <c r="BF3524" s="314"/>
      <c r="BG3524" s="314"/>
      <c r="BH3524" s="314"/>
      <c r="BI3524" s="314"/>
      <c r="BJ3524" s="314"/>
      <c r="BK3524" s="40"/>
      <c r="BL3524" s="40"/>
      <c r="BM3524" s="40"/>
      <c r="BN3524" s="40"/>
      <c r="BO3524" s="40"/>
      <c r="BP3524" s="155"/>
      <c r="BQ3524" s="314"/>
      <c r="BR3524" s="314"/>
      <c r="BS3524" s="314"/>
      <c r="BT3524" s="314"/>
      <c r="BU3524" s="314"/>
      <c r="BV3524" s="314"/>
      <c r="BW3524" s="314"/>
      <c r="BX3524" s="155"/>
    </row>
    <row r="3525" spans="1:76" ht="15.75" customHeight="1">
      <c r="A3525" s="25"/>
      <c r="B3525" s="39"/>
      <c r="C3525" s="155"/>
      <c r="D3525" s="155"/>
      <c r="E3525" s="40"/>
      <c r="F3525" s="314"/>
      <c r="H3525" s="315"/>
      <c r="I3525" s="315"/>
      <c r="BA3525" s="30"/>
      <c r="BB3525" s="155"/>
      <c r="BC3525" s="314"/>
      <c r="BD3525" s="314"/>
      <c r="BE3525" s="314"/>
      <c r="BF3525" s="314"/>
      <c r="BG3525" s="314"/>
      <c r="BH3525" s="314"/>
      <c r="BI3525" s="314"/>
      <c r="BJ3525" s="314"/>
      <c r="BK3525" s="40"/>
      <c r="BL3525" s="40"/>
      <c r="BM3525" s="40"/>
      <c r="BN3525" s="40"/>
      <c r="BO3525" s="40"/>
      <c r="BP3525" s="155"/>
      <c r="BQ3525" s="314"/>
      <c r="BR3525" s="314"/>
      <c r="BS3525" s="314"/>
      <c r="BT3525" s="314"/>
      <c r="BU3525" s="314"/>
      <c r="BV3525" s="314"/>
      <c r="BW3525" s="314"/>
      <c r="BX3525" s="155"/>
    </row>
    <row r="3526" spans="1:76" ht="15.75" customHeight="1">
      <c r="A3526" s="25"/>
      <c r="B3526" s="39"/>
      <c r="C3526" s="155"/>
      <c r="D3526" s="155"/>
      <c r="E3526" s="40"/>
      <c r="F3526" s="314"/>
      <c r="H3526" s="315"/>
      <c r="I3526" s="315"/>
      <c r="BA3526" s="30"/>
      <c r="BB3526" s="155"/>
      <c r="BC3526" s="314"/>
      <c r="BD3526" s="314"/>
      <c r="BE3526" s="314"/>
      <c r="BF3526" s="314"/>
      <c r="BG3526" s="314"/>
      <c r="BH3526" s="314"/>
      <c r="BI3526" s="314"/>
      <c r="BJ3526" s="314"/>
      <c r="BK3526" s="40"/>
      <c r="BL3526" s="40"/>
      <c r="BM3526" s="40"/>
      <c r="BN3526" s="40"/>
      <c r="BO3526" s="40"/>
      <c r="BP3526" s="155"/>
      <c r="BQ3526" s="314"/>
      <c r="BR3526" s="314"/>
      <c r="BS3526" s="314"/>
      <c r="BT3526" s="314"/>
      <c r="BU3526" s="314"/>
      <c r="BV3526" s="314"/>
      <c r="BW3526" s="314"/>
      <c r="BX3526" s="155"/>
    </row>
    <row r="3527" spans="1:76" ht="15.75" customHeight="1">
      <c r="A3527" s="25"/>
      <c r="B3527" s="39"/>
      <c r="C3527" s="155"/>
      <c r="D3527" s="155"/>
      <c r="E3527" s="40"/>
      <c r="F3527" s="314"/>
      <c r="H3527" s="315"/>
      <c r="I3527" s="315"/>
      <c r="BA3527" s="30"/>
      <c r="BB3527" s="155"/>
      <c r="BC3527" s="314"/>
      <c r="BD3527" s="314"/>
      <c r="BE3527" s="314"/>
      <c r="BF3527" s="314"/>
      <c r="BG3527" s="314"/>
      <c r="BH3527" s="314"/>
      <c r="BI3527" s="314"/>
      <c r="BJ3527" s="314"/>
      <c r="BK3527" s="40"/>
      <c r="BL3527" s="40"/>
      <c r="BM3527" s="40"/>
      <c r="BN3527" s="40"/>
      <c r="BO3527" s="40"/>
      <c r="BP3527" s="155"/>
      <c r="BQ3527" s="314"/>
      <c r="BR3527" s="314"/>
      <c r="BS3527" s="314"/>
      <c r="BT3527" s="314"/>
      <c r="BU3527" s="314"/>
      <c r="BV3527" s="314"/>
      <c r="BW3527" s="314"/>
      <c r="BX3527" s="155"/>
    </row>
    <row r="3528" spans="1:76" ht="15.75" customHeight="1">
      <c r="A3528" s="25"/>
      <c r="B3528" s="39"/>
      <c r="C3528" s="155"/>
      <c r="D3528" s="155"/>
      <c r="E3528" s="40"/>
      <c r="F3528" s="314"/>
      <c r="H3528" s="315"/>
      <c r="I3528" s="315"/>
      <c r="BA3528" s="30"/>
      <c r="BB3528" s="155"/>
      <c r="BC3528" s="314"/>
      <c r="BD3528" s="314"/>
      <c r="BE3528" s="314"/>
      <c r="BF3528" s="314"/>
      <c r="BG3528" s="314"/>
      <c r="BH3528" s="314"/>
      <c r="BI3528" s="314"/>
      <c r="BJ3528" s="314"/>
      <c r="BK3528" s="40"/>
      <c r="BL3528" s="40"/>
      <c r="BM3528" s="40"/>
      <c r="BN3528" s="40"/>
      <c r="BO3528" s="40"/>
      <c r="BP3528" s="155"/>
      <c r="BQ3528" s="314"/>
      <c r="BR3528" s="314"/>
      <c r="BS3528" s="314"/>
      <c r="BT3528" s="314"/>
      <c r="BU3528" s="314"/>
      <c r="BV3528" s="314"/>
      <c r="BW3528" s="314"/>
      <c r="BX3528" s="155"/>
    </row>
    <row r="3529" spans="1:76" ht="15.75" customHeight="1">
      <c r="A3529" s="25"/>
      <c r="B3529" s="39"/>
      <c r="C3529" s="155"/>
      <c r="D3529" s="155"/>
      <c r="E3529" s="40"/>
      <c r="F3529" s="314"/>
      <c r="H3529" s="315"/>
      <c r="I3529" s="315"/>
      <c r="BA3529" s="30"/>
      <c r="BB3529" s="155"/>
      <c r="BC3529" s="314"/>
      <c r="BD3529" s="314"/>
      <c r="BE3529" s="314"/>
      <c r="BF3529" s="314"/>
      <c r="BG3529" s="314"/>
      <c r="BH3529" s="314"/>
      <c r="BI3529" s="314"/>
      <c r="BJ3529" s="314"/>
      <c r="BK3529" s="40"/>
      <c r="BL3529" s="40"/>
      <c r="BM3529" s="40"/>
      <c r="BN3529" s="40"/>
      <c r="BO3529" s="40"/>
      <c r="BP3529" s="155"/>
      <c r="BQ3529" s="314"/>
      <c r="BR3529" s="314"/>
      <c r="BS3529" s="314"/>
      <c r="BT3529" s="314"/>
      <c r="BU3529" s="314"/>
      <c r="BV3529" s="314"/>
      <c r="BW3529" s="314"/>
      <c r="BX3529" s="155"/>
    </row>
    <row r="3530" spans="1:76" ht="15.75" customHeight="1">
      <c r="A3530" s="25"/>
      <c r="B3530" s="39"/>
      <c r="C3530" s="155"/>
      <c r="D3530" s="155"/>
      <c r="E3530" s="40"/>
      <c r="F3530" s="314"/>
      <c r="H3530" s="315"/>
      <c r="I3530" s="315"/>
      <c r="BA3530" s="30"/>
      <c r="BB3530" s="155"/>
      <c r="BC3530" s="314"/>
      <c r="BD3530" s="314"/>
      <c r="BE3530" s="314"/>
      <c r="BF3530" s="314"/>
      <c r="BG3530" s="314"/>
      <c r="BH3530" s="314"/>
      <c r="BI3530" s="314"/>
      <c r="BJ3530" s="314"/>
      <c r="BK3530" s="40"/>
      <c r="BL3530" s="40"/>
      <c r="BM3530" s="40"/>
      <c r="BN3530" s="40"/>
      <c r="BO3530" s="40"/>
      <c r="BP3530" s="155"/>
      <c r="BQ3530" s="314"/>
      <c r="BR3530" s="314"/>
      <c r="BS3530" s="314"/>
      <c r="BT3530" s="314"/>
      <c r="BU3530" s="314"/>
      <c r="BV3530" s="314"/>
      <c r="BW3530" s="314"/>
      <c r="BX3530" s="155"/>
    </row>
    <row r="3531" spans="1:76" ht="15.75" customHeight="1">
      <c r="A3531" s="25"/>
      <c r="B3531" s="39"/>
      <c r="C3531" s="155"/>
      <c r="D3531" s="155"/>
      <c r="E3531" s="40"/>
      <c r="F3531" s="314"/>
      <c r="H3531" s="315"/>
      <c r="I3531" s="315"/>
      <c r="BA3531" s="30"/>
      <c r="BB3531" s="155"/>
      <c r="BC3531" s="314"/>
      <c r="BD3531" s="314"/>
      <c r="BE3531" s="314"/>
      <c r="BF3531" s="314"/>
      <c r="BG3531" s="314"/>
      <c r="BH3531" s="314"/>
      <c r="BI3531" s="314"/>
      <c r="BJ3531" s="314"/>
      <c r="BK3531" s="40"/>
      <c r="BL3531" s="40"/>
      <c r="BM3531" s="40"/>
      <c r="BN3531" s="40"/>
      <c r="BO3531" s="40"/>
      <c r="BP3531" s="155"/>
      <c r="BQ3531" s="314"/>
      <c r="BR3531" s="314"/>
      <c r="BS3531" s="314"/>
      <c r="BT3531" s="314"/>
      <c r="BU3531" s="314"/>
      <c r="BV3531" s="314"/>
      <c r="BW3531" s="314"/>
      <c r="BX3531" s="155"/>
    </row>
    <row r="3532" spans="1:76" ht="15.75" customHeight="1">
      <c r="A3532" s="25"/>
      <c r="B3532" s="39"/>
      <c r="C3532" s="155"/>
      <c r="D3532" s="155"/>
      <c r="E3532" s="40"/>
      <c r="F3532" s="314"/>
      <c r="H3532" s="315"/>
      <c r="I3532" s="315"/>
      <c r="BA3532" s="30"/>
      <c r="BB3532" s="155"/>
      <c r="BC3532" s="314"/>
      <c r="BD3532" s="314"/>
      <c r="BE3532" s="314"/>
      <c r="BF3532" s="314"/>
      <c r="BG3532" s="314"/>
      <c r="BH3532" s="314"/>
      <c r="BI3532" s="314"/>
      <c r="BJ3532" s="314"/>
      <c r="BK3532" s="40"/>
      <c r="BL3532" s="40"/>
      <c r="BM3532" s="40"/>
      <c r="BN3532" s="40"/>
      <c r="BO3532" s="40"/>
      <c r="BP3532" s="155"/>
      <c r="BQ3532" s="314"/>
      <c r="BR3532" s="314"/>
      <c r="BS3532" s="314"/>
      <c r="BT3532" s="314"/>
      <c r="BU3532" s="314"/>
      <c r="BV3532" s="314"/>
      <c r="BW3532" s="314"/>
      <c r="BX3532" s="155"/>
    </row>
    <row r="3533" spans="1:76" ht="15.75" customHeight="1">
      <c r="A3533" s="25"/>
      <c r="B3533" s="39"/>
      <c r="C3533" s="155"/>
      <c r="D3533" s="155"/>
      <c r="E3533" s="40"/>
      <c r="F3533" s="314"/>
      <c r="H3533" s="315"/>
      <c r="I3533" s="315"/>
      <c r="BA3533" s="30"/>
      <c r="BB3533" s="155"/>
      <c r="BC3533" s="314"/>
      <c r="BD3533" s="314"/>
      <c r="BE3533" s="314"/>
      <c r="BF3533" s="314"/>
      <c r="BG3533" s="314"/>
      <c r="BH3533" s="314"/>
      <c r="BI3533" s="314"/>
      <c r="BJ3533" s="314"/>
      <c r="BK3533" s="40"/>
      <c r="BL3533" s="40"/>
      <c r="BM3533" s="40"/>
      <c r="BN3533" s="40"/>
      <c r="BO3533" s="40"/>
      <c r="BP3533" s="155"/>
      <c r="BQ3533" s="314"/>
      <c r="BR3533" s="314"/>
      <c r="BS3533" s="314"/>
      <c r="BT3533" s="314"/>
      <c r="BU3533" s="314"/>
      <c r="BV3533" s="314"/>
      <c r="BW3533" s="314"/>
      <c r="BX3533" s="155"/>
    </row>
    <row r="3534" spans="1:76" ht="15.75" customHeight="1">
      <c r="A3534" s="25"/>
      <c r="B3534" s="39"/>
      <c r="C3534" s="155"/>
      <c r="D3534" s="155"/>
      <c r="E3534" s="40"/>
      <c r="F3534" s="314"/>
      <c r="H3534" s="315"/>
      <c r="I3534" s="315"/>
      <c r="BA3534" s="30"/>
      <c r="BB3534" s="155"/>
      <c r="BC3534" s="314"/>
      <c r="BD3534" s="314"/>
      <c r="BE3534" s="314"/>
      <c r="BF3534" s="314"/>
      <c r="BG3534" s="314"/>
      <c r="BH3534" s="314"/>
      <c r="BI3534" s="314"/>
      <c r="BJ3534" s="314"/>
      <c r="BK3534" s="40"/>
      <c r="BL3534" s="40"/>
      <c r="BM3534" s="40"/>
      <c r="BN3534" s="40"/>
      <c r="BO3534" s="40"/>
      <c r="BP3534" s="155"/>
      <c r="BQ3534" s="314"/>
      <c r="BR3534" s="314"/>
      <c r="BS3534" s="314"/>
      <c r="BT3534" s="314"/>
      <c r="BU3534" s="314"/>
      <c r="BV3534" s="314"/>
      <c r="BW3534" s="314"/>
      <c r="BX3534" s="155"/>
    </row>
    <row r="3535" spans="1:76" ht="15.75" customHeight="1">
      <c r="A3535" s="25"/>
      <c r="B3535" s="39"/>
      <c r="C3535" s="155"/>
      <c r="D3535" s="155"/>
      <c r="E3535" s="40"/>
      <c r="F3535" s="314"/>
      <c r="H3535" s="315"/>
      <c r="I3535" s="315"/>
      <c r="BA3535" s="30"/>
      <c r="BB3535" s="155"/>
      <c r="BC3535" s="314"/>
      <c r="BD3535" s="314"/>
      <c r="BE3535" s="314"/>
      <c r="BF3535" s="314"/>
      <c r="BG3535" s="314"/>
      <c r="BH3535" s="314"/>
      <c r="BI3535" s="314"/>
      <c r="BJ3535" s="314"/>
      <c r="BK3535" s="40"/>
      <c r="BL3535" s="40"/>
      <c r="BM3535" s="40"/>
      <c r="BN3535" s="40"/>
      <c r="BO3535" s="40"/>
      <c r="BP3535" s="155"/>
      <c r="BQ3535" s="314"/>
      <c r="BR3535" s="314"/>
      <c r="BS3535" s="314"/>
      <c r="BT3535" s="314"/>
      <c r="BU3535" s="314"/>
      <c r="BV3535" s="314"/>
      <c r="BW3535" s="314"/>
      <c r="BX3535" s="155"/>
    </row>
    <row r="3536" spans="1:76" ht="15.75" customHeight="1">
      <c r="A3536" s="25"/>
      <c r="B3536" s="39"/>
      <c r="C3536" s="155"/>
      <c r="D3536" s="155"/>
      <c r="E3536" s="40"/>
      <c r="F3536" s="314"/>
      <c r="H3536" s="315"/>
      <c r="I3536" s="315"/>
      <c r="BA3536" s="30"/>
      <c r="BB3536" s="155"/>
      <c r="BC3536" s="314"/>
      <c r="BD3536" s="314"/>
      <c r="BE3536" s="314"/>
      <c r="BF3536" s="314"/>
      <c r="BG3536" s="314"/>
      <c r="BH3536" s="314"/>
      <c r="BI3536" s="314"/>
      <c r="BJ3536" s="314"/>
      <c r="BK3536" s="40"/>
      <c r="BL3536" s="40"/>
      <c r="BM3536" s="40"/>
      <c r="BN3536" s="40"/>
      <c r="BO3536" s="40"/>
      <c r="BP3536" s="155"/>
      <c r="BQ3536" s="314"/>
      <c r="BR3536" s="314"/>
      <c r="BS3536" s="314"/>
      <c r="BT3536" s="314"/>
      <c r="BU3536" s="314"/>
      <c r="BV3536" s="314"/>
      <c r="BW3536" s="314"/>
      <c r="BX3536" s="155"/>
    </row>
    <row r="3537" spans="1:76" ht="15.75" customHeight="1">
      <c r="A3537" s="25"/>
      <c r="B3537" s="39"/>
      <c r="C3537" s="155"/>
      <c r="D3537" s="155"/>
      <c r="E3537" s="40"/>
      <c r="F3537" s="314"/>
      <c r="H3537" s="315"/>
      <c r="I3537" s="315"/>
      <c r="BA3537" s="30"/>
      <c r="BB3537" s="155"/>
      <c r="BC3537" s="314"/>
      <c r="BD3537" s="314"/>
      <c r="BE3537" s="314"/>
      <c r="BF3537" s="314"/>
      <c r="BG3537" s="314"/>
      <c r="BH3537" s="314"/>
      <c r="BI3537" s="314"/>
      <c r="BJ3537" s="314"/>
      <c r="BK3537" s="40"/>
      <c r="BL3537" s="40"/>
      <c r="BM3537" s="40"/>
      <c r="BN3537" s="40"/>
      <c r="BO3537" s="40"/>
      <c r="BP3537" s="155"/>
      <c r="BQ3537" s="314"/>
      <c r="BR3537" s="314"/>
      <c r="BS3537" s="314"/>
      <c r="BT3537" s="314"/>
      <c r="BU3537" s="314"/>
      <c r="BV3537" s="314"/>
      <c r="BW3537" s="314"/>
      <c r="BX3537" s="155"/>
    </row>
    <row r="3538" spans="1:76" ht="15.75" customHeight="1">
      <c r="A3538" s="25"/>
      <c r="B3538" s="39"/>
      <c r="C3538" s="155"/>
      <c r="D3538" s="155"/>
      <c r="E3538" s="40"/>
      <c r="F3538" s="314"/>
      <c r="H3538" s="315"/>
      <c r="I3538" s="315"/>
      <c r="BA3538" s="30"/>
      <c r="BB3538" s="155"/>
      <c r="BC3538" s="314"/>
      <c r="BD3538" s="314"/>
      <c r="BE3538" s="314"/>
      <c r="BF3538" s="314"/>
      <c r="BG3538" s="314"/>
      <c r="BH3538" s="314"/>
      <c r="BI3538" s="314"/>
      <c r="BJ3538" s="314"/>
      <c r="BK3538" s="40"/>
      <c r="BL3538" s="40"/>
      <c r="BM3538" s="40"/>
      <c r="BN3538" s="40"/>
      <c r="BO3538" s="40"/>
      <c r="BP3538" s="155"/>
      <c r="BQ3538" s="314"/>
      <c r="BR3538" s="314"/>
      <c r="BS3538" s="314"/>
      <c r="BT3538" s="314"/>
      <c r="BU3538" s="314"/>
      <c r="BV3538" s="314"/>
      <c r="BW3538" s="314"/>
      <c r="BX3538" s="155"/>
    </row>
    <row r="3539" spans="1:76" ht="15.75" customHeight="1">
      <c r="A3539" s="25"/>
      <c r="B3539" s="39"/>
      <c r="C3539" s="155"/>
      <c r="D3539" s="155"/>
      <c r="E3539" s="40"/>
      <c r="F3539" s="314"/>
      <c r="H3539" s="315"/>
      <c r="I3539" s="315"/>
      <c r="BA3539" s="30"/>
      <c r="BB3539" s="155"/>
      <c r="BC3539" s="314"/>
      <c r="BD3539" s="314"/>
      <c r="BE3539" s="314"/>
      <c r="BF3539" s="314"/>
      <c r="BG3539" s="314"/>
      <c r="BH3539" s="314"/>
      <c r="BI3539" s="314"/>
      <c r="BJ3539" s="314"/>
      <c r="BK3539" s="40"/>
      <c r="BL3539" s="40"/>
      <c r="BM3539" s="40"/>
      <c r="BN3539" s="40"/>
      <c r="BO3539" s="40"/>
      <c r="BP3539" s="155"/>
      <c r="BQ3539" s="314"/>
      <c r="BR3539" s="314"/>
      <c r="BS3539" s="314"/>
      <c r="BT3539" s="314"/>
      <c r="BU3539" s="314"/>
      <c r="BV3539" s="314"/>
      <c r="BW3539" s="314"/>
      <c r="BX3539" s="155"/>
    </row>
    <row r="3540" spans="1:76" ht="15.75" customHeight="1">
      <c r="A3540" s="25"/>
      <c r="B3540" s="39"/>
      <c r="C3540" s="155"/>
      <c r="D3540" s="155"/>
      <c r="E3540" s="40"/>
      <c r="F3540" s="314"/>
      <c r="H3540" s="315"/>
      <c r="I3540" s="315"/>
      <c r="BA3540" s="30"/>
      <c r="BB3540" s="155"/>
      <c r="BC3540" s="314"/>
      <c r="BD3540" s="314"/>
      <c r="BE3540" s="314"/>
      <c r="BF3540" s="314"/>
      <c r="BG3540" s="314"/>
      <c r="BH3540" s="314"/>
      <c r="BI3540" s="314"/>
      <c r="BJ3540" s="314"/>
      <c r="BK3540" s="40"/>
      <c r="BL3540" s="40"/>
      <c r="BM3540" s="40"/>
      <c r="BN3540" s="40"/>
      <c r="BO3540" s="40"/>
      <c r="BP3540" s="155"/>
      <c r="BQ3540" s="314"/>
      <c r="BR3540" s="314"/>
      <c r="BS3540" s="314"/>
      <c r="BT3540" s="314"/>
      <c r="BU3540" s="314"/>
      <c r="BV3540" s="314"/>
      <c r="BW3540" s="314"/>
      <c r="BX3540" s="155"/>
    </row>
    <row r="3541" spans="1:76" ht="15.75" customHeight="1">
      <c r="A3541" s="25"/>
      <c r="B3541" s="39"/>
      <c r="C3541" s="155"/>
      <c r="D3541" s="155"/>
      <c r="E3541" s="40"/>
      <c r="F3541" s="314"/>
      <c r="H3541" s="315"/>
      <c r="I3541" s="315"/>
      <c r="BA3541" s="30"/>
      <c r="BB3541" s="155"/>
      <c r="BC3541" s="322"/>
      <c r="BD3541" s="322"/>
      <c r="BE3541" s="322"/>
      <c r="BF3541" s="322"/>
      <c r="BG3541" s="322"/>
      <c r="BH3541" s="322"/>
      <c r="BI3541" s="322"/>
      <c r="BJ3541" s="322"/>
      <c r="BK3541" s="341"/>
      <c r="BL3541" s="40"/>
      <c r="BM3541" s="40"/>
      <c r="BN3541" s="40"/>
      <c r="BO3541" s="40"/>
      <c r="BP3541" s="155"/>
      <c r="BQ3541" s="314"/>
      <c r="BR3541" s="314"/>
      <c r="BS3541" s="314"/>
      <c r="BT3541" s="314"/>
      <c r="BU3541" s="314"/>
      <c r="BV3541" s="314"/>
      <c r="BW3541" s="314"/>
      <c r="BX3541" s="155"/>
    </row>
    <row r="3542" spans="1:76" ht="15.75" customHeight="1">
      <c r="A3542" s="25"/>
      <c r="B3542" s="39"/>
      <c r="C3542" s="155"/>
      <c r="D3542" s="155"/>
      <c r="E3542" s="40"/>
      <c r="F3542" s="314"/>
      <c r="H3542" s="315"/>
      <c r="I3542" s="315"/>
      <c r="BA3542" s="30"/>
      <c r="BB3542" s="155"/>
      <c r="BC3542" s="314"/>
      <c r="BD3542" s="314"/>
      <c r="BE3542" s="314"/>
      <c r="BF3542" s="314"/>
      <c r="BG3542" s="314"/>
      <c r="BH3542" s="314"/>
      <c r="BI3542" s="314"/>
      <c r="BJ3542" s="314"/>
      <c r="BK3542" s="40"/>
      <c r="BL3542" s="40"/>
      <c r="BM3542" s="40"/>
      <c r="BN3542" s="40"/>
      <c r="BO3542" s="40"/>
      <c r="BP3542" s="155"/>
      <c r="BQ3542" s="314"/>
      <c r="BR3542" s="314"/>
      <c r="BS3542" s="314"/>
      <c r="BT3542" s="314"/>
      <c r="BU3542" s="314"/>
      <c r="BV3542" s="314"/>
      <c r="BW3542" s="314"/>
      <c r="BX3542" s="155"/>
    </row>
    <row r="3543" spans="1:76" ht="15.75" customHeight="1">
      <c r="A3543" s="25"/>
      <c r="B3543" s="39"/>
      <c r="C3543" s="155"/>
      <c r="D3543" s="155"/>
      <c r="E3543" s="40"/>
      <c r="F3543" s="314"/>
      <c r="H3543" s="315"/>
      <c r="I3543" s="315"/>
      <c r="BA3543" s="30"/>
      <c r="BB3543" s="155"/>
      <c r="BC3543" s="314"/>
      <c r="BD3543" s="314"/>
      <c r="BE3543" s="314"/>
      <c r="BF3543" s="314"/>
      <c r="BG3543" s="314"/>
      <c r="BH3543" s="314"/>
      <c r="BI3543" s="314"/>
      <c r="BJ3543" s="314"/>
      <c r="BK3543" s="40"/>
      <c r="BL3543" s="40"/>
      <c r="BM3543" s="40"/>
      <c r="BN3543" s="40"/>
      <c r="BO3543" s="40"/>
      <c r="BP3543" s="155"/>
      <c r="BQ3543" s="314"/>
      <c r="BR3543" s="314"/>
      <c r="BS3543" s="314"/>
      <c r="BT3543" s="314"/>
      <c r="BU3543" s="314"/>
      <c r="BV3543" s="314"/>
      <c r="BW3543" s="314"/>
      <c r="BX3543" s="155"/>
    </row>
    <row r="3544" spans="1:76" ht="15.75" customHeight="1">
      <c r="A3544" s="25"/>
      <c r="B3544" s="39"/>
      <c r="C3544" s="155"/>
      <c r="D3544" s="155"/>
      <c r="E3544" s="40"/>
      <c r="F3544" s="314"/>
      <c r="H3544" s="315"/>
      <c r="I3544" s="315"/>
      <c r="BA3544" s="30"/>
      <c r="BB3544" s="155"/>
      <c r="BC3544" s="314"/>
      <c r="BD3544" s="314"/>
      <c r="BE3544" s="314"/>
      <c r="BF3544" s="314"/>
      <c r="BG3544" s="314"/>
      <c r="BH3544" s="314"/>
      <c r="BI3544" s="314"/>
      <c r="BJ3544" s="314"/>
      <c r="BK3544" s="40"/>
      <c r="BL3544" s="40"/>
      <c r="BM3544" s="40"/>
      <c r="BN3544" s="40"/>
      <c r="BO3544" s="40"/>
      <c r="BP3544" s="155"/>
      <c r="BQ3544" s="314"/>
      <c r="BR3544" s="314"/>
      <c r="BS3544" s="314"/>
      <c r="BT3544" s="314"/>
      <c r="BU3544" s="314"/>
      <c r="BV3544" s="314"/>
      <c r="BW3544" s="314"/>
      <c r="BX3544" s="155"/>
    </row>
    <row r="3545" spans="1:76" ht="15.75" customHeight="1">
      <c r="A3545" s="25"/>
      <c r="B3545" s="39"/>
      <c r="C3545" s="155"/>
      <c r="D3545" s="155"/>
      <c r="E3545" s="40"/>
      <c r="F3545" s="314"/>
      <c r="H3545" s="315"/>
      <c r="I3545" s="315"/>
      <c r="BA3545" s="30"/>
      <c r="BB3545" s="155"/>
      <c r="BC3545" s="314"/>
      <c r="BD3545" s="314"/>
      <c r="BE3545" s="314"/>
      <c r="BF3545" s="314"/>
      <c r="BG3545" s="314"/>
      <c r="BH3545" s="314"/>
      <c r="BI3545" s="314"/>
      <c r="BJ3545" s="314"/>
      <c r="BK3545" s="40"/>
      <c r="BL3545" s="40"/>
      <c r="BM3545" s="40"/>
      <c r="BN3545" s="40"/>
      <c r="BO3545" s="40"/>
      <c r="BP3545" s="155"/>
      <c r="BQ3545" s="314"/>
      <c r="BR3545" s="314"/>
      <c r="BS3545" s="314"/>
      <c r="BT3545" s="314"/>
      <c r="BU3545" s="314"/>
      <c r="BV3545" s="314"/>
      <c r="BW3545" s="314"/>
      <c r="BX3545" s="155"/>
    </row>
    <row r="3546" spans="1:76" ht="15.75" customHeight="1">
      <c r="A3546" s="25"/>
      <c r="B3546" s="39"/>
      <c r="C3546" s="155"/>
      <c r="D3546" s="155"/>
      <c r="E3546" s="40"/>
      <c r="F3546" s="314"/>
      <c r="H3546" s="315"/>
      <c r="I3546" s="315"/>
      <c r="BA3546" s="30"/>
      <c r="BB3546" s="155"/>
      <c r="BC3546" s="314"/>
      <c r="BD3546" s="314"/>
      <c r="BE3546" s="314"/>
      <c r="BF3546" s="314"/>
      <c r="BG3546" s="314"/>
      <c r="BH3546" s="314"/>
      <c r="BI3546" s="314"/>
      <c r="BJ3546" s="314"/>
      <c r="BK3546" s="40"/>
      <c r="BL3546" s="40"/>
      <c r="BM3546" s="40"/>
      <c r="BN3546" s="40"/>
      <c r="BO3546" s="40"/>
      <c r="BP3546" s="155"/>
      <c r="BQ3546" s="314"/>
      <c r="BR3546" s="314"/>
      <c r="BS3546" s="314"/>
      <c r="BT3546" s="314"/>
      <c r="BU3546" s="314"/>
      <c r="BV3546" s="314"/>
      <c r="BW3546" s="314"/>
      <c r="BX3546" s="155"/>
    </row>
    <row r="3547" spans="1:76" ht="15.75" customHeight="1">
      <c r="A3547" s="25"/>
      <c r="B3547" s="39"/>
      <c r="C3547" s="155"/>
      <c r="D3547" s="155"/>
      <c r="E3547" s="40"/>
      <c r="F3547" s="314"/>
      <c r="H3547" s="315"/>
      <c r="I3547" s="315"/>
      <c r="BA3547" s="30"/>
      <c r="BB3547" s="155"/>
      <c r="BC3547" s="314"/>
      <c r="BD3547" s="314"/>
      <c r="BE3547" s="314"/>
      <c r="BF3547" s="314"/>
      <c r="BG3547" s="314"/>
      <c r="BH3547" s="314"/>
      <c r="BI3547" s="314"/>
      <c r="BJ3547" s="314"/>
      <c r="BK3547" s="40"/>
      <c r="BL3547" s="40"/>
      <c r="BM3547" s="40"/>
      <c r="BN3547" s="40"/>
      <c r="BO3547" s="40"/>
      <c r="BP3547" s="155"/>
      <c r="BQ3547" s="314"/>
      <c r="BR3547" s="314"/>
      <c r="BS3547" s="314"/>
      <c r="BT3547" s="314"/>
      <c r="BU3547" s="314"/>
      <c r="BV3547" s="314"/>
      <c r="BW3547" s="314"/>
      <c r="BX3547" s="155"/>
    </row>
    <row r="3548" spans="1:76" ht="15.75" customHeight="1">
      <c r="A3548" s="25"/>
      <c r="B3548" s="39"/>
      <c r="C3548" s="155"/>
      <c r="D3548" s="155"/>
      <c r="E3548" s="40"/>
      <c r="F3548" s="314"/>
      <c r="H3548" s="315"/>
      <c r="I3548" s="315"/>
      <c r="BA3548" s="30"/>
      <c r="BB3548" s="155"/>
      <c r="BC3548" s="314"/>
      <c r="BD3548" s="314"/>
      <c r="BE3548" s="314"/>
      <c r="BF3548" s="314"/>
      <c r="BG3548" s="314"/>
      <c r="BH3548" s="314"/>
      <c r="BI3548" s="314"/>
      <c r="BJ3548" s="314"/>
      <c r="BK3548" s="40"/>
      <c r="BL3548" s="40"/>
      <c r="BM3548" s="40"/>
      <c r="BN3548" s="40"/>
      <c r="BO3548" s="40"/>
      <c r="BP3548" s="155"/>
      <c r="BQ3548" s="314"/>
      <c r="BR3548" s="314"/>
      <c r="BS3548" s="314"/>
      <c r="BT3548" s="314"/>
      <c r="BU3548" s="314"/>
      <c r="BV3548" s="314"/>
      <c r="BW3548" s="314"/>
      <c r="BX3548" s="155"/>
    </row>
    <row r="3549" spans="1:76" ht="15.75" customHeight="1">
      <c r="A3549" s="25"/>
      <c r="B3549" s="39"/>
      <c r="C3549" s="155"/>
      <c r="D3549" s="155"/>
      <c r="E3549" s="40"/>
      <c r="F3549" s="314"/>
      <c r="H3549" s="315"/>
      <c r="I3549" s="315"/>
      <c r="BA3549" s="30"/>
      <c r="BB3549" s="155"/>
      <c r="BC3549" s="314"/>
      <c r="BD3549" s="314"/>
      <c r="BE3549" s="314"/>
      <c r="BF3549" s="314"/>
      <c r="BG3549" s="314"/>
      <c r="BH3549" s="314"/>
      <c r="BI3549" s="314"/>
      <c r="BJ3549" s="314"/>
      <c r="BK3549" s="40"/>
      <c r="BL3549" s="40"/>
      <c r="BM3549" s="40"/>
      <c r="BN3549" s="40"/>
      <c r="BO3549" s="40"/>
      <c r="BP3549" s="155"/>
      <c r="BQ3549" s="314"/>
      <c r="BR3549" s="314"/>
      <c r="BS3549" s="314"/>
      <c r="BT3549" s="314"/>
      <c r="BU3549" s="314"/>
      <c r="BV3549" s="314"/>
      <c r="BW3549" s="314"/>
      <c r="BX3549" s="155"/>
    </row>
    <row r="3550" spans="1:76" ht="15.75" customHeight="1">
      <c r="A3550" s="25"/>
      <c r="B3550" s="39"/>
      <c r="C3550" s="155"/>
      <c r="D3550" s="155"/>
      <c r="E3550" s="40"/>
      <c r="F3550" s="314"/>
      <c r="H3550" s="315"/>
      <c r="I3550" s="315"/>
      <c r="BA3550" s="30"/>
      <c r="BB3550" s="155"/>
      <c r="BC3550" s="314"/>
      <c r="BD3550" s="314"/>
      <c r="BE3550" s="314"/>
      <c r="BF3550" s="314"/>
      <c r="BG3550" s="314"/>
      <c r="BH3550" s="314"/>
      <c r="BI3550" s="314"/>
      <c r="BJ3550" s="314"/>
      <c r="BK3550" s="40"/>
      <c r="BL3550" s="40"/>
      <c r="BM3550" s="40"/>
      <c r="BN3550" s="40"/>
      <c r="BO3550" s="40"/>
      <c r="BP3550" s="155"/>
      <c r="BQ3550" s="314"/>
      <c r="BR3550" s="314"/>
      <c r="BS3550" s="314"/>
      <c r="BT3550" s="314"/>
      <c r="BU3550" s="314"/>
      <c r="BV3550" s="314"/>
      <c r="BW3550" s="314"/>
      <c r="BX3550" s="155"/>
    </row>
    <row r="3551" spans="1:76" ht="15.75" customHeight="1">
      <c r="A3551" s="25"/>
      <c r="B3551" s="39"/>
      <c r="C3551" s="155"/>
      <c r="D3551" s="155"/>
      <c r="E3551" s="40"/>
      <c r="F3551" s="314"/>
      <c r="H3551" s="315"/>
      <c r="I3551" s="315"/>
      <c r="BA3551" s="30"/>
      <c r="BB3551" s="155"/>
      <c r="BC3551" s="314"/>
      <c r="BD3551" s="314"/>
      <c r="BE3551" s="314"/>
      <c r="BF3551" s="314"/>
      <c r="BG3551" s="314"/>
      <c r="BH3551" s="314"/>
      <c r="BI3551" s="314"/>
      <c r="BJ3551" s="314"/>
      <c r="BK3551" s="40"/>
      <c r="BL3551" s="40"/>
      <c r="BM3551" s="40"/>
      <c r="BN3551" s="40"/>
      <c r="BO3551" s="40"/>
      <c r="BP3551" s="155"/>
      <c r="BQ3551" s="314"/>
      <c r="BR3551" s="314"/>
      <c r="BS3551" s="314"/>
      <c r="BT3551" s="314"/>
      <c r="BU3551" s="314"/>
      <c r="BV3551" s="314"/>
      <c r="BW3551" s="314"/>
      <c r="BX3551" s="155"/>
    </row>
    <row r="3552" spans="1:76" ht="15.75" customHeight="1">
      <c r="A3552" s="25"/>
      <c r="B3552" s="39"/>
      <c r="C3552" s="155"/>
      <c r="D3552" s="155"/>
      <c r="E3552" s="40"/>
      <c r="F3552" s="314"/>
      <c r="H3552" s="315"/>
      <c r="I3552" s="315"/>
      <c r="BA3552" s="30"/>
      <c r="BB3552" s="155"/>
      <c r="BC3552" s="314"/>
      <c r="BD3552" s="314"/>
      <c r="BE3552" s="314"/>
      <c r="BF3552" s="314"/>
      <c r="BG3552" s="314"/>
      <c r="BH3552" s="314"/>
      <c r="BI3552" s="314"/>
      <c r="BJ3552" s="314"/>
      <c r="BK3552" s="40"/>
      <c r="BL3552" s="40"/>
      <c r="BM3552" s="40"/>
      <c r="BN3552" s="40"/>
      <c r="BO3552" s="40"/>
      <c r="BP3552" s="155"/>
      <c r="BQ3552" s="314"/>
      <c r="BR3552" s="314"/>
      <c r="BS3552" s="314"/>
      <c r="BT3552" s="314"/>
      <c r="BU3552" s="314"/>
      <c r="BV3552" s="314"/>
      <c r="BW3552" s="314"/>
      <c r="BX3552" s="155"/>
    </row>
    <row r="3553" spans="1:76" ht="15.75" customHeight="1">
      <c r="A3553" s="25"/>
      <c r="B3553" s="39"/>
      <c r="C3553" s="155"/>
      <c r="D3553" s="155"/>
      <c r="E3553" s="40"/>
      <c r="F3553" s="314"/>
      <c r="H3553" s="315"/>
      <c r="I3553" s="315"/>
      <c r="BA3553" s="30"/>
      <c r="BB3553" s="155"/>
      <c r="BC3553" s="314"/>
      <c r="BD3553" s="314"/>
      <c r="BE3553" s="314"/>
      <c r="BF3553" s="314"/>
      <c r="BG3553" s="314"/>
      <c r="BH3553" s="314"/>
      <c r="BI3553" s="314"/>
      <c r="BJ3553" s="314"/>
      <c r="BK3553" s="40"/>
      <c r="BL3553" s="40"/>
      <c r="BM3553" s="40"/>
      <c r="BN3553" s="40"/>
      <c r="BO3553" s="40"/>
      <c r="BP3553" s="155"/>
      <c r="BQ3553" s="314"/>
      <c r="BR3553" s="314"/>
      <c r="BS3553" s="314"/>
      <c r="BT3553" s="314"/>
      <c r="BU3553" s="314"/>
      <c r="BV3553" s="314"/>
      <c r="BW3553" s="314"/>
      <c r="BX3553" s="155"/>
    </row>
    <row r="3554" spans="1:76" ht="15.75" customHeight="1">
      <c r="A3554" s="25"/>
      <c r="B3554" s="39"/>
      <c r="C3554" s="155"/>
      <c r="D3554" s="155"/>
      <c r="E3554" s="40"/>
      <c r="F3554" s="314"/>
      <c r="H3554" s="315"/>
      <c r="I3554" s="315"/>
      <c r="BA3554" s="30"/>
      <c r="BB3554" s="155"/>
      <c r="BC3554" s="314"/>
      <c r="BD3554" s="314"/>
      <c r="BE3554" s="314"/>
      <c r="BF3554" s="314"/>
      <c r="BG3554" s="314"/>
      <c r="BH3554" s="314"/>
      <c r="BI3554" s="314"/>
      <c r="BJ3554" s="314"/>
      <c r="BK3554" s="40"/>
      <c r="BL3554" s="40"/>
      <c r="BM3554" s="40"/>
      <c r="BN3554" s="40"/>
      <c r="BO3554" s="40"/>
      <c r="BP3554" s="155"/>
      <c r="BQ3554" s="314"/>
      <c r="BR3554" s="314"/>
      <c r="BS3554" s="314"/>
      <c r="BT3554" s="314"/>
      <c r="BU3554" s="314"/>
      <c r="BV3554" s="314"/>
      <c r="BW3554" s="314"/>
      <c r="BX3554" s="155"/>
    </row>
    <row r="3555" spans="1:76" ht="15.75" customHeight="1">
      <c r="A3555" s="25"/>
      <c r="B3555" s="39"/>
      <c r="C3555" s="155"/>
      <c r="D3555" s="155"/>
      <c r="E3555" s="40"/>
      <c r="F3555" s="314"/>
      <c r="H3555" s="315"/>
      <c r="I3555" s="315"/>
      <c r="BA3555" s="30"/>
      <c r="BB3555" s="155"/>
      <c r="BC3555" s="314"/>
      <c r="BD3555" s="314"/>
      <c r="BE3555" s="314"/>
      <c r="BF3555" s="314"/>
      <c r="BG3555" s="314"/>
      <c r="BH3555" s="314"/>
      <c r="BI3555" s="314"/>
      <c r="BJ3555" s="314"/>
      <c r="BK3555" s="40"/>
      <c r="BL3555" s="40"/>
      <c r="BM3555" s="40"/>
      <c r="BN3555" s="40"/>
      <c r="BO3555" s="40"/>
      <c r="BP3555" s="155"/>
      <c r="BQ3555" s="314"/>
      <c r="BR3555" s="314"/>
      <c r="BS3555" s="314"/>
      <c r="BT3555" s="314"/>
      <c r="BU3555" s="314"/>
      <c r="BV3555" s="314"/>
      <c r="BW3555" s="314"/>
      <c r="BX3555" s="155"/>
    </row>
    <row r="3556" spans="1:76" ht="15.75" customHeight="1">
      <c r="A3556" s="25"/>
      <c r="B3556" s="39"/>
      <c r="C3556" s="155"/>
      <c r="D3556" s="155"/>
      <c r="E3556" s="40"/>
      <c r="F3556" s="314"/>
      <c r="H3556" s="315"/>
      <c r="I3556" s="315"/>
      <c r="BA3556" s="30"/>
      <c r="BB3556" s="155"/>
      <c r="BC3556" s="314"/>
      <c r="BD3556" s="314"/>
      <c r="BE3556" s="314"/>
      <c r="BF3556" s="314"/>
      <c r="BG3556" s="314"/>
      <c r="BH3556" s="314"/>
      <c r="BI3556" s="314"/>
      <c r="BJ3556" s="314"/>
      <c r="BK3556" s="40"/>
      <c r="BL3556" s="40"/>
      <c r="BM3556" s="40"/>
      <c r="BN3556" s="40"/>
      <c r="BO3556" s="40"/>
      <c r="BP3556" s="155"/>
      <c r="BQ3556" s="314"/>
      <c r="BR3556" s="314"/>
      <c r="BS3556" s="314"/>
      <c r="BT3556" s="314"/>
      <c r="BU3556" s="314"/>
      <c r="BV3556" s="314"/>
      <c r="BW3556" s="314"/>
      <c r="BX3556" s="155"/>
    </row>
    <row r="3557" spans="1:76" ht="15.75" customHeight="1">
      <c r="A3557" s="25"/>
      <c r="B3557" s="39"/>
      <c r="C3557" s="155"/>
      <c r="D3557" s="155"/>
      <c r="E3557" s="40"/>
      <c r="F3557" s="314"/>
      <c r="H3557" s="315"/>
      <c r="I3557" s="315"/>
      <c r="BA3557" s="30"/>
      <c r="BB3557" s="155"/>
      <c r="BC3557" s="314"/>
      <c r="BD3557" s="314"/>
      <c r="BE3557" s="314"/>
      <c r="BF3557" s="314"/>
      <c r="BG3557" s="314"/>
      <c r="BH3557" s="314"/>
      <c r="BI3557" s="314"/>
      <c r="BJ3557" s="314"/>
      <c r="BK3557" s="40"/>
      <c r="BL3557" s="40"/>
      <c r="BM3557" s="40"/>
      <c r="BN3557" s="40"/>
      <c r="BO3557" s="40"/>
      <c r="BP3557" s="155"/>
      <c r="BQ3557" s="314"/>
      <c r="BR3557" s="314"/>
      <c r="BS3557" s="314"/>
      <c r="BT3557" s="314"/>
      <c r="BU3557" s="314"/>
      <c r="BV3557" s="314"/>
      <c r="BW3557" s="314"/>
      <c r="BX3557" s="155"/>
    </row>
    <row r="3558" spans="1:76" ht="15.75" customHeight="1">
      <c r="A3558" s="25"/>
      <c r="B3558" s="39"/>
      <c r="C3558" s="155"/>
      <c r="D3558" s="155"/>
      <c r="E3558" s="40"/>
      <c r="F3558" s="314"/>
      <c r="H3558" s="315"/>
      <c r="I3558" s="315"/>
      <c r="BA3558" s="30"/>
      <c r="BB3558" s="155"/>
      <c r="BC3558" s="314"/>
      <c r="BD3558" s="314"/>
      <c r="BE3558" s="314"/>
      <c r="BF3558" s="314"/>
      <c r="BG3558" s="314"/>
      <c r="BH3558" s="314"/>
      <c r="BI3558" s="314"/>
      <c r="BJ3558" s="314"/>
      <c r="BK3558" s="40"/>
      <c r="BL3558" s="40"/>
      <c r="BM3558" s="40"/>
      <c r="BN3558" s="40"/>
      <c r="BO3558" s="40"/>
      <c r="BP3558" s="155"/>
      <c r="BQ3558" s="314"/>
      <c r="BR3558" s="314"/>
      <c r="BS3558" s="314"/>
      <c r="BT3558" s="314"/>
      <c r="BU3558" s="314"/>
      <c r="BV3558" s="314"/>
      <c r="BW3558" s="314"/>
      <c r="BX3558" s="155"/>
    </row>
    <row r="3559" spans="1:76" ht="15.75" customHeight="1">
      <c r="A3559" s="25"/>
      <c r="B3559" s="39"/>
      <c r="C3559" s="155"/>
      <c r="D3559" s="155"/>
      <c r="E3559" s="40"/>
      <c r="F3559" s="314"/>
      <c r="H3559" s="315"/>
      <c r="I3559" s="315"/>
      <c r="BA3559" s="30"/>
      <c r="BB3559" s="155"/>
      <c r="BC3559" s="314"/>
      <c r="BD3559" s="314"/>
      <c r="BE3559" s="314"/>
      <c r="BF3559" s="314"/>
      <c r="BG3559" s="314"/>
      <c r="BH3559" s="314"/>
      <c r="BI3559" s="314"/>
      <c r="BJ3559" s="314"/>
      <c r="BK3559" s="40"/>
      <c r="BL3559" s="40"/>
      <c r="BM3559" s="40"/>
      <c r="BN3559" s="40"/>
      <c r="BO3559" s="40"/>
      <c r="BP3559" s="155"/>
      <c r="BQ3559" s="314"/>
      <c r="BR3559" s="314"/>
      <c r="BS3559" s="314"/>
      <c r="BT3559" s="314"/>
      <c r="BU3559" s="314"/>
      <c r="BV3559" s="314"/>
      <c r="BW3559" s="314"/>
      <c r="BX3559" s="155"/>
    </row>
    <row r="3560" spans="1:76" ht="15.75" customHeight="1">
      <c r="A3560" s="25"/>
      <c r="B3560" s="39"/>
      <c r="C3560" s="155"/>
      <c r="D3560" s="155"/>
      <c r="E3560" s="40"/>
      <c r="F3560" s="314"/>
      <c r="H3560" s="315"/>
      <c r="I3560" s="315"/>
      <c r="BA3560" s="30"/>
      <c r="BB3560" s="155"/>
      <c r="BC3560" s="314"/>
      <c r="BD3560" s="314"/>
      <c r="BE3560" s="314"/>
      <c r="BF3560" s="314"/>
      <c r="BG3560" s="314"/>
      <c r="BH3560" s="314"/>
      <c r="BI3560" s="314"/>
      <c r="BJ3560" s="314"/>
      <c r="BK3560" s="40"/>
      <c r="BL3560" s="40"/>
      <c r="BM3560" s="40"/>
      <c r="BN3560" s="40"/>
      <c r="BO3560" s="40"/>
      <c r="BP3560" s="155"/>
      <c r="BQ3560" s="314"/>
      <c r="BR3560" s="314"/>
      <c r="BS3560" s="314"/>
      <c r="BT3560" s="314"/>
      <c r="BU3560" s="314"/>
      <c r="BV3560" s="314"/>
      <c r="BW3560" s="314"/>
      <c r="BX3560" s="155"/>
    </row>
    <row r="3561" spans="1:76" ht="15.75" customHeight="1">
      <c r="A3561" s="25"/>
      <c r="B3561" s="39"/>
      <c r="C3561" s="155"/>
      <c r="D3561" s="155"/>
      <c r="E3561" s="40"/>
      <c r="F3561" s="314"/>
      <c r="H3561" s="315"/>
      <c r="I3561" s="315"/>
      <c r="BA3561" s="30"/>
      <c r="BB3561" s="155"/>
      <c r="BC3561" s="314"/>
      <c r="BD3561" s="314"/>
      <c r="BE3561" s="314"/>
      <c r="BF3561" s="314"/>
      <c r="BG3561" s="314"/>
      <c r="BH3561" s="314"/>
      <c r="BI3561" s="314"/>
      <c r="BJ3561" s="314"/>
      <c r="BK3561" s="40"/>
      <c r="BL3561" s="40"/>
      <c r="BM3561" s="40"/>
      <c r="BN3561" s="40"/>
      <c r="BO3561" s="40"/>
      <c r="BP3561" s="155"/>
      <c r="BQ3561" s="314"/>
      <c r="BR3561" s="314"/>
      <c r="BS3561" s="314"/>
      <c r="BT3561" s="314"/>
      <c r="BU3561" s="314"/>
      <c r="BV3561" s="314"/>
      <c r="BW3561" s="314"/>
      <c r="BX3561" s="155"/>
    </row>
    <row r="3562" spans="1:76" ht="15.75" customHeight="1">
      <c r="A3562" s="25"/>
      <c r="B3562" s="39"/>
      <c r="C3562" s="155"/>
      <c r="D3562" s="155"/>
      <c r="E3562" s="40"/>
      <c r="F3562" s="314"/>
      <c r="H3562" s="315"/>
      <c r="I3562" s="315"/>
      <c r="BA3562" s="30"/>
      <c r="BB3562" s="155"/>
      <c r="BC3562" s="314"/>
      <c r="BD3562" s="314"/>
      <c r="BE3562" s="314"/>
      <c r="BF3562" s="314"/>
      <c r="BG3562" s="314"/>
      <c r="BH3562" s="314"/>
      <c r="BI3562" s="314"/>
      <c r="BJ3562" s="314"/>
      <c r="BK3562" s="40"/>
      <c r="BL3562" s="40"/>
      <c r="BM3562" s="40"/>
      <c r="BN3562" s="40"/>
      <c r="BO3562" s="40"/>
      <c r="BP3562" s="155"/>
      <c r="BQ3562" s="314"/>
      <c r="BR3562" s="314"/>
      <c r="BS3562" s="314"/>
      <c r="BT3562" s="314"/>
      <c r="BU3562" s="314"/>
      <c r="BV3562" s="314"/>
      <c r="BW3562" s="314"/>
      <c r="BX3562" s="155"/>
    </row>
    <row r="3563" spans="1:76" ht="15.75" customHeight="1">
      <c r="A3563" s="25"/>
      <c r="B3563" s="39"/>
      <c r="C3563" s="155"/>
      <c r="D3563" s="155"/>
      <c r="E3563" s="40"/>
      <c r="F3563" s="314"/>
      <c r="H3563" s="315"/>
      <c r="I3563" s="315"/>
      <c r="BA3563" s="30"/>
      <c r="BB3563" s="155"/>
      <c r="BC3563" s="314"/>
      <c r="BD3563" s="314"/>
      <c r="BE3563" s="314"/>
      <c r="BF3563" s="314"/>
      <c r="BG3563" s="314"/>
      <c r="BH3563" s="314"/>
      <c r="BI3563" s="314"/>
      <c r="BJ3563" s="314"/>
      <c r="BK3563" s="40"/>
      <c r="BL3563" s="40"/>
      <c r="BM3563" s="40"/>
      <c r="BN3563" s="40"/>
      <c r="BO3563" s="40"/>
      <c r="BP3563" s="155"/>
      <c r="BQ3563" s="314"/>
      <c r="BR3563" s="314"/>
      <c r="BS3563" s="314"/>
      <c r="BT3563" s="314"/>
      <c r="BU3563" s="314"/>
      <c r="BV3563" s="314"/>
      <c r="BW3563" s="314"/>
      <c r="BX3563" s="155"/>
    </row>
    <row r="3564" spans="1:76" ht="15.75" customHeight="1">
      <c r="A3564" s="25"/>
      <c r="B3564" s="39"/>
      <c r="C3564" s="155"/>
      <c r="D3564" s="155"/>
      <c r="E3564" s="40"/>
      <c r="F3564" s="314"/>
      <c r="H3564" s="315"/>
      <c r="I3564" s="315"/>
      <c r="BA3564" s="30"/>
      <c r="BB3564" s="155"/>
      <c r="BC3564" s="314"/>
      <c r="BD3564" s="314"/>
      <c r="BE3564" s="314"/>
      <c r="BF3564" s="314"/>
      <c r="BG3564" s="314"/>
      <c r="BH3564" s="314"/>
      <c r="BI3564" s="314"/>
      <c r="BJ3564" s="314"/>
      <c r="BK3564" s="40"/>
      <c r="BL3564" s="40"/>
      <c r="BM3564" s="40"/>
      <c r="BN3564" s="40"/>
      <c r="BO3564" s="40"/>
      <c r="BP3564" s="155"/>
      <c r="BQ3564" s="314"/>
      <c r="BR3564" s="314"/>
      <c r="BS3564" s="314"/>
      <c r="BT3564" s="314"/>
      <c r="BU3564" s="314"/>
      <c r="BV3564" s="314"/>
      <c r="BW3564" s="314"/>
      <c r="BX3564" s="155"/>
    </row>
    <row r="3565" spans="1:76" ht="15.75" customHeight="1">
      <c r="A3565" s="25"/>
      <c r="B3565" s="39"/>
      <c r="C3565" s="155"/>
      <c r="D3565" s="155"/>
      <c r="E3565" s="40"/>
      <c r="F3565" s="314"/>
      <c r="H3565" s="315"/>
      <c r="I3565" s="315"/>
      <c r="BA3565" s="30"/>
      <c r="BB3565" s="155"/>
      <c r="BC3565" s="314"/>
      <c r="BD3565" s="314"/>
      <c r="BE3565" s="314"/>
      <c r="BF3565" s="314"/>
      <c r="BG3565" s="314"/>
      <c r="BH3565" s="314"/>
      <c r="BI3565" s="314"/>
      <c r="BJ3565" s="314"/>
      <c r="BK3565" s="40"/>
      <c r="BL3565" s="40"/>
      <c r="BM3565" s="40"/>
      <c r="BN3565" s="40"/>
      <c r="BO3565" s="40"/>
      <c r="BP3565" s="155"/>
      <c r="BQ3565" s="314"/>
      <c r="BR3565" s="314"/>
      <c r="BS3565" s="314"/>
      <c r="BT3565" s="314"/>
      <c r="BU3565" s="314"/>
      <c r="BV3565" s="314"/>
      <c r="BW3565" s="314"/>
      <c r="BX3565" s="155"/>
    </row>
    <row r="3566" spans="1:76" ht="15.75" customHeight="1">
      <c r="A3566" s="25"/>
      <c r="B3566" s="39"/>
      <c r="C3566" s="155"/>
      <c r="D3566" s="155"/>
      <c r="E3566" s="40"/>
      <c r="F3566" s="314"/>
      <c r="H3566" s="315"/>
      <c r="I3566" s="315"/>
      <c r="BA3566" s="30"/>
      <c r="BB3566" s="155"/>
      <c r="BC3566" s="314"/>
      <c r="BD3566" s="314"/>
      <c r="BE3566" s="314"/>
      <c r="BF3566" s="314"/>
      <c r="BG3566" s="314"/>
      <c r="BH3566" s="314"/>
      <c r="BI3566" s="314"/>
      <c r="BJ3566" s="314"/>
      <c r="BK3566" s="40"/>
      <c r="BL3566" s="40"/>
      <c r="BM3566" s="40"/>
      <c r="BN3566" s="40"/>
      <c r="BO3566" s="40"/>
      <c r="BP3566" s="155"/>
      <c r="BQ3566" s="314"/>
      <c r="BR3566" s="314"/>
      <c r="BS3566" s="314"/>
      <c r="BT3566" s="314"/>
      <c r="BU3566" s="314"/>
      <c r="BV3566" s="314"/>
      <c r="BW3566" s="314"/>
      <c r="BX3566" s="155"/>
    </row>
    <row r="3567" spans="1:76" ht="15.75" customHeight="1">
      <c r="A3567" s="25"/>
      <c r="B3567" s="39"/>
      <c r="C3567" s="155"/>
      <c r="D3567" s="155"/>
      <c r="E3567" s="40"/>
      <c r="F3567" s="314"/>
      <c r="H3567" s="315"/>
      <c r="I3567" s="315"/>
      <c r="BA3567" s="30"/>
      <c r="BB3567" s="155"/>
      <c r="BC3567" s="314"/>
      <c r="BD3567" s="314"/>
      <c r="BE3567" s="314"/>
      <c r="BF3567" s="314"/>
      <c r="BG3567" s="314"/>
      <c r="BH3567" s="314"/>
      <c r="BI3567" s="314"/>
      <c r="BJ3567" s="314"/>
      <c r="BK3567" s="40"/>
      <c r="BL3567" s="40"/>
      <c r="BM3567" s="40"/>
      <c r="BN3567" s="40"/>
      <c r="BO3567" s="40"/>
      <c r="BP3567" s="155"/>
      <c r="BQ3567" s="314"/>
      <c r="BR3567" s="314"/>
      <c r="BS3567" s="314"/>
      <c r="BT3567" s="314"/>
      <c r="BU3567" s="314"/>
      <c r="BV3567" s="314"/>
      <c r="BW3567" s="314"/>
      <c r="BX3567" s="155"/>
    </row>
    <row r="3568" spans="1:76" ht="15.75" customHeight="1">
      <c r="A3568" s="25"/>
      <c r="B3568" s="39"/>
      <c r="C3568" s="155"/>
      <c r="D3568" s="155"/>
      <c r="E3568" s="40"/>
      <c r="F3568" s="314"/>
      <c r="H3568" s="315"/>
      <c r="I3568" s="315"/>
      <c r="BA3568" s="30"/>
      <c r="BB3568" s="155"/>
      <c r="BC3568" s="314"/>
      <c r="BD3568" s="314"/>
      <c r="BE3568" s="314"/>
      <c r="BF3568" s="314"/>
      <c r="BG3568" s="314"/>
      <c r="BH3568" s="314"/>
      <c r="BI3568" s="314"/>
      <c r="BJ3568" s="314"/>
      <c r="BK3568" s="40"/>
      <c r="BL3568" s="40"/>
      <c r="BM3568" s="40"/>
      <c r="BN3568" s="40"/>
      <c r="BO3568" s="40"/>
      <c r="BP3568" s="155"/>
      <c r="BQ3568" s="314"/>
      <c r="BR3568" s="314"/>
      <c r="BS3568" s="314"/>
      <c r="BT3568" s="314"/>
      <c r="BU3568" s="314"/>
      <c r="BV3568" s="314"/>
      <c r="BW3568" s="314"/>
      <c r="BX3568" s="155"/>
    </row>
    <row r="3569" spans="1:76" ht="15.75" customHeight="1">
      <c r="A3569" s="25"/>
      <c r="B3569" s="39"/>
      <c r="C3569" s="155"/>
      <c r="D3569" s="155"/>
      <c r="E3569" s="40"/>
      <c r="F3569" s="314"/>
      <c r="H3569" s="315"/>
      <c r="I3569" s="315"/>
      <c r="BA3569" s="30"/>
      <c r="BB3569" s="155"/>
      <c r="BC3569" s="314"/>
      <c r="BD3569" s="314"/>
      <c r="BE3569" s="314"/>
      <c r="BF3569" s="314"/>
      <c r="BG3569" s="314"/>
      <c r="BH3569" s="314"/>
      <c r="BI3569" s="314"/>
      <c r="BJ3569" s="314"/>
      <c r="BK3569" s="40"/>
      <c r="BL3569" s="40"/>
      <c r="BM3569" s="40"/>
      <c r="BN3569" s="40"/>
      <c r="BO3569" s="40"/>
      <c r="BP3569" s="155"/>
      <c r="BQ3569" s="314"/>
      <c r="BR3569" s="314"/>
      <c r="BS3569" s="314"/>
      <c r="BT3569" s="314"/>
      <c r="BU3569" s="314"/>
      <c r="BV3569" s="314"/>
      <c r="BW3569" s="314"/>
      <c r="BX3569" s="155"/>
    </row>
    <row r="3570" spans="1:76" ht="15.75" customHeight="1">
      <c r="A3570" s="25"/>
      <c r="B3570" s="39"/>
      <c r="C3570" s="155"/>
      <c r="D3570" s="155"/>
      <c r="E3570" s="40"/>
      <c r="F3570" s="314"/>
      <c r="H3570" s="315"/>
      <c r="I3570" s="315"/>
      <c r="BA3570" s="30"/>
      <c r="BB3570" s="155"/>
      <c r="BC3570" s="314"/>
      <c r="BD3570" s="314"/>
      <c r="BE3570" s="314"/>
      <c r="BF3570" s="314"/>
      <c r="BG3570" s="314"/>
      <c r="BH3570" s="314"/>
      <c r="BI3570" s="314"/>
      <c r="BJ3570" s="314"/>
      <c r="BK3570" s="40"/>
      <c r="BL3570" s="40"/>
      <c r="BM3570" s="40"/>
      <c r="BN3570" s="40"/>
      <c r="BO3570" s="40"/>
      <c r="BP3570" s="155"/>
      <c r="BQ3570" s="314"/>
      <c r="BR3570" s="314"/>
      <c r="BS3570" s="314"/>
      <c r="BT3570" s="314"/>
      <c r="BU3570" s="314"/>
      <c r="BV3570" s="314"/>
      <c r="BW3570" s="314"/>
      <c r="BX3570" s="155"/>
    </row>
    <row r="3571" spans="1:76" ht="15.75" customHeight="1">
      <c r="A3571" s="25"/>
      <c r="B3571" s="39"/>
      <c r="C3571" s="155"/>
      <c r="D3571" s="155"/>
      <c r="E3571" s="40"/>
      <c r="F3571" s="314"/>
      <c r="H3571" s="315"/>
      <c r="I3571" s="315"/>
      <c r="BA3571" s="30"/>
      <c r="BB3571" s="155"/>
      <c r="BC3571" s="314"/>
      <c r="BD3571" s="314"/>
      <c r="BE3571" s="314"/>
      <c r="BF3571" s="314"/>
      <c r="BG3571" s="314"/>
      <c r="BH3571" s="314"/>
      <c r="BI3571" s="314"/>
      <c r="BJ3571" s="314"/>
      <c r="BK3571" s="40"/>
      <c r="BL3571" s="40"/>
      <c r="BM3571" s="40"/>
      <c r="BN3571" s="40"/>
      <c r="BO3571" s="40"/>
      <c r="BP3571" s="155"/>
      <c r="BQ3571" s="314"/>
      <c r="BR3571" s="314"/>
      <c r="BS3571" s="314"/>
      <c r="BT3571" s="314"/>
      <c r="BU3571" s="314"/>
      <c r="BV3571" s="314"/>
      <c r="BW3571" s="314"/>
      <c r="BX3571" s="155"/>
    </row>
    <row r="3572" spans="1:76" ht="15.75" customHeight="1">
      <c r="A3572" s="25"/>
      <c r="B3572" s="39"/>
      <c r="C3572" s="155"/>
      <c r="D3572" s="155"/>
      <c r="E3572" s="40"/>
      <c r="F3572" s="314"/>
      <c r="H3572" s="315"/>
      <c r="I3572" s="315"/>
      <c r="BA3572" s="30"/>
      <c r="BB3572" s="155"/>
      <c r="BC3572" s="314"/>
      <c r="BD3572" s="314"/>
      <c r="BE3572" s="314"/>
      <c r="BF3572" s="314"/>
      <c r="BG3572" s="314"/>
      <c r="BH3572" s="314"/>
      <c r="BI3572" s="314"/>
      <c r="BJ3572" s="314"/>
      <c r="BK3572" s="40"/>
      <c r="BL3572" s="40"/>
      <c r="BM3572" s="40"/>
      <c r="BN3572" s="40"/>
      <c r="BO3572" s="40"/>
      <c r="BP3572" s="155"/>
      <c r="BQ3572" s="314"/>
      <c r="BR3572" s="314"/>
      <c r="BS3572" s="314"/>
      <c r="BT3572" s="314"/>
      <c r="BU3572" s="314"/>
      <c r="BV3572" s="314"/>
      <c r="BW3572" s="314"/>
      <c r="BX3572" s="155"/>
    </row>
    <row r="3573" spans="1:76" ht="15.75" customHeight="1">
      <c r="A3573" s="25"/>
      <c r="B3573" s="39"/>
      <c r="C3573" s="155"/>
      <c r="D3573" s="155"/>
      <c r="E3573" s="40"/>
      <c r="F3573" s="314"/>
      <c r="H3573" s="315"/>
      <c r="I3573" s="315"/>
      <c r="BA3573" s="30"/>
      <c r="BB3573" s="155"/>
      <c r="BC3573" s="314"/>
      <c r="BD3573" s="314"/>
      <c r="BE3573" s="314"/>
      <c r="BF3573" s="314"/>
      <c r="BG3573" s="314"/>
      <c r="BH3573" s="314"/>
      <c r="BI3573" s="314"/>
      <c r="BJ3573" s="314"/>
      <c r="BK3573" s="40"/>
      <c r="BL3573" s="40"/>
      <c r="BM3573" s="40"/>
      <c r="BN3573" s="40"/>
      <c r="BO3573" s="40"/>
      <c r="BP3573" s="155"/>
      <c r="BQ3573" s="314"/>
      <c r="BR3573" s="314"/>
      <c r="BS3573" s="314"/>
      <c r="BT3573" s="314"/>
      <c r="BU3573" s="314"/>
      <c r="BV3573" s="314"/>
      <c r="BW3573" s="314"/>
      <c r="BX3573" s="155"/>
    </row>
    <row r="3574" spans="1:76" ht="15.75" customHeight="1">
      <c r="A3574" s="25"/>
      <c r="B3574" s="39"/>
      <c r="C3574" s="155"/>
      <c r="D3574" s="155"/>
      <c r="E3574" s="40"/>
      <c r="F3574" s="314"/>
      <c r="H3574" s="315"/>
      <c r="I3574" s="315"/>
      <c r="BA3574" s="30"/>
      <c r="BB3574" s="155"/>
      <c r="BC3574" s="322"/>
      <c r="BD3574" s="322"/>
      <c r="BE3574" s="322"/>
      <c r="BF3574" s="322"/>
      <c r="BG3574" s="322"/>
      <c r="BH3574" s="322"/>
      <c r="BI3574" s="322"/>
      <c r="BJ3574" s="322"/>
      <c r="BK3574" s="341"/>
      <c r="BL3574" s="40"/>
      <c r="BM3574" s="40"/>
      <c r="BN3574" s="40"/>
      <c r="BO3574" s="40"/>
      <c r="BP3574" s="155"/>
      <c r="BQ3574" s="314"/>
      <c r="BR3574" s="314"/>
      <c r="BS3574" s="314"/>
      <c r="BT3574" s="314"/>
      <c r="BU3574" s="314"/>
      <c r="BV3574" s="314"/>
      <c r="BW3574" s="314"/>
      <c r="BX3574" s="155"/>
    </row>
    <row r="3575" spans="1:76" ht="15.75" customHeight="1">
      <c r="A3575" s="25"/>
      <c r="B3575" s="39"/>
      <c r="C3575" s="155"/>
      <c r="D3575" s="155"/>
      <c r="E3575" s="40"/>
      <c r="F3575" s="314"/>
      <c r="H3575" s="315"/>
      <c r="I3575" s="315"/>
      <c r="BA3575" s="30"/>
      <c r="BB3575" s="155"/>
      <c r="BC3575" s="314"/>
      <c r="BD3575" s="314"/>
      <c r="BE3575" s="314"/>
      <c r="BF3575" s="314"/>
      <c r="BG3575" s="314"/>
      <c r="BH3575" s="314"/>
      <c r="BI3575" s="314"/>
      <c r="BJ3575" s="314"/>
      <c r="BK3575" s="40"/>
      <c r="BL3575" s="40"/>
      <c r="BM3575" s="40"/>
      <c r="BN3575" s="40"/>
      <c r="BO3575" s="40"/>
      <c r="BP3575" s="155"/>
      <c r="BQ3575" s="314"/>
      <c r="BR3575" s="314"/>
      <c r="BS3575" s="314"/>
      <c r="BT3575" s="314"/>
      <c r="BU3575" s="314"/>
      <c r="BV3575" s="314"/>
      <c r="BW3575" s="314"/>
      <c r="BX3575" s="155"/>
    </row>
    <row r="3576" spans="1:76" ht="15.75" customHeight="1">
      <c r="A3576" s="25"/>
      <c r="B3576" s="39"/>
      <c r="C3576" s="155"/>
      <c r="D3576" s="155"/>
      <c r="E3576" s="40"/>
      <c r="F3576" s="314"/>
      <c r="H3576" s="315"/>
      <c r="I3576" s="315"/>
      <c r="BA3576" s="30"/>
      <c r="BB3576" s="155"/>
      <c r="BC3576" s="314"/>
      <c r="BD3576" s="314"/>
      <c r="BE3576" s="314"/>
      <c r="BF3576" s="314"/>
      <c r="BG3576" s="314"/>
      <c r="BH3576" s="314"/>
      <c r="BI3576" s="314"/>
      <c r="BJ3576" s="314"/>
      <c r="BK3576" s="40"/>
      <c r="BL3576" s="40"/>
      <c r="BM3576" s="40"/>
      <c r="BN3576" s="40"/>
      <c r="BO3576" s="40"/>
      <c r="BP3576" s="155"/>
      <c r="BQ3576" s="314"/>
      <c r="BR3576" s="314"/>
      <c r="BS3576" s="314"/>
      <c r="BT3576" s="314"/>
      <c r="BU3576" s="314"/>
      <c r="BV3576" s="314"/>
      <c r="BW3576" s="314"/>
      <c r="BX3576" s="155"/>
    </row>
    <row r="3577" spans="1:76" ht="15.75" customHeight="1">
      <c r="A3577" s="25"/>
      <c r="B3577" s="39"/>
      <c r="C3577" s="155"/>
      <c r="D3577" s="155"/>
      <c r="E3577" s="40"/>
      <c r="F3577" s="314"/>
      <c r="H3577" s="315"/>
      <c r="I3577" s="315"/>
      <c r="BA3577" s="30"/>
      <c r="BB3577" s="155"/>
      <c r="BC3577" s="314"/>
      <c r="BD3577" s="314"/>
      <c r="BE3577" s="314"/>
      <c r="BF3577" s="314"/>
      <c r="BG3577" s="314"/>
      <c r="BH3577" s="314"/>
      <c r="BI3577" s="314"/>
      <c r="BJ3577" s="314"/>
      <c r="BK3577" s="40"/>
      <c r="BL3577" s="40"/>
      <c r="BM3577" s="40"/>
      <c r="BN3577" s="40"/>
      <c r="BO3577" s="40"/>
      <c r="BP3577" s="155"/>
      <c r="BQ3577" s="314"/>
      <c r="BR3577" s="314"/>
      <c r="BS3577" s="314"/>
      <c r="BT3577" s="314"/>
      <c r="BU3577" s="314"/>
      <c r="BV3577" s="314"/>
      <c r="BW3577" s="314"/>
      <c r="BX3577" s="155"/>
    </row>
    <row r="3578" spans="1:76" ht="15.75" customHeight="1">
      <c r="A3578" s="25"/>
      <c r="B3578" s="39"/>
      <c r="C3578" s="155"/>
      <c r="D3578" s="155"/>
      <c r="E3578" s="40"/>
      <c r="F3578" s="314"/>
      <c r="H3578" s="315"/>
      <c r="I3578" s="315"/>
      <c r="BA3578" s="30"/>
      <c r="BB3578" s="155"/>
      <c r="BC3578" s="314"/>
      <c r="BD3578" s="314"/>
      <c r="BE3578" s="314"/>
      <c r="BF3578" s="314"/>
      <c r="BG3578" s="314"/>
      <c r="BH3578" s="314"/>
      <c r="BI3578" s="314"/>
      <c r="BJ3578" s="314"/>
      <c r="BK3578" s="40"/>
      <c r="BL3578" s="40"/>
      <c r="BM3578" s="40"/>
      <c r="BN3578" s="40"/>
      <c r="BO3578" s="40"/>
      <c r="BP3578" s="155"/>
      <c r="BQ3578" s="314"/>
      <c r="BR3578" s="314"/>
      <c r="BS3578" s="314"/>
      <c r="BT3578" s="314"/>
      <c r="BU3578" s="314"/>
      <c r="BV3578" s="314"/>
      <c r="BW3578" s="314"/>
      <c r="BX3578" s="155"/>
    </row>
    <row r="3579" spans="1:76" ht="15.75" customHeight="1">
      <c r="A3579" s="25"/>
      <c r="B3579" s="39"/>
      <c r="C3579" s="155"/>
      <c r="D3579" s="155"/>
      <c r="E3579" s="40"/>
      <c r="F3579" s="314"/>
      <c r="H3579" s="315"/>
      <c r="I3579" s="315"/>
      <c r="BA3579" s="30"/>
      <c r="BB3579" s="155"/>
      <c r="BC3579" s="314"/>
      <c r="BD3579" s="314"/>
      <c r="BE3579" s="314"/>
      <c r="BF3579" s="314"/>
      <c r="BG3579" s="314"/>
      <c r="BH3579" s="314"/>
      <c r="BI3579" s="314"/>
      <c r="BJ3579" s="314"/>
      <c r="BK3579" s="40"/>
      <c r="BL3579" s="40"/>
      <c r="BM3579" s="40"/>
      <c r="BN3579" s="40"/>
      <c r="BO3579" s="40"/>
      <c r="BP3579" s="155"/>
      <c r="BQ3579" s="314"/>
      <c r="BR3579" s="314"/>
      <c r="BS3579" s="314"/>
      <c r="BT3579" s="314"/>
      <c r="BU3579" s="314"/>
      <c r="BV3579" s="314"/>
      <c r="BW3579" s="314"/>
      <c r="BX3579" s="155"/>
    </row>
    <row r="3580" spans="1:76" ht="15.75" customHeight="1">
      <c r="A3580" s="25"/>
      <c r="B3580" s="39"/>
      <c r="C3580" s="155"/>
      <c r="D3580" s="155"/>
      <c r="E3580" s="40"/>
      <c r="F3580" s="314"/>
      <c r="H3580" s="315"/>
      <c r="I3580" s="315"/>
      <c r="BA3580" s="30"/>
      <c r="BB3580" s="155"/>
      <c r="BC3580" s="314"/>
      <c r="BD3580" s="314"/>
      <c r="BE3580" s="314"/>
      <c r="BF3580" s="314"/>
      <c r="BG3580" s="314"/>
      <c r="BH3580" s="314"/>
      <c r="BI3580" s="314"/>
      <c r="BJ3580" s="314"/>
      <c r="BK3580" s="40"/>
      <c r="BL3580" s="40"/>
      <c r="BM3580" s="40"/>
      <c r="BN3580" s="40"/>
      <c r="BO3580" s="40"/>
      <c r="BP3580" s="155"/>
      <c r="BQ3580" s="314"/>
      <c r="BR3580" s="314"/>
      <c r="BS3580" s="314"/>
      <c r="BT3580" s="314"/>
      <c r="BU3580" s="314"/>
      <c r="BV3580" s="314"/>
      <c r="BW3580" s="314"/>
      <c r="BX3580" s="155"/>
    </row>
    <row r="3581" spans="1:76" ht="15.75" customHeight="1">
      <c r="A3581" s="25"/>
      <c r="B3581" s="39"/>
      <c r="C3581" s="155"/>
      <c r="D3581" s="155"/>
      <c r="E3581" s="40"/>
      <c r="F3581" s="314"/>
      <c r="H3581" s="315"/>
      <c r="I3581" s="315"/>
      <c r="BA3581" s="30"/>
      <c r="BB3581" s="155"/>
      <c r="BC3581" s="314"/>
      <c r="BD3581" s="314"/>
      <c r="BE3581" s="314"/>
      <c r="BF3581" s="314"/>
      <c r="BG3581" s="314"/>
      <c r="BH3581" s="314"/>
      <c r="BI3581" s="314"/>
      <c r="BJ3581" s="314"/>
      <c r="BK3581" s="40"/>
      <c r="BL3581" s="40"/>
      <c r="BM3581" s="40"/>
      <c r="BN3581" s="40"/>
      <c r="BO3581" s="40"/>
      <c r="BP3581" s="155"/>
      <c r="BQ3581" s="314"/>
      <c r="BR3581" s="314"/>
      <c r="BS3581" s="314"/>
      <c r="BT3581" s="314"/>
      <c r="BU3581" s="314"/>
      <c r="BV3581" s="314"/>
      <c r="BW3581" s="314"/>
      <c r="BX3581" s="155"/>
    </row>
    <row r="3582" spans="1:76" ht="15.75" customHeight="1">
      <c r="A3582" s="25"/>
      <c r="B3582" s="39"/>
      <c r="C3582" s="155"/>
      <c r="D3582" s="155"/>
      <c r="E3582" s="40"/>
      <c r="F3582" s="314"/>
      <c r="H3582" s="315"/>
      <c r="I3582" s="315"/>
      <c r="BA3582" s="30"/>
      <c r="BB3582" s="155"/>
      <c r="BC3582" s="314"/>
      <c r="BD3582" s="314"/>
      <c r="BE3582" s="314"/>
      <c r="BF3582" s="314"/>
      <c r="BG3582" s="314"/>
      <c r="BH3582" s="314"/>
      <c r="BI3582" s="314"/>
      <c r="BJ3582" s="314"/>
      <c r="BK3582" s="40"/>
      <c r="BL3582" s="40"/>
      <c r="BM3582" s="40"/>
      <c r="BN3582" s="40"/>
      <c r="BO3582" s="40"/>
      <c r="BP3582" s="155"/>
      <c r="BQ3582" s="314"/>
      <c r="BR3582" s="314"/>
      <c r="BS3582" s="314"/>
      <c r="BT3582" s="314"/>
      <c r="BU3582" s="314"/>
      <c r="BV3582" s="314"/>
      <c r="BW3582" s="314"/>
      <c r="BX3582" s="155"/>
    </row>
    <row r="3583" spans="1:76" ht="15.75" customHeight="1">
      <c r="A3583" s="25"/>
      <c r="B3583" s="39"/>
      <c r="C3583" s="155"/>
      <c r="D3583" s="155"/>
      <c r="E3583" s="40"/>
      <c r="F3583" s="314"/>
      <c r="H3583" s="315"/>
      <c r="I3583" s="315"/>
      <c r="BA3583" s="30"/>
      <c r="BB3583" s="155"/>
      <c r="BC3583" s="314"/>
      <c r="BD3583" s="314"/>
      <c r="BE3583" s="314"/>
      <c r="BF3583" s="314"/>
      <c r="BG3583" s="314"/>
      <c r="BH3583" s="314"/>
      <c r="BI3583" s="314"/>
      <c r="BJ3583" s="314"/>
      <c r="BK3583" s="40"/>
      <c r="BL3583" s="40"/>
      <c r="BM3583" s="40"/>
      <c r="BN3583" s="40"/>
      <c r="BO3583" s="40"/>
      <c r="BP3583" s="155"/>
      <c r="BQ3583" s="314"/>
      <c r="BR3583" s="314"/>
      <c r="BS3583" s="314"/>
      <c r="BT3583" s="314"/>
      <c r="BU3583" s="314"/>
      <c r="BV3583" s="314"/>
      <c r="BW3583" s="314"/>
      <c r="BX3583" s="155"/>
    </row>
    <row r="3584" spans="1:76" ht="15.75" customHeight="1">
      <c r="A3584" s="25"/>
      <c r="B3584" s="39"/>
      <c r="C3584" s="155"/>
      <c r="D3584" s="155"/>
      <c r="E3584" s="40"/>
      <c r="F3584" s="314"/>
      <c r="H3584" s="315"/>
      <c r="I3584" s="315"/>
      <c r="BA3584" s="30"/>
      <c r="BB3584" s="155"/>
      <c r="BC3584" s="314"/>
      <c r="BD3584" s="314"/>
      <c r="BE3584" s="314"/>
      <c r="BF3584" s="314"/>
      <c r="BG3584" s="314"/>
      <c r="BH3584" s="314"/>
      <c r="BI3584" s="314"/>
      <c r="BJ3584" s="314"/>
      <c r="BK3584" s="40"/>
      <c r="BL3584" s="40"/>
      <c r="BM3584" s="40"/>
      <c r="BN3584" s="40"/>
      <c r="BO3584" s="40"/>
      <c r="BP3584" s="155"/>
      <c r="BQ3584" s="314"/>
      <c r="BR3584" s="314"/>
      <c r="BS3584" s="314"/>
      <c r="BT3584" s="314"/>
      <c r="BU3584" s="314"/>
      <c r="BV3584" s="314"/>
      <c r="BW3584" s="314"/>
      <c r="BX3584" s="155"/>
    </row>
    <row r="3585" spans="1:76" ht="15.75" customHeight="1">
      <c r="A3585" s="25"/>
      <c r="B3585" s="39"/>
      <c r="C3585" s="155"/>
      <c r="D3585" s="155"/>
      <c r="E3585" s="40"/>
      <c r="F3585" s="314"/>
      <c r="H3585" s="315"/>
      <c r="I3585" s="315"/>
      <c r="BA3585" s="30"/>
      <c r="BB3585" s="155"/>
      <c r="BC3585" s="314"/>
      <c r="BD3585" s="314"/>
      <c r="BE3585" s="314"/>
      <c r="BF3585" s="314"/>
      <c r="BG3585" s="314"/>
      <c r="BH3585" s="314"/>
      <c r="BI3585" s="314"/>
      <c r="BJ3585" s="314"/>
      <c r="BK3585" s="40"/>
      <c r="BL3585" s="40"/>
      <c r="BM3585" s="40"/>
      <c r="BN3585" s="40"/>
      <c r="BO3585" s="40"/>
      <c r="BP3585" s="155"/>
      <c r="BQ3585" s="314"/>
      <c r="BR3585" s="314"/>
      <c r="BS3585" s="314"/>
      <c r="BT3585" s="314"/>
      <c r="BU3585" s="314"/>
      <c r="BV3585" s="314"/>
      <c r="BW3585" s="314"/>
      <c r="BX3585" s="155"/>
    </row>
    <row r="3586" spans="1:76" ht="15.75" customHeight="1">
      <c r="A3586" s="25"/>
      <c r="B3586" s="39"/>
      <c r="C3586" s="155"/>
      <c r="D3586" s="155"/>
      <c r="E3586" s="40"/>
      <c r="F3586" s="314"/>
      <c r="H3586" s="315"/>
      <c r="I3586" s="315"/>
      <c r="BA3586" s="30"/>
      <c r="BB3586" s="155"/>
      <c r="BC3586" s="314"/>
      <c r="BD3586" s="314"/>
      <c r="BE3586" s="314"/>
      <c r="BF3586" s="314"/>
      <c r="BG3586" s="314"/>
      <c r="BH3586" s="314"/>
      <c r="BI3586" s="314"/>
      <c r="BJ3586" s="314"/>
      <c r="BK3586" s="40"/>
      <c r="BL3586" s="40"/>
      <c r="BM3586" s="40"/>
      <c r="BN3586" s="40"/>
      <c r="BO3586" s="40"/>
      <c r="BP3586" s="155"/>
      <c r="BQ3586" s="314"/>
      <c r="BR3586" s="314"/>
      <c r="BS3586" s="314"/>
      <c r="BT3586" s="314"/>
      <c r="BU3586" s="314"/>
      <c r="BV3586" s="314"/>
      <c r="BW3586" s="314"/>
      <c r="BX3586" s="155"/>
    </row>
    <row r="3587" spans="1:76" ht="15.75" customHeight="1">
      <c r="A3587" s="25"/>
      <c r="B3587" s="39"/>
      <c r="C3587" s="155"/>
      <c r="D3587" s="155"/>
      <c r="E3587" s="40"/>
      <c r="F3587" s="314"/>
      <c r="H3587" s="315"/>
      <c r="I3587" s="315"/>
      <c r="BA3587" s="30"/>
      <c r="BB3587" s="155"/>
      <c r="BC3587" s="314"/>
      <c r="BD3587" s="314"/>
      <c r="BE3587" s="314"/>
      <c r="BF3587" s="314"/>
      <c r="BG3587" s="314"/>
      <c r="BH3587" s="314"/>
      <c r="BI3587" s="314"/>
      <c r="BJ3587" s="314"/>
      <c r="BK3587" s="40"/>
      <c r="BL3587" s="40"/>
      <c r="BM3587" s="40"/>
      <c r="BN3587" s="40"/>
      <c r="BO3587" s="40"/>
      <c r="BP3587" s="155"/>
      <c r="BQ3587" s="314"/>
      <c r="BR3587" s="314"/>
      <c r="BS3587" s="314"/>
      <c r="BT3587" s="314"/>
      <c r="BU3587" s="314"/>
      <c r="BV3587" s="314"/>
      <c r="BW3587" s="314"/>
      <c r="BX3587" s="155"/>
    </row>
    <row r="3588" spans="1:76" ht="15.75" customHeight="1">
      <c r="A3588" s="25"/>
      <c r="B3588" s="39"/>
      <c r="C3588" s="155"/>
      <c r="D3588" s="155"/>
      <c r="E3588" s="40"/>
      <c r="F3588" s="314"/>
      <c r="H3588" s="315"/>
      <c r="I3588" s="315"/>
      <c r="BA3588" s="30"/>
      <c r="BB3588" s="155"/>
      <c r="BC3588" s="314"/>
      <c r="BD3588" s="314"/>
      <c r="BE3588" s="314"/>
      <c r="BF3588" s="314"/>
      <c r="BG3588" s="314"/>
      <c r="BH3588" s="314"/>
      <c r="BI3588" s="314"/>
      <c r="BJ3588" s="314"/>
      <c r="BK3588" s="40"/>
      <c r="BL3588" s="40"/>
      <c r="BM3588" s="40"/>
      <c r="BN3588" s="40"/>
      <c r="BO3588" s="40"/>
      <c r="BP3588" s="155"/>
      <c r="BQ3588" s="314"/>
      <c r="BR3588" s="314"/>
      <c r="BS3588" s="314"/>
      <c r="BT3588" s="314"/>
      <c r="BU3588" s="314"/>
      <c r="BV3588" s="314"/>
      <c r="BW3588" s="314"/>
      <c r="BX3588" s="155"/>
    </row>
    <row r="3589" spans="1:76" ht="15.75" customHeight="1">
      <c r="A3589" s="25"/>
      <c r="B3589" s="39"/>
      <c r="C3589" s="155"/>
      <c r="D3589" s="155"/>
      <c r="E3589" s="40"/>
      <c r="F3589" s="314"/>
      <c r="H3589" s="315"/>
      <c r="I3589" s="315"/>
      <c r="BA3589" s="30"/>
      <c r="BB3589" s="155"/>
      <c r="BC3589" s="314"/>
      <c r="BD3589" s="314"/>
      <c r="BE3589" s="314"/>
      <c r="BF3589" s="314"/>
      <c r="BG3589" s="314"/>
      <c r="BH3589" s="314"/>
      <c r="BI3589" s="314"/>
      <c r="BJ3589" s="314"/>
      <c r="BK3589" s="40"/>
      <c r="BL3589" s="40"/>
      <c r="BM3589" s="40"/>
      <c r="BN3589" s="40"/>
      <c r="BO3589" s="40"/>
      <c r="BP3589" s="155"/>
      <c r="BQ3589" s="314"/>
      <c r="BR3589" s="314"/>
      <c r="BS3589" s="314"/>
      <c r="BT3589" s="314"/>
      <c r="BU3589" s="314"/>
      <c r="BV3589" s="314"/>
      <c r="BW3589" s="314"/>
      <c r="BX3589" s="155"/>
    </row>
    <row r="3590" spans="1:76" ht="15.75" customHeight="1">
      <c r="A3590" s="25"/>
      <c r="B3590" s="39"/>
      <c r="C3590" s="155"/>
      <c r="D3590" s="155"/>
      <c r="E3590" s="40"/>
      <c r="F3590" s="314"/>
      <c r="H3590" s="315"/>
      <c r="I3590" s="315"/>
      <c r="BA3590" s="30"/>
      <c r="BB3590" s="155"/>
      <c r="BC3590" s="314"/>
      <c r="BD3590" s="314"/>
      <c r="BE3590" s="314"/>
      <c r="BF3590" s="314"/>
      <c r="BG3590" s="314"/>
      <c r="BH3590" s="314"/>
      <c r="BI3590" s="314"/>
      <c r="BJ3590" s="314"/>
      <c r="BK3590" s="40"/>
      <c r="BL3590" s="40"/>
      <c r="BM3590" s="40"/>
      <c r="BN3590" s="40"/>
      <c r="BO3590" s="40"/>
      <c r="BP3590" s="155"/>
      <c r="BQ3590" s="314"/>
      <c r="BR3590" s="314"/>
      <c r="BS3590" s="314"/>
      <c r="BT3590" s="314"/>
      <c r="BU3590" s="314"/>
      <c r="BV3590" s="314"/>
      <c r="BW3590" s="314"/>
      <c r="BX3590" s="155"/>
    </row>
    <row r="3591" spans="1:76" ht="15.75" customHeight="1">
      <c r="A3591" s="25"/>
      <c r="B3591" s="39"/>
      <c r="C3591" s="155"/>
      <c r="D3591" s="155"/>
      <c r="E3591" s="40"/>
      <c r="F3591" s="314"/>
      <c r="H3591" s="315"/>
      <c r="I3591" s="315"/>
      <c r="BA3591" s="30"/>
      <c r="BB3591" s="155"/>
      <c r="BC3591" s="314"/>
      <c r="BD3591" s="314"/>
      <c r="BE3591" s="314"/>
      <c r="BF3591" s="314"/>
      <c r="BG3591" s="314"/>
      <c r="BH3591" s="314"/>
      <c r="BI3591" s="314"/>
      <c r="BJ3591" s="314"/>
      <c r="BK3591" s="40"/>
      <c r="BL3591" s="40"/>
      <c r="BM3591" s="40"/>
      <c r="BN3591" s="40"/>
      <c r="BO3591" s="40"/>
      <c r="BP3591" s="155"/>
      <c r="BQ3591" s="314"/>
      <c r="BR3591" s="314"/>
      <c r="BS3591" s="314"/>
      <c r="BT3591" s="314"/>
      <c r="BU3591" s="314"/>
      <c r="BV3591" s="314"/>
      <c r="BW3591" s="314"/>
      <c r="BX3591" s="155"/>
    </row>
    <row r="3592" spans="1:76" ht="15.75" customHeight="1">
      <c r="A3592" s="25"/>
      <c r="B3592" s="39"/>
      <c r="C3592" s="155"/>
      <c r="D3592" s="155"/>
      <c r="E3592" s="40"/>
      <c r="F3592" s="314"/>
      <c r="H3592" s="315"/>
      <c r="I3592" s="315"/>
      <c r="BA3592" s="30"/>
      <c r="BB3592" s="155"/>
      <c r="BC3592" s="314"/>
      <c r="BD3592" s="314"/>
      <c r="BE3592" s="314"/>
      <c r="BF3592" s="314"/>
      <c r="BG3592" s="314"/>
      <c r="BH3592" s="314"/>
      <c r="BI3592" s="314"/>
      <c r="BJ3592" s="314"/>
      <c r="BK3592" s="40"/>
      <c r="BL3592" s="40"/>
      <c r="BM3592" s="40"/>
      <c r="BN3592" s="40"/>
      <c r="BO3592" s="40"/>
      <c r="BP3592" s="155"/>
      <c r="BQ3592" s="314"/>
      <c r="BR3592" s="314"/>
      <c r="BS3592" s="314"/>
      <c r="BT3592" s="314"/>
      <c r="BU3592" s="314"/>
      <c r="BV3592" s="314"/>
      <c r="BW3592" s="314"/>
      <c r="BX3592" s="155"/>
    </row>
    <row r="3593" spans="1:76" ht="15.75" customHeight="1">
      <c r="A3593" s="25"/>
      <c r="B3593" s="39"/>
      <c r="C3593" s="155"/>
      <c r="D3593" s="155"/>
      <c r="E3593" s="40"/>
      <c r="F3593" s="314"/>
      <c r="H3593" s="315"/>
      <c r="I3593" s="315"/>
      <c r="BA3593" s="30"/>
      <c r="BB3593" s="155"/>
      <c r="BC3593" s="314"/>
      <c r="BD3593" s="314"/>
      <c r="BE3593" s="314"/>
      <c r="BF3593" s="314"/>
      <c r="BG3593" s="314"/>
      <c r="BH3593" s="314"/>
      <c r="BI3593" s="314"/>
      <c r="BJ3593" s="314"/>
      <c r="BK3593" s="40"/>
      <c r="BL3593" s="40"/>
      <c r="BM3593" s="40"/>
      <c r="BN3593" s="40"/>
      <c r="BO3593" s="40"/>
      <c r="BP3593" s="155"/>
      <c r="BQ3593" s="314"/>
      <c r="BR3593" s="314"/>
      <c r="BS3593" s="314"/>
      <c r="BT3593" s="314"/>
      <c r="BU3593" s="314"/>
      <c r="BV3593" s="314"/>
      <c r="BW3593" s="314"/>
      <c r="BX3593" s="155"/>
    </row>
    <row r="3594" spans="1:76" ht="15.75" customHeight="1">
      <c r="A3594" s="25"/>
      <c r="B3594" s="39"/>
      <c r="C3594" s="155"/>
      <c r="D3594" s="155"/>
      <c r="E3594" s="40"/>
      <c r="F3594" s="314"/>
      <c r="H3594" s="315"/>
      <c r="I3594" s="315"/>
      <c r="BA3594" s="30"/>
      <c r="BB3594" s="155"/>
      <c r="BC3594" s="314"/>
      <c r="BD3594" s="314"/>
      <c r="BE3594" s="314"/>
      <c r="BF3594" s="314"/>
      <c r="BG3594" s="314"/>
      <c r="BH3594" s="314"/>
      <c r="BI3594" s="314"/>
      <c r="BJ3594" s="314"/>
      <c r="BK3594" s="40"/>
      <c r="BL3594" s="40"/>
      <c r="BM3594" s="40"/>
      <c r="BN3594" s="40"/>
      <c r="BO3594" s="40"/>
      <c r="BP3594" s="155"/>
      <c r="BQ3594" s="314"/>
      <c r="BR3594" s="314"/>
      <c r="BS3594" s="314"/>
      <c r="BT3594" s="314"/>
      <c r="BU3594" s="314"/>
      <c r="BV3594" s="314"/>
      <c r="BW3594" s="314"/>
      <c r="BX3594" s="155"/>
    </row>
    <row r="3595" spans="1:76" ht="15.75" customHeight="1">
      <c r="A3595" s="25"/>
      <c r="B3595" s="39"/>
      <c r="C3595" s="155"/>
      <c r="D3595" s="155"/>
      <c r="E3595" s="40"/>
      <c r="F3595" s="314"/>
      <c r="H3595" s="315"/>
      <c r="I3595" s="315"/>
      <c r="BA3595" s="30"/>
      <c r="BB3595" s="155"/>
      <c r="BC3595" s="314"/>
      <c r="BD3595" s="314"/>
      <c r="BE3595" s="314"/>
      <c r="BF3595" s="314"/>
      <c r="BG3595" s="314"/>
      <c r="BH3595" s="314"/>
      <c r="BI3595" s="314"/>
      <c r="BJ3595" s="314"/>
      <c r="BK3595" s="40"/>
      <c r="BL3595" s="40"/>
      <c r="BM3595" s="40"/>
      <c r="BN3595" s="40"/>
      <c r="BO3595" s="40"/>
      <c r="BP3595" s="155"/>
      <c r="BQ3595" s="314"/>
      <c r="BR3595" s="314"/>
      <c r="BS3595" s="314"/>
      <c r="BT3595" s="314"/>
      <c r="BU3595" s="314"/>
      <c r="BV3595" s="314"/>
      <c r="BW3595" s="314"/>
      <c r="BX3595" s="155"/>
    </row>
    <row r="3596" spans="1:76" ht="15.75" customHeight="1">
      <c r="A3596" s="25"/>
      <c r="B3596" s="39"/>
      <c r="C3596" s="155"/>
      <c r="D3596" s="155"/>
      <c r="E3596" s="40"/>
      <c r="F3596" s="314"/>
      <c r="H3596" s="315"/>
      <c r="I3596" s="315"/>
      <c r="BA3596" s="30"/>
      <c r="BB3596" s="155"/>
      <c r="BC3596" s="314"/>
      <c r="BD3596" s="314"/>
      <c r="BE3596" s="314"/>
      <c r="BF3596" s="314"/>
      <c r="BG3596" s="314"/>
      <c r="BH3596" s="314"/>
      <c r="BI3596" s="314"/>
      <c r="BJ3596" s="314"/>
      <c r="BK3596" s="40"/>
      <c r="BL3596" s="40"/>
      <c r="BM3596" s="40"/>
      <c r="BN3596" s="40"/>
      <c r="BO3596" s="40"/>
      <c r="BP3596" s="155"/>
      <c r="BQ3596" s="314"/>
      <c r="BR3596" s="314"/>
      <c r="BS3596" s="314"/>
      <c r="BT3596" s="314"/>
      <c r="BU3596" s="314"/>
      <c r="BV3596" s="314"/>
      <c r="BW3596" s="314"/>
      <c r="BX3596" s="155"/>
    </row>
    <row r="3597" spans="1:76" ht="15.75" customHeight="1">
      <c r="A3597" s="25"/>
      <c r="B3597" s="39"/>
      <c r="C3597" s="155"/>
      <c r="D3597" s="155"/>
      <c r="E3597" s="40"/>
      <c r="F3597" s="314"/>
      <c r="H3597" s="315"/>
      <c r="I3597" s="315"/>
      <c r="BA3597" s="30"/>
      <c r="BB3597" s="155"/>
      <c r="BC3597" s="314"/>
      <c r="BD3597" s="314"/>
      <c r="BE3597" s="314"/>
      <c r="BF3597" s="314"/>
      <c r="BG3597" s="314"/>
      <c r="BH3597" s="314"/>
      <c r="BI3597" s="314"/>
      <c r="BJ3597" s="314"/>
      <c r="BK3597" s="40"/>
      <c r="BL3597" s="40"/>
      <c r="BM3597" s="40"/>
      <c r="BN3597" s="40"/>
      <c r="BO3597" s="40"/>
      <c r="BP3597" s="155"/>
      <c r="BQ3597" s="314"/>
      <c r="BR3597" s="314"/>
      <c r="BS3597" s="314"/>
      <c r="BT3597" s="314"/>
      <c r="BU3597" s="314"/>
      <c r="BV3597" s="314"/>
      <c r="BW3597" s="314"/>
      <c r="BX3597" s="155"/>
    </row>
    <row r="3598" spans="1:76" ht="15.75" customHeight="1">
      <c r="A3598" s="25"/>
      <c r="B3598" s="39"/>
      <c r="C3598" s="155"/>
      <c r="D3598" s="155"/>
      <c r="E3598" s="40"/>
      <c r="F3598" s="314"/>
      <c r="H3598" s="315"/>
      <c r="I3598" s="315"/>
      <c r="BA3598" s="30"/>
      <c r="BB3598" s="155"/>
      <c r="BC3598" s="314"/>
      <c r="BD3598" s="314"/>
      <c r="BE3598" s="314"/>
      <c r="BF3598" s="314"/>
      <c r="BG3598" s="314"/>
      <c r="BH3598" s="314"/>
      <c r="BI3598" s="314"/>
      <c r="BJ3598" s="314"/>
      <c r="BK3598" s="40"/>
      <c r="BL3598" s="40"/>
      <c r="BM3598" s="40"/>
      <c r="BN3598" s="40"/>
      <c r="BO3598" s="40"/>
      <c r="BP3598" s="155"/>
      <c r="BQ3598" s="314"/>
      <c r="BR3598" s="314"/>
      <c r="BS3598" s="314"/>
      <c r="BT3598" s="314"/>
      <c r="BU3598" s="314"/>
      <c r="BV3598" s="314"/>
      <c r="BW3598" s="314"/>
      <c r="BX3598" s="155"/>
    </row>
    <row r="3599" spans="1:76" ht="15.75" customHeight="1">
      <c r="A3599" s="25"/>
      <c r="B3599" s="39"/>
      <c r="C3599" s="155"/>
      <c r="D3599" s="155"/>
      <c r="E3599" s="40"/>
      <c r="F3599" s="314"/>
      <c r="H3599" s="315"/>
      <c r="I3599" s="315"/>
      <c r="BA3599" s="30"/>
      <c r="BB3599" s="155"/>
      <c r="BC3599" s="314"/>
      <c r="BD3599" s="314"/>
      <c r="BE3599" s="314"/>
      <c r="BF3599" s="314"/>
      <c r="BG3599" s="314"/>
      <c r="BH3599" s="314"/>
      <c r="BI3599" s="314"/>
      <c r="BJ3599" s="314"/>
      <c r="BK3599" s="40"/>
      <c r="BL3599" s="40"/>
      <c r="BM3599" s="40"/>
      <c r="BN3599" s="40"/>
      <c r="BO3599" s="40"/>
      <c r="BP3599" s="155"/>
      <c r="BQ3599" s="314"/>
      <c r="BR3599" s="314"/>
      <c r="BS3599" s="314"/>
      <c r="BT3599" s="314"/>
      <c r="BU3599" s="314"/>
      <c r="BV3599" s="314"/>
      <c r="BW3599" s="314"/>
      <c r="BX3599" s="155"/>
    </row>
    <row r="3600" spans="1:76" ht="15.75" customHeight="1">
      <c r="A3600" s="25"/>
      <c r="B3600" s="39"/>
      <c r="C3600" s="155"/>
      <c r="D3600" s="155"/>
      <c r="E3600" s="40"/>
      <c r="F3600" s="314"/>
      <c r="H3600" s="315"/>
      <c r="I3600" s="315"/>
      <c r="BA3600" s="30"/>
      <c r="BB3600" s="155"/>
      <c r="BC3600" s="314"/>
      <c r="BD3600" s="314"/>
      <c r="BE3600" s="314"/>
      <c r="BF3600" s="314"/>
      <c r="BG3600" s="314"/>
      <c r="BH3600" s="314"/>
      <c r="BI3600" s="314"/>
      <c r="BJ3600" s="314"/>
      <c r="BK3600" s="40"/>
      <c r="BL3600" s="40"/>
      <c r="BM3600" s="40"/>
      <c r="BN3600" s="40"/>
      <c r="BO3600" s="40"/>
      <c r="BP3600" s="155"/>
      <c r="BQ3600" s="314"/>
      <c r="BR3600" s="314"/>
      <c r="BS3600" s="314"/>
      <c r="BT3600" s="314"/>
      <c r="BU3600" s="314"/>
      <c r="BV3600" s="314"/>
      <c r="BW3600" s="314"/>
      <c r="BX3600" s="155"/>
    </row>
    <row r="3601" spans="1:76" ht="15.75" customHeight="1">
      <c r="A3601" s="25"/>
      <c r="B3601" s="39"/>
      <c r="C3601" s="155"/>
      <c r="D3601" s="155"/>
      <c r="E3601" s="40"/>
      <c r="F3601" s="314"/>
      <c r="H3601" s="315"/>
      <c r="I3601" s="315"/>
      <c r="BA3601" s="30"/>
      <c r="BB3601" s="155"/>
      <c r="BC3601" s="314"/>
      <c r="BD3601" s="314"/>
      <c r="BE3601" s="314"/>
      <c r="BF3601" s="314"/>
      <c r="BG3601" s="314"/>
      <c r="BH3601" s="314"/>
      <c r="BI3601" s="314"/>
      <c r="BJ3601" s="314"/>
      <c r="BK3601" s="40"/>
      <c r="BL3601" s="40"/>
      <c r="BM3601" s="40"/>
      <c r="BN3601" s="40"/>
      <c r="BO3601" s="40"/>
      <c r="BP3601" s="155"/>
      <c r="BQ3601" s="314"/>
      <c r="BR3601" s="314"/>
      <c r="BS3601" s="314"/>
      <c r="BT3601" s="314"/>
      <c r="BU3601" s="314"/>
      <c r="BV3601" s="314"/>
      <c r="BW3601" s="314"/>
      <c r="BX3601" s="155"/>
    </row>
    <row r="3602" spans="1:76" ht="15.75" customHeight="1">
      <c r="A3602" s="25"/>
      <c r="B3602" s="39"/>
      <c r="C3602" s="155"/>
      <c r="D3602" s="155"/>
      <c r="E3602" s="40"/>
      <c r="F3602" s="314"/>
      <c r="H3602" s="315"/>
      <c r="I3602" s="315"/>
      <c r="BA3602" s="30"/>
      <c r="BB3602" s="155"/>
      <c r="BC3602" s="322"/>
      <c r="BD3602" s="322"/>
      <c r="BE3602" s="322"/>
      <c r="BF3602" s="322"/>
      <c r="BG3602" s="322"/>
      <c r="BH3602" s="322"/>
      <c r="BI3602" s="322"/>
      <c r="BJ3602" s="322"/>
      <c r="BK3602" s="341"/>
      <c r="BL3602" s="40"/>
      <c r="BM3602" s="40"/>
      <c r="BN3602" s="40"/>
      <c r="BO3602" s="40"/>
      <c r="BP3602" s="155"/>
      <c r="BQ3602" s="314"/>
      <c r="BR3602" s="314"/>
      <c r="BS3602" s="314"/>
      <c r="BT3602" s="314"/>
      <c r="BU3602" s="314"/>
      <c r="BV3602" s="314"/>
      <c r="BW3602" s="314"/>
      <c r="BX3602" s="155"/>
    </row>
    <row r="3603" spans="1:76" ht="15.75" customHeight="1">
      <c r="A3603" s="25"/>
      <c r="B3603" s="39"/>
      <c r="C3603" s="155"/>
      <c r="D3603" s="155"/>
      <c r="E3603" s="40"/>
      <c r="F3603" s="314"/>
      <c r="H3603" s="315"/>
      <c r="I3603" s="315"/>
      <c r="BA3603" s="30"/>
      <c r="BB3603" s="155"/>
      <c r="BC3603" s="314"/>
      <c r="BD3603" s="314"/>
      <c r="BE3603" s="314"/>
      <c r="BF3603" s="314"/>
      <c r="BG3603" s="314"/>
      <c r="BH3603" s="314"/>
      <c r="BI3603" s="314"/>
      <c r="BJ3603" s="314"/>
      <c r="BK3603" s="40"/>
      <c r="BL3603" s="40"/>
      <c r="BM3603" s="40"/>
      <c r="BN3603" s="40"/>
      <c r="BO3603" s="40"/>
      <c r="BP3603" s="155"/>
      <c r="BQ3603" s="314"/>
      <c r="BR3603" s="314"/>
      <c r="BS3603" s="314"/>
      <c r="BT3603" s="314"/>
      <c r="BU3603" s="314"/>
      <c r="BV3603" s="314"/>
      <c r="BW3603" s="314"/>
      <c r="BX3603" s="155"/>
    </row>
    <row r="3604" spans="1:76" ht="15.75" customHeight="1">
      <c r="A3604" s="25"/>
      <c r="B3604" s="39"/>
      <c r="C3604" s="155"/>
      <c r="D3604" s="155"/>
      <c r="E3604" s="40"/>
      <c r="F3604" s="314"/>
      <c r="H3604" s="315"/>
      <c r="I3604" s="315"/>
      <c r="BA3604" s="30"/>
      <c r="BB3604" s="155"/>
      <c r="BC3604" s="314"/>
      <c r="BD3604" s="314"/>
      <c r="BE3604" s="314"/>
      <c r="BF3604" s="314"/>
      <c r="BG3604" s="314"/>
      <c r="BH3604" s="314"/>
      <c r="BI3604" s="314"/>
      <c r="BJ3604" s="314"/>
      <c r="BK3604" s="40"/>
      <c r="BL3604" s="40"/>
      <c r="BM3604" s="40"/>
      <c r="BN3604" s="40"/>
      <c r="BO3604" s="40"/>
      <c r="BP3604" s="155"/>
      <c r="BQ3604" s="314"/>
      <c r="BR3604" s="314"/>
      <c r="BS3604" s="314"/>
      <c r="BT3604" s="314"/>
      <c r="BU3604" s="314"/>
      <c r="BV3604" s="314"/>
      <c r="BW3604" s="314"/>
      <c r="BX3604" s="155"/>
    </row>
    <row r="3605" spans="1:76" ht="15.75" customHeight="1">
      <c r="A3605" s="25"/>
      <c r="B3605" s="39"/>
      <c r="C3605" s="155"/>
      <c r="D3605" s="155"/>
      <c r="E3605" s="40"/>
      <c r="F3605" s="314"/>
      <c r="H3605" s="315"/>
      <c r="I3605" s="315"/>
      <c r="BA3605" s="30"/>
      <c r="BB3605" s="155"/>
      <c r="BC3605" s="314"/>
      <c r="BD3605" s="314"/>
      <c r="BE3605" s="314"/>
      <c r="BF3605" s="314"/>
      <c r="BG3605" s="314"/>
      <c r="BH3605" s="314"/>
      <c r="BI3605" s="314"/>
      <c r="BJ3605" s="314"/>
      <c r="BK3605" s="40"/>
      <c r="BL3605" s="40"/>
      <c r="BM3605" s="40"/>
      <c r="BN3605" s="40"/>
      <c r="BO3605" s="40"/>
      <c r="BP3605" s="155"/>
      <c r="BQ3605" s="314"/>
      <c r="BR3605" s="314"/>
      <c r="BS3605" s="314"/>
      <c r="BT3605" s="314"/>
      <c r="BU3605" s="314"/>
      <c r="BV3605" s="314"/>
      <c r="BW3605" s="314"/>
      <c r="BX3605" s="155"/>
    </row>
    <row r="3606" spans="1:76" ht="15.75" customHeight="1">
      <c r="A3606" s="25"/>
      <c r="B3606" s="39"/>
      <c r="C3606" s="155"/>
      <c r="D3606" s="155"/>
      <c r="E3606" s="40"/>
      <c r="F3606" s="314"/>
      <c r="H3606" s="315"/>
      <c r="I3606" s="315"/>
      <c r="BA3606" s="30"/>
      <c r="BB3606" s="155"/>
      <c r="BC3606" s="314"/>
      <c r="BD3606" s="314"/>
      <c r="BE3606" s="314"/>
      <c r="BF3606" s="314"/>
      <c r="BG3606" s="314"/>
      <c r="BH3606" s="314"/>
      <c r="BI3606" s="314"/>
      <c r="BJ3606" s="314"/>
      <c r="BK3606" s="40"/>
      <c r="BL3606" s="40"/>
      <c r="BM3606" s="40"/>
      <c r="BN3606" s="40"/>
      <c r="BO3606" s="40"/>
      <c r="BP3606" s="155"/>
      <c r="BQ3606" s="314"/>
      <c r="BR3606" s="314"/>
      <c r="BS3606" s="314"/>
      <c r="BT3606" s="314"/>
      <c r="BU3606" s="314"/>
      <c r="BV3606" s="314"/>
      <c r="BW3606" s="314"/>
      <c r="BX3606" s="155"/>
    </row>
    <row r="3607" spans="1:76" ht="15.75" customHeight="1">
      <c r="A3607" s="25"/>
      <c r="B3607" s="39"/>
      <c r="C3607" s="155"/>
      <c r="D3607" s="155"/>
      <c r="E3607" s="40"/>
      <c r="F3607" s="314"/>
      <c r="H3607" s="315"/>
      <c r="I3607" s="315"/>
      <c r="BA3607" s="30"/>
      <c r="BB3607" s="155"/>
      <c r="BC3607" s="314"/>
      <c r="BD3607" s="314"/>
      <c r="BE3607" s="314"/>
      <c r="BF3607" s="314"/>
      <c r="BG3607" s="314"/>
      <c r="BH3607" s="314"/>
      <c r="BI3607" s="314"/>
      <c r="BJ3607" s="314"/>
      <c r="BK3607" s="40"/>
      <c r="BL3607" s="40"/>
      <c r="BM3607" s="40"/>
      <c r="BN3607" s="40"/>
      <c r="BO3607" s="40"/>
      <c r="BP3607" s="155"/>
      <c r="BQ3607" s="314"/>
      <c r="BR3607" s="314"/>
      <c r="BS3607" s="314"/>
      <c r="BT3607" s="314"/>
      <c r="BU3607" s="314"/>
      <c r="BV3607" s="314"/>
      <c r="BW3607" s="314"/>
      <c r="BX3607" s="155"/>
    </row>
    <row r="3608" spans="1:76" ht="15.75" customHeight="1">
      <c r="A3608" s="25"/>
      <c r="B3608" s="39"/>
      <c r="C3608" s="155"/>
      <c r="D3608" s="155"/>
      <c r="E3608" s="40"/>
      <c r="F3608" s="314"/>
      <c r="H3608" s="315"/>
      <c r="I3608" s="315"/>
      <c r="BA3608" s="30"/>
      <c r="BB3608" s="155"/>
      <c r="BC3608" s="314"/>
      <c r="BD3608" s="314"/>
      <c r="BE3608" s="314"/>
      <c r="BF3608" s="314"/>
      <c r="BG3608" s="314"/>
      <c r="BH3608" s="314"/>
      <c r="BI3608" s="314"/>
      <c r="BJ3608" s="314"/>
      <c r="BK3608" s="40"/>
      <c r="BL3608" s="40"/>
      <c r="BM3608" s="40"/>
      <c r="BN3608" s="40"/>
      <c r="BO3608" s="40"/>
      <c r="BP3608" s="155"/>
      <c r="BQ3608" s="314"/>
      <c r="BR3608" s="314"/>
      <c r="BS3608" s="314"/>
      <c r="BT3608" s="314"/>
      <c r="BU3608" s="314"/>
      <c r="BV3608" s="314"/>
      <c r="BW3608" s="314"/>
      <c r="BX3608" s="155"/>
    </row>
    <row r="3609" spans="1:76" ht="15.75" customHeight="1">
      <c r="A3609" s="25"/>
      <c r="B3609" s="39"/>
      <c r="C3609" s="155"/>
      <c r="D3609" s="155"/>
      <c r="E3609" s="40"/>
      <c r="F3609" s="314"/>
      <c r="H3609" s="315"/>
      <c r="I3609" s="315"/>
      <c r="BA3609" s="30"/>
      <c r="BB3609" s="155"/>
      <c r="BC3609" s="314"/>
      <c r="BD3609" s="314"/>
      <c r="BE3609" s="314"/>
      <c r="BF3609" s="314"/>
      <c r="BG3609" s="314"/>
      <c r="BH3609" s="314"/>
      <c r="BI3609" s="314"/>
      <c r="BJ3609" s="314"/>
      <c r="BK3609" s="40"/>
      <c r="BL3609" s="40"/>
      <c r="BM3609" s="40"/>
      <c r="BN3609" s="40"/>
      <c r="BO3609" s="40"/>
      <c r="BP3609" s="155"/>
      <c r="BQ3609" s="314"/>
      <c r="BR3609" s="314"/>
      <c r="BS3609" s="314"/>
      <c r="BT3609" s="314"/>
      <c r="BU3609" s="314"/>
      <c r="BV3609" s="314"/>
      <c r="BW3609" s="314"/>
      <c r="BX3609" s="155"/>
    </row>
    <row r="3610" spans="1:76" ht="15.75" customHeight="1">
      <c r="A3610" s="25"/>
      <c r="B3610" s="39"/>
      <c r="C3610" s="155"/>
      <c r="D3610" s="155"/>
      <c r="E3610" s="40"/>
      <c r="F3610" s="314"/>
      <c r="H3610" s="315"/>
      <c r="I3610" s="315"/>
      <c r="BA3610" s="30"/>
      <c r="BB3610" s="155"/>
      <c r="BC3610" s="314"/>
      <c r="BD3610" s="314"/>
      <c r="BE3610" s="314"/>
      <c r="BF3610" s="314"/>
      <c r="BG3610" s="314"/>
      <c r="BH3610" s="314"/>
      <c r="BI3610" s="314"/>
      <c r="BJ3610" s="314"/>
      <c r="BK3610" s="40"/>
      <c r="BL3610" s="40"/>
      <c r="BM3610" s="40"/>
      <c r="BN3610" s="40"/>
      <c r="BO3610" s="40"/>
      <c r="BP3610" s="155"/>
      <c r="BQ3610" s="314"/>
      <c r="BR3610" s="314"/>
      <c r="BS3610" s="314"/>
      <c r="BT3610" s="314"/>
      <c r="BU3610" s="314"/>
      <c r="BV3610" s="314"/>
      <c r="BW3610" s="314"/>
      <c r="BX3610" s="155"/>
    </row>
    <row r="3611" spans="1:76" ht="15.75" customHeight="1">
      <c r="A3611" s="25"/>
      <c r="B3611" s="39"/>
      <c r="C3611" s="155"/>
      <c r="D3611" s="155"/>
      <c r="E3611" s="40"/>
      <c r="F3611" s="314"/>
      <c r="H3611" s="315"/>
      <c r="I3611" s="315"/>
      <c r="BA3611" s="30"/>
      <c r="BB3611" s="155"/>
      <c r="BC3611" s="314"/>
      <c r="BD3611" s="314"/>
      <c r="BE3611" s="314"/>
      <c r="BF3611" s="314"/>
      <c r="BG3611" s="314"/>
      <c r="BH3611" s="314"/>
      <c r="BI3611" s="314"/>
      <c r="BJ3611" s="314"/>
      <c r="BK3611" s="40"/>
      <c r="BL3611" s="40"/>
      <c r="BM3611" s="40"/>
      <c r="BN3611" s="40"/>
      <c r="BO3611" s="40"/>
      <c r="BP3611" s="155"/>
      <c r="BQ3611" s="314"/>
      <c r="BR3611" s="314"/>
      <c r="BS3611" s="314"/>
      <c r="BT3611" s="314"/>
      <c r="BU3611" s="314"/>
      <c r="BV3611" s="314"/>
      <c r="BW3611" s="314"/>
      <c r="BX3611" s="155"/>
    </row>
    <row r="3612" spans="1:76" ht="15.75" customHeight="1">
      <c r="A3612" s="25"/>
      <c r="B3612" s="39"/>
      <c r="C3612" s="155"/>
      <c r="D3612" s="155"/>
      <c r="E3612" s="40"/>
      <c r="F3612" s="314"/>
      <c r="H3612" s="315"/>
      <c r="I3612" s="315"/>
      <c r="BA3612" s="30"/>
      <c r="BB3612" s="155"/>
      <c r="BC3612" s="314"/>
      <c r="BD3612" s="314"/>
      <c r="BE3612" s="314"/>
      <c r="BF3612" s="314"/>
      <c r="BG3612" s="314"/>
      <c r="BH3612" s="314"/>
      <c r="BI3612" s="314"/>
      <c r="BJ3612" s="314"/>
      <c r="BK3612" s="40"/>
      <c r="BL3612" s="40"/>
      <c r="BM3612" s="40"/>
      <c r="BN3612" s="40"/>
      <c r="BO3612" s="40"/>
      <c r="BP3612" s="155"/>
      <c r="BQ3612" s="314"/>
      <c r="BR3612" s="314"/>
      <c r="BS3612" s="314"/>
      <c r="BT3612" s="314"/>
      <c r="BU3612" s="314"/>
      <c r="BV3612" s="314"/>
      <c r="BW3612" s="314"/>
      <c r="BX3612" s="155"/>
    </row>
    <row r="3613" spans="1:76" ht="15.75" customHeight="1">
      <c r="A3613" s="25"/>
      <c r="B3613" s="39"/>
      <c r="C3613" s="155"/>
      <c r="D3613" s="155"/>
      <c r="E3613" s="40"/>
      <c r="F3613" s="314"/>
      <c r="H3613" s="315"/>
      <c r="I3613" s="315"/>
      <c r="BA3613" s="30"/>
      <c r="BB3613" s="155"/>
      <c r="BC3613" s="314"/>
      <c r="BD3613" s="314"/>
      <c r="BE3613" s="314"/>
      <c r="BF3613" s="314"/>
      <c r="BG3613" s="314"/>
      <c r="BH3613" s="314"/>
      <c r="BI3613" s="314"/>
      <c r="BJ3613" s="314"/>
      <c r="BK3613" s="40"/>
      <c r="BL3613" s="40"/>
      <c r="BM3613" s="40"/>
      <c r="BN3613" s="40"/>
      <c r="BO3613" s="40"/>
      <c r="BP3613" s="155"/>
      <c r="BQ3613" s="314"/>
      <c r="BR3613" s="314"/>
      <c r="BS3613" s="314"/>
      <c r="BT3613" s="314"/>
      <c r="BU3613" s="314"/>
      <c r="BV3613" s="314"/>
      <c r="BW3613" s="314"/>
      <c r="BX3613" s="155"/>
    </row>
    <row r="3614" spans="1:76" ht="15.75" customHeight="1">
      <c r="A3614" s="25"/>
      <c r="B3614" s="39"/>
      <c r="C3614" s="155"/>
      <c r="D3614" s="155"/>
      <c r="E3614" s="40"/>
      <c r="F3614" s="314"/>
      <c r="H3614" s="315"/>
      <c r="I3614" s="315"/>
      <c r="BA3614" s="30"/>
      <c r="BB3614" s="155"/>
      <c r="BC3614" s="314"/>
      <c r="BD3614" s="314"/>
      <c r="BE3614" s="314"/>
      <c r="BF3614" s="314"/>
      <c r="BG3614" s="314"/>
      <c r="BH3614" s="314"/>
      <c r="BI3614" s="314"/>
      <c r="BJ3614" s="314"/>
      <c r="BK3614" s="40"/>
      <c r="BL3614" s="40"/>
      <c r="BM3614" s="40"/>
      <c r="BN3614" s="40"/>
      <c r="BO3614" s="40"/>
      <c r="BP3614" s="155"/>
      <c r="BQ3614" s="314"/>
      <c r="BR3614" s="314"/>
      <c r="BS3614" s="314"/>
      <c r="BT3614" s="314"/>
      <c r="BU3614" s="314"/>
      <c r="BV3614" s="314"/>
      <c r="BW3614" s="314"/>
      <c r="BX3614" s="155"/>
    </row>
    <row r="3615" spans="1:76" ht="15.75" customHeight="1">
      <c r="A3615" s="25"/>
      <c r="B3615" s="39"/>
      <c r="C3615" s="155"/>
      <c r="D3615" s="155"/>
      <c r="E3615" s="40"/>
      <c r="F3615" s="314"/>
      <c r="H3615" s="315"/>
      <c r="I3615" s="315"/>
      <c r="BA3615" s="30"/>
      <c r="BB3615" s="155"/>
      <c r="BC3615" s="314"/>
      <c r="BD3615" s="314"/>
      <c r="BE3615" s="314"/>
      <c r="BF3615" s="314"/>
      <c r="BG3615" s="314"/>
      <c r="BH3615" s="314"/>
      <c r="BI3615" s="314"/>
      <c r="BJ3615" s="314"/>
      <c r="BK3615" s="40"/>
      <c r="BL3615" s="40"/>
      <c r="BM3615" s="40"/>
      <c r="BN3615" s="40"/>
      <c r="BO3615" s="40"/>
      <c r="BP3615" s="155"/>
      <c r="BQ3615" s="314"/>
      <c r="BR3615" s="314"/>
      <c r="BS3615" s="314"/>
      <c r="BT3615" s="314"/>
      <c r="BU3615" s="314"/>
      <c r="BV3615" s="314"/>
      <c r="BW3615" s="314"/>
      <c r="BX3615" s="155"/>
    </row>
    <row r="3616" spans="1:76" ht="15.75" customHeight="1">
      <c r="A3616" s="25"/>
      <c r="B3616" s="39"/>
      <c r="C3616" s="155"/>
      <c r="D3616" s="155"/>
      <c r="E3616" s="40"/>
      <c r="F3616" s="314"/>
      <c r="H3616" s="315"/>
      <c r="I3616" s="315"/>
      <c r="BA3616" s="30"/>
      <c r="BB3616" s="155"/>
      <c r="BC3616" s="314"/>
      <c r="BD3616" s="314"/>
      <c r="BE3616" s="314"/>
      <c r="BF3616" s="314"/>
      <c r="BG3616" s="314"/>
      <c r="BH3616" s="314"/>
      <c r="BI3616" s="314"/>
      <c r="BJ3616" s="314"/>
      <c r="BK3616" s="40"/>
      <c r="BL3616" s="40"/>
      <c r="BM3616" s="40"/>
      <c r="BN3616" s="40"/>
      <c r="BO3616" s="40"/>
      <c r="BP3616" s="155"/>
      <c r="BQ3616" s="314"/>
      <c r="BR3616" s="314"/>
      <c r="BS3616" s="314"/>
      <c r="BT3616" s="314"/>
      <c r="BU3616" s="314"/>
      <c r="BV3616" s="314"/>
      <c r="BW3616" s="314"/>
      <c r="BX3616" s="155"/>
    </row>
    <row r="3617" spans="1:76" ht="15.75" customHeight="1">
      <c r="A3617" s="25"/>
      <c r="B3617" s="39"/>
      <c r="C3617" s="155"/>
      <c r="D3617" s="155"/>
      <c r="E3617" s="40"/>
      <c r="F3617" s="314"/>
      <c r="H3617" s="315"/>
      <c r="I3617" s="315"/>
      <c r="BA3617" s="30"/>
      <c r="BB3617" s="155"/>
      <c r="BC3617" s="314"/>
      <c r="BD3617" s="314"/>
      <c r="BE3617" s="314"/>
      <c r="BF3617" s="314"/>
      <c r="BG3617" s="314"/>
      <c r="BH3617" s="314"/>
      <c r="BI3617" s="314"/>
      <c r="BJ3617" s="314"/>
      <c r="BK3617" s="40"/>
      <c r="BL3617" s="40"/>
      <c r="BM3617" s="40"/>
      <c r="BN3617" s="40"/>
      <c r="BO3617" s="40"/>
      <c r="BP3617" s="155"/>
      <c r="BQ3617" s="314"/>
      <c r="BR3617" s="314"/>
      <c r="BS3617" s="314"/>
      <c r="BT3617" s="314"/>
      <c r="BU3617" s="314"/>
      <c r="BV3617" s="314"/>
      <c r="BW3617" s="314"/>
      <c r="BX3617" s="155"/>
    </row>
    <row r="3618" spans="1:76" ht="15.75" customHeight="1">
      <c r="A3618" s="25"/>
      <c r="B3618" s="39"/>
      <c r="C3618" s="155"/>
      <c r="D3618" s="155"/>
      <c r="E3618" s="40"/>
      <c r="F3618" s="314"/>
      <c r="H3618" s="315"/>
      <c r="I3618" s="315"/>
      <c r="BA3618" s="30"/>
      <c r="BB3618" s="155"/>
      <c r="BC3618" s="314"/>
      <c r="BD3618" s="314"/>
      <c r="BE3618" s="314"/>
      <c r="BF3618" s="314"/>
      <c r="BG3618" s="314"/>
      <c r="BH3618" s="314"/>
      <c r="BI3618" s="314"/>
      <c r="BJ3618" s="314"/>
      <c r="BK3618" s="40"/>
      <c r="BL3618" s="40"/>
      <c r="BM3618" s="40"/>
      <c r="BN3618" s="40"/>
      <c r="BO3618" s="40"/>
      <c r="BP3618" s="155"/>
      <c r="BQ3618" s="314"/>
      <c r="BR3618" s="314"/>
      <c r="BS3618" s="314"/>
      <c r="BT3618" s="314"/>
      <c r="BU3618" s="314"/>
      <c r="BV3618" s="314"/>
      <c r="BW3618" s="314"/>
      <c r="BX3618" s="155"/>
    </row>
    <row r="3619" spans="1:76" ht="15.75" customHeight="1">
      <c r="A3619" s="25"/>
      <c r="B3619" s="39"/>
      <c r="C3619" s="155"/>
      <c r="D3619" s="155"/>
      <c r="E3619" s="40"/>
      <c r="F3619" s="314"/>
      <c r="H3619" s="315"/>
      <c r="I3619" s="315"/>
      <c r="BA3619" s="30"/>
      <c r="BB3619" s="155"/>
      <c r="BC3619" s="314"/>
      <c r="BD3619" s="314"/>
      <c r="BE3619" s="314"/>
      <c r="BF3619" s="314"/>
      <c r="BG3619" s="314"/>
      <c r="BH3619" s="314"/>
      <c r="BI3619" s="314"/>
      <c r="BJ3619" s="314"/>
      <c r="BK3619" s="40"/>
      <c r="BL3619" s="40"/>
      <c r="BM3619" s="40"/>
      <c r="BN3619" s="40"/>
      <c r="BO3619" s="40"/>
      <c r="BP3619" s="155"/>
      <c r="BQ3619" s="314"/>
      <c r="BR3619" s="314"/>
      <c r="BS3619" s="314"/>
      <c r="BT3619" s="314"/>
      <c r="BU3619" s="314"/>
      <c r="BV3619" s="314"/>
      <c r="BW3619" s="314"/>
      <c r="BX3619" s="155"/>
    </row>
    <row r="3620" spans="1:76" ht="15.75" customHeight="1">
      <c r="A3620" s="25"/>
      <c r="B3620" s="39"/>
      <c r="C3620" s="155"/>
      <c r="D3620" s="155"/>
      <c r="E3620" s="40"/>
      <c r="F3620" s="314"/>
      <c r="H3620" s="315"/>
      <c r="I3620" s="315"/>
      <c r="BA3620" s="30"/>
      <c r="BB3620" s="155"/>
      <c r="BC3620" s="314"/>
      <c r="BD3620" s="314"/>
      <c r="BE3620" s="314"/>
      <c r="BF3620" s="314"/>
      <c r="BG3620" s="314"/>
      <c r="BH3620" s="314"/>
      <c r="BI3620" s="314"/>
      <c r="BJ3620" s="314"/>
      <c r="BK3620" s="40"/>
      <c r="BL3620" s="40"/>
      <c r="BM3620" s="40"/>
      <c r="BN3620" s="40"/>
      <c r="BO3620" s="40"/>
      <c r="BP3620" s="155"/>
      <c r="BQ3620" s="314"/>
      <c r="BR3620" s="314"/>
      <c r="BS3620" s="314"/>
      <c r="BT3620" s="314"/>
      <c r="BU3620" s="314"/>
      <c r="BV3620" s="314"/>
      <c r="BW3620" s="314"/>
      <c r="BX3620" s="155"/>
    </row>
    <row r="3621" spans="1:76" ht="15.75" customHeight="1">
      <c r="A3621" s="25"/>
      <c r="B3621" s="39"/>
      <c r="C3621" s="155"/>
      <c r="D3621" s="155"/>
      <c r="E3621" s="40"/>
      <c r="F3621" s="314"/>
      <c r="H3621" s="315"/>
      <c r="I3621" s="315"/>
      <c r="BA3621" s="30"/>
      <c r="BB3621" s="155"/>
      <c r="BC3621" s="314"/>
      <c r="BD3621" s="314"/>
      <c r="BE3621" s="314"/>
      <c r="BF3621" s="314"/>
      <c r="BG3621" s="314"/>
      <c r="BH3621" s="314"/>
      <c r="BI3621" s="314"/>
      <c r="BJ3621" s="314"/>
      <c r="BK3621" s="40"/>
      <c r="BL3621" s="40"/>
      <c r="BM3621" s="40"/>
      <c r="BN3621" s="40"/>
      <c r="BO3621" s="40"/>
      <c r="BP3621" s="155"/>
      <c r="BQ3621" s="314"/>
      <c r="BR3621" s="314"/>
      <c r="BS3621" s="314"/>
      <c r="BT3621" s="314"/>
      <c r="BU3621" s="314"/>
      <c r="BV3621" s="314"/>
      <c r="BW3621" s="314"/>
      <c r="BX3621" s="155"/>
    </row>
    <row r="3622" spans="1:76" ht="15.75" customHeight="1">
      <c r="A3622" s="25"/>
      <c r="B3622" s="39"/>
      <c r="C3622" s="155"/>
      <c r="D3622" s="155"/>
      <c r="E3622" s="40"/>
      <c r="F3622" s="314"/>
      <c r="H3622" s="315"/>
      <c r="I3622" s="315"/>
      <c r="BA3622" s="30"/>
      <c r="BB3622" s="155"/>
      <c r="BC3622" s="314"/>
      <c r="BD3622" s="314"/>
      <c r="BE3622" s="314"/>
      <c r="BF3622" s="314"/>
      <c r="BG3622" s="314"/>
      <c r="BH3622" s="314"/>
      <c r="BI3622" s="314"/>
      <c r="BJ3622" s="314"/>
      <c r="BK3622" s="40"/>
      <c r="BL3622" s="40"/>
      <c r="BM3622" s="40"/>
      <c r="BN3622" s="40"/>
      <c r="BO3622" s="40"/>
      <c r="BP3622" s="155"/>
      <c r="BQ3622" s="314"/>
      <c r="BR3622" s="314"/>
      <c r="BS3622" s="314"/>
      <c r="BT3622" s="314"/>
      <c r="BU3622" s="314"/>
      <c r="BV3622" s="314"/>
      <c r="BW3622" s="314"/>
      <c r="BX3622" s="155"/>
    </row>
    <row r="3623" spans="1:76" ht="15.75" customHeight="1">
      <c r="A3623" s="25"/>
      <c r="B3623" s="39"/>
      <c r="C3623" s="155"/>
      <c r="D3623" s="155"/>
      <c r="E3623" s="40"/>
      <c r="F3623" s="314"/>
      <c r="H3623" s="315"/>
      <c r="I3623" s="315"/>
      <c r="BA3623" s="30"/>
      <c r="BB3623" s="155"/>
      <c r="BC3623" s="314"/>
      <c r="BD3623" s="314"/>
      <c r="BE3623" s="314"/>
      <c r="BF3623" s="314"/>
      <c r="BG3623" s="314"/>
      <c r="BH3623" s="314"/>
      <c r="BI3623" s="314"/>
      <c r="BJ3623" s="314"/>
      <c r="BK3623" s="40"/>
      <c r="BL3623" s="40"/>
      <c r="BM3623" s="40"/>
      <c r="BN3623" s="40"/>
      <c r="BO3623" s="40"/>
      <c r="BP3623" s="155"/>
      <c r="BQ3623" s="314"/>
      <c r="BR3623" s="314"/>
      <c r="BS3623" s="314"/>
      <c r="BT3623" s="314"/>
      <c r="BU3623" s="314"/>
      <c r="BV3623" s="314"/>
      <c r="BW3623" s="314"/>
      <c r="BX3623" s="155"/>
    </row>
    <row r="3624" spans="1:76" ht="15.75" customHeight="1">
      <c r="A3624" s="25"/>
      <c r="B3624" s="39"/>
      <c r="C3624" s="155"/>
      <c r="D3624" s="155"/>
      <c r="E3624" s="40"/>
      <c r="F3624" s="314"/>
      <c r="H3624" s="315"/>
      <c r="I3624" s="315"/>
      <c r="BA3624" s="30"/>
      <c r="BB3624" s="155"/>
      <c r="BC3624" s="314"/>
      <c r="BD3624" s="314"/>
      <c r="BE3624" s="314"/>
      <c r="BF3624" s="314"/>
      <c r="BG3624" s="314"/>
      <c r="BH3624" s="314"/>
      <c r="BI3624" s="314"/>
      <c r="BJ3624" s="314"/>
      <c r="BK3624" s="40"/>
      <c r="BL3624" s="40"/>
      <c r="BM3624" s="40"/>
      <c r="BN3624" s="40"/>
      <c r="BO3624" s="40"/>
      <c r="BP3624" s="155"/>
      <c r="BQ3624" s="314"/>
      <c r="BR3624" s="314"/>
      <c r="BS3624" s="314"/>
      <c r="BT3624" s="314"/>
      <c r="BU3624" s="314"/>
      <c r="BV3624" s="314"/>
      <c r="BW3624" s="314"/>
      <c r="BX3624" s="155"/>
    </row>
    <row r="3625" spans="1:76" ht="15.75" customHeight="1">
      <c r="A3625" s="25"/>
      <c r="B3625" s="39"/>
      <c r="C3625" s="155"/>
      <c r="D3625" s="155"/>
      <c r="E3625" s="40"/>
      <c r="F3625" s="314"/>
      <c r="H3625" s="315"/>
      <c r="I3625" s="315"/>
      <c r="BA3625" s="30"/>
      <c r="BB3625" s="155"/>
      <c r="BC3625" s="314"/>
      <c r="BD3625" s="314"/>
      <c r="BE3625" s="314"/>
      <c r="BF3625" s="314"/>
      <c r="BG3625" s="314"/>
      <c r="BH3625" s="314"/>
      <c r="BI3625" s="314"/>
      <c r="BJ3625" s="314"/>
      <c r="BK3625" s="40"/>
      <c r="BL3625" s="40"/>
      <c r="BM3625" s="40"/>
      <c r="BN3625" s="40"/>
      <c r="BO3625" s="40"/>
      <c r="BP3625" s="155"/>
      <c r="BQ3625" s="314"/>
      <c r="BR3625" s="314"/>
      <c r="BS3625" s="314"/>
      <c r="BT3625" s="314"/>
      <c r="BU3625" s="314"/>
      <c r="BV3625" s="314"/>
      <c r="BW3625" s="314"/>
      <c r="BX3625" s="155"/>
    </row>
    <row r="3626" spans="1:76" ht="15.75" customHeight="1">
      <c r="A3626" s="25"/>
      <c r="B3626" s="39"/>
      <c r="C3626" s="155"/>
      <c r="D3626" s="155"/>
      <c r="E3626" s="40"/>
      <c r="F3626" s="314"/>
      <c r="H3626" s="315"/>
      <c r="I3626" s="315"/>
      <c r="BA3626" s="30"/>
      <c r="BB3626" s="155"/>
      <c r="BC3626" s="314"/>
      <c r="BD3626" s="314"/>
      <c r="BE3626" s="314"/>
      <c r="BF3626" s="314"/>
      <c r="BG3626" s="314"/>
      <c r="BH3626" s="314"/>
      <c r="BI3626" s="314"/>
      <c r="BJ3626" s="314"/>
      <c r="BK3626" s="40"/>
      <c r="BL3626" s="40"/>
      <c r="BM3626" s="40"/>
      <c r="BN3626" s="40"/>
      <c r="BO3626" s="40"/>
      <c r="BP3626" s="155"/>
      <c r="BQ3626" s="314"/>
      <c r="BR3626" s="314"/>
      <c r="BS3626" s="314"/>
      <c r="BT3626" s="314"/>
      <c r="BU3626" s="314"/>
      <c r="BV3626" s="314"/>
      <c r="BW3626" s="314"/>
      <c r="BX3626" s="155"/>
    </row>
    <row r="3627" spans="1:76" ht="15.75" customHeight="1">
      <c r="A3627" s="25"/>
      <c r="B3627" s="39"/>
      <c r="C3627" s="155"/>
      <c r="D3627" s="155"/>
      <c r="E3627" s="40"/>
      <c r="F3627" s="314"/>
      <c r="H3627" s="315"/>
      <c r="I3627" s="315"/>
      <c r="BA3627" s="30"/>
      <c r="BB3627" s="155"/>
      <c r="BC3627" s="314"/>
      <c r="BD3627" s="314"/>
      <c r="BE3627" s="314"/>
      <c r="BF3627" s="314"/>
      <c r="BG3627" s="314"/>
      <c r="BH3627" s="314"/>
      <c r="BI3627" s="314"/>
      <c r="BJ3627" s="314"/>
      <c r="BK3627" s="40"/>
      <c r="BL3627" s="40"/>
      <c r="BM3627" s="40"/>
      <c r="BN3627" s="40"/>
      <c r="BO3627" s="40"/>
      <c r="BP3627" s="155"/>
      <c r="BQ3627" s="314"/>
      <c r="BR3627" s="314"/>
      <c r="BS3627" s="314"/>
      <c r="BT3627" s="314"/>
      <c r="BU3627" s="314"/>
      <c r="BV3627" s="314"/>
      <c r="BW3627" s="314"/>
      <c r="BX3627" s="155"/>
    </row>
    <row r="3628" spans="1:76" ht="15.75" customHeight="1">
      <c r="A3628" s="25"/>
      <c r="B3628" s="39"/>
      <c r="C3628" s="155"/>
      <c r="D3628" s="155"/>
      <c r="E3628" s="40"/>
      <c r="F3628" s="314"/>
      <c r="H3628" s="315"/>
      <c r="I3628" s="315"/>
      <c r="BA3628" s="30"/>
      <c r="BB3628" s="155"/>
      <c r="BC3628" s="314"/>
      <c r="BD3628" s="314"/>
      <c r="BE3628" s="314"/>
      <c r="BF3628" s="314"/>
      <c r="BG3628" s="314"/>
      <c r="BH3628" s="314"/>
      <c r="BI3628" s="314"/>
      <c r="BJ3628" s="314"/>
      <c r="BK3628" s="40"/>
      <c r="BL3628" s="40"/>
      <c r="BM3628" s="40"/>
      <c r="BN3628" s="40"/>
      <c r="BO3628" s="40"/>
      <c r="BP3628" s="155"/>
      <c r="BQ3628" s="314"/>
      <c r="BR3628" s="314"/>
      <c r="BS3628" s="314"/>
      <c r="BT3628" s="314"/>
      <c r="BU3628" s="314"/>
      <c r="BV3628" s="314"/>
      <c r="BW3628" s="314"/>
      <c r="BX3628" s="155"/>
    </row>
    <row r="3629" spans="1:76" ht="15.75" customHeight="1">
      <c r="A3629" s="25"/>
      <c r="B3629" s="39"/>
      <c r="C3629" s="155"/>
      <c r="D3629" s="155"/>
      <c r="E3629" s="40"/>
      <c r="F3629" s="314"/>
      <c r="H3629" s="315"/>
      <c r="I3629" s="315"/>
      <c r="BA3629" s="30"/>
      <c r="BB3629" s="155"/>
      <c r="BC3629" s="314"/>
      <c r="BD3629" s="314"/>
      <c r="BE3629" s="314"/>
      <c r="BF3629" s="314"/>
      <c r="BG3629" s="314"/>
      <c r="BH3629" s="314"/>
      <c r="BI3629" s="314"/>
      <c r="BJ3629" s="314"/>
      <c r="BK3629" s="40"/>
      <c r="BL3629" s="40"/>
      <c r="BM3629" s="40"/>
      <c r="BN3629" s="40"/>
      <c r="BO3629" s="40"/>
      <c r="BP3629" s="155"/>
      <c r="BQ3629" s="314"/>
      <c r="BR3629" s="314"/>
      <c r="BS3629" s="314"/>
      <c r="BT3629" s="314"/>
      <c r="BU3629" s="314"/>
      <c r="BV3629" s="314"/>
      <c r="BW3629" s="314"/>
      <c r="BX3629" s="155"/>
    </row>
    <row r="3630" spans="1:76" ht="15.75" customHeight="1">
      <c r="A3630" s="25"/>
      <c r="B3630" s="39"/>
      <c r="C3630" s="155"/>
      <c r="D3630" s="155"/>
      <c r="E3630" s="40"/>
      <c r="F3630" s="314"/>
      <c r="H3630" s="315"/>
      <c r="I3630" s="315"/>
      <c r="BA3630" s="30"/>
      <c r="BB3630" s="155"/>
      <c r="BC3630" s="314"/>
      <c r="BD3630" s="314"/>
      <c r="BE3630" s="314"/>
      <c r="BF3630" s="314"/>
      <c r="BG3630" s="314"/>
      <c r="BH3630" s="314"/>
      <c r="BI3630" s="314"/>
      <c r="BJ3630" s="314"/>
      <c r="BK3630" s="40"/>
      <c r="BL3630" s="40"/>
      <c r="BM3630" s="40"/>
      <c r="BN3630" s="40"/>
      <c r="BO3630" s="40"/>
      <c r="BP3630" s="155"/>
      <c r="BQ3630" s="314"/>
      <c r="BR3630" s="314"/>
      <c r="BS3630" s="314"/>
      <c r="BT3630" s="314"/>
      <c r="BU3630" s="314"/>
      <c r="BV3630" s="314"/>
      <c r="BW3630" s="314"/>
      <c r="BX3630" s="155"/>
    </row>
    <row r="3631" spans="1:76" ht="15.75" customHeight="1">
      <c r="A3631" s="25"/>
      <c r="B3631" s="39"/>
      <c r="C3631" s="155"/>
      <c r="D3631" s="155"/>
      <c r="E3631" s="40"/>
      <c r="F3631" s="314"/>
      <c r="H3631" s="315"/>
      <c r="I3631" s="315"/>
      <c r="BA3631" s="30"/>
      <c r="BB3631" s="155"/>
      <c r="BC3631" s="314"/>
      <c r="BD3631" s="314"/>
      <c r="BE3631" s="314"/>
      <c r="BF3631" s="314"/>
      <c r="BG3631" s="314"/>
      <c r="BH3631" s="314"/>
      <c r="BI3631" s="314"/>
      <c r="BJ3631" s="314"/>
      <c r="BK3631" s="40"/>
      <c r="BL3631" s="40"/>
      <c r="BM3631" s="40"/>
      <c r="BN3631" s="40"/>
      <c r="BO3631" s="40"/>
      <c r="BP3631" s="155"/>
      <c r="BQ3631" s="314"/>
      <c r="BR3631" s="314"/>
      <c r="BS3631" s="314"/>
      <c r="BT3631" s="314"/>
      <c r="BU3631" s="314"/>
      <c r="BV3631" s="314"/>
      <c r="BW3631" s="314"/>
      <c r="BX3631" s="155"/>
    </row>
    <row r="3632" spans="1:76" ht="15.75" customHeight="1">
      <c r="A3632" s="25"/>
      <c r="B3632" s="39"/>
      <c r="C3632" s="155"/>
      <c r="D3632" s="155"/>
      <c r="E3632" s="40"/>
      <c r="F3632" s="314"/>
      <c r="H3632" s="315"/>
      <c r="I3632" s="315"/>
      <c r="BA3632" s="30"/>
      <c r="BB3632" s="155"/>
      <c r="BC3632" s="314"/>
      <c r="BD3632" s="314"/>
      <c r="BE3632" s="314"/>
      <c r="BF3632" s="314"/>
      <c r="BG3632" s="314"/>
      <c r="BH3632" s="314"/>
      <c r="BI3632" s="314"/>
      <c r="BJ3632" s="314"/>
      <c r="BK3632" s="40"/>
      <c r="BL3632" s="40"/>
      <c r="BM3632" s="40"/>
      <c r="BN3632" s="40"/>
      <c r="BO3632" s="40"/>
      <c r="BP3632" s="155"/>
      <c r="BQ3632" s="314"/>
      <c r="BR3632" s="314"/>
      <c r="BS3632" s="314"/>
      <c r="BT3632" s="314"/>
      <c r="BU3632" s="314"/>
      <c r="BV3632" s="314"/>
      <c r="BW3632" s="314"/>
      <c r="BX3632" s="155"/>
    </row>
    <row r="3633" spans="1:76" ht="15.75" customHeight="1">
      <c r="A3633" s="25"/>
      <c r="B3633" s="39"/>
      <c r="C3633" s="155"/>
      <c r="D3633" s="155"/>
      <c r="E3633" s="40"/>
      <c r="F3633" s="314"/>
      <c r="H3633" s="315"/>
      <c r="I3633" s="315"/>
      <c r="BA3633" s="30"/>
      <c r="BB3633" s="155"/>
      <c r="BC3633" s="314"/>
      <c r="BD3633" s="314"/>
      <c r="BE3633" s="314"/>
      <c r="BF3633" s="314"/>
      <c r="BG3633" s="314"/>
      <c r="BH3633" s="314"/>
      <c r="BI3633" s="314"/>
      <c r="BJ3633" s="314"/>
      <c r="BK3633" s="40"/>
      <c r="BL3633" s="40"/>
      <c r="BM3633" s="40"/>
      <c r="BN3633" s="40"/>
      <c r="BO3633" s="40"/>
      <c r="BP3633" s="155"/>
      <c r="BQ3633" s="314"/>
      <c r="BR3633" s="314"/>
      <c r="BS3633" s="314"/>
      <c r="BT3633" s="314"/>
      <c r="BU3633" s="314"/>
      <c r="BV3633" s="314"/>
      <c r="BW3633" s="314"/>
      <c r="BX3633" s="155"/>
    </row>
    <row r="3634" spans="1:76" ht="15.75" customHeight="1">
      <c r="A3634" s="25"/>
      <c r="B3634" s="39"/>
      <c r="C3634" s="155"/>
      <c r="D3634" s="155"/>
      <c r="E3634" s="40"/>
      <c r="F3634" s="314"/>
      <c r="H3634" s="315"/>
      <c r="I3634" s="315"/>
      <c r="BA3634" s="30"/>
      <c r="BB3634" s="155"/>
      <c r="BC3634" s="314"/>
      <c r="BD3634" s="314"/>
      <c r="BE3634" s="314"/>
      <c r="BF3634" s="314"/>
      <c r="BG3634" s="314"/>
      <c r="BH3634" s="314"/>
      <c r="BI3634" s="314"/>
      <c r="BJ3634" s="314"/>
      <c r="BK3634" s="40"/>
      <c r="BL3634" s="40"/>
      <c r="BM3634" s="40"/>
      <c r="BN3634" s="40"/>
      <c r="BO3634" s="40"/>
      <c r="BP3634" s="155"/>
      <c r="BQ3634" s="314"/>
      <c r="BR3634" s="314"/>
      <c r="BS3634" s="314"/>
      <c r="BT3634" s="314"/>
      <c r="BU3634" s="314"/>
      <c r="BV3634" s="314"/>
      <c r="BW3634" s="314"/>
      <c r="BX3634" s="155"/>
    </row>
    <row r="3635" spans="1:76" ht="15.75" customHeight="1">
      <c r="A3635" s="25"/>
      <c r="B3635" s="39"/>
      <c r="C3635" s="155"/>
      <c r="D3635" s="155"/>
      <c r="E3635" s="40"/>
      <c r="F3635" s="314"/>
      <c r="H3635" s="315"/>
      <c r="I3635" s="315"/>
      <c r="BA3635" s="30"/>
      <c r="BB3635" s="155"/>
      <c r="BC3635" s="314"/>
      <c r="BD3635" s="314"/>
      <c r="BE3635" s="314"/>
      <c r="BF3635" s="314"/>
      <c r="BG3635" s="314"/>
      <c r="BH3635" s="314"/>
      <c r="BI3635" s="314"/>
      <c r="BJ3635" s="314"/>
      <c r="BK3635" s="40"/>
      <c r="BL3635" s="40"/>
      <c r="BM3635" s="40"/>
      <c r="BN3635" s="40"/>
      <c r="BO3635" s="40"/>
      <c r="BP3635" s="155"/>
      <c r="BQ3635" s="314"/>
      <c r="BR3635" s="314"/>
      <c r="BS3635" s="314"/>
      <c r="BT3635" s="314"/>
      <c r="BU3635" s="314"/>
      <c r="BV3635" s="314"/>
      <c r="BW3635" s="314"/>
      <c r="BX3635" s="155"/>
    </row>
    <row r="3636" spans="1:76" ht="15.75" customHeight="1">
      <c r="A3636" s="25"/>
      <c r="B3636" s="39"/>
      <c r="C3636" s="155"/>
      <c r="D3636" s="155"/>
      <c r="E3636" s="40"/>
      <c r="F3636" s="314"/>
      <c r="H3636" s="315"/>
      <c r="I3636" s="315"/>
      <c r="BA3636" s="30"/>
      <c r="BB3636" s="155"/>
      <c r="BC3636" s="314"/>
      <c r="BD3636" s="314"/>
      <c r="BE3636" s="314"/>
      <c r="BF3636" s="314"/>
      <c r="BG3636" s="314"/>
      <c r="BH3636" s="314"/>
      <c r="BI3636" s="314"/>
      <c r="BJ3636" s="314"/>
      <c r="BK3636" s="40"/>
      <c r="BL3636" s="40"/>
      <c r="BM3636" s="40"/>
      <c r="BN3636" s="40"/>
      <c r="BO3636" s="40"/>
      <c r="BP3636" s="155"/>
      <c r="BQ3636" s="314"/>
      <c r="BR3636" s="314"/>
      <c r="BS3636" s="314"/>
      <c r="BT3636" s="314"/>
      <c r="BU3636" s="314"/>
      <c r="BV3636" s="314"/>
      <c r="BW3636" s="314"/>
      <c r="BX3636" s="155"/>
    </row>
    <row r="3637" spans="1:76" ht="15.75" customHeight="1">
      <c r="A3637" s="25"/>
      <c r="B3637" s="39"/>
      <c r="C3637" s="155"/>
      <c r="D3637" s="155"/>
      <c r="E3637" s="40"/>
      <c r="F3637" s="314"/>
      <c r="H3637" s="315"/>
      <c r="I3637" s="315"/>
      <c r="BA3637" s="30"/>
      <c r="BB3637" s="155"/>
      <c r="BC3637" s="314"/>
      <c r="BD3637" s="314"/>
      <c r="BE3637" s="314"/>
      <c r="BF3637" s="314"/>
      <c r="BG3637" s="314"/>
      <c r="BH3637" s="314"/>
      <c r="BI3637" s="314"/>
      <c r="BJ3637" s="314"/>
      <c r="BK3637" s="40"/>
      <c r="BL3637" s="40"/>
      <c r="BM3637" s="40"/>
      <c r="BN3637" s="40"/>
      <c r="BO3637" s="40"/>
      <c r="BP3637" s="155"/>
      <c r="BQ3637" s="314"/>
      <c r="BR3637" s="314"/>
      <c r="BS3637" s="314"/>
      <c r="BT3637" s="314"/>
      <c r="BU3637" s="314"/>
      <c r="BV3637" s="314"/>
      <c r="BW3637" s="314"/>
      <c r="BX3637" s="155"/>
    </row>
    <row r="3638" spans="1:76" ht="15.75" customHeight="1">
      <c r="A3638" s="25"/>
      <c r="B3638" s="39"/>
      <c r="C3638" s="155"/>
      <c r="D3638" s="155"/>
      <c r="E3638" s="40"/>
      <c r="F3638" s="314"/>
      <c r="H3638" s="315"/>
      <c r="I3638" s="315"/>
      <c r="BA3638" s="30"/>
      <c r="BB3638" s="155"/>
      <c r="BC3638" s="314"/>
      <c r="BD3638" s="314"/>
      <c r="BE3638" s="314"/>
      <c r="BF3638" s="314"/>
      <c r="BG3638" s="314"/>
      <c r="BH3638" s="314"/>
      <c r="BI3638" s="314"/>
      <c r="BJ3638" s="314"/>
      <c r="BK3638" s="40"/>
      <c r="BL3638" s="40"/>
      <c r="BM3638" s="40"/>
      <c r="BN3638" s="40"/>
      <c r="BO3638" s="40"/>
      <c r="BP3638" s="155"/>
      <c r="BQ3638" s="314"/>
      <c r="BR3638" s="314"/>
      <c r="BS3638" s="314"/>
      <c r="BT3638" s="314"/>
      <c r="BU3638" s="314"/>
      <c r="BV3638" s="314"/>
      <c r="BW3638" s="314"/>
      <c r="BX3638" s="155"/>
    </row>
    <row r="3639" spans="1:76" ht="15.75" customHeight="1">
      <c r="A3639" s="25"/>
      <c r="B3639" s="39"/>
      <c r="C3639" s="155"/>
      <c r="D3639" s="155"/>
      <c r="E3639" s="40"/>
      <c r="F3639" s="314"/>
      <c r="H3639" s="315"/>
      <c r="I3639" s="315"/>
      <c r="BA3639" s="30"/>
      <c r="BB3639" s="155"/>
      <c r="BC3639" s="314"/>
      <c r="BD3639" s="314"/>
      <c r="BE3639" s="314"/>
      <c r="BF3639" s="314"/>
      <c r="BG3639" s="314"/>
      <c r="BH3639" s="314"/>
      <c r="BI3639" s="314"/>
      <c r="BJ3639" s="314"/>
      <c r="BK3639" s="40"/>
      <c r="BL3639" s="40"/>
      <c r="BM3639" s="40"/>
      <c r="BN3639" s="40"/>
      <c r="BO3639" s="40"/>
      <c r="BP3639" s="155"/>
      <c r="BQ3639" s="314"/>
      <c r="BR3639" s="314"/>
      <c r="BS3639" s="314"/>
      <c r="BT3639" s="314"/>
      <c r="BU3639" s="314"/>
      <c r="BV3639" s="314"/>
      <c r="BW3639" s="314"/>
      <c r="BX3639" s="155"/>
    </row>
    <row r="3640" spans="1:76" ht="15.75" customHeight="1">
      <c r="A3640" s="25"/>
      <c r="B3640" s="39"/>
      <c r="C3640" s="155"/>
      <c r="D3640" s="155"/>
      <c r="E3640" s="40"/>
      <c r="F3640" s="314"/>
      <c r="H3640" s="315"/>
      <c r="I3640" s="315"/>
      <c r="BA3640" s="30"/>
      <c r="BB3640" s="155"/>
      <c r="BC3640" s="322"/>
      <c r="BD3640" s="322"/>
      <c r="BE3640" s="322"/>
      <c r="BF3640" s="322"/>
      <c r="BG3640" s="322"/>
      <c r="BH3640" s="322"/>
      <c r="BI3640" s="322"/>
      <c r="BJ3640" s="322"/>
      <c r="BK3640" s="341"/>
      <c r="BL3640" s="40"/>
      <c r="BM3640" s="40"/>
      <c r="BN3640" s="40"/>
      <c r="BO3640" s="40"/>
      <c r="BP3640" s="155"/>
      <c r="BQ3640" s="314"/>
      <c r="BR3640" s="314"/>
      <c r="BS3640" s="314"/>
      <c r="BT3640" s="314"/>
      <c r="BU3640" s="314"/>
      <c r="BV3640" s="314"/>
      <c r="BW3640" s="314"/>
      <c r="BX3640" s="155"/>
    </row>
    <row r="3641" spans="1:76" ht="15.75" customHeight="1">
      <c r="A3641" s="25"/>
      <c r="B3641" s="39"/>
      <c r="C3641" s="155"/>
      <c r="D3641" s="155"/>
      <c r="E3641" s="40"/>
      <c r="F3641" s="314"/>
      <c r="H3641" s="315"/>
      <c r="I3641" s="315"/>
      <c r="BA3641" s="30"/>
      <c r="BB3641" s="155"/>
      <c r="BC3641" s="314"/>
      <c r="BD3641" s="314"/>
      <c r="BE3641" s="314"/>
      <c r="BF3641" s="314"/>
      <c r="BG3641" s="314"/>
      <c r="BH3641" s="314"/>
      <c r="BI3641" s="314"/>
      <c r="BJ3641" s="314"/>
      <c r="BK3641" s="40"/>
      <c r="BL3641" s="40"/>
      <c r="BM3641" s="40"/>
      <c r="BN3641" s="40"/>
      <c r="BO3641" s="40"/>
      <c r="BP3641" s="155"/>
      <c r="BQ3641" s="314"/>
      <c r="BR3641" s="314"/>
      <c r="BS3641" s="314"/>
      <c r="BT3641" s="314"/>
      <c r="BU3641" s="314"/>
      <c r="BV3641" s="314"/>
      <c r="BW3641" s="314"/>
      <c r="BX3641" s="155"/>
    </row>
    <row r="3642" spans="1:76" ht="15.75" customHeight="1">
      <c r="A3642" s="25"/>
      <c r="B3642" s="39"/>
      <c r="C3642" s="155"/>
      <c r="D3642" s="155"/>
      <c r="E3642" s="40"/>
      <c r="F3642" s="314"/>
      <c r="H3642" s="315"/>
      <c r="I3642" s="315"/>
      <c r="BA3642" s="30"/>
      <c r="BB3642" s="155"/>
      <c r="BC3642" s="314"/>
      <c r="BD3642" s="314"/>
      <c r="BE3642" s="314"/>
      <c r="BF3642" s="314"/>
      <c r="BG3642" s="314"/>
      <c r="BH3642" s="314"/>
      <c r="BI3642" s="314"/>
      <c r="BJ3642" s="314"/>
      <c r="BK3642" s="40"/>
      <c r="BL3642" s="40"/>
      <c r="BM3642" s="40"/>
      <c r="BN3642" s="40"/>
      <c r="BO3642" s="40"/>
      <c r="BP3642" s="155"/>
      <c r="BQ3642" s="314"/>
      <c r="BR3642" s="314"/>
      <c r="BS3642" s="314"/>
      <c r="BT3642" s="314"/>
      <c r="BU3642" s="314"/>
      <c r="BV3642" s="314"/>
      <c r="BW3642" s="314"/>
      <c r="BX3642" s="155"/>
    </row>
    <row r="3643" spans="1:76" ht="15.75" customHeight="1">
      <c r="A3643" s="25"/>
      <c r="B3643" s="39"/>
      <c r="C3643" s="155"/>
      <c r="D3643" s="155"/>
      <c r="E3643" s="40"/>
      <c r="F3643" s="314"/>
      <c r="H3643" s="315"/>
      <c r="I3643" s="315"/>
      <c r="BA3643" s="30"/>
      <c r="BB3643" s="155"/>
      <c r="BC3643" s="314"/>
      <c r="BD3643" s="314"/>
      <c r="BE3643" s="314"/>
      <c r="BF3643" s="314"/>
      <c r="BG3643" s="314"/>
      <c r="BH3643" s="314"/>
      <c r="BI3643" s="314"/>
      <c r="BJ3643" s="314"/>
      <c r="BK3643" s="40"/>
      <c r="BL3643" s="40"/>
      <c r="BM3643" s="40"/>
      <c r="BN3643" s="40"/>
      <c r="BO3643" s="40"/>
      <c r="BP3643" s="155"/>
      <c r="BQ3643" s="314"/>
      <c r="BR3643" s="314"/>
      <c r="BS3643" s="314"/>
      <c r="BT3643" s="314"/>
      <c r="BU3643" s="314"/>
      <c r="BV3643" s="314"/>
      <c r="BW3643" s="314"/>
      <c r="BX3643" s="155"/>
    </row>
    <row r="3644" spans="1:76" ht="15.75" customHeight="1">
      <c r="A3644" s="25"/>
      <c r="B3644" s="39"/>
      <c r="C3644" s="155"/>
      <c r="D3644" s="155"/>
      <c r="E3644" s="40"/>
      <c r="F3644" s="314"/>
      <c r="H3644" s="315"/>
      <c r="I3644" s="315"/>
      <c r="BA3644" s="30"/>
      <c r="BB3644" s="155"/>
      <c r="BC3644" s="314"/>
      <c r="BD3644" s="314"/>
      <c r="BE3644" s="314"/>
      <c r="BF3644" s="314"/>
      <c r="BG3644" s="314"/>
      <c r="BH3644" s="314"/>
      <c r="BI3644" s="314"/>
      <c r="BJ3644" s="314"/>
      <c r="BK3644" s="40"/>
      <c r="BL3644" s="40"/>
      <c r="BM3644" s="40"/>
      <c r="BN3644" s="40"/>
      <c r="BO3644" s="40"/>
      <c r="BP3644" s="155"/>
      <c r="BQ3644" s="314"/>
      <c r="BR3644" s="314"/>
      <c r="BS3644" s="314"/>
      <c r="BT3644" s="314"/>
      <c r="BU3644" s="314"/>
      <c r="BV3644" s="314"/>
      <c r="BW3644" s="314"/>
      <c r="BX3644" s="155"/>
    </row>
    <row r="3645" spans="1:76" ht="15.75" customHeight="1">
      <c r="A3645" s="25"/>
      <c r="B3645" s="39"/>
      <c r="C3645" s="155"/>
      <c r="D3645" s="155"/>
      <c r="E3645" s="40"/>
      <c r="F3645" s="314"/>
      <c r="H3645" s="315"/>
      <c r="I3645" s="315"/>
      <c r="BA3645" s="30"/>
      <c r="BB3645" s="155"/>
      <c r="BC3645" s="314"/>
      <c r="BD3645" s="314"/>
      <c r="BE3645" s="314"/>
      <c r="BF3645" s="314"/>
      <c r="BG3645" s="314"/>
      <c r="BH3645" s="314"/>
      <c r="BI3645" s="314"/>
      <c r="BJ3645" s="314"/>
      <c r="BK3645" s="40"/>
      <c r="BL3645" s="40"/>
      <c r="BM3645" s="40"/>
      <c r="BN3645" s="40"/>
      <c r="BO3645" s="40"/>
      <c r="BP3645" s="155"/>
      <c r="BQ3645" s="314"/>
      <c r="BR3645" s="314"/>
      <c r="BS3645" s="314"/>
      <c r="BT3645" s="314"/>
      <c r="BU3645" s="314"/>
      <c r="BV3645" s="314"/>
      <c r="BW3645" s="314"/>
      <c r="BX3645" s="155"/>
    </row>
    <row r="3646" spans="1:76" ht="15.75" customHeight="1">
      <c r="A3646" s="25"/>
      <c r="B3646" s="39"/>
      <c r="C3646" s="155"/>
      <c r="D3646" s="155"/>
      <c r="E3646" s="40"/>
      <c r="F3646" s="314"/>
      <c r="H3646" s="315"/>
      <c r="I3646" s="315"/>
      <c r="BA3646" s="30"/>
      <c r="BB3646" s="155"/>
      <c r="BC3646" s="314"/>
      <c r="BD3646" s="314"/>
      <c r="BE3646" s="314"/>
      <c r="BF3646" s="314"/>
      <c r="BG3646" s="314"/>
      <c r="BH3646" s="314"/>
      <c r="BI3646" s="314"/>
      <c r="BJ3646" s="314"/>
      <c r="BK3646" s="40"/>
      <c r="BL3646" s="40"/>
      <c r="BM3646" s="40"/>
      <c r="BN3646" s="40"/>
      <c r="BO3646" s="40"/>
      <c r="BP3646" s="155"/>
      <c r="BQ3646" s="314"/>
      <c r="BR3646" s="314"/>
      <c r="BS3646" s="314"/>
      <c r="BT3646" s="314"/>
      <c r="BU3646" s="314"/>
      <c r="BV3646" s="314"/>
      <c r="BW3646" s="314"/>
      <c r="BX3646" s="155"/>
    </row>
    <row r="3647" spans="1:76" ht="15.75" customHeight="1">
      <c r="A3647" s="25"/>
      <c r="B3647" s="39"/>
      <c r="C3647" s="155"/>
      <c r="D3647" s="155"/>
      <c r="E3647" s="40"/>
      <c r="F3647" s="314"/>
      <c r="H3647" s="315"/>
      <c r="I3647" s="315"/>
      <c r="BA3647" s="30"/>
      <c r="BB3647" s="155"/>
      <c r="BC3647" s="314"/>
      <c r="BD3647" s="314"/>
      <c r="BE3647" s="314"/>
      <c r="BF3647" s="314"/>
      <c r="BG3647" s="314"/>
      <c r="BH3647" s="314"/>
      <c r="BI3647" s="314"/>
      <c r="BJ3647" s="314"/>
      <c r="BK3647" s="40"/>
      <c r="BL3647" s="40"/>
      <c r="BM3647" s="40"/>
      <c r="BN3647" s="40"/>
      <c r="BO3647" s="40"/>
      <c r="BP3647" s="155"/>
      <c r="BQ3647" s="314"/>
      <c r="BR3647" s="314"/>
      <c r="BS3647" s="314"/>
      <c r="BT3647" s="314"/>
      <c r="BU3647" s="314"/>
      <c r="BV3647" s="314"/>
      <c r="BW3647" s="314"/>
      <c r="BX3647" s="155"/>
    </row>
    <row r="3648" spans="1:76" ht="15.75" customHeight="1">
      <c r="A3648" s="25"/>
      <c r="B3648" s="39"/>
      <c r="C3648" s="155"/>
      <c r="D3648" s="155"/>
      <c r="E3648" s="40"/>
      <c r="F3648" s="314"/>
      <c r="H3648" s="315"/>
      <c r="I3648" s="315"/>
      <c r="BA3648" s="30"/>
      <c r="BB3648" s="155"/>
      <c r="BC3648" s="314"/>
      <c r="BD3648" s="314"/>
      <c r="BE3648" s="314"/>
      <c r="BF3648" s="314"/>
      <c r="BG3648" s="314"/>
      <c r="BH3648" s="314"/>
      <c r="BI3648" s="314"/>
      <c r="BJ3648" s="314"/>
      <c r="BK3648" s="40"/>
      <c r="BL3648" s="40"/>
      <c r="BM3648" s="40"/>
      <c r="BN3648" s="40"/>
      <c r="BO3648" s="40"/>
      <c r="BP3648" s="155"/>
      <c r="BQ3648" s="314"/>
      <c r="BR3648" s="314"/>
      <c r="BS3648" s="314"/>
      <c r="BT3648" s="314"/>
      <c r="BU3648" s="314"/>
      <c r="BV3648" s="314"/>
      <c r="BW3648" s="314"/>
      <c r="BX3648" s="155"/>
    </row>
    <row r="3649" spans="1:76" ht="15.75" customHeight="1">
      <c r="A3649" s="25"/>
      <c r="B3649" s="39"/>
      <c r="C3649" s="155"/>
      <c r="D3649" s="155"/>
      <c r="E3649" s="40"/>
      <c r="F3649" s="314"/>
      <c r="H3649" s="315"/>
      <c r="I3649" s="315"/>
      <c r="BA3649" s="30"/>
      <c r="BB3649" s="155"/>
      <c r="BC3649" s="314"/>
      <c r="BD3649" s="314"/>
      <c r="BE3649" s="314"/>
      <c r="BF3649" s="314"/>
      <c r="BG3649" s="314"/>
      <c r="BH3649" s="314"/>
      <c r="BI3649" s="314"/>
      <c r="BJ3649" s="314"/>
      <c r="BK3649" s="40"/>
      <c r="BL3649" s="40"/>
      <c r="BM3649" s="40"/>
      <c r="BN3649" s="40"/>
      <c r="BO3649" s="40"/>
      <c r="BP3649" s="155"/>
      <c r="BQ3649" s="314"/>
      <c r="BR3649" s="314"/>
      <c r="BS3649" s="314"/>
      <c r="BT3649" s="314"/>
      <c r="BU3649" s="314"/>
      <c r="BV3649" s="314"/>
      <c r="BW3649" s="314"/>
      <c r="BX3649" s="155"/>
    </row>
    <row r="3650" spans="1:76" ht="15.75" customHeight="1">
      <c r="A3650" s="25"/>
      <c r="B3650" s="39"/>
      <c r="C3650" s="155"/>
      <c r="D3650" s="155"/>
      <c r="E3650" s="40"/>
      <c r="F3650" s="314"/>
      <c r="H3650" s="315"/>
      <c r="I3650" s="315"/>
      <c r="BA3650" s="30"/>
      <c r="BB3650" s="155"/>
      <c r="BC3650" s="314"/>
      <c r="BD3650" s="314"/>
      <c r="BE3650" s="314"/>
      <c r="BF3650" s="314"/>
      <c r="BG3650" s="314"/>
      <c r="BH3650" s="314"/>
      <c r="BI3650" s="314"/>
      <c r="BJ3650" s="314"/>
      <c r="BK3650" s="40"/>
      <c r="BL3650" s="40"/>
      <c r="BM3650" s="40"/>
      <c r="BN3650" s="40"/>
      <c r="BO3650" s="40"/>
      <c r="BP3650" s="155"/>
      <c r="BQ3650" s="314"/>
      <c r="BR3650" s="314"/>
      <c r="BS3650" s="314"/>
      <c r="BT3650" s="314"/>
      <c r="BU3650" s="314"/>
      <c r="BV3650" s="314"/>
      <c r="BW3650" s="314"/>
      <c r="BX3650" s="155"/>
    </row>
    <row r="3651" spans="1:76" ht="15.75" customHeight="1">
      <c r="A3651" s="25"/>
      <c r="B3651" s="39"/>
      <c r="C3651" s="155"/>
      <c r="D3651" s="155"/>
      <c r="E3651" s="40"/>
      <c r="F3651" s="314"/>
      <c r="H3651" s="315"/>
      <c r="I3651" s="315"/>
      <c r="BA3651" s="30"/>
      <c r="BB3651" s="155"/>
      <c r="BC3651" s="314"/>
      <c r="BD3651" s="314"/>
      <c r="BE3651" s="314"/>
      <c r="BF3651" s="314"/>
      <c r="BG3651" s="314"/>
      <c r="BH3651" s="314"/>
      <c r="BI3651" s="314"/>
      <c r="BJ3651" s="314"/>
      <c r="BK3651" s="40"/>
      <c r="BL3651" s="40"/>
      <c r="BM3651" s="40"/>
      <c r="BN3651" s="40"/>
      <c r="BO3651" s="40"/>
      <c r="BP3651" s="155"/>
      <c r="BQ3651" s="314"/>
      <c r="BR3651" s="314"/>
      <c r="BS3651" s="314"/>
      <c r="BT3651" s="314"/>
      <c r="BU3651" s="314"/>
      <c r="BV3651" s="314"/>
      <c r="BW3651" s="314"/>
      <c r="BX3651" s="155"/>
    </row>
    <row r="3652" spans="1:76" ht="15.75" customHeight="1">
      <c r="A3652" s="25"/>
      <c r="B3652" s="39"/>
      <c r="C3652" s="155"/>
      <c r="D3652" s="155"/>
      <c r="E3652" s="40"/>
      <c r="F3652" s="314"/>
      <c r="H3652" s="315"/>
      <c r="I3652" s="315"/>
      <c r="BA3652" s="30"/>
      <c r="BB3652" s="155"/>
      <c r="BC3652" s="314"/>
      <c r="BD3652" s="314"/>
      <c r="BE3652" s="314"/>
      <c r="BF3652" s="314"/>
      <c r="BG3652" s="314"/>
      <c r="BH3652" s="314"/>
      <c r="BI3652" s="314"/>
      <c r="BJ3652" s="314"/>
      <c r="BK3652" s="40"/>
      <c r="BL3652" s="40"/>
      <c r="BM3652" s="40"/>
      <c r="BN3652" s="40"/>
      <c r="BO3652" s="40"/>
      <c r="BP3652" s="155"/>
      <c r="BQ3652" s="314"/>
      <c r="BR3652" s="314"/>
      <c r="BS3652" s="314"/>
      <c r="BT3652" s="314"/>
      <c r="BU3652" s="314"/>
      <c r="BV3652" s="314"/>
      <c r="BW3652" s="314"/>
      <c r="BX3652" s="155"/>
    </row>
    <row r="3653" spans="1:76" ht="15.75" customHeight="1">
      <c r="A3653" s="25"/>
      <c r="B3653" s="39"/>
      <c r="C3653" s="155"/>
      <c r="D3653" s="155"/>
      <c r="E3653" s="40"/>
      <c r="F3653" s="314"/>
      <c r="H3653" s="315"/>
      <c r="I3653" s="315"/>
      <c r="BA3653" s="30"/>
      <c r="BB3653" s="155"/>
      <c r="BC3653" s="314"/>
      <c r="BD3653" s="314"/>
      <c r="BE3653" s="314"/>
      <c r="BF3653" s="314"/>
      <c r="BG3653" s="314"/>
      <c r="BH3653" s="314"/>
      <c r="BI3653" s="314"/>
      <c r="BJ3653" s="314"/>
      <c r="BK3653" s="40"/>
      <c r="BL3653" s="40"/>
      <c r="BM3653" s="40"/>
      <c r="BN3653" s="40"/>
      <c r="BO3653" s="40"/>
      <c r="BP3653" s="155"/>
      <c r="BQ3653" s="314"/>
      <c r="BR3653" s="314"/>
      <c r="BS3653" s="314"/>
      <c r="BT3653" s="314"/>
      <c r="BU3653" s="314"/>
      <c r="BV3653" s="314"/>
      <c r="BW3653" s="314"/>
      <c r="BX3653" s="155"/>
    </row>
    <row r="3654" spans="1:76" ht="15.75" customHeight="1">
      <c r="A3654" s="25"/>
      <c r="B3654" s="39"/>
      <c r="C3654" s="155"/>
      <c r="D3654" s="155"/>
      <c r="E3654" s="40"/>
      <c r="F3654" s="314"/>
      <c r="H3654" s="315"/>
      <c r="I3654" s="315"/>
      <c r="BA3654" s="30"/>
      <c r="BB3654" s="155"/>
      <c r="BC3654" s="314"/>
      <c r="BD3654" s="314"/>
      <c r="BE3654" s="314"/>
      <c r="BF3654" s="314"/>
      <c r="BG3654" s="314"/>
      <c r="BH3654" s="314"/>
      <c r="BI3654" s="314"/>
      <c r="BJ3654" s="314"/>
      <c r="BK3654" s="40"/>
      <c r="BL3654" s="40"/>
      <c r="BM3654" s="40"/>
      <c r="BN3654" s="40"/>
      <c r="BO3654" s="40"/>
      <c r="BP3654" s="155"/>
      <c r="BQ3654" s="314"/>
      <c r="BR3654" s="314"/>
      <c r="BS3654" s="314"/>
      <c r="BT3654" s="314"/>
      <c r="BU3654" s="314"/>
      <c r="BV3654" s="314"/>
      <c r="BW3654" s="314"/>
      <c r="BX3654" s="155"/>
    </row>
    <row r="3655" spans="1:76" ht="15.75" customHeight="1">
      <c r="A3655" s="25"/>
      <c r="B3655" s="39"/>
      <c r="C3655" s="155"/>
      <c r="D3655" s="155"/>
      <c r="E3655" s="40"/>
      <c r="F3655" s="314"/>
      <c r="H3655" s="315"/>
      <c r="I3655" s="315"/>
      <c r="BA3655" s="30"/>
      <c r="BB3655" s="155"/>
      <c r="BC3655" s="314"/>
      <c r="BD3655" s="314"/>
      <c r="BE3655" s="314"/>
      <c r="BF3655" s="314"/>
      <c r="BG3655" s="314"/>
      <c r="BH3655" s="314"/>
      <c r="BI3655" s="314"/>
      <c r="BJ3655" s="314"/>
      <c r="BK3655" s="40"/>
      <c r="BL3655" s="40"/>
      <c r="BM3655" s="40"/>
      <c r="BN3655" s="40"/>
      <c r="BO3655" s="40"/>
      <c r="BP3655" s="155"/>
      <c r="BQ3655" s="314"/>
      <c r="BR3655" s="314"/>
      <c r="BS3655" s="314"/>
      <c r="BT3655" s="314"/>
      <c r="BU3655" s="314"/>
      <c r="BV3655" s="314"/>
      <c r="BW3655" s="314"/>
      <c r="BX3655" s="155"/>
    </row>
    <row r="3656" spans="1:76" ht="15.75" customHeight="1">
      <c r="A3656" s="25"/>
      <c r="B3656" s="39"/>
      <c r="C3656" s="155"/>
      <c r="D3656" s="155"/>
      <c r="E3656" s="40"/>
      <c r="F3656" s="314"/>
      <c r="H3656" s="315"/>
      <c r="I3656" s="315"/>
      <c r="BA3656" s="30"/>
      <c r="BB3656" s="155"/>
      <c r="BC3656" s="314"/>
      <c r="BD3656" s="314"/>
      <c r="BE3656" s="314"/>
      <c r="BF3656" s="314"/>
      <c r="BG3656" s="314"/>
      <c r="BH3656" s="314"/>
      <c r="BI3656" s="314"/>
      <c r="BJ3656" s="314"/>
      <c r="BK3656" s="40"/>
      <c r="BL3656" s="40"/>
      <c r="BM3656" s="40"/>
      <c r="BN3656" s="40"/>
      <c r="BO3656" s="40"/>
      <c r="BP3656" s="155"/>
      <c r="BQ3656" s="314"/>
      <c r="BR3656" s="314"/>
      <c r="BS3656" s="314"/>
      <c r="BT3656" s="314"/>
      <c r="BU3656" s="314"/>
      <c r="BV3656" s="314"/>
      <c r="BW3656" s="314"/>
      <c r="BX3656" s="155"/>
    </row>
    <row r="3657" spans="1:76" ht="15.75" customHeight="1">
      <c r="A3657" s="25"/>
      <c r="B3657" s="39"/>
      <c r="C3657" s="155"/>
      <c r="D3657" s="155"/>
      <c r="E3657" s="40"/>
      <c r="F3657" s="314"/>
      <c r="H3657" s="315"/>
      <c r="I3657" s="315"/>
      <c r="BA3657" s="30"/>
      <c r="BB3657" s="155"/>
      <c r="BC3657" s="314"/>
      <c r="BD3657" s="314"/>
      <c r="BE3657" s="314"/>
      <c r="BF3657" s="314"/>
      <c r="BG3657" s="314"/>
      <c r="BH3657" s="314"/>
      <c r="BI3657" s="314"/>
      <c r="BJ3657" s="314"/>
      <c r="BK3657" s="40"/>
      <c r="BL3657" s="40"/>
      <c r="BM3657" s="40"/>
      <c r="BN3657" s="40"/>
      <c r="BO3657" s="40"/>
      <c r="BP3657" s="155"/>
      <c r="BQ3657" s="314"/>
      <c r="BR3657" s="314"/>
      <c r="BS3657" s="314"/>
      <c r="BT3657" s="314"/>
      <c r="BU3657" s="314"/>
      <c r="BV3657" s="314"/>
      <c r="BW3657" s="314"/>
      <c r="BX3657" s="155"/>
    </row>
    <row r="3658" spans="1:76" ht="15.75" customHeight="1">
      <c r="A3658" s="25"/>
      <c r="B3658" s="39"/>
      <c r="C3658" s="155"/>
      <c r="D3658" s="155"/>
      <c r="E3658" s="40"/>
      <c r="F3658" s="314"/>
      <c r="H3658" s="315"/>
      <c r="I3658" s="315"/>
      <c r="BA3658" s="30"/>
      <c r="BB3658" s="155"/>
      <c r="BC3658" s="314"/>
      <c r="BD3658" s="314"/>
      <c r="BE3658" s="314"/>
      <c r="BF3658" s="314"/>
      <c r="BG3658" s="314"/>
      <c r="BH3658" s="314"/>
      <c r="BI3658" s="314"/>
      <c r="BJ3658" s="314"/>
      <c r="BK3658" s="40"/>
      <c r="BL3658" s="40"/>
      <c r="BM3658" s="40"/>
      <c r="BN3658" s="40"/>
      <c r="BO3658" s="40"/>
      <c r="BP3658" s="155"/>
      <c r="BQ3658" s="314"/>
      <c r="BR3658" s="314"/>
      <c r="BS3658" s="314"/>
      <c r="BT3658" s="314"/>
      <c r="BU3658" s="314"/>
      <c r="BV3658" s="314"/>
      <c r="BW3658" s="314"/>
      <c r="BX3658" s="155"/>
    </row>
    <row r="3659" spans="1:76" ht="15.75" customHeight="1">
      <c r="A3659" s="25"/>
      <c r="B3659" s="39"/>
      <c r="C3659" s="155"/>
      <c r="D3659" s="155"/>
      <c r="E3659" s="40"/>
      <c r="F3659" s="314"/>
      <c r="H3659" s="315"/>
      <c r="I3659" s="315"/>
      <c r="BA3659" s="30"/>
      <c r="BB3659" s="155"/>
      <c r="BC3659" s="314"/>
      <c r="BD3659" s="314"/>
      <c r="BE3659" s="314"/>
      <c r="BF3659" s="314"/>
      <c r="BG3659" s="314"/>
      <c r="BH3659" s="314"/>
      <c r="BI3659" s="314"/>
      <c r="BJ3659" s="314"/>
      <c r="BK3659" s="40"/>
      <c r="BL3659" s="40"/>
      <c r="BM3659" s="40"/>
      <c r="BN3659" s="40"/>
      <c r="BO3659" s="40"/>
      <c r="BP3659" s="155"/>
      <c r="BQ3659" s="314"/>
      <c r="BR3659" s="314"/>
      <c r="BS3659" s="314"/>
      <c r="BT3659" s="314"/>
      <c r="BU3659" s="314"/>
      <c r="BV3659" s="314"/>
      <c r="BW3659" s="314"/>
      <c r="BX3659" s="155"/>
    </row>
    <row r="3660" spans="1:76" ht="15.75" customHeight="1">
      <c r="A3660" s="25"/>
      <c r="B3660" s="39"/>
      <c r="C3660" s="155"/>
      <c r="D3660" s="155"/>
      <c r="E3660" s="40"/>
      <c r="F3660" s="314"/>
      <c r="H3660" s="315"/>
      <c r="I3660" s="315"/>
      <c r="BA3660" s="30"/>
      <c r="BB3660" s="155"/>
      <c r="BC3660" s="314"/>
      <c r="BD3660" s="314"/>
      <c r="BE3660" s="314"/>
      <c r="BF3660" s="314"/>
      <c r="BG3660" s="314"/>
      <c r="BH3660" s="314"/>
      <c r="BI3660" s="314"/>
      <c r="BJ3660" s="314"/>
      <c r="BK3660" s="40"/>
      <c r="BL3660" s="40"/>
      <c r="BM3660" s="40"/>
      <c r="BN3660" s="40"/>
      <c r="BO3660" s="40"/>
      <c r="BP3660" s="155"/>
      <c r="BQ3660" s="314"/>
      <c r="BR3660" s="314"/>
      <c r="BS3660" s="314"/>
      <c r="BT3660" s="314"/>
      <c r="BU3660" s="314"/>
      <c r="BV3660" s="314"/>
      <c r="BW3660" s="314"/>
      <c r="BX3660" s="155"/>
    </row>
    <row r="3661" spans="1:76" ht="15.75" customHeight="1">
      <c r="A3661" s="25"/>
      <c r="B3661" s="39"/>
      <c r="C3661" s="155"/>
      <c r="D3661" s="155"/>
      <c r="E3661" s="40"/>
      <c r="F3661" s="314"/>
      <c r="H3661" s="315"/>
      <c r="I3661" s="315"/>
      <c r="BA3661" s="30"/>
      <c r="BB3661" s="155"/>
      <c r="BC3661" s="314"/>
      <c r="BD3661" s="314"/>
      <c r="BE3661" s="314"/>
      <c r="BF3661" s="314"/>
      <c r="BG3661" s="314"/>
      <c r="BH3661" s="314"/>
      <c r="BI3661" s="314"/>
      <c r="BJ3661" s="314"/>
      <c r="BK3661" s="40"/>
      <c r="BL3661" s="40"/>
      <c r="BM3661" s="40"/>
      <c r="BN3661" s="40"/>
      <c r="BO3661" s="40"/>
      <c r="BP3661" s="155"/>
      <c r="BQ3661" s="314"/>
      <c r="BR3661" s="314"/>
      <c r="BS3661" s="314"/>
      <c r="BT3661" s="314"/>
      <c r="BU3661" s="314"/>
      <c r="BV3661" s="314"/>
      <c r="BW3661" s="314"/>
      <c r="BX3661" s="155"/>
    </row>
    <row r="3662" spans="1:76" ht="15.75" customHeight="1">
      <c r="A3662" s="25"/>
      <c r="B3662" s="39"/>
      <c r="C3662" s="155"/>
      <c r="D3662" s="155"/>
      <c r="E3662" s="40"/>
      <c r="F3662" s="314"/>
      <c r="H3662" s="315"/>
      <c r="I3662" s="315"/>
      <c r="BA3662" s="30"/>
      <c r="BB3662" s="155"/>
      <c r="BC3662" s="314"/>
      <c r="BD3662" s="314"/>
      <c r="BE3662" s="314"/>
      <c r="BF3662" s="314"/>
      <c r="BG3662" s="314"/>
      <c r="BH3662" s="314"/>
      <c r="BI3662" s="314"/>
      <c r="BJ3662" s="314"/>
      <c r="BK3662" s="40"/>
      <c r="BL3662" s="40"/>
      <c r="BM3662" s="40"/>
      <c r="BN3662" s="40"/>
      <c r="BO3662" s="40"/>
      <c r="BP3662" s="155"/>
      <c r="BQ3662" s="314"/>
      <c r="BR3662" s="314"/>
      <c r="BS3662" s="314"/>
      <c r="BT3662" s="314"/>
      <c r="BU3662" s="314"/>
      <c r="BV3662" s="314"/>
      <c r="BW3662" s="314"/>
      <c r="BX3662" s="155"/>
    </row>
    <row r="3663" spans="1:76" ht="15.75" customHeight="1">
      <c r="A3663" s="25"/>
      <c r="B3663" s="39"/>
      <c r="C3663" s="155"/>
      <c r="D3663" s="155"/>
      <c r="E3663" s="40"/>
      <c r="F3663" s="314"/>
      <c r="H3663" s="315"/>
      <c r="I3663" s="315"/>
      <c r="BA3663" s="30"/>
      <c r="BB3663" s="155"/>
      <c r="BC3663" s="314"/>
      <c r="BD3663" s="314"/>
      <c r="BE3663" s="314"/>
      <c r="BF3663" s="314"/>
      <c r="BG3663" s="314"/>
      <c r="BH3663" s="314"/>
      <c r="BI3663" s="314"/>
      <c r="BJ3663" s="314"/>
      <c r="BK3663" s="40"/>
      <c r="BL3663" s="40"/>
      <c r="BM3663" s="40"/>
      <c r="BN3663" s="40"/>
      <c r="BO3663" s="40"/>
      <c r="BP3663" s="155"/>
      <c r="BQ3663" s="314"/>
      <c r="BR3663" s="314"/>
      <c r="BS3663" s="314"/>
      <c r="BT3663" s="314"/>
      <c r="BU3663" s="314"/>
      <c r="BV3663" s="314"/>
      <c r="BW3663" s="314"/>
      <c r="BX3663" s="155"/>
    </row>
    <row r="3664" spans="1:76" ht="15.75" customHeight="1">
      <c r="A3664" s="25"/>
      <c r="B3664" s="39"/>
      <c r="C3664" s="155"/>
      <c r="D3664" s="155"/>
      <c r="E3664" s="40"/>
      <c r="F3664" s="314"/>
      <c r="H3664" s="315"/>
      <c r="I3664" s="315"/>
      <c r="BA3664" s="30"/>
      <c r="BB3664" s="155"/>
      <c r="BC3664" s="314"/>
      <c r="BD3664" s="314"/>
      <c r="BE3664" s="314"/>
      <c r="BF3664" s="314"/>
      <c r="BG3664" s="314"/>
      <c r="BH3664" s="314"/>
      <c r="BI3664" s="314"/>
      <c r="BJ3664" s="314"/>
      <c r="BK3664" s="40"/>
      <c r="BL3664" s="40"/>
      <c r="BM3664" s="40"/>
      <c r="BN3664" s="40"/>
      <c r="BO3664" s="40"/>
      <c r="BP3664" s="155"/>
      <c r="BQ3664" s="314"/>
      <c r="BR3664" s="314"/>
      <c r="BS3664" s="314"/>
      <c r="BT3664" s="314"/>
      <c r="BU3664" s="314"/>
      <c r="BV3664" s="314"/>
      <c r="BW3664" s="314"/>
      <c r="BX3664" s="155"/>
    </row>
    <row r="3665" spans="1:76" ht="15.75" customHeight="1">
      <c r="A3665" s="25"/>
      <c r="B3665" s="39"/>
      <c r="C3665" s="155"/>
      <c r="D3665" s="155"/>
      <c r="E3665" s="40"/>
      <c r="F3665" s="314"/>
      <c r="H3665" s="315"/>
      <c r="I3665" s="315"/>
      <c r="BA3665" s="30"/>
      <c r="BB3665" s="155"/>
      <c r="BC3665" s="314"/>
      <c r="BD3665" s="314"/>
      <c r="BE3665" s="314"/>
      <c r="BF3665" s="314"/>
      <c r="BG3665" s="314"/>
      <c r="BH3665" s="314"/>
      <c r="BI3665" s="314"/>
      <c r="BJ3665" s="314"/>
      <c r="BK3665" s="40"/>
      <c r="BL3665" s="40"/>
      <c r="BM3665" s="40"/>
      <c r="BN3665" s="40"/>
      <c r="BO3665" s="40"/>
      <c r="BP3665" s="155"/>
      <c r="BQ3665" s="314"/>
      <c r="BR3665" s="314"/>
      <c r="BS3665" s="314"/>
      <c r="BT3665" s="314"/>
      <c r="BU3665" s="314"/>
      <c r="BV3665" s="314"/>
      <c r="BW3665" s="314"/>
      <c r="BX3665" s="155"/>
    </row>
    <row r="3666" spans="1:76" ht="15.75" customHeight="1">
      <c r="A3666" s="25"/>
      <c r="B3666" s="39"/>
      <c r="C3666" s="155"/>
      <c r="D3666" s="155"/>
      <c r="E3666" s="40"/>
      <c r="F3666" s="314"/>
      <c r="H3666" s="315"/>
      <c r="I3666" s="315"/>
      <c r="BA3666" s="30"/>
      <c r="BB3666" s="155"/>
      <c r="BC3666" s="314"/>
      <c r="BD3666" s="314"/>
      <c r="BE3666" s="314"/>
      <c r="BF3666" s="314"/>
      <c r="BG3666" s="314"/>
      <c r="BH3666" s="314"/>
      <c r="BI3666" s="314"/>
      <c r="BJ3666" s="314"/>
      <c r="BK3666" s="40"/>
      <c r="BL3666" s="40"/>
      <c r="BM3666" s="40"/>
      <c r="BN3666" s="40"/>
      <c r="BO3666" s="40"/>
      <c r="BP3666" s="155"/>
      <c r="BQ3666" s="314"/>
      <c r="BR3666" s="314"/>
      <c r="BS3666" s="314"/>
      <c r="BT3666" s="314"/>
      <c r="BU3666" s="314"/>
      <c r="BV3666" s="314"/>
      <c r="BW3666" s="314"/>
      <c r="BX3666" s="155"/>
    </row>
    <row r="3667" spans="1:76" ht="15.75" customHeight="1">
      <c r="A3667" s="25"/>
      <c r="B3667" s="39"/>
      <c r="C3667" s="155"/>
      <c r="D3667" s="155"/>
      <c r="E3667" s="40"/>
      <c r="F3667" s="314"/>
      <c r="H3667" s="315"/>
      <c r="I3667" s="315"/>
      <c r="BA3667" s="30"/>
      <c r="BB3667" s="155"/>
      <c r="BC3667" s="322"/>
      <c r="BD3667" s="322"/>
      <c r="BE3667" s="322"/>
      <c r="BF3667" s="322"/>
      <c r="BG3667" s="322"/>
      <c r="BH3667" s="322"/>
      <c r="BI3667" s="322"/>
      <c r="BJ3667" s="322"/>
      <c r="BK3667" s="341"/>
      <c r="BL3667" s="40"/>
      <c r="BM3667" s="40"/>
      <c r="BN3667" s="40"/>
      <c r="BO3667" s="40"/>
      <c r="BP3667" s="155"/>
      <c r="BQ3667" s="314"/>
      <c r="BR3667" s="314"/>
      <c r="BS3667" s="314"/>
      <c r="BT3667" s="314"/>
      <c r="BU3667" s="314"/>
      <c r="BV3667" s="314"/>
      <c r="BW3667" s="314"/>
      <c r="BX3667" s="155"/>
    </row>
    <row r="3668" spans="1:76" ht="15.75" customHeight="1">
      <c r="A3668" s="25"/>
      <c r="B3668" s="39"/>
      <c r="C3668" s="155"/>
      <c r="D3668" s="155"/>
      <c r="E3668" s="40"/>
      <c r="F3668" s="314"/>
      <c r="H3668" s="315"/>
      <c r="I3668" s="315"/>
      <c r="BA3668" s="30"/>
      <c r="BB3668" s="155"/>
      <c r="BC3668" s="314"/>
      <c r="BD3668" s="314"/>
      <c r="BE3668" s="314"/>
      <c r="BF3668" s="314"/>
      <c r="BG3668" s="314"/>
      <c r="BH3668" s="314"/>
      <c r="BI3668" s="314"/>
      <c r="BJ3668" s="314"/>
      <c r="BK3668" s="40"/>
      <c r="BL3668" s="40"/>
      <c r="BM3668" s="40"/>
      <c r="BN3668" s="40"/>
      <c r="BO3668" s="40"/>
      <c r="BP3668" s="155"/>
      <c r="BQ3668" s="314"/>
      <c r="BR3668" s="314"/>
      <c r="BS3668" s="314"/>
      <c r="BT3668" s="314"/>
      <c r="BU3668" s="314"/>
      <c r="BV3668" s="314"/>
      <c r="BW3668" s="314"/>
      <c r="BX3668" s="155"/>
    </row>
    <row r="3669" spans="1:76" ht="15.75" customHeight="1">
      <c r="A3669" s="25"/>
      <c r="B3669" s="39"/>
      <c r="C3669" s="155"/>
      <c r="D3669" s="155"/>
      <c r="E3669" s="40"/>
      <c r="F3669" s="314"/>
      <c r="H3669" s="315"/>
      <c r="I3669" s="315"/>
      <c r="BA3669" s="30"/>
      <c r="BB3669" s="155"/>
      <c r="BC3669" s="314"/>
      <c r="BD3669" s="314"/>
      <c r="BE3669" s="314"/>
      <c r="BF3669" s="314"/>
      <c r="BG3669" s="314"/>
      <c r="BH3669" s="314"/>
      <c r="BI3669" s="314"/>
      <c r="BJ3669" s="314"/>
      <c r="BK3669" s="40"/>
      <c r="BL3669" s="40"/>
      <c r="BM3669" s="40"/>
      <c r="BN3669" s="40"/>
      <c r="BO3669" s="40"/>
      <c r="BP3669" s="155"/>
      <c r="BQ3669" s="314"/>
      <c r="BR3669" s="314"/>
      <c r="BS3669" s="314"/>
      <c r="BT3669" s="314"/>
      <c r="BU3669" s="314"/>
      <c r="BV3669" s="314"/>
      <c r="BW3669" s="314"/>
      <c r="BX3669" s="155"/>
    </row>
    <row r="3670" spans="1:76" ht="15.75" customHeight="1">
      <c r="A3670" s="25"/>
      <c r="B3670" s="39"/>
      <c r="C3670" s="155"/>
      <c r="D3670" s="155"/>
      <c r="E3670" s="40"/>
      <c r="F3670" s="314"/>
      <c r="H3670" s="315"/>
      <c r="I3670" s="315"/>
      <c r="BA3670" s="30"/>
      <c r="BB3670" s="155"/>
      <c r="BC3670" s="314"/>
      <c r="BD3670" s="314"/>
      <c r="BE3670" s="314"/>
      <c r="BF3670" s="314"/>
      <c r="BG3670" s="314"/>
      <c r="BH3670" s="314"/>
      <c r="BI3670" s="314"/>
      <c r="BJ3670" s="314"/>
      <c r="BK3670" s="40"/>
      <c r="BL3670" s="40"/>
      <c r="BM3670" s="40"/>
      <c r="BN3670" s="40"/>
      <c r="BO3670" s="40"/>
      <c r="BP3670" s="155"/>
      <c r="BQ3670" s="314"/>
      <c r="BR3670" s="314"/>
      <c r="BS3670" s="314"/>
      <c r="BT3670" s="314"/>
      <c r="BU3670" s="314"/>
      <c r="BV3670" s="314"/>
      <c r="BW3670" s="314"/>
      <c r="BX3670" s="155"/>
    </row>
    <row r="3671" spans="1:76" ht="15.75" customHeight="1">
      <c r="A3671" s="25"/>
      <c r="B3671" s="39"/>
      <c r="C3671" s="155"/>
      <c r="D3671" s="155"/>
      <c r="E3671" s="40"/>
      <c r="F3671" s="314"/>
      <c r="H3671" s="315"/>
      <c r="I3671" s="315"/>
      <c r="BA3671" s="30"/>
      <c r="BB3671" s="155"/>
      <c r="BC3671" s="314"/>
      <c r="BD3671" s="314"/>
      <c r="BE3671" s="314"/>
      <c r="BF3671" s="314"/>
      <c r="BG3671" s="314"/>
      <c r="BH3671" s="314"/>
      <c r="BI3671" s="314"/>
      <c r="BJ3671" s="314"/>
      <c r="BK3671" s="40"/>
      <c r="BL3671" s="40"/>
      <c r="BM3671" s="40"/>
      <c r="BN3671" s="40"/>
      <c r="BO3671" s="40"/>
      <c r="BP3671" s="155"/>
      <c r="BQ3671" s="314"/>
      <c r="BR3671" s="314"/>
      <c r="BS3671" s="314"/>
      <c r="BT3671" s="314"/>
      <c r="BU3671" s="314"/>
      <c r="BV3671" s="314"/>
      <c r="BW3671" s="314"/>
      <c r="BX3671" s="155"/>
    </row>
    <row r="3672" spans="1:76" ht="15.75" customHeight="1">
      <c r="A3672" s="25"/>
      <c r="B3672" s="39"/>
      <c r="C3672" s="155"/>
      <c r="D3672" s="155"/>
      <c r="E3672" s="40"/>
      <c r="F3672" s="314"/>
      <c r="H3672" s="315"/>
      <c r="I3672" s="315"/>
      <c r="BA3672" s="30"/>
      <c r="BB3672" s="155"/>
      <c r="BC3672" s="314"/>
      <c r="BD3672" s="314"/>
      <c r="BE3672" s="314"/>
      <c r="BF3672" s="314"/>
      <c r="BG3672" s="314"/>
      <c r="BH3672" s="314"/>
      <c r="BI3672" s="314"/>
      <c r="BJ3672" s="314"/>
      <c r="BK3672" s="40"/>
      <c r="BL3672" s="40"/>
      <c r="BM3672" s="40"/>
      <c r="BN3672" s="40"/>
      <c r="BO3672" s="40"/>
      <c r="BP3672" s="155"/>
      <c r="BQ3672" s="314"/>
      <c r="BR3672" s="314"/>
      <c r="BS3672" s="314"/>
      <c r="BT3672" s="314"/>
      <c r="BU3672" s="314"/>
      <c r="BV3672" s="314"/>
      <c r="BW3672" s="314"/>
      <c r="BX3672" s="155"/>
    </row>
    <row r="3673" spans="1:76" ht="15.75" customHeight="1">
      <c r="A3673" s="25"/>
      <c r="B3673" s="39"/>
      <c r="C3673" s="155"/>
      <c r="D3673" s="155"/>
      <c r="E3673" s="40"/>
      <c r="F3673" s="314"/>
      <c r="H3673" s="315"/>
      <c r="I3673" s="315"/>
      <c r="BA3673" s="30"/>
      <c r="BB3673" s="155"/>
      <c r="BC3673" s="314"/>
      <c r="BD3673" s="314"/>
      <c r="BE3673" s="314"/>
      <c r="BF3673" s="314"/>
      <c r="BG3673" s="314"/>
      <c r="BH3673" s="314"/>
      <c r="BI3673" s="314"/>
      <c r="BJ3673" s="314"/>
      <c r="BK3673" s="40"/>
      <c r="BL3673" s="40"/>
      <c r="BM3673" s="40"/>
      <c r="BN3673" s="40"/>
      <c r="BO3673" s="40"/>
      <c r="BP3673" s="155"/>
      <c r="BQ3673" s="314"/>
      <c r="BR3673" s="314"/>
      <c r="BS3673" s="314"/>
      <c r="BT3673" s="314"/>
      <c r="BU3673" s="314"/>
      <c r="BV3673" s="314"/>
      <c r="BW3673" s="314"/>
      <c r="BX3673" s="155"/>
    </row>
    <row r="3674" spans="1:76" ht="15.75" customHeight="1">
      <c r="A3674" s="25"/>
      <c r="B3674" s="39"/>
      <c r="C3674" s="155"/>
      <c r="D3674" s="155"/>
      <c r="E3674" s="40"/>
      <c r="F3674" s="314"/>
      <c r="H3674" s="315"/>
      <c r="I3674" s="315"/>
      <c r="BA3674" s="30"/>
      <c r="BB3674" s="155"/>
      <c r="BC3674" s="314"/>
      <c r="BD3674" s="314"/>
      <c r="BE3674" s="314"/>
      <c r="BF3674" s="314"/>
      <c r="BG3674" s="314"/>
      <c r="BH3674" s="314"/>
      <c r="BI3674" s="314"/>
      <c r="BJ3674" s="314"/>
      <c r="BK3674" s="40"/>
      <c r="BL3674" s="40"/>
      <c r="BM3674" s="40"/>
      <c r="BN3674" s="40"/>
      <c r="BO3674" s="40"/>
      <c r="BP3674" s="155"/>
      <c r="BQ3674" s="314"/>
      <c r="BR3674" s="314"/>
      <c r="BS3674" s="314"/>
      <c r="BT3674" s="314"/>
      <c r="BU3674" s="314"/>
      <c r="BV3674" s="314"/>
      <c r="BW3674" s="314"/>
      <c r="BX3674" s="155"/>
    </row>
    <row r="3675" spans="1:76" ht="15.75" customHeight="1">
      <c r="A3675" s="25"/>
      <c r="B3675" s="39"/>
      <c r="C3675" s="155"/>
      <c r="D3675" s="155"/>
      <c r="E3675" s="40"/>
      <c r="F3675" s="314"/>
      <c r="H3675" s="315"/>
      <c r="I3675" s="315"/>
      <c r="BA3675" s="30"/>
      <c r="BB3675" s="155"/>
      <c r="BC3675" s="314"/>
      <c r="BD3675" s="314"/>
      <c r="BE3675" s="314"/>
      <c r="BF3675" s="314"/>
      <c r="BG3675" s="314"/>
      <c r="BH3675" s="314"/>
      <c r="BI3675" s="314"/>
      <c r="BJ3675" s="314"/>
      <c r="BK3675" s="40"/>
      <c r="BL3675" s="40"/>
      <c r="BM3675" s="40"/>
      <c r="BN3675" s="40"/>
      <c r="BO3675" s="40"/>
      <c r="BP3675" s="155"/>
      <c r="BQ3675" s="314"/>
      <c r="BR3675" s="314"/>
      <c r="BS3675" s="314"/>
      <c r="BT3675" s="314"/>
      <c r="BU3675" s="314"/>
      <c r="BV3675" s="314"/>
      <c r="BW3675" s="314"/>
      <c r="BX3675" s="155"/>
    </row>
    <row r="3676" spans="1:76" ht="15.75" customHeight="1">
      <c r="A3676" s="25"/>
      <c r="B3676" s="39"/>
      <c r="C3676" s="155"/>
      <c r="D3676" s="155"/>
      <c r="E3676" s="40"/>
      <c r="F3676" s="314"/>
      <c r="H3676" s="315"/>
      <c r="I3676" s="315"/>
      <c r="BA3676" s="30"/>
      <c r="BB3676" s="155"/>
      <c r="BC3676" s="314"/>
      <c r="BD3676" s="314"/>
      <c r="BE3676" s="314"/>
      <c r="BF3676" s="314"/>
      <c r="BG3676" s="314"/>
      <c r="BH3676" s="314"/>
      <c r="BI3676" s="314"/>
      <c r="BJ3676" s="314"/>
      <c r="BK3676" s="40"/>
      <c r="BL3676" s="40"/>
      <c r="BM3676" s="40"/>
      <c r="BN3676" s="40"/>
      <c r="BO3676" s="40"/>
      <c r="BP3676" s="155"/>
      <c r="BQ3676" s="314"/>
      <c r="BR3676" s="314"/>
      <c r="BS3676" s="314"/>
      <c r="BT3676" s="314"/>
      <c r="BU3676" s="314"/>
      <c r="BV3676" s="314"/>
      <c r="BW3676" s="314"/>
      <c r="BX3676" s="155"/>
    </row>
    <row r="3677" spans="1:76" ht="15.75" customHeight="1">
      <c r="A3677" s="25"/>
      <c r="B3677" s="39"/>
      <c r="C3677" s="155"/>
      <c r="D3677" s="155"/>
      <c r="E3677" s="40"/>
      <c r="F3677" s="314"/>
      <c r="H3677" s="315"/>
      <c r="I3677" s="315"/>
      <c r="BA3677" s="30"/>
      <c r="BB3677" s="155"/>
      <c r="BC3677" s="314"/>
      <c r="BD3677" s="314"/>
      <c r="BE3677" s="314"/>
      <c r="BF3677" s="314"/>
      <c r="BG3677" s="314"/>
      <c r="BH3677" s="314"/>
      <c r="BI3677" s="314"/>
      <c r="BJ3677" s="314"/>
      <c r="BK3677" s="40"/>
      <c r="BL3677" s="40"/>
      <c r="BM3677" s="40"/>
      <c r="BN3677" s="40"/>
      <c r="BO3677" s="40"/>
      <c r="BP3677" s="155"/>
      <c r="BQ3677" s="314"/>
      <c r="BR3677" s="314"/>
      <c r="BS3677" s="314"/>
      <c r="BT3677" s="314"/>
      <c r="BU3677" s="314"/>
      <c r="BV3677" s="314"/>
      <c r="BW3677" s="314"/>
      <c r="BX3677" s="155"/>
    </row>
    <row r="3678" spans="1:76" ht="15.75" customHeight="1">
      <c r="A3678" s="25"/>
      <c r="B3678" s="39"/>
      <c r="C3678" s="155"/>
      <c r="D3678" s="155"/>
      <c r="E3678" s="40"/>
      <c r="F3678" s="314"/>
      <c r="H3678" s="315"/>
      <c r="I3678" s="315"/>
      <c r="BA3678" s="30"/>
      <c r="BB3678" s="155"/>
      <c r="BC3678" s="314"/>
      <c r="BD3678" s="314"/>
      <c r="BE3678" s="314"/>
      <c r="BF3678" s="314"/>
      <c r="BG3678" s="314"/>
      <c r="BH3678" s="314"/>
      <c r="BI3678" s="314"/>
      <c r="BJ3678" s="314"/>
      <c r="BK3678" s="40"/>
      <c r="BL3678" s="40"/>
      <c r="BM3678" s="40"/>
      <c r="BN3678" s="40"/>
      <c r="BO3678" s="40"/>
      <c r="BP3678" s="155"/>
      <c r="BQ3678" s="314"/>
      <c r="BR3678" s="314"/>
      <c r="BS3678" s="314"/>
      <c r="BT3678" s="314"/>
      <c r="BU3678" s="314"/>
      <c r="BV3678" s="314"/>
      <c r="BW3678" s="314"/>
      <c r="BX3678" s="155"/>
    </row>
    <row r="3679" spans="1:76" ht="15.75" customHeight="1">
      <c r="A3679" s="25"/>
      <c r="B3679" s="39"/>
      <c r="C3679" s="155"/>
      <c r="D3679" s="155"/>
      <c r="E3679" s="40"/>
      <c r="F3679" s="314"/>
      <c r="H3679" s="315"/>
      <c r="I3679" s="315"/>
      <c r="BA3679" s="30"/>
      <c r="BB3679" s="155"/>
      <c r="BC3679" s="314"/>
      <c r="BD3679" s="314"/>
      <c r="BE3679" s="314"/>
      <c r="BF3679" s="314"/>
      <c r="BG3679" s="314"/>
      <c r="BH3679" s="314"/>
      <c r="BI3679" s="314"/>
      <c r="BJ3679" s="314"/>
      <c r="BK3679" s="40"/>
      <c r="BL3679" s="40"/>
      <c r="BM3679" s="40"/>
      <c r="BN3679" s="40"/>
      <c r="BO3679" s="40"/>
      <c r="BP3679" s="155"/>
      <c r="BQ3679" s="314"/>
      <c r="BR3679" s="314"/>
      <c r="BS3679" s="314"/>
      <c r="BT3679" s="314"/>
      <c r="BU3679" s="314"/>
      <c r="BV3679" s="314"/>
      <c r="BW3679" s="314"/>
      <c r="BX3679" s="155"/>
    </row>
    <row r="3680" spans="1:76" ht="15.75" customHeight="1">
      <c r="A3680" s="25"/>
      <c r="B3680" s="39"/>
      <c r="C3680" s="155"/>
      <c r="D3680" s="155"/>
      <c r="E3680" s="40"/>
      <c r="F3680" s="314"/>
      <c r="H3680" s="315"/>
      <c r="I3680" s="315"/>
      <c r="BA3680" s="30"/>
      <c r="BB3680" s="155"/>
      <c r="BC3680" s="314"/>
      <c r="BD3680" s="314"/>
      <c r="BE3680" s="314"/>
      <c r="BF3680" s="314"/>
      <c r="BG3680" s="314"/>
      <c r="BH3680" s="314"/>
      <c r="BI3680" s="314"/>
      <c r="BJ3680" s="314"/>
      <c r="BK3680" s="40"/>
      <c r="BL3680" s="40"/>
      <c r="BM3680" s="40"/>
      <c r="BN3680" s="40"/>
      <c r="BO3680" s="40"/>
      <c r="BP3680" s="155"/>
      <c r="BQ3680" s="314"/>
      <c r="BR3680" s="314"/>
      <c r="BS3680" s="314"/>
      <c r="BT3680" s="314"/>
      <c r="BU3680" s="314"/>
      <c r="BV3680" s="314"/>
      <c r="BW3680" s="314"/>
      <c r="BX3680" s="155"/>
    </row>
    <row r="3681" spans="1:76" ht="15.75" customHeight="1">
      <c r="A3681" s="25"/>
      <c r="B3681" s="39"/>
      <c r="C3681" s="155"/>
      <c r="D3681" s="155"/>
      <c r="E3681" s="40"/>
      <c r="F3681" s="314"/>
      <c r="H3681" s="315"/>
      <c r="I3681" s="315"/>
      <c r="BA3681" s="30"/>
      <c r="BB3681" s="155"/>
      <c r="BC3681" s="314"/>
      <c r="BD3681" s="314"/>
      <c r="BE3681" s="314"/>
      <c r="BF3681" s="314"/>
      <c r="BG3681" s="314"/>
      <c r="BH3681" s="314"/>
      <c r="BI3681" s="314"/>
      <c r="BJ3681" s="314"/>
      <c r="BK3681" s="40"/>
      <c r="BL3681" s="40"/>
      <c r="BM3681" s="40"/>
      <c r="BN3681" s="40"/>
      <c r="BO3681" s="40"/>
      <c r="BP3681" s="155"/>
      <c r="BQ3681" s="314"/>
      <c r="BR3681" s="314"/>
      <c r="BS3681" s="314"/>
      <c r="BT3681" s="314"/>
      <c r="BU3681" s="314"/>
      <c r="BV3681" s="314"/>
      <c r="BW3681" s="314"/>
      <c r="BX3681" s="155"/>
    </row>
    <row r="3682" spans="1:76" ht="15.75" customHeight="1">
      <c r="A3682" s="25"/>
      <c r="B3682" s="39"/>
      <c r="C3682" s="155"/>
      <c r="D3682" s="155"/>
      <c r="E3682" s="40"/>
      <c r="F3682" s="314"/>
      <c r="H3682" s="315"/>
      <c r="I3682" s="315"/>
      <c r="BA3682" s="30"/>
      <c r="BB3682" s="155"/>
      <c r="BC3682" s="314"/>
      <c r="BD3682" s="314"/>
      <c r="BE3682" s="314"/>
      <c r="BF3682" s="314"/>
      <c r="BG3682" s="314"/>
      <c r="BH3682" s="314"/>
      <c r="BI3682" s="314"/>
      <c r="BJ3682" s="314"/>
      <c r="BK3682" s="40"/>
      <c r="BL3682" s="40"/>
      <c r="BM3682" s="40"/>
      <c r="BN3682" s="40"/>
      <c r="BO3682" s="40"/>
      <c r="BP3682" s="155"/>
      <c r="BQ3682" s="314"/>
      <c r="BR3682" s="314"/>
      <c r="BS3682" s="314"/>
      <c r="BT3682" s="314"/>
      <c r="BU3682" s="314"/>
      <c r="BV3682" s="314"/>
      <c r="BW3682" s="314"/>
      <c r="BX3682" s="155"/>
    </row>
    <row r="3683" spans="1:76" ht="15.75" customHeight="1">
      <c r="A3683" s="25"/>
      <c r="B3683" s="39"/>
      <c r="C3683" s="155"/>
      <c r="D3683" s="155"/>
      <c r="E3683" s="40"/>
      <c r="F3683" s="314"/>
      <c r="H3683" s="315"/>
      <c r="I3683" s="315"/>
      <c r="BA3683" s="30"/>
      <c r="BB3683" s="155"/>
      <c r="BC3683" s="314"/>
      <c r="BD3683" s="314"/>
      <c r="BE3683" s="314"/>
      <c r="BF3683" s="314"/>
      <c r="BG3683" s="314"/>
      <c r="BH3683" s="314"/>
      <c r="BI3683" s="314"/>
      <c r="BJ3683" s="314"/>
      <c r="BK3683" s="40"/>
      <c r="BL3683" s="40"/>
      <c r="BM3683" s="40"/>
      <c r="BN3683" s="40"/>
      <c r="BO3683" s="40"/>
      <c r="BP3683" s="155"/>
      <c r="BQ3683" s="314"/>
      <c r="BR3683" s="314"/>
      <c r="BS3683" s="314"/>
      <c r="BT3683" s="314"/>
      <c r="BU3683" s="314"/>
      <c r="BV3683" s="314"/>
      <c r="BW3683" s="314"/>
      <c r="BX3683" s="155"/>
    </row>
    <row r="3684" spans="1:76" ht="15.75" customHeight="1">
      <c r="A3684" s="25"/>
      <c r="B3684" s="39"/>
      <c r="C3684" s="155"/>
      <c r="D3684" s="155"/>
      <c r="E3684" s="40"/>
      <c r="F3684" s="314"/>
      <c r="H3684" s="315"/>
      <c r="I3684" s="315"/>
      <c r="BA3684" s="30"/>
      <c r="BB3684" s="155"/>
      <c r="BC3684" s="314"/>
      <c r="BD3684" s="314"/>
      <c r="BE3684" s="314"/>
      <c r="BF3684" s="314"/>
      <c r="BG3684" s="314"/>
      <c r="BH3684" s="314"/>
      <c r="BI3684" s="314"/>
      <c r="BJ3684" s="314"/>
      <c r="BK3684" s="40"/>
      <c r="BL3684" s="40"/>
      <c r="BM3684" s="40"/>
      <c r="BN3684" s="40"/>
      <c r="BO3684" s="40"/>
      <c r="BP3684" s="155"/>
      <c r="BQ3684" s="314"/>
      <c r="BR3684" s="314"/>
      <c r="BS3684" s="314"/>
      <c r="BT3684" s="314"/>
      <c r="BU3684" s="314"/>
      <c r="BV3684" s="314"/>
      <c r="BW3684" s="314"/>
      <c r="BX3684" s="155"/>
    </row>
    <row r="3685" spans="1:76" ht="15.75" customHeight="1">
      <c r="A3685" s="25"/>
      <c r="B3685" s="39"/>
      <c r="C3685" s="155"/>
      <c r="D3685" s="155"/>
      <c r="E3685" s="40"/>
      <c r="F3685" s="314"/>
      <c r="H3685" s="315"/>
      <c r="I3685" s="315"/>
      <c r="BA3685" s="30"/>
      <c r="BB3685" s="155"/>
      <c r="BC3685" s="314"/>
      <c r="BD3685" s="314"/>
      <c r="BE3685" s="314"/>
      <c r="BF3685" s="314"/>
      <c r="BG3685" s="314"/>
      <c r="BH3685" s="314"/>
      <c r="BI3685" s="314"/>
      <c r="BJ3685" s="314"/>
      <c r="BK3685" s="40"/>
      <c r="BL3685" s="40"/>
      <c r="BM3685" s="40"/>
      <c r="BN3685" s="40"/>
      <c r="BO3685" s="40"/>
      <c r="BP3685" s="155"/>
      <c r="BQ3685" s="314"/>
      <c r="BR3685" s="314"/>
      <c r="BS3685" s="314"/>
      <c r="BT3685" s="314"/>
      <c r="BU3685" s="314"/>
      <c r="BV3685" s="314"/>
      <c r="BW3685" s="314"/>
      <c r="BX3685" s="155"/>
    </row>
    <row r="3686" spans="1:76" ht="15.75" customHeight="1">
      <c r="A3686" s="25"/>
      <c r="B3686" s="39"/>
      <c r="C3686" s="155"/>
      <c r="D3686" s="155"/>
      <c r="E3686" s="40"/>
      <c r="F3686" s="314"/>
      <c r="H3686" s="315"/>
      <c r="I3686" s="315"/>
      <c r="BA3686" s="30"/>
      <c r="BB3686" s="155"/>
      <c r="BC3686" s="314"/>
      <c r="BD3686" s="314"/>
      <c r="BE3686" s="314"/>
      <c r="BF3686" s="314"/>
      <c r="BG3686" s="314"/>
      <c r="BH3686" s="314"/>
      <c r="BI3686" s="314"/>
      <c r="BJ3686" s="314"/>
      <c r="BK3686" s="40"/>
      <c r="BL3686" s="40"/>
      <c r="BM3686" s="40"/>
      <c r="BN3686" s="40"/>
      <c r="BO3686" s="40"/>
      <c r="BP3686" s="155"/>
      <c r="BQ3686" s="314"/>
      <c r="BR3686" s="314"/>
      <c r="BS3686" s="314"/>
      <c r="BT3686" s="314"/>
      <c r="BU3686" s="314"/>
      <c r="BV3686" s="314"/>
      <c r="BW3686" s="314"/>
      <c r="BX3686" s="155"/>
    </row>
    <row r="3687" spans="1:76" ht="15.75" customHeight="1">
      <c r="A3687" s="25"/>
      <c r="B3687" s="39"/>
      <c r="C3687" s="155"/>
      <c r="D3687" s="155"/>
      <c r="E3687" s="40"/>
      <c r="F3687" s="314"/>
      <c r="H3687" s="315"/>
      <c r="I3687" s="315"/>
      <c r="BA3687" s="30"/>
      <c r="BB3687" s="155"/>
      <c r="BC3687" s="314"/>
      <c r="BD3687" s="314"/>
      <c r="BE3687" s="314"/>
      <c r="BF3687" s="314"/>
      <c r="BG3687" s="314"/>
      <c r="BH3687" s="314"/>
      <c r="BI3687" s="314"/>
      <c r="BJ3687" s="314"/>
      <c r="BK3687" s="40"/>
      <c r="BL3687" s="40"/>
      <c r="BM3687" s="40"/>
      <c r="BN3687" s="40"/>
      <c r="BO3687" s="40"/>
      <c r="BP3687" s="155"/>
      <c r="BQ3687" s="314"/>
      <c r="BR3687" s="314"/>
      <c r="BS3687" s="314"/>
      <c r="BT3687" s="314"/>
      <c r="BU3687" s="314"/>
      <c r="BV3687" s="314"/>
      <c r="BW3687" s="314"/>
      <c r="BX3687" s="155"/>
    </row>
    <row r="3688" spans="1:76" ht="15.75" customHeight="1">
      <c r="A3688" s="25"/>
      <c r="B3688" s="39"/>
      <c r="C3688" s="155"/>
      <c r="D3688" s="155"/>
      <c r="E3688" s="40"/>
      <c r="F3688" s="314"/>
      <c r="H3688" s="315"/>
      <c r="I3688" s="315"/>
      <c r="BA3688" s="30"/>
      <c r="BB3688" s="155"/>
      <c r="BC3688" s="314"/>
      <c r="BD3688" s="314"/>
      <c r="BE3688" s="314"/>
      <c r="BF3688" s="314"/>
      <c r="BG3688" s="314"/>
      <c r="BH3688" s="314"/>
      <c r="BI3688" s="314"/>
      <c r="BJ3688" s="314"/>
      <c r="BK3688" s="40"/>
      <c r="BL3688" s="40"/>
      <c r="BM3688" s="40"/>
      <c r="BN3688" s="40"/>
      <c r="BO3688" s="40"/>
      <c r="BP3688" s="155"/>
      <c r="BQ3688" s="314"/>
      <c r="BR3688" s="314"/>
      <c r="BS3688" s="314"/>
      <c r="BT3688" s="314"/>
      <c r="BU3688" s="314"/>
      <c r="BV3688" s="314"/>
      <c r="BW3688" s="314"/>
      <c r="BX3688" s="155"/>
    </row>
    <row r="3689" spans="1:76" ht="15.75" customHeight="1">
      <c r="A3689" s="25"/>
      <c r="B3689" s="39"/>
      <c r="C3689" s="155"/>
      <c r="D3689" s="155"/>
      <c r="E3689" s="40"/>
      <c r="F3689" s="314"/>
      <c r="H3689" s="315"/>
      <c r="I3689" s="315"/>
      <c r="BA3689" s="30"/>
      <c r="BB3689" s="155"/>
      <c r="BC3689" s="314"/>
      <c r="BD3689" s="314"/>
      <c r="BE3689" s="314"/>
      <c r="BF3689" s="314"/>
      <c r="BG3689" s="314"/>
      <c r="BH3689" s="314"/>
      <c r="BI3689" s="314"/>
      <c r="BJ3689" s="314"/>
      <c r="BK3689" s="40"/>
      <c r="BL3689" s="40"/>
      <c r="BM3689" s="40"/>
      <c r="BN3689" s="40"/>
      <c r="BO3689" s="40"/>
      <c r="BP3689" s="155"/>
      <c r="BQ3689" s="314"/>
      <c r="BR3689" s="314"/>
      <c r="BS3689" s="314"/>
      <c r="BT3689" s="314"/>
      <c r="BU3689" s="314"/>
      <c r="BV3689" s="314"/>
      <c r="BW3689" s="314"/>
      <c r="BX3689" s="155"/>
    </row>
    <row r="3690" spans="1:76" ht="15.75" customHeight="1">
      <c r="A3690" s="25"/>
      <c r="B3690" s="39"/>
      <c r="C3690" s="155"/>
      <c r="D3690" s="155"/>
      <c r="E3690" s="40"/>
      <c r="F3690" s="314"/>
      <c r="H3690" s="315"/>
      <c r="I3690" s="315"/>
      <c r="BA3690" s="30"/>
      <c r="BB3690" s="155"/>
      <c r="BC3690" s="314"/>
      <c r="BD3690" s="314"/>
      <c r="BE3690" s="314"/>
      <c r="BF3690" s="314"/>
      <c r="BG3690" s="314"/>
      <c r="BH3690" s="314"/>
      <c r="BI3690" s="314"/>
      <c r="BJ3690" s="314"/>
      <c r="BK3690" s="40"/>
      <c r="BL3690" s="40"/>
      <c r="BM3690" s="40"/>
      <c r="BN3690" s="40"/>
      <c r="BO3690" s="40"/>
      <c r="BP3690" s="155"/>
      <c r="BQ3690" s="314"/>
      <c r="BR3690" s="314"/>
      <c r="BS3690" s="314"/>
      <c r="BT3690" s="314"/>
      <c r="BU3690" s="314"/>
      <c r="BV3690" s="314"/>
      <c r="BW3690" s="314"/>
      <c r="BX3690" s="155"/>
    </row>
    <row r="3691" spans="1:76" ht="15.75" customHeight="1">
      <c r="A3691" s="25"/>
      <c r="B3691" s="39"/>
      <c r="C3691" s="155"/>
      <c r="D3691" s="155"/>
      <c r="E3691" s="40"/>
      <c r="F3691" s="314"/>
      <c r="H3691" s="315"/>
      <c r="I3691" s="315"/>
      <c r="BA3691" s="30"/>
      <c r="BB3691" s="155"/>
      <c r="BC3691" s="314"/>
      <c r="BD3691" s="314"/>
      <c r="BE3691" s="314"/>
      <c r="BF3691" s="314"/>
      <c r="BG3691" s="314"/>
      <c r="BH3691" s="314"/>
      <c r="BI3691" s="314"/>
      <c r="BJ3691" s="314"/>
      <c r="BK3691" s="40"/>
      <c r="BL3691" s="40"/>
      <c r="BM3691" s="40"/>
      <c r="BN3691" s="40"/>
      <c r="BO3691" s="40"/>
      <c r="BP3691" s="155"/>
      <c r="BQ3691" s="314"/>
      <c r="BR3691" s="314"/>
      <c r="BS3691" s="314"/>
      <c r="BT3691" s="314"/>
      <c r="BU3691" s="314"/>
      <c r="BV3691" s="314"/>
      <c r="BW3691" s="314"/>
      <c r="BX3691" s="155"/>
    </row>
    <row r="3692" spans="1:76" ht="15.75" customHeight="1">
      <c r="A3692" s="25"/>
      <c r="B3692" s="39"/>
      <c r="C3692" s="155"/>
      <c r="D3692" s="155"/>
      <c r="E3692" s="40"/>
      <c r="F3692" s="314"/>
      <c r="H3692" s="315"/>
      <c r="I3692" s="315"/>
      <c r="BA3692" s="30"/>
      <c r="BB3692" s="155"/>
      <c r="BC3692" s="314"/>
      <c r="BD3692" s="314"/>
      <c r="BE3692" s="314"/>
      <c r="BF3692" s="314"/>
      <c r="BG3692" s="314"/>
      <c r="BH3692" s="314"/>
      <c r="BI3692" s="314"/>
      <c r="BJ3692" s="314"/>
      <c r="BK3692" s="40"/>
      <c r="BL3692" s="40"/>
      <c r="BM3692" s="40"/>
      <c r="BN3692" s="40"/>
      <c r="BO3692" s="40"/>
      <c r="BP3692" s="155"/>
      <c r="BQ3692" s="314"/>
      <c r="BR3692" s="314"/>
      <c r="BS3692" s="314"/>
      <c r="BT3692" s="314"/>
      <c r="BU3692" s="314"/>
      <c r="BV3692" s="314"/>
      <c r="BW3692" s="314"/>
      <c r="BX3692" s="155"/>
    </row>
    <row r="3693" spans="1:76" ht="15.75" customHeight="1">
      <c r="A3693" s="25"/>
      <c r="B3693" s="39"/>
      <c r="C3693" s="155"/>
      <c r="D3693" s="155"/>
      <c r="E3693" s="40"/>
      <c r="F3693" s="314"/>
      <c r="H3693" s="315"/>
      <c r="I3693" s="315"/>
      <c r="BA3693" s="30"/>
      <c r="BB3693" s="155"/>
      <c r="BC3693" s="314"/>
      <c r="BD3693" s="314"/>
      <c r="BE3693" s="314"/>
      <c r="BF3693" s="314"/>
      <c r="BG3693" s="314"/>
      <c r="BH3693" s="314"/>
      <c r="BI3693" s="314"/>
      <c r="BJ3693" s="314"/>
      <c r="BK3693" s="40"/>
      <c r="BL3693" s="40"/>
      <c r="BM3693" s="40"/>
      <c r="BN3693" s="40"/>
      <c r="BO3693" s="40"/>
      <c r="BP3693" s="155"/>
      <c r="BQ3693" s="314"/>
      <c r="BR3693" s="314"/>
      <c r="BS3693" s="314"/>
      <c r="BT3693" s="314"/>
      <c r="BU3693" s="314"/>
      <c r="BV3693" s="314"/>
      <c r="BW3693" s="314"/>
      <c r="BX3693" s="155"/>
    </row>
    <row r="3694" spans="1:76" ht="15.75" customHeight="1">
      <c r="A3694" s="25"/>
      <c r="B3694" s="39"/>
      <c r="C3694" s="155"/>
      <c r="D3694" s="155"/>
      <c r="E3694" s="40"/>
      <c r="F3694" s="314"/>
      <c r="H3694" s="315"/>
      <c r="I3694" s="315"/>
      <c r="BA3694" s="30"/>
      <c r="BB3694" s="155"/>
      <c r="BC3694" s="314"/>
      <c r="BD3694" s="314"/>
      <c r="BE3694" s="314"/>
      <c r="BF3694" s="314"/>
      <c r="BG3694" s="314"/>
      <c r="BH3694" s="314"/>
      <c r="BI3694" s="314"/>
      <c r="BJ3694" s="314"/>
      <c r="BK3694" s="40"/>
      <c r="BL3694" s="40"/>
      <c r="BM3694" s="40"/>
      <c r="BN3694" s="40"/>
      <c r="BO3694" s="40"/>
      <c r="BP3694" s="155"/>
      <c r="BQ3694" s="314"/>
      <c r="BR3694" s="314"/>
      <c r="BS3694" s="314"/>
      <c r="BT3694" s="314"/>
      <c r="BU3694" s="314"/>
      <c r="BV3694" s="314"/>
      <c r="BW3694" s="314"/>
      <c r="BX3694" s="155"/>
    </row>
    <row r="3695" spans="1:76" ht="15.75" customHeight="1">
      <c r="A3695" s="25"/>
      <c r="B3695" s="39"/>
      <c r="C3695" s="155"/>
      <c r="D3695" s="155"/>
      <c r="E3695" s="40"/>
      <c r="F3695" s="314"/>
      <c r="H3695" s="315"/>
      <c r="I3695" s="315"/>
      <c r="BA3695" s="30"/>
      <c r="BB3695" s="155"/>
      <c r="BC3695" s="314"/>
      <c r="BD3695" s="314"/>
      <c r="BE3695" s="314"/>
      <c r="BF3695" s="314"/>
      <c r="BG3695" s="314"/>
      <c r="BH3695" s="314"/>
      <c r="BI3695" s="314"/>
      <c r="BJ3695" s="314"/>
      <c r="BK3695" s="40"/>
      <c r="BL3695" s="40"/>
      <c r="BM3695" s="40"/>
      <c r="BN3695" s="40"/>
      <c r="BO3695" s="40"/>
      <c r="BP3695" s="155"/>
      <c r="BQ3695" s="314"/>
      <c r="BR3695" s="314"/>
      <c r="BS3695" s="314"/>
      <c r="BT3695" s="314"/>
      <c r="BU3695" s="314"/>
      <c r="BV3695" s="314"/>
      <c r="BW3695" s="314"/>
      <c r="BX3695" s="155"/>
    </row>
    <row r="3696" spans="1:76" ht="15.75" customHeight="1">
      <c r="A3696" s="25"/>
      <c r="B3696" s="39"/>
      <c r="C3696" s="155"/>
      <c r="D3696" s="155"/>
      <c r="E3696" s="40"/>
      <c r="F3696" s="314"/>
      <c r="H3696" s="315"/>
      <c r="I3696" s="315"/>
      <c r="BA3696" s="30"/>
      <c r="BB3696" s="155"/>
      <c r="BC3696" s="314"/>
      <c r="BD3696" s="314"/>
      <c r="BE3696" s="314"/>
      <c r="BF3696" s="314"/>
      <c r="BG3696" s="314"/>
      <c r="BH3696" s="314"/>
      <c r="BI3696" s="314"/>
      <c r="BJ3696" s="314"/>
      <c r="BK3696" s="40"/>
      <c r="BL3696" s="40"/>
      <c r="BM3696" s="40"/>
      <c r="BN3696" s="40"/>
      <c r="BO3696" s="40"/>
      <c r="BP3696" s="155"/>
      <c r="BQ3696" s="314"/>
      <c r="BR3696" s="314"/>
      <c r="BS3696" s="314"/>
      <c r="BT3696" s="314"/>
      <c r="BU3696" s="314"/>
      <c r="BV3696" s="314"/>
      <c r="BW3696" s="314"/>
      <c r="BX3696" s="155"/>
    </row>
    <row r="3697" spans="1:76" ht="15.75" customHeight="1">
      <c r="A3697" s="25"/>
      <c r="B3697" s="39"/>
      <c r="C3697" s="155"/>
      <c r="D3697" s="155"/>
      <c r="E3697" s="40"/>
      <c r="F3697" s="314"/>
      <c r="H3697" s="315"/>
      <c r="I3697" s="315"/>
      <c r="BA3697" s="30"/>
      <c r="BB3697" s="155"/>
      <c r="BC3697" s="314"/>
      <c r="BD3697" s="314"/>
      <c r="BE3697" s="314"/>
      <c r="BF3697" s="314"/>
      <c r="BG3697" s="314"/>
      <c r="BH3697" s="314"/>
      <c r="BI3697" s="314"/>
      <c r="BJ3697" s="314"/>
      <c r="BK3697" s="40"/>
      <c r="BL3697" s="40"/>
      <c r="BM3697" s="40"/>
      <c r="BN3697" s="40"/>
      <c r="BO3697" s="40"/>
      <c r="BP3697" s="155"/>
      <c r="BQ3697" s="314"/>
      <c r="BR3697" s="314"/>
      <c r="BS3697" s="314"/>
      <c r="BT3697" s="314"/>
      <c r="BU3697" s="314"/>
      <c r="BV3697" s="314"/>
      <c r="BW3697" s="314"/>
      <c r="BX3697" s="155"/>
    </row>
    <row r="3698" spans="1:76" ht="15.75" customHeight="1">
      <c r="A3698" s="25"/>
      <c r="B3698" s="39"/>
      <c r="C3698" s="155"/>
      <c r="D3698" s="155"/>
      <c r="E3698" s="40"/>
      <c r="F3698" s="314"/>
      <c r="H3698" s="315"/>
      <c r="I3698" s="315"/>
      <c r="BA3698" s="30"/>
      <c r="BB3698" s="155"/>
      <c r="BC3698" s="314"/>
      <c r="BD3698" s="314"/>
      <c r="BE3698" s="314"/>
      <c r="BF3698" s="314"/>
      <c r="BG3698" s="314"/>
      <c r="BH3698" s="314"/>
      <c r="BI3698" s="314"/>
      <c r="BJ3698" s="314"/>
      <c r="BK3698" s="40"/>
      <c r="BL3698" s="40"/>
      <c r="BM3698" s="40"/>
      <c r="BN3698" s="40"/>
      <c r="BO3698" s="40"/>
      <c r="BP3698" s="155"/>
      <c r="BQ3698" s="314"/>
      <c r="BR3698" s="314"/>
      <c r="BS3698" s="314"/>
      <c r="BT3698" s="314"/>
      <c r="BU3698" s="314"/>
      <c r="BV3698" s="314"/>
      <c r="BW3698" s="314"/>
      <c r="BX3698" s="155"/>
    </row>
    <row r="3699" spans="1:76" ht="15.75" customHeight="1">
      <c r="A3699" s="25"/>
      <c r="B3699" s="39"/>
      <c r="C3699" s="155"/>
      <c r="D3699" s="155"/>
      <c r="E3699" s="40"/>
      <c r="F3699" s="314"/>
      <c r="H3699" s="315"/>
      <c r="I3699" s="315"/>
      <c r="BA3699" s="30"/>
      <c r="BB3699" s="155"/>
      <c r="BC3699" s="314"/>
      <c r="BD3699" s="314"/>
      <c r="BE3699" s="314"/>
      <c r="BF3699" s="314"/>
      <c r="BG3699" s="314"/>
      <c r="BH3699" s="314"/>
      <c r="BI3699" s="314"/>
      <c r="BJ3699" s="314"/>
      <c r="BK3699" s="40"/>
      <c r="BL3699" s="40"/>
      <c r="BM3699" s="40"/>
      <c r="BN3699" s="40"/>
      <c r="BO3699" s="40"/>
      <c r="BP3699" s="155"/>
      <c r="BQ3699" s="314"/>
      <c r="BR3699" s="314"/>
      <c r="BS3699" s="314"/>
      <c r="BT3699" s="314"/>
      <c r="BU3699" s="314"/>
      <c r="BV3699" s="314"/>
      <c r="BW3699" s="314"/>
      <c r="BX3699" s="155"/>
    </row>
    <row r="3700" spans="1:76" ht="15.75" customHeight="1">
      <c r="A3700" s="25"/>
      <c r="B3700" s="39"/>
      <c r="C3700" s="155"/>
      <c r="D3700" s="155"/>
      <c r="E3700" s="40"/>
      <c r="F3700" s="314"/>
      <c r="H3700" s="315"/>
      <c r="I3700" s="315"/>
      <c r="BA3700" s="30"/>
      <c r="BB3700" s="155"/>
      <c r="BC3700" s="314"/>
      <c r="BD3700" s="314"/>
      <c r="BE3700" s="314"/>
      <c r="BF3700" s="314"/>
      <c r="BG3700" s="314"/>
      <c r="BH3700" s="314"/>
      <c r="BI3700" s="314"/>
      <c r="BJ3700" s="314"/>
      <c r="BK3700" s="40"/>
      <c r="BL3700" s="40"/>
      <c r="BM3700" s="40"/>
      <c r="BN3700" s="40"/>
      <c r="BO3700" s="40"/>
      <c r="BP3700" s="155"/>
      <c r="BQ3700" s="314"/>
      <c r="BR3700" s="314"/>
      <c r="BS3700" s="314"/>
      <c r="BT3700" s="314"/>
      <c r="BU3700" s="314"/>
      <c r="BV3700" s="314"/>
      <c r="BW3700" s="314"/>
      <c r="BX3700" s="155"/>
    </row>
    <row r="3701" spans="1:76" ht="15.75" customHeight="1">
      <c r="A3701" s="25"/>
      <c r="B3701" s="39"/>
      <c r="C3701" s="155"/>
      <c r="D3701" s="155"/>
      <c r="E3701" s="40"/>
      <c r="F3701" s="314"/>
      <c r="H3701" s="315"/>
      <c r="I3701" s="315"/>
      <c r="BA3701" s="30"/>
      <c r="BB3701" s="155"/>
      <c r="BC3701" s="314"/>
      <c r="BD3701" s="314"/>
      <c r="BE3701" s="314"/>
      <c r="BF3701" s="314"/>
      <c r="BG3701" s="314"/>
      <c r="BH3701" s="314"/>
      <c r="BI3701" s="314"/>
      <c r="BJ3701" s="314"/>
      <c r="BK3701" s="40"/>
      <c r="BL3701" s="40"/>
      <c r="BM3701" s="40"/>
      <c r="BN3701" s="40"/>
      <c r="BO3701" s="40"/>
      <c r="BP3701" s="155"/>
      <c r="BQ3701" s="314"/>
      <c r="BR3701" s="314"/>
      <c r="BS3701" s="314"/>
      <c r="BT3701" s="314"/>
      <c r="BU3701" s="314"/>
      <c r="BV3701" s="314"/>
      <c r="BW3701" s="314"/>
      <c r="BX3701" s="155"/>
    </row>
    <row r="3702" spans="1:76" ht="15.75" customHeight="1">
      <c r="A3702" s="25"/>
      <c r="B3702" s="39"/>
      <c r="C3702" s="155"/>
      <c r="D3702" s="155"/>
      <c r="E3702" s="40"/>
      <c r="F3702" s="314"/>
      <c r="H3702" s="315"/>
      <c r="I3702" s="315"/>
      <c r="BA3702" s="30"/>
      <c r="BB3702" s="155"/>
      <c r="BC3702" s="314"/>
      <c r="BD3702" s="314"/>
      <c r="BE3702" s="314"/>
      <c r="BF3702" s="314"/>
      <c r="BG3702" s="314"/>
      <c r="BH3702" s="314"/>
      <c r="BI3702" s="314"/>
      <c r="BJ3702" s="314"/>
      <c r="BK3702" s="40"/>
      <c r="BL3702" s="40"/>
      <c r="BM3702" s="40"/>
      <c r="BN3702" s="40"/>
      <c r="BO3702" s="40"/>
      <c r="BP3702" s="155"/>
      <c r="BQ3702" s="314"/>
      <c r="BR3702" s="314"/>
      <c r="BS3702" s="314"/>
      <c r="BT3702" s="314"/>
      <c r="BU3702" s="314"/>
      <c r="BV3702" s="314"/>
      <c r="BW3702" s="314"/>
      <c r="BX3702" s="155"/>
    </row>
    <row r="3703" spans="1:76" ht="15.75" customHeight="1">
      <c r="A3703" s="25"/>
      <c r="B3703" s="39"/>
      <c r="C3703" s="155"/>
      <c r="D3703" s="155"/>
      <c r="E3703" s="40"/>
      <c r="F3703" s="314"/>
      <c r="H3703" s="315"/>
      <c r="I3703" s="315"/>
      <c r="BA3703" s="30"/>
      <c r="BB3703" s="155"/>
      <c r="BC3703" s="322"/>
      <c r="BD3703" s="322"/>
      <c r="BE3703" s="322"/>
      <c r="BF3703" s="322"/>
      <c r="BG3703" s="322"/>
      <c r="BH3703" s="322"/>
      <c r="BI3703" s="322"/>
      <c r="BJ3703" s="322"/>
      <c r="BK3703" s="341"/>
      <c r="BL3703" s="40"/>
      <c r="BM3703" s="40"/>
      <c r="BN3703" s="40"/>
      <c r="BO3703" s="40"/>
      <c r="BP3703" s="155"/>
      <c r="BQ3703" s="314"/>
      <c r="BR3703" s="314"/>
      <c r="BS3703" s="314"/>
      <c r="BT3703" s="314"/>
      <c r="BU3703" s="314"/>
      <c r="BV3703" s="314"/>
      <c r="BW3703" s="314"/>
      <c r="BX3703" s="155"/>
    </row>
    <row r="3704" spans="1:76" ht="15.75" customHeight="1">
      <c r="A3704" s="25"/>
      <c r="B3704" s="39"/>
      <c r="C3704" s="155"/>
      <c r="D3704" s="155"/>
      <c r="E3704" s="40"/>
      <c r="F3704" s="314"/>
      <c r="H3704" s="315"/>
      <c r="I3704" s="315"/>
      <c r="BA3704" s="30"/>
      <c r="BB3704" s="155"/>
      <c r="BC3704" s="314"/>
      <c r="BD3704" s="314"/>
      <c r="BE3704" s="314"/>
      <c r="BF3704" s="314"/>
      <c r="BG3704" s="314"/>
      <c r="BH3704" s="314"/>
      <c r="BI3704" s="314"/>
      <c r="BJ3704" s="314"/>
      <c r="BK3704" s="40"/>
      <c r="BL3704" s="40"/>
      <c r="BM3704" s="40"/>
      <c r="BN3704" s="40"/>
      <c r="BO3704" s="40"/>
      <c r="BP3704" s="155"/>
      <c r="BQ3704" s="314"/>
      <c r="BR3704" s="314"/>
      <c r="BS3704" s="314"/>
      <c r="BT3704" s="314"/>
      <c r="BU3704" s="314"/>
      <c r="BV3704" s="314"/>
      <c r="BW3704" s="314"/>
      <c r="BX3704" s="155"/>
    </row>
    <row r="3705" spans="1:76" ht="15.75" customHeight="1">
      <c r="A3705" s="25"/>
      <c r="B3705" s="39"/>
      <c r="C3705" s="155"/>
      <c r="D3705" s="155"/>
      <c r="E3705" s="40"/>
      <c r="F3705" s="314"/>
      <c r="H3705" s="315"/>
      <c r="I3705" s="315"/>
      <c r="BA3705" s="30"/>
      <c r="BB3705" s="155"/>
      <c r="BC3705" s="314"/>
      <c r="BD3705" s="314"/>
      <c r="BE3705" s="314"/>
      <c r="BF3705" s="314"/>
      <c r="BG3705" s="314"/>
      <c r="BH3705" s="314"/>
      <c r="BI3705" s="314"/>
      <c r="BJ3705" s="314"/>
      <c r="BK3705" s="40"/>
      <c r="BL3705" s="40"/>
      <c r="BM3705" s="40"/>
      <c r="BN3705" s="40"/>
      <c r="BO3705" s="40"/>
      <c r="BP3705" s="155"/>
      <c r="BQ3705" s="314"/>
      <c r="BR3705" s="314"/>
      <c r="BS3705" s="314"/>
      <c r="BT3705" s="314"/>
      <c r="BU3705" s="314"/>
      <c r="BV3705" s="314"/>
      <c r="BW3705" s="314"/>
      <c r="BX3705" s="155"/>
    </row>
    <row r="3706" spans="1:76" ht="15.75" customHeight="1">
      <c r="A3706" s="25"/>
      <c r="B3706" s="39"/>
      <c r="C3706" s="155"/>
      <c r="D3706" s="155"/>
      <c r="E3706" s="40"/>
      <c r="F3706" s="314"/>
      <c r="H3706" s="315"/>
      <c r="I3706" s="315"/>
      <c r="BA3706" s="30"/>
      <c r="BB3706" s="155"/>
      <c r="BC3706" s="314"/>
      <c r="BD3706" s="314"/>
      <c r="BE3706" s="314"/>
      <c r="BF3706" s="314"/>
      <c r="BG3706" s="314"/>
      <c r="BH3706" s="314"/>
      <c r="BI3706" s="314"/>
      <c r="BJ3706" s="314"/>
      <c r="BK3706" s="40"/>
      <c r="BL3706" s="40"/>
      <c r="BM3706" s="40"/>
      <c r="BN3706" s="40"/>
      <c r="BO3706" s="40"/>
      <c r="BP3706" s="155"/>
      <c r="BQ3706" s="314"/>
      <c r="BR3706" s="314"/>
      <c r="BS3706" s="314"/>
      <c r="BT3706" s="314"/>
      <c r="BU3706" s="314"/>
      <c r="BV3706" s="314"/>
      <c r="BW3706" s="314"/>
      <c r="BX3706" s="155"/>
    </row>
    <row r="3707" spans="1:76" ht="15.75" customHeight="1">
      <c r="A3707" s="25"/>
      <c r="B3707" s="39"/>
      <c r="C3707" s="155"/>
      <c r="D3707" s="155"/>
      <c r="E3707" s="40"/>
      <c r="F3707" s="314"/>
      <c r="H3707" s="315"/>
      <c r="I3707" s="315"/>
      <c r="BA3707" s="30"/>
      <c r="BB3707" s="155"/>
      <c r="BC3707" s="314"/>
      <c r="BD3707" s="314"/>
      <c r="BE3707" s="314"/>
      <c r="BF3707" s="314"/>
      <c r="BG3707" s="314"/>
      <c r="BH3707" s="314"/>
      <c r="BI3707" s="314"/>
      <c r="BJ3707" s="314"/>
      <c r="BK3707" s="40"/>
      <c r="BL3707" s="40"/>
      <c r="BM3707" s="40"/>
      <c r="BN3707" s="40"/>
      <c r="BO3707" s="40"/>
      <c r="BP3707" s="155"/>
      <c r="BQ3707" s="314"/>
      <c r="BR3707" s="314"/>
      <c r="BS3707" s="314"/>
      <c r="BT3707" s="314"/>
      <c r="BU3707" s="314"/>
      <c r="BV3707" s="314"/>
      <c r="BW3707" s="314"/>
      <c r="BX3707" s="155"/>
    </row>
    <row r="3708" spans="1:76" ht="15.75" customHeight="1">
      <c r="A3708" s="25"/>
      <c r="B3708" s="39"/>
      <c r="C3708" s="155"/>
      <c r="D3708" s="155"/>
      <c r="E3708" s="40"/>
      <c r="F3708" s="314"/>
      <c r="H3708" s="315"/>
      <c r="I3708" s="315"/>
      <c r="BA3708" s="30"/>
      <c r="BB3708" s="155"/>
      <c r="BC3708" s="314"/>
      <c r="BD3708" s="314"/>
      <c r="BE3708" s="314"/>
      <c r="BF3708" s="314"/>
      <c r="BG3708" s="314"/>
      <c r="BH3708" s="314"/>
      <c r="BI3708" s="314"/>
      <c r="BJ3708" s="314"/>
      <c r="BK3708" s="40"/>
      <c r="BL3708" s="40"/>
      <c r="BM3708" s="40"/>
      <c r="BN3708" s="40"/>
      <c r="BO3708" s="40"/>
      <c r="BP3708" s="155"/>
      <c r="BQ3708" s="314"/>
      <c r="BR3708" s="314"/>
      <c r="BS3708" s="314"/>
      <c r="BT3708" s="314"/>
      <c r="BU3708" s="314"/>
      <c r="BV3708" s="314"/>
      <c r="BW3708" s="314"/>
      <c r="BX3708" s="155"/>
    </row>
    <row r="3709" spans="1:76" ht="15.75" customHeight="1">
      <c r="A3709" s="25"/>
      <c r="B3709" s="39"/>
      <c r="C3709" s="155"/>
      <c r="D3709" s="155"/>
      <c r="E3709" s="40"/>
      <c r="F3709" s="314"/>
      <c r="H3709" s="315"/>
      <c r="I3709" s="315"/>
      <c r="BA3709" s="30"/>
      <c r="BB3709" s="155"/>
      <c r="BC3709" s="314"/>
      <c r="BD3709" s="314"/>
      <c r="BE3709" s="314"/>
      <c r="BF3709" s="314"/>
      <c r="BG3709" s="314"/>
      <c r="BH3709" s="314"/>
      <c r="BI3709" s="314"/>
      <c r="BJ3709" s="314"/>
      <c r="BK3709" s="40"/>
      <c r="BL3709" s="40"/>
      <c r="BM3709" s="40"/>
      <c r="BN3709" s="40"/>
      <c r="BO3709" s="40"/>
      <c r="BP3709" s="155"/>
      <c r="BQ3709" s="314"/>
      <c r="BR3709" s="314"/>
      <c r="BS3709" s="314"/>
      <c r="BT3709" s="314"/>
      <c r="BU3709" s="314"/>
      <c r="BV3709" s="314"/>
      <c r="BW3709" s="314"/>
      <c r="BX3709" s="155"/>
    </row>
    <row r="3710" spans="1:76" ht="15.75" customHeight="1">
      <c r="A3710" s="25"/>
      <c r="B3710" s="39"/>
      <c r="C3710" s="155"/>
      <c r="D3710" s="155"/>
      <c r="E3710" s="40"/>
      <c r="F3710" s="314"/>
      <c r="H3710" s="315"/>
      <c r="I3710" s="315"/>
      <c r="BA3710" s="30"/>
      <c r="BB3710" s="155"/>
      <c r="BC3710" s="314"/>
      <c r="BD3710" s="314"/>
      <c r="BE3710" s="314"/>
      <c r="BF3710" s="314"/>
      <c r="BG3710" s="314"/>
      <c r="BH3710" s="314"/>
      <c r="BI3710" s="314"/>
      <c r="BJ3710" s="314"/>
      <c r="BK3710" s="40"/>
      <c r="BL3710" s="40"/>
      <c r="BM3710" s="40"/>
      <c r="BN3710" s="40"/>
      <c r="BO3710" s="40"/>
      <c r="BP3710" s="155"/>
      <c r="BQ3710" s="314"/>
      <c r="BR3710" s="314"/>
      <c r="BS3710" s="314"/>
      <c r="BT3710" s="314"/>
      <c r="BU3710" s="314"/>
      <c r="BV3710" s="314"/>
      <c r="BW3710" s="314"/>
      <c r="BX3710" s="155"/>
    </row>
    <row r="3711" spans="1:76" ht="15.75" customHeight="1">
      <c r="A3711" s="25"/>
      <c r="B3711" s="39"/>
      <c r="C3711" s="155"/>
      <c r="D3711" s="155"/>
      <c r="E3711" s="40"/>
      <c r="F3711" s="314"/>
      <c r="H3711" s="315"/>
      <c r="I3711" s="315"/>
      <c r="BA3711" s="30"/>
      <c r="BB3711" s="155"/>
      <c r="BC3711" s="314"/>
      <c r="BD3711" s="314"/>
      <c r="BE3711" s="314"/>
      <c r="BF3711" s="314"/>
      <c r="BG3711" s="314"/>
      <c r="BH3711" s="314"/>
      <c r="BI3711" s="314"/>
      <c r="BJ3711" s="314"/>
      <c r="BK3711" s="40"/>
      <c r="BL3711" s="40"/>
      <c r="BM3711" s="40"/>
      <c r="BN3711" s="40"/>
      <c r="BO3711" s="40"/>
      <c r="BP3711" s="155"/>
      <c r="BQ3711" s="314"/>
      <c r="BR3711" s="314"/>
      <c r="BS3711" s="314"/>
      <c r="BT3711" s="314"/>
      <c r="BU3711" s="314"/>
      <c r="BV3711" s="314"/>
      <c r="BW3711" s="314"/>
      <c r="BX3711" s="155"/>
    </row>
    <row r="3712" spans="1:76" ht="15.75" customHeight="1">
      <c r="A3712" s="25"/>
      <c r="B3712" s="39"/>
      <c r="C3712" s="155"/>
      <c r="D3712" s="155"/>
      <c r="E3712" s="40"/>
      <c r="F3712" s="314"/>
      <c r="H3712" s="315"/>
      <c r="I3712" s="315"/>
      <c r="BA3712" s="30"/>
      <c r="BB3712" s="155"/>
      <c r="BC3712" s="314"/>
      <c r="BD3712" s="314"/>
      <c r="BE3712" s="314"/>
      <c r="BF3712" s="314"/>
      <c r="BG3712" s="314"/>
      <c r="BH3712" s="314"/>
      <c r="BI3712" s="314"/>
      <c r="BJ3712" s="314"/>
      <c r="BK3712" s="40"/>
      <c r="BL3712" s="40"/>
      <c r="BM3712" s="40"/>
      <c r="BN3712" s="40"/>
      <c r="BO3712" s="40"/>
      <c r="BP3712" s="155"/>
      <c r="BQ3712" s="314"/>
      <c r="BR3712" s="314"/>
      <c r="BS3712" s="314"/>
      <c r="BT3712" s="314"/>
      <c r="BU3712" s="314"/>
      <c r="BV3712" s="314"/>
      <c r="BW3712" s="314"/>
      <c r="BX3712" s="155"/>
    </row>
    <row r="3713" spans="1:76" ht="15.75" customHeight="1">
      <c r="A3713" s="25"/>
      <c r="B3713" s="39"/>
      <c r="C3713" s="155"/>
      <c r="D3713" s="155"/>
      <c r="E3713" s="40"/>
      <c r="F3713" s="314"/>
      <c r="H3713" s="315"/>
      <c r="I3713" s="315"/>
      <c r="BA3713" s="30"/>
      <c r="BB3713" s="155"/>
      <c r="BC3713" s="314"/>
      <c r="BD3713" s="314"/>
      <c r="BE3713" s="314"/>
      <c r="BF3713" s="314"/>
      <c r="BG3713" s="314"/>
      <c r="BH3713" s="314"/>
      <c r="BI3713" s="314"/>
      <c r="BJ3713" s="314"/>
      <c r="BK3713" s="40"/>
      <c r="BL3713" s="40"/>
      <c r="BM3713" s="40"/>
      <c r="BN3713" s="40"/>
      <c r="BO3713" s="40"/>
      <c r="BP3713" s="155"/>
      <c r="BQ3713" s="314"/>
      <c r="BR3713" s="314"/>
      <c r="BS3713" s="314"/>
      <c r="BT3713" s="314"/>
      <c r="BU3713" s="314"/>
      <c r="BV3713" s="314"/>
      <c r="BW3713" s="314"/>
      <c r="BX3713" s="155"/>
    </row>
    <row r="3714" spans="1:76" ht="15.75" customHeight="1">
      <c r="A3714" s="25"/>
      <c r="B3714" s="39"/>
      <c r="C3714" s="155"/>
      <c r="D3714" s="155"/>
      <c r="E3714" s="40"/>
      <c r="F3714" s="314"/>
      <c r="H3714" s="315"/>
      <c r="I3714" s="315"/>
      <c r="BA3714" s="30"/>
      <c r="BB3714" s="155"/>
      <c r="BC3714" s="314"/>
      <c r="BD3714" s="314"/>
      <c r="BE3714" s="314"/>
      <c r="BF3714" s="314"/>
      <c r="BG3714" s="314"/>
      <c r="BH3714" s="314"/>
      <c r="BI3714" s="314"/>
      <c r="BJ3714" s="314"/>
      <c r="BK3714" s="40"/>
      <c r="BL3714" s="40"/>
      <c r="BM3714" s="40"/>
      <c r="BN3714" s="40"/>
      <c r="BO3714" s="40"/>
      <c r="BP3714" s="155"/>
      <c r="BQ3714" s="314"/>
      <c r="BR3714" s="314"/>
      <c r="BS3714" s="314"/>
      <c r="BT3714" s="314"/>
      <c r="BU3714" s="314"/>
      <c r="BV3714" s="314"/>
      <c r="BW3714" s="314"/>
      <c r="BX3714" s="155"/>
    </row>
    <row r="3715" spans="1:76" ht="15.75" customHeight="1">
      <c r="A3715" s="25"/>
      <c r="B3715" s="39"/>
      <c r="C3715" s="155"/>
      <c r="D3715" s="155"/>
      <c r="E3715" s="40"/>
      <c r="F3715" s="314"/>
      <c r="H3715" s="315"/>
      <c r="I3715" s="315"/>
      <c r="BA3715" s="30"/>
      <c r="BB3715" s="155"/>
      <c r="BC3715" s="314"/>
      <c r="BD3715" s="314"/>
      <c r="BE3715" s="314"/>
      <c r="BF3715" s="314"/>
      <c r="BG3715" s="314"/>
      <c r="BH3715" s="314"/>
      <c r="BI3715" s="314"/>
      <c r="BJ3715" s="314"/>
      <c r="BK3715" s="40"/>
      <c r="BL3715" s="40"/>
      <c r="BM3715" s="40"/>
      <c r="BN3715" s="40"/>
      <c r="BO3715" s="40"/>
      <c r="BP3715" s="155"/>
      <c r="BQ3715" s="314"/>
      <c r="BR3715" s="314"/>
      <c r="BS3715" s="314"/>
      <c r="BT3715" s="314"/>
      <c r="BU3715" s="314"/>
      <c r="BV3715" s="314"/>
      <c r="BW3715" s="314"/>
      <c r="BX3715" s="155"/>
    </row>
    <row r="3716" spans="1:76" ht="15.75" customHeight="1">
      <c r="A3716" s="25"/>
      <c r="B3716" s="39"/>
      <c r="C3716" s="155"/>
      <c r="D3716" s="155"/>
      <c r="E3716" s="40"/>
      <c r="F3716" s="314"/>
      <c r="H3716" s="315"/>
      <c r="I3716" s="315"/>
      <c r="BA3716" s="30"/>
      <c r="BB3716" s="155"/>
      <c r="BC3716" s="314"/>
      <c r="BD3716" s="314"/>
      <c r="BE3716" s="314"/>
      <c r="BF3716" s="314"/>
      <c r="BG3716" s="314"/>
      <c r="BH3716" s="314"/>
      <c r="BI3716" s="314"/>
      <c r="BJ3716" s="314"/>
      <c r="BK3716" s="40"/>
      <c r="BL3716" s="40"/>
      <c r="BM3716" s="40"/>
      <c r="BN3716" s="40"/>
      <c r="BO3716" s="40"/>
      <c r="BP3716" s="155"/>
      <c r="BQ3716" s="314"/>
      <c r="BR3716" s="314"/>
      <c r="BS3716" s="314"/>
      <c r="BT3716" s="314"/>
      <c r="BU3716" s="314"/>
      <c r="BV3716" s="314"/>
      <c r="BW3716" s="314"/>
      <c r="BX3716" s="155"/>
    </row>
    <row r="3717" spans="1:76" ht="15.75" customHeight="1">
      <c r="A3717" s="25"/>
      <c r="B3717" s="39"/>
      <c r="C3717" s="155"/>
      <c r="D3717" s="155"/>
      <c r="E3717" s="40"/>
      <c r="F3717" s="314"/>
      <c r="H3717" s="315"/>
      <c r="I3717" s="315"/>
      <c r="BA3717" s="30"/>
      <c r="BB3717" s="155"/>
      <c r="BC3717" s="314"/>
      <c r="BD3717" s="314"/>
      <c r="BE3717" s="314"/>
      <c r="BF3717" s="314"/>
      <c r="BG3717" s="314"/>
      <c r="BH3717" s="314"/>
      <c r="BI3717" s="314"/>
      <c r="BJ3717" s="314"/>
      <c r="BK3717" s="40"/>
      <c r="BL3717" s="40"/>
      <c r="BM3717" s="40"/>
      <c r="BN3717" s="40"/>
      <c r="BO3717" s="40"/>
      <c r="BP3717" s="155"/>
      <c r="BQ3717" s="314"/>
      <c r="BR3717" s="314"/>
      <c r="BS3717" s="314"/>
      <c r="BT3717" s="314"/>
      <c r="BU3717" s="314"/>
      <c r="BV3717" s="314"/>
      <c r="BW3717" s="314"/>
      <c r="BX3717" s="155"/>
    </row>
    <row r="3718" spans="1:76" ht="15.75" customHeight="1">
      <c r="A3718" s="25"/>
      <c r="B3718" s="39"/>
      <c r="C3718" s="155"/>
      <c r="D3718" s="155"/>
      <c r="E3718" s="40"/>
      <c r="F3718" s="314"/>
      <c r="H3718" s="315"/>
      <c r="I3718" s="315"/>
      <c r="BA3718" s="30"/>
      <c r="BB3718" s="155"/>
      <c r="BC3718" s="314"/>
      <c r="BD3718" s="314"/>
      <c r="BE3718" s="314"/>
      <c r="BF3718" s="314"/>
      <c r="BG3718" s="314"/>
      <c r="BH3718" s="314"/>
      <c r="BI3718" s="314"/>
      <c r="BJ3718" s="314"/>
      <c r="BK3718" s="40"/>
      <c r="BL3718" s="40"/>
      <c r="BM3718" s="40"/>
      <c r="BN3718" s="40"/>
      <c r="BO3718" s="40"/>
      <c r="BP3718" s="155"/>
      <c r="BQ3718" s="314"/>
      <c r="BR3718" s="314"/>
      <c r="BS3718" s="314"/>
      <c r="BT3718" s="314"/>
      <c r="BU3718" s="314"/>
      <c r="BV3718" s="314"/>
      <c r="BW3718" s="314"/>
      <c r="BX3718" s="155"/>
    </row>
    <row r="3719" spans="1:76" ht="15.75" customHeight="1">
      <c r="A3719" s="25"/>
      <c r="B3719" s="39"/>
      <c r="C3719" s="155"/>
      <c r="D3719" s="155"/>
      <c r="E3719" s="40"/>
      <c r="F3719" s="314"/>
      <c r="H3719" s="315"/>
      <c r="I3719" s="315"/>
      <c r="BA3719" s="30"/>
      <c r="BB3719" s="155"/>
      <c r="BC3719" s="314"/>
      <c r="BD3719" s="314"/>
      <c r="BE3719" s="314"/>
      <c r="BF3719" s="314"/>
      <c r="BG3719" s="314"/>
      <c r="BH3719" s="314"/>
      <c r="BI3719" s="314"/>
      <c r="BJ3719" s="314"/>
      <c r="BK3719" s="40"/>
      <c r="BL3719" s="40"/>
      <c r="BM3719" s="40"/>
      <c r="BN3719" s="40"/>
      <c r="BO3719" s="40"/>
      <c r="BP3719" s="155"/>
      <c r="BQ3719" s="314"/>
      <c r="BR3719" s="314"/>
      <c r="BS3719" s="314"/>
      <c r="BT3719" s="314"/>
      <c r="BU3719" s="314"/>
      <c r="BV3719" s="314"/>
      <c r="BW3719" s="314"/>
      <c r="BX3719" s="155"/>
    </row>
    <row r="3720" spans="1:76" ht="15.75" customHeight="1">
      <c r="A3720" s="25"/>
      <c r="B3720" s="39"/>
      <c r="C3720" s="155"/>
      <c r="D3720" s="155"/>
      <c r="E3720" s="40"/>
      <c r="F3720" s="314"/>
      <c r="H3720" s="315"/>
      <c r="I3720" s="315"/>
      <c r="BA3720" s="30"/>
      <c r="BB3720" s="155"/>
      <c r="BC3720" s="314"/>
      <c r="BD3720" s="314"/>
      <c r="BE3720" s="314"/>
      <c r="BF3720" s="314"/>
      <c r="BG3720" s="314"/>
      <c r="BH3720" s="314"/>
      <c r="BI3720" s="314"/>
      <c r="BJ3720" s="314"/>
      <c r="BK3720" s="40"/>
      <c r="BL3720" s="40"/>
      <c r="BM3720" s="40"/>
      <c r="BN3720" s="40"/>
      <c r="BO3720" s="40"/>
      <c r="BP3720" s="155"/>
      <c r="BQ3720" s="314"/>
      <c r="BR3720" s="314"/>
      <c r="BS3720" s="314"/>
      <c r="BT3720" s="314"/>
      <c r="BU3720" s="314"/>
      <c r="BV3720" s="314"/>
      <c r="BW3720" s="314"/>
      <c r="BX3720" s="155"/>
    </row>
    <row r="3721" spans="1:76" ht="15.75" customHeight="1">
      <c r="A3721" s="25"/>
      <c r="B3721" s="39"/>
      <c r="C3721" s="155"/>
      <c r="D3721" s="155"/>
      <c r="E3721" s="40"/>
      <c r="F3721" s="314"/>
      <c r="H3721" s="315"/>
      <c r="I3721" s="315"/>
      <c r="BA3721" s="30"/>
      <c r="BB3721" s="155"/>
      <c r="BC3721" s="314"/>
      <c r="BD3721" s="314"/>
      <c r="BE3721" s="314"/>
      <c r="BF3721" s="314"/>
      <c r="BG3721" s="314"/>
      <c r="BH3721" s="314"/>
      <c r="BI3721" s="314"/>
      <c r="BJ3721" s="314"/>
      <c r="BK3721" s="40"/>
      <c r="BL3721" s="40"/>
      <c r="BM3721" s="40"/>
      <c r="BN3721" s="40"/>
      <c r="BO3721" s="40"/>
      <c r="BP3721" s="155"/>
      <c r="BQ3721" s="314"/>
      <c r="BR3721" s="314"/>
      <c r="BS3721" s="314"/>
      <c r="BT3721" s="314"/>
      <c r="BU3721" s="314"/>
      <c r="BV3721" s="314"/>
      <c r="BW3721" s="314"/>
      <c r="BX3721" s="155"/>
    </row>
    <row r="3722" spans="1:76" ht="15.75" customHeight="1">
      <c r="A3722" s="25"/>
      <c r="B3722" s="39"/>
      <c r="C3722" s="155"/>
      <c r="D3722" s="155"/>
      <c r="E3722" s="40"/>
      <c r="F3722" s="314"/>
      <c r="H3722" s="315"/>
      <c r="I3722" s="315"/>
      <c r="BA3722" s="30"/>
      <c r="BB3722" s="155"/>
      <c r="BC3722" s="314"/>
      <c r="BD3722" s="314"/>
      <c r="BE3722" s="314"/>
      <c r="BF3722" s="314"/>
      <c r="BG3722" s="314"/>
      <c r="BH3722" s="314"/>
      <c r="BI3722" s="314"/>
      <c r="BJ3722" s="314"/>
      <c r="BK3722" s="40"/>
      <c r="BL3722" s="40"/>
      <c r="BM3722" s="40"/>
      <c r="BN3722" s="40"/>
      <c r="BO3722" s="40"/>
      <c r="BP3722" s="155"/>
      <c r="BQ3722" s="314"/>
      <c r="BR3722" s="314"/>
      <c r="BS3722" s="314"/>
      <c r="BT3722" s="314"/>
      <c r="BU3722" s="314"/>
      <c r="BV3722" s="314"/>
      <c r="BW3722" s="314"/>
      <c r="BX3722" s="155"/>
    </row>
    <row r="3723" spans="1:76" ht="15.75" customHeight="1">
      <c r="A3723" s="25"/>
      <c r="B3723" s="39"/>
      <c r="C3723" s="155"/>
      <c r="D3723" s="155"/>
      <c r="E3723" s="40"/>
      <c r="F3723" s="314"/>
      <c r="H3723" s="315"/>
      <c r="I3723" s="315"/>
      <c r="BA3723" s="30"/>
      <c r="BB3723" s="155"/>
      <c r="BC3723" s="314"/>
      <c r="BD3723" s="314"/>
      <c r="BE3723" s="314"/>
      <c r="BF3723" s="314"/>
      <c r="BG3723" s="314"/>
      <c r="BH3723" s="314"/>
      <c r="BI3723" s="314"/>
      <c r="BJ3723" s="314"/>
      <c r="BK3723" s="40"/>
      <c r="BL3723" s="40"/>
      <c r="BM3723" s="40"/>
      <c r="BN3723" s="40"/>
      <c r="BO3723" s="40"/>
      <c r="BP3723" s="155"/>
      <c r="BQ3723" s="314"/>
      <c r="BR3723" s="314"/>
      <c r="BS3723" s="314"/>
      <c r="BT3723" s="314"/>
      <c r="BU3723" s="314"/>
      <c r="BV3723" s="314"/>
      <c r="BW3723" s="314"/>
      <c r="BX3723" s="155"/>
    </row>
    <row r="3724" spans="1:76" ht="15.75" customHeight="1">
      <c r="A3724" s="25"/>
      <c r="B3724" s="39"/>
      <c r="C3724" s="155"/>
      <c r="D3724" s="155"/>
      <c r="E3724" s="40"/>
      <c r="F3724" s="314"/>
      <c r="H3724" s="315"/>
      <c r="I3724" s="315"/>
      <c r="BA3724" s="30"/>
      <c r="BB3724" s="155"/>
      <c r="BC3724" s="314"/>
      <c r="BD3724" s="314"/>
      <c r="BE3724" s="314"/>
      <c r="BF3724" s="314"/>
      <c r="BG3724" s="314"/>
      <c r="BH3724" s="314"/>
      <c r="BI3724" s="314"/>
      <c r="BJ3724" s="314"/>
      <c r="BK3724" s="40"/>
      <c r="BL3724" s="40"/>
      <c r="BM3724" s="40"/>
      <c r="BN3724" s="40"/>
      <c r="BO3724" s="40"/>
      <c r="BP3724" s="155"/>
      <c r="BQ3724" s="314"/>
      <c r="BR3724" s="314"/>
      <c r="BS3724" s="314"/>
      <c r="BT3724" s="314"/>
      <c r="BU3724" s="314"/>
      <c r="BV3724" s="314"/>
      <c r="BW3724" s="314"/>
      <c r="BX3724" s="155"/>
    </row>
    <row r="3725" spans="1:76" ht="15.75" customHeight="1">
      <c r="A3725" s="25"/>
      <c r="B3725" s="39"/>
      <c r="C3725" s="155"/>
      <c r="D3725" s="155"/>
      <c r="E3725" s="40"/>
      <c r="F3725" s="314"/>
      <c r="H3725" s="315"/>
      <c r="I3725" s="315"/>
      <c r="BA3725" s="30"/>
      <c r="BB3725" s="155"/>
      <c r="BC3725" s="314"/>
      <c r="BD3725" s="314"/>
      <c r="BE3725" s="314"/>
      <c r="BF3725" s="314"/>
      <c r="BG3725" s="314"/>
      <c r="BH3725" s="314"/>
      <c r="BI3725" s="314"/>
      <c r="BJ3725" s="314"/>
      <c r="BK3725" s="40"/>
      <c r="BL3725" s="40"/>
      <c r="BM3725" s="40"/>
      <c r="BN3725" s="40"/>
      <c r="BO3725" s="40"/>
      <c r="BP3725" s="155"/>
      <c r="BQ3725" s="314"/>
      <c r="BR3725" s="314"/>
      <c r="BS3725" s="314"/>
      <c r="BT3725" s="314"/>
      <c r="BU3725" s="314"/>
      <c r="BV3725" s="314"/>
      <c r="BW3725" s="314"/>
      <c r="BX3725" s="155"/>
    </row>
    <row r="3726" spans="1:76" ht="15.75" customHeight="1">
      <c r="A3726" s="25"/>
      <c r="B3726" s="39"/>
      <c r="C3726" s="155"/>
      <c r="D3726" s="155"/>
      <c r="E3726" s="40"/>
      <c r="F3726" s="314"/>
      <c r="H3726" s="315"/>
      <c r="I3726" s="315"/>
      <c r="BA3726" s="30"/>
      <c r="BB3726" s="155"/>
      <c r="BC3726" s="314"/>
      <c r="BD3726" s="314"/>
      <c r="BE3726" s="314"/>
      <c r="BF3726" s="314"/>
      <c r="BG3726" s="314"/>
      <c r="BH3726" s="314"/>
      <c r="BI3726" s="314"/>
      <c r="BJ3726" s="314"/>
      <c r="BK3726" s="40"/>
      <c r="BL3726" s="40"/>
      <c r="BM3726" s="40"/>
      <c r="BN3726" s="40"/>
      <c r="BO3726" s="40"/>
      <c r="BP3726" s="155"/>
      <c r="BQ3726" s="314"/>
      <c r="BR3726" s="314"/>
      <c r="BS3726" s="314"/>
      <c r="BT3726" s="314"/>
      <c r="BU3726" s="314"/>
      <c r="BV3726" s="314"/>
      <c r="BW3726" s="314"/>
      <c r="BX3726" s="155"/>
    </row>
    <row r="3727" spans="1:76" ht="15.75" customHeight="1">
      <c r="A3727" s="25"/>
      <c r="B3727" s="39"/>
      <c r="C3727" s="155"/>
      <c r="D3727" s="155"/>
      <c r="E3727" s="40"/>
      <c r="F3727" s="314"/>
      <c r="H3727" s="315"/>
      <c r="I3727" s="315"/>
      <c r="BA3727" s="30"/>
      <c r="BB3727" s="155"/>
      <c r="BC3727" s="314"/>
      <c r="BD3727" s="314"/>
      <c r="BE3727" s="314"/>
      <c r="BF3727" s="314"/>
      <c r="BG3727" s="314"/>
      <c r="BH3727" s="314"/>
      <c r="BI3727" s="314"/>
      <c r="BJ3727" s="314"/>
      <c r="BK3727" s="40"/>
      <c r="BL3727" s="40"/>
      <c r="BM3727" s="40"/>
      <c r="BN3727" s="40"/>
      <c r="BO3727" s="40"/>
      <c r="BP3727" s="155"/>
      <c r="BQ3727" s="314"/>
      <c r="BR3727" s="314"/>
      <c r="BS3727" s="314"/>
      <c r="BT3727" s="314"/>
      <c r="BU3727" s="314"/>
      <c r="BV3727" s="314"/>
      <c r="BW3727" s="314"/>
      <c r="BX3727" s="155"/>
    </row>
    <row r="3728" spans="1:76" ht="15.75" customHeight="1">
      <c r="A3728" s="25"/>
      <c r="B3728" s="39"/>
      <c r="C3728" s="155"/>
      <c r="D3728" s="155"/>
      <c r="E3728" s="40"/>
      <c r="F3728" s="314"/>
      <c r="H3728" s="315"/>
      <c r="I3728" s="315"/>
      <c r="BA3728" s="30"/>
      <c r="BB3728" s="155"/>
      <c r="BC3728" s="314"/>
      <c r="BD3728" s="314"/>
      <c r="BE3728" s="314"/>
      <c r="BF3728" s="314"/>
      <c r="BG3728" s="314"/>
      <c r="BH3728" s="314"/>
      <c r="BI3728" s="314"/>
      <c r="BJ3728" s="314"/>
      <c r="BK3728" s="40"/>
      <c r="BL3728" s="40"/>
      <c r="BM3728" s="40"/>
      <c r="BN3728" s="40"/>
      <c r="BO3728" s="40"/>
      <c r="BP3728" s="155"/>
      <c r="BQ3728" s="314"/>
      <c r="BR3728" s="314"/>
      <c r="BS3728" s="314"/>
      <c r="BT3728" s="314"/>
      <c r="BU3728" s="314"/>
      <c r="BV3728" s="314"/>
      <c r="BW3728" s="314"/>
      <c r="BX3728" s="155"/>
    </row>
    <row r="3729" spans="1:76" ht="15.75" customHeight="1">
      <c r="A3729" s="25"/>
      <c r="B3729" s="39"/>
      <c r="C3729" s="155"/>
      <c r="D3729" s="155"/>
      <c r="E3729" s="40"/>
      <c r="F3729" s="314"/>
      <c r="H3729" s="315"/>
      <c r="I3729" s="315"/>
      <c r="BA3729" s="30"/>
      <c r="BB3729" s="155"/>
      <c r="BC3729" s="314"/>
      <c r="BD3729" s="314"/>
      <c r="BE3729" s="314"/>
      <c r="BF3729" s="314"/>
      <c r="BG3729" s="314"/>
      <c r="BH3729" s="314"/>
      <c r="BI3729" s="314"/>
      <c r="BJ3729" s="314"/>
      <c r="BK3729" s="40"/>
      <c r="BL3729" s="40"/>
      <c r="BM3729" s="40"/>
      <c r="BN3729" s="40"/>
      <c r="BO3729" s="40"/>
      <c r="BP3729" s="155"/>
      <c r="BQ3729" s="314"/>
      <c r="BR3729" s="314"/>
      <c r="BS3729" s="314"/>
      <c r="BT3729" s="314"/>
      <c r="BU3729" s="314"/>
      <c r="BV3729" s="314"/>
      <c r="BW3729" s="314"/>
      <c r="BX3729" s="155"/>
    </row>
    <row r="3730" spans="1:76" ht="15.75" customHeight="1">
      <c r="A3730" s="25"/>
      <c r="B3730" s="39"/>
      <c r="C3730" s="155"/>
      <c r="D3730" s="155"/>
      <c r="E3730" s="40"/>
      <c r="F3730" s="314"/>
      <c r="H3730" s="315"/>
      <c r="I3730" s="315"/>
      <c r="BA3730" s="30"/>
      <c r="BB3730" s="155"/>
      <c r="BC3730" s="314"/>
      <c r="BD3730" s="314"/>
      <c r="BE3730" s="314"/>
      <c r="BF3730" s="314"/>
      <c r="BG3730" s="314"/>
      <c r="BH3730" s="314"/>
      <c r="BI3730" s="314"/>
      <c r="BJ3730" s="314"/>
      <c r="BK3730" s="40"/>
      <c r="BL3730" s="40"/>
      <c r="BM3730" s="40"/>
      <c r="BN3730" s="40"/>
      <c r="BO3730" s="40"/>
      <c r="BP3730" s="155"/>
      <c r="BQ3730" s="314"/>
      <c r="BR3730" s="314"/>
      <c r="BS3730" s="314"/>
      <c r="BT3730" s="314"/>
      <c r="BU3730" s="314"/>
      <c r="BV3730" s="314"/>
      <c r="BW3730" s="314"/>
      <c r="BX3730" s="155"/>
    </row>
    <row r="3731" spans="1:76" ht="15.75" customHeight="1">
      <c r="A3731" s="25"/>
      <c r="B3731" s="39"/>
      <c r="C3731" s="155"/>
      <c r="D3731" s="155"/>
      <c r="E3731" s="40"/>
      <c r="F3731" s="314"/>
      <c r="H3731" s="315"/>
      <c r="I3731" s="315"/>
      <c r="BA3731" s="30"/>
      <c r="BB3731" s="155"/>
      <c r="BC3731" s="314"/>
      <c r="BD3731" s="314"/>
      <c r="BE3731" s="314"/>
      <c r="BF3731" s="314"/>
      <c r="BG3731" s="314"/>
      <c r="BH3731" s="314"/>
      <c r="BI3731" s="314"/>
      <c r="BJ3731" s="314"/>
      <c r="BK3731" s="40"/>
      <c r="BL3731" s="40"/>
      <c r="BM3731" s="40"/>
      <c r="BN3731" s="40"/>
      <c r="BO3731" s="40"/>
      <c r="BP3731" s="155"/>
      <c r="BQ3731" s="314"/>
      <c r="BR3731" s="314"/>
      <c r="BS3731" s="314"/>
      <c r="BT3731" s="314"/>
      <c r="BU3731" s="314"/>
      <c r="BV3731" s="314"/>
      <c r="BW3731" s="314"/>
      <c r="BX3731" s="155"/>
    </row>
    <row r="3732" spans="1:76" ht="15.75" customHeight="1">
      <c r="A3732" s="25"/>
      <c r="B3732" s="39"/>
      <c r="C3732" s="155"/>
      <c r="D3732" s="155"/>
      <c r="E3732" s="40"/>
      <c r="F3732" s="314"/>
      <c r="H3732" s="315"/>
      <c r="I3732" s="315"/>
      <c r="BA3732" s="30"/>
      <c r="BB3732" s="155"/>
      <c r="BC3732" s="314"/>
      <c r="BD3732" s="314"/>
      <c r="BE3732" s="314"/>
      <c r="BF3732" s="314"/>
      <c r="BG3732" s="314"/>
      <c r="BH3732" s="314"/>
      <c r="BI3732" s="314"/>
      <c r="BJ3732" s="314"/>
      <c r="BK3732" s="40"/>
      <c r="BL3732" s="40"/>
      <c r="BM3732" s="40"/>
      <c r="BN3732" s="40"/>
      <c r="BO3732" s="40"/>
      <c r="BP3732" s="155"/>
      <c r="BQ3732" s="314"/>
      <c r="BR3732" s="314"/>
      <c r="BS3732" s="314"/>
      <c r="BT3732" s="314"/>
      <c r="BU3732" s="314"/>
      <c r="BV3732" s="314"/>
      <c r="BW3732" s="314"/>
      <c r="BX3732" s="155"/>
    </row>
    <row r="3733" spans="1:76" ht="15.75" customHeight="1">
      <c r="A3733" s="25"/>
      <c r="B3733" s="39"/>
      <c r="C3733" s="155"/>
      <c r="D3733" s="155"/>
      <c r="E3733" s="40"/>
      <c r="F3733" s="314"/>
      <c r="H3733" s="315"/>
      <c r="I3733" s="315"/>
      <c r="BA3733" s="30"/>
      <c r="BB3733" s="155"/>
      <c r="BC3733" s="314"/>
      <c r="BD3733" s="314"/>
      <c r="BE3733" s="314"/>
      <c r="BF3733" s="314"/>
      <c r="BG3733" s="314"/>
      <c r="BH3733" s="314"/>
      <c r="BI3733" s="314"/>
      <c r="BJ3733" s="314"/>
      <c r="BK3733" s="40"/>
      <c r="BL3733" s="40"/>
      <c r="BM3733" s="40"/>
      <c r="BN3733" s="40"/>
      <c r="BO3733" s="40"/>
      <c r="BP3733" s="155"/>
      <c r="BQ3733" s="314"/>
      <c r="BR3733" s="314"/>
      <c r="BS3733" s="314"/>
      <c r="BT3733" s="314"/>
      <c r="BU3733" s="314"/>
      <c r="BV3733" s="314"/>
      <c r="BW3733" s="314"/>
      <c r="BX3733" s="155"/>
    </row>
    <row r="3734" spans="1:76" ht="15.75" customHeight="1">
      <c r="A3734" s="25"/>
      <c r="B3734" s="39"/>
      <c r="C3734" s="155"/>
      <c r="D3734" s="155"/>
      <c r="E3734" s="40"/>
      <c r="F3734" s="314"/>
      <c r="H3734" s="315"/>
      <c r="I3734" s="315"/>
      <c r="BA3734" s="30"/>
      <c r="BB3734" s="155"/>
      <c r="BC3734" s="314"/>
      <c r="BD3734" s="314"/>
      <c r="BE3734" s="314"/>
      <c r="BF3734" s="314"/>
      <c r="BG3734" s="314"/>
      <c r="BH3734" s="314"/>
      <c r="BI3734" s="314"/>
      <c r="BJ3734" s="314"/>
      <c r="BK3734" s="40"/>
      <c r="BL3734" s="40"/>
      <c r="BM3734" s="40"/>
      <c r="BN3734" s="40"/>
      <c r="BO3734" s="40"/>
      <c r="BP3734" s="155"/>
      <c r="BQ3734" s="314"/>
      <c r="BR3734" s="314"/>
      <c r="BS3734" s="314"/>
      <c r="BT3734" s="314"/>
      <c r="BU3734" s="314"/>
      <c r="BV3734" s="314"/>
      <c r="BW3734" s="314"/>
      <c r="BX3734" s="155"/>
    </row>
    <row r="3735" spans="1:76" ht="15.75" customHeight="1">
      <c r="A3735" s="25"/>
      <c r="B3735" s="39"/>
      <c r="C3735" s="155"/>
      <c r="D3735" s="155"/>
      <c r="E3735" s="40"/>
      <c r="F3735" s="314"/>
      <c r="H3735" s="315"/>
      <c r="I3735" s="315"/>
      <c r="BA3735" s="30"/>
      <c r="BB3735" s="155"/>
      <c r="BC3735" s="314"/>
      <c r="BD3735" s="314"/>
      <c r="BE3735" s="314"/>
      <c r="BF3735" s="314"/>
      <c r="BG3735" s="314"/>
      <c r="BH3735" s="314"/>
      <c r="BI3735" s="314"/>
      <c r="BJ3735" s="314"/>
      <c r="BK3735" s="40"/>
      <c r="BL3735" s="40"/>
      <c r="BM3735" s="40"/>
      <c r="BN3735" s="40"/>
      <c r="BO3735" s="40"/>
      <c r="BP3735" s="155"/>
      <c r="BQ3735" s="314"/>
      <c r="BR3735" s="314"/>
      <c r="BS3735" s="314"/>
      <c r="BT3735" s="314"/>
      <c r="BU3735" s="314"/>
      <c r="BV3735" s="314"/>
      <c r="BW3735" s="314"/>
      <c r="BX3735" s="155"/>
    </row>
    <row r="3736" spans="1:76" ht="15.75" customHeight="1">
      <c r="A3736" s="25"/>
      <c r="B3736" s="39"/>
      <c r="C3736" s="155"/>
      <c r="D3736" s="155"/>
      <c r="E3736" s="40"/>
      <c r="F3736" s="314"/>
      <c r="H3736" s="315"/>
      <c r="I3736" s="315"/>
      <c r="BA3736" s="30"/>
      <c r="BB3736" s="155"/>
      <c r="BC3736" s="322"/>
      <c r="BD3736" s="322"/>
      <c r="BE3736" s="322"/>
      <c r="BF3736" s="322"/>
      <c r="BG3736" s="322"/>
      <c r="BH3736" s="322"/>
      <c r="BI3736" s="322"/>
      <c r="BJ3736" s="322"/>
      <c r="BK3736" s="341"/>
      <c r="BL3736" s="40"/>
      <c r="BM3736" s="40"/>
      <c r="BN3736" s="40"/>
      <c r="BO3736" s="40"/>
      <c r="BP3736" s="155"/>
      <c r="BQ3736" s="314"/>
      <c r="BR3736" s="314"/>
      <c r="BS3736" s="314"/>
      <c r="BT3736" s="314"/>
      <c r="BU3736" s="314"/>
      <c r="BV3736" s="314"/>
      <c r="BW3736" s="314"/>
      <c r="BX3736" s="155"/>
    </row>
    <row r="3737" spans="1:76" ht="15.75" customHeight="1">
      <c r="A3737" s="25"/>
      <c r="B3737" s="39"/>
      <c r="C3737" s="155"/>
      <c r="D3737" s="155"/>
      <c r="E3737" s="40"/>
      <c r="F3737" s="314"/>
      <c r="H3737" s="315"/>
      <c r="I3737" s="315"/>
      <c r="BA3737" s="30"/>
      <c r="BB3737" s="155"/>
      <c r="BC3737" s="314"/>
      <c r="BD3737" s="314"/>
      <c r="BE3737" s="314"/>
      <c r="BF3737" s="314"/>
      <c r="BG3737" s="314"/>
      <c r="BH3737" s="314"/>
      <c r="BI3737" s="314"/>
      <c r="BJ3737" s="314"/>
      <c r="BK3737" s="40"/>
      <c r="BL3737" s="40"/>
      <c r="BM3737" s="40"/>
      <c r="BN3737" s="40"/>
      <c r="BO3737" s="40"/>
      <c r="BP3737" s="155"/>
      <c r="BQ3737" s="314"/>
      <c r="BR3737" s="314"/>
      <c r="BS3737" s="314"/>
      <c r="BT3737" s="314"/>
      <c r="BU3737" s="314"/>
      <c r="BV3737" s="314"/>
      <c r="BW3737" s="314"/>
      <c r="BX3737" s="155"/>
    </row>
    <row r="3738" spans="1:76" ht="15.75" customHeight="1">
      <c r="A3738" s="25"/>
      <c r="B3738" s="39"/>
      <c r="C3738" s="155"/>
      <c r="D3738" s="155"/>
      <c r="E3738" s="40"/>
      <c r="F3738" s="314"/>
      <c r="H3738" s="315"/>
      <c r="I3738" s="315"/>
      <c r="BA3738" s="30"/>
      <c r="BB3738" s="155"/>
      <c r="BC3738" s="314"/>
      <c r="BD3738" s="314"/>
      <c r="BE3738" s="314"/>
      <c r="BF3738" s="314"/>
      <c r="BG3738" s="314"/>
      <c r="BH3738" s="314"/>
      <c r="BI3738" s="314"/>
      <c r="BJ3738" s="314"/>
      <c r="BK3738" s="40"/>
      <c r="BL3738" s="40"/>
      <c r="BM3738" s="40"/>
      <c r="BN3738" s="40"/>
      <c r="BO3738" s="40"/>
      <c r="BP3738" s="155"/>
      <c r="BQ3738" s="314"/>
      <c r="BR3738" s="314"/>
      <c r="BS3738" s="314"/>
      <c r="BT3738" s="314"/>
      <c r="BU3738" s="314"/>
      <c r="BV3738" s="314"/>
      <c r="BW3738" s="314"/>
      <c r="BX3738" s="155"/>
    </row>
    <row r="3739" spans="1:76" ht="15.75" customHeight="1">
      <c r="A3739" s="25"/>
      <c r="B3739" s="39"/>
      <c r="C3739" s="155"/>
      <c r="D3739" s="155"/>
      <c r="E3739" s="40"/>
      <c r="F3739" s="314"/>
      <c r="H3739" s="315"/>
      <c r="I3739" s="315"/>
      <c r="BA3739" s="30"/>
      <c r="BB3739" s="155"/>
      <c r="BC3739" s="314"/>
      <c r="BD3739" s="314"/>
      <c r="BE3739" s="314"/>
      <c r="BF3739" s="314"/>
      <c r="BG3739" s="314"/>
      <c r="BH3739" s="314"/>
      <c r="BI3739" s="314"/>
      <c r="BJ3739" s="314"/>
      <c r="BK3739" s="40"/>
      <c r="BL3739" s="40"/>
      <c r="BM3739" s="40"/>
      <c r="BN3739" s="40"/>
      <c r="BO3739" s="40"/>
      <c r="BP3739" s="155"/>
      <c r="BQ3739" s="314"/>
      <c r="BR3739" s="314"/>
      <c r="BS3739" s="314"/>
      <c r="BT3739" s="314"/>
      <c r="BU3739" s="314"/>
      <c r="BV3739" s="314"/>
      <c r="BW3739" s="314"/>
      <c r="BX3739" s="155"/>
    </row>
    <row r="3740" spans="1:76" ht="15.75" customHeight="1">
      <c r="A3740" s="25"/>
      <c r="B3740" s="39"/>
      <c r="C3740" s="155"/>
      <c r="D3740" s="155"/>
      <c r="E3740" s="40"/>
      <c r="F3740" s="314"/>
      <c r="H3740" s="315"/>
      <c r="I3740" s="315"/>
      <c r="BA3740" s="30"/>
      <c r="BB3740" s="155"/>
      <c r="BC3740" s="314"/>
      <c r="BD3740" s="314"/>
      <c r="BE3740" s="314"/>
      <c r="BF3740" s="314"/>
      <c r="BG3740" s="314"/>
      <c r="BH3740" s="314"/>
      <c r="BI3740" s="314"/>
      <c r="BJ3740" s="314"/>
      <c r="BK3740" s="40"/>
      <c r="BL3740" s="40"/>
      <c r="BM3740" s="40"/>
      <c r="BN3740" s="40"/>
      <c r="BO3740" s="40"/>
      <c r="BP3740" s="155"/>
      <c r="BQ3740" s="314"/>
      <c r="BR3740" s="314"/>
      <c r="BS3740" s="314"/>
      <c r="BT3740" s="314"/>
      <c r="BU3740" s="314"/>
      <c r="BV3740" s="314"/>
      <c r="BW3740" s="314"/>
      <c r="BX3740" s="155"/>
    </row>
    <row r="3741" spans="1:76" ht="15.75" customHeight="1">
      <c r="A3741" s="25"/>
      <c r="B3741" s="39"/>
      <c r="C3741" s="155"/>
      <c r="D3741" s="155"/>
      <c r="E3741" s="40"/>
      <c r="F3741" s="314"/>
      <c r="H3741" s="315"/>
      <c r="I3741" s="315"/>
      <c r="BA3741" s="30"/>
      <c r="BB3741" s="155"/>
      <c r="BC3741" s="314"/>
      <c r="BD3741" s="314"/>
      <c r="BE3741" s="314"/>
      <c r="BF3741" s="314"/>
      <c r="BG3741" s="314"/>
      <c r="BH3741" s="314"/>
      <c r="BI3741" s="314"/>
      <c r="BJ3741" s="314"/>
      <c r="BK3741" s="40"/>
      <c r="BL3741" s="40"/>
      <c r="BM3741" s="40"/>
      <c r="BN3741" s="40"/>
      <c r="BO3741" s="40"/>
      <c r="BP3741" s="155"/>
      <c r="BQ3741" s="314"/>
      <c r="BR3741" s="314"/>
      <c r="BS3741" s="314"/>
      <c r="BT3741" s="314"/>
      <c r="BU3741" s="314"/>
      <c r="BV3741" s="314"/>
      <c r="BW3741" s="314"/>
      <c r="BX3741" s="155"/>
    </row>
    <row r="3742" spans="1:76" ht="15.75" customHeight="1">
      <c r="A3742" s="25"/>
      <c r="B3742" s="39"/>
      <c r="C3742" s="155"/>
      <c r="D3742" s="155"/>
      <c r="E3742" s="40"/>
      <c r="F3742" s="314"/>
      <c r="H3742" s="315"/>
      <c r="I3742" s="315"/>
      <c r="BA3742" s="30"/>
      <c r="BB3742" s="155"/>
      <c r="BC3742" s="314"/>
      <c r="BD3742" s="314"/>
      <c r="BE3742" s="314"/>
      <c r="BF3742" s="314"/>
      <c r="BG3742" s="314"/>
      <c r="BH3742" s="314"/>
      <c r="BI3742" s="314"/>
      <c r="BJ3742" s="314"/>
      <c r="BK3742" s="40"/>
      <c r="BL3742" s="40"/>
      <c r="BM3742" s="40"/>
      <c r="BN3742" s="40"/>
      <c r="BO3742" s="40"/>
      <c r="BP3742" s="155"/>
      <c r="BQ3742" s="314"/>
      <c r="BR3742" s="314"/>
      <c r="BS3742" s="314"/>
      <c r="BT3742" s="314"/>
      <c r="BU3742" s="314"/>
      <c r="BV3742" s="314"/>
      <c r="BW3742" s="314"/>
      <c r="BX3742" s="155"/>
    </row>
    <row r="3743" spans="1:76" ht="15.75" customHeight="1">
      <c r="A3743" s="25"/>
      <c r="B3743" s="39"/>
      <c r="C3743" s="155"/>
      <c r="D3743" s="155"/>
      <c r="E3743" s="40"/>
      <c r="F3743" s="314"/>
      <c r="H3743" s="315"/>
      <c r="I3743" s="315"/>
      <c r="BA3743" s="30"/>
      <c r="BB3743" s="155"/>
      <c r="BC3743" s="314"/>
      <c r="BD3743" s="314"/>
      <c r="BE3743" s="314"/>
      <c r="BF3743" s="314"/>
      <c r="BG3743" s="314"/>
      <c r="BH3743" s="314"/>
      <c r="BI3743" s="314"/>
      <c r="BJ3743" s="314"/>
      <c r="BK3743" s="40"/>
      <c r="BL3743" s="40"/>
      <c r="BM3743" s="40"/>
      <c r="BN3743" s="40"/>
      <c r="BO3743" s="40"/>
      <c r="BP3743" s="155"/>
      <c r="BQ3743" s="314"/>
      <c r="BR3743" s="314"/>
      <c r="BS3743" s="314"/>
      <c r="BT3743" s="314"/>
      <c r="BU3743" s="314"/>
      <c r="BV3743" s="314"/>
      <c r="BW3743" s="314"/>
      <c r="BX3743" s="155"/>
    </row>
    <row r="3744" spans="1:76" ht="15.75" customHeight="1">
      <c r="A3744" s="25"/>
      <c r="B3744" s="39"/>
      <c r="C3744" s="155"/>
      <c r="D3744" s="155"/>
      <c r="E3744" s="40"/>
      <c r="F3744" s="314"/>
      <c r="H3744" s="315"/>
      <c r="I3744" s="315"/>
      <c r="BA3744" s="30"/>
      <c r="BB3744" s="155"/>
      <c r="BC3744" s="314"/>
      <c r="BD3744" s="314"/>
      <c r="BE3744" s="314"/>
      <c r="BF3744" s="314"/>
      <c r="BG3744" s="314"/>
      <c r="BH3744" s="314"/>
      <c r="BI3744" s="314"/>
      <c r="BJ3744" s="314"/>
      <c r="BK3744" s="40"/>
      <c r="BL3744" s="40"/>
      <c r="BM3744" s="40"/>
      <c r="BN3744" s="40"/>
      <c r="BO3744" s="40"/>
      <c r="BP3744" s="155"/>
      <c r="BQ3744" s="314"/>
      <c r="BR3744" s="314"/>
      <c r="BS3744" s="314"/>
      <c r="BT3744" s="314"/>
      <c r="BU3744" s="314"/>
      <c r="BV3744" s="314"/>
      <c r="BW3744" s="314"/>
      <c r="BX3744" s="155"/>
    </row>
    <row r="3745" spans="1:76" ht="15.75" customHeight="1">
      <c r="A3745" s="25"/>
      <c r="B3745" s="39"/>
      <c r="C3745" s="155"/>
      <c r="D3745" s="155"/>
      <c r="E3745" s="40"/>
      <c r="F3745" s="314"/>
      <c r="H3745" s="315"/>
      <c r="I3745" s="315"/>
      <c r="BA3745" s="30"/>
      <c r="BB3745" s="155"/>
      <c r="BC3745" s="314"/>
      <c r="BD3745" s="314"/>
      <c r="BE3745" s="314"/>
      <c r="BF3745" s="314"/>
      <c r="BG3745" s="314"/>
      <c r="BH3745" s="314"/>
      <c r="BI3745" s="314"/>
      <c r="BJ3745" s="314"/>
      <c r="BK3745" s="40"/>
      <c r="BL3745" s="40"/>
      <c r="BM3745" s="40"/>
      <c r="BN3745" s="40"/>
      <c r="BO3745" s="40"/>
      <c r="BP3745" s="155"/>
      <c r="BQ3745" s="314"/>
      <c r="BR3745" s="314"/>
      <c r="BS3745" s="314"/>
      <c r="BT3745" s="314"/>
      <c r="BU3745" s="314"/>
      <c r="BV3745" s="314"/>
      <c r="BW3745" s="314"/>
      <c r="BX3745" s="155"/>
    </row>
    <row r="3746" spans="1:76" ht="15.75" customHeight="1">
      <c r="A3746" s="25"/>
      <c r="B3746" s="39"/>
      <c r="C3746" s="155"/>
      <c r="D3746" s="155"/>
      <c r="E3746" s="40"/>
      <c r="F3746" s="314"/>
      <c r="H3746" s="315"/>
      <c r="I3746" s="315"/>
      <c r="BA3746" s="30"/>
      <c r="BB3746" s="155"/>
      <c r="BC3746" s="314"/>
      <c r="BD3746" s="314"/>
      <c r="BE3746" s="314"/>
      <c r="BF3746" s="314"/>
      <c r="BG3746" s="314"/>
      <c r="BH3746" s="314"/>
      <c r="BI3746" s="314"/>
      <c r="BJ3746" s="314"/>
      <c r="BK3746" s="40"/>
      <c r="BL3746" s="40"/>
      <c r="BM3746" s="40"/>
      <c r="BN3746" s="40"/>
      <c r="BO3746" s="40"/>
      <c r="BP3746" s="155"/>
      <c r="BQ3746" s="314"/>
      <c r="BR3746" s="314"/>
      <c r="BS3746" s="314"/>
      <c r="BT3746" s="314"/>
      <c r="BU3746" s="314"/>
      <c r="BV3746" s="314"/>
      <c r="BW3746" s="314"/>
      <c r="BX3746" s="155"/>
    </row>
    <row r="3747" spans="1:76" ht="15.75" customHeight="1">
      <c r="A3747" s="25"/>
      <c r="B3747" s="39"/>
      <c r="C3747" s="155"/>
      <c r="D3747" s="155"/>
      <c r="E3747" s="40"/>
      <c r="F3747" s="314"/>
      <c r="H3747" s="315"/>
      <c r="I3747" s="315"/>
      <c r="BA3747" s="30"/>
      <c r="BB3747" s="155"/>
      <c r="BC3747" s="314"/>
      <c r="BD3747" s="314"/>
      <c r="BE3747" s="314"/>
      <c r="BF3747" s="314"/>
      <c r="BG3747" s="314"/>
      <c r="BH3747" s="314"/>
      <c r="BI3747" s="314"/>
      <c r="BJ3747" s="314"/>
      <c r="BK3747" s="40"/>
      <c r="BL3747" s="40"/>
      <c r="BM3747" s="40"/>
      <c r="BN3747" s="40"/>
      <c r="BO3747" s="40"/>
      <c r="BP3747" s="155"/>
      <c r="BQ3747" s="314"/>
      <c r="BR3747" s="314"/>
      <c r="BS3747" s="314"/>
      <c r="BT3747" s="314"/>
      <c r="BU3747" s="314"/>
      <c r="BV3747" s="314"/>
      <c r="BW3747" s="314"/>
      <c r="BX3747" s="155"/>
    </row>
    <row r="3748" spans="1:76" ht="15.75" customHeight="1">
      <c r="A3748" s="25"/>
      <c r="B3748" s="39"/>
      <c r="C3748" s="155"/>
      <c r="D3748" s="155"/>
      <c r="E3748" s="40"/>
      <c r="F3748" s="314"/>
      <c r="H3748" s="315"/>
      <c r="I3748" s="315"/>
      <c r="BA3748" s="30"/>
      <c r="BB3748" s="155"/>
      <c r="BC3748" s="314"/>
      <c r="BD3748" s="314"/>
      <c r="BE3748" s="314"/>
      <c r="BF3748" s="314"/>
      <c r="BG3748" s="314"/>
      <c r="BH3748" s="314"/>
      <c r="BI3748" s="314"/>
      <c r="BJ3748" s="314"/>
      <c r="BK3748" s="40"/>
      <c r="BL3748" s="40"/>
      <c r="BM3748" s="40"/>
      <c r="BN3748" s="40"/>
      <c r="BO3748" s="40"/>
      <c r="BP3748" s="155"/>
      <c r="BQ3748" s="314"/>
      <c r="BR3748" s="314"/>
      <c r="BS3748" s="314"/>
      <c r="BT3748" s="314"/>
      <c r="BU3748" s="314"/>
      <c r="BV3748" s="314"/>
      <c r="BW3748" s="314"/>
      <c r="BX3748" s="155"/>
    </row>
    <row r="3749" spans="1:76" ht="15.75" customHeight="1">
      <c r="A3749" s="25"/>
      <c r="B3749" s="39"/>
      <c r="C3749" s="155"/>
      <c r="D3749" s="155"/>
      <c r="E3749" s="40"/>
      <c r="F3749" s="314"/>
      <c r="H3749" s="315"/>
      <c r="I3749" s="315"/>
      <c r="BA3749" s="30"/>
      <c r="BB3749" s="155"/>
      <c r="BC3749" s="314"/>
      <c r="BD3749" s="314"/>
      <c r="BE3749" s="314"/>
      <c r="BF3749" s="314"/>
      <c r="BG3749" s="314"/>
      <c r="BH3749" s="314"/>
      <c r="BI3749" s="314"/>
      <c r="BJ3749" s="314"/>
      <c r="BK3749" s="40"/>
      <c r="BL3749" s="40"/>
      <c r="BM3749" s="40"/>
      <c r="BN3749" s="40"/>
      <c r="BO3749" s="40"/>
      <c r="BP3749" s="155"/>
      <c r="BQ3749" s="314"/>
      <c r="BR3749" s="314"/>
      <c r="BS3749" s="314"/>
      <c r="BT3749" s="314"/>
      <c r="BU3749" s="314"/>
      <c r="BV3749" s="314"/>
      <c r="BW3749" s="314"/>
      <c r="BX3749" s="155"/>
    </row>
    <row r="3750" spans="1:76" ht="15.75" customHeight="1">
      <c r="A3750" s="25"/>
      <c r="B3750" s="39"/>
      <c r="C3750" s="155"/>
      <c r="D3750" s="155"/>
      <c r="E3750" s="40"/>
      <c r="F3750" s="314"/>
      <c r="H3750" s="315"/>
      <c r="I3750" s="315"/>
      <c r="BA3750" s="30"/>
      <c r="BB3750" s="155"/>
      <c r="BC3750" s="314"/>
      <c r="BD3750" s="314"/>
      <c r="BE3750" s="314"/>
      <c r="BF3750" s="314"/>
      <c r="BG3750" s="314"/>
      <c r="BH3750" s="314"/>
      <c r="BI3750" s="314"/>
      <c r="BJ3750" s="314"/>
      <c r="BK3750" s="40"/>
      <c r="BL3750" s="40"/>
      <c r="BM3750" s="40"/>
      <c r="BN3750" s="40"/>
      <c r="BO3750" s="40"/>
      <c r="BP3750" s="155"/>
      <c r="BQ3750" s="314"/>
      <c r="BR3750" s="314"/>
      <c r="BS3750" s="314"/>
      <c r="BT3750" s="314"/>
      <c r="BU3750" s="314"/>
      <c r="BV3750" s="314"/>
      <c r="BW3750" s="314"/>
      <c r="BX3750" s="155"/>
    </row>
    <row r="3751" spans="1:76" ht="15.75" customHeight="1">
      <c r="A3751" s="25"/>
      <c r="B3751" s="39"/>
      <c r="C3751" s="155"/>
      <c r="D3751" s="155"/>
      <c r="E3751" s="40"/>
      <c r="F3751" s="314"/>
      <c r="H3751" s="315"/>
      <c r="I3751" s="315"/>
      <c r="BA3751" s="30"/>
      <c r="BB3751" s="155"/>
      <c r="BC3751" s="314"/>
      <c r="BD3751" s="314"/>
      <c r="BE3751" s="314"/>
      <c r="BF3751" s="314"/>
      <c r="BG3751" s="314"/>
      <c r="BH3751" s="314"/>
      <c r="BI3751" s="314"/>
      <c r="BJ3751" s="314"/>
      <c r="BK3751" s="40"/>
      <c r="BL3751" s="40"/>
      <c r="BM3751" s="40"/>
      <c r="BN3751" s="40"/>
      <c r="BO3751" s="40"/>
      <c r="BP3751" s="155"/>
      <c r="BQ3751" s="314"/>
      <c r="BR3751" s="314"/>
      <c r="BS3751" s="314"/>
      <c r="BT3751" s="314"/>
      <c r="BU3751" s="314"/>
      <c r="BV3751" s="314"/>
      <c r="BW3751" s="314"/>
      <c r="BX3751" s="155"/>
    </row>
    <row r="3752" spans="1:76" ht="15.75" customHeight="1">
      <c r="A3752" s="25"/>
      <c r="B3752" s="39"/>
      <c r="C3752" s="155"/>
      <c r="D3752" s="155"/>
      <c r="E3752" s="40"/>
      <c r="F3752" s="314"/>
      <c r="H3752" s="315"/>
      <c r="I3752" s="315"/>
      <c r="BA3752" s="30"/>
      <c r="BB3752" s="155"/>
      <c r="BC3752" s="314"/>
      <c r="BD3752" s="314"/>
      <c r="BE3752" s="314"/>
      <c r="BF3752" s="314"/>
      <c r="BG3752" s="314"/>
      <c r="BH3752" s="314"/>
      <c r="BI3752" s="314"/>
      <c r="BJ3752" s="314"/>
      <c r="BK3752" s="40"/>
      <c r="BL3752" s="40"/>
      <c r="BM3752" s="40"/>
      <c r="BN3752" s="40"/>
      <c r="BO3752" s="40"/>
      <c r="BP3752" s="155"/>
      <c r="BQ3752" s="314"/>
      <c r="BR3752" s="314"/>
      <c r="BS3752" s="314"/>
      <c r="BT3752" s="314"/>
      <c r="BU3752" s="314"/>
      <c r="BV3752" s="314"/>
      <c r="BW3752" s="314"/>
      <c r="BX3752" s="155"/>
    </row>
    <row r="3753" spans="1:76" ht="15.75" customHeight="1">
      <c r="A3753" s="25"/>
      <c r="B3753" s="39"/>
      <c r="C3753" s="155"/>
      <c r="D3753" s="155"/>
      <c r="E3753" s="40"/>
      <c r="F3753" s="314"/>
      <c r="H3753" s="315"/>
      <c r="I3753" s="315"/>
      <c r="BA3753" s="30"/>
      <c r="BB3753" s="155"/>
      <c r="BC3753" s="314"/>
      <c r="BD3753" s="314"/>
      <c r="BE3753" s="314"/>
      <c r="BF3753" s="314"/>
      <c r="BG3753" s="314"/>
      <c r="BH3753" s="314"/>
      <c r="BI3753" s="314"/>
      <c r="BJ3753" s="314"/>
      <c r="BK3753" s="40"/>
      <c r="BL3753" s="40"/>
      <c r="BM3753" s="40"/>
      <c r="BN3753" s="40"/>
      <c r="BO3753" s="40"/>
      <c r="BP3753" s="155"/>
      <c r="BQ3753" s="314"/>
      <c r="BR3753" s="314"/>
      <c r="BS3753" s="314"/>
      <c r="BT3753" s="314"/>
      <c r="BU3753" s="314"/>
      <c r="BV3753" s="314"/>
      <c r="BW3753" s="314"/>
      <c r="BX3753" s="155"/>
    </row>
    <row r="3754" spans="1:76" ht="15.75" customHeight="1">
      <c r="A3754" s="25"/>
      <c r="B3754" s="39"/>
      <c r="C3754" s="155"/>
      <c r="D3754" s="155"/>
      <c r="E3754" s="40"/>
      <c r="F3754" s="314"/>
      <c r="H3754" s="315"/>
      <c r="I3754" s="315"/>
      <c r="BA3754" s="30"/>
      <c r="BB3754" s="155"/>
      <c r="BC3754" s="322"/>
      <c r="BD3754" s="322"/>
      <c r="BE3754" s="322"/>
      <c r="BF3754" s="322"/>
      <c r="BG3754" s="322"/>
      <c r="BH3754" s="322"/>
      <c r="BI3754" s="322"/>
      <c r="BJ3754" s="322"/>
      <c r="BK3754" s="341"/>
      <c r="BL3754" s="40"/>
      <c r="BM3754" s="40"/>
      <c r="BN3754" s="40"/>
      <c r="BO3754" s="40"/>
      <c r="BP3754" s="155"/>
      <c r="BQ3754" s="314"/>
      <c r="BR3754" s="314"/>
      <c r="BS3754" s="314"/>
      <c r="BT3754" s="314"/>
      <c r="BU3754" s="314"/>
      <c r="BV3754" s="314"/>
      <c r="BW3754" s="314"/>
      <c r="BX3754" s="155"/>
    </row>
    <row r="3755" spans="1:76" ht="15.75" customHeight="1">
      <c r="A3755" s="25"/>
      <c r="B3755" s="39"/>
      <c r="C3755" s="155"/>
      <c r="D3755" s="155"/>
      <c r="E3755" s="40"/>
      <c r="F3755" s="314"/>
      <c r="H3755" s="315"/>
      <c r="I3755" s="315"/>
      <c r="BA3755" s="30"/>
      <c r="BB3755" s="155"/>
      <c r="BC3755" s="314"/>
      <c r="BD3755" s="314"/>
      <c r="BE3755" s="314"/>
      <c r="BF3755" s="314"/>
      <c r="BG3755" s="314"/>
      <c r="BH3755" s="314"/>
      <c r="BI3755" s="314"/>
      <c r="BJ3755" s="314"/>
      <c r="BK3755" s="40"/>
      <c r="BL3755" s="40"/>
      <c r="BM3755" s="40"/>
      <c r="BN3755" s="40"/>
      <c r="BO3755" s="40"/>
      <c r="BP3755" s="155"/>
      <c r="BQ3755" s="314"/>
      <c r="BR3755" s="314"/>
      <c r="BS3755" s="314"/>
      <c r="BT3755" s="314"/>
      <c r="BU3755" s="314"/>
      <c r="BV3755" s="314"/>
      <c r="BW3755" s="314"/>
      <c r="BX3755" s="155"/>
    </row>
    <row r="3756" spans="1:76" ht="15.75" customHeight="1">
      <c r="A3756" s="25"/>
      <c r="B3756" s="39"/>
      <c r="C3756" s="155"/>
      <c r="D3756" s="155"/>
      <c r="E3756" s="40"/>
      <c r="F3756" s="314"/>
      <c r="H3756" s="315"/>
      <c r="I3756" s="315"/>
      <c r="BA3756" s="30"/>
      <c r="BB3756" s="155"/>
      <c r="BC3756" s="314"/>
      <c r="BD3756" s="314"/>
      <c r="BE3756" s="314"/>
      <c r="BF3756" s="314"/>
      <c r="BG3756" s="314"/>
      <c r="BH3756" s="314"/>
      <c r="BI3756" s="314"/>
      <c r="BJ3756" s="314"/>
      <c r="BK3756" s="40"/>
      <c r="BL3756" s="40"/>
      <c r="BM3756" s="40"/>
      <c r="BN3756" s="40"/>
      <c r="BO3756" s="40"/>
      <c r="BP3756" s="155"/>
      <c r="BQ3756" s="314"/>
      <c r="BR3756" s="314"/>
      <c r="BS3756" s="314"/>
      <c r="BT3756" s="314"/>
      <c r="BU3756" s="314"/>
      <c r="BV3756" s="314"/>
      <c r="BW3756" s="314"/>
      <c r="BX3756" s="155"/>
    </row>
    <row r="3757" spans="1:76" ht="15.75" customHeight="1">
      <c r="A3757" s="25"/>
      <c r="B3757" s="39"/>
      <c r="C3757" s="155"/>
      <c r="D3757" s="155"/>
      <c r="E3757" s="40"/>
      <c r="F3757" s="314"/>
      <c r="H3757" s="315"/>
      <c r="I3757" s="315"/>
      <c r="BA3757" s="30"/>
      <c r="BB3757" s="155"/>
      <c r="BC3757" s="314"/>
      <c r="BD3757" s="314"/>
      <c r="BE3757" s="314"/>
      <c r="BF3757" s="314"/>
      <c r="BG3757" s="314"/>
      <c r="BH3757" s="314"/>
      <c r="BI3757" s="314"/>
      <c r="BJ3757" s="314"/>
      <c r="BK3757" s="40"/>
      <c r="BL3757" s="40"/>
      <c r="BM3757" s="40"/>
      <c r="BN3757" s="40"/>
      <c r="BO3757" s="40"/>
      <c r="BP3757" s="155"/>
      <c r="BQ3757" s="314"/>
      <c r="BR3757" s="314"/>
      <c r="BS3757" s="314"/>
      <c r="BT3757" s="314"/>
      <c r="BU3757" s="314"/>
      <c r="BV3757" s="314"/>
      <c r="BW3757" s="314"/>
      <c r="BX3757" s="155"/>
    </row>
    <row r="3758" spans="1:76" ht="15.75" customHeight="1">
      <c r="A3758" s="25"/>
      <c r="B3758" s="39"/>
      <c r="C3758" s="155"/>
      <c r="D3758" s="155"/>
      <c r="E3758" s="40"/>
      <c r="F3758" s="314"/>
      <c r="H3758" s="315"/>
      <c r="I3758" s="315"/>
      <c r="BA3758" s="30"/>
      <c r="BB3758" s="155"/>
      <c r="BC3758" s="314"/>
      <c r="BD3758" s="314"/>
      <c r="BE3758" s="314"/>
      <c r="BF3758" s="314"/>
      <c r="BG3758" s="314"/>
      <c r="BH3758" s="314"/>
      <c r="BI3758" s="314"/>
      <c r="BJ3758" s="314"/>
      <c r="BK3758" s="40"/>
      <c r="BL3758" s="40"/>
      <c r="BM3758" s="40"/>
      <c r="BN3758" s="40"/>
      <c r="BO3758" s="40"/>
      <c r="BP3758" s="155"/>
      <c r="BQ3758" s="314"/>
      <c r="BR3758" s="314"/>
      <c r="BS3758" s="314"/>
      <c r="BT3758" s="314"/>
      <c r="BU3758" s="314"/>
      <c r="BV3758" s="314"/>
      <c r="BW3758" s="314"/>
      <c r="BX3758" s="155"/>
    </row>
    <row r="3759" spans="1:76" ht="15.75" customHeight="1">
      <c r="A3759" s="25"/>
      <c r="B3759" s="39"/>
      <c r="C3759" s="155"/>
      <c r="D3759" s="155"/>
      <c r="E3759" s="40"/>
      <c r="F3759" s="314"/>
      <c r="H3759" s="315"/>
      <c r="I3759" s="315"/>
      <c r="BA3759" s="30"/>
      <c r="BB3759" s="155"/>
      <c r="BC3759" s="314"/>
      <c r="BD3759" s="314"/>
      <c r="BE3759" s="314"/>
      <c r="BF3759" s="314"/>
      <c r="BG3759" s="314"/>
      <c r="BH3759" s="314"/>
      <c r="BI3759" s="314"/>
      <c r="BJ3759" s="314"/>
      <c r="BK3759" s="40"/>
      <c r="BL3759" s="40"/>
      <c r="BM3759" s="40"/>
      <c r="BN3759" s="40"/>
      <c r="BO3759" s="40"/>
      <c r="BP3759" s="155"/>
      <c r="BQ3759" s="314"/>
      <c r="BR3759" s="314"/>
      <c r="BS3759" s="314"/>
      <c r="BT3759" s="314"/>
      <c r="BU3759" s="314"/>
      <c r="BV3759" s="314"/>
      <c r="BW3759" s="314"/>
      <c r="BX3759" s="155"/>
    </row>
    <row r="3760" spans="1:76" ht="15.75" customHeight="1">
      <c r="A3760" s="25"/>
      <c r="B3760" s="39"/>
      <c r="C3760" s="155"/>
      <c r="D3760" s="155"/>
      <c r="E3760" s="40"/>
      <c r="F3760" s="314"/>
      <c r="H3760" s="315"/>
      <c r="I3760" s="315"/>
      <c r="BA3760" s="30"/>
      <c r="BB3760" s="155"/>
      <c r="BC3760" s="314"/>
      <c r="BD3760" s="314"/>
      <c r="BE3760" s="314"/>
      <c r="BF3760" s="314"/>
      <c r="BG3760" s="314"/>
      <c r="BH3760" s="314"/>
      <c r="BI3760" s="314"/>
      <c r="BJ3760" s="314"/>
      <c r="BK3760" s="40"/>
      <c r="BL3760" s="40"/>
      <c r="BM3760" s="40"/>
      <c r="BN3760" s="40"/>
      <c r="BO3760" s="40"/>
      <c r="BP3760" s="155"/>
      <c r="BQ3760" s="314"/>
      <c r="BR3760" s="314"/>
      <c r="BS3760" s="314"/>
      <c r="BT3760" s="314"/>
      <c r="BU3760" s="314"/>
      <c r="BV3760" s="314"/>
      <c r="BW3760" s="314"/>
      <c r="BX3760" s="155"/>
    </row>
    <row r="3761" spans="1:76" ht="15.75" customHeight="1">
      <c r="A3761" s="25"/>
      <c r="B3761" s="39"/>
      <c r="C3761" s="155"/>
      <c r="D3761" s="155"/>
      <c r="E3761" s="40"/>
      <c r="F3761" s="314"/>
      <c r="H3761" s="315"/>
      <c r="I3761" s="315"/>
      <c r="BA3761" s="30"/>
      <c r="BB3761" s="155"/>
      <c r="BC3761" s="314"/>
      <c r="BD3761" s="314"/>
      <c r="BE3761" s="314"/>
      <c r="BF3761" s="314"/>
      <c r="BG3761" s="314"/>
      <c r="BH3761" s="314"/>
      <c r="BI3761" s="314"/>
      <c r="BJ3761" s="314"/>
      <c r="BK3761" s="40"/>
      <c r="BL3761" s="40"/>
      <c r="BM3761" s="40"/>
      <c r="BN3761" s="40"/>
      <c r="BO3761" s="40"/>
      <c r="BP3761" s="155"/>
      <c r="BQ3761" s="314"/>
      <c r="BR3761" s="314"/>
      <c r="BS3761" s="314"/>
      <c r="BT3761" s="314"/>
      <c r="BU3761" s="314"/>
      <c r="BV3761" s="314"/>
      <c r="BW3761" s="314"/>
      <c r="BX3761" s="155"/>
    </row>
    <row r="3762" spans="1:76" ht="15.75" customHeight="1">
      <c r="A3762" s="25"/>
      <c r="B3762" s="39"/>
      <c r="C3762" s="155"/>
      <c r="D3762" s="155"/>
      <c r="E3762" s="40"/>
      <c r="F3762" s="314"/>
      <c r="H3762" s="315"/>
      <c r="I3762" s="315"/>
      <c r="BA3762" s="30"/>
      <c r="BB3762" s="155"/>
      <c r="BC3762" s="314"/>
      <c r="BD3762" s="314"/>
      <c r="BE3762" s="314"/>
      <c r="BF3762" s="314"/>
      <c r="BG3762" s="314"/>
      <c r="BH3762" s="314"/>
      <c r="BI3762" s="314"/>
      <c r="BJ3762" s="314"/>
      <c r="BK3762" s="40"/>
      <c r="BL3762" s="40"/>
      <c r="BM3762" s="40"/>
      <c r="BN3762" s="40"/>
      <c r="BO3762" s="40"/>
      <c r="BP3762" s="155"/>
      <c r="BQ3762" s="314"/>
      <c r="BR3762" s="314"/>
      <c r="BS3762" s="314"/>
      <c r="BT3762" s="314"/>
      <c r="BU3762" s="314"/>
      <c r="BV3762" s="314"/>
      <c r="BW3762" s="314"/>
      <c r="BX3762" s="155"/>
    </row>
    <row r="3763" spans="1:76" ht="15.75" customHeight="1">
      <c r="A3763" s="25"/>
      <c r="B3763" s="39"/>
      <c r="C3763" s="155"/>
      <c r="D3763" s="155"/>
      <c r="E3763" s="40"/>
      <c r="F3763" s="314"/>
      <c r="H3763" s="315"/>
      <c r="I3763" s="315"/>
      <c r="BA3763" s="30"/>
      <c r="BB3763" s="155"/>
      <c r="BC3763" s="314"/>
      <c r="BD3763" s="314"/>
      <c r="BE3763" s="314"/>
      <c r="BF3763" s="314"/>
      <c r="BG3763" s="314"/>
      <c r="BH3763" s="314"/>
      <c r="BI3763" s="314"/>
      <c r="BJ3763" s="314"/>
      <c r="BK3763" s="40"/>
      <c r="BL3763" s="40"/>
      <c r="BM3763" s="40"/>
      <c r="BN3763" s="40"/>
      <c r="BO3763" s="40"/>
      <c r="BP3763" s="155"/>
      <c r="BQ3763" s="314"/>
      <c r="BR3763" s="314"/>
      <c r="BS3763" s="314"/>
      <c r="BT3763" s="314"/>
      <c r="BU3763" s="314"/>
      <c r="BV3763" s="314"/>
      <c r="BW3763" s="314"/>
      <c r="BX3763" s="155"/>
    </row>
    <row r="3764" spans="1:76" ht="15.75" customHeight="1">
      <c r="A3764" s="25"/>
      <c r="B3764" s="39"/>
      <c r="C3764" s="155"/>
      <c r="D3764" s="155"/>
      <c r="E3764" s="40"/>
      <c r="F3764" s="314"/>
      <c r="H3764" s="315"/>
      <c r="I3764" s="315"/>
      <c r="BA3764" s="30"/>
      <c r="BB3764" s="155"/>
      <c r="BC3764" s="314"/>
      <c r="BD3764" s="314"/>
      <c r="BE3764" s="314"/>
      <c r="BF3764" s="314"/>
      <c r="BG3764" s="314"/>
      <c r="BH3764" s="314"/>
      <c r="BI3764" s="314"/>
      <c r="BJ3764" s="314"/>
      <c r="BK3764" s="40"/>
      <c r="BL3764" s="40"/>
      <c r="BM3764" s="40"/>
      <c r="BN3764" s="40"/>
      <c r="BO3764" s="40"/>
      <c r="BP3764" s="155"/>
      <c r="BQ3764" s="314"/>
      <c r="BR3764" s="314"/>
      <c r="BS3764" s="314"/>
      <c r="BT3764" s="314"/>
      <c r="BU3764" s="314"/>
      <c r="BV3764" s="314"/>
      <c r="BW3764" s="314"/>
      <c r="BX3764" s="155"/>
    </row>
    <row r="3765" spans="1:76" ht="15.75" customHeight="1">
      <c r="A3765" s="25"/>
      <c r="B3765" s="39"/>
      <c r="C3765" s="155"/>
      <c r="D3765" s="155"/>
      <c r="E3765" s="40"/>
      <c r="F3765" s="314"/>
      <c r="H3765" s="315"/>
      <c r="I3765" s="315"/>
      <c r="BA3765" s="30"/>
      <c r="BB3765" s="155"/>
      <c r="BC3765" s="314"/>
      <c r="BD3765" s="314"/>
      <c r="BE3765" s="314"/>
      <c r="BF3765" s="314"/>
      <c r="BG3765" s="314"/>
      <c r="BH3765" s="314"/>
      <c r="BI3765" s="314"/>
      <c r="BJ3765" s="314"/>
      <c r="BK3765" s="40"/>
      <c r="BL3765" s="40"/>
      <c r="BM3765" s="40"/>
      <c r="BN3765" s="40"/>
      <c r="BO3765" s="40"/>
      <c r="BP3765" s="155"/>
      <c r="BQ3765" s="314"/>
      <c r="BR3765" s="314"/>
      <c r="BS3765" s="314"/>
      <c r="BT3765" s="314"/>
      <c r="BU3765" s="314"/>
      <c r="BV3765" s="314"/>
      <c r="BW3765" s="314"/>
      <c r="BX3765" s="155"/>
    </row>
    <row r="3766" spans="1:76" ht="15.75" customHeight="1">
      <c r="A3766" s="25"/>
      <c r="B3766" s="39"/>
      <c r="C3766" s="155"/>
      <c r="D3766" s="155"/>
      <c r="E3766" s="40"/>
      <c r="F3766" s="314"/>
      <c r="H3766" s="315"/>
      <c r="I3766" s="315"/>
      <c r="BA3766" s="30"/>
      <c r="BB3766" s="155"/>
      <c r="BC3766" s="314"/>
      <c r="BD3766" s="314"/>
      <c r="BE3766" s="314"/>
      <c r="BF3766" s="314"/>
      <c r="BG3766" s="314"/>
      <c r="BH3766" s="314"/>
      <c r="BI3766" s="314"/>
      <c r="BJ3766" s="314"/>
      <c r="BK3766" s="40"/>
      <c r="BL3766" s="40"/>
      <c r="BM3766" s="40"/>
      <c r="BN3766" s="40"/>
      <c r="BO3766" s="40"/>
      <c r="BP3766" s="155"/>
      <c r="BQ3766" s="314"/>
      <c r="BR3766" s="314"/>
      <c r="BS3766" s="314"/>
      <c r="BT3766" s="314"/>
      <c r="BU3766" s="314"/>
      <c r="BV3766" s="314"/>
      <c r="BW3766" s="314"/>
      <c r="BX3766" s="155"/>
    </row>
    <row r="3767" spans="1:76" ht="15.75" customHeight="1">
      <c r="A3767" s="25"/>
      <c r="B3767" s="39"/>
      <c r="C3767" s="155"/>
      <c r="D3767" s="155"/>
      <c r="E3767" s="40"/>
      <c r="F3767" s="314"/>
      <c r="H3767" s="315"/>
      <c r="I3767" s="315"/>
      <c r="BA3767" s="30"/>
      <c r="BB3767" s="155"/>
      <c r="BC3767" s="314"/>
      <c r="BD3767" s="314"/>
      <c r="BE3767" s="314"/>
      <c r="BF3767" s="314"/>
      <c r="BG3767" s="314"/>
      <c r="BH3767" s="314"/>
      <c r="BI3767" s="314"/>
      <c r="BJ3767" s="314"/>
      <c r="BK3767" s="40"/>
      <c r="BL3767" s="40"/>
      <c r="BM3767" s="40"/>
      <c r="BN3767" s="40"/>
      <c r="BO3767" s="40"/>
      <c r="BP3767" s="155"/>
      <c r="BQ3767" s="314"/>
      <c r="BR3767" s="314"/>
      <c r="BS3767" s="314"/>
      <c r="BT3767" s="314"/>
      <c r="BU3767" s="314"/>
      <c r="BV3767" s="314"/>
      <c r="BW3767" s="314"/>
      <c r="BX3767" s="155"/>
    </row>
    <row r="3768" spans="1:76" ht="15.75" customHeight="1">
      <c r="A3768" s="25"/>
      <c r="B3768" s="39"/>
      <c r="C3768" s="155"/>
      <c r="D3768" s="155"/>
      <c r="E3768" s="40"/>
      <c r="F3768" s="314"/>
      <c r="H3768" s="315"/>
      <c r="I3768" s="315"/>
      <c r="BA3768" s="30"/>
      <c r="BB3768" s="155"/>
      <c r="BC3768" s="314"/>
      <c r="BD3768" s="314"/>
      <c r="BE3768" s="314"/>
      <c r="BF3768" s="314"/>
      <c r="BG3768" s="314"/>
      <c r="BH3768" s="314"/>
      <c r="BI3768" s="314"/>
      <c r="BJ3768" s="314"/>
      <c r="BK3768" s="40"/>
      <c r="BL3768" s="40"/>
      <c r="BM3768" s="40"/>
      <c r="BN3768" s="40"/>
      <c r="BO3768" s="40"/>
      <c r="BP3768" s="155"/>
      <c r="BQ3768" s="314"/>
      <c r="BR3768" s="314"/>
      <c r="BS3768" s="314"/>
      <c r="BT3768" s="314"/>
      <c r="BU3768" s="314"/>
      <c r="BV3768" s="314"/>
      <c r="BW3768" s="314"/>
      <c r="BX3768" s="155"/>
    </row>
    <row r="3769" spans="1:76" ht="15.75" customHeight="1">
      <c r="A3769" s="25"/>
      <c r="B3769" s="39"/>
      <c r="C3769" s="155"/>
      <c r="D3769" s="155"/>
      <c r="E3769" s="40"/>
      <c r="F3769" s="314"/>
      <c r="H3769" s="315"/>
      <c r="I3769" s="315"/>
      <c r="BA3769" s="30"/>
      <c r="BB3769" s="155"/>
      <c r="BC3769" s="314"/>
      <c r="BD3769" s="314"/>
      <c r="BE3769" s="314"/>
      <c r="BF3769" s="314"/>
      <c r="BG3769" s="314"/>
      <c r="BH3769" s="314"/>
      <c r="BI3769" s="314"/>
      <c r="BJ3769" s="314"/>
      <c r="BK3769" s="40"/>
      <c r="BL3769" s="40"/>
      <c r="BM3769" s="40"/>
      <c r="BN3769" s="40"/>
      <c r="BO3769" s="40"/>
      <c r="BP3769" s="155"/>
      <c r="BQ3769" s="314"/>
      <c r="BR3769" s="314"/>
      <c r="BS3769" s="314"/>
      <c r="BT3769" s="314"/>
      <c r="BU3769" s="314"/>
      <c r="BV3769" s="314"/>
      <c r="BW3769" s="314"/>
      <c r="BX3769" s="155"/>
    </row>
    <row r="3770" spans="1:76" ht="15.75" customHeight="1">
      <c r="A3770" s="25"/>
      <c r="B3770" s="39"/>
      <c r="C3770" s="155"/>
      <c r="D3770" s="155"/>
      <c r="E3770" s="40"/>
      <c r="F3770" s="314"/>
      <c r="H3770" s="315"/>
      <c r="I3770" s="315"/>
      <c r="BA3770" s="30"/>
      <c r="BB3770" s="155"/>
      <c r="BC3770" s="314"/>
      <c r="BD3770" s="314"/>
      <c r="BE3770" s="314"/>
      <c r="BF3770" s="314"/>
      <c r="BG3770" s="314"/>
      <c r="BH3770" s="314"/>
      <c r="BI3770" s="314"/>
      <c r="BJ3770" s="314"/>
      <c r="BK3770" s="40"/>
      <c r="BL3770" s="40"/>
      <c r="BM3770" s="40"/>
      <c r="BN3770" s="40"/>
      <c r="BO3770" s="40"/>
      <c r="BP3770" s="155"/>
      <c r="BQ3770" s="314"/>
      <c r="BR3770" s="314"/>
      <c r="BS3770" s="314"/>
      <c r="BT3770" s="314"/>
      <c r="BU3770" s="314"/>
      <c r="BV3770" s="314"/>
      <c r="BW3770" s="314"/>
      <c r="BX3770" s="155"/>
    </row>
    <row r="3771" spans="1:76" ht="15.75" customHeight="1">
      <c r="A3771" s="25"/>
      <c r="B3771" s="39"/>
      <c r="C3771" s="155"/>
      <c r="D3771" s="155"/>
      <c r="E3771" s="40"/>
      <c r="F3771" s="314"/>
      <c r="H3771" s="315"/>
      <c r="I3771" s="315"/>
      <c r="BA3771" s="30"/>
      <c r="BB3771" s="155"/>
      <c r="BC3771" s="314"/>
      <c r="BD3771" s="314"/>
      <c r="BE3771" s="314"/>
      <c r="BF3771" s="314"/>
      <c r="BG3771" s="314"/>
      <c r="BH3771" s="314"/>
      <c r="BI3771" s="314"/>
      <c r="BJ3771" s="314"/>
      <c r="BK3771" s="40"/>
      <c r="BL3771" s="40"/>
      <c r="BM3771" s="40"/>
      <c r="BN3771" s="40"/>
      <c r="BO3771" s="40"/>
      <c r="BP3771" s="155"/>
      <c r="BQ3771" s="314"/>
      <c r="BR3771" s="314"/>
      <c r="BS3771" s="314"/>
      <c r="BT3771" s="314"/>
      <c r="BU3771" s="314"/>
      <c r="BV3771" s="314"/>
      <c r="BW3771" s="314"/>
      <c r="BX3771" s="155"/>
    </row>
    <row r="3772" spans="1:76" ht="15.75" customHeight="1">
      <c r="A3772" s="25"/>
      <c r="B3772" s="39"/>
      <c r="C3772" s="155"/>
      <c r="D3772" s="155"/>
      <c r="E3772" s="40"/>
      <c r="F3772" s="314"/>
      <c r="H3772" s="315"/>
      <c r="I3772" s="315"/>
      <c r="BA3772" s="30"/>
      <c r="BB3772" s="155"/>
      <c r="BC3772" s="314"/>
      <c r="BD3772" s="314"/>
      <c r="BE3772" s="314"/>
      <c r="BF3772" s="314"/>
      <c r="BG3772" s="314"/>
      <c r="BH3772" s="314"/>
      <c r="BI3772" s="314"/>
      <c r="BJ3772" s="314"/>
      <c r="BK3772" s="40"/>
      <c r="BL3772" s="40"/>
      <c r="BM3772" s="40"/>
      <c r="BN3772" s="40"/>
      <c r="BO3772" s="40"/>
      <c r="BP3772" s="155"/>
      <c r="BQ3772" s="314"/>
      <c r="BR3772" s="314"/>
      <c r="BS3772" s="314"/>
      <c r="BT3772" s="314"/>
      <c r="BU3772" s="314"/>
      <c r="BV3772" s="314"/>
      <c r="BW3772" s="314"/>
      <c r="BX3772" s="155"/>
    </row>
    <row r="3773" spans="1:76" ht="15.75" customHeight="1">
      <c r="A3773" s="25"/>
      <c r="B3773" s="39"/>
      <c r="C3773" s="155"/>
      <c r="D3773" s="155"/>
      <c r="E3773" s="40"/>
      <c r="F3773" s="314"/>
      <c r="H3773" s="315"/>
      <c r="I3773" s="315"/>
      <c r="BA3773" s="30"/>
      <c r="BB3773" s="155"/>
      <c r="BC3773" s="314"/>
      <c r="BD3773" s="314"/>
      <c r="BE3773" s="314"/>
      <c r="BF3773" s="314"/>
      <c r="BG3773" s="314"/>
      <c r="BH3773" s="314"/>
      <c r="BI3773" s="314"/>
      <c r="BJ3773" s="314"/>
      <c r="BK3773" s="40"/>
      <c r="BL3773" s="40"/>
      <c r="BM3773" s="40"/>
      <c r="BN3773" s="40"/>
      <c r="BO3773" s="40"/>
      <c r="BP3773" s="155"/>
      <c r="BQ3773" s="314"/>
      <c r="BR3773" s="314"/>
      <c r="BS3773" s="314"/>
      <c r="BT3773" s="314"/>
      <c r="BU3773" s="314"/>
      <c r="BV3773" s="314"/>
      <c r="BW3773" s="314"/>
      <c r="BX3773" s="155"/>
    </row>
    <row r="3774" spans="1:76" ht="15.75" customHeight="1">
      <c r="A3774" s="25"/>
      <c r="B3774" s="39"/>
      <c r="C3774" s="155"/>
      <c r="D3774" s="155"/>
      <c r="E3774" s="40"/>
      <c r="F3774" s="314"/>
      <c r="H3774" s="315"/>
      <c r="I3774" s="315"/>
      <c r="BA3774" s="30"/>
      <c r="BB3774" s="155"/>
      <c r="BC3774" s="314"/>
      <c r="BD3774" s="314"/>
      <c r="BE3774" s="314"/>
      <c r="BF3774" s="314"/>
      <c r="BG3774" s="314"/>
      <c r="BH3774" s="314"/>
      <c r="BI3774" s="314"/>
      <c r="BJ3774" s="314"/>
      <c r="BK3774" s="40"/>
      <c r="BL3774" s="40"/>
      <c r="BM3774" s="40"/>
      <c r="BN3774" s="40"/>
      <c r="BO3774" s="40"/>
      <c r="BP3774" s="155"/>
      <c r="BQ3774" s="314"/>
      <c r="BR3774" s="314"/>
      <c r="BS3774" s="314"/>
      <c r="BT3774" s="314"/>
      <c r="BU3774" s="314"/>
      <c r="BV3774" s="314"/>
      <c r="BW3774" s="314"/>
      <c r="BX3774" s="155"/>
    </row>
    <row r="3775" spans="1:76" ht="15.75" customHeight="1">
      <c r="A3775" s="25"/>
      <c r="B3775" s="39"/>
      <c r="C3775" s="155"/>
      <c r="D3775" s="155"/>
      <c r="E3775" s="40"/>
      <c r="F3775" s="314"/>
      <c r="H3775" s="315"/>
      <c r="I3775" s="315"/>
      <c r="BA3775" s="30"/>
      <c r="BB3775" s="155"/>
      <c r="BC3775" s="314"/>
      <c r="BD3775" s="314"/>
      <c r="BE3775" s="314"/>
      <c r="BF3775" s="314"/>
      <c r="BG3775" s="314"/>
      <c r="BH3775" s="314"/>
      <c r="BI3775" s="314"/>
      <c r="BJ3775" s="314"/>
      <c r="BK3775" s="40"/>
      <c r="BL3775" s="40"/>
      <c r="BM3775" s="40"/>
      <c r="BN3775" s="40"/>
      <c r="BO3775" s="40"/>
      <c r="BP3775" s="155"/>
      <c r="BQ3775" s="314"/>
      <c r="BR3775" s="314"/>
      <c r="BS3775" s="314"/>
      <c r="BT3775" s="314"/>
      <c r="BU3775" s="314"/>
      <c r="BV3775" s="314"/>
      <c r="BW3775" s="314"/>
      <c r="BX3775" s="155"/>
    </row>
    <row r="3776" spans="1:76" ht="15.75" customHeight="1">
      <c r="A3776" s="25"/>
      <c r="B3776" s="39"/>
      <c r="C3776" s="155"/>
      <c r="D3776" s="155"/>
      <c r="E3776" s="40"/>
      <c r="F3776" s="314"/>
      <c r="H3776" s="315"/>
      <c r="I3776" s="315"/>
      <c r="BA3776" s="30"/>
      <c r="BB3776" s="155"/>
      <c r="BC3776" s="314"/>
      <c r="BD3776" s="314"/>
      <c r="BE3776" s="314"/>
      <c r="BF3776" s="314"/>
      <c r="BG3776" s="314"/>
      <c r="BH3776" s="314"/>
      <c r="BI3776" s="314"/>
      <c r="BJ3776" s="314"/>
      <c r="BK3776" s="40"/>
      <c r="BL3776" s="40"/>
      <c r="BM3776" s="40"/>
      <c r="BN3776" s="40"/>
      <c r="BO3776" s="40"/>
      <c r="BP3776" s="155"/>
      <c r="BQ3776" s="314"/>
      <c r="BR3776" s="314"/>
      <c r="BS3776" s="314"/>
      <c r="BT3776" s="314"/>
      <c r="BU3776" s="314"/>
      <c r="BV3776" s="314"/>
      <c r="BW3776" s="314"/>
      <c r="BX3776" s="155"/>
    </row>
    <row r="3777" spans="1:76" ht="15.75" customHeight="1">
      <c r="A3777" s="25"/>
      <c r="B3777" s="39"/>
      <c r="C3777" s="155"/>
      <c r="D3777" s="155"/>
      <c r="E3777" s="40"/>
      <c r="F3777" s="314"/>
      <c r="H3777" s="315"/>
      <c r="I3777" s="315"/>
      <c r="BA3777" s="30"/>
      <c r="BB3777" s="155"/>
      <c r="BC3777" s="314"/>
      <c r="BD3777" s="314"/>
      <c r="BE3777" s="314"/>
      <c r="BF3777" s="314"/>
      <c r="BG3777" s="314"/>
      <c r="BH3777" s="314"/>
      <c r="BI3777" s="314"/>
      <c r="BJ3777" s="314"/>
      <c r="BK3777" s="40"/>
      <c r="BL3777" s="40"/>
      <c r="BM3777" s="40"/>
      <c r="BN3777" s="40"/>
      <c r="BO3777" s="40"/>
      <c r="BP3777" s="155"/>
      <c r="BQ3777" s="314"/>
      <c r="BR3777" s="314"/>
      <c r="BS3777" s="314"/>
      <c r="BT3777" s="314"/>
      <c r="BU3777" s="314"/>
      <c r="BV3777" s="314"/>
      <c r="BW3777" s="314"/>
      <c r="BX3777" s="155"/>
    </row>
    <row r="3778" spans="1:76" ht="15.75" customHeight="1">
      <c r="A3778" s="25"/>
      <c r="B3778" s="39"/>
      <c r="C3778" s="155"/>
      <c r="D3778" s="155"/>
      <c r="E3778" s="40"/>
      <c r="F3778" s="314"/>
      <c r="H3778" s="315"/>
      <c r="I3778" s="315"/>
      <c r="BA3778" s="30"/>
      <c r="BB3778" s="155"/>
      <c r="BC3778" s="314"/>
      <c r="BD3778" s="314"/>
      <c r="BE3778" s="314"/>
      <c r="BF3778" s="314"/>
      <c r="BG3778" s="314"/>
      <c r="BH3778" s="314"/>
      <c r="BI3778" s="314"/>
      <c r="BJ3778" s="314"/>
      <c r="BK3778" s="40"/>
      <c r="BL3778" s="40"/>
      <c r="BM3778" s="40"/>
      <c r="BN3778" s="40"/>
      <c r="BO3778" s="40"/>
      <c r="BP3778" s="155"/>
      <c r="BQ3778" s="314"/>
      <c r="BR3778" s="314"/>
      <c r="BS3778" s="314"/>
      <c r="BT3778" s="314"/>
      <c r="BU3778" s="314"/>
      <c r="BV3778" s="314"/>
      <c r="BW3778" s="314"/>
      <c r="BX3778" s="155"/>
    </row>
    <row r="3779" spans="1:76" ht="15.75" customHeight="1">
      <c r="A3779" s="25"/>
      <c r="B3779" s="39"/>
      <c r="C3779" s="155"/>
      <c r="D3779" s="155"/>
      <c r="E3779" s="40"/>
      <c r="F3779" s="314"/>
      <c r="H3779" s="315"/>
      <c r="I3779" s="315"/>
      <c r="BA3779" s="30"/>
      <c r="BB3779" s="155"/>
      <c r="BC3779" s="314"/>
      <c r="BD3779" s="314"/>
      <c r="BE3779" s="314"/>
      <c r="BF3779" s="314"/>
      <c r="BG3779" s="314"/>
      <c r="BH3779" s="314"/>
      <c r="BI3779" s="314"/>
      <c r="BJ3779" s="314"/>
      <c r="BK3779" s="40"/>
      <c r="BL3779" s="40"/>
      <c r="BM3779" s="40"/>
      <c r="BN3779" s="40"/>
      <c r="BO3779" s="40"/>
      <c r="BP3779" s="155"/>
      <c r="BQ3779" s="314"/>
      <c r="BR3779" s="314"/>
      <c r="BS3779" s="314"/>
      <c r="BT3779" s="314"/>
      <c r="BU3779" s="314"/>
      <c r="BV3779" s="314"/>
      <c r="BW3779" s="314"/>
      <c r="BX3779" s="155"/>
    </row>
    <row r="3780" spans="1:76" ht="15.75" customHeight="1">
      <c r="A3780" s="25"/>
      <c r="B3780" s="39"/>
      <c r="C3780" s="155"/>
      <c r="D3780" s="155"/>
      <c r="E3780" s="40"/>
      <c r="F3780" s="314"/>
      <c r="H3780" s="315"/>
      <c r="I3780" s="315"/>
      <c r="BA3780" s="30"/>
      <c r="BB3780" s="155"/>
      <c r="BC3780" s="314"/>
      <c r="BD3780" s="314"/>
      <c r="BE3780" s="314"/>
      <c r="BF3780" s="314"/>
      <c r="BG3780" s="314"/>
      <c r="BH3780" s="314"/>
      <c r="BI3780" s="314"/>
      <c r="BJ3780" s="314"/>
      <c r="BK3780" s="40"/>
      <c r="BL3780" s="40"/>
      <c r="BM3780" s="40"/>
      <c r="BN3780" s="40"/>
      <c r="BO3780" s="40"/>
      <c r="BP3780" s="155"/>
      <c r="BQ3780" s="314"/>
      <c r="BR3780" s="314"/>
      <c r="BS3780" s="314"/>
      <c r="BT3780" s="314"/>
      <c r="BU3780" s="314"/>
      <c r="BV3780" s="314"/>
      <c r="BW3780" s="314"/>
      <c r="BX3780" s="155"/>
    </row>
    <row r="3781" spans="1:76" ht="15.75" customHeight="1">
      <c r="A3781" s="25"/>
      <c r="B3781" s="39"/>
      <c r="C3781" s="155"/>
      <c r="D3781" s="155"/>
      <c r="E3781" s="40"/>
      <c r="F3781" s="314"/>
      <c r="H3781" s="315"/>
      <c r="I3781" s="315"/>
      <c r="BA3781" s="30"/>
      <c r="BB3781" s="155"/>
      <c r="BC3781" s="314"/>
      <c r="BD3781" s="314"/>
      <c r="BE3781" s="314"/>
      <c r="BF3781" s="314"/>
      <c r="BG3781" s="314"/>
      <c r="BH3781" s="314"/>
      <c r="BI3781" s="314"/>
      <c r="BJ3781" s="314"/>
      <c r="BK3781" s="40"/>
      <c r="BL3781" s="40"/>
      <c r="BM3781" s="40"/>
      <c r="BN3781" s="40"/>
      <c r="BO3781" s="40"/>
      <c r="BP3781" s="155"/>
      <c r="BQ3781" s="314"/>
      <c r="BR3781" s="314"/>
      <c r="BS3781" s="314"/>
      <c r="BT3781" s="314"/>
      <c r="BU3781" s="314"/>
      <c r="BV3781" s="314"/>
      <c r="BW3781" s="314"/>
      <c r="BX3781" s="155"/>
    </row>
    <row r="3782" spans="1:76" ht="15.75" customHeight="1">
      <c r="A3782" s="25"/>
      <c r="B3782" s="39"/>
      <c r="C3782" s="155"/>
      <c r="D3782" s="155"/>
      <c r="E3782" s="40"/>
      <c r="F3782" s="314"/>
      <c r="H3782" s="315"/>
      <c r="I3782" s="315"/>
      <c r="BA3782" s="30"/>
      <c r="BB3782" s="155"/>
      <c r="BC3782" s="314"/>
      <c r="BD3782" s="314"/>
      <c r="BE3782" s="314"/>
      <c r="BF3782" s="314"/>
      <c r="BG3782" s="314"/>
      <c r="BH3782" s="314"/>
      <c r="BI3782" s="314"/>
      <c r="BJ3782" s="314"/>
      <c r="BK3782" s="40"/>
      <c r="BL3782" s="40"/>
      <c r="BM3782" s="40"/>
      <c r="BN3782" s="40"/>
      <c r="BO3782" s="40"/>
      <c r="BP3782" s="155"/>
      <c r="BQ3782" s="314"/>
      <c r="BR3782" s="314"/>
      <c r="BS3782" s="314"/>
      <c r="BT3782" s="314"/>
      <c r="BU3782" s="314"/>
      <c r="BV3782" s="314"/>
      <c r="BW3782" s="314"/>
      <c r="BX3782" s="155"/>
    </row>
    <row r="3783" spans="1:76" ht="15.75" customHeight="1">
      <c r="A3783" s="25"/>
      <c r="B3783" s="39"/>
      <c r="C3783" s="155"/>
      <c r="D3783" s="155"/>
      <c r="E3783" s="40"/>
      <c r="F3783" s="314"/>
      <c r="H3783" s="315"/>
      <c r="I3783" s="315"/>
      <c r="BA3783" s="30"/>
      <c r="BB3783" s="155"/>
      <c r="BC3783" s="314"/>
      <c r="BD3783" s="314"/>
      <c r="BE3783" s="314"/>
      <c r="BF3783" s="314"/>
      <c r="BG3783" s="314"/>
      <c r="BH3783" s="314"/>
      <c r="BI3783" s="314"/>
      <c r="BJ3783" s="314"/>
      <c r="BK3783" s="40"/>
      <c r="BL3783" s="40"/>
      <c r="BM3783" s="40"/>
      <c r="BN3783" s="40"/>
      <c r="BO3783" s="40"/>
      <c r="BP3783" s="155"/>
      <c r="BQ3783" s="314"/>
      <c r="BR3783" s="314"/>
      <c r="BS3783" s="314"/>
      <c r="BT3783" s="314"/>
      <c r="BU3783" s="314"/>
      <c r="BV3783" s="314"/>
      <c r="BW3783" s="314"/>
      <c r="BX3783" s="155"/>
    </row>
    <row r="3784" spans="1:76" ht="15.75" customHeight="1">
      <c r="A3784" s="25"/>
      <c r="B3784" s="39"/>
      <c r="C3784" s="155"/>
      <c r="D3784" s="155"/>
      <c r="E3784" s="40"/>
      <c r="F3784" s="314"/>
      <c r="H3784" s="315"/>
      <c r="I3784" s="315"/>
      <c r="BA3784" s="30"/>
      <c r="BB3784" s="155"/>
      <c r="BC3784" s="314"/>
      <c r="BD3784" s="314"/>
      <c r="BE3784" s="314"/>
      <c r="BF3784" s="314"/>
      <c r="BG3784" s="314"/>
      <c r="BH3784" s="314"/>
      <c r="BI3784" s="314"/>
      <c r="BJ3784" s="314"/>
      <c r="BK3784" s="40"/>
      <c r="BL3784" s="40"/>
      <c r="BM3784" s="40"/>
      <c r="BN3784" s="40"/>
      <c r="BO3784" s="40"/>
      <c r="BP3784" s="155"/>
      <c r="BQ3784" s="314"/>
      <c r="BR3784" s="314"/>
      <c r="BS3784" s="314"/>
      <c r="BT3784" s="314"/>
      <c r="BU3784" s="314"/>
      <c r="BV3784" s="314"/>
      <c r="BW3784" s="314"/>
      <c r="BX3784" s="155"/>
    </row>
    <row r="3785" spans="1:76" ht="15.75" customHeight="1">
      <c r="A3785" s="25"/>
      <c r="B3785" s="39"/>
      <c r="C3785" s="155"/>
      <c r="D3785" s="155"/>
      <c r="E3785" s="40"/>
      <c r="F3785" s="314"/>
      <c r="H3785" s="315"/>
      <c r="I3785" s="315"/>
      <c r="BA3785" s="30"/>
      <c r="BB3785" s="155"/>
      <c r="BC3785" s="314"/>
      <c r="BD3785" s="314"/>
      <c r="BE3785" s="314"/>
      <c r="BF3785" s="314"/>
      <c r="BG3785" s="314"/>
      <c r="BH3785" s="314"/>
      <c r="BI3785" s="314"/>
      <c r="BJ3785" s="314"/>
      <c r="BK3785" s="40"/>
      <c r="BL3785" s="40"/>
      <c r="BM3785" s="40"/>
      <c r="BN3785" s="40"/>
      <c r="BO3785" s="40"/>
      <c r="BP3785" s="155"/>
      <c r="BQ3785" s="314"/>
      <c r="BR3785" s="314"/>
      <c r="BS3785" s="314"/>
      <c r="BT3785" s="314"/>
      <c r="BU3785" s="314"/>
      <c r="BV3785" s="314"/>
      <c r="BW3785" s="314"/>
      <c r="BX3785" s="155"/>
    </row>
    <row r="3786" spans="1:76" ht="15.75" customHeight="1">
      <c r="A3786" s="25"/>
      <c r="B3786" s="39"/>
      <c r="C3786" s="155"/>
      <c r="D3786" s="155"/>
      <c r="E3786" s="40"/>
      <c r="F3786" s="314"/>
      <c r="H3786" s="315"/>
      <c r="I3786" s="315"/>
      <c r="BA3786" s="30"/>
      <c r="BB3786" s="155"/>
      <c r="BC3786" s="314"/>
      <c r="BD3786" s="314"/>
      <c r="BE3786" s="314"/>
      <c r="BF3786" s="314"/>
      <c r="BG3786" s="314"/>
      <c r="BH3786" s="314"/>
      <c r="BI3786" s="314"/>
      <c r="BJ3786" s="314"/>
      <c r="BK3786" s="40"/>
      <c r="BL3786" s="40"/>
      <c r="BM3786" s="40"/>
      <c r="BN3786" s="40"/>
      <c r="BO3786" s="40"/>
      <c r="BP3786" s="155"/>
      <c r="BQ3786" s="314"/>
      <c r="BR3786" s="314"/>
      <c r="BS3786" s="314"/>
      <c r="BT3786" s="314"/>
      <c r="BU3786" s="314"/>
      <c r="BV3786" s="314"/>
      <c r="BW3786" s="314"/>
      <c r="BX3786" s="155"/>
    </row>
    <row r="3787" spans="1:76" ht="15.75" customHeight="1">
      <c r="A3787" s="25"/>
      <c r="B3787" s="39"/>
      <c r="C3787" s="155"/>
      <c r="D3787" s="155"/>
      <c r="E3787" s="40"/>
      <c r="F3787" s="314"/>
      <c r="H3787" s="315"/>
      <c r="I3787" s="315"/>
      <c r="BA3787" s="30"/>
      <c r="BB3787" s="155"/>
      <c r="BC3787" s="314"/>
      <c r="BD3787" s="314"/>
      <c r="BE3787" s="314"/>
      <c r="BF3787" s="314"/>
      <c r="BG3787" s="314"/>
      <c r="BH3787" s="314"/>
      <c r="BI3787" s="314"/>
      <c r="BJ3787" s="314"/>
      <c r="BK3787" s="40"/>
      <c r="BL3787" s="40"/>
      <c r="BM3787" s="40"/>
      <c r="BN3787" s="40"/>
      <c r="BO3787" s="40"/>
      <c r="BP3787" s="155"/>
      <c r="BQ3787" s="314"/>
      <c r="BR3787" s="314"/>
      <c r="BS3787" s="314"/>
      <c r="BT3787" s="314"/>
      <c r="BU3787" s="314"/>
      <c r="BV3787" s="314"/>
      <c r="BW3787" s="314"/>
      <c r="BX3787" s="155"/>
    </row>
    <row r="3788" spans="1:76" ht="15.75" customHeight="1">
      <c r="A3788" s="25"/>
      <c r="B3788" s="39"/>
      <c r="C3788" s="155"/>
      <c r="D3788" s="155"/>
      <c r="E3788" s="40"/>
      <c r="F3788" s="314"/>
      <c r="H3788" s="315"/>
      <c r="I3788" s="315"/>
      <c r="BA3788" s="30"/>
      <c r="BB3788" s="155"/>
      <c r="BC3788" s="314"/>
      <c r="BD3788" s="314"/>
      <c r="BE3788" s="314"/>
      <c r="BF3788" s="314"/>
      <c r="BG3788" s="314"/>
      <c r="BH3788" s="314"/>
      <c r="BI3788" s="314"/>
      <c r="BJ3788" s="314"/>
      <c r="BK3788" s="40"/>
      <c r="BL3788" s="40"/>
      <c r="BM3788" s="40"/>
      <c r="BN3788" s="40"/>
      <c r="BO3788" s="40"/>
      <c r="BP3788" s="155"/>
      <c r="BQ3788" s="314"/>
      <c r="BR3788" s="314"/>
      <c r="BS3788" s="314"/>
      <c r="BT3788" s="314"/>
      <c r="BU3788" s="314"/>
      <c r="BV3788" s="314"/>
      <c r="BW3788" s="314"/>
      <c r="BX3788" s="155"/>
    </row>
    <row r="3789" spans="1:76" ht="15.75" customHeight="1">
      <c r="A3789" s="25"/>
      <c r="B3789" s="39"/>
      <c r="C3789" s="155"/>
      <c r="D3789" s="155"/>
      <c r="E3789" s="40"/>
      <c r="F3789" s="314"/>
      <c r="H3789" s="315"/>
      <c r="I3789" s="315"/>
      <c r="BA3789" s="30"/>
      <c r="BB3789" s="155"/>
      <c r="BC3789" s="314"/>
      <c r="BD3789" s="314"/>
      <c r="BE3789" s="314"/>
      <c r="BF3789" s="314"/>
      <c r="BG3789" s="314"/>
      <c r="BH3789" s="314"/>
      <c r="BI3789" s="314"/>
      <c r="BJ3789" s="314"/>
      <c r="BK3789" s="40"/>
      <c r="BL3789" s="40"/>
      <c r="BM3789" s="40"/>
      <c r="BN3789" s="40"/>
      <c r="BO3789" s="40"/>
      <c r="BP3789" s="155"/>
      <c r="BQ3789" s="314"/>
      <c r="BR3789" s="314"/>
      <c r="BS3789" s="314"/>
      <c r="BT3789" s="314"/>
      <c r="BU3789" s="314"/>
      <c r="BV3789" s="314"/>
      <c r="BW3789" s="314"/>
      <c r="BX3789" s="155"/>
    </row>
    <row r="3790" spans="1:76" ht="15.75" customHeight="1">
      <c r="A3790" s="25"/>
      <c r="B3790" s="39"/>
      <c r="C3790" s="155"/>
      <c r="D3790" s="155"/>
      <c r="E3790" s="40"/>
      <c r="F3790" s="314"/>
      <c r="H3790" s="315"/>
      <c r="I3790" s="315"/>
      <c r="BA3790" s="30"/>
      <c r="BB3790" s="155"/>
      <c r="BC3790" s="314"/>
      <c r="BD3790" s="314"/>
      <c r="BE3790" s="314"/>
      <c r="BF3790" s="314"/>
      <c r="BG3790" s="314"/>
      <c r="BH3790" s="314"/>
      <c r="BI3790" s="314"/>
      <c r="BJ3790" s="314"/>
      <c r="BK3790" s="40"/>
      <c r="BL3790" s="40"/>
      <c r="BM3790" s="40"/>
      <c r="BN3790" s="40"/>
      <c r="BO3790" s="40"/>
      <c r="BP3790" s="155"/>
      <c r="BQ3790" s="314"/>
      <c r="BR3790" s="314"/>
      <c r="BS3790" s="314"/>
      <c r="BT3790" s="314"/>
      <c r="BU3790" s="314"/>
      <c r="BV3790" s="314"/>
      <c r="BW3790" s="314"/>
      <c r="BX3790" s="155"/>
    </row>
    <row r="3791" spans="1:76" ht="15.75" customHeight="1">
      <c r="A3791" s="25"/>
      <c r="B3791" s="39"/>
      <c r="C3791" s="155"/>
      <c r="D3791" s="155"/>
      <c r="E3791" s="40"/>
      <c r="F3791" s="314"/>
      <c r="H3791" s="315"/>
      <c r="I3791" s="315"/>
      <c r="BA3791" s="30"/>
      <c r="BB3791" s="155"/>
      <c r="BC3791" s="314"/>
      <c r="BD3791" s="314"/>
      <c r="BE3791" s="314"/>
      <c r="BF3791" s="314"/>
      <c r="BG3791" s="314"/>
      <c r="BH3791" s="314"/>
      <c r="BI3791" s="314"/>
      <c r="BJ3791" s="314"/>
      <c r="BK3791" s="40"/>
      <c r="BL3791" s="40"/>
      <c r="BM3791" s="40"/>
      <c r="BN3791" s="40"/>
      <c r="BO3791" s="40"/>
      <c r="BP3791" s="155"/>
      <c r="BQ3791" s="314"/>
      <c r="BR3791" s="314"/>
      <c r="BS3791" s="314"/>
      <c r="BT3791" s="314"/>
      <c r="BU3791" s="314"/>
      <c r="BV3791" s="314"/>
      <c r="BW3791" s="314"/>
      <c r="BX3791" s="155"/>
    </row>
    <row r="3792" spans="1:76" ht="15.75" customHeight="1">
      <c r="A3792" s="25"/>
      <c r="B3792" s="39"/>
      <c r="C3792" s="155"/>
      <c r="D3792" s="155"/>
      <c r="E3792" s="40"/>
      <c r="F3792" s="314"/>
      <c r="H3792" s="315"/>
      <c r="I3792" s="315"/>
      <c r="BA3792" s="30"/>
      <c r="BB3792" s="155"/>
      <c r="BC3792" s="314"/>
      <c r="BD3792" s="314"/>
      <c r="BE3792" s="314"/>
      <c r="BF3792" s="314"/>
      <c r="BG3792" s="314"/>
      <c r="BH3792" s="314"/>
      <c r="BI3792" s="314"/>
      <c r="BJ3792" s="314"/>
      <c r="BK3792" s="40"/>
      <c r="BL3792" s="40"/>
      <c r="BM3792" s="40"/>
      <c r="BN3792" s="40"/>
      <c r="BO3792" s="40"/>
      <c r="BP3792" s="155"/>
      <c r="BQ3792" s="314"/>
      <c r="BR3792" s="314"/>
      <c r="BS3792" s="314"/>
      <c r="BT3792" s="314"/>
      <c r="BU3792" s="314"/>
      <c r="BV3792" s="314"/>
      <c r="BW3792" s="314"/>
      <c r="BX3792" s="155"/>
    </row>
    <row r="3793" spans="1:76" ht="15.75" customHeight="1">
      <c r="A3793" s="25"/>
      <c r="B3793" s="39"/>
      <c r="C3793" s="155"/>
      <c r="D3793" s="155"/>
      <c r="E3793" s="40"/>
      <c r="F3793" s="314"/>
      <c r="H3793" s="315"/>
      <c r="I3793" s="315"/>
      <c r="BA3793" s="30"/>
      <c r="BB3793" s="155"/>
      <c r="BC3793" s="314"/>
      <c r="BD3793" s="314"/>
      <c r="BE3793" s="314"/>
      <c r="BF3793" s="314"/>
      <c r="BG3793" s="314"/>
      <c r="BH3793" s="314"/>
      <c r="BI3793" s="314"/>
      <c r="BJ3793" s="314"/>
      <c r="BK3793" s="40"/>
      <c r="BL3793" s="40"/>
      <c r="BM3793" s="40"/>
      <c r="BN3793" s="40"/>
      <c r="BO3793" s="40"/>
      <c r="BP3793" s="155"/>
      <c r="BQ3793" s="314"/>
      <c r="BR3793" s="314"/>
      <c r="BS3793" s="314"/>
      <c r="BT3793" s="314"/>
      <c r="BU3793" s="314"/>
      <c r="BV3793" s="314"/>
      <c r="BW3793" s="314"/>
      <c r="BX3793" s="155"/>
    </row>
    <row r="3794" spans="1:76" ht="15.75" customHeight="1">
      <c r="A3794" s="25"/>
      <c r="B3794" s="39"/>
      <c r="C3794" s="155"/>
      <c r="D3794" s="155"/>
      <c r="E3794" s="40"/>
      <c r="F3794" s="314"/>
      <c r="H3794" s="315"/>
      <c r="I3794" s="315"/>
      <c r="BA3794" s="30"/>
      <c r="BB3794" s="155"/>
      <c r="BC3794" s="314"/>
      <c r="BD3794" s="314"/>
      <c r="BE3794" s="314"/>
      <c r="BF3794" s="314"/>
      <c r="BG3794" s="314"/>
      <c r="BH3794" s="314"/>
      <c r="BI3794" s="314"/>
      <c r="BJ3794" s="314"/>
      <c r="BK3794" s="40"/>
      <c r="BL3794" s="40"/>
      <c r="BM3794" s="40"/>
      <c r="BN3794" s="40"/>
      <c r="BO3794" s="40"/>
      <c r="BP3794" s="155"/>
      <c r="BQ3794" s="314"/>
      <c r="BR3794" s="314"/>
      <c r="BS3794" s="314"/>
      <c r="BT3794" s="314"/>
      <c r="BU3794" s="314"/>
      <c r="BV3794" s="314"/>
      <c r="BW3794" s="314"/>
      <c r="BX3794" s="155"/>
    </row>
    <row r="3795" spans="1:76" ht="15.75" customHeight="1">
      <c r="A3795" s="25"/>
      <c r="B3795" s="39"/>
      <c r="C3795" s="155"/>
      <c r="D3795" s="155"/>
      <c r="E3795" s="40"/>
      <c r="F3795" s="314"/>
      <c r="H3795" s="315"/>
      <c r="I3795" s="315"/>
      <c r="BA3795" s="30"/>
      <c r="BB3795" s="155"/>
      <c r="BC3795" s="314"/>
      <c r="BD3795" s="314"/>
      <c r="BE3795" s="314"/>
      <c r="BF3795" s="314"/>
      <c r="BG3795" s="314"/>
      <c r="BH3795" s="314"/>
      <c r="BI3795" s="314"/>
      <c r="BJ3795" s="314"/>
      <c r="BK3795" s="40"/>
      <c r="BL3795" s="40"/>
      <c r="BM3795" s="40"/>
      <c r="BN3795" s="40"/>
      <c r="BO3795" s="40"/>
      <c r="BP3795" s="155"/>
      <c r="BQ3795" s="314"/>
      <c r="BR3795" s="314"/>
      <c r="BS3795" s="314"/>
      <c r="BT3795" s="314"/>
      <c r="BU3795" s="314"/>
      <c r="BV3795" s="314"/>
      <c r="BW3795" s="314"/>
      <c r="BX3795" s="155"/>
    </row>
    <row r="3796" spans="1:76" ht="15.75" customHeight="1">
      <c r="A3796" s="25"/>
      <c r="B3796" s="39"/>
      <c r="C3796" s="155"/>
      <c r="D3796" s="155"/>
      <c r="E3796" s="40"/>
      <c r="F3796" s="314"/>
      <c r="H3796" s="315"/>
      <c r="I3796" s="315"/>
      <c r="BA3796" s="30"/>
      <c r="BB3796" s="155"/>
      <c r="BC3796" s="314"/>
      <c r="BD3796" s="314"/>
      <c r="BE3796" s="314"/>
      <c r="BF3796" s="314"/>
      <c r="BG3796" s="314"/>
      <c r="BH3796" s="314"/>
      <c r="BI3796" s="314"/>
      <c r="BJ3796" s="314"/>
      <c r="BK3796" s="40"/>
      <c r="BL3796" s="40"/>
      <c r="BM3796" s="40"/>
      <c r="BN3796" s="40"/>
      <c r="BO3796" s="40"/>
      <c r="BP3796" s="155"/>
      <c r="BQ3796" s="314"/>
      <c r="BR3796" s="314"/>
      <c r="BS3796" s="314"/>
      <c r="BT3796" s="314"/>
      <c r="BU3796" s="314"/>
      <c r="BV3796" s="314"/>
      <c r="BW3796" s="314"/>
      <c r="BX3796" s="155"/>
    </row>
    <row r="3797" spans="1:76" ht="15.75" customHeight="1">
      <c r="A3797" s="25"/>
      <c r="B3797" s="39"/>
      <c r="C3797" s="155"/>
      <c r="D3797" s="155"/>
      <c r="E3797" s="40"/>
      <c r="F3797" s="314"/>
      <c r="H3797" s="315"/>
      <c r="I3797" s="315"/>
      <c r="BA3797" s="30"/>
      <c r="BB3797" s="155"/>
      <c r="BC3797" s="314"/>
      <c r="BD3797" s="314"/>
      <c r="BE3797" s="314"/>
      <c r="BF3797" s="314"/>
      <c r="BG3797" s="314"/>
      <c r="BH3797" s="314"/>
      <c r="BI3797" s="314"/>
      <c r="BJ3797" s="314"/>
      <c r="BK3797" s="40"/>
      <c r="BL3797" s="40"/>
      <c r="BM3797" s="40"/>
      <c r="BN3797" s="40"/>
      <c r="BO3797" s="40"/>
      <c r="BP3797" s="155"/>
      <c r="BQ3797" s="314"/>
      <c r="BR3797" s="314"/>
      <c r="BS3797" s="314"/>
      <c r="BT3797" s="314"/>
      <c r="BU3797" s="314"/>
      <c r="BV3797" s="314"/>
      <c r="BW3797" s="314"/>
      <c r="BX3797" s="155"/>
    </row>
    <row r="3798" spans="1:76" ht="15.75" customHeight="1">
      <c r="A3798" s="25"/>
      <c r="B3798" s="39"/>
      <c r="C3798" s="155"/>
      <c r="D3798" s="155"/>
      <c r="E3798" s="40"/>
      <c r="F3798" s="314"/>
      <c r="H3798" s="315"/>
      <c r="I3798" s="315"/>
      <c r="BA3798" s="30"/>
      <c r="BB3798" s="155"/>
      <c r="BC3798" s="314"/>
      <c r="BD3798" s="314"/>
      <c r="BE3798" s="314"/>
      <c r="BF3798" s="314"/>
      <c r="BG3798" s="314"/>
      <c r="BH3798" s="314"/>
      <c r="BI3798" s="314"/>
      <c r="BJ3798" s="314"/>
      <c r="BK3798" s="40"/>
      <c r="BL3798" s="40"/>
      <c r="BM3798" s="40"/>
      <c r="BN3798" s="40"/>
      <c r="BO3798" s="40"/>
      <c r="BP3798" s="155"/>
      <c r="BQ3798" s="314"/>
      <c r="BR3798" s="314"/>
      <c r="BS3798" s="314"/>
      <c r="BT3798" s="314"/>
      <c r="BU3798" s="314"/>
      <c r="BV3798" s="314"/>
      <c r="BW3798" s="314"/>
      <c r="BX3798" s="155"/>
    </row>
    <row r="3799" spans="1:76" ht="15.75" customHeight="1">
      <c r="A3799" s="25"/>
      <c r="B3799" s="39"/>
      <c r="C3799" s="155"/>
      <c r="D3799" s="155"/>
      <c r="E3799" s="40"/>
      <c r="F3799" s="314"/>
      <c r="H3799" s="315"/>
      <c r="I3799" s="315"/>
      <c r="BA3799" s="30"/>
      <c r="BB3799" s="155"/>
      <c r="BC3799" s="314"/>
      <c r="BD3799" s="314"/>
      <c r="BE3799" s="314"/>
      <c r="BF3799" s="314"/>
      <c r="BG3799" s="314"/>
      <c r="BH3799" s="314"/>
      <c r="BI3799" s="314"/>
      <c r="BJ3799" s="314"/>
      <c r="BK3799" s="40"/>
      <c r="BL3799" s="40"/>
      <c r="BM3799" s="40"/>
      <c r="BN3799" s="40"/>
      <c r="BO3799" s="40"/>
      <c r="BP3799" s="155"/>
      <c r="BQ3799" s="314"/>
      <c r="BR3799" s="314"/>
      <c r="BS3799" s="314"/>
      <c r="BT3799" s="314"/>
      <c r="BU3799" s="314"/>
      <c r="BV3799" s="314"/>
      <c r="BW3799" s="314"/>
      <c r="BX3799" s="155"/>
    </row>
    <row r="3800" spans="1:76" ht="15.75" customHeight="1">
      <c r="A3800" s="25"/>
      <c r="B3800" s="39"/>
      <c r="C3800" s="155"/>
      <c r="D3800" s="155"/>
      <c r="E3800" s="40"/>
      <c r="F3800" s="314"/>
      <c r="H3800" s="315"/>
      <c r="I3800" s="315"/>
      <c r="BA3800" s="30"/>
      <c r="BB3800" s="155"/>
      <c r="BC3800" s="322"/>
      <c r="BD3800" s="322"/>
      <c r="BE3800" s="322"/>
      <c r="BF3800" s="322"/>
      <c r="BG3800" s="322"/>
      <c r="BH3800" s="322"/>
      <c r="BI3800" s="322"/>
      <c r="BJ3800" s="322"/>
      <c r="BK3800" s="341"/>
      <c r="BL3800" s="40"/>
      <c r="BM3800" s="40"/>
      <c r="BN3800" s="40"/>
      <c r="BO3800" s="40"/>
      <c r="BP3800" s="155"/>
      <c r="BQ3800" s="314"/>
      <c r="BR3800" s="314"/>
      <c r="BS3800" s="314"/>
      <c r="BT3800" s="314"/>
      <c r="BU3800" s="314"/>
      <c r="BV3800" s="314"/>
      <c r="BW3800" s="314"/>
      <c r="BX3800" s="155"/>
    </row>
    <row r="3801" spans="1:76" ht="15.75" customHeight="1">
      <c r="A3801" s="25"/>
      <c r="B3801" s="39"/>
      <c r="C3801" s="155"/>
      <c r="D3801" s="155"/>
      <c r="E3801" s="40"/>
      <c r="F3801" s="314"/>
      <c r="H3801" s="315"/>
      <c r="I3801" s="315"/>
      <c r="BA3801" s="30"/>
      <c r="BB3801" s="155"/>
      <c r="BC3801" s="314"/>
      <c r="BD3801" s="314"/>
      <c r="BE3801" s="314"/>
      <c r="BF3801" s="314"/>
      <c r="BG3801" s="314"/>
      <c r="BH3801" s="314"/>
      <c r="BI3801" s="314"/>
      <c r="BJ3801" s="314"/>
      <c r="BK3801" s="40"/>
      <c r="BL3801" s="40"/>
      <c r="BM3801" s="40"/>
      <c r="BN3801" s="40"/>
      <c r="BO3801" s="40"/>
      <c r="BP3801" s="155"/>
      <c r="BQ3801" s="314"/>
      <c r="BR3801" s="314"/>
      <c r="BS3801" s="314"/>
      <c r="BT3801" s="314"/>
      <c r="BU3801" s="314"/>
      <c r="BV3801" s="314"/>
      <c r="BW3801" s="314"/>
      <c r="BX3801" s="155"/>
    </row>
    <row r="3802" spans="1:76" ht="15.75" customHeight="1">
      <c r="A3802" s="25"/>
      <c r="B3802" s="39"/>
      <c r="C3802" s="155"/>
      <c r="D3802" s="155"/>
      <c r="E3802" s="40"/>
      <c r="F3802" s="314"/>
      <c r="H3802" s="315"/>
      <c r="I3802" s="315"/>
      <c r="BA3802" s="30"/>
      <c r="BB3802" s="155"/>
      <c r="BC3802" s="314"/>
      <c r="BD3802" s="314"/>
      <c r="BE3802" s="314"/>
      <c r="BF3802" s="314"/>
      <c r="BG3802" s="314"/>
      <c r="BH3802" s="314"/>
      <c r="BI3802" s="314"/>
      <c r="BJ3802" s="314"/>
      <c r="BK3802" s="40"/>
      <c r="BL3802" s="40"/>
      <c r="BM3802" s="40"/>
      <c r="BN3802" s="40"/>
      <c r="BO3802" s="40"/>
      <c r="BP3802" s="155"/>
      <c r="BQ3802" s="314"/>
      <c r="BR3802" s="314"/>
      <c r="BS3802" s="314"/>
      <c r="BT3802" s="314"/>
      <c r="BU3802" s="314"/>
      <c r="BV3802" s="314"/>
      <c r="BW3802" s="314"/>
      <c r="BX3802" s="155"/>
    </row>
    <row r="3803" spans="1:76" ht="15.75" customHeight="1">
      <c r="A3803" s="25"/>
      <c r="B3803" s="39"/>
      <c r="C3803" s="155"/>
      <c r="D3803" s="155"/>
      <c r="E3803" s="40"/>
      <c r="F3803" s="314"/>
      <c r="H3803" s="315"/>
      <c r="I3803" s="315"/>
      <c r="BA3803" s="30"/>
      <c r="BB3803" s="155"/>
      <c r="BC3803" s="314"/>
      <c r="BD3803" s="314"/>
      <c r="BE3803" s="314"/>
      <c r="BF3803" s="314"/>
      <c r="BG3803" s="314"/>
      <c r="BH3803" s="314"/>
      <c r="BI3803" s="314"/>
      <c r="BJ3803" s="314"/>
      <c r="BK3803" s="40"/>
      <c r="BL3803" s="40"/>
      <c r="BM3803" s="40"/>
      <c r="BN3803" s="40"/>
      <c r="BO3803" s="40"/>
      <c r="BP3803" s="155"/>
      <c r="BQ3803" s="314"/>
      <c r="BR3803" s="314"/>
      <c r="BS3803" s="314"/>
      <c r="BT3803" s="314"/>
      <c r="BU3803" s="314"/>
      <c r="BV3803" s="314"/>
      <c r="BW3803" s="314"/>
      <c r="BX3803" s="155"/>
    </row>
    <row r="3804" spans="1:76" ht="15.75" customHeight="1">
      <c r="A3804" s="25"/>
      <c r="B3804" s="39"/>
      <c r="C3804" s="155"/>
      <c r="D3804" s="155"/>
      <c r="E3804" s="40"/>
      <c r="F3804" s="314"/>
      <c r="H3804" s="315"/>
      <c r="I3804" s="315"/>
      <c r="BA3804" s="30"/>
      <c r="BB3804" s="155"/>
      <c r="BC3804" s="314"/>
      <c r="BD3804" s="314"/>
      <c r="BE3804" s="314"/>
      <c r="BF3804" s="314"/>
      <c r="BG3804" s="314"/>
      <c r="BH3804" s="314"/>
      <c r="BI3804" s="314"/>
      <c r="BJ3804" s="314"/>
      <c r="BK3804" s="40"/>
      <c r="BL3804" s="40"/>
      <c r="BM3804" s="40"/>
      <c r="BN3804" s="40"/>
      <c r="BO3804" s="40"/>
      <c r="BP3804" s="155"/>
      <c r="BQ3804" s="314"/>
      <c r="BR3804" s="314"/>
      <c r="BS3804" s="314"/>
      <c r="BT3804" s="314"/>
      <c r="BU3804" s="314"/>
      <c r="BV3804" s="314"/>
      <c r="BW3804" s="314"/>
      <c r="BX3804" s="155"/>
    </row>
    <row r="3805" spans="1:76" ht="15.75" customHeight="1">
      <c r="A3805" s="25"/>
      <c r="B3805" s="39"/>
      <c r="C3805" s="155"/>
      <c r="D3805" s="155"/>
      <c r="E3805" s="40"/>
      <c r="F3805" s="314"/>
      <c r="H3805" s="315"/>
      <c r="I3805" s="315"/>
      <c r="BA3805" s="30"/>
      <c r="BB3805" s="155"/>
      <c r="BC3805" s="314"/>
      <c r="BD3805" s="314"/>
      <c r="BE3805" s="314"/>
      <c r="BF3805" s="314"/>
      <c r="BG3805" s="314"/>
      <c r="BH3805" s="314"/>
      <c r="BI3805" s="314"/>
      <c r="BJ3805" s="314"/>
      <c r="BK3805" s="40"/>
      <c r="BL3805" s="40"/>
      <c r="BM3805" s="40"/>
      <c r="BN3805" s="40"/>
      <c r="BO3805" s="40"/>
      <c r="BP3805" s="155"/>
      <c r="BQ3805" s="314"/>
      <c r="BR3805" s="314"/>
      <c r="BS3805" s="314"/>
      <c r="BT3805" s="314"/>
      <c r="BU3805" s="314"/>
      <c r="BV3805" s="314"/>
      <c r="BW3805" s="314"/>
      <c r="BX3805" s="155"/>
    </row>
    <row r="3806" spans="1:76" ht="15.75" customHeight="1">
      <c r="A3806" s="25"/>
      <c r="B3806" s="39"/>
      <c r="C3806" s="155"/>
      <c r="D3806" s="155"/>
      <c r="E3806" s="40"/>
      <c r="F3806" s="314"/>
      <c r="H3806" s="315"/>
      <c r="I3806" s="315"/>
      <c r="BA3806" s="30"/>
      <c r="BB3806" s="155"/>
      <c r="BC3806" s="314"/>
      <c r="BD3806" s="314"/>
      <c r="BE3806" s="314"/>
      <c r="BF3806" s="314"/>
      <c r="BG3806" s="314"/>
      <c r="BH3806" s="314"/>
      <c r="BI3806" s="314"/>
      <c r="BJ3806" s="314"/>
      <c r="BK3806" s="40"/>
      <c r="BL3806" s="40"/>
      <c r="BM3806" s="40"/>
      <c r="BN3806" s="40"/>
      <c r="BO3806" s="40"/>
      <c r="BP3806" s="155"/>
      <c r="BQ3806" s="314"/>
      <c r="BR3806" s="314"/>
      <c r="BS3806" s="314"/>
      <c r="BT3806" s="314"/>
      <c r="BU3806" s="314"/>
      <c r="BV3806" s="314"/>
      <c r="BW3806" s="314"/>
      <c r="BX3806" s="155"/>
    </row>
    <row r="3807" spans="1:76" ht="15.75" customHeight="1">
      <c r="A3807" s="25"/>
      <c r="B3807" s="39"/>
      <c r="C3807" s="155"/>
      <c r="D3807" s="155"/>
      <c r="E3807" s="40"/>
      <c r="F3807" s="314"/>
      <c r="H3807" s="315"/>
      <c r="I3807" s="315"/>
      <c r="BA3807" s="30"/>
      <c r="BB3807" s="155"/>
      <c r="BC3807" s="314"/>
      <c r="BD3807" s="314"/>
      <c r="BE3807" s="314"/>
      <c r="BF3807" s="314"/>
      <c r="BG3807" s="314"/>
      <c r="BH3807" s="314"/>
      <c r="BI3807" s="314"/>
      <c r="BJ3807" s="314"/>
      <c r="BK3807" s="40"/>
      <c r="BL3807" s="40"/>
      <c r="BM3807" s="40"/>
      <c r="BN3807" s="40"/>
      <c r="BO3807" s="40"/>
      <c r="BP3807" s="155"/>
      <c r="BQ3807" s="314"/>
      <c r="BR3807" s="314"/>
      <c r="BS3807" s="314"/>
      <c r="BT3807" s="314"/>
      <c r="BU3807" s="314"/>
      <c r="BV3807" s="314"/>
      <c r="BW3807" s="314"/>
      <c r="BX3807" s="155"/>
    </row>
    <row r="3808" spans="1:76" ht="15.75" customHeight="1">
      <c r="A3808" s="25"/>
      <c r="B3808" s="39"/>
      <c r="C3808" s="155"/>
      <c r="D3808" s="155"/>
      <c r="E3808" s="40"/>
      <c r="F3808" s="314"/>
      <c r="H3808" s="315"/>
      <c r="I3808" s="315"/>
      <c r="BA3808" s="30"/>
      <c r="BB3808" s="155"/>
      <c r="BC3808" s="314"/>
      <c r="BD3808" s="314"/>
      <c r="BE3808" s="314"/>
      <c r="BF3808" s="314"/>
      <c r="BG3808" s="314"/>
      <c r="BH3808" s="314"/>
      <c r="BI3808" s="314"/>
      <c r="BJ3808" s="314"/>
      <c r="BK3808" s="40"/>
      <c r="BL3808" s="40"/>
      <c r="BM3808" s="40"/>
      <c r="BN3808" s="40"/>
      <c r="BO3808" s="40"/>
      <c r="BP3808" s="155"/>
      <c r="BQ3808" s="314"/>
      <c r="BR3808" s="314"/>
      <c r="BS3808" s="314"/>
      <c r="BT3808" s="314"/>
      <c r="BU3808" s="314"/>
      <c r="BV3808" s="314"/>
      <c r="BW3808" s="314"/>
      <c r="BX3808" s="155"/>
    </row>
    <row r="3809" spans="1:76" ht="15.75" customHeight="1">
      <c r="A3809" s="25"/>
      <c r="B3809" s="39"/>
      <c r="C3809" s="155"/>
      <c r="D3809" s="155"/>
      <c r="E3809" s="40"/>
      <c r="F3809" s="314"/>
      <c r="H3809" s="315"/>
      <c r="I3809" s="315"/>
      <c r="BA3809" s="30"/>
      <c r="BB3809" s="155"/>
      <c r="BC3809" s="314"/>
      <c r="BD3809" s="314"/>
      <c r="BE3809" s="314"/>
      <c r="BF3809" s="314"/>
      <c r="BG3809" s="314"/>
      <c r="BH3809" s="314"/>
      <c r="BI3809" s="314"/>
      <c r="BJ3809" s="314"/>
      <c r="BK3809" s="40"/>
      <c r="BL3809" s="40"/>
      <c r="BM3809" s="40"/>
      <c r="BN3809" s="40"/>
      <c r="BO3809" s="40"/>
      <c r="BP3809" s="155"/>
      <c r="BQ3809" s="314"/>
      <c r="BR3809" s="314"/>
      <c r="BS3809" s="314"/>
      <c r="BT3809" s="314"/>
      <c r="BU3809" s="314"/>
      <c r="BV3809" s="314"/>
      <c r="BW3809" s="314"/>
      <c r="BX3809" s="155"/>
    </row>
    <row r="3810" spans="1:76" ht="15.75" customHeight="1">
      <c r="A3810" s="25"/>
      <c r="B3810" s="39"/>
      <c r="C3810" s="155"/>
      <c r="D3810" s="155"/>
      <c r="E3810" s="40"/>
      <c r="F3810" s="314"/>
      <c r="H3810" s="315"/>
      <c r="I3810" s="315"/>
      <c r="BA3810" s="30"/>
      <c r="BB3810" s="155"/>
      <c r="BC3810" s="314"/>
      <c r="BD3810" s="314"/>
      <c r="BE3810" s="314"/>
      <c r="BF3810" s="314"/>
      <c r="BG3810" s="314"/>
      <c r="BH3810" s="314"/>
      <c r="BI3810" s="314"/>
      <c r="BJ3810" s="314"/>
      <c r="BK3810" s="40"/>
      <c r="BL3810" s="40"/>
      <c r="BM3810" s="40"/>
      <c r="BN3810" s="40"/>
      <c r="BO3810" s="40"/>
      <c r="BP3810" s="155"/>
      <c r="BQ3810" s="314"/>
      <c r="BR3810" s="314"/>
      <c r="BS3810" s="314"/>
      <c r="BT3810" s="314"/>
      <c r="BU3810" s="314"/>
      <c r="BV3810" s="314"/>
      <c r="BW3810" s="314"/>
      <c r="BX3810" s="155"/>
    </row>
    <row r="3811" spans="1:76" ht="15.75" customHeight="1">
      <c r="A3811" s="25"/>
      <c r="B3811" s="39"/>
      <c r="C3811" s="155"/>
      <c r="D3811" s="155"/>
      <c r="E3811" s="40"/>
      <c r="F3811" s="314"/>
      <c r="H3811" s="315"/>
      <c r="I3811" s="315"/>
      <c r="BA3811" s="30"/>
      <c r="BB3811" s="155"/>
      <c r="BC3811" s="314"/>
      <c r="BD3811" s="314"/>
      <c r="BE3811" s="314"/>
      <c r="BF3811" s="314"/>
      <c r="BG3811" s="314"/>
      <c r="BH3811" s="314"/>
      <c r="BI3811" s="314"/>
      <c r="BJ3811" s="314"/>
      <c r="BK3811" s="40"/>
      <c r="BL3811" s="40"/>
      <c r="BM3811" s="40"/>
      <c r="BN3811" s="40"/>
      <c r="BO3811" s="40"/>
      <c r="BP3811" s="155"/>
      <c r="BQ3811" s="314"/>
      <c r="BR3811" s="314"/>
      <c r="BS3811" s="314"/>
      <c r="BT3811" s="314"/>
      <c r="BU3811" s="314"/>
      <c r="BV3811" s="314"/>
      <c r="BW3811" s="314"/>
      <c r="BX3811" s="155"/>
    </row>
    <row r="3812" spans="1:76" ht="15.75" customHeight="1">
      <c r="A3812" s="25"/>
      <c r="B3812" s="39"/>
      <c r="C3812" s="155"/>
      <c r="D3812" s="155"/>
      <c r="E3812" s="40"/>
      <c r="F3812" s="314"/>
      <c r="H3812" s="315"/>
      <c r="I3812" s="315"/>
      <c r="BA3812" s="30"/>
      <c r="BB3812" s="155"/>
      <c r="BC3812" s="314"/>
      <c r="BD3812" s="314"/>
      <c r="BE3812" s="314"/>
      <c r="BF3812" s="314"/>
      <c r="BG3812" s="314"/>
      <c r="BH3812" s="314"/>
      <c r="BI3812" s="314"/>
      <c r="BJ3812" s="314"/>
      <c r="BK3812" s="40"/>
      <c r="BL3812" s="40"/>
      <c r="BM3812" s="40"/>
      <c r="BN3812" s="40"/>
      <c r="BO3812" s="40"/>
      <c r="BP3812" s="155"/>
      <c r="BQ3812" s="314"/>
      <c r="BR3812" s="314"/>
      <c r="BS3812" s="314"/>
      <c r="BT3812" s="314"/>
      <c r="BU3812" s="314"/>
      <c r="BV3812" s="314"/>
      <c r="BW3812" s="314"/>
      <c r="BX3812" s="155"/>
    </row>
    <row r="3813" spans="1:76" ht="15.75" customHeight="1">
      <c r="A3813" s="25"/>
      <c r="B3813" s="39"/>
      <c r="C3813" s="155"/>
      <c r="D3813" s="155"/>
      <c r="E3813" s="40"/>
      <c r="F3813" s="314"/>
      <c r="H3813" s="315"/>
      <c r="I3813" s="315"/>
      <c r="BA3813" s="30"/>
      <c r="BB3813" s="155"/>
      <c r="BC3813" s="314"/>
      <c r="BD3813" s="314"/>
      <c r="BE3813" s="314"/>
      <c r="BF3813" s="314"/>
      <c r="BG3813" s="314"/>
      <c r="BH3813" s="314"/>
      <c r="BI3813" s="314"/>
      <c r="BJ3813" s="314"/>
      <c r="BK3813" s="40"/>
      <c r="BL3813" s="40"/>
      <c r="BM3813" s="40"/>
      <c r="BN3813" s="40"/>
      <c r="BO3813" s="40"/>
      <c r="BP3813" s="155"/>
      <c r="BQ3813" s="314"/>
      <c r="BR3813" s="314"/>
      <c r="BS3813" s="314"/>
      <c r="BT3813" s="314"/>
      <c r="BU3813" s="314"/>
      <c r="BV3813" s="314"/>
      <c r="BW3813" s="314"/>
      <c r="BX3813" s="155"/>
    </row>
    <row r="3814" spans="1:76" ht="15.75" customHeight="1">
      <c r="A3814" s="25"/>
      <c r="B3814" s="39"/>
      <c r="C3814" s="155"/>
      <c r="D3814" s="155"/>
      <c r="E3814" s="40"/>
      <c r="F3814" s="314"/>
      <c r="H3814" s="315"/>
      <c r="I3814" s="315"/>
      <c r="BA3814" s="30"/>
      <c r="BB3814" s="155"/>
      <c r="BC3814" s="314"/>
      <c r="BD3814" s="314"/>
      <c r="BE3814" s="314"/>
      <c r="BF3814" s="314"/>
      <c r="BG3814" s="314"/>
      <c r="BH3814" s="314"/>
      <c r="BI3814" s="314"/>
      <c r="BJ3814" s="314"/>
      <c r="BK3814" s="40"/>
      <c r="BL3814" s="40"/>
      <c r="BM3814" s="40"/>
      <c r="BN3814" s="40"/>
      <c r="BO3814" s="40"/>
      <c r="BP3814" s="155"/>
      <c r="BQ3814" s="314"/>
      <c r="BR3814" s="314"/>
      <c r="BS3814" s="314"/>
      <c r="BT3814" s="314"/>
      <c r="BU3814" s="314"/>
      <c r="BV3814" s="314"/>
      <c r="BW3814" s="314"/>
      <c r="BX3814" s="155"/>
    </row>
    <row r="3815" spans="1:76" ht="15.75" customHeight="1">
      <c r="A3815" s="25"/>
      <c r="B3815" s="39"/>
      <c r="C3815" s="155"/>
      <c r="D3815" s="155"/>
      <c r="E3815" s="40"/>
      <c r="F3815" s="314"/>
      <c r="H3815" s="315"/>
      <c r="I3815" s="315"/>
      <c r="BA3815" s="30"/>
      <c r="BB3815" s="155"/>
      <c r="BC3815" s="314"/>
      <c r="BD3815" s="314"/>
      <c r="BE3815" s="314"/>
      <c r="BF3815" s="314"/>
      <c r="BG3815" s="314"/>
      <c r="BH3815" s="314"/>
      <c r="BI3815" s="314"/>
      <c r="BJ3815" s="314"/>
      <c r="BK3815" s="40"/>
      <c r="BL3815" s="40"/>
      <c r="BM3815" s="40"/>
      <c r="BN3815" s="40"/>
      <c r="BO3815" s="40"/>
      <c r="BP3815" s="155"/>
      <c r="BQ3815" s="314"/>
      <c r="BR3815" s="314"/>
      <c r="BS3815" s="314"/>
      <c r="BT3815" s="314"/>
      <c r="BU3815" s="314"/>
      <c r="BV3815" s="314"/>
      <c r="BW3815" s="314"/>
      <c r="BX3815" s="155"/>
    </row>
    <row r="3816" spans="1:76" ht="15.75" customHeight="1">
      <c r="A3816" s="25"/>
      <c r="B3816" s="39"/>
      <c r="C3816" s="155"/>
      <c r="D3816" s="155"/>
      <c r="E3816" s="40"/>
      <c r="F3816" s="314"/>
      <c r="H3816" s="315"/>
      <c r="I3816" s="315"/>
      <c r="BA3816" s="30"/>
      <c r="BB3816" s="155"/>
      <c r="BC3816" s="314"/>
      <c r="BD3816" s="314"/>
      <c r="BE3816" s="314"/>
      <c r="BF3816" s="314"/>
      <c r="BG3816" s="314"/>
      <c r="BH3816" s="314"/>
      <c r="BI3816" s="314"/>
      <c r="BJ3816" s="314"/>
      <c r="BK3816" s="40"/>
      <c r="BL3816" s="40"/>
      <c r="BM3816" s="40"/>
      <c r="BN3816" s="40"/>
      <c r="BO3816" s="40"/>
      <c r="BP3816" s="155"/>
      <c r="BQ3816" s="314"/>
      <c r="BR3816" s="314"/>
      <c r="BS3816" s="314"/>
      <c r="BT3816" s="314"/>
      <c r="BU3816" s="314"/>
      <c r="BV3816" s="314"/>
      <c r="BW3816" s="314"/>
      <c r="BX3816" s="155"/>
    </row>
    <row r="3817" spans="1:76" ht="15.75" customHeight="1">
      <c r="A3817" s="25"/>
      <c r="B3817" s="39"/>
      <c r="C3817" s="155"/>
      <c r="D3817" s="155"/>
      <c r="E3817" s="40"/>
      <c r="F3817" s="314"/>
      <c r="H3817" s="315"/>
      <c r="I3817" s="315"/>
      <c r="BA3817" s="30"/>
      <c r="BB3817" s="155"/>
      <c r="BC3817" s="314"/>
      <c r="BD3817" s="314"/>
      <c r="BE3817" s="314"/>
      <c r="BF3817" s="314"/>
      <c r="BG3817" s="314"/>
      <c r="BH3817" s="314"/>
      <c r="BI3817" s="314"/>
      <c r="BJ3817" s="314"/>
      <c r="BK3817" s="40"/>
      <c r="BL3817" s="40"/>
      <c r="BM3817" s="40"/>
      <c r="BN3817" s="40"/>
      <c r="BO3817" s="40"/>
      <c r="BP3817" s="155"/>
      <c r="BQ3817" s="314"/>
      <c r="BR3817" s="314"/>
      <c r="BS3817" s="314"/>
      <c r="BT3817" s="314"/>
      <c r="BU3817" s="314"/>
      <c r="BV3817" s="314"/>
      <c r="BW3817" s="314"/>
      <c r="BX3817" s="155"/>
    </row>
    <row r="3818" spans="1:76" ht="15.75" customHeight="1">
      <c r="A3818" s="25"/>
      <c r="B3818" s="39"/>
      <c r="C3818" s="155"/>
      <c r="D3818" s="155"/>
      <c r="E3818" s="40"/>
      <c r="F3818" s="314"/>
      <c r="H3818" s="315"/>
      <c r="I3818" s="315"/>
      <c r="BA3818" s="30"/>
      <c r="BB3818" s="155"/>
      <c r="BC3818" s="314"/>
      <c r="BD3818" s="314"/>
      <c r="BE3818" s="314"/>
      <c r="BF3818" s="314"/>
      <c r="BG3818" s="314"/>
      <c r="BH3818" s="314"/>
      <c r="BI3818" s="314"/>
      <c r="BJ3818" s="314"/>
      <c r="BK3818" s="40"/>
      <c r="BL3818" s="40"/>
      <c r="BM3818" s="40"/>
      <c r="BN3818" s="40"/>
      <c r="BO3818" s="40"/>
      <c r="BP3818" s="155"/>
      <c r="BQ3818" s="314"/>
      <c r="BR3818" s="314"/>
      <c r="BS3818" s="314"/>
      <c r="BT3818" s="314"/>
      <c r="BU3818" s="314"/>
      <c r="BV3818" s="314"/>
      <c r="BW3818" s="314"/>
      <c r="BX3818" s="155"/>
    </row>
    <row r="3819" spans="1:76" ht="15.75" customHeight="1">
      <c r="A3819" s="25"/>
      <c r="B3819" s="39"/>
      <c r="C3819" s="155"/>
      <c r="D3819" s="155"/>
      <c r="E3819" s="40"/>
      <c r="F3819" s="314"/>
      <c r="H3819" s="315"/>
      <c r="I3819" s="315"/>
      <c r="BA3819" s="30"/>
      <c r="BB3819" s="155"/>
      <c r="BC3819" s="314"/>
      <c r="BD3819" s="314"/>
      <c r="BE3819" s="314"/>
      <c r="BF3819" s="314"/>
      <c r="BG3819" s="314"/>
      <c r="BH3819" s="314"/>
      <c r="BI3819" s="314"/>
      <c r="BJ3819" s="314"/>
      <c r="BK3819" s="40"/>
      <c r="BL3819" s="40"/>
      <c r="BM3819" s="40"/>
      <c r="BN3819" s="40"/>
      <c r="BO3819" s="40"/>
      <c r="BP3819" s="155"/>
      <c r="BQ3819" s="314"/>
      <c r="BR3819" s="314"/>
      <c r="BS3819" s="314"/>
      <c r="BT3819" s="314"/>
      <c r="BU3819" s="314"/>
      <c r="BV3819" s="314"/>
      <c r="BW3819" s="314"/>
      <c r="BX3819" s="155"/>
    </row>
    <row r="3820" spans="1:76" ht="15.75" customHeight="1">
      <c r="A3820" s="25"/>
      <c r="B3820" s="39"/>
      <c r="C3820" s="155"/>
      <c r="D3820" s="155"/>
      <c r="E3820" s="40"/>
      <c r="F3820" s="314"/>
      <c r="H3820" s="315"/>
      <c r="I3820" s="315"/>
      <c r="BA3820" s="30"/>
      <c r="BB3820" s="155"/>
      <c r="BC3820" s="314"/>
      <c r="BD3820" s="314"/>
      <c r="BE3820" s="314"/>
      <c r="BF3820" s="314"/>
      <c r="BG3820" s="314"/>
      <c r="BH3820" s="314"/>
      <c r="BI3820" s="314"/>
      <c r="BJ3820" s="314"/>
      <c r="BK3820" s="40"/>
      <c r="BL3820" s="40"/>
      <c r="BM3820" s="40"/>
      <c r="BN3820" s="40"/>
      <c r="BO3820" s="40"/>
      <c r="BP3820" s="155"/>
      <c r="BQ3820" s="314"/>
      <c r="BR3820" s="314"/>
      <c r="BS3820" s="314"/>
      <c r="BT3820" s="314"/>
      <c r="BU3820" s="314"/>
      <c r="BV3820" s="314"/>
      <c r="BW3820" s="314"/>
      <c r="BX3820" s="155"/>
    </row>
    <row r="3821" spans="1:76" ht="15.75" customHeight="1">
      <c r="A3821" s="25"/>
      <c r="B3821" s="39"/>
      <c r="C3821" s="155"/>
      <c r="D3821" s="155"/>
      <c r="E3821" s="40"/>
      <c r="F3821" s="314"/>
      <c r="H3821" s="315"/>
      <c r="I3821" s="315"/>
      <c r="BA3821" s="30"/>
      <c r="BB3821" s="155"/>
      <c r="BC3821" s="314"/>
      <c r="BD3821" s="314"/>
      <c r="BE3821" s="314"/>
      <c r="BF3821" s="314"/>
      <c r="BG3821" s="314"/>
      <c r="BH3821" s="314"/>
      <c r="BI3821" s="314"/>
      <c r="BJ3821" s="314"/>
      <c r="BK3821" s="40"/>
      <c r="BL3821" s="40"/>
      <c r="BM3821" s="40"/>
      <c r="BN3821" s="40"/>
      <c r="BO3821" s="40"/>
      <c r="BP3821" s="155"/>
      <c r="BQ3821" s="314"/>
      <c r="BR3821" s="314"/>
      <c r="BS3821" s="314"/>
      <c r="BT3821" s="314"/>
      <c r="BU3821" s="314"/>
      <c r="BV3821" s="314"/>
      <c r="BW3821" s="314"/>
      <c r="BX3821" s="155"/>
    </row>
    <row r="3822" spans="1:76" ht="15.75" customHeight="1">
      <c r="A3822" s="25"/>
      <c r="B3822" s="39"/>
      <c r="C3822" s="155"/>
      <c r="D3822" s="155"/>
      <c r="E3822" s="40"/>
      <c r="F3822" s="314"/>
      <c r="H3822" s="315"/>
      <c r="I3822" s="315"/>
      <c r="BA3822" s="30"/>
      <c r="BB3822" s="155"/>
      <c r="BC3822" s="314"/>
      <c r="BD3822" s="314"/>
      <c r="BE3822" s="314"/>
      <c r="BF3822" s="314"/>
      <c r="BG3822" s="314"/>
      <c r="BH3822" s="314"/>
      <c r="BI3822" s="314"/>
      <c r="BJ3822" s="314"/>
      <c r="BK3822" s="40"/>
      <c r="BL3822" s="40"/>
      <c r="BM3822" s="40"/>
      <c r="BN3822" s="40"/>
      <c r="BO3822" s="40"/>
      <c r="BP3822" s="155"/>
      <c r="BQ3822" s="314"/>
      <c r="BR3822" s="314"/>
      <c r="BS3822" s="314"/>
      <c r="BT3822" s="314"/>
      <c r="BU3822" s="314"/>
      <c r="BV3822" s="314"/>
      <c r="BW3822" s="314"/>
      <c r="BX3822" s="155"/>
    </row>
    <row r="3823" spans="1:76" ht="15.75" customHeight="1">
      <c r="A3823" s="25"/>
      <c r="B3823" s="39"/>
      <c r="C3823" s="155"/>
      <c r="D3823" s="155"/>
      <c r="E3823" s="40"/>
      <c r="F3823" s="314"/>
      <c r="H3823" s="315"/>
      <c r="I3823" s="315"/>
      <c r="BA3823" s="30"/>
      <c r="BB3823" s="155"/>
      <c r="BC3823" s="314"/>
      <c r="BD3823" s="314"/>
      <c r="BE3823" s="314"/>
      <c r="BF3823" s="314"/>
      <c r="BG3823" s="314"/>
      <c r="BH3823" s="314"/>
      <c r="BI3823" s="314"/>
      <c r="BJ3823" s="314"/>
      <c r="BK3823" s="40"/>
      <c r="BL3823" s="40"/>
      <c r="BM3823" s="40"/>
      <c r="BN3823" s="40"/>
      <c r="BO3823" s="40"/>
      <c r="BP3823" s="155"/>
      <c r="BQ3823" s="314"/>
      <c r="BR3823" s="314"/>
      <c r="BS3823" s="314"/>
      <c r="BT3823" s="314"/>
      <c r="BU3823" s="314"/>
      <c r="BV3823" s="314"/>
      <c r="BW3823" s="314"/>
      <c r="BX3823" s="155"/>
    </row>
    <row r="3824" spans="1:76" ht="15.75" customHeight="1">
      <c r="A3824" s="25"/>
      <c r="B3824" s="39"/>
      <c r="C3824" s="155"/>
      <c r="D3824" s="155"/>
      <c r="E3824" s="40"/>
      <c r="F3824" s="314"/>
      <c r="H3824" s="315"/>
      <c r="I3824" s="315"/>
      <c r="BA3824" s="30"/>
      <c r="BB3824" s="155"/>
      <c r="BC3824" s="314"/>
      <c r="BD3824" s="314"/>
      <c r="BE3824" s="314"/>
      <c r="BF3824" s="314"/>
      <c r="BG3824" s="314"/>
      <c r="BH3824" s="314"/>
      <c r="BI3824" s="314"/>
      <c r="BJ3824" s="314"/>
      <c r="BK3824" s="40"/>
      <c r="BL3824" s="40"/>
      <c r="BM3824" s="40"/>
      <c r="BN3824" s="40"/>
      <c r="BO3824" s="40"/>
      <c r="BP3824" s="155"/>
      <c r="BQ3824" s="314"/>
      <c r="BR3824" s="314"/>
      <c r="BS3824" s="314"/>
      <c r="BT3824" s="314"/>
      <c r="BU3824" s="314"/>
      <c r="BV3824" s="314"/>
      <c r="BW3824" s="314"/>
      <c r="BX3824" s="155"/>
    </row>
    <row r="3825" spans="1:76" ht="15.75" customHeight="1">
      <c r="A3825" s="25"/>
      <c r="B3825" s="39"/>
      <c r="C3825" s="155"/>
      <c r="D3825" s="155"/>
      <c r="E3825" s="40"/>
      <c r="F3825" s="314"/>
      <c r="H3825" s="315"/>
      <c r="I3825" s="315"/>
      <c r="BA3825" s="30"/>
      <c r="BB3825" s="155"/>
      <c r="BC3825" s="322"/>
      <c r="BD3825" s="322"/>
      <c r="BE3825" s="322"/>
      <c r="BF3825" s="322"/>
      <c r="BG3825" s="322"/>
      <c r="BH3825" s="322"/>
      <c r="BI3825" s="322"/>
      <c r="BJ3825" s="322"/>
      <c r="BK3825" s="341"/>
      <c r="BL3825" s="40"/>
      <c r="BM3825" s="40"/>
      <c r="BN3825" s="40"/>
      <c r="BO3825" s="40"/>
      <c r="BP3825" s="155"/>
      <c r="BQ3825" s="314"/>
      <c r="BR3825" s="314"/>
      <c r="BS3825" s="314"/>
      <c r="BT3825" s="314"/>
      <c r="BU3825" s="314"/>
      <c r="BV3825" s="314"/>
      <c r="BW3825" s="314"/>
      <c r="BX3825" s="155"/>
    </row>
    <row r="3826" spans="1:76" ht="15.75" customHeight="1">
      <c r="A3826" s="25"/>
      <c r="B3826" s="39"/>
      <c r="C3826" s="155"/>
      <c r="D3826" s="155"/>
      <c r="E3826" s="40"/>
      <c r="F3826" s="314"/>
      <c r="H3826" s="315"/>
      <c r="I3826" s="315"/>
      <c r="BA3826" s="30"/>
      <c r="BB3826" s="155"/>
      <c r="BC3826" s="314"/>
      <c r="BD3826" s="314"/>
      <c r="BE3826" s="314"/>
      <c r="BF3826" s="314"/>
      <c r="BG3826" s="314"/>
      <c r="BH3826" s="314"/>
      <c r="BI3826" s="314"/>
      <c r="BJ3826" s="314"/>
      <c r="BK3826" s="40"/>
      <c r="BL3826" s="40"/>
      <c r="BM3826" s="40"/>
      <c r="BN3826" s="40"/>
      <c r="BO3826" s="40"/>
      <c r="BP3826" s="155"/>
      <c r="BQ3826" s="314"/>
      <c r="BR3826" s="314"/>
      <c r="BS3826" s="314"/>
      <c r="BT3826" s="314"/>
      <c r="BU3826" s="314"/>
      <c r="BV3826" s="314"/>
      <c r="BW3826" s="314"/>
      <c r="BX3826" s="155"/>
    </row>
    <row r="3827" spans="1:76" ht="15.75" customHeight="1">
      <c r="A3827" s="25"/>
      <c r="B3827" s="39"/>
      <c r="C3827" s="155"/>
      <c r="D3827" s="155"/>
      <c r="E3827" s="40"/>
      <c r="F3827" s="314"/>
      <c r="H3827" s="315"/>
      <c r="I3827" s="315"/>
      <c r="BA3827" s="30"/>
      <c r="BB3827" s="155"/>
      <c r="BC3827" s="314"/>
      <c r="BD3827" s="314"/>
      <c r="BE3827" s="314"/>
      <c r="BF3827" s="314"/>
      <c r="BG3827" s="314"/>
      <c r="BH3827" s="314"/>
      <c r="BI3827" s="314"/>
      <c r="BJ3827" s="314"/>
      <c r="BK3827" s="40"/>
      <c r="BL3827" s="40"/>
      <c r="BM3827" s="40"/>
      <c r="BN3827" s="40"/>
      <c r="BO3827" s="40"/>
      <c r="BP3827" s="155"/>
      <c r="BQ3827" s="314"/>
      <c r="BR3827" s="314"/>
      <c r="BS3827" s="314"/>
      <c r="BT3827" s="314"/>
      <c r="BU3827" s="314"/>
      <c r="BV3827" s="314"/>
      <c r="BW3827" s="314"/>
      <c r="BX3827" s="155"/>
    </row>
    <row r="3828" spans="1:76" ht="15.75" customHeight="1">
      <c r="A3828" s="25"/>
      <c r="B3828" s="39"/>
      <c r="C3828" s="155"/>
      <c r="D3828" s="155"/>
      <c r="E3828" s="40"/>
      <c r="F3828" s="314"/>
      <c r="H3828" s="315"/>
      <c r="I3828" s="315"/>
      <c r="BA3828" s="30"/>
      <c r="BB3828" s="155"/>
      <c r="BC3828" s="314"/>
      <c r="BD3828" s="314"/>
      <c r="BE3828" s="314"/>
      <c r="BF3828" s="314"/>
      <c r="BG3828" s="314"/>
      <c r="BH3828" s="314"/>
      <c r="BI3828" s="314"/>
      <c r="BJ3828" s="314"/>
      <c r="BK3828" s="40"/>
      <c r="BL3828" s="40"/>
      <c r="BM3828" s="40"/>
      <c r="BN3828" s="40"/>
      <c r="BO3828" s="40"/>
      <c r="BP3828" s="155"/>
      <c r="BQ3828" s="314"/>
      <c r="BR3828" s="314"/>
      <c r="BS3828" s="314"/>
      <c r="BT3828" s="314"/>
      <c r="BU3828" s="314"/>
      <c r="BV3828" s="314"/>
      <c r="BW3828" s="314"/>
      <c r="BX3828" s="155"/>
    </row>
    <row r="3829" spans="1:76" ht="15.75" customHeight="1">
      <c r="A3829" s="25"/>
      <c r="B3829" s="39"/>
      <c r="C3829" s="155"/>
      <c r="D3829" s="155"/>
      <c r="E3829" s="40"/>
      <c r="F3829" s="314"/>
      <c r="H3829" s="315"/>
      <c r="I3829" s="315"/>
      <c r="BA3829" s="30"/>
      <c r="BB3829" s="155"/>
      <c r="BC3829" s="314"/>
      <c r="BD3829" s="314"/>
      <c r="BE3829" s="314"/>
      <c r="BF3829" s="314"/>
      <c r="BG3829" s="314"/>
      <c r="BH3829" s="314"/>
      <c r="BI3829" s="314"/>
      <c r="BJ3829" s="314"/>
      <c r="BK3829" s="40"/>
      <c r="BL3829" s="40"/>
      <c r="BM3829" s="40"/>
      <c r="BN3829" s="40"/>
      <c r="BO3829" s="40"/>
      <c r="BP3829" s="155"/>
      <c r="BQ3829" s="314"/>
      <c r="BR3829" s="314"/>
      <c r="BS3829" s="314"/>
      <c r="BT3829" s="314"/>
      <c r="BU3829" s="314"/>
      <c r="BV3829" s="314"/>
      <c r="BW3829" s="314"/>
      <c r="BX3829" s="155"/>
    </row>
    <row r="3830" spans="1:76" ht="15.75" customHeight="1">
      <c r="A3830" s="25"/>
      <c r="B3830" s="39"/>
      <c r="C3830" s="155"/>
      <c r="D3830" s="155"/>
      <c r="E3830" s="40"/>
      <c r="F3830" s="314"/>
      <c r="H3830" s="315"/>
      <c r="I3830" s="315"/>
      <c r="BA3830" s="30"/>
      <c r="BB3830" s="155"/>
      <c r="BC3830" s="314"/>
      <c r="BD3830" s="314"/>
      <c r="BE3830" s="314"/>
      <c r="BF3830" s="314"/>
      <c r="BG3830" s="314"/>
      <c r="BH3830" s="314"/>
      <c r="BI3830" s="314"/>
      <c r="BJ3830" s="314"/>
      <c r="BK3830" s="40"/>
      <c r="BL3830" s="40"/>
      <c r="BM3830" s="40"/>
      <c r="BN3830" s="40"/>
      <c r="BO3830" s="40"/>
      <c r="BP3830" s="155"/>
      <c r="BQ3830" s="314"/>
      <c r="BR3830" s="314"/>
      <c r="BS3830" s="314"/>
      <c r="BT3830" s="314"/>
      <c r="BU3830" s="314"/>
      <c r="BV3830" s="314"/>
      <c r="BW3830" s="314"/>
      <c r="BX3830" s="155"/>
    </row>
    <row r="3831" spans="1:76" ht="15.75" customHeight="1">
      <c r="A3831" s="25"/>
      <c r="B3831" s="39"/>
      <c r="C3831" s="155"/>
      <c r="D3831" s="155"/>
      <c r="E3831" s="40"/>
      <c r="F3831" s="314"/>
      <c r="H3831" s="315"/>
      <c r="I3831" s="315"/>
      <c r="BA3831" s="30"/>
      <c r="BB3831" s="155"/>
      <c r="BC3831" s="314"/>
      <c r="BD3831" s="314"/>
      <c r="BE3831" s="314"/>
      <c r="BF3831" s="314"/>
      <c r="BG3831" s="314"/>
      <c r="BH3831" s="314"/>
      <c r="BI3831" s="314"/>
      <c r="BJ3831" s="314"/>
      <c r="BK3831" s="40"/>
      <c r="BL3831" s="40"/>
      <c r="BM3831" s="40"/>
      <c r="BN3831" s="40"/>
      <c r="BO3831" s="40"/>
      <c r="BP3831" s="155"/>
      <c r="BQ3831" s="314"/>
      <c r="BR3831" s="314"/>
      <c r="BS3831" s="314"/>
      <c r="BT3831" s="314"/>
      <c r="BU3831" s="314"/>
      <c r="BV3831" s="314"/>
      <c r="BW3831" s="314"/>
      <c r="BX3831" s="155"/>
    </row>
    <row r="3832" spans="1:76" ht="15.75" customHeight="1">
      <c r="A3832" s="25"/>
      <c r="B3832" s="39"/>
      <c r="C3832" s="155"/>
      <c r="D3832" s="155"/>
      <c r="E3832" s="40"/>
      <c r="F3832" s="314"/>
      <c r="H3832" s="315"/>
      <c r="I3832" s="315"/>
      <c r="BA3832" s="30"/>
      <c r="BB3832" s="155"/>
      <c r="BC3832" s="314"/>
      <c r="BD3832" s="314"/>
      <c r="BE3832" s="314"/>
      <c r="BF3832" s="314"/>
      <c r="BG3832" s="314"/>
      <c r="BH3832" s="314"/>
      <c r="BI3832" s="314"/>
      <c r="BJ3832" s="314"/>
      <c r="BK3832" s="40"/>
      <c r="BL3832" s="40"/>
      <c r="BM3832" s="40"/>
      <c r="BN3832" s="40"/>
      <c r="BO3832" s="40"/>
      <c r="BP3832" s="155"/>
      <c r="BQ3832" s="314"/>
      <c r="BR3832" s="314"/>
      <c r="BS3832" s="314"/>
      <c r="BT3832" s="314"/>
      <c r="BU3832" s="314"/>
      <c r="BV3832" s="314"/>
      <c r="BW3832" s="314"/>
      <c r="BX3832" s="155"/>
    </row>
    <row r="3833" spans="1:76" ht="15.75" customHeight="1">
      <c r="A3833" s="25"/>
      <c r="B3833" s="39"/>
      <c r="C3833" s="155"/>
      <c r="D3833" s="155"/>
      <c r="E3833" s="40"/>
      <c r="F3833" s="314"/>
      <c r="H3833" s="315"/>
      <c r="I3833" s="315"/>
      <c r="BA3833" s="30"/>
      <c r="BB3833" s="155"/>
      <c r="BC3833" s="314"/>
      <c r="BD3833" s="314"/>
      <c r="BE3833" s="314"/>
      <c r="BF3833" s="314"/>
      <c r="BG3833" s="314"/>
      <c r="BH3833" s="314"/>
      <c r="BI3833" s="314"/>
      <c r="BJ3833" s="314"/>
      <c r="BK3833" s="40"/>
      <c r="BL3833" s="40"/>
      <c r="BM3833" s="40"/>
      <c r="BN3833" s="40"/>
      <c r="BO3833" s="40"/>
      <c r="BP3833" s="155"/>
      <c r="BQ3833" s="314"/>
      <c r="BR3833" s="314"/>
      <c r="BS3833" s="314"/>
      <c r="BT3833" s="314"/>
      <c r="BU3833" s="314"/>
      <c r="BV3833" s="314"/>
      <c r="BW3833" s="314"/>
      <c r="BX3833" s="155"/>
    </row>
    <row r="3834" spans="1:76" ht="15.75" customHeight="1">
      <c r="A3834" s="25"/>
      <c r="B3834" s="39"/>
      <c r="C3834" s="155"/>
      <c r="D3834" s="155"/>
      <c r="E3834" s="40"/>
      <c r="F3834" s="314"/>
      <c r="H3834" s="315"/>
      <c r="I3834" s="315"/>
      <c r="BA3834" s="30"/>
      <c r="BB3834" s="155"/>
      <c r="BC3834" s="314"/>
      <c r="BD3834" s="314"/>
      <c r="BE3834" s="314"/>
      <c r="BF3834" s="314"/>
      <c r="BG3834" s="314"/>
      <c r="BH3834" s="314"/>
      <c r="BI3834" s="314"/>
      <c r="BJ3834" s="314"/>
      <c r="BK3834" s="40"/>
      <c r="BL3834" s="40"/>
      <c r="BM3834" s="40"/>
      <c r="BN3834" s="40"/>
      <c r="BO3834" s="40"/>
      <c r="BP3834" s="155"/>
      <c r="BQ3834" s="314"/>
      <c r="BR3834" s="314"/>
      <c r="BS3834" s="314"/>
      <c r="BT3834" s="314"/>
      <c r="BU3834" s="314"/>
      <c r="BV3834" s="314"/>
      <c r="BW3834" s="314"/>
      <c r="BX3834" s="155"/>
    </row>
    <row r="3835" spans="1:76" ht="15.75" customHeight="1">
      <c r="A3835" s="25"/>
      <c r="B3835" s="39"/>
      <c r="C3835" s="155"/>
      <c r="D3835" s="155"/>
      <c r="E3835" s="40"/>
      <c r="F3835" s="314"/>
      <c r="H3835" s="315"/>
      <c r="I3835" s="315"/>
      <c r="BA3835" s="30"/>
      <c r="BB3835" s="155"/>
      <c r="BC3835" s="314"/>
      <c r="BD3835" s="314"/>
      <c r="BE3835" s="314"/>
      <c r="BF3835" s="314"/>
      <c r="BG3835" s="314"/>
      <c r="BH3835" s="314"/>
      <c r="BI3835" s="314"/>
      <c r="BJ3835" s="314"/>
      <c r="BK3835" s="40"/>
      <c r="BL3835" s="40"/>
      <c r="BM3835" s="40"/>
      <c r="BN3835" s="40"/>
      <c r="BO3835" s="40"/>
      <c r="BP3835" s="155"/>
      <c r="BQ3835" s="314"/>
      <c r="BR3835" s="314"/>
      <c r="BS3835" s="314"/>
      <c r="BT3835" s="314"/>
      <c r="BU3835" s="314"/>
      <c r="BV3835" s="314"/>
      <c r="BW3835" s="314"/>
      <c r="BX3835" s="155"/>
    </row>
    <row r="3836" spans="1:76" ht="15.75" customHeight="1">
      <c r="A3836" s="25"/>
      <c r="B3836" s="39"/>
      <c r="C3836" s="155"/>
      <c r="D3836" s="155"/>
      <c r="E3836" s="40"/>
      <c r="F3836" s="314"/>
      <c r="H3836" s="315"/>
      <c r="I3836" s="315"/>
      <c r="BA3836" s="30"/>
      <c r="BB3836" s="155"/>
      <c r="BC3836" s="314"/>
      <c r="BD3836" s="314"/>
      <c r="BE3836" s="314"/>
      <c r="BF3836" s="314"/>
      <c r="BG3836" s="314"/>
      <c r="BH3836" s="314"/>
      <c r="BI3836" s="314"/>
      <c r="BJ3836" s="314"/>
      <c r="BK3836" s="40"/>
      <c r="BL3836" s="40"/>
      <c r="BM3836" s="40"/>
      <c r="BN3836" s="40"/>
      <c r="BO3836" s="40"/>
      <c r="BP3836" s="155"/>
      <c r="BQ3836" s="314"/>
      <c r="BR3836" s="314"/>
      <c r="BS3836" s="314"/>
      <c r="BT3836" s="314"/>
      <c r="BU3836" s="314"/>
      <c r="BV3836" s="314"/>
      <c r="BW3836" s="314"/>
      <c r="BX3836" s="155"/>
    </row>
    <row r="3837" spans="1:76" ht="15.75" customHeight="1">
      <c r="A3837" s="25"/>
      <c r="B3837" s="39"/>
      <c r="C3837" s="155"/>
      <c r="D3837" s="155"/>
      <c r="E3837" s="40"/>
      <c r="F3837" s="314"/>
      <c r="H3837" s="315"/>
      <c r="I3837" s="315"/>
      <c r="BA3837" s="30"/>
      <c r="BB3837" s="155"/>
      <c r="BC3837" s="314"/>
      <c r="BD3837" s="314"/>
      <c r="BE3837" s="314"/>
      <c r="BF3837" s="314"/>
      <c r="BG3837" s="314"/>
      <c r="BH3837" s="314"/>
      <c r="BI3837" s="314"/>
      <c r="BJ3837" s="314"/>
      <c r="BK3837" s="40"/>
      <c r="BL3837" s="40"/>
      <c r="BM3837" s="40"/>
      <c r="BN3837" s="40"/>
      <c r="BO3837" s="40"/>
      <c r="BP3837" s="155"/>
      <c r="BQ3837" s="314"/>
      <c r="BR3837" s="314"/>
      <c r="BS3837" s="314"/>
      <c r="BT3837" s="314"/>
      <c r="BU3837" s="314"/>
      <c r="BV3837" s="314"/>
      <c r="BW3837" s="314"/>
      <c r="BX3837" s="155"/>
    </row>
    <row r="3838" spans="1:76" ht="15.75" customHeight="1">
      <c r="A3838" s="25"/>
      <c r="B3838" s="39"/>
      <c r="C3838" s="155"/>
      <c r="D3838" s="155"/>
      <c r="E3838" s="40"/>
      <c r="F3838" s="314"/>
      <c r="H3838" s="315"/>
      <c r="I3838" s="315"/>
      <c r="BA3838" s="30"/>
      <c r="BB3838" s="155"/>
      <c r="BC3838" s="314"/>
      <c r="BD3838" s="314"/>
      <c r="BE3838" s="314"/>
      <c r="BF3838" s="314"/>
      <c r="BG3838" s="314"/>
      <c r="BH3838" s="314"/>
      <c r="BI3838" s="314"/>
      <c r="BJ3838" s="314"/>
      <c r="BK3838" s="40"/>
      <c r="BL3838" s="40"/>
      <c r="BM3838" s="40"/>
      <c r="BN3838" s="40"/>
      <c r="BO3838" s="40"/>
      <c r="BP3838" s="155"/>
      <c r="BQ3838" s="314"/>
      <c r="BR3838" s="314"/>
      <c r="BS3838" s="314"/>
      <c r="BT3838" s="314"/>
      <c r="BU3838" s="314"/>
      <c r="BV3838" s="314"/>
      <c r="BW3838" s="314"/>
      <c r="BX3838" s="155"/>
    </row>
    <row r="3839" spans="1:76" ht="15.75" customHeight="1">
      <c r="A3839" s="25"/>
      <c r="B3839" s="39"/>
      <c r="C3839" s="155"/>
      <c r="D3839" s="155"/>
      <c r="E3839" s="40"/>
      <c r="F3839" s="314"/>
      <c r="H3839" s="315"/>
      <c r="I3839" s="315"/>
      <c r="BA3839" s="30"/>
      <c r="BB3839" s="155"/>
      <c r="BC3839" s="314"/>
      <c r="BD3839" s="314"/>
      <c r="BE3839" s="314"/>
      <c r="BF3839" s="314"/>
      <c r="BG3839" s="314"/>
      <c r="BH3839" s="314"/>
      <c r="BI3839" s="314"/>
      <c r="BJ3839" s="314"/>
      <c r="BK3839" s="40"/>
      <c r="BL3839" s="40"/>
      <c r="BM3839" s="40"/>
      <c r="BN3839" s="40"/>
      <c r="BO3839" s="40"/>
      <c r="BP3839" s="155"/>
      <c r="BQ3839" s="314"/>
      <c r="BR3839" s="314"/>
      <c r="BS3839" s="314"/>
      <c r="BT3839" s="314"/>
      <c r="BU3839" s="314"/>
      <c r="BV3839" s="314"/>
      <c r="BW3839" s="314"/>
      <c r="BX3839" s="155"/>
    </row>
    <row r="3840" spans="1:76" ht="15.75" customHeight="1">
      <c r="A3840" s="25"/>
      <c r="B3840" s="39"/>
      <c r="C3840" s="155"/>
      <c r="D3840" s="155"/>
      <c r="E3840" s="40"/>
      <c r="F3840" s="314"/>
      <c r="H3840" s="315"/>
      <c r="I3840" s="315"/>
      <c r="BA3840" s="30"/>
      <c r="BB3840" s="155"/>
      <c r="BC3840" s="314"/>
      <c r="BD3840" s="314"/>
      <c r="BE3840" s="314"/>
      <c r="BF3840" s="314"/>
      <c r="BG3840" s="314"/>
      <c r="BH3840" s="314"/>
      <c r="BI3840" s="314"/>
      <c r="BJ3840" s="314"/>
      <c r="BK3840" s="40"/>
      <c r="BL3840" s="40"/>
      <c r="BM3840" s="40"/>
      <c r="BN3840" s="40"/>
      <c r="BO3840" s="40"/>
      <c r="BP3840" s="155"/>
      <c r="BQ3840" s="314"/>
      <c r="BR3840" s="314"/>
      <c r="BS3840" s="314"/>
      <c r="BT3840" s="314"/>
      <c r="BU3840" s="314"/>
      <c r="BV3840" s="314"/>
      <c r="BW3840" s="314"/>
      <c r="BX3840" s="155"/>
    </row>
    <row r="3841" spans="1:76" ht="15.75" customHeight="1">
      <c r="A3841" s="25"/>
      <c r="B3841" s="39"/>
      <c r="C3841" s="155"/>
      <c r="D3841" s="155"/>
      <c r="E3841" s="40"/>
      <c r="F3841" s="314"/>
      <c r="H3841" s="315"/>
      <c r="I3841" s="315"/>
      <c r="BA3841" s="30"/>
      <c r="BB3841" s="155"/>
      <c r="BC3841" s="314"/>
      <c r="BD3841" s="314"/>
      <c r="BE3841" s="314"/>
      <c r="BF3841" s="314"/>
      <c r="BG3841" s="314"/>
      <c r="BH3841" s="314"/>
      <c r="BI3841" s="314"/>
      <c r="BJ3841" s="314"/>
      <c r="BK3841" s="40"/>
      <c r="BL3841" s="40"/>
      <c r="BM3841" s="40"/>
      <c r="BN3841" s="40"/>
      <c r="BO3841" s="40"/>
      <c r="BP3841" s="155"/>
      <c r="BQ3841" s="314"/>
      <c r="BR3841" s="314"/>
      <c r="BS3841" s="314"/>
      <c r="BT3841" s="314"/>
      <c r="BU3841" s="314"/>
      <c r="BV3841" s="314"/>
      <c r="BW3841" s="314"/>
      <c r="BX3841" s="155"/>
    </row>
    <row r="3842" spans="1:76" ht="15.75" customHeight="1">
      <c r="A3842" s="25"/>
      <c r="B3842" s="39"/>
      <c r="C3842" s="155"/>
      <c r="D3842" s="155"/>
      <c r="E3842" s="40"/>
      <c r="F3842" s="314"/>
      <c r="H3842" s="315"/>
      <c r="I3842" s="315"/>
      <c r="BA3842" s="30"/>
      <c r="BB3842" s="155"/>
      <c r="BC3842" s="314"/>
      <c r="BD3842" s="314"/>
      <c r="BE3842" s="314"/>
      <c r="BF3842" s="314"/>
      <c r="BG3842" s="314"/>
      <c r="BH3842" s="314"/>
      <c r="BI3842" s="314"/>
      <c r="BJ3842" s="314"/>
      <c r="BK3842" s="40"/>
      <c r="BL3842" s="40"/>
      <c r="BM3842" s="40"/>
      <c r="BN3842" s="40"/>
      <c r="BO3842" s="40"/>
      <c r="BP3842" s="155"/>
      <c r="BQ3842" s="314"/>
      <c r="BR3842" s="314"/>
      <c r="BS3842" s="314"/>
      <c r="BT3842" s="314"/>
      <c r="BU3842" s="314"/>
      <c r="BV3842" s="314"/>
      <c r="BW3842" s="314"/>
      <c r="BX3842" s="155"/>
    </row>
    <row r="3843" spans="1:76" ht="15.75" customHeight="1">
      <c r="A3843" s="25"/>
      <c r="B3843" s="39"/>
      <c r="C3843" s="155"/>
      <c r="D3843" s="155"/>
      <c r="E3843" s="40"/>
      <c r="F3843" s="314"/>
      <c r="H3843" s="315"/>
      <c r="I3843" s="315"/>
      <c r="BA3843" s="30"/>
      <c r="BB3843" s="155"/>
      <c r="BC3843" s="314"/>
      <c r="BD3843" s="314"/>
      <c r="BE3843" s="314"/>
      <c r="BF3843" s="314"/>
      <c r="BG3843" s="314"/>
      <c r="BH3843" s="314"/>
      <c r="BI3843" s="314"/>
      <c r="BJ3843" s="314"/>
      <c r="BK3843" s="40"/>
      <c r="BL3843" s="40"/>
      <c r="BM3843" s="40"/>
      <c r="BN3843" s="40"/>
      <c r="BO3843" s="40"/>
      <c r="BP3843" s="155"/>
      <c r="BQ3843" s="314"/>
      <c r="BR3843" s="314"/>
      <c r="BS3843" s="314"/>
      <c r="BT3843" s="314"/>
      <c r="BU3843" s="314"/>
      <c r="BV3843" s="314"/>
      <c r="BW3843" s="314"/>
      <c r="BX3843" s="155"/>
    </row>
    <row r="3844" spans="1:76" ht="15.75" customHeight="1">
      <c r="A3844" s="25"/>
      <c r="B3844" s="39"/>
      <c r="C3844" s="155"/>
      <c r="D3844" s="155"/>
      <c r="E3844" s="40"/>
      <c r="F3844" s="314"/>
      <c r="H3844" s="315"/>
      <c r="I3844" s="315"/>
      <c r="BA3844" s="30"/>
      <c r="BB3844" s="155"/>
      <c r="BC3844" s="314"/>
      <c r="BD3844" s="314"/>
      <c r="BE3844" s="314"/>
      <c r="BF3844" s="314"/>
      <c r="BG3844" s="314"/>
      <c r="BH3844" s="314"/>
      <c r="BI3844" s="314"/>
      <c r="BJ3844" s="314"/>
      <c r="BK3844" s="40"/>
      <c r="BL3844" s="40"/>
      <c r="BM3844" s="40"/>
      <c r="BN3844" s="40"/>
      <c r="BO3844" s="40"/>
      <c r="BP3844" s="155"/>
      <c r="BQ3844" s="314"/>
      <c r="BR3844" s="314"/>
      <c r="BS3844" s="314"/>
      <c r="BT3844" s="314"/>
      <c r="BU3844" s="314"/>
      <c r="BV3844" s="314"/>
      <c r="BW3844" s="314"/>
      <c r="BX3844" s="155"/>
    </row>
    <row r="3845" spans="1:76" ht="15.75" customHeight="1">
      <c r="A3845" s="25"/>
      <c r="B3845" s="39"/>
      <c r="C3845" s="155"/>
      <c r="D3845" s="155"/>
      <c r="E3845" s="40"/>
      <c r="F3845" s="314"/>
      <c r="H3845" s="315"/>
      <c r="I3845" s="315"/>
      <c r="BA3845" s="30"/>
      <c r="BB3845" s="155"/>
      <c r="BC3845" s="314"/>
      <c r="BD3845" s="314"/>
      <c r="BE3845" s="314"/>
      <c r="BF3845" s="314"/>
      <c r="BG3845" s="314"/>
      <c r="BH3845" s="314"/>
      <c r="BI3845" s="314"/>
      <c r="BJ3845" s="314"/>
      <c r="BK3845" s="40"/>
      <c r="BL3845" s="40"/>
      <c r="BM3845" s="40"/>
      <c r="BN3845" s="40"/>
      <c r="BO3845" s="40"/>
      <c r="BP3845" s="155"/>
      <c r="BQ3845" s="314"/>
      <c r="BR3845" s="314"/>
      <c r="BS3845" s="314"/>
      <c r="BT3845" s="314"/>
      <c r="BU3845" s="314"/>
      <c r="BV3845" s="314"/>
      <c r="BW3845" s="314"/>
      <c r="BX3845" s="155"/>
    </row>
    <row r="3846" spans="1:76" ht="15.75" customHeight="1">
      <c r="A3846" s="25"/>
      <c r="B3846" s="39"/>
      <c r="C3846" s="155"/>
      <c r="D3846" s="155"/>
      <c r="E3846" s="40"/>
      <c r="F3846" s="314"/>
      <c r="H3846" s="315"/>
      <c r="I3846" s="315"/>
      <c r="BA3846" s="30"/>
      <c r="BB3846" s="155"/>
      <c r="BC3846" s="314"/>
      <c r="BD3846" s="314"/>
      <c r="BE3846" s="314"/>
      <c r="BF3846" s="314"/>
      <c r="BG3846" s="314"/>
      <c r="BH3846" s="314"/>
      <c r="BI3846" s="314"/>
      <c r="BJ3846" s="314"/>
      <c r="BK3846" s="40"/>
      <c r="BL3846" s="40"/>
      <c r="BM3846" s="40"/>
      <c r="BN3846" s="40"/>
      <c r="BO3846" s="40"/>
      <c r="BP3846" s="155"/>
      <c r="BQ3846" s="314"/>
      <c r="BR3846" s="314"/>
      <c r="BS3846" s="314"/>
      <c r="BT3846" s="314"/>
      <c r="BU3846" s="314"/>
      <c r="BV3846" s="314"/>
      <c r="BW3846" s="314"/>
      <c r="BX3846" s="155"/>
    </row>
    <row r="3847" spans="1:76" ht="15.75" customHeight="1">
      <c r="A3847" s="25"/>
      <c r="B3847" s="39"/>
      <c r="C3847" s="155"/>
      <c r="D3847" s="155"/>
      <c r="E3847" s="40"/>
      <c r="F3847" s="314"/>
      <c r="H3847" s="315"/>
      <c r="I3847" s="315"/>
      <c r="BA3847" s="30"/>
      <c r="BB3847" s="155"/>
      <c r="BC3847" s="314"/>
      <c r="BD3847" s="314"/>
      <c r="BE3847" s="314"/>
      <c r="BF3847" s="314"/>
      <c r="BG3847" s="314"/>
      <c r="BH3847" s="314"/>
      <c r="BI3847" s="314"/>
      <c r="BJ3847" s="314"/>
      <c r="BK3847" s="40"/>
      <c r="BL3847" s="40"/>
      <c r="BM3847" s="40"/>
      <c r="BN3847" s="40"/>
      <c r="BO3847" s="40"/>
      <c r="BP3847" s="155"/>
      <c r="BQ3847" s="314"/>
      <c r="BR3847" s="314"/>
      <c r="BS3847" s="314"/>
      <c r="BT3847" s="314"/>
      <c r="BU3847" s="314"/>
      <c r="BV3847" s="314"/>
      <c r="BW3847" s="314"/>
      <c r="BX3847" s="155"/>
    </row>
    <row r="3848" spans="1:76" ht="15.75" customHeight="1">
      <c r="A3848" s="25"/>
      <c r="B3848" s="39"/>
      <c r="C3848" s="155"/>
      <c r="D3848" s="155"/>
      <c r="E3848" s="40"/>
      <c r="F3848" s="314"/>
      <c r="H3848" s="315"/>
      <c r="I3848" s="315"/>
      <c r="BA3848" s="30"/>
      <c r="BB3848" s="155"/>
      <c r="BC3848" s="314"/>
      <c r="BD3848" s="314"/>
      <c r="BE3848" s="314"/>
      <c r="BF3848" s="314"/>
      <c r="BG3848" s="314"/>
      <c r="BH3848" s="314"/>
      <c r="BI3848" s="314"/>
      <c r="BJ3848" s="314"/>
      <c r="BK3848" s="40"/>
      <c r="BL3848" s="40"/>
      <c r="BM3848" s="40"/>
      <c r="BN3848" s="40"/>
      <c r="BO3848" s="40"/>
      <c r="BP3848" s="155"/>
      <c r="BQ3848" s="314"/>
      <c r="BR3848" s="314"/>
      <c r="BS3848" s="314"/>
      <c r="BT3848" s="314"/>
      <c r="BU3848" s="314"/>
      <c r="BV3848" s="314"/>
      <c r="BW3848" s="314"/>
      <c r="BX3848" s="155"/>
    </row>
    <row r="3849" spans="1:76" ht="15.75" customHeight="1">
      <c r="A3849" s="25"/>
      <c r="B3849" s="39"/>
      <c r="C3849" s="155"/>
      <c r="D3849" s="155"/>
      <c r="E3849" s="40"/>
      <c r="F3849" s="314"/>
      <c r="H3849" s="315"/>
      <c r="I3849" s="315"/>
      <c r="BA3849" s="30"/>
      <c r="BB3849" s="155"/>
      <c r="BC3849" s="314"/>
      <c r="BD3849" s="314"/>
      <c r="BE3849" s="314"/>
      <c r="BF3849" s="314"/>
      <c r="BG3849" s="314"/>
      <c r="BH3849" s="314"/>
      <c r="BI3849" s="314"/>
      <c r="BJ3849" s="314"/>
      <c r="BK3849" s="40"/>
      <c r="BL3849" s="40"/>
      <c r="BM3849" s="40"/>
      <c r="BN3849" s="40"/>
      <c r="BO3849" s="40"/>
      <c r="BP3849" s="155"/>
      <c r="BQ3849" s="314"/>
      <c r="BR3849" s="314"/>
      <c r="BS3849" s="314"/>
      <c r="BT3849" s="314"/>
      <c r="BU3849" s="314"/>
      <c r="BV3849" s="314"/>
      <c r="BW3849" s="314"/>
      <c r="BX3849" s="155"/>
    </row>
    <row r="3850" spans="1:76" ht="15.75" customHeight="1">
      <c r="A3850" s="25"/>
      <c r="B3850" s="39"/>
      <c r="C3850" s="155"/>
      <c r="D3850" s="155"/>
      <c r="E3850" s="40"/>
      <c r="F3850" s="314"/>
      <c r="H3850" s="315"/>
      <c r="I3850" s="315"/>
      <c r="BA3850" s="30"/>
      <c r="BB3850" s="155"/>
      <c r="BC3850" s="314"/>
      <c r="BD3850" s="314"/>
      <c r="BE3850" s="314"/>
      <c r="BF3850" s="314"/>
      <c r="BG3850" s="314"/>
      <c r="BH3850" s="314"/>
      <c r="BI3850" s="314"/>
      <c r="BJ3850" s="314"/>
      <c r="BK3850" s="40"/>
      <c r="BL3850" s="40"/>
      <c r="BM3850" s="40"/>
      <c r="BN3850" s="40"/>
      <c r="BO3850" s="40"/>
      <c r="BP3850" s="155"/>
      <c r="BQ3850" s="314"/>
      <c r="BR3850" s="314"/>
      <c r="BS3850" s="314"/>
      <c r="BT3850" s="314"/>
      <c r="BU3850" s="314"/>
      <c r="BV3850" s="314"/>
      <c r="BW3850" s="314"/>
      <c r="BX3850" s="155"/>
    </row>
    <row r="3851" spans="1:76" ht="15.75" customHeight="1">
      <c r="A3851" s="25"/>
      <c r="B3851" s="39"/>
      <c r="C3851" s="155"/>
      <c r="D3851" s="155"/>
      <c r="E3851" s="40"/>
      <c r="F3851" s="314"/>
      <c r="H3851" s="315"/>
      <c r="I3851" s="315"/>
      <c r="BA3851" s="30"/>
      <c r="BB3851" s="155"/>
      <c r="BC3851" s="314"/>
      <c r="BD3851" s="314"/>
      <c r="BE3851" s="314"/>
      <c r="BF3851" s="314"/>
      <c r="BG3851" s="314"/>
      <c r="BH3851" s="314"/>
      <c r="BI3851" s="314"/>
      <c r="BJ3851" s="314"/>
      <c r="BK3851" s="40"/>
      <c r="BL3851" s="40"/>
      <c r="BM3851" s="40"/>
      <c r="BN3851" s="40"/>
      <c r="BO3851" s="40"/>
      <c r="BP3851" s="155"/>
      <c r="BQ3851" s="314"/>
      <c r="BR3851" s="314"/>
      <c r="BS3851" s="314"/>
      <c r="BT3851" s="314"/>
      <c r="BU3851" s="314"/>
      <c r="BV3851" s="314"/>
      <c r="BW3851" s="314"/>
      <c r="BX3851" s="155"/>
    </row>
    <row r="3852" spans="1:76" ht="15.75" customHeight="1">
      <c r="A3852" s="25"/>
      <c r="B3852" s="39"/>
      <c r="C3852" s="155"/>
      <c r="D3852" s="155"/>
      <c r="E3852" s="40"/>
      <c r="F3852" s="314"/>
      <c r="H3852" s="315"/>
      <c r="I3852" s="315"/>
      <c r="BA3852" s="30"/>
      <c r="BB3852" s="155"/>
      <c r="BC3852" s="314"/>
      <c r="BD3852" s="314"/>
      <c r="BE3852" s="314"/>
      <c r="BF3852" s="314"/>
      <c r="BG3852" s="314"/>
      <c r="BH3852" s="314"/>
      <c r="BI3852" s="314"/>
      <c r="BJ3852" s="314"/>
      <c r="BK3852" s="40"/>
      <c r="BL3852" s="40"/>
      <c r="BM3852" s="40"/>
      <c r="BN3852" s="40"/>
      <c r="BO3852" s="40"/>
      <c r="BP3852" s="155"/>
      <c r="BQ3852" s="314"/>
      <c r="BR3852" s="314"/>
      <c r="BS3852" s="314"/>
      <c r="BT3852" s="314"/>
      <c r="BU3852" s="314"/>
      <c r="BV3852" s="314"/>
      <c r="BW3852" s="314"/>
      <c r="BX3852" s="155"/>
    </row>
    <row r="3853" spans="1:76" ht="15.75" customHeight="1">
      <c r="A3853" s="25"/>
      <c r="B3853" s="39"/>
      <c r="C3853" s="155"/>
      <c r="D3853" s="155"/>
      <c r="E3853" s="40"/>
      <c r="F3853" s="314"/>
      <c r="H3853" s="315"/>
      <c r="I3853" s="315"/>
      <c r="BA3853" s="30"/>
      <c r="BB3853" s="155"/>
      <c r="BC3853" s="314"/>
      <c r="BD3853" s="314"/>
      <c r="BE3853" s="314"/>
      <c r="BF3853" s="314"/>
      <c r="BG3853" s="314"/>
      <c r="BH3853" s="314"/>
      <c r="BI3853" s="314"/>
      <c r="BJ3853" s="314"/>
      <c r="BK3853" s="40"/>
      <c r="BL3853" s="40"/>
      <c r="BM3853" s="40"/>
      <c r="BN3853" s="40"/>
      <c r="BO3853" s="40"/>
      <c r="BP3853" s="155"/>
      <c r="BQ3853" s="314"/>
      <c r="BR3853" s="314"/>
      <c r="BS3853" s="314"/>
      <c r="BT3853" s="314"/>
      <c r="BU3853" s="314"/>
      <c r="BV3853" s="314"/>
      <c r="BW3853" s="314"/>
      <c r="BX3853" s="155"/>
    </row>
    <row r="3854" spans="1:76" ht="15.75" customHeight="1">
      <c r="A3854" s="25"/>
      <c r="B3854" s="39"/>
      <c r="C3854" s="155"/>
      <c r="D3854" s="155"/>
      <c r="E3854" s="40"/>
      <c r="F3854" s="314"/>
      <c r="H3854" s="315"/>
      <c r="I3854" s="315"/>
      <c r="BA3854" s="30"/>
      <c r="BB3854" s="155"/>
      <c r="BC3854" s="314"/>
      <c r="BD3854" s="314"/>
      <c r="BE3854" s="314"/>
      <c r="BF3854" s="314"/>
      <c r="BG3854" s="314"/>
      <c r="BH3854" s="314"/>
      <c r="BI3854" s="314"/>
      <c r="BJ3854" s="314"/>
      <c r="BK3854" s="40"/>
      <c r="BL3854" s="40"/>
      <c r="BM3854" s="40"/>
      <c r="BN3854" s="40"/>
      <c r="BO3854" s="40"/>
      <c r="BP3854" s="155"/>
      <c r="BQ3854" s="314"/>
      <c r="BR3854" s="314"/>
      <c r="BS3854" s="314"/>
      <c r="BT3854" s="314"/>
      <c r="BU3854" s="314"/>
      <c r="BV3854" s="314"/>
      <c r="BW3854" s="314"/>
      <c r="BX3854" s="155"/>
    </row>
    <row r="3855" spans="1:76" ht="15.75" customHeight="1">
      <c r="A3855" s="25"/>
      <c r="B3855" s="39"/>
      <c r="C3855" s="155"/>
      <c r="D3855" s="155"/>
      <c r="E3855" s="40"/>
      <c r="F3855" s="314"/>
      <c r="H3855" s="315"/>
      <c r="I3855" s="315"/>
      <c r="BA3855" s="30"/>
      <c r="BB3855" s="155"/>
      <c r="BC3855" s="314"/>
      <c r="BD3855" s="314"/>
      <c r="BE3855" s="314"/>
      <c r="BF3855" s="314"/>
      <c r="BG3855" s="314"/>
      <c r="BH3855" s="314"/>
      <c r="BI3855" s="314"/>
      <c r="BJ3855" s="314"/>
      <c r="BK3855" s="40"/>
      <c r="BL3855" s="40"/>
      <c r="BM3855" s="40"/>
      <c r="BN3855" s="40"/>
      <c r="BO3855" s="40"/>
      <c r="BP3855" s="155"/>
      <c r="BQ3855" s="314"/>
      <c r="BR3855" s="314"/>
      <c r="BS3855" s="314"/>
      <c r="BT3855" s="314"/>
      <c r="BU3855" s="314"/>
      <c r="BV3855" s="314"/>
      <c r="BW3855" s="314"/>
      <c r="BX3855" s="155"/>
    </row>
    <row r="3856" spans="1:76" ht="15.75" customHeight="1">
      <c r="A3856" s="25"/>
      <c r="B3856" s="39"/>
      <c r="C3856" s="155"/>
      <c r="D3856" s="155"/>
      <c r="E3856" s="40"/>
      <c r="F3856" s="314"/>
      <c r="H3856" s="315"/>
      <c r="I3856" s="315"/>
      <c r="BA3856" s="30"/>
      <c r="BB3856" s="155"/>
      <c r="BC3856" s="314"/>
      <c r="BD3856" s="314"/>
      <c r="BE3856" s="314"/>
      <c r="BF3856" s="314"/>
      <c r="BG3856" s="314"/>
      <c r="BH3856" s="314"/>
      <c r="BI3856" s="314"/>
      <c r="BJ3856" s="314"/>
      <c r="BK3856" s="40"/>
      <c r="BL3856" s="40"/>
      <c r="BM3856" s="40"/>
      <c r="BN3856" s="40"/>
      <c r="BO3856" s="40"/>
      <c r="BP3856" s="155"/>
      <c r="BQ3856" s="314"/>
      <c r="BR3856" s="314"/>
      <c r="BS3856" s="314"/>
      <c r="BT3856" s="314"/>
      <c r="BU3856" s="314"/>
      <c r="BV3856" s="314"/>
      <c r="BW3856" s="314"/>
      <c r="BX3856" s="155"/>
    </row>
    <row r="3857" spans="1:76" ht="15.75" customHeight="1">
      <c r="A3857" s="25"/>
      <c r="B3857" s="39"/>
      <c r="C3857" s="155"/>
      <c r="D3857" s="155"/>
      <c r="E3857" s="40"/>
      <c r="F3857" s="314"/>
      <c r="H3857" s="315"/>
      <c r="I3857" s="315"/>
      <c r="BA3857" s="30"/>
      <c r="BB3857" s="155"/>
      <c r="BC3857" s="314"/>
      <c r="BD3857" s="314"/>
      <c r="BE3857" s="314"/>
      <c r="BF3857" s="314"/>
      <c r="BG3857" s="314"/>
      <c r="BH3857" s="314"/>
      <c r="BI3857" s="314"/>
      <c r="BJ3857" s="314"/>
      <c r="BK3857" s="40"/>
      <c r="BL3857" s="40"/>
      <c r="BM3857" s="40"/>
      <c r="BN3857" s="40"/>
      <c r="BO3857" s="40"/>
      <c r="BP3857" s="155"/>
      <c r="BQ3857" s="314"/>
      <c r="BR3857" s="314"/>
      <c r="BS3857" s="314"/>
      <c r="BT3857" s="314"/>
      <c r="BU3857" s="314"/>
      <c r="BV3857" s="314"/>
      <c r="BW3857" s="314"/>
      <c r="BX3857" s="155"/>
    </row>
    <row r="3858" spans="1:76" ht="15.75" customHeight="1">
      <c r="A3858" s="25"/>
      <c r="B3858" s="39"/>
      <c r="C3858" s="155"/>
      <c r="D3858" s="155"/>
      <c r="E3858" s="40"/>
      <c r="F3858" s="314"/>
      <c r="H3858" s="315"/>
      <c r="I3858" s="315"/>
      <c r="BA3858" s="30"/>
      <c r="BB3858" s="155"/>
      <c r="BC3858" s="314"/>
      <c r="BD3858" s="314"/>
      <c r="BE3858" s="314"/>
      <c r="BF3858" s="314"/>
      <c r="BG3858" s="314"/>
      <c r="BH3858" s="314"/>
      <c r="BI3858" s="314"/>
      <c r="BJ3858" s="314"/>
      <c r="BK3858" s="40"/>
      <c r="BL3858" s="40"/>
      <c r="BM3858" s="40"/>
      <c r="BN3858" s="40"/>
      <c r="BO3858" s="40"/>
      <c r="BP3858" s="155"/>
      <c r="BQ3858" s="314"/>
      <c r="BR3858" s="314"/>
      <c r="BS3858" s="314"/>
      <c r="BT3858" s="314"/>
      <c r="BU3858" s="314"/>
      <c r="BV3858" s="314"/>
      <c r="BW3858" s="314"/>
      <c r="BX3858" s="155"/>
    </row>
    <row r="3859" spans="1:76" ht="15.75" customHeight="1">
      <c r="A3859" s="25"/>
      <c r="B3859" s="39"/>
      <c r="C3859" s="155"/>
      <c r="D3859" s="155"/>
      <c r="E3859" s="40"/>
      <c r="F3859" s="314"/>
      <c r="H3859" s="315"/>
      <c r="I3859" s="315"/>
      <c r="BA3859" s="30"/>
      <c r="BB3859" s="155"/>
      <c r="BC3859" s="314"/>
      <c r="BD3859" s="314"/>
      <c r="BE3859" s="314"/>
      <c r="BF3859" s="314"/>
      <c r="BG3859" s="314"/>
      <c r="BH3859" s="314"/>
      <c r="BI3859" s="314"/>
      <c r="BJ3859" s="314"/>
      <c r="BK3859" s="40"/>
      <c r="BL3859" s="40"/>
      <c r="BM3859" s="40"/>
      <c r="BN3859" s="40"/>
      <c r="BO3859" s="40"/>
      <c r="BP3859" s="155"/>
      <c r="BQ3859" s="314"/>
      <c r="BR3859" s="314"/>
      <c r="BS3859" s="314"/>
      <c r="BT3859" s="314"/>
      <c r="BU3859" s="314"/>
      <c r="BV3859" s="314"/>
      <c r="BW3859" s="314"/>
      <c r="BX3859" s="155"/>
    </row>
    <row r="3860" spans="1:76" ht="15.75" customHeight="1">
      <c r="A3860" s="25"/>
      <c r="B3860" s="39"/>
      <c r="C3860" s="155"/>
      <c r="D3860" s="155"/>
      <c r="E3860" s="40"/>
      <c r="F3860" s="314"/>
      <c r="H3860" s="315"/>
      <c r="I3860" s="315"/>
      <c r="BA3860" s="30"/>
      <c r="BB3860" s="155"/>
      <c r="BC3860" s="314"/>
      <c r="BD3860" s="314"/>
      <c r="BE3860" s="314"/>
      <c r="BF3860" s="314"/>
      <c r="BG3860" s="314"/>
      <c r="BH3860" s="314"/>
      <c r="BI3860" s="314"/>
      <c r="BJ3860" s="314"/>
      <c r="BK3860" s="40"/>
      <c r="BL3860" s="40"/>
      <c r="BM3860" s="40"/>
      <c r="BN3860" s="40"/>
      <c r="BO3860" s="40"/>
      <c r="BP3860" s="155"/>
      <c r="BQ3860" s="314"/>
      <c r="BR3860" s="314"/>
      <c r="BS3860" s="314"/>
      <c r="BT3860" s="314"/>
      <c r="BU3860" s="314"/>
      <c r="BV3860" s="314"/>
      <c r="BW3860" s="314"/>
      <c r="BX3860" s="155"/>
    </row>
    <row r="3861" spans="1:76" ht="15.75" customHeight="1">
      <c r="A3861" s="25"/>
      <c r="B3861" s="39"/>
      <c r="C3861" s="155"/>
      <c r="D3861" s="155"/>
      <c r="E3861" s="40"/>
      <c r="F3861" s="314"/>
      <c r="H3861" s="315"/>
      <c r="I3861" s="315"/>
      <c r="BA3861" s="30"/>
      <c r="BB3861" s="155"/>
      <c r="BC3861" s="314"/>
      <c r="BD3861" s="314"/>
      <c r="BE3861" s="314"/>
      <c r="BF3861" s="314"/>
      <c r="BG3861" s="314"/>
      <c r="BH3861" s="314"/>
      <c r="BI3861" s="314"/>
      <c r="BJ3861" s="314"/>
      <c r="BK3861" s="40"/>
      <c r="BL3861" s="40"/>
      <c r="BM3861" s="40"/>
      <c r="BN3861" s="40"/>
      <c r="BO3861" s="40"/>
      <c r="BP3861" s="155"/>
      <c r="BQ3861" s="314"/>
      <c r="BR3861" s="314"/>
      <c r="BS3861" s="314"/>
      <c r="BT3861" s="314"/>
      <c r="BU3861" s="314"/>
      <c r="BV3861" s="314"/>
      <c r="BW3861" s="314"/>
      <c r="BX3861" s="155"/>
    </row>
    <row r="3862" spans="1:76" ht="15.75" customHeight="1">
      <c r="A3862" s="25"/>
      <c r="B3862" s="39"/>
      <c r="C3862" s="155"/>
      <c r="D3862" s="155"/>
      <c r="E3862" s="40"/>
      <c r="F3862" s="314"/>
      <c r="H3862" s="315"/>
      <c r="I3862" s="315"/>
      <c r="BA3862" s="30"/>
      <c r="BB3862" s="155"/>
      <c r="BC3862" s="314"/>
      <c r="BD3862" s="314"/>
      <c r="BE3862" s="314"/>
      <c r="BF3862" s="314"/>
      <c r="BG3862" s="314"/>
      <c r="BH3862" s="314"/>
      <c r="BI3862" s="314"/>
      <c r="BJ3862" s="314"/>
      <c r="BK3862" s="40"/>
      <c r="BL3862" s="40"/>
      <c r="BM3862" s="40"/>
      <c r="BN3862" s="40"/>
      <c r="BO3862" s="40"/>
      <c r="BP3862" s="155"/>
      <c r="BQ3862" s="314"/>
      <c r="BR3862" s="314"/>
      <c r="BS3862" s="314"/>
      <c r="BT3862" s="314"/>
      <c r="BU3862" s="314"/>
      <c r="BV3862" s="314"/>
      <c r="BW3862" s="314"/>
      <c r="BX3862" s="155"/>
    </row>
    <row r="3863" spans="1:76" ht="15.75" customHeight="1">
      <c r="A3863" s="25"/>
      <c r="B3863" s="39"/>
      <c r="C3863" s="155"/>
      <c r="D3863" s="155"/>
      <c r="E3863" s="40"/>
      <c r="F3863" s="314"/>
      <c r="H3863" s="315"/>
      <c r="I3863" s="315"/>
      <c r="BA3863" s="30"/>
      <c r="BB3863" s="155"/>
      <c r="BC3863" s="314"/>
      <c r="BD3863" s="314"/>
      <c r="BE3863" s="314"/>
      <c r="BF3863" s="314"/>
      <c r="BG3863" s="314"/>
      <c r="BH3863" s="314"/>
      <c r="BI3863" s="314"/>
      <c r="BJ3863" s="314"/>
      <c r="BK3863" s="40"/>
      <c r="BL3863" s="40"/>
      <c r="BM3863" s="40"/>
      <c r="BN3863" s="40"/>
      <c r="BO3863" s="40"/>
      <c r="BP3863" s="155"/>
      <c r="BQ3863" s="314"/>
      <c r="BR3863" s="314"/>
      <c r="BS3863" s="314"/>
      <c r="BT3863" s="314"/>
      <c r="BU3863" s="314"/>
      <c r="BV3863" s="314"/>
      <c r="BW3863" s="314"/>
      <c r="BX3863" s="155"/>
    </row>
    <row r="3864" spans="1:76" ht="15.75" customHeight="1">
      <c r="A3864" s="25"/>
      <c r="B3864" s="39"/>
      <c r="C3864" s="155"/>
      <c r="D3864" s="155"/>
      <c r="E3864" s="40"/>
      <c r="F3864" s="314"/>
      <c r="H3864" s="315"/>
      <c r="I3864" s="315"/>
      <c r="BA3864" s="30"/>
      <c r="BB3864" s="155"/>
      <c r="BC3864" s="314"/>
      <c r="BD3864" s="314"/>
      <c r="BE3864" s="314"/>
      <c r="BF3864" s="314"/>
      <c r="BG3864" s="314"/>
      <c r="BH3864" s="314"/>
      <c r="BI3864" s="314"/>
      <c r="BJ3864" s="314"/>
      <c r="BK3864" s="40"/>
      <c r="BL3864" s="40"/>
      <c r="BM3864" s="40"/>
      <c r="BN3864" s="40"/>
      <c r="BO3864" s="40"/>
      <c r="BP3864" s="155"/>
      <c r="BQ3864" s="314"/>
      <c r="BR3864" s="314"/>
      <c r="BS3864" s="314"/>
      <c r="BT3864" s="314"/>
      <c r="BU3864" s="314"/>
      <c r="BV3864" s="314"/>
      <c r="BW3864" s="314"/>
      <c r="BX3864" s="155"/>
    </row>
    <row r="3865" spans="1:76" ht="15.75" customHeight="1">
      <c r="A3865" s="25"/>
      <c r="B3865" s="39"/>
      <c r="C3865" s="155"/>
      <c r="D3865" s="155"/>
      <c r="E3865" s="40"/>
      <c r="F3865" s="314"/>
      <c r="H3865" s="315"/>
      <c r="I3865" s="315"/>
      <c r="BA3865" s="30"/>
      <c r="BB3865" s="155"/>
      <c r="BC3865" s="314"/>
      <c r="BD3865" s="314"/>
      <c r="BE3865" s="314"/>
      <c r="BF3865" s="314"/>
      <c r="BG3865" s="314"/>
      <c r="BH3865" s="314"/>
      <c r="BI3865" s="314"/>
      <c r="BJ3865" s="314"/>
      <c r="BK3865" s="40"/>
      <c r="BL3865" s="40"/>
      <c r="BM3865" s="40"/>
      <c r="BN3865" s="40"/>
      <c r="BO3865" s="40"/>
      <c r="BP3865" s="155"/>
      <c r="BQ3865" s="314"/>
      <c r="BR3865" s="314"/>
      <c r="BS3865" s="314"/>
      <c r="BT3865" s="314"/>
      <c r="BU3865" s="314"/>
      <c r="BV3865" s="314"/>
      <c r="BW3865" s="314"/>
      <c r="BX3865" s="155"/>
    </row>
    <row r="3866" spans="1:76" ht="15.75" customHeight="1">
      <c r="A3866" s="25"/>
      <c r="B3866" s="39"/>
      <c r="C3866" s="155"/>
      <c r="D3866" s="155"/>
      <c r="E3866" s="40"/>
      <c r="F3866" s="314"/>
      <c r="H3866" s="315"/>
      <c r="I3866" s="315"/>
      <c r="BA3866" s="30"/>
      <c r="BB3866" s="155"/>
      <c r="BC3866" s="314"/>
      <c r="BD3866" s="314"/>
      <c r="BE3866" s="314"/>
      <c r="BF3866" s="314"/>
      <c r="BG3866" s="314"/>
      <c r="BH3866" s="314"/>
      <c r="BI3866" s="314"/>
      <c r="BJ3866" s="314"/>
      <c r="BK3866" s="40"/>
      <c r="BL3866" s="40"/>
      <c r="BM3866" s="40"/>
      <c r="BN3866" s="40"/>
      <c r="BO3866" s="40"/>
      <c r="BP3866" s="155"/>
      <c r="BQ3866" s="314"/>
      <c r="BR3866" s="314"/>
      <c r="BS3866" s="314"/>
      <c r="BT3866" s="314"/>
      <c r="BU3866" s="314"/>
      <c r="BV3866" s="314"/>
      <c r="BW3866" s="314"/>
      <c r="BX3866" s="155"/>
    </row>
    <row r="3867" spans="1:76" ht="15.75" customHeight="1">
      <c r="A3867" s="25"/>
      <c r="B3867" s="39"/>
      <c r="C3867" s="155"/>
      <c r="D3867" s="155"/>
      <c r="E3867" s="40"/>
      <c r="F3867" s="314"/>
      <c r="H3867" s="315"/>
      <c r="I3867" s="315"/>
      <c r="BA3867" s="30"/>
      <c r="BB3867" s="155"/>
      <c r="BC3867" s="314"/>
      <c r="BD3867" s="314"/>
      <c r="BE3867" s="314"/>
      <c r="BF3867" s="314"/>
      <c r="BG3867" s="314"/>
      <c r="BH3867" s="314"/>
      <c r="BI3867" s="314"/>
      <c r="BJ3867" s="314"/>
      <c r="BK3867" s="40"/>
      <c r="BL3867" s="40"/>
      <c r="BM3867" s="40"/>
      <c r="BN3867" s="40"/>
      <c r="BO3867" s="40"/>
      <c r="BP3867" s="155"/>
      <c r="BQ3867" s="314"/>
      <c r="BR3867" s="314"/>
      <c r="BS3867" s="314"/>
      <c r="BT3867" s="314"/>
      <c r="BU3867" s="314"/>
      <c r="BV3867" s="314"/>
      <c r="BW3867" s="314"/>
      <c r="BX3867" s="155"/>
    </row>
    <row r="3868" spans="1:76" ht="15.75" customHeight="1">
      <c r="A3868" s="25"/>
      <c r="B3868" s="39"/>
      <c r="C3868" s="155"/>
      <c r="D3868" s="155"/>
      <c r="E3868" s="40"/>
      <c r="F3868" s="314"/>
      <c r="H3868" s="315"/>
      <c r="I3868" s="315"/>
      <c r="BA3868" s="30"/>
      <c r="BB3868" s="155"/>
      <c r="BC3868" s="314"/>
      <c r="BD3868" s="314"/>
      <c r="BE3868" s="314"/>
      <c r="BF3868" s="314"/>
      <c r="BG3868" s="314"/>
      <c r="BH3868" s="314"/>
      <c r="BI3868" s="314"/>
      <c r="BJ3868" s="314"/>
      <c r="BK3868" s="40"/>
      <c r="BL3868" s="40"/>
      <c r="BM3868" s="40"/>
      <c r="BN3868" s="40"/>
      <c r="BO3868" s="40"/>
      <c r="BP3868" s="155"/>
      <c r="BQ3868" s="314"/>
      <c r="BR3868" s="314"/>
      <c r="BS3868" s="314"/>
      <c r="BT3868" s="314"/>
      <c r="BU3868" s="314"/>
      <c r="BV3868" s="314"/>
      <c r="BW3868" s="314"/>
      <c r="BX3868" s="155"/>
    </row>
    <row r="3869" spans="1:76" ht="15.75" customHeight="1">
      <c r="A3869" s="25"/>
      <c r="B3869" s="39"/>
      <c r="C3869" s="155"/>
      <c r="D3869" s="155"/>
      <c r="E3869" s="40"/>
      <c r="F3869" s="314"/>
      <c r="H3869" s="315"/>
      <c r="I3869" s="315"/>
      <c r="BA3869" s="30"/>
      <c r="BB3869" s="155"/>
      <c r="BC3869" s="314"/>
      <c r="BD3869" s="314"/>
      <c r="BE3869" s="314"/>
      <c r="BF3869" s="314"/>
      <c r="BG3869" s="314"/>
      <c r="BH3869" s="314"/>
      <c r="BI3869" s="314"/>
      <c r="BJ3869" s="314"/>
      <c r="BK3869" s="40"/>
      <c r="BL3869" s="40"/>
      <c r="BM3869" s="40"/>
      <c r="BN3869" s="40"/>
      <c r="BO3869" s="40"/>
      <c r="BP3869" s="155"/>
      <c r="BQ3869" s="314"/>
      <c r="BR3869" s="314"/>
      <c r="BS3869" s="314"/>
      <c r="BT3869" s="314"/>
      <c r="BU3869" s="314"/>
      <c r="BV3869" s="314"/>
      <c r="BW3869" s="314"/>
      <c r="BX3869" s="155"/>
    </row>
    <row r="3870" spans="1:76" ht="15.75" customHeight="1">
      <c r="A3870" s="25"/>
      <c r="B3870" s="39"/>
      <c r="C3870" s="155"/>
      <c r="D3870" s="155"/>
      <c r="E3870" s="40"/>
      <c r="F3870" s="314"/>
      <c r="H3870" s="315"/>
      <c r="I3870" s="315"/>
      <c r="BA3870" s="30"/>
      <c r="BB3870" s="155"/>
      <c r="BC3870" s="314"/>
      <c r="BD3870" s="314"/>
      <c r="BE3870" s="314"/>
      <c r="BF3870" s="314"/>
      <c r="BG3870" s="314"/>
      <c r="BH3870" s="314"/>
      <c r="BI3870" s="314"/>
      <c r="BJ3870" s="314"/>
      <c r="BK3870" s="40"/>
      <c r="BL3870" s="40"/>
      <c r="BM3870" s="40"/>
      <c r="BN3870" s="40"/>
      <c r="BO3870" s="40"/>
      <c r="BP3870" s="155"/>
      <c r="BQ3870" s="314"/>
      <c r="BR3870" s="314"/>
      <c r="BS3870" s="314"/>
      <c r="BT3870" s="314"/>
      <c r="BU3870" s="314"/>
      <c r="BV3870" s="314"/>
      <c r="BW3870" s="314"/>
      <c r="BX3870" s="155"/>
    </row>
    <row r="3871" spans="1:76" ht="15.75" customHeight="1">
      <c r="A3871" s="25"/>
      <c r="B3871" s="39"/>
      <c r="C3871" s="155"/>
      <c r="D3871" s="155"/>
      <c r="E3871" s="40"/>
      <c r="F3871" s="314"/>
      <c r="H3871" s="315"/>
      <c r="I3871" s="315"/>
      <c r="BA3871" s="30"/>
      <c r="BB3871" s="155"/>
      <c r="BC3871" s="322"/>
      <c r="BD3871" s="322"/>
      <c r="BE3871" s="322"/>
      <c r="BF3871" s="322"/>
      <c r="BG3871" s="322"/>
      <c r="BH3871" s="322"/>
      <c r="BI3871" s="322"/>
      <c r="BJ3871" s="322"/>
      <c r="BK3871" s="341"/>
      <c r="BL3871" s="40"/>
      <c r="BM3871" s="40"/>
      <c r="BN3871" s="40"/>
      <c r="BO3871" s="40"/>
      <c r="BP3871" s="155"/>
      <c r="BQ3871" s="314"/>
      <c r="BR3871" s="314"/>
      <c r="BS3871" s="314"/>
      <c r="BT3871" s="314"/>
      <c r="BU3871" s="314"/>
      <c r="BV3871" s="314"/>
      <c r="BW3871" s="314"/>
      <c r="BX3871" s="155"/>
    </row>
    <row r="3872" spans="1:76" ht="15.75" customHeight="1">
      <c r="A3872" s="25"/>
      <c r="B3872" s="39"/>
      <c r="C3872" s="155"/>
      <c r="D3872" s="155"/>
      <c r="E3872" s="40"/>
      <c r="F3872" s="314"/>
      <c r="H3872" s="315"/>
      <c r="I3872" s="315"/>
      <c r="BA3872" s="30"/>
      <c r="BB3872" s="155"/>
      <c r="BC3872" s="314"/>
      <c r="BD3872" s="314"/>
      <c r="BE3872" s="314"/>
      <c r="BF3872" s="314"/>
      <c r="BG3872" s="314"/>
      <c r="BH3872" s="314"/>
      <c r="BI3872" s="314"/>
      <c r="BJ3872" s="314"/>
      <c r="BK3872" s="40"/>
      <c r="BL3872" s="40"/>
      <c r="BM3872" s="40"/>
      <c r="BN3872" s="40"/>
      <c r="BO3872" s="40"/>
      <c r="BP3872" s="155"/>
      <c r="BQ3872" s="314"/>
      <c r="BR3872" s="314"/>
      <c r="BS3872" s="314"/>
      <c r="BT3872" s="314"/>
      <c r="BU3872" s="314"/>
      <c r="BV3872" s="314"/>
      <c r="BW3872" s="314"/>
      <c r="BX3872" s="155"/>
    </row>
    <row r="3873" spans="1:76" ht="15.75" customHeight="1">
      <c r="A3873" s="25"/>
      <c r="B3873" s="39"/>
      <c r="C3873" s="155"/>
      <c r="D3873" s="155"/>
      <c r="E3873" s="40"/>
      <c r="F3873" s="314"/>
      <c r="H3873" s="315"/>
      <c r="I3873" s="315"/>
      <c r="BA3873" s="30"/>
      <c r="BB3873" s="155"/>
      <c r="BC3873" s="314"/>
      <c r="BD3873" s="314"/>
      <c r="BE3873" s="314"/>
      <c r="BF3873" s="314"/>
      <c r="BG3873" s="314"/>
      <c r="BH3873" s="314"/>
      <c r="BI3873" s="314"/>
      <c r="BJ3873" s="314"/>
      <c r="BK3873" s="40"/>
      <c r="BL3873" s="40"/>
      <c r="BM3873" s="40"/>
      <c r="BN3873" s="40"/>
      <c r="BO3873" s="40"/>
      <c r="BP3873" s="155"/>
      <c r="BQ3873" s="314"/>
      <c r="BR3873" s="314"/>
      <c r="BS3873" s="314"/>
      <c r="BT3873" s="314"/>
      <c r="BU3873" s="314"/>
      <c r="BV3873" s="314"/>
      <c r="BW3873" s="314"/>
      <c r="BX3873" s="155"/>
    </row>
    <row r="3874" spans="1:76" ht="15.75" customHeight="1">
      <c r="A3874" s="25"/>
      <c r="B3874" s="39"/>
      <c r="C3874" s="155"/>
      <c r="D3874" s="155"/>
      <c r="E3874" s="40"/>
      <c r="F3874" s="314"/>
      <c r="H3874" s="315"/>
      <c r="I3874" s="315"/>
      <c r="BA3874" s="30"/>
      <c r="BB3874" s="155"/>
      <c r="BC3874" s="314"/>
      <c r="BD3874" s="314"/>
      <c r="BE3874" s="314"/>
      <c r="BF3874" s="314"/>
      <c r="BG3874" s="314"/>
      <c r="BH3874" s="314"/>
      <c r="BI3874" s="314"/>
      <c r="BJ3874" s="314"/>
      <c r="BK3874" s="40"/>
      <c r="BL3874" s="40"/>
      <c r="BM3874" s="40"/>
      <c r="BN3874" s="40"/>
      <c r="BO3874" s="40"/>
      <c r="BP3874" s="155"/>
      <c r="BQ3874" s="314"/>
      <c r="BR3874" s="314"/>
      <c r="BS3874" s="314"/>
      <c r="BT3874" s="314"/>
      <c r="BU3874" s="314"/>
      <c r="BV3874" s="314"/>
      <c r="BW3874" s="314"/>
      <c r="BX3874" s="155"/>
    </row>
    <row r="3875" spans="1:76" ht="15.75" customHeight="1">
      <c r="A3875" s="25"/>
      <c r="B3875" s="39"/>
      <c r="C3875" s="155"/>
      <c r="D3875" s="155"/>
      <c r="E3875" s="40"/>
      <c r="F3875" s="314"/>
      <c r="H3875" s="315"/>
      <c r="I3875" s="315"/>
      <c r="BA3875" s="30"/>
      <c r="BB3875" s="155"/>
      <c r="BC3875" s="314"/>
      <c r="BD3875" s="314"/>
      <c r="BE3875" s="314"/>
      <c r="BF3875" s="314"/>
      <c r="BG3875" s="314"/>
      <c r="BH3875" s="314"/>
      <c r="BI3875" s="314"/>
      <c r="BJ3875" s="314"/>
      <c r="BK3875" s="40"/>
      <c r="BL3875" s="40"/>
      <c r="BM3875" s="40"/>
      <c r="BN3875" s="40"/>
      <c r="BO3875" s="40"/>
      <c r="BP3875" s="155"/>
      <c r="BQ3875" s="314"/>
      <c r="BR3875" s="314"/>
      <c r="BS3875" s="314"/>
      <c r="BT3875" s="314"/>
      <c r="BU3875" s="314"/>
      <c r="BV3875" s="314"/>
      <c r="BW3875" s="314"/>
      <c r="BX3875" s="155"/>
    </row>
    <row r="3876" spans="1:76" ht="15.75" customHeight="1">
      <c r="A3876" s="25"/>
      <c r="B3876" s="39"/>
      <c r="C3876" s="155"/>
      <c r="D3876" s="155"/>
      <c r="E3876" s="40"/>
      <c r="F3876" s="314"/>
      <c r="H3876" s="315"/>
      <c r="I3876" s="315"/>
      <c r="BA3876" s="30"/>
      <c r="BB3876" s="155"/>
      <c r="BC3876" s="314"/>
      <c r="BD3876" s="314"/>
      <c r="BE3876" s="314"/>
      <c r="BF3876" s="314"/>
      <c r="BG3876" s="314"/>
      <c r="BH3876" s="314"/>
      <c r="BI3876" s="314"/>
      <c r="BJ3876" s="314"/>
      <c r="BK3876" s="40"/>
      <c r="BL3876" s="40"/>
      <c r="BM3876" s="40"/>
      <c r="BN3876" s="40"/>
      <c r="BO3876" s="40"/>
      <c r="BP3876" s="155"/>
      <c r="BQ3876" s="314"/>
      <c r="BR3876" s="314"/>
      <c r="BS3876" s="314"/>
      <c r="BT3876" s="314"/>
      <c r="BU3876" s="314"/>
      <c r="BV3876" s="314"/>
      <c r="BW3876" s="314"/>
      <c r="BX3876" s="155"/>
    </row>
    <row r="3877" spans="1:76" ht="15.75" customHeight="1">
      <c r="A3877" s="25"/>
      <c r="B3877" s="39"/>
      <c r="C3877" s="155"/>
      <c r="D3877" s="155"/>
      <c r="E3877" s="40"/>
      <c r="F3877" s="314"/>
      <c r="H3877" s="315"/>
      <c r="I3877" s="315"/>
      <c r="BA3877" s="30"/>
      <c r="BB3877" s="155"/>
      <c r="BC3877" s="314"/>
      <c r="BD3877" s="314"/>
      <c r="BE3877" s="314"/>
      <c r="BF3877" s="314"/>
      <c r="BG3877" s="314"/>
      <c r="BH3877" s="314"/>
      <c r="BI3877" s="314"/>
      <c r="BJ3877" s="314"/>
      <c r="BK3877" s="40"/>
      <c r="BL3877" s="40"/>
      <c r="BM3877" s="40"/>
      <c r="BN3877" s="40"/>
      <c r="BO3877" s="40"/>
      <c r="BP3877" s="155"/>
      <c r="BQ3877" s="314"/>
      <c r="BR3877" s="314"/>
      <c r="BS3877" s="314"/>
      <c r="BT3877" s="314"/>
      <c r="BU3877" s="314"/>
      <c r="BV3877" s="314"/>
      <c r="BW3877" s="314"/>
      <c r="BX3877" s="155"/>
    </row>
    <row r="3878" spans="1:76" ht="15.75" customHeight="1">
      <c r="A3878" s="25"/>
      <c r="B3878" s="39"/>
      <c r="C3878" s="155"/>
      <c r="D3878" s="155"/>
      <c r="E3878" s="40"/>
      <c r="F3878" s="314"/>
      <c r="H3878" s="315"/>
      <c r="I3878" s="315"/>
      <c r="BA3878" s="30"/>
      <c r="BB3878" s="155"/>
      <c r="BC3878" s="314"/>
      <c r="BD3878" s="314"/>
      <c r="BE3878" s="314"/>
      <c r="BF3878" s="314"/>
      <c r="BG3878" s="314"/>
      <c r="BH3878" s="314"/>
      <c r="BI3878" s="314"/>
      <c r="BJ3878" s="314"/>
      <c r="BK3878" s="40"/>
      <c r="BL3878" s="40"/>
      <c r="BM3878" s="40"/>
      <c r="BN3878" s="40"/>
      <c r="BO3878" s="40"/>
      <c r="BP3878" s="155"/>
      <c r="BQ3878" s="314"/>
      <c r="BR3878" s="314"/>
      <c r="BS3878" s="314"/>
      <c r="BT3878" s="314"/>
      <c r="BU3878" s="314"/>
      <c r="BV3878" s="314"/>
      <c r="BW3878" s="314"/>
      <c r="BX3878" s="155"/>
    </row>
    <row r="3879" spans="1:76" ht="15.75" customHeight="1">
      <c r="A3879" s="25"/>
      <c r="B3879" s="39"/>
      <c r="C3879" s="155"/>
      <c r="D3879" s="155"/>
      <c r="E3879" s="40"/>
      <c r="F3879" s="314"/>
      <c r="H3879" s="315"/>
      <c r="I3879" s="315"/>
      <c r="BA3879" s="30"/>
      <c r="BB3879" s="155"/>
      <c r="BC3879" s="314"/>
      <c r="BD3879" s="314"/>
      <c r="BE3879" s="314"/>
      <c r="BF3879" s="314"/>
      <c r="BG3879" s="314"/>
      <c r="BH3879" s="314"/>
      <c r="BI3879" s="314"/>
      <c r="BJ3879" s="314"/>
      <c r="BK3879" s="40"/>
      <c r="BL3879" s="40"/>
      <c r="BM3879" s="40"/>
      <c r="BN3879" s="40"/>
      <c r="BO3879" s="40"/>
      <c r="BP3879" s="155"/>
      <c r="BQ3879" s="314"/>
      <c r="BR3879" s="314"/>
      <c r="BS3879" s="314"/>
      <c r="BT3879" s="314"/>
      <c r="BU3879" s="314"/>
      <c r="BV3879" s="314"/>
      <c r="BW3879" s="314"/>
      <c r="BX3879" s="155"/>
    </row>
    <row r="3880" spans="1:76" ht="15.75" customHeight="1">
      <c r="A3880" s="25"/>
      <c r="B3880" s="39"/>
      <c r="C3880" s="155"/>
      <c r="D3880" s="155"/>
      <c r="E3880" s="40"/>
      <c r="F3880" s="314"/>
      <c r="H3880" s="315"/>
      <c r="I3880" s="315"/>
      <c r="BA3880" s="30"/>
      <c r="BB3880" s="155"/>
      <c r="BC3880" s="314"/>
      <c r="BD3880" s="314"/>
      <c r="BE3880" s="314"/>
      <c r="BF3880" s="314"/>
      <c r="BG3880" s="314"/>
      <c r="BH3880" s="314"/>
      <c r="BI3880" s="314"/>
      <c r="BJ3880" s="314"/>
      <c r="BK3880" s="40"/>
      <c r="BL3880" s="40"/>
      <c r="BM3880" s="40"/>
      <c r="BN3880" s="40"/>
      <c r="BO3880" s="40"/>
      <c r="BP3880" s="155"/>
      <c r="BQ3880" s="314"/>
      <c r="BR3880" s="314"/>
      <c r="BS3880" s="314"/>
      <c r="BT3880" s="314"/>
      <c r="BU3880" s="314"/>
      <c r="BV3880" s="314"/>
      <c r="BW3880" s="314"/>
      <c r="BX3880" s="155"/>
    </row>
    <row r="3881" spans="1:76" ht="15.75" customHeight="1">
      <c r="A3881" s="25"/>
      <c r="B3881" s="39"/>
      <c r="C3881" s="155"/>
      <c r="D3881" s="155"/>
      <c r="E3881" s="40"/>
      <c r="F3881" s="314"/>
      <c r="H3881" s="315"/>
      <c r="I3881" s="315"/>
      <c r="BA3881" s="30"/>
      <c r="BB3881" s="155"/>
      <c r="BC3881" s="314"/>
      <c r="BD3881" s="314"/>
      <c r="BE3881" s="314"/>
      <c r="BF3881" s="314"/>
      <c r="BG3881" s="314"/>
      <c r="BH3881" s="314"/>
      <c r="BI3881" s="314"/>
      <c r="BJ3881" s="314"/>
      <c r="BK3881" s="40"/>
      <c r="BL3881" s="40"/>
      <c r="BM3881" s="40"/>
      <c r="BN3881" s="40"/>
      <c r="BO3881" s="40"/>
      <c r="BP3881" s="155"/>
      <c r="BQ3881" s="314"/>
      <c r="BR3881" s="314"/>
      <c r="BS3881" s="314"/>
      <c r="BT3881" s="314"/>
      <c r="BU3881" s="314"/>
      <c r="BV3881" s="314"/>
      <c r="BW3881" s="314"/>
      <c r="BX3881" s="155"/>
    </row>
    <row r="3882" spans="1:76" ht="15.75" customHeight="1">
      <c r="A3882" s="25"/>
      <c r="B3882" s="39"/>
      <c r="C3882" s="155"/>
      <c r="D3882" s="155"/>
      <c r="E3882" s="40"/>
      <c r="F3882" s="314"/>
      <c r="H3882" s="315"/>
      <c r="I3882" s="315"/>
      <c r="BA3882" s="30"/>
      <c r="BB3882" s="155"/>
      <c r="BC3882" s="314"/>
      <c r="BD3882" s="314"/>
      <c r="BE3882" s="314"/>
      <c r="BF3882" s="314"/>
      <c r="BG3882" s="314"/>
      <c r="BH3882" s="314"/>
      <c r="BI3882" s="314"/>
      <c r="BJ3882" s="314"/>
      <c r="BK3882" s="40"/>
      <c r="BL3882" s="40"/>
      <c r="BM3882" s="40"/>
      <c r="BN3882" s="40"/>
      <c r="BO3882" s="40"/>
      <c r="BP3882" s="155"/>
      <c r="BQ3882" s="314"/>
      <c r="BR3882" s="314"/>
      <c r="BS3882" s="314"/>
      <c r="BT3882" s="314"/>
      <c r="BU3882" s="314"/>
      <c r="BV3882" s="314"/>
      <c r="BW3882" s="314"/>
      <c r="BX3882" s="155"/>
    </row>
    <row r="3883" spans="1:76" ht="15.75" customHeight="1">
      <c r="A3883" s="25"/>
      <c r="B3883" s="39"/>
      <c r="C3883" s="155"/>
      <c r="D3883" s="155"/>
      <c r="E3883" s="40"/>
      <c r="F3883" s="314"/>
      <c r="H3883" s="315"/>
      <c r="I3883" s="315"/>
      <c r="BA3883" s="30"/>
      <c r="BB3883" s="155"/>
      <c r="BC3883" s="314"/>
      <c r="BD3883" s="314"/>
      <c r="BE3883" s="314"/>
      <c r="BF3883" s="314"/>
      <c r="BG3883" s="314"/>
      <c r="BH3883" s="314"/>
      <c r="BI3883" s="314"/>
      <c r="BJ3883" s="314"/>
      <c r="BK3883" s="40"/>
      <c r="BL3883" s="40"/>
      <c r="BM3883" s="40"/>
      <c r="BN3883" s="40"/>
      <c r="BO3883" s="40"/>
      <c r="BP3883" s="155"/>
      <c r="BQ3883" s="314"/>
      <c r="BR3883" s="314"/>
      <c r="BS3883" s="314"/>
      <c r="BT3883" s="314"/>
      <c r="BU3883" s="314"/>
      <c r="BV3883" s="314"/>
      <c r="BW3883" s="314"/>
      <c r="BX3883" s="155"/>
    </row>
    <row r="3884" spans="1:76" ht="15.75" customHeight="1">
      <c r="A3884" s="25"/>
      <c r="B3884" s="39"/>
      <c r="C3884" s="155"/>
      <c r="D3884" s="155"/>
      <c r="E3884" s="40"/>
      <c r="F3884" s="314"/>
      <c r="H3884" s="315"/>
      <c r="I3884" s="315"/>
      <c r="BA3884" s="30"/>
      <c r="BB3884" s="155"/>
      <c r="BC3884" s="314"/>
      <c r="BD3884" s="314"/>
      <c r="BE3884" s="314"/>
      <c r="BF3884" s="314"/>
      <c r="BG3884" s="314"/>
      <c r="BH3884" s="314"/>
      <c r="BI3884" s="314"/>
      <c r="BJ3884" s="314"/>
      <c r="BK3884" s="40"/>
      <c r="BL3884" s="40"/>
      <c r="BM3884" s="40"/>
      <c r="BN3884" s="40"/>
      <c r="BO3884" s="40"/>
      <c r="BP3884" s="155"/>
      <c r="BQ3884" s="314"/>
      <c r="BR3884" s="314"/>
      <c r="BS3884" s="314"/>
      <c r="BT3884" s="314"/>
      <c r="BU3884" s="314"/>
      <c r="BV3884" s="314"/>
      <c r="BW3884" s="314"/>
      <c r="BX3884" s="155"/>
    </row>
    <row r="3885" spans="1:76" ht="15.75" customHeight="1">
      <c r="A3885" s="25"/>
      <c r="B3885" s="39"/>
      <c r="C3885" s="155"/>
      <c r="D3885" s="155"/>
      <c r="E3885" s="40"/>
      <c r="F3885" s="314"/>
      <c r="H3885" s="315"/>
      <c r="I3885" s="315"/>
      <c r="BA3885" s="30"/>
      <c r="BB3885" s="155"/>
      <c r="BC3885" s="314"/>
      <c r="BD3885" s="314"/>
      <c r="BE3885" s="314"/>
      <c r="BF3885" s="314"/>
      <c r="BG3885" s="314"/>
      <c r="BH3885" s="314"/>
      <c r="BI3885" s="314"/>
      <c r="BJ3885" s="314"/>
      <c r="BK3885" s="40"/>
      <c r="BL3885" s="40"/>
      <c r="BM3885" s="40"/>
      <c r="BN3885" s="40"/>
      <c r="BO3885" s="40"/>
      <c r="BP3885" s="155"/>
      <c r="BQ3885" s="314"/>
      <c r="BR3885" s="314"/>
      <c r="BS3885" s="314"/>
      <c r="BT3885" s="314"/>
      <c r="BU3885" s="314"/>
      <c r="BV3885" s="314"/>
      <c r="BW3885" s="314"/>
      <c r="BX3885" s="155"/>
    </row>
    <row r="3886" spans="1:76" ht="15.75" customHeight="1">
      <c r="A3886" s="25"/>
      <c r="B3886" s="39"/>
      <c r="C3886" s="155"/>
      <c r="D3886" s="155"/>
      <c r="E3886" s="40"/>
      <c r="F3886" s="314"/>
      <c r="H3886" s="315"/>
      <c r="I3886" s="315"/>
      <c r="BA3886" s="30"/>
      <c r="BB3886" s="155"/>
      <c r="BC3886" s="314"/>
      <c r="BD3886" s="314"/>
      <c r="BE3886" s="314"/>
      <c r="BF3886" s="314"/>
      <c r="BG3886" s="314"/>
      <c r="BH3886" s="314"/>
      <c r="BI3886" s="314"/>
      <c r="BJ3886" s="314"/>
      <c r="BK3886" s="40"/>
      <c r="BL3886" s="40"/>
      <c r="BM3886" s="40"/>
      <c r="BN3886" s="40"/>
      <c r="BO3886" s="40"/>
      <c r="BP3886" s="155"/>
      <c r="BQ3886" s="314"/>
      <c r="BR3886" s="314"/>
      <c r="BS3886" s="314"/>
      <c r="BT3886" s="314"/>
      <c r="BU3886" s="314"/>
      <c r="BV3886" s="314"/>
      <c r="BW3886" s="314"/>
      <c r="BX3886" s="155"/>
    </row>
    <row r="3887" spans="1:76" ht="15.75" customHeight="1">
      <c r="A3887" s="25"/>
      <c r="B3887" s="39"/>
      <c r="C3887" s="155"/>
      <c r="D3887" s="155"/>
      <c r="E3887" s="40"/>
      <c r="F3887" s="314"/>
      <c r="H3887" s="315"/>
      <c r="I3887" s="315"/>
      <c r="BA3887" s="30"/>
      <c r="BB3887" s="155"/>
      <c r="BC3887" s="314"/>
      <c r="BD3887" s="314"/>
      <c r="BE3887" s="314"/>
      <c r="BF3887" s="314"/>
      <c r="BG3887" s="314"/>
      <c r="BH3887" s="314"/>
      <c r="BI3887" s="314"/>
      <c r="BJ3887" s="314"/>
      <c r="BK3887" s="40"/>
      <c r="BL3887" s="40"/>
      <c r="BM3887" s="40"/>
      <c r="BN3887" s="40"/>
      <c r="BO3887" s="40"/>
      <c r="BP3887" s="155"/>
      <c r="BQ3887" s="314"/>
      <c r="BR3887" s="314"/>
      <c r="BS3887" s="314"/>
      <c r="BT3887" s="314"/>
      <c r="BU3887" s="314"/>
      <c r="BV3887" s="314"/>
      <c r="BW3887" s="314"/>
      <c r="BX3887" s="155"/>
    </row>
    <row r="3888" spans="1:76" ht="15.75" customHeight="1">
      <c r="A3888" s="25"/>
      <c r="B3888" s="39"/>
      <c r="C3888" s="155"/>
      <c r="D3888" s="155"/>
      <c r="E3888" s="40"/>
      <c r="F3888" s="314"/>
      <c r="H3888" s="315"/>
      <c r="I3888" s="315"/>
      <c r="BA3888" s="30"/>
      <c r="BB3888" s="155"/>
      <c r="BC3888" s="314"/>
      <c r="BD3888" s="314"/>
      <c r="BE3888" s="314"/>
      <c r="BF3888" s="314"/>
      <c r="BG3888" s="314"/>
      <c r="BH3888" s="314"/>
      <c r="BI3888" s="314"/>
      <c r="BJ3888" s="314"/>
      <c r="BK3888" s="40"/>
      <c r="BL3888" s="40"/>
      <c r="BM3888" s="40"/>
      <c r="BN3888" s="40"/>
      <c r="BO3888" s="40"/>
      <c r="BP3888" s="155"/>
      <c r="BQ3888" s="314"/>
      <c r="BR3888" s="314"/>
      <c r="BS3888" s="314"/>
      <c r="BT3888" s="314"/>
      <c r="BU3888" s="314"/>
      <c r="BV3888" s="314"/>
      <c r="BW3888" s="314"/>
      <c r="BX3888" s="155"/>
    </row>
    <row r="3889" spans="1:76" ht="15.75" customHeight="1">
      <c r="A3889" s="25"/>
      <c r="B3889" s="39"/>
      <c r="C3889" s="155"/>
      <c r="D3889" s="155"/>
      <c r="E3889" s="40"/>
      <c r="F3889" s="314"/>
      <c r="H3889" s="315"/>
      <c r="I3889" s="315"/>
      <c r="BA3889" s="30"/>
      <c r="BB3889" s="155"/>
      <c r="BC3889" s="314"/>
      <c r="BD3889" s="314"/>
      <c r="BE3889" s="314"/>
      <c r="BF3889" s="314"/>
      <c r="BG3889" s="314"/>
      <c r="BH3889" s="314"/>
      <c r="BI3889" s="314"/>
      <c r="BJ3889" s="314"/>
      <c r="BK3889" s="40"/>
      <c r="BL3889" s="40"/>
      <c r="BM3889" s="40"/>
      <c r="BN3889" s="40"/>
      <c r="BO3889" s="40"/>
      <c r="BP3889" s="155"/>
      <c r="BQ3889" s="314"/>
      <c r="BR3889" s="314"/>
      <c r="BS3889" s="314"/>
      <c r="BT3889" s="314"/>
      <c r="BU3889" s="314"/>
      <c r="BV3889" s="314"/>
      <c r="BW3889" s="314"/>
      <c r="BX3889" s="155"/>
    </row>
    <row r="3890" spans="1:76" ht="15.75" customHeight="1">
      <c r="A3890" s="25"/>
      <c r="B3890" s="39"/>
      <c r="C3890" s="155"/>
      <c r="D3890" s="155"/>
      <c r="E3890" s="40"/>
      <c r="F3890" s="314"/>
      <c r="H3890" s="315"/>
      <c r="I3890" s="315"/>
      <c r="BA3890" s="30"/>
      <c r="BB3890" s="155"/>
      <c r="BC3890" s="314"/>
      <c r="BD3890" s="314"/>
      <c r="BE3890" s="314"/>
      <c r="BF3890" s="314"/>
      <c r="BG3890" s="314"/>
      <c r="BH3890" s="314"/>
      <c r="BI3890" s="314"/>
      <c r="BJ3890" s="314"/>
      <c r="BK3890" s="40"/>
      <c r="BL3890" s="40"/>
      <c r="BM3890" s="40"/>
      <c r="BN3890" s="40"/>
      <c r="BO3890" s="40"/>
      <c r="BP3890" s="155"/>
      <c r="BQ3890" s="314"/>
      <c r="BR3890" s="314"/>
      <c r="BS3890" s="314"/>
      <c r="BT3890" s="314"/>
      <c r="BU3890" s="314"/>
      <c r="BV3890" s="314"/>
      <c r="BW3890" s="314"/>
      <c r="BX3890" s="155"/>
    </row>
    <row r="3891" spans="1:76" ht="15.75" customHeight="1">
      <c r="A3891" s="25"/>
      <c r="B3891" s="39"/>
      <c r="C3891" s="155"/>
      <c r="D3891" s="155"/>
      <c r="E3891" s="40"/>
      <c r="F3891" s="314"/>
      <c r="H3891" s="315"/>
      <c r="I3891" s="315"/>
      <c r="BA3891" s="30"/>
      <c r="BB3891" s="155"/>
      <c r="BC3891" s="314"/>
      <c r="BD3891" s="314"/>
      <c r="BE3891" s="314"/>
      <c r="BF3891" s="314"/>
      <c r="BG3891" s="314"/>
      <c r="BH3891" s="314"/>
      <c r="BI3891" s="314"/>
      <c r="BJ3891" s="314"/>
      <c r="BK3891" s="40"/>
      <c r="BL3891" s="40"/>
      <c r="BM3891" s="40"/>
      <c r="BN3891" s="40"/>
      <c r="BO3891" s="40"/>
      <c r="BP3891" s="155"/>
      <c r="BQ3891" s="314"/>
      <c r="BR3891" s="314"/>
      <c r="BS3891" s="314"/>
      <c r="BT3891" s="314"/>
      <c r="BU3891" s="314"/>
      <c r="BV3891" s="314"/>
      <c r="BW3891" s="314"/>
      <c r="BX3891" s="155"/>
    </row>
    <row r="3892" spans="1:76" ht="15.75" customHeight="1">
      <c r="A3892" s="25"/>
      <c r="B3892" s="39"/>
      <c r="C3892" s="155"/>
      <c r="D3892" s="155"/>
      <c r="E3892" s="40"/>
      <c r="F3892" s="314"/>
      <c r="H3892" s="315"/>
      <c r="I3892" s="315"/>
      <c r="BA3892" s="30"/>
      <c r="BB3892" s="155"/>
      <c r="BC3892" s="314"/>
      <c r="BD3892" s="314"/>
      <c r="BE3892" s="314"/>
      <c r="BF3892" s="314"/>
      <c r="BG3892" s="314"/>
      <c r="BH3892" s="314"/>
      <c r="BI3892" s="314"/>
      <c r="BJ3892" s="314"/>
      <c r="BK3892" s="40"/>
      <c r="BL3892" s="40"/>
      <c r="BM3892" s="40"/>
      <c r="BN3892" s="40"/>
      <c r="BO3892" s="40"/>
      <c r="BP3892" s="155"/>
      <c r="BQ3892" s="314"/>
      <c r="BR3892" s="314"/>
      <c r="BS3892" s="314"/>
      <c r="BT3892" s="314"/>
      <c r="BU3892" s="314"/>
      <c r="BV3892" s="314"/>
      <c r="BW3892" s="314"/>
      <c r="BX3892" s="155"/>
    </row>
    <row r="3893" spans="1:76" ht="15.75" customHeight="1">
      <c r="A3893" s="25"/>
      <c r="B3893" s="39"/>
      <c r="C3893" s="155"/>
      <c r="D3893" s="155"/>
      <c r="E3893" s="40"/>
      <c r="F3893" s="314"/>
      <c r="H3893" s="315"/>
      <c r="I3893" s="315"/>
      <c r="BA3893" s="30"/>
      <c r="BB3893" s="155"/>
      <c r="BC3893" s="314"/>
      <c r="BD3893" s="314"/>
      <c r="BE3893" s="314"/>
      <c r="BF3893" s="314"/>
      <c r="BG3893" s="314"/>
      <c r="BH3893" s="314"/>
      <c r="BI3893" s="314"/>
      <c r="BJ3893" s="314"/>
      <c r="BK3893" s="40"/>
      <c r="BL3893" s="40"/>
      <c r="BM3893" s="40"/>
      <c r="BN3893" s="40"/>
      <c r="BO3893" s="40"/>
      <c r="BP3893" s="155"/>
      <c r="BQ3893" s="314"/>
      <c r="BR3893" s="314"/>
      <c r="BS3893" s="314"/>
      <c r="BT3893" s="314"/>
      <c r="BU3893" s="314"/>
      <c r="BV3893" s="314"/>
      <c r="BW3893" s="314"/>
      <c r="BX3893" s="155"/>
    </row>
    <row r="3894" spans="1:76" ht="15.75" customHeight="1">
      <c r="A3894" s="25"/>
      <c r="B3894" s="39"/>
      <c r="C3894" s="155"/>
      <c r="D3894" s="155"/>
      <c r="E3894" s="40"/>
      <c r="F3894" s="314"/>
      <c r="H3894" s="315"/>
      <c r="I3894" s="315"/>
      <c r="BA3894" s="30"/>
      <c r="BB3894" s="155"/>
      <c r="BC3894" s="314"/>
      <c r="BD3894" s="314"/>
      <c r="BE3894" s="314"/>
      <c r="BF3894" s="314"/>
      <c r="BG3894" s="314"/>
      <c r="BH3894" s="314"/>
      <c r="BI3894" s="314"/>
      <c r="BJ3894" s="314"/>
      <c r="BK3894" s="40"/>
      <c r="BL3894" s="40"/>
      <c r="BM3894" s="40"/>
      <c r="BN3894" s="40"/>
      <c r="BO3894" s="40"/>
      <c r="BP3894" s="155"/>
      <c r="BQ3894" s="314"/>
      <c r="BR3894" s="314"/>
      <c r="BS3894" s="314"/>
      <c r="BT3894" s="314"/>
      <c r="BU3894" s="314"/>
      <c r="BV3894" s="314"/>
      <c r="BW3894" s="314"/>
      <c r="BX3894" s="155"/>
    </row>
    <row r="3895" spans="1:76" ht="15.75" customHeight="1">
      <c r="A3895" s="25"/>
      <c r="B3895" s="39"/>
      <c r="C3895" s="155"/>
      <c r="D3895" s="155"/>
      <c r="E3895" s="40"/>
      <c r="F3895" s="314"/>
      <c r="H3895" s="315"/>
      <c r="I3895" s="315"/>
      <c r="BA3895" s="30"/>
      <c r="BB3895" s="155"/>
      <c r="BC3895" s="314"/>
      <c r="BD3895" s="314"/>
      <c r="BE3895" s="314"/>
      <c r="BF3895" s="314"/>
      <c r="BG3895" s="314"/>
      <c r="BH3895" s="314"/>
      <c r="BI3895" s="314"/>
      <c r="BJ3895" s="314"/>
      <c r="BK3895" s="40"/>
      <c r="BL3895" s="40"/>
      <c r="BM3895" s="40"/>
      <c r="BN3895" s="40"/>
      <c r="BO3895" s="40"/>
      <c r="BP3895" s="155"/>
      <c r="BQ3895" s="314"/>
      <c r="BR3895" s="314"/>
      <c r="BS3895" s="314"/>
      <c r="BT3895" s="314"/>
      <c r="BU3895" s="314"/>
      <c r="BV3895" s="314"/>
      <c r="BW3895" s="314"/>
      <c r="BX3895" s="155"/>
    </row>
    <row r="3896" spans="1:76" ht="15.75" customHeight="1">
      <c r="A3896" s="25"/>
      <c r="B3896" s="39"/>
      <c r="C3896" s="155"/>
      <c r="D3896" s="155"/>
      <c r="E3896" s="40"/>
      <c r="F3896" s="314"/>
      <c r="H3896" s="315"/>
      <c r="I3896" s="315"/>
      <c r="BA3896" s="30"/>
      <c r="BB3896" s="155"/>
      <c r="BC3896" s="314"/>
      <c r="BD3896" s="314"/>
      <c r="BE3896" s="314"/>
      <c r="BF3896" s="314"/>
      <c r="BG3896" s="314"/>
      <c r="BH3896" s="314"/>
      <c r="BI3896" s="314"/>
      <c r="BJ3896" s="314"/>
      <c r="BK3896" s="40"/>
      <c r="BL3896" s="40"/>
      <c r="BM3896" s="40"/>
      <c r="BN3896" s="40"/>
      <c r="BO3896" s="40"/>
      <c r="BP3896" s="155"/>
      <c r="BQ3896" s="314"/>
      <c r="BR3896" s="314"/>
      <c r="BS3896" s="314"/>
      <c r="BT3896" s="314"/>
      <c r="BU3896" s="314"/>
      <c r="BV3896" s="314"/>
      <c r="BW3896" s="314"/>
      <c r="BX3896" s="155"/>
    </row>
    <row r="3897" spans="1:76" ht="15.75" customHeight="1">
      <c r="A3897" s="25"/>
      <c r="B3897" s="39"/>
      <c r="C3897" s="155"/>
      <c r="D3897" s="155"/>
      <c r="E3897" s="40"/>
      <c r="F3897" s="314"/>
      <c r="H3897" s="315"/>
      <c r="I3897" s="315"/>
      <c r="BA3897" s="30"/>
      <c r="BB3897" s="155"/>
      <c r="BC3897" s="314"/>
      <c r="BD3897" s="314"/>
      <c r="BE3897" s="314"/>
      <c r="BF3897" s="314"/>
      <c r="BG3897" s="314"/>
      <c r="BH3897" s="314"/>
      <c r="BI3897" s="314"/>
      <c r="BJ3897" s="314"/>
      <c r="BK3897" s="40"/>
      <c r="BL3897" s="40"/>
      <c r="BM3897" s="40"/>
      <c r="BN3897" s="40"/>
      <c r="BO3897" s="40"/>
      <c r="BP3897" s="155"/>
      <c r="BQ3897" s="314"/>
      <c r="BR3897" s="314"/>
      <c r="BS3897" s="314"/>
      <c r="BT3897" s="314"/>
      <c r="BU3897" s="314"/>
      <c r="BV3897" s="314"/>
      <c r="BW3897" s="314"/>
      <c r="BX3897" s="155"/>
    </row>
    <row r="3898" spans="1:76" ht="15.75" customHeight="1">
      <c r="A3898" s="25"/>
      <c r="B3898" s="39"/>
      <c r="C3898" s="155"/>
      <c r="D3898" s="155"/>
      <c r="E3898" s="40"/>
      <c r="F3898" s="314"/>
      <c r="H3898" s="315"/>
      <c r="I3898" s="315"/>
      <c r="BA3898" s="30"/>
      <c r="BB3898" s="155"/>
      <c r="BC3898" s="314"/>
      <c r="BD3898" s="314"/>
      <c r="BE3898" s="314"/>
      <c r="BF3898" s="314"/>
      <c r="BG3898" s="314"/>
      <c r="BH3898" s="314"/>
      <c r="BI3898" s="314"/>
      <c r="BJ3898" s="314"/>
      <c r="BK3898" s="40"/>
      <c r="BL3898" s="40"/>
      <c r="BM3898" s="40"/>
      <c r="BN3898" s="40"/>
      <c r="BO3898" s="40"/>
      <c r="BP3898" s="155"/>
      <c r="BQ3898" s="314"/>
      <c r="BR3898" s="314"/>
      <c r="BS3898" s="314"/>
      <c r="BT3898" s="314"/>
      <c r="BU3898" s="314"/>
      <c r="BV3898" s="314"/>
      <c r="BW3898" s="314"/>
      <c r="BX3898" s="155"/>
    </row>
    <row r="3899" spans="1:76" ht="15.75" customHeight="1">
      <c r="A3899" s="25"/>
      <c r="B3899" s="39"/>
      <c r="C3899" s="155"/>
      <c r="D3899" s="155"/>
      <c r="E3899" s="40"/>
      <c r="F3899" s="314"/>
      <c r="H3899" s="315"/>
      <c r="I3899" s="315"/>
      <c r="BA3899" s="30"/>
      <c r="BB3899" s="155"/>
      <c r="BC3899" s="314"/>
      <c r="BD3899" s="314"/>
      <c r="BE3899" s="314"/>
      <c r="BF3899" s="314"/>
      <c r="BG3899" s="314"/>
      <c r="BH3899" s="314"/>
      <c r="BI3899" s="314"/>
      <c r="BJ3899" s="314"/>
      <c r="BK3899" s="40"/>
      <c r="BL3899" s="40"/>
      <c r="BM3899" s="40"/>
      <c r="BN3899" s="40"/>
      <c r="BO3899" s="40"/>
      <c r="BP3899" s="155"/>
      <c r="BQ3899" s="314"/>
      <c r="BR3899" s="314"/>
      <c r="BS3899" s="314"/>
      <c r="BT3899" s="314"/>
      <c r="BU3899" s="314"/>
      <c r="BV3899" s="314"/>
      <c r="BW3899" s="314"/>
      <c r="BX3899" s="155"/>
    </row>
    <row r="3900" spans="1:76" ht="15.75" customHeight="1">
      <c r="A3900" s="25"/>
      <c r="B3900" s="39"/>
      <c r="C3900" s="155"/>
      <c r="D3900" s="155"/>
      <c r="E3900" s="40"/>
      <c r="F3900" s="314"/>
      <c r="H3900" s="315"/>
      <c r="I3900" s="315"/>
      <c r="BA3900" s="30"/>
      <c r="BB3900" s="155"/>
      <c r="BC3900" s="314"/>
      <c r="BD3900" s="314"/>
      <c r="BE3900" s="314"/>
      <c r="BF3900" s="314"/>
      <c r="BG3900" s="314"/>
      <c r="BH3900" s="314"/>
      <c r="BI3900" s="314"/>
      <c r="BJ3900" s="314"/>
      <c r="BK3900" s="40"/>
      <c r="BL3900" s="40"/>
      <c r="BM3900" s="40"/>
      <c r="BN3900" s="40"/>
      <c r="BO3900" s="40"/>
      <c r="BP3900" s="155"/>
      <c r="BQ3900" s="314"/>
      <c r="BR3900" s="314"/>
      <c r="BS3900" s="314"/>
      <c r="BT3900" s="314"/>
      <c r="BU3900" s="314"/>
      <c r="BV3900" s="314"/>
      <c r="BW3900" s="314"/>
      <c r="BX3900" s="155"/>
    </row>
    <row r="3901" spans="1:76" ht="15.75" customHeight="1">
      <c r="A3901" s="25"/>
      <c r="B3901" s="39"/>
      <c r="C3901" s="155"/>
      <c r="D3901" s="155"/>
      <c r="E3901" s="40"/>
      <c r="F3901" s="314"/>
      <c r="H3901" s="315"/>
      <c r="I3901" s="315"/>
      <c r="BA3901" s="30"/>
      <c r="BB3901" s="155"/>
      <c r="BC3901" s="314"/>
      <c r="BD3901" s="314"/>
      <c r="BE3901" s="314"/>
      <c r="BF3901" s="314"/>
      <c r="BG3901" s="314"/>
      <c r="BH3901" s="314"/>
      <c r="BI3901" s="314"/>
      <c r="BJ3901" s="314"/>
      <c r="BK3901" s="40"/>
      <c r="BL3901" s="40"/>
      <c r="BM3901" s="40"/>
      <c r="BN3901" s="40"/>
      <c r="BO3901" s="40"/>
      <c r="BP3901" s="155"/>
      <c r="BQ3901" s="314"/>
      <c r="BR3901" s="314"/>
      <c r="BS3901" s="314"/>
      <c r="BT3901" s="314"/>
      <c r="BU3901" s="314"/>
      <c r="BV3901" s="314"/>
      <c r="BW3901" s="314"/>
      <c r="BX3901" s="155"/>
    </row>
    <row r="3902" spans="1:76" ht="15.75" customHeight="1">
      <c r="A3902" s="25"/>
      <c r="B3902" s="39"/>
      <c r="C3902" s="155"/>
      <c r="D3902" s="155"/>
      <c r="E3902" s="40"/>
      <c r="F3902" s="314"/>
      <c r="H3902" s="315"/>
      <c r="I3902" s="315"/>
      <c r="BA3902" s="30"/>
      <c r="BB3902" s="155"/>
      <c r="BC3902" s="314"/>
      <c r="BD3902" s="314"/>
      <c r="BE3902" s="314"/>
      <c r="BF3902" s="314"/>
      <c r="BG3902" s="314"/>
      <c r="BH3902" s="314"/>
      <c r="BI3902" s="314"/>
      <c r="BJ3902" s="314"/>
      <c r="BK3902" s="40"/>
      <c r="BL3902" s="40"/>
      <c r="BM3902" s="40"/>
      <c r="BN3902" s="40"/>
      <c r="BO3902" s="40"/>
      <c r="BP3902" s="155"/>
      <c r="BQ3902" s="314"/>
      <c r="BR3902" s="314"/>
      <c r="BS3902" s="314"/>
      <c r="BT3902" s="314"/>
      <c r="BU3902" s="314"/>
      <c r="BV3902" s="314"/>
      <c r="BW3902" s="314"/>
      <c r="BX3902" s="155"/>
    </row>
    <row r="3903" spans="1:76" ht="15.75" customHeight="1">
      <c r="A3903" s="25"/>
      <c r="B3903" s="39"/>
      <c r="C3903" s="155"/>
      <c r="D3903" s="155"/>
      <c r="E3903" s="40"/>
      <c r="F3903" s="314"/>
      <c r="H3903" s="315"/>
      <c r="I3903" s="315"/>
      <c r="BA3903" s="30"/>
      <c r="BB3903" s="155"/>
      <c r="BC3903" s="314"/>
      <c r="BD3903" s="314"/>
      <c r="BE3903" s="314"/>
      <c r="BF3903" s="314"/>
      <c r="BG3903" s="314"/>
      <c r="BH3903" s="314"/>
      <c r="BI3903" s="314"/>
      <c r="BJ3903" s="314"/>
      <c r="BK3903" s="40"/>
      <c r="BL3903" s="40"/>
      <c r="BM3903" s="40"/>
      <c r="BN3903" s="40"/>
      <c r="BO3903" s="40"/>
      <c r="BP3903" s="155"/>
      <c r="BQ3903" s="314"/>
      <c r="BR3903" s="314"/>
      <c r="BS3903" s="314"/>
      <c r="BT3903" s="314"/>
      <c r="BU3903" s="314"/>
      <c r="BV3903" s="314"/>
      <c r="BW3903" s="314"/>
      <c r="BX3903" s="155"/>
    </row>
    <row r="3904" spans="1:76" ht="15.75" customHeight="1">
      <c r="A3904" s="25"/>
      <c r="B3904" s="39"/>
      <c r="C3904" s="155"/>
      <c r="D3904" s="155"/>
      <c r="E3904" s="40"/>
      <c r="F3904" s="314"/>
      <c r="H3904" s="315"/>
      <c r="I3904" s="315"/>
      <c r="BA3904" s="30"/>
      <c r="BB3904" s="155"/>
      <c r="BC3904" s="314"/>
      <c r="BD3904" s="314"/>
      <c r="BE3904" s="314"/>
      <c r="BF3904" s="314"/>
      <c r="BG3904" s="314"/>
      <c r="BH3904" s="314"/>
      <c r="BI3904" s="314"/>
      <c r="BJ3904" s="314"/>
      <c r="BK3904" s="40"/>
      <c r="BL3904" s="40"/>
      <c r="BM3904" s="40"/>
      <c r="BN3904" s="40"/>
      <c r="BO3904" s="40"/>
      <c r="BP3904" s="155"/>
      <c r="BQ3904" s="314"/>
      <c r="BR3904" s="314"/>
      <c r="BS3904" s="314"/>
      <c r="BT3904" s="314"/>
      <c r="BU3904" s="314"/>
      <c r="BV3904" s="314"/>
      <c r="BW3904" s="314"/>
      <c r="BX3904" s="155"/>
    </row>
    <row r="3905" spans="1:76" ht="15.75" customHeight="1">
      <c r="A3905" s="25"/>
      <c r="B3905" s="39"/>
      <c r="C3905" s="155"/>
      <c r="D3905" s="155"/>
      <c r="E3905" s="40"/>
      <c r="F3905" s="314"/>
      <c r="H3905" s="315"/>
      <c r="I3905" s="315"/>
      <c r="BA3905" s="30"/>
      <c r="BB3905" s="155"/>
      <c r="BC3905" s="314"/>
      <c r="BD3905" s="314"/>
      <c r="BE3905" s="314"/>
      <c r="BF3905" s="314"/>
      <c r="BG3905" s="314"/>
      <c r="BH3905" s="314"/>
      <c r="BI3905" s="314"/>
      <c r="BJ3905" s="314"/>
      <c r="BK3905" s="40"/>
      <c r="BL3905" s="40"/>
      <c r="BM3905" s="40"/>
      <c r="BN3905" s="40"/>
      <c r="BO3905" s="40"/>
      <c r="BP3905" s="155"/>
      <c r="BQ3905" s="314"/>
      <c r="BR3905" s="314"/>
      <c r="BS3905" s="314"/>
      <c r="BT3905" s="314"/>
      <c r="BU3905" s="314"/>
      <c r="BV3905" s="314"/>
      <c r="BW3905" s="314"/>
      <c r="BX3905" s="155"/>
    </row>
    <row r="3906" spans="1:76" ht="15.75" customHeight="1">
      <c r="A3906" s="25"/>
      <c r="B3906" s="39"/>
      <c r="C3906" s="155"/>
      <c r="D3906" s="155"/>
      <c r="E3906" s="40"/>
      <c r="F3906" s="314"/>
      <c r="H3906" s="315"/>
      <c r="I3906" s="315"/>
      <c r="BA3906" s="30"/>
      <c r="BB3906" s="155"/>
      <c r="BC3906" s="322"/>
      <c r="BD3906" s="322"/>
      <c r="BE3906" s="322"/>
      <c r="BF3906" s="322"/>
      <c r="BG3906" s="322"/>
      <c r="BH3906" s="322"/>
      <c r="BI3906" s="322"/>
      <c r="BJ3906" s="322"/>
      <c r="BK3906" s="341"/>
      <c r="BL3906" s="40"/>
      <c r="BM3906" s="40"/>
      <c r="BN3906" s="40"/>
      <c r="BO3906" s="40"/>
      <c r="BP3906" s="155"/>
      <c r="BQ3906" s="314"/>
      <c r="BR3906" s="314"/>
      <c r="BS3906" s="314"/>
      <c r="BT3906" s="314"/>
      <c r="BU3906" s="314"/>
      <c r="BV3906" s="314"/>
      <c r="BW3906" s="314"/>
      <c r="BX3906" s="155"/>
    </row>
    <row r="3907" spans="1:76" ht="15.75" customHeight="1">
      <c r="A3907" s="25"/>
      <c r="B3907" s="39"/>
      <c r="C3907" s="155"/>
      <c r="D3907" s="155"/>
      <c r="E3907" s="40"/>
      <c r="F3907" s="314"/>
      <c r="H3907" s="315"/>
      <c r="I3907" s="315"/>
      <c r="BA3907" s="30"/>
      <c r="BB3907" s="155"/>
      <c r="BC3907" s="314"/>
      <c r="BD3907" s="314"/>
      <c r="BE3907" s="314"/>
      <c r="BF3907" s="314"/>
      <c r="BG3907" s="314"/>
      <c r="BH3907" s="314"/>
      <c r="BI3907" s="314"/>
      <c r="BJ3907" s="314"/>
      <c r="BK3907" s="40"/>
      <c r="BL3907" s="40"/>
      <c r="BM3907" s="40"/>
      <c r="BN3907" s="40"/>
      <c r="BO3907" s="40"/>
      <c r="BP3907" s="155"/>
      <c r="BQ3907" s="314"/>
      <c r="BR3907" s="314"/>
      <c r="BS3907" s="314"/>
      <c r="BT3907" s="314"/>
      <c r="BU3907" s="314"/>
      <c r="BV3907" s="314"/>
      <c r="BW3907" s="314"/>
      <c r="BX3907" s="155"/>
    </row>
    <row r="3908" spans="1:76" ht="15.75" customHeight="1">
      <c r="A3908" s="25"/>
      <c r="B3908" s="39"/>
      <c r="C3908" s="155"/>
      <c r="D3908" s="155"/>
      <c r="E3908" s="40"/>
      <c r="F3908" s="314"/>
      <c r="H3908" s="315"/>
      <c r="I3908" s="315"/>
      <c r="BA3908" s="30"/>
      <c r="BB3908" s="155"/>
      <c r="BC3908" s="314"/>
      <c r="BD3908" s="314"/>
      <c r="BE3908" s="314"/>
      <c r="BF3908" s="314"/>
      <c r="BG3908" s="314"/>
      <c r="BH3908" s="314"/>
      <c r="BI3908" s="314"/>
      <c r="BJ3908" s="314"/>
      <c r="BK3908" s="40"/>
      <c r="BL3908" s="40"/>
      <c r="BM3908" s="40"/>
      <c r="BN3908" s="40"/>
      <c r="BO3908" s="40"/>
      <c r="BP3908" s="155"/>
      <c r="BQ3908" s="314"/>
      <c r="BR3908" s="314"/>
      <c r="BS3908" s="314"/>
      <c r="BT3908" s="314"/>
      <c r="BU3908" s="314"/>
      <c r="BV3908" s="314"/>
      <c r="BW3908" s="314"/>
      <c r="BX3908" s="155"/>
    </row>
    <row r="3909" spans="1:76" ht="15.75" customHeight="1">
      <c r="A3909" s="25"/>
      <c r="B3909" s="39"/>
      <c r="C3909" s="155"/>
      <c r="D3909" s="155"/>
      <c r="E3909" s="40"/>
      <c r="F3909" s="314"/>
      <c r="H3909" s="315"/>
      <c r="I3909" s="315"/>
      <c r="BA3909" s="30"/>
      <c r="BB3909" s="155"/>
      <c r="BC3909" s="314"/>
      <c r="BD3909" s="314"/>
      <c r="BE3909" s="314"/>
      <c r="BF3909" s="314"/>
      <c r="BG3909" s="314"/>
      <c r="BH3909" s="314"/>
      <c r="BI3909" s="314"/>
      <c r="BJ3909" s="314"/>
      <c r="BK3909" s="40"/>
      <c r="BL3909" s="40"/>
      <c r="BM3909" s="40"/>
      <c r="BN3909" s="40"/>
      <c r="BO3909" s="40"/>
      <c r="BP3909" s="155"/>
      <c r="BQ3909" s="314"/>
      <c r="BR3909" s="314"/>
      <c r="BS3909" s="314"/>
      <c r="BT3909" s="314"/>
      <c r="BU3909" s="314"/>
      <c r="BV3909" s="314"/>
      <c r="BW3909" s="314"/>
      <c r="BX3909" s="155"/>
    </row>
    <row r="3910" spans="1:76" ht="15.75" customHeight="1">
      <c r="A3910" s="25"/>
      <c r="B3910" s="39"/>
      <c r="C3910" s="155"/>
      <c r="D3910" s="155"/>
      <c r="E3910" s="40"/>
      <c r="F3910" s="314"/>
      <c r="H3910" s="315"/>
      <c r="I3910" s="315"/>
      <c r="BA3910" s="30"/>
      <c r="BB3910" s="155"/>
      <c r="BC3910" s="314"/>
      <c r="BD3910" s="314"/>
      <c r="BE3910" s="314"/>
      <c r="BF3910" s="314"/>
      <c r="BG3910" s="314"/>
      <c r="BH3910" s="314"/>
      <c r="BI3910" s="314"/>
      <c r="BJ3910" s="314"/>
      <c r="BK3910" s="40"/>
      <c r="BL3910" s="40"/>
      <c r="BM3910" s="40"/>
      <c r="BN3910" s="40"/>
      <c r="BO3910" s="40"/>
      <c r="BP3910" s="155"/>
      <c r="BQ3910" s="314"/>
      <c r="BR3910" s="314"/>
      <c r="BS3910" s="314"/>
      <c r="BT3910" s="314"/>
      <c r="BU3910" s="314"/>
      <c r="BV3910" s="314"/>
      <c r="BW3910" s="314"/>
      <c r="BX3910" s="155"/>
    </row>
    <row r="3911" spans="1:76" ht="15.75" customHeight="1">
      <c r="A3911" s="25"/>
      <c r="B3911" s="39"/>
      <c r="C3911" s="155"/>
      <c r="D3911" s="155"/>
      <c r="E3911" s="40"/>
      <c r="F3911" s="314"/>
      <c r="H3911" s="315"/>
      <c r="I3911" s="315"/>
      <c r="BA3911" s="30"/>
      <c r="BB3911" s="155"/>
      <c r="BC3911" s="314"/>
      <c r="BD3911" s="314"/>
      <c r="BE3911" s="314"/>
      <c r="BF3911" s="314"/>
      <c r="BG3911" s="314"/>
      <c r="BH3911" s="314"/>
      <c r="BI3911" s="314"/>
      <c r="BJ3911" s="314"/>
      <c r="BK3911" s="40"/>
      <c r="BL3911" s="40"/>
      <c r="BM3911" s="40"/>
      <c r="BN3911" s="40"/>
      <c r="BO3911" s="40"/>
      <c r="BP3911" s="155"/>
      <c r="BQ3911" s="314"/>
      <c r="BR3911" s="314"/>
      <c r="BS3911" s="314"/>
      <c r="BT3911" s="314"/>
      <c r="BU3911" s="314"/>
      <c r="BV3911" s="314"/>
      <c r="BW3911" s="314"/>
      <c r="BX3911" s="155"/>
    </row>
    <row r="3912" spans="1:76" ht="15.75" customHeight="1">
      <c r="A3912" s="25"/>
      <c r="B3912" s="39"/>
      <c r="C3912" s="155"/>
      <c r="D3912" s="155"/>
      <c r="E3912" s="40"/>
      <c r="F3912" s="314"/>
      <c r="H3912" s="315"/>
      <c r="I3912" s="315"/>
      <c r="BA3912" s="30"/>
      <c r="BB3912" s="155"/>
      <c r="BC3912" s="314"/>
      <c r="BD3912" s="314"/>
      <c r="BE3912" s="314"/>
      <c r="BF3912" s="314"/>
      <c r="BG3912" s="314"/>
      <c r="BH3912" s="314"/>
      <c r="BI3912" s="314"/>
      <c r="BJ3912" s="314"/>
      <c r="BK3912" s="40"/>
      <c r="BL3912" s="40"/>
      <c r="BM3912" s="40"/>
      <c r="BN3912" s="40"/>
      <c r="BO3912" s="40"/>
      <c r="BP3912" s="155"/>
      <c r="BQ3912" s="314"/>
      <c r="BR3912" s="314"/>
      <c r="BS3912" s="314"/>
      <c r="BT3912" s="314"/>
      <c r="BU3912" s="314"/>
      <c r="BV3912" s="314"/>
      <c r="BW3912" s="314"/>
      <c r="BX3912" s="155"/>
    </row>
    <row r="3913" spans="1:76" ht="15.75" customHeight="1">
      <c r="A3913" s="25"/>
      <c r="B3913" s="39"/>
      <c r="C3913" s="155"/>
      <c r="D3913" s="155"/>
      <c r="E3913" s="40"/>
      <c r="F3913" s="314"/>
      <c r="H3913" s="315"/>
      <c r="I3913" s="315"/>
      <c r="BA3913" s="30"/>
      <c r="BB3913" s="155"/>
      <c r="BC3913" s="314"/>
      <c r="BD3913" s="314"/>
      <c r="BE3913" s="314"/>
      <c r="BF3913" s="314"/>
      <c r="BG3913" s="314"/>
      <c r="BH3913" s="314"/>
      <c r="BI3913" s="314"/>
      <c r="BJ3913" s="314"/>
      <c r="BK3913" s="40"/>
      <c r="BL3913" s="40"/>
      <c r="BM3913" s="40"/>
      <c r="BN3913" s="40"/>
      <c r="BO3913" s="40"/>
      <c r="BP3913" s="155"/>
      <c r="BQ3913" s="314"/>
      <c r="BR3913" s="314"/>
      <c r="BS3913" s="314"/>
      <c r="BT3913" s="314"/>
      <c r="BU3913" s="314"/>
      <c r="BV3913" s="314"/>
      <c r="BW3913" s="314"/>
      <c r="BX3913" s="155"/>
    </row>
    <row r="3914" spans="1:76" ht="15.75" customHeight="1">
      <c r="A3914" s="25"/>
      <c r="B3914" s="39"/>
      <c r="C3914" s="155"/>
      <c r="D3914" s="155"/>
      <c r="E3914" s="40"/>
      <c r="F3914" s="314"/>
      <c r="H3914" s="315"/>
      <c r="I3914" s="315"/>
      <c r="BA3914" s="30"/>
      <c r="BB3914" s="155"/>
      <c r="BC3914" s="314"/>
      <c r="BD3914" s="314"/>
      <c r="BE3914" s="314"/>
      <c r="BF3914" s="314"/>
      <c r="BG3914" s="314"/>
      <c r="BH3914" s="314"/>
      <c r="BI3914" s="314"/>
      <c r="BJ3914" s="314"/>
      <c r="BK3914" s="40"/>
      <c r="BL3914" s="40"/>
      <c r="BM3914" s="40"/>
      <c r="BN3914" s="40"/>
      <c r="BO3914" s="40"/>
      <c r="BP3914" s="155"/>
      <c r="BQ3914" s="314"/>
      <c r="BR3914" s="314"/>
      <c r="BS3914" s="314"/>
      <c r="BT3914" s="314"/>
      <c r="BU3914" s="314"/>
      <c r="BV3914" s="314"/>
      <c r="BW3914" s="314"/>
      <c r="BX3914" s="155"/>
    </row>
    <row r="3915" spans="1:76" ht="15.75" customHeight="1">
      <c r="A3915" s="25"/>
      <c r="B3915" s="39"/>
      <c r="C3915" s="155"/>
      <c r="D3915" s="155"/>
      <c r="E3915" s="40"/>
      <c r="F3915" s="314"/>
      <c r="H3915" s="315"/>
      <c r="I3915" s="315"/>
      <c r="BA3915" s="30"/>
      <c r="BB3915" s="155"/>
      <c r="BC3915" s="314"/>
      <c r="BD3915" s="314"/>
      <c r="BE3915" s="314"/>
      <c r="BF3915" s="314"/>
      <c r="BG3915" s="314"/>
      <c r="BH3915" s="314"/>
      <c r="BI3915" s="314"/>
      <c r="BJ3915" s="314"/>
      <c r="BK3915" s="40"/>
      <c r="BL3915" s="40"/>
      <c r="BM3915" s="40"/>
      <c r="BN3915" s="40"/>
      <c r="BO3915" s="40"/>
      <c r="BP3915" s="155"/>
      <c r="BQ3915" s="314"/>
      <c r="BR3915" s="314"/>
      <c r="BS3915" s="314"/>
      <c r="BT3915" s="314"/>
      <c r="BU3915" s="314"/>
      <c r="BV3915" s="314"/>
      <c r="BW3915" s="314"/>
      <c r="BX3915" s="155"/>
    </row>
    <row r="3916" spans="1:76" ht="15.75" customHeight="1">
      <c r="A3916" s="25"/>
      <c r="B3916" s="39"/>
      <c r="C3916" s="155"/>
      <c r="D3916" s="155"/>
      <c r="E3916" s="40"/>
      <c r="F3916" s="314"/>
      <c r="H3916" s="315"/>
      <c r="I3916" s="315"/>
      <c r="BA3916" s="30"/>
      <c r="BB3916" s="155"/>
      <c r="BC3916" s="314"/>
      <c r="BD3916" s="314"/>
      <c r="BE3916" s="314"/>
      <c r="BF3916" s="314"/>
      <c r="BG3916" s="314"/>
      <c r="BH3916" s="314"/>
      <c r="BI3916" s="314"/>
      <c r="BJ3916" s="314"/>
      <c r="BK3916" s="40"/>
      <c r="BL3916" s="40"/>
      <c r="BM3916" s="40"/>
      <c r="BN3916" s="40"/>
      <c r="BO3916" s="40"/>
      <c r="BP3916" s="155"/>
      <c r="BQ3916" s="314"/>
      <c r="BR3916" s="314"/>
      <c r="BS3916" s="314"/>
      <c r="BT3916" s="314"/>
      <c r="BU3916" s="314"/>
      <c r="BV3916" s="314"/>
      <c r="BW3916" s="314"/>
      <c r="BX3916" s="155"/>
    </row>
    <row r="3917" spans="1:76" ht="15.75" customHeight="1">
      <c r="A3917" s="25"/>
      <c r="B3917" s="39"/>
      <c r="C3917" s="155"/>
      <c r="D3917" s="155"/>
      <c r="E3917" s="40"/>
      <c r="F3917" s="314"/>
      <c r="H3917" s="315"/>
      <c r="I3917" s="315"/>
      <c r="BA3917" s="30"/>
      <c r="BB3917" s="155"/>
      <c r="BC3917" s="314"/>
      <c r="BD3917" s="314"/>
      <c r="BE3917" s="314"/>
      <c r="BF3917" s="314"/>
      <c r="BG3917" s="314"/>
      <c r="BH3917" s="314"/>
      <c r="BI3917" s="314"/>
      <c r="BJ3917" s="314"/>
      <c r="BK3917" s="40"/>
      <c r="BL3917" s="40"/>
      <c r="BM3917" s="40"/>
      <c r="BN3917" s="40"/>
      <c r="BO3917" s="40"/>
      <c r="BP3917" s="155"/>
      <c r="BQ3917" s="314"/>
      <c r="BR3917" s="314"/>
      <c r="BS3917" s="314"/>
      <c r="BT3917" s="314"/>
      <c r="BU3917" s="314"/>
      <c r="BV3917" s="314"/>
      <c r="BW3917" s="314"/>
      <c r="BX3917" s="155"/>
    </row>
    <row r="3918" spans="1:76" ht="15.75" customHeight="1">
      <c r="A3918" s="25"/>
      <c r="B3918" s="39"/>
      <c r="C3918" s="155"/>
      <c r="D3918" s="155"/>
      <c r="E3918" s="40"/>
      <c r="F3918" s="314"/>
      <c r="H3918" s="315"/>
      <c r="I3918" s="315"/>
      <c r="BA3918" s="30"/>
      <c r="BB3918" s="155"/>
      <c r="BC3918" s="314"/>
      <c r="BD3918" s="314"/>
      <c r="BE3918" s="314"/>
      <c r="BF3918" s="314"/>
      <c r="BG3918" s="314"/>
      <c r="BH3918" s="314"/>
      <c r="BI3918" s="314"/>
      <c r="BJ3918" s="314"/>
      <c r="BK3918" s="40"/>
      <c r="BL3918" s="40"/>
      <c r="BM3918" s="40"/>
      <c r="BN3918" s="40"/>
      <c r="BO3918" s="40"/>
      <c r="BP3918" s="155"/>
      <c r="BQ3918" s="314"/>
      <c r="BR3918" s="314"/>
      <c r="BS3918" s="314"/>
      <c r="BT3918" s="314"/>
      <c r="BU3918" s="314"/>
      <c r="BV3918" s="314"/>
      <c r="BW3918" s="314"/>
      <c r="BX3918" s="155"/>
    </row>
    <row r="3919" spans="1:76" ht="15.75" customHeight="1">
      <c r="A3919" s="25"/>
      <c r="B3919" s="39"/>
      <c r="C3919" s="155"/>
      <c r="D3919" s="155"/>
      <c r="E3919" s="40"/>
      <c r="F3919" s="314"/>
      <c r="H3919" s="315"/>
      <c r="I3919" s="315"/>
      <c r="BA3919" s="30"/>
      <c r="BB3919" s="155"/>
      <c r="BC3919" s="314"/>
      <c r="BD3919" s="314"/>
      <c r="BE3919" s="314"/>
      <c r="BF3919" s="314"/>
      <c r="BG3919" s="314"/>
      <c r="BH3919" s="314"/>
      <c r="BI3919" s="314"/>
      <c r="BJ3919" s="314"/>
      <c r="BK3919" s="40"/>
      <c r="BL3919" s="40"/>
      <c r="BM3919" s="40"/>
      <c r="BN3919" s="40"/>
      <c r="BO3919" s="40"/>
      <c r="BP3919" s="155"/>
      <c r="BQ3919" s="314"/>
      <c r="BR3919" s="314"/>
      <c r="BS3919" s="314"/>
      <c r="BT3919" s="314"/>
      <c r="BU3919" s="314"/>
      <c r="BV3919" s="314"/>
      <c r="BW3919" s="314"/>
      <c r="BX3919" s="155"/>
    </row>
    <row r="3920" spans="1:76" ht="15.75" customHeight="1">
      <c r="A3920" s="25"/>
      <c r="B3920" s="39"/>
      <c r="C3920" s="155"/>
      <c r="D3920" s="155"/>
      <c r="E3920" s="40"/>
      <c r="F3920" s="314"/>
      <c r="H3920" s="315"/>
      <c r="I3920" s="315"/>
      <c r="BA3920" s="30"/>
      <c r="BB3920" s="155"/>
      <c r="BC3920" s="314"/>
      <c r="BD3920" s="314"/>
      <c r="BE3920" s="314"/>
      <c r="BF3920" s="314"/>
      <c r="BG3920" s="314"/>
      <c r="BH3920" s="314"/>
      <c r="BI3920" s="314"/>
      <c r="BJ3920" s="314"/>
      <c r="BK3920" s="40"/>
      <c r="BL3920" s="40"/>
      <c r="BM3920" s="40"/>
      <c r="BN3920" s="40"/>
      <c r="BO3920" s="40"/>
      <c r="BP3920" s="155"/>
      <c r="BQ3920" s="314"/>
      <c r="BR3920" s="314"/>
      <c r="BS3920" s="314"/>
      <c r="BT3920" s="314"/>
      <c r="BU3920" s="314"/>
      <c r="BV3920" s="314"/>
      <c r="BW3920" s="314"/>
      <c r="BX3920" s="155"/>
    </row>
    <row r="3921" spans="1:76" ht="15.75" customHeight="1">
      <c r="A3921" s="25"/>
      <c r="B3921" s="39"/>
      <c r="C3921" s="155"/>
      <c r="D3921" s="155"/>
      <c r="E3921" s="40"/>
      <c r="F3921" s="314"/>
      <c r="H3921" s="315"/>
      <c r="I3921" s="315"/>
      <c r="BA3921" s="30"/>
      <c r="BB3921" s="155"/>
      <c r="BC3921" s="314"/>
      <c r="BD3921" s="314"/>
      <c r="BE3921" s="314"/>
      <c r="BF3921" s="314"/>
      <c r="BG3921" s="314"/>
      <c r="BH3921" s="314"/>
      <c r="BI3921" s="314"/>
      <c r="BJ3921" s="314"/>
      <c r="BK3921" s="40"/>
      <c r="BL3921" s="40"/>
      <c r="BM3921" s="40"/>
      <c r="BN3921" s="40"/>
      <c r="BO3921" s="40"/>
      <c r="BP3921" s="155"/>
      <c r="BQ3921" s="314"/>
      <c r="BR3921" s="314"/>
      <c r="BS3921" s="314"/>
      <c r="BT3921" s="314"/>
      <c r="BU3921" s="314"/>
      <c r="BV3921" s="314"/>
      <c r="BW3921" s="314"/>
      <c r="BX3921" s="155"/>
    </row>
    <row r="3922" spans="1:76" ht="15.75" customHeight="1">
      <c r="A3922" s="25"/>
      <c r="B3922" s="39"/>
      <c r="C3922" s="155"/>
      <c r="D3922" s="155"/>
      <c r="E3922" s="40"/>
      <c r="F3922" s="314"/>
      <c r="H3922" s="315"/>
      <c r="I3922" s="315"/>
      <c r="BA3922" s="30"/>
      <c r="BB3922" s="155"/>
      <c r="BC3922" s="314"/>
      <c r="BD3922" s="314"/>
      <c r="BE3922" s="314"/>
      <c r="BF3922" s="314"/>
      <c r="BG3922" s="314"/>
      <c r="BH3922" s="314"/>
      <c r="BI3922" s="314"/>
      <c r="BJ3922" s="314"/>
      <c r="BK3922" s="40"/>
      <c r="BL3922" s="40"/>
      <c r="BM3922" s="40"/>
      <c r="BN3922" s="40"/>
      <c r="BO3922" s="40"/>
      <c r="BP3922" s="155"/>
      <c r="BQ3922" s="314"/>
      <c r="BR3922" s="314"/>
      <c r="BS3922" s="314"/>
      <c r="BT3922" s="314"/>
      <c r="BU3922" s="314"/>
      <c r="BV3922" s="314"/>
      <c r="BW3922" s="314"/>
      <c r="BX3922" s="155"/>
    </row>
    <row r="3923" spans="1:76" ht="15.75" customHeight="1">
      <c r="A3923" s="25"/>
      <c r="B3923" s="39"/>
      <c r="C3923" s="155"/>
      <c r="D3923" s="155"/>
      <c r="E3923" s="40"/>
      <c r="F3923" s="314"/>
      <c r="H3923" s="315"/>
      <c r="I3923" s="315"/>
      <c r="BA3923" s="30"/>
      <c r="BB3923" s="155"/>
      <c r="BC3923" s="314"/>
      <c r="BD3923" s="314"/>
      <c r="BE3923" s="314"/>
      <c r="BF3923" s="314"/>
      <c r="BG3923" s="314"/>
      <c r="BH3923" s="314"/>
      <c r="BI3923" s="314"/>
      <c r="BJ3923" s="314"/>
      <c r="BK3923" s="40"/>
      <c r="BL3923" s="40"/>
      <c r="BM3923" s="40"/>
      <c r="BN3923" s="40"/>
      <c r="BO3923" s="40"/>
      <c r="BP3923" s="155"/>
      <c r="BQ3923" s="314"/>
      <c r="BR3923" s="314"/>
      <c r="BS3923" s="314"/>
      <c r="BT3923" s="314"/>
      <c r="BU3923" s="314"/>
      <c r="BV3923" s="314"/>
      <c r="BW3923" s="314"/>
      <c r="BX3923" s="155"/>
    </row>
    <row r="3924" spans="1:76" ht="15.75" customHeight="1">
      <c r="A3924" s="25"/>
      <c r="B3924" s="39"/>
      <c r="C3924" s="155"/>
      <c r="D3924" s="155"/>
      <c r="E3924" s="40"/>
      <c r="F3924" s="314"/>
      <c r="H3924" s="315"/>
      <c r="I3924" s="315"/>
      <c r="BA3924" s="30"/>
      <c r="BB3924" s="155"/>
      <c r="BC3924" s="314"/>
      <c r="BD3924" s="314"/>
      <c r="BE3924" s="314"/>
      <c r="BF3924" s="314"/>
      <c r="BG3924" s="314"/>
      <c r="BH3924" s="314"/>
      <c r="BI3924" s="314"/>
      <c r="BJ3924" s="314"/>
      <c r="BK3924" s="40"/>
      <c r="BL3924" s="40"/>
      <c r="BM3924" s="40"/>
      <c r="BN3924" s="40"/>
      <c r="BO3924" s="40"/>
      <c r="BP3924" s="155"/>
      <c r="BQ3924" s="314"/>
      <c r="BR3924" s="314"/>
      <c r="BS3924" s="314"/>
      <c r="BT3924" s="314"/>
      <c r="BU3924" s="314"/>
      <c r="BV3924" s="314"/>
      <c r="BW3924" s="314"/>
      <c r="BX3924" s="155"/>
    </row>
    <row r="3925" spans="1:76" ht="15.75" customHeight="1">
      <c r="A3925" s="25"/>
      <c r="B3925" s="39"/>
      <c r="C3925" s="155"/>
      <c r="D3925" s="155"/>
      <c r="E3925" s="40"/>
      <c r="F3925" s="314"/>
      <c r="H3925" s="315"/>
      <c r="I3925" s="315"/>
      <c r="BA3925" s="30"/>
      <c r="BB3925" s="155"/>
      <c r="BC3925" s="314"/>
      <c r="BD3925" s="314"/>
      <c r="BE3925" s="314"/>
      <c r="BF3925" s="314"/>
      <c r="BG3925" s="314"/>
      <c r="BH3925" s="314"/>
      <c r="BI3925" s="314"/>
      <c r="BJ3925" s="314"/>
      <c r="BK3925" s="40"/>
      <c r="BL3925" s="40"/>
      <c r="BM3925" s="40"/>
      <c r="BN3925" s="40"/>
      <c r="BO3925" s="40"/>
      <c r="BP3925" s="155"/>
      <c r="BQ3925" s="314"/>
      <c r="BR3925" s="314"/>
      <c r="BS3925" s="314"/>
      <c r="BT3925" s="314"/>
      <c r="BU3925" s="314"/>
      <c r="BV3925" s="314"/>
      <c r="BW3925" s="314"/>
      <c r="BX3925" s="155"/>
    </row>
    <row r="3926" spans="1:76" ht="15.75" customHeight="1">
      <c r="A3926" s="25"/>
      <c r="B3926" s="39"/>
      <c r="C3926" s="155"/>
      <c r="D3926" s="155"/>
      <c r="E3926" s="40"/>
      <c r="F3926" s="314"/>
      <c r="H3926" s="315"/>
      <c r="I3926" s="315"/>
      <c r="BA3926" s="30"/>
      <c r="BB3926" s="155"/>
      <c r="BC3926" s="314"/>
      <c r="BD3926" s="314"/>
      <c r="BE3926" s="314"/>
      <c r="BF3926" s="314"/>
      <c r="BG3926" s="314"/>
      <c r="BH3926" s="314"/>
      <c r="BI3926" s="314"/>
      <c r="BJ3926" s="314"/>
      <c r="BK3926" s="40"/>
      <c r="BL3926" s="40"/>
      <c r="BM3926" s="40"/>
      <c r="BN3926" s="40"/>
      <c r="BO3926" s="40"/>
      <c r="BP3926" s="155"/>
      <c r="BQ3926" s="314"/>
      <c r="BR3926" s="314"/>
      <c r="BS3926" s="314"/>
      <c r="BT3926" s="314"/>
      <c r="BU3926" s="314"/>
      <c r="BV3926" s="314"/>
      <c r="BW3926" s="314"/>
      <c r="BX3926" s="155"/>
    </row>
    <row r="3927" spans="1:76" ht="15.75" customHeight="1">
      <c r="A3927" s="25"/>
      <c r="B3927" s="39"/>
      <c r="C3927" s="155"/>
      <c r="D3927" s="155"/>
      <c r="E3927" s="40"/>
      <c r="F3927" s="314"/>
      <c r="H3927" s="315"/>
      <c r="I3927" s="315"/>
      <c r="BA3927" s="30"/>
      <c r="BB3927" s="155"/>
      <c r="BC3927" s="314"/>
      <c r="BD3927" s="314"/>
      <c r="BE3927" s="314"/>
      <c r="BF3927" s="314"/>
      <c r="BG3927" s="314"/>
      <c r="BH3927" s="314"/>
      <c r="BI3927" s="314"/>
      <c r="BJ3927" s="314"/>
      <c r="BK3927" s="40"/>
      <c r="BL3927" s="40"/>
      <c r="BM3927" s="40"/>
      <c r="BN3927" s="40"/>
      <c r="BO3927" s="40"/>
      <c r="BP3927" s="155"/>
      <c r="BQ3927" s="314"/>
      <c r="BR3927" s="314"/>
      <c r="BS3927" s="314"/>
      <c r="BT3927" s="314"/>
      <c r="BU3927" s="314"/>
      <c r="BV3927" s="314"/>
      <c r="BW3927" s="314"/>
      <c r="BX3927" s="155"/>
    </row>
    <row r="3928" spans="1:76" ht="15.75" customHeight="1">
      <c r="A3928" s="25"/>
      <c r="B3928" s="39"/>
      <c r="C3928" s="155"/>
      <c r="D3928" s="155"/>
      <c r="E3928" s="40"/>
      <c r="F3928" s="314"/>
      <c r="H3928" s="315"/>
      <c r="I3928" s="315"/>
      <c r="BA3928" s="30"/>
      <c r="BB3928" s="155"/>
      <c r="BC3928" s="314"/>
      <c r="BD3928" s="314"/>
      <c r="BE3928" s="314"/>
      <c r="BF3928" s="314"/>
      <c r="BG3928" s="314"/>
      <c r="BH3928" s="314"/>
      <c r="BI3928" s="314"/>
      <c r="BJ3928" s="314"/>
      <c r="BK3928" s="40"/>
      <c r="BL3928" s="40"/>
      <c r="BM3928" s="40"/>
      <c r="BN3928" s="40"/>
      <c r="BO3928" s="40"/>
      <c r="BP3928" s="155"/>
      <c r="BQ3928" s="314"/>
      <c r="BR3928" s="314"/>
      <c r="BS3928" s="314"/>
      <c r="BT3928" s="314"/>
      <c r="BU3928" s="314"/>
      <c r="BV3928" s="314"/>
      <c r="BW3928" s="314"/>
      <c r="BX3928" s="155"/>
    </row>
    <row r="3929" spans="1:76" ht="15.75" customHeight="1">
      <c r="A3929" s="25"/>
      <c r="B3929" s="39"/>
      <c r="C3929" s="155"/>
      <c r="D3929" s="155"/>
      <c r="E3929" s="40"/>
      <c r="F3929" s="314"/>
      <c r="H3929" s="315"/>
      <c r="I3929" s="315"/>
      <c r="BA3929" s="30"/>
      <c r="BB3929" s="155"/>
      <c r="BC3929" s="314"/>
      <c r="BD3929" s="314"/>
      <c r="BE3929" s="314"/>
      <c r="BF3929" s="314"/>
      <c r="BG3929" s="314"/>
      <c r="BH3929" s="314"/>
      <c r="BI3929" s="314"/>
      <c r="BJ3929" s="314"/>
      <c r="BK3929" s="40"/>
      <c r="BL3929" s="40"/>
      <c r="BM3929" s="40"/>
      <c r="BN3929" s="40"/>
      <c r="BO3929" s="40"/>
      <c r="BP3929" s="155"/>
      <c r="BQ3929" s="314"/>
      <c r="BR3929" s="314"/>
      <c r="BS3929" s="314"/>
      <c r="BT3929" s="314"/>
      <c r="BU3929" s="314"/>
      <c r="BV3929" s="314"/>
      <c r="BW3929" s="314"/>
      <c r="BX3929" s="155"/>
    </row>
    <row r="3930" spans="1:76" ht="15.75" customHeight="1">
      <c r="A3930" s="25"/>
      <c r="B3930" s="39"/>
      <c r="C3930" s="155"/>
      <c r="D3930" s="155"/>
      <c r="E3930" s="40"/>
      <c r="F3930" s="314"/>
      <c r="H3930" s="315"/>
      <c r="I3930" s="315"/>
      <c r="BA3930" s="30"/>
      <c r="BB3930" s="155"/>
      <c r="BC3930" s="314"/>
      <c r="BD3930" s="314"/>
      <c r="BE3930" s="314"/>
      <c r="BF3930" s="314"/>
      <c r="BG3930" s="314"/>
      <c r="BH3930" s="314"/>
      <c r="BI3930" s="314"/>
      <c r="BJ3930" s="314"/>
      <c r="BK3930" s="40"/>
      <c r="BL3930" s="40"/>
      <c r="BM3930" s="40"/>
      <c r="BN3930" s="40"/>
      <c r="BO3930" s="40"/>
      <c r="BP3930" s="155"/>
      <c r="BQ3930" s="314"/>
      <c r="BR3930" s="314"/>
      <c r="BS3930" s="314"/>
      <c r="BT3930" s="314"/>
      <c r="BU3930" s="314"/>
      <c r="BV3930" s="314"/>
      <c r="BW3930" s="314"/>
      <c r="BX3930" s="155"/>
    </row>
    <row r="3931" spans="1:76" ht="15.75" customHeight="1">
      <c r="A3931" s="25"/>
      <c r="B3931" s="39"/>
      <c r="C3931" s="155"/>
      <c r="D3931" s="155"/>
      <c r="E3931" s="40"/>
      <c r="F3931" s="314"/>
      <c r="H3931" s="315"/>
      <c r="I3931" s="315"/>
      <c r="BA3931" s="30"/>
      <c r="BB3931" s="155"/>
      <c r="BC3931" s="314"/>
      <c r="BD3931" s="314"/>
      <c r="BE3931" s="314"/>
      <c r="BF3931" s="314"/>
      <c r="BG3931" s="314"/>
      <c r="BH3931" s="314"/>
      <c r="BI3931" s="314"/>
      <c r="BJ3931" s="314"/>
      <c r="BK3931" s="40"/>
      <c r="BL3931" s="40"/>
      <c r="BM3931" s="40"/>
      <c r="BN3931" s="40"/>
      <c r="BO3931" s="40"/>
      <c r="BP3931" s="155"/>
      <c r="BQ3931" s="314"/>
      <c r="BR3931" s="314"/>
      <c r="BS3931" s="314"/>
      <c r="BT3931" s="314"/>
      <c r="BU3931" s="314"/>
      <c r="BV3931" s="314"/>
      <c r="BW3931" s="314"/>
      <c r="BX3931" s="155"/>
    </row>
    <row r="3932" spans="1:76" ht="15.75" customHeight="1">
      <c r="A3932" s="25"/>
      <c r="B3932" s="39"/>
      <c r="C3932" s="155"/>
      <c r="D3932" s="155"/>
      <c r="E3932" s="40"/>
      <c r="F3932" s="314"/>
      <c r="H3932" s="315"/>
      <c r="I3932" s="315"/>
      <c r="BA3932" s="30"/>
      <c r="BB3932" s="155"/>
      <c r="BC3932" s="314"/>
      <c r="BD3932" s="314"/>
      <c r="BE3932" s="314"/>
      <c r="BF3932" s="314"/>
      <c r="BG3932" s="314"/>
      <c r="BH3932" s="314"/>
      <c r="BI3932" s="314"/>
      <c r="BJ3932" s="314"/>
      <c r="BK3932" s="40"/>
      <c r="BL3932" s="40"/>
      <c r="BM3932" s="40"/>
      <c r="BN3932" s="40"/>
      <c r="BO3932" s="40"/>
      <c r="BP3932" s="155"/>
      <c r="BQ3932" s="314"/>
      <c r="BR3932" s="314"/>
      <c r="BS3932" s="314"/>
      <c r="BT3932" s="314"/>
      <c r="BU3932" s="314"/>
      <c r="BV3932" s="314"/>
      <c r="BW3932" s="314"/>
      <c r="BX3932" s="155"/>
    </row>
    <row r="3933" spans="1:76" ht="15.75" customHeight="1">
      <c r="A3933" s="25"/>
      <c r="B3933" s="39"/>
      <c r="C3933" s="155"/>
      <c r="D3933" s="155"/>
      <c r="E3933" s="40"/>
      <c r="F3933" s="314"/>
      <c r="H3933" s="315"/>
      <c r="I3933" s="315"/>
      <c r="BA3933" s="30"/>
      <c r="BB3933" s="155"/>
      <c r="BC3933" s="314"/>
      <c r="BD3933" s="314"/>
      <c r="BE3933" s="314"/>
      <c r="BF3933" s="314"/>
      <c r="BG3933" s="314"/>
      <c r="BH3933" s="314"/>
      <c r="BI3933" s="314"/>
      <c r="BJ3933" s="314"/>
      <c r="BK3933" s="40"/>
      <c r="BL3933" s="40"/>
      <c r="BM3933" s="40"/>
      <c r="BN3933" s="40"/>
      <c r="BO3933" s="40"/>
      <c r="BP3933" s="155"/>
      <c r="BQ3933" s="314"/>
      <c r="BR3933" s="314"/>
      <c r="BS3933" s="314"/>
      <c r="BT3933" s="314"/>
      <c r="BU3933" s="314"/>
      <c r="BV3933" s="314"/>
      <c r="BW3933" s="314"/>
      <c r="BX3933" s="155"/>
    </row>
    <row r="3934" spans="1:76" ht="15.75" customHeight="1">
      <c r="A3934" s="25"/>
      <c r="B3934" s="39"/>
      <c r="C3934" s="155"/>
      <c r="D3934" s="155"/>
      <c r="E3934" s="40"/>
      <c r="F3934" s="314"/>
      <c r="H3934" s="315"/>
      <c r="I3934" s="315"/>
      <c r="BA3934" s="30"/>
      <c r="BB3934" s="155"/>
      <c r="BC3934" s="314"/>
      <c r="BD3934" s="314"/>
      <c r="BE3934" s="314"/>
      <c r="BF3934" s="314"/>
      <c r="BG3934" s="314"/>
      <c r="BH3934" s="314"/>
      <c r="BI3934" s="314"/>
      <c r="BJ3934" s="314"/>
      <c r="BK3934" s="40"/>
      <c r="BL3934" s="40"/>
      <c r="BM3934" s="40"/>
      <c r="BN3934" s="40"/>
      <c r="BO3934" s="40"/>
      <c r="BP3934" s="155"/>
      <c r="BQ3934" s="314"/>
      <c r="BR3934" s="314"/>
      <c r="BS3934" s="314"/>
      <c r="BT3934" s="314"/>
      <c r="BU3934" s="314"/>
      <c r="BV3934" s="314"/>
      <c r="BW3934" s="314"/>
      <c r="BX3934" s="155"/>
    </row>
    <row r="3935" spans="1:76" ht="15.75" customHeight="1">
      <c r="A3935" s="25"/>
      <c r="B3935" s="39"/>
      <c r="C3935" s="155"/>
      <c r="D3935" s="155"/>
      <c r="E3935" s="40"/>
      <c r="F3935" s="314"/>
      <c r="H3935" s="315"/>
      <c r="I3935" s="315"/>
      <c r="BA3935" s="30"/>
      <c r="BB3935" s="155"/>
      <c r="BC3935" s="314"/>
      <c r="BD3935" s="314"/>
      <c r="BE3935" s="314"/>
      <c r="BF3935" s="314"/>
      <c r="BG3935" s="314"/>
      <c r="BH3935" s="314"/>
      <c r="BI3935" s="314"/>
      <c r="BJ3935" s="314"/>
      <c r="BK3935" s="40"/>
      <c r="BL3935" s="40"/>
      <c r="BM3935" s="40"/>
      <c r="BN3935" s="40"/>
      <c r="BO3935" s="40"/>
      <c r="BP3935" s="155"/>
      <c r="BQ3935" s="314"/>
      <c r="BR3935" s="314"/>
      <c r="BS3935" s="314"/>
      <c r="BT3935" s="314"/>
      <c r="BU3935" s="314"/>
      <c r="BV3935" s="314"/>
      <c r="BW3935" s="314"/>
      <c r="BX3935" s="155"/>
    </row>
    <row r="3936" spans="1:76" ht="15.75" customHeight="1">
      <c r="A3936" s="25"/>
      <c r="B3936" s="39"/>
      <c r="C3936" s="155"/>
      <c r="D3936" s="155"/>
      <c r="E3936" s="40"/>
      <c r="F3936" s="314"/>
      <c r="H3936" s="315"/>
      <c r="I3936" s="315"/>
      <c r="BA3936" s="30"/>
      <c r="BB3936" s="155"/>
      <c r="BC3936" s="314"/>
      <c r="BD3936" s="314"/>
      <c r="BE3936" s="314"/>
      <c r="BF3936" s="314"/>
      <c r="BG3936" s="314"/>
      <c r="BH3936" s="314"/>
      <c r="BI3936" s="314"/>
      <c r="BJ3936" s="314"/>
      <c r="BK3936" s="40"/>
      <c r="BL3936" s="40"/>
      <c r="BM3936" s="40"/>
      <c r="BN3936" s="40"/>
      <c r="BO3936" s="40"/>
      <c r="BP3936" s="155"/>
      <c r="BQ3936" s="314"/>
      <c r="BR3936" s="314"/>
      <c r="BS3936" s="314"/>
      <c r="BT3936" s="314"/>
      <c r="BU3936" s="314"/>
      <c r="BV3936" s="314"/>
      <c r="BW3936" s="314"/>
      <c r="BX3936" s="155"/>
    </row>
    <row r="3937" spans="1:76" ht="15.75" customHeight="1">
      <c r="A3937" s="25"/>
      <c r="B3937" s="39"/>
      <c r="C3937" s="155"/>
      <c r="D3937" s="155"/>
      <c r="E3937" s="40"/>
      <c r="F3937" s="314"/>
      <c r="H3937" s="315"/>
      <c r="I3937" s="315"/>
      <c r="BA3937" s="30"/>
      <c r="BB3937" s="155"/>
      <c r="BC3937" s="314"/>
      <c r="BD3937" s="314"/>
      <c r="BE3937" s="314"/>
      <c r="BF3937" s="314"/>
      <c r="BG3937" s="314"/>
      <c r="BH3937" s="314"/>
      <c r="BI3937" s="314"/>
      <c r="BJ3937" s="314"/>
      <c r="BK3937" s="40"/>
      <c r="BL3937" s="40"/>
      <c r="BM3937" s="40"/>
      <c r="BN3937" s="40"/>
      <c r="BO3937" s="40"/>
      <c r="BP3937" s="155"/>
      <c r="BQ3937" s="314"/>
      <c r="BR3937" s="314"/>
      <c r="BS3937" s="314"/>
      <c r="BT3937" s="314"/>
      <c r="BU3937" s="314"/>
      <c r="BV3937" s="314"/>
      <c r="BW3937" s="314"/>
      <c r="BX3937" s="155"/>
    </row>
    <row r="3938" spans="1:76" ht="15.75" customHeight="1">
      <c r="A3938" s="25"/>
      <c r="B3938" s="39"/>
      <c r="C3938" s="155"/>
      <c r="D3938" s="155"/>
      <c r="E3938" s="40"/>
      <c r="F3938" s="314"/>
      <c r="H3938" s="315"/>
      <c r="I3938" s="315"/>
      <c r="BA3938" s="30"/>
      <c r="BB3938" s="155"/>
      <c r="BC3938" s="314"/>
      <c r="BD3938" s="314"/>
      <c r="BE3938" s="314"/>
      <c r="BF3938" s="314"/>
      <c r="BG3938" s="314"/>
      <c r="BH3938" s="314"/>
      <c r="BI3938" s="314"/>
      <c r="BJ3938" s="314"/>
      <c r="BK3938" s="40"/>
      <c r="BL3938" s="40"/>
      <c r="BM3938" s="40"/>
      <c r="BN3938" s="40"/>
      <c r="BO3938" s="40"/>
      <c r="BP3938" s="155"/>
      <c r="BQ3938" s="314"/>
      <c r="BR3938" s="314"/>
      <c r="BS3938" s="314"/>
      <c r="BT3938" s="314"/>
      <c r="BU3938" s="314"/>
      <c r="BV3938" s="314"/>
      <c r="BW3938" s="314"/>
      <c r="BX3938" s="155"/>
    </row>
    <row r="3939" spans="1:76" ht="15.75" customHeight="1">
      <c r="A3939" s="25"/>
      <c r="B3939" s="39"/>
      <c r="C3939" s="155"/>
      <c r="D3939" s="155"/>
      <c r="E3939" s="40"/>
      <c r="F3939" s="314"/>
      <c r="H3939" s="315"/>
      <c r="I3939" s="315"/>
      <c r="BA3939" s="30"/>
      <c r="BB3939" s="155"/>
      <c r="BC3939" s="314"/>
      <c r="BD3939" s="314"/>
      <c r="BE3939" s="314"/>
      <c r="BF3939" s="314"/>
      <c r="BG3939" s="314"/>
      <c r="BH3939" s="314"/>
      <c r="BI3939" s="314"/>
      <c r="BJ3939" s="314"/>
      <c r="BK3939" s="40"/>
      <c r="BL3939" s="40"/>
      <c r="BM3939" s="40"/>
      <c r="BN3939" s="40"/>
      <c r="BO3939" s="40"/>
      <c r="BP3939" s="155"/>
      <c r="BQ3939" s="314"/>
      <c r="BR3939" s="314"/>
      <c r="BS3939" s="314"/>
      <c r="BT3939" s="314"/>
      <c r="BU3939" s="314"/>
      <c r="BV3939" s="314"/>
      <c r="BW3939" s="314"/>
      <c r="BX3939" s="155"/>
    </row>
    <row r="3940" spans="1:76" ht="15.75" customHeight="1">
      <c r="A3940" s="25"/>
      <c r="B3940" s="39"/>
      <c r="C3940" s="155"/>
      <c r="D3940" s="155"/>
      <c r="E3940" s="40"/>
      <c r="F3940" s="314"/>
      <c r="H3940" s="315"/>
      <c r="I3940" s="315"/>
      <c r="BA3940" s="30"/>
      <c r="BB3940" s="155"/>
      <c r="BC3940" s="314"/>
      <c r="BD3940" s="314"/>
      <c r="BE3940" s="314"/>
      <c r="BF3940" s="314"/>
      <c r="BG3940" s="314"/>
      <c r="BH3940" s="314"/>
      <c r="BI3940" s="314"/>
      <c r="BJ3940" s="314"/>
      <c r="BK3940" s="40"/>
      <c r="BL3940" s="40"/>
      <c r="BM3940" s="40"/>
      <c r="BN3940" s="40"/>
      <c r="BO3940" s="40"/>
      <c r="BP3940" s="155"/>
      <c r="BQ3940" s="314"/>
      <c r="BR3940" s="314"/>
      <c r="BS3940" s="314"/>
      <c r="BT3940" s="314"/>
      <c r="BU3940" s="314"/>
      <c r="BV3940" s="314"/>
      <c r="BW3940" s="314"/>
      <c r="BX3940" s="155"/>
    </row>
    <row r="3941" spans="1:76" ht="15.75" customHeight="1">
      <c r="A3941" s="25"/>
      <c r="B3941" s="39"/>
      <c r="C3941" s="155"/>
      <c r="D3941" s="155"/>
      <c r="E3941" s="40"/>
      <c r="F3941" s="314"/>
      <c r="H3941" s="315"/>
      <c r="I3941" s="315"/>
      <c r="BA3941" s="30"/>
      <c r="BB3941" s="155"/>
      <c r="BC3941" s="314"/>
      <c r="BD3941" s="314"/>
      <c r="BE3941" s="314"/>
      <c r="BF3941" s="314"/>
      <c r="BG3941" s="314"/>
      <c r="BH3941" s="314"/>
      <c r="BI3941" s="314"/>
      <c r="BJ3941" s="314"/>
      <c r="BK3941" s="40"/>
      <c r="BL3941" s="40"/>
      <c r="BM3941" s="40"/>
      <c r="BN3941" s="40"/>
      <c r="BO3941" s="40"/>
      <c r="BP3941" s="155"/>
      <c r="BQ3941" s="314"/>
      <c r="BR3941" s="314"/>
      <c r="BS3941" s="314"/>
      <c r="BT3941" s="314"/>
      <c r="BU3941" s="314"/>
      <c r="BV3941" s="314"/>
      <c r="BW3941" s="314"/>
      <c r="BX3941" s="155"/>
    </row>
    <row r="3942" spans="1:76" ht="15.75" customHeight="1">
      <c r="A3942" s="25"/>
      <c r="B3942" s="39"/>
      <c r="C3942" s="155"/>
      <c r="D3942" s="155"/>
      <c r="E3942" s="40"/>
      <c r="F3942" s="314"/>
      <c r="H3942" s="315"/>
      <c r="I3942" s="315"/>
      <c r="BA3942" s="30"/>
      <c r="BB3942" s="155"/>
      <c r="BC3942" s="314"/>
      <c r="BD3942" s="314"/>
      <c r="BE3942" s="314"/>
      <c r="BF3942" s="314"/>
      <c r="BG3942" s="314"/>
      <c r="BH3942" s="314"/>
      <c r="BI3942" s="314"/>
      <c r="BJ3942" s="314"/>
      <c r="BK3942" s="40"/>
      <c r="BL3942" s="40"/>
      <c r="BM3942" s="40"/>
      <c r="BN3942" s="40"/>
      <c r="BO3942" s="40"/>
      <c r="BP3942" s="155"/>
      <c r="BQ3942" s="314"/>
      <c r="BR3942" s="314"/>
      <c r="BS3942" s="314"/>
      <c r="BT3942" s="314"/>
      <c r="BU3942" s="314"/>
      <c r="BV3942" s="314"/>
      <c r="BW3942" s="314"/>
      <c r="BX3942" s="155"/>
    </row>
    <row r="3943" spans="1:76" ht="15.75" customHeight="1">
      <c r="A3943" s="25"/>
      <c r="B3943" s="39"/>
      <c r="C3943" s="155"/>
      <c r="D3943" s="155"/>
      <c r="E3943" s="40"/>
      <c r="F3943" s="314"/>
      <c r="H3943" s="315"/>
      <c r="I3943" s="315"/>
      <c r="BA3943" s="30"/>
      <c r="BB3943" s="155"/>
      <c r="BC3943" s="314"/>
      <c r="BD3943" s="314"/>
      <c r="BE3943" s="314"/>
      <c r="BF3943" s="314"/>
      <c r="BG3943" s="314"/>
      <c r="BH3943" s="314"/>
      <c r="BI3943" s="314"/>
      <c r="BJ3943" s="314"/>
      <c r="BK3943" s="40"/>
      <c r="BL3943" s="40"/>
      <c r="BM3943" s="40"/>
      <c r="BN3943" s="40"/>
      <c r="BO3943" s="40"/>
      <c r="BP3943" s="155"/>
      <c r="BQ3943" s="314"/>
      <c r="BR3943" s="314"/>
      <c r="BS3943" s="314"/>
      <c r="BT3943" s="314"/>
      <c r="BU3943" s="314"/>
      <c r="BV3943" s="314"/>
      <c r="BW3943" s="314"/>
      <c r="BX3943" s="155"/>
    </row>
    <row r="3944" spans="1:76" ht="15.75" customHeight="1">
      <c r="A3944" s="25"/>
      <c r="B3944" s="39"/>
      <c r="C3944" s="155"/>
      <c r="D3944" s="155"/>
      <c r="E3944" s="40"/>
      <c r="F3944" s="314"/>
      <c r="H3944" s="315"/>
      <c r="I3944" s="315"/>
      <c r="BA3944" s="30"/>
      <c r="BB3944" s="155"/>
      <c r="BC3944" s="314"/>
      <c r="BD3944" s="314"/>
      <c r="BE3944" s="314"/>
      <c r="BF3944" s="314"/>
      <c r="BG3944" s="314"/>
      <c r="BH3944" s="314"/>
      <c r="BI3944" s="314"/>
      <c r="BJ3944" s="314"/>
      <c r="BK3944" s="40"/>
      <c r="BL3944" s="40"/>
      <c r="BM3944" s="40"/>
      <c r="BN3944" s="40"/>
      <c r="BO3944" s="40"/>
      <c r="BP3944" s="155"/>
      <c r="BQ3944" s="314"/>
      <c r="BR3944" s="314"/>
      <c r="BS3944" s="314"/>
      <c r="BT3944" s="314"/>
      <c r="BU3944" s="314"/>
      <c r="BV3944" s="314"/>
      <c r="BW3944" s="314"/>
      <c r="BX3944" s="155"/>
    </row>
    <row r="3945" spans="1:76" ht="15.75" customHeight="1">
      <c r="A3945" s="25"/>
      <c r="B3945" s="39"/>
      <c r="C3945" s="155"/>
      <c r="D3945" s="155"/>
      <c r="E3945" s="40"/>
      <c r="F3945" s="314"/>
      <c r="H3945" s="315"/>
      <c r="I3945" s="315"/>
      <c r="BA3945" s="30"/>
      <c r="BB3945" s="155"/>
      <c r="BC3945" s="314"/>
      <c r="BD3945" s="314"/>
      <c r="BE3945" s="314"/>
      <c r="BF3945" s="314"/>
      <c r="BG3945" s="314"/>
      <c r="BH3945" s="314"/>
      <c r="BI3945" s="314"/>
      <c r="BJ3945" s="314"/>
      <c r="BK3945" s="40"/>
      <c r="BL3945" s="40"/>
      <c r="BM3945" s="40"/>
      <c r="BN3945" s="40"/>
      <c r="BO3945" s="40"/>
      <c r="BP3945" s="155"/>
      <c r="BQ3945" s="314"/>
      <c r="BR3945" s="314"/>
      <c r="BS3945" s="314"/>
      <c r="BT3945" s="314"/>
      <c r="BU3945" s="314"/>
      <c r="BV3945" s="314"/>
      <c r="BW3945" s="314"/>
      <c r="BX3945" s="155"/>
    </row>
    <row r="3946" spans="1:76" ht="15.75" customHeight="1">
      <c r="A3946" s="25"/>
      <c r="B3946" s="39"/>
      <c r="C3946" s="155"/>
      <c r="D3946" s="155"/>
      <c r="E3946" s="40"/>
      <c r="F3946" s="314"/>
      <c r="H3946" s="315"/>
      <c r="I3946" s="315"/>
      <c r="BA3946" s="30"/>
      <c r="BB3946" s="155"/>
      <c r="BC3946" s="314"/>
      <c r="BD3946" s="314"/>
      <c r="BE3946" s="314"/>
      <c r="BF3946" s="314"/>
      <c r="BG3946" s="314"/>
      <c r="BH3946" s="314"/>
      <c r="BI3946" s="314"/>
      <c r="BJ3946" s="314"/>
      <c r="BK3946" s="40"/>
      <c r="BL3946" s="40"/>
      <c r="BM3946" s="40"/>
      <c r="BN3946" s="40"/>
      <c r="BO3946" s="40"/>
      <c r="BP3946" s="155"/>
      <c r="BQ3946" s="314"/>
      <c r="BR3946" s="314"/>
      <c r="BS3946" s="314"/>
      <c r="BT3946" s="314"/>
      <c r="BU3946" s="314"/>
      <c r="BV3946" s="314"/>
      <c r="BW3946" s="314"/>
      <c r="BX3946" s="155"/>
    </row>
    <row r="3947" spans="1:76" ht="15.75" customHeight="1">
      <c r="A3947" s="25"/>
      <c r="B3947" s="39"/>
      <c r="C3947" s="155"/>
      <c r="D3947" s="155"/>
      <c r="E3947" s="40"/>
      <c r="F3947" s="314"/>
      <c r="H3947" s="315"/>
      <c r="I3947" s="315"/>
      <c r="BA3947" s="30"/>
      <c r="BB3947" s="155"/>
      <c r="BC3947" s="314"/>
      <c r="BD3947" s="314"/>
      <c r="BE3947" s="314"/>
      <c r="BF3947" s="314"/>
      <c r="BG3947" s="314"/>
      <c r="BH3947" s="314"/>
      <c r="BI3947" s="314"/>
      <c r="BJ3947" s="314"/>
      <c r="BK3947" s="40"/>
      <c r="BL3947" s="40"/>
      <c r="BM3947" s="40"/>
      <c r="BN3947" s="40"/>
      <c r="BO3947" s="40"/>
      <c r="BP3947" s="155"/>
      <c r="BQ3947" s="314"/>
      <c r="BR3947" s="314"/>
      <c r="BS3947" s="314"/>
      <c r="BT3947" s="314"/>
      <c r="BU3947" s="314"/>
      <c r="BV3947" s="314"/>
      <c r="BW3947" s="314"/>
      <c r="BX3947" s="155"/>
    </row>
    <row r="3948" spans="1:76" ht="15.75" customHeight="1">
      <c r="A3948" s="25"/>
      <c r="B3948" s="39"/>
      <c r="C3948" s="155"/>
      <c r="D3948" s="155"/>
      <c r="E3948" s="40"/>
      <c r="F3948" s="314"/>
      <c r="H3948" s="315"/>
      <c r="I3948" s="315"/>
      <c r="BA3948" s="30"/>
      <c r="BB3948" s="155"/>
      <c r="BC3948" s="314"/>
      <c r="BD3948" s="314"/>
      <c r="BE3948" s="314"/>
      <c r="BF3948" s="314"/>
      <c r="BG3948" s="314"/>
      <c r="BH3948" s="314"/>
      <c r="BI3948" s="314"/>
      <c r="BJ3948" s="314"/>
      <c r="BK3948" s="40"/>
      <c r="BL3948" s="40"/>
      <c r="BM3948" s="40"/>
      <c r="BN3948" s="40"/>
      <c r="BO3948" s="40"/>
      <c r="BP3948" s="155"/>
      <c r="BQ3948" s="314"/>
      <c r="BR3948" s="314"/>
      <c r="BS3948" s="314"/>
      <c r="BT3948" s="314"/>
      <c r="BU3948" s="314"/>
      <c r="BV3948" s="314"/>
      <c r="BW3948" s="314"/>
      <c r="BX3948" s="155"/>
    </row>
    <row r="3949" spans="1:76" ht="15.75" customHeight="1">
      <c r="A3949" s="25"/>
      <c r="B3949" s="39"/>
      <c r="C3949" s="155"/>
      <c r="D3949" s="155"/>
      <c r="E3949" s="40"/>
      <c r="F3949" s="314"/>
      <c r="H3949" s="315"/>
      <c r="I3949" s="315"/>
      <c r="BA3949" s="30"/>
      <c r="BB3949" s="155"/>
      <c r="BC3949" s="314"/>
      <c r="BD3949" s="314"/>
      <c r="BE3949" s="314"/>
      <c r="BF3949" s="314"/>
      <c r="BG3949" s="314"/>
      <c r="BH3949" s="314"/>
      <c r="BI3949" s="314"/>
      <c r="BJ3949" s="314"/>
      <c r="BK3949" s="40"/>
      <c r="BL3949" s="40"/>
      <c r="BM3949" s="40"/>
      <c r="BN3949" s="40"/>
      <c r="BO3949" s="40"/>
      <c r="BP3949" s="155"/>
      <c r="BQ3949" s="314"/>
      <c r="BR3949" s="314"/>
      <c r="BS3949" s="314"/>
      <c r="BT3949" s="314"/>
      <c r="BU3949" s="314"/>
      <c r="BV3949" s="314"/>
      <c r="BW3949" s="314"/>
      <c r="BX3949" s="155"/>
    </row>
    <row r="3950" spans="1:76" ht="15.75" customHeight="1">
      <c r="A3950" s="25"/>
      <c r="B3950" s="39"/>
      <c r="C3950" s="155"/>
      <c r="D3950" s="155"/>
      <c r="E3950" s="40"/>
      <c r="F3950" s="314"/>
      <c r="H3950" s="315"/>
      <c r="I3950" s="315"/>
      <c r="BA3950" s="30"/>
      <c r="BB3950" s="155"/>
      <c r="BC3950" s="314"/>
      <c r="BD3950" s="314"/>
      <c r="BE3950" s="314"/>
      <c r="BF3950" s="314"/>
      <c r="BG3950" s="314"/>
      <c r="BH3950" s="314"/>
      <c r="BI3950" s="314"/>
      <c r="BJ3950" s="314"/>
      <c r="BK3950" s="40"/>
      <c r="BL3950" s="40"/>
      <c r="BM3950" s="40"/>
      <c r="BN3950" s="40"/>
      <c r="BO3950" s="40"/>
      <c r="BP3950" s="155"/>
      <c r="BQ3950" s="314"/>
      <c r="BR3950" s="314"/>
      <c r="BS3950" s="314"/>
      <c r="BT3950" s="314"/>
      <c r="BU3950" s="314"/>
      <c r="BV3950" s="314"/>
      <c r="BW3950" s="314"/>
      <c r="BX3950" s="155"/>
    </row>
    <row r="3951" spans="1:76" ht="15.75" customHeight="1">
      <c r="A3951" s="25"/>
      <c r="B3951" s="39"/>
      <c r="C3951" s="155"/>
      <c r="D3951" s="155"/>
      <c r="E3951" s="40"/>
      <c r="F3951" s="314"/>
      <c r="H3951" s="315"/>
      <c r="I3951" s="315"/>
      <c r="BA3951" s="30"/>
      <c r="BB3951" s="155"/>
      <c r="BC3951" s="322"/>
      <c r="BD3951" s="322"/>
      <c r="BE3951" s="322"/>
      <c r="BF3951" s="322"/>
      <c r="BG3951" s="322"/>
      <c r="BH3951" s="322"/>
      <c r="BI3951" s="322"/>
      <c r="BJ3951" s="322"/>
      <c r="BK3951" s="341"/>
      <c r="BL3951" s="40"/>
      <c r="BM3951" s="40"/>
      <c r="BN3951" s="40"/>
      <c r="BO3951" s="40"/>
      <c r="BP3951" s="155"/>
      <c r="BQ3951" s="314"/>
      <c r="BR3951" s="314"/>
      <c r="BS3951" s="314"/>
      <c r="BT3951" s="314"/>
      <c r="BU3951" s="314"/>
      <c r="BV3951" s="314"/>
      <c r="BW3951" s="314"/>
      <c r="BX3951" s="155"/>
    </row>
    <row r="3952" spans="1:76" ht="15.75" customHeight="1">
      <c r="A3952" s="25"/>
      <c r="B3952" s="39"/>
      <c r="C3952" s="155"/>
      <c r="D3952" s="155"/>
      <c r="E3952" s="40"/>
      <c r="F3952" s="314"/>
      <c r="H3952" s="315"/>
      <c r="I3952" s="315"/>
      <c r="BA3952" s="30"/>
      <c r="BB3952" s="155"/>
      <c r="BC3952" s="314"/>
      <c r="BD3952" s="314"/>
      <c r="BE3952" s="314"/>
      <c r="BF3952" s="314"/>
      <c r="BG3952" s="314"/>
      <c r="BH3952" s="314"/>
      <c r="BI3952" s="314"/>
      <c r="BJ3952" s="314"/>
      <c r="BK3952" s="40"/>
      <c r="BL3952" s="40"/>
      <c r="BM3952" s="40"/>
      <c r="BN3952" s="40"/>
      <c r="BO3952" s="40"/>
      <c r="BP3952" s="155"/>
      <c r="BQ3952" s="314"/>
      <c r="BR3952" s="314"/>
      <c r="BS3952" s="314"/>
      <c r="BT3952" s="314"/>
      <c r="BU3952" s="314"/>
      <c r="BV3952" s="314"/>
      <c r="BW3952" s="314"/>
      <c r="BX3952" s="155"/>
    </row>
    <row r="3953" spans="1:76" ht="15.75" customHeight="1">
      <c r="A3953" s="25"/>
      <c r="B3953" s="39"/>
      <c r="C3953" s="155"/>
      <c r="D3953" s="155"/>
      <c r="E3953" s="40"/>
      <c r="F3953" s="314"/>
      <c r="H3953" s="315"/>
      <c r="I3953" s="315"/>
      <c r="BA3953" s="30"/>
      <c r="BB3953" s="155"/>
      <c r="BC3953" s="314"/>
      <c r="BD3953" s="314"/>
      <c r="BE3953" s="314"/>
      <c r="BF3953" s="314"/>
      <c r="BG3953" s="314"/>
      <c r="BH3953" s="314"/>
      <c r="BI3953" s="314"/>
      <c r="BJ3953" s="314"/>
      <c r="BK3953" s="40"/>
      <c r="BL3953" s="40"/>
      <c r="BM3953" s="40"/>
      <c r="BN3953" s="40"/>
      <c r="BO3953" s="40"/>
      <c r="BP3953" s="155"/>
      <c r="BQ3953" s="314"/>
      <c r="BR3953" s="314"/>
      <c r="BS3953" s="314"/>
      <c r="BT3953" s="314"/>
      <c r="BU3953" s="314"/>
      <c r="BV3953" s="314"/>
      <c r="BW3953" s="314"/>
      <c r="BX3953" s="155"/>
    </row>
    <row r="3954" spans="1:76" ht="15.75" customHeight="1">
      <c r="A3954" s="25"/>
      <c r="B3954" s="39"/>
      <c r="C3954" s="155"/>
      <c r="D3954" s="155"/>
      <c r="E3954" s="40"/>
      <c r="F3954" s="314"/>
      <c r="H3954" s="315"/>
      <c r="I3954" s="315"/>
      <c r="BA3954" s="30"/>
      <c r="BB3954" s="155"/>
      <c r="BC3954" s="314"/>
      <c r="BD3954" s="314"/>
      <c r="BE3954" s="314"/>
      <c r="BF3954" s="314"/>
      <c r="BG3954" s="314"/>
      <c r="BH3954" s="314"/>
      <c r="BI3954" s="314"/>
      <c r="BJ3954" s="314"/>
      <c r="BK3954" s="40"/>
      <c r="BL3954" s="40"/>
      <c r="BM3954" s="40"/>
      <c r="BN3954" s="40"/>
      <c r="BO3954" s="40"/>
      <c r="BP3954" s="155"/>
      <c r="BQ3954" s="314"/>
      <c r="BR3954" s="314"/>
      <c r="BS3954" s="314"/>
      <c r="BT3954" s="314"/>
      <c r="BU3954" s="314"/>
      <c r="BV3954" s="314"/>
      <c r="BW3954" s="314"/>
      <c r="BX3954" s="155"/>
    </row>
    <row r="3955" spans="1:76" ht="15.75" customHeight="1">
      <c r="A3955" s="25"/>
      <c r="B3955" s="39"/>
      <c r="C3955" s="155"/>
      <c r="D3955" s="155"/>
      <c r="E3955" s="40"/>
      <c r="F3955" s="314"/>
      <c r="H3955" s="315"/>
      <c r="I3955" s="315"/>
      <c r="BA3955" s="30"/>
      <c r="BB3955" s="155"/>
      <c r="BC3955" s="314"/>
      <c r="BD3955" s="314"/>
      <c r="BE3955" s="314"/>
      <c r="BF3955" s="314"/>
      <c r="BG3955" s="314"/>
      <c r="BH3955" s="314"/>
      <c r="BI3955" s="314"/>
      <c r="BJ3955" s="314"/>
      <c r="BK3955" s="40"/>
      <c r="BL3955" s="40"/>
      <c r="BM3955" s="40"/>
      <c r="BN3955" s="40"/>
      <c r="BO3955" s="40"/>
      <c r="BP3955" s="155"/>
      <c r="BQ3955" s="314"/>
      <c r="BR3955" s="314"/>
      <c r="BS3955" s="314"/>
      <c r="BT3955" s="314"/>
      <c r="BU3955" s="314"/>
      <c r="BV3955" s="314"/>
      <c r="BW3955" s="314"/>
      <c r="BX3955" s="155"/>
    </row>
    <row r="3956" spans="1:76" ht="15.75" customHeight="1">
      <c r="A3956" s="25"/>
      <c r="B3956" s="39"/>
      <c r="C3956" s="155"/>
      <c r="D3956" s="155"/>
      <c r="E3956" s="40"/>
      <c r="F3956" s="314"/>
      <c r="H3956" s="315"/>
      <c r="I3956" s="315"/>
      <c r="BA3956" s="30"/>
      <c r="BB3956" s="155"/>
      <c r="BC3956" s="314"/>
      <c r="BD3956" s="314"/>
      <c r="BE3956" s="314"/>
      <c r="BF3956" s="314"/>
      <c r="BG3956" s="314"/>
      <c r="BH3956" s="314"/>
      <c r="BI3956" s="314"/>
      <c r="BJ3956" s="314"/>
      <c r="BK3956" s="40"/>
      <c r="BL3956" s="40"/>
      <c r="BM3956" s="40"/>
      <c r="BN3956" s="40"/>
      <c r="BO3956" s="40"/>
      <c r="BP3956" s="155"/>
      <c r="BQ3956" s="314"/>
      <c r="BR3956" s="314"/>
      <c r="BS3956" s="314"/>
      <c r="BT3956" s="314"/>
      <c r="BU3956" s="314"/>
      <c r="BV3956" s="314"/>
      <c r="BW3956" s="314"/>
      <c r="BX3956" s="155"/>
    </row>
    <row r="3957" spans="1:76" ht="15.75" customHeight="1">
      <c r="A3957" s="25"/>
      <c r="B3957" s="39"/>
      <c r="C3957" s="155"/>
      <c r="D3957" s="155"/>
      <c r="E3957" s="40"/>
      <c r="F3957" s="314"/>
      <c r="H3957" s="315"/>
      <c r="I3957" s="315"/>
      <c r="BA3957" s="30"/>
      <c r="BB3957" s="155"/>
      <c r="BC3957" s="314"/>
      <c r="BD3957" s="314"/>
      <c r="BE3957" s="314"/>
      <c r="BF3957" s="314"/>
      <c r="BG3957" s="314"/>
      <c r="BH3957" s="314"/>
      <c r="BI3957" s="314"/>
      <c r="BJ3957" s="314"/>
      <c r="BK3957" s="40"/>
      <c r="BL3957" s="40"/>
      <c r="BM3957" s="40"/>
      <c r="BN3957" s="40"/>
      <c r="BO3957" s="40"/>
      <c r="BP3957" s="155"/>
      <c r="BQ3957" s="314"/>
      <c r="BR3957" s="314"/>
      <c r="BS3957" s="314"/>
      <c r="BT3957" s="314"/>
      <c r="BU3957" s="314"/>
      <c r="BV3957" s="314"/>
      <c r="BW3957" s="314"/>
      <c r="BX3957" s="155"/>
    </row>
    <row r="3958" spans="1:76" ht="15.75" customHeight="1">
      <c r="A3958" s="25"/>
      <c r="B3958" s="39"/>
      <c r="C3958" s="155"/>
      <c r="D3958" s="155"/>
      <c r="E3958" s="40"/>
      <c r="F3958" s="314"/>
      <c r="H3958" s="315"/>
      <c r="I3958" s="315"/>
      <c r="BA3958" s="30"/>
      <c r="BB3958" s="155"/>
      <c r="BC3958" s="314"/>
      <c r="BD3958" s="314"/>
      <c r="BE3958" s="314"/>
      <c r="BF3958" s="314"/>
      <c r="BG3958" s="314"/>
      <c r="BH3958" s="314"/>
      <c r="BI3958" s="314"/>
      <c r="BJ3958" s="314"/>
      <c r="BK3958" s="40"/>
      <c r="BL3958" s="40"/>
      <c r="BM3958" s="40"/>
      <c r="BN3958" s="40"/>
      <c r="BO3958" s="40"/>
      <c r="BP3958" s="155"/>
      <c r="BQ3958" s="314"/>
      <c r="BR3958" s="314"/>
      <c r="BS3958" s="314"/>
      <c r="BT3958" s="314"/>
      <c r="BU3958" s="314"/>
      <c r="BV3958" s="314"/>
      <c r="BW3958" s="314"/>
      <c r="BX3958" s="155"/>
    </row>
    <row r="3959" spans="1:76" ht="15.75" customHeight="1">
      <c r="A3959" s="25"/>
      <c r="B3959" s="39"/>
      <c r="C3959" s="155"/>
      <c r="D3959" s="155"/>
      <c r="E3959" s="40"/>
      <c r="F3959" s="314"/>
      <c r="H3959" s="315"/>
      <c r="I3959" s="315"/>
      <c r="BA3959" s="30"/>
      <c r="BB3959" s="155"/>
      <c r="BC3959" s="314"/>
      <c r="BD3959" s="314"/>
      <c r="BE3959" s="314"/>
      <c r="BF3959" s="314"/>
      <c r="BG3959" s="314"/>
      <c r="BH3959" s="314"/>
      <c r="BI3959" s="314"/>
      <c r="BJ3959" s="314"/>
      <c r="BK3959" s="40"/>
      <c r="BL3959" s="40"/>
      <c r="BM3959" s="40"/>
      <c r="BN3959" s="40"/>
      <c r="BO3959" s="40"/>
      <c r="BP3959" s="155"/>
      <c r="BQ3959" s="314"/>
      <c r="BR3959" s="314"/>
      <c r="BS3959" s="314"/>
      <c r="BT3959" s="314"/>
      <c r="BU3959" s="314"/>
      <c r="BV3959" s="314"/>
      <c r="BW3959" s="314"/>
      <c r="BX3959" s="155"/>
    </row>
    <row r="3960" spans="1:76" ht="15.75" customHeight="1">
      <c r="A3960" s="25"/>
      <c r="B3960" s="39"/>
      <c r="C3960" s="155"/>
      <c r="D3960" s="155"/>
      <c r="E3960" s="40"/>
      <c r="F3960" s="314"/>
      <c r="H3960" s="315"/>
      <c r="I3960" s="315"/>
      <c r="BA3960" s="30"/>
      <c r="BB3960" s="155"/>
      <c r="BC3960" s="314"/>
      <c r="BD3960" s="314"/>
      <c r="BE3960" s="314"/>
      <c r="BF3960" s="314"/>
      <c r="BG3960" s="314"/>
      <c r="BH3960" s="314"/>
      <c r="BI3960" s="314"/>
      <c r="BJ3960" s="314"/>
      <c r="BK3960" s="40"/>
      <c r="BL3960" s="40"/>
      <c r="BM3960" s="40"/>
      <c r="BN3960" s="40"/>
      <c r="BO3960" s="40"/>
      <c r="BP3960" s="155"/>
      <c r="BQ3960" s="314"/>
      <c r="BR3960" s="314"/>
      <c r="BS3960" s="314"/>
      <c r="BT3960" s="314"/>
      <c r="BU3960" s="314"/>
      <c r="BV3960" s="314"/>
      <c r="BW3960" s="314"/>
      <c r="BX3960" s="155"/>
    </row>
    <row r="3961" spans="1:76" ht="15.75" customHeight="1">
      <c r="A3961" s="25"/>
      <c r="B3961" s="39"/>
      <c r="C3961" s="155"/>
      <c r="D3961" s="155"/>
      <c r="E3961" s="40"/>
      <c r="F3961" s="314"/>
      <c r="H3961" s="315"/>
      <c r="I3961" s="315"/>
      <c r="BA3961" s="30"/>
      <c r="BB3961" s="155"/>
      <c r="BC3961" s="314"/>
      <c r="BD3961" s="314"/>
      <c r="BE3961" s="314"/>
      <c r="BF3961" s="314"/>
      <c r="BG3961" s="314"/>
      <c r="BH3961" s="314"/>
      <c r="BI3961" s="314"/>
      <c r="BJ3961" s="314"/>
      <c r="BK3961" s="40"/>
      <c r="BL3961" s="40"/>
      <c r="BM3961" s="40"/>
      <c r="BN3961" s="40"/>
      <c r="BO3961" s="40"/>
      <c r="BP3961" s="155"/>
      <c r="BQ3961" s="314"/>
      <c r="BR3961" s="314"/>
      <c r="BS3961" s="314"/>
      <c r="BT3961" s="314"/>
      <c r="BU3961" s="314"/>
      <c r="BV3961" s="314"/>
      <c r="BW3961" s="314"/>
      <c r="BX3961" s="155"/>
    </row>
    <row r="3962" spans="1:76" ht="15.75" customHeight="1">
      <c r="A3962" s="25"/>
      <c r="B3962" s="39"/>
      <c r="C3962" s="155"/>
      <c r="D3962" s="155"/>
      <c r="E3962" s="40"/>
      <c r="F3962" s="314"/>
      <c r="H3962" s="315"/>
      <c r="I3962" s="315"/>
      <c r="BA3962" s="30"/>
      <c r="BB3962" s="155"/>
      <c r="BC3962" s="314"/>
      <c r="BD3962" s="314"/>
      <c r="BE3962" s="314"/>
      <c r="BF3962" s="314"/>
      <c r="BG3962" s="314"/>
      <c r="BH3962" s="314"/>
      <c r="BI3962" s="314"/>
      <c r="BJ3962" s="314"/>
      <c r="BK3962" s="40"/>
      <c r="BL3962" s="40"/>
      <c r="BM3962" s="40"/>
      <c r="BN3962" s="40"/>
      <c r="BO3962" s="40"/>
      <c r="BP3962" s="155"/>
      <c r="BQ3962" s="314"/>
      <c r="BR3962" s="314"/>
      <c r="BS3962" s="314"/>
      <c r="BT3962" s="314"/>
      <c r="BU3962" s="314"/>
      <c r="BV3962" s="314"/>
      <c r="BW3962" s="314"/>
      <c r="BX3962" s="155"/>
    </row>
    <row r="3963" spans="1:76" ht="15.75" customHeight="1">
      <c r="A3963" s="25"/>
      <c r="B3963" s="39"/>
      <c r="C3963" s="155"/>
      <c r="D3963" s="155"/>
      <c r="E3963" s="40"/>
      <c r="F3963" s="314"/>
      <c r="H3963" s="315"/>
      <c r="I3963" s="315"/>
      <c r="BA3963" s="30"/>
      <c r="BB3963" s="155"/>
      <c r="BC3963" s="314"/>
      <c r="BD3963" s="314"/>
      <c r="BE3963" s="314"/>
      <c r="BF3963" s="314"/>
      <c r="BG3963" s="314"/>
      <c r="BH3963" s="314"/>
      <c r="BI3963" s="314"/>
      <c r="BJ3963" s="314"/>
      <c r="BK3963" s="40"/>
      <c r="BL3963" s="40"/>
      <c r="BM3963" s="40"/>
      <c r="BN3963" s="40"/>
      <c r="BO3963" s="40"/>
      <c r="BP3963" s="155"/>
      <c r="BQ3963" s="314"/>
      <c r="BR3963" s="314"/>
      <c r="BS3963" s="314"/>
      <c r="BT3963" s="314"/>
      <c r="BU3963" s="314"/>
      <c r="BV3963" s="314"/>
      <c r="BW3963" s="314"/>
      <c r="BX3963" s="155"/>
    </row>
    <row r="3964" spans="1:76" ht="15.75" customHeight="1">
      <c r="A3964" s="25"/>
      <c r="B3964" s="39"/>
      <c r="C3964" s="155"/>
      <c r="D3964" s="155"/>
      <c r="E3964" s="40"/>
      <c r="F3964" s="314"/>
      <c r="H3964" s="315"/>
      <c r="I3964" s="315"/>
      <c r="BA3964" s="30"/>
      <c r="BB3964" s="155"/>
      <c r="BC3964" s="314"/>
      <c r="BD3964" s="314"/>
      <c r="BE3964" s="314"/>
      <c r="BF3964" s="314"/>
      <c r="BG3964" s="314"/>
      <c r="BH3964" s="314"/>
      <c r="BI3964" s="314"/>
      <c r="BJ3964" s="314"/>
      <c r="BK3964" s="40"/>
      <c r="BL3964" s="40"/>
      <c r="BM3964" s="40"/>
      <c r="BN3964" s="40"/>
      <c r="BO3964" s="40"/>
      <c r="BP3964" s="155"/>
      <c r="BQ3964" s="314"/>
      <c r="BR3964" s="314"/>
      <c r="BS3964" s="314"/>
      <c r="BT3964" s="314"/>
      <c r="BU3964" s="314"/>
      <c r="BV3964" s="314"/>
      <c r="BW3964" s="314"/>
      <c r="BX3964" s="155"/>
    </row>
    <row r="3965" spans="1:76" ht="15.75" customHeight="1">
      <c r="A3965" s="25"/>
      <c r="B3965" s="39"/>
      <c r="C3965" s="155"/>
      <c r="D3965" s="155"/>
      <c r="E3965" s="40"/>
      <c r="F3965" s="314"/>
      <c r="H3965" s="315"/>
      <c r="I3965" s="315"/>
      <c r="BA3965" s="30"/>
      <c r="BB3965" s="155"/>
      <c r="BC3965" s="314"/>
      <c r="BD3965" s="314"/>
      <c r="BE3965" s="314"/>
      <c r="BF3965" s="314"/>
      <c r="BG3965" s="314"/>
      <c r="BH3965" s="314"/>
      <c r="BI3965" s="314"/>
      <c r="BJ3965" s="314"/>
      <c r="BK3965" s="40"/>
      <c r="BL3965" s="40"/>
      <c r="BM3965" s="40"/>
      <c r="BN3965" s="40"/>
      <c r="BO3965" s="40"/>
      <c r="BP3965" s="155"/>
      <c r="BQ3965" s="314"/>
      <c r="BR3965" s="314"/>
      <c r="BS3965" s="314"/>
      <c r="BT3965" s="314"/>
      <c r="BU3965" s="314"/>
      <c r="BV3965" s="314"/>
      <c r="BW3965" s="314"/>
      <c r="BX3965" s="155"/>
    </row>
    <row r="3966" spans="1:76" ht="15.75" customHeight="1">
      <c r="A3966" s="25"/>
      <c r="B3966" s="39"/>
      <c r="C3966" s="155"/>
      <c r="D3966" s="155"/>
      <c r="E3966" s="40"/>
      <c r="F3966" s="314"/>
      <c r="H3966" s="315"/>
      <c r="I3966" s="315"/>
      <c r="BA3966" s="30"/>
      <c r="BB3966" s="155"/>
      <c r="BC3966" s="314"/>
      <c r="BD3966" s="314"/>
      <c r="BE3966" s="314"/>
      <c r="BF3966" s="314"/>
      <c r="BG3966" s="314"/>
      <c r="BH3966" s="314"/>
      <c r="BI3966" s="314"/>
      <c r="BJ3966" s="314"/>
      <c r="BK3966" s="40"/>
      <c r="BL3966" s="40"/>
      <c r="BM3966" s="40"/>
      <c r="BN3966" s="40"/>
      <c r="BO3966" s="40"/>
      <c r="BP3966" s="155"/>
      <c r="BQ3966" s="314"/>
      <c r="BR3966" s="314"/>
      <c r="BS3966" s="314"/>
      <c r="BT3966" s="314"/>
      <c r="BU3966" s="314"/>
      <c r="BV3966" s="314"/>
      <c r="BW3966" s="314"/>
      <c r="BX3966" s="155"/>
    </row>
    <row r="3967" spans="1:76" ht="15.75" customHeight="1">
      <c r="A3967" s="25"/>
      <c r="B3967" s="39"/>
      <c r="C3967" s="155"/>
      <c r="D3967" s="155"/>
      <c r="E3967" s="40"/>
      <c r="F3967" s="314"/>
      <c r="H3967" s="315"/>
      <c r="I3967" s="315"/>
      <c r="BA3967" s="30"/>
      <c r="BB3967" s="155"/>
      <c r="BC3967" s="314"/>
      <c r="BD3967" s="314"/>
      <c r="BE3967" s="314"/>
      <c r="BF3967" s="314"/>
      <c r="BG3967" s="314"/>
      <c r="BH3967" s="314"/>
      <c r="BI3967" s="314"/>
      <c r="BJ3967" s="314"/>
      <c r="BK3967" s="40"/>
      <c r="BL3967" s="40"/>
      <c r="BM3967" s="40"/>
      <c r="BN3967" s="40"/>
      <c r="BO3967" s="40"/>
      <c r="BP3967" s="155"/>
      <c r="BQ3967" s="314"/>
      <c r="BR3967" s="314"/>
      <c r="BS3967" s="314"/>
      <c r="BT3967" s="314"/>
      <c r="BU3967" s="314"/>
      <c r="BV3967" s="314"/>
      <c r="BW3967" s="314"/>
      <c r="BX3967" s="155"/>
    </row>
    <row r="3968" spans="1:76" ht="15.75" customHeight="1">
      <c r="A3968" s="25"/>
      <c r="B3968" s="39"/>
      <c r="C3968" s="155"/>
      <c r="D3968" s="155"/>
      <c r="E3968" s="40"/>
      <c r="F3968" s="314"/>
      <c r="H3968" s="315"/>
      <c r="I3968" s="315"/>
      <c r="BA3968" s="30"/>
      <c r="BB3968" s="155"/>
      <c r="BC3968" s="314"/>
      <c r="BD3968" s="314"/>
      <c r="BE3968" s="314"/>
      <c r="BF3968" s="314"/>
      <c r="BG3968" s="314"/>
      <c r="BH3968" s="314"/>
      <c r="BI3968" s="314"/>
      <c r="BJ3968" s="314"/>
      <c r="BK3968" s="40"/>
      <c r="BL3968" s="40"/>
      <c r="BM3968" s="40"/>
      <c r="BN3968" s="40"/>
      <c r="BO3968" s="40"/>
      <c r="BP3968" s="155"/>
      <c r="BQ3968" s="314"/>
      <c r="BR3968" s="314"/>
      <c r="BS3968" s="314"/>
      <c r="BT3968" s="314"/>
      <c r="BU3968" s="314"/>
      <c r="BV3968" s="314"/>
      <c r="BW3968" s="314"/>
      <c r="BX3968" s="155"/>
    </row>
    <row r="3969" spans="1:76" ht="15.75" customHeight="1">
      <c r="A3969" s="25"/>
      <c r="B3969" s="39"/>
      <c r="C3969" s="155"/>
      <c r="D3969" s="155"/>
      <c r="E3969" s="40"/>
      <c r="F3969" s="314"/>
      <c r="H3969" s="315"/>
      <c r="I3969" s="315"/>
      <c r="BA3969" s="30"/>
      <c r="BB3969" s="155"/>
      <c r="BC3969" s="314"/>
      <c r="BD3969" s="314"/>
      <c r="BE3969" s="314"/>
      <c r="BF3969" s="314"/>
      <c r="BG3969" s="314"/>
      <c r="BH3969" s="314"/>
      <c r="BI3969" s="314"/>
      <c r="BJ3969" s="314"/>
      <c r="BK3969" s="40"/>
      <c r="BL3969" s="40"/>
      <c r="BM3969" s="40"/>
      <c r="BN3969" s="40"/>
      <c r="BO3969" s="40"/>
      <c r="BP3969" s="155"/>
      <c r="BQ3969" s="314"/>
      <c r="BR3969" s="314"/>
      <c r="BS3969" s="314"/>
      <c r="BT3969" s="314"/>
      <c r="BU3969" s="314"/>
      <c r="BV3969" s="314"/>
      <c r="BW3969" s="314"/>
      <c r="BX3969" s="155"/>
    </row>
    <row r="3970" spans="1:76" ht="15.75" customHeight="1">
      <c r="A3970" s="25"/>
      <c r="B3970" s="39"/>
      <c r="C3970" s="155"/>
      <c r="D3970" s="155"/>
      <c r="E3970" s="40"/>
      <c r="F3970" s="314"/>
      <c r="H3970" s="315"/>
      <c r="I3970" s="315"/>
      <c r="BA3970" s="30"/>
      <c r="BB3970" s="155"/>
      <c r="BC3970" s="314"/>
      <c r="BD3970" s="314"/>
      <c r="BE3970" s="314"/>
      <c r="BF3970" s="314"/>
      <c r="BG3970" s="314"/>
      <c r="BH3970" s="314"/>
      <c r="BI3970" s="314"/>
      <c r="BJ3970" s="314"/>
      <c r="BK3970" s="40"/>
      <c r="BL3970" s="40"/>
      <c r="BM3970" s="40"/>
      <c r="BN3970" s="40"/>
      <c r="BO3970" s="40"/>
      <c r="BP3970" s="155"/>
      <c r="BQ3970" s="314"/>
      <c r="BR3970" s="314"/>
      <c r="BS3970" s="314"/>
      <c r="BT3970" s="314"/>
      <c r="BU3970" s="314"/>
      <c r="BV3970" s="314"/>
      <c r="BW3970" s="314"/>
      <c r="BX3970" s="155"/>
    </row>
    <row r="3971" spans="1:76" ht="15.75" customHeight="1">
      <c r="A3971" s="25"/>
      <c r="B3971" s="39"/>
      <c r="C3971" s="155"/>
      <c r="D3971" s="155"/>
      <c r="E3971" s="40"/>
      <c r="F3971" s="314"/>
      <c r="H3971" s="315"/>
      <c r="I3971" s="315"/>
      <c r="BA3971" s="30"/>
      <c r="BB3971" s="155"/>
      <c r="BC3971" s="314"/>
      <c r="BD3971" s="314"/>
      <c r="BE3971" s="314"/>
      <c r="BF3971" s="314"/>
      <c r="BG3971" s="314"/>
      <c r="BH3971" s="314"/>
      <c r="BI3971" s="314"/>
      <c r="BJ3971" s="314"/>
      <c r="BK3971" s="40"/>
      <c r="BL3971" s="40"/>
      <c r="BM3971" s="40"/>
      <c r="BN3971" s="40"/>
      <c r="BO3971" s="40"/>
      <c r="BP3971" s="155"/>
      <c r="BQ3971" s="314"/>
      <c r="BR3971" s="314"/>
      <c r="BS3971" s="314"/>
      <c r="BT3971" s="314"/>
      <c r="BU3971" s="314"/>
      <c r="BV3971" s="314"/>
      <c r="BW3971" s="314"/>
      <c r="BX3971" s="155"/>
    </row>
    <row r="3972" spans="1:76" ht="15.75" customHeight="1">
      <c r="A3972" s="25"/>
      <c r="B3972" s="39"/>
      <c r="C3972" s="155"/>
      <c r="D3972" s="155"/>
      <c r="E3972" s="40"/>
      <c r="F3972" s="314"/>
      <c r="H3972" s="315"/>
      <c r="I3972" s="315"/>
      <c r="BA3972" s="30"/>
      <c r="BB3972" s="155"/>
      <c r="BC3972" s="314"/>
      <c r="BD3972" s="314"/>
      <c r="BE3972" s="314"/>
      <c r="BF3972" s="314"/>
      <c r="BG3972" s="314"/>
      <c r="BH3972" s="314"/>
      <c r="BI3972" s="314"/>
      <c r="BJ3972" s="314"/>
      <c r="BK3972" s="40"/>
      <c r="BL3972" s="40"/>
      <c r="BM3972" s="40"/>
      <c r="BN3972" s="40"/>
      <c r="BO3972" s="40"/>
      <c r="BP3972" s="155"/>
      <c r="BQ3972" s="314"/>
      <c r="BR3972" s="314"/>
      <c r="BS3972" s="314"/>
      <c r="BT3972" s="314"/>
      <c r="BU3972" s="314"/>
      <c r="BV3972" s="314"/>
      <c r="BW3972" s="314"/>
      <c r="BX3972" s="155"/>
    </row>
    <row r="3973" spans="1:76" ht="15.75" customHeight="1">
      <c r="A3973" s="25"/>
      <c r="B3973" s="39"/>
      <c r="C3973" s="155"/>
      <c r="D3973" s="155"/>
      <c r="E3973" s="40"/>
      <c r="F3973" s="314"/>
      <c r="H3973" s="315"/>
      <c r="I3973" s="315"/>
      <c r="BA3973" s="30"/>
      <c r="BB3973" s="155"/>
      <c r="BC3973" s="314"/>
      <c r="BD3973" s="314"/>
      <c r="BE3973" s="314"/>
      <c r="BF3973" s="314"/>
      <c r="BG3973" s="314"/>
      <c r="BH3973" s="314"/>
      <c r="BI3973" s="314"/>
      <c r="BJ3973" s="314"/>
      <c r="BK3973" s="40"/>
      <c r="BL3973" s="40"/>
      <c r="BM3973" s="40"/>
      <c r="BN3973" s="40"/>
      <c r="BO3973" s="40"/>
      <c r="BP3973" s="155"/>
      <c r="BQ3973" s="314"/>
      <c r="BR3973" s="314"/>
      <c r="BS3973" s="314"/>
      <c r="BT3973" s="314"/>
      <c r="BU3973" s="314"/>
      <c r="BV3973" s="314"/>
      <c r="BW3973" s="314"/>
      <c r="BX3973" s="155"/>
    </row>
    <row r="3974" spans="1:76" ht="15.75" customHeight="1">
      <c r="A3974" s="25"/>
      <c r="B3974" s="39"/>
      <c r="C3974" s="155"/>
      <c r="D3974" s="155"/>
      <c r="E3974" s="40"/>
      <c r="F3974" s="314"/>
      <c r="H3974" s="315"/>
      <c r="I3974" s="315"/>
      <c r="BA3974" s="30"/>
      <c r="BB3974" s="155"/>
      <c r="BC3974" s="314"/>
      <c r="BD3974" s="314"/>
      <c r="BE3974" s="314"/>
      <c r="BF3974" s="314"/>
      <c r="BG3974" s="314"/>
      <c r="BH3974" s="314"/>
      <c r="BI3974" s="314"/>
      <c r="BJ3974" s="314"/>
      <c r="BK3974" s="40"/>
      <c r="BL3974" s="40"/>
      <c r="BM3974" s="40"/>
      <c r="BN3974" s="40"/>
      <c r="BO3974" s="40"/>
      <c r="BP3974" s="155"/>
      <c r="BQ3974" s="314"/>
      <c r="BR3974" s="314"/>
      <c r="BS3974" s="314"/>
      <c r="BT3974" s="314"/>
      <c r="BU3974" s="314"/>
      <c r="BV3974" s="314"/>
      <c r="BW3974" s="314"/>
      <c r="BX3974" s="155"/>
    </row>
    <row r="3975" spans="1:76" ht="15.75" customHeight="1">
      <c r="A3975" s="25"/>
      <c r="B3975" s="39"/>
      <c r="C3975" s="155"/>
      <c r="D3975" s="155"/>
      <c r="E3975" s="40"/>
      <c r="F3975" s="314"/>
      <c r="H3975" s="315"/>
      <c r="I3975" s="315"/>
      <c r="BA3975" s="30"/>
      <c r="BB3975" s="155"/>
      <c r="BC3975" s="314"/>
      <c r="BD3975" s="314"/>
      <c r="BE3975" s="314"/>
      <c r="BF3975" s="314"/>
      <c r="BG3975" s="314"/>
      <c r="BH3975" s="314"/>
      <c r="BI3975" s="314"/>
      <c r="BJ3975" s="314"/>
      <c r="BK3975" s="40"/>
      <c r="BL3975" s="40"/>
      <c r="BM3975" s="40"/>
      <c r="BN3975" s="40"/>
      <c r="BO3975" s="40"/>
      <c r="BP3975" s="155"/>
      <c r="BQ3975" s="314"/>
      <c r="BR3975" s="314"/>
      <c r="BS3975" s="314"/>
      <c r="BT3975" s="314"/>
      <c r="BU3975" s="314"/>
      <c r="BV3975" s="314"/>
      <c r="BW3975" s="314"/>
      <c r="BX3975" s="155"/>
    </row>
    <row r="3976" spans="1:76" ht="15.75" customHeight="1">
      <c r="A3976" s="25"/>
      <c r="B3976" s="39"/>
      <c r="C3976" s="155"/>
      <c r="D3976" s="155"/>
      <c r="E3976" s="40"/>
      <c r="F3976" s="314"/>
      <c r="H3976" s="315"/>
      <c r="I3976" s="315"/>
      <c r="BA3976" s="30"/>
      <c r="BB3976" s="155"/>
      <c r="BC3976" s="314"/>
      <c r="BD3976" s="314"/>
      <c r="BE3976" s="314"/>
      <c r="BF3976" s="314"/>
      <c r="BG3976" s="314"/>
      <c r="BH3976" s="314"/>
      <c r="BI3976" s="314"/>
      <c r="BJ3976" s="314"/>
      <c r="BK3976" s="40"/>
      <c r="BL3976" s="40"/>
      <c r="BM3976" s="40"/>
      <c r="BN3976" s="40"/>
      <c r="BO3976" s="40"/>
      <c r="BP3976" s="155"/>
      <c r="BQ3976" s="314"/>
      <c r="BR3976" s="314"/>
      <c r="BS3976" s="314"/>
      <c r="BT3976" s="314"/>
      <c r="BU3976" s="314"/>
      <c r="BV3976" s="314"/>
      <c r="BW3976" s="314"/>
      <c r="BX3976" s="155"/>
    </row>
    <row r="3977" spans="1:76" ht="15.75" customHeight="1">
      <c r="A3977" s="25"/>
      <c r="B3977" s="39"/>
      <c r="C3977" s="155"/>
      <c r="D3977" s="155"/>
      <c r="E3977" s="40"/>
      <c r="F3977" s="314"/>
      <c r="H3977" s="315"/>
      <c r="I3977" s="315"/>
      <c r="BA3977" s="30"/>
      <c r="BB3977" s="155"/>
      <c r="BC3977" s="314"/>
      <c r="BD3977" s="314"/>
      <c r="BE3977" s="314"/>
      <c r="BF3977" s="314"/>
      <c r="BG3977" s="314"/>
      <c r="BH3977" s="314"/>
      <c r="BI3977" s="314"/>
      <c r="BJ3977" s="314"/>
      <c r="BK3977" s="40"/>
      <c r="BL3977" s="40"/>
      <c r="BM3977" s="40"/>
      <c r="BN3977" s="40"/>
      <c r="BO3977" s="40"/>
      <c r="BP3977" s="155"/>
      <c r="BQ3977" s="314"/>
      <c r="BR3977" s="314"/>
      <c r="BS3977" s="314"/>
      <c r="BT3977" s="314"/>
      <c r="BU3977" s="314"/>
      <c r="BV3977" s="314"/>
      <c r="BW3977" s="314"/>
      <c r="BX3977" s="155"/>
    </row>
    <row r="3978" spans="1:76" ht="15.75" customHeight="1">
      <c r="A3978" s="25"/>
      <c r="B3978" s="39"/>
      <c r="C3978" s="155"/>
      <c r="D3978" s="155"/>
      <c r="E3978" s="40"/>
      <c r="F3978" s="314"/>
      <c r="H3978" s="315"/>
      <c r="I3978" s="315"/>
      <c r="BA3978" s="30"/>
      <c r="BB3978" s="155"/>
      <c r="BC3978" s="314"/>
      <c r="BD3978" s="314"/>
      <c r="BE3978" s="314"/>
      <c r="BF3978" s="314"/>
      <c r="BG3978" s="314"/>
      <c r="BH3978" s="314"/>
      <c r="BI3978" s="314"/>
      <c r="BJ3978" s="314"/>
      <c r="BK3978" s="40"/>
      <c r="BL3978" s="40"/>
      <c r="BM3978" s="40"/>
      <c r="BN3978" s="40"/>
      <c r="BO3978" s="40"/>
      <c r="BP3978" s="155"/>
      <c r="BQ3978" s="314"/>
      <c r="BR3978" s="314"/>
      <c r="BS3978" s="314"/>
      <c r="BT3978" s="314"/>
      <c r="BU3978" s="314"/>
      <c r="BV3978" s="314"/>
      <c r="BW3978" s="314"/>
      <c r="BX3978" s="155"/>
    </row>
    <row r="3979" spans="1:76" ht="15.75" customHeight="1">
      <c r="A3979" s="25"/>
      <c r="B3979" s="39"/>
      <c r="C3979" s="155"/>
      <c r="D3979" s="155"/>
      <c r="E3979" s="40"/>
      <c r="F3979" s="314"/>
      <c r="H3979" s="315"/>
      <c r="I3979" s="315"/>
      <c r="BA3979" s="30"/>
      <c r="BB3979" s="155"/>
      <c r="BC3979" s="314"/>
      <c r="BD3979" s="314"/>
      <c r="BE3979" s="314"/>
      <c r="BF3979" s="314"/>
      <c r="BG3979" s="314"/>
      <c r="BH3979" s="314"/>
      <c r="BI3979" s="314"/>
      <c r="BJ3979" s="314"/>
      <c r="BK3979" s="40"/>
      <c r="BL3979" s="40"/>
      <c r="BM3979" s="40"/>
      <c r="BN3979" s="40"/>
      <c r="BO3979" s="40"/>
      <c r="BP3979" s="155"/>
      <c r="BQ3979" s="314"/>
      <c r="BR3979" s="314"/>
      <c r="BS3979" s="314"/>
      <c r="BT3979" s="314"/>
      <c r="BU3979" s="314"/>
      <c r="BV3979" s="314"/>
      <c r="BW3979" s="314"/>
      <c r="BX3979" s="155"/>
    </row>
    <row r="3980" spans="1:76" ht="15.75" customHeight="1">
      <c r="A3980" s="25"/>
      <c r="B3980" s="39"/>
      <c r="C3980" s="155"/>
      <c r="D3980" s="155"/>
      <c r="E3980" s="40"/>
      <c r="F3980" s="314"/>
      <c r="H3980" s="315"/>
      <c r="I3980" s="315"/>
      <c r="BA3980" s="30"/>
      <c r="BB3980" s="155"/>
      <c r="BC3980" s="314"/>
      <c r="BD3980" s="314"/>
      <c r="BE3980" s="314"/>
      <c r="BF3980" s="314"/>
      <c r="BG3980" s="314"/>
      <c r="BH3980" s="314"/>
      <c r="BI3980" s="314"/>
      <c r="BJ3980" s="314"/>
      <c r="BK3980" s="40"/>
      <c r="BL3980" s="40"/>
      <c r="BM3980" s="40"/>
      <c r="BN3980" s="40"/>
      <c r="BO3980" s="40"/>
      <c r="BP3980" s="155"/>
      <c r="BQ3980" s="314"/>
      <c r="BR3980" s="314"/>
      <c r="BS3980" s="314"/>
      <c r="BT3980" s="314"/>
      <c r="BU3980" s="314"/>
      <c r="BV3980" s="314"/>
      <c r="BW3980" s="314"/>
      <c r="BX3980" s="155"/>
    </row>
    <row r="3981" spans="1:76" ht="15.75" customHeight="1">
      <c r="A3981" s="25"/>
      <c r="B3981" s="39"/>
      <c r="C3981" s="155"/>
      <c r="D3981" s="155"/>
      <c r="E3981" s="40"/>
      <c r="F3981" s="314"/>
      <c r="H3981" s="315"/>
      <c r="I3981" s="315"/>
      <c r="BA3981" s="30"/>
      <c r="BB3981" s="155"/>
      <c r="BC3981" s="314"/>
      <c r="BD3981" s="314"/>
      <c r="BE3981" s="314"/>
      <c r="BF3981" s="314"/>
      <c r="BG3981" s="314"/>
      <c r="BH3981" s="314"/>
      <c r="BI3981" s="314"/>
      <c r="BJ3981" s="314"/>
      <c r="BK3981" s="40"/>
      <c r="BL3981" s="40"/>
      <c r="BM3981" s="40"/>
      <c r="BN3981" s="40"/>
      <c r="BO3981" s="40"/>
      <c r="BP3981" s="155"/>
      <c r="BQ3981" s="314"/>
      <c r="BR3981" s="314"/>
      <c r="BS3981" s="314"/>
      <c r="BT3981" s="314"/>
      <c r="BU3981" s="314"/>
      <c r="BV3981" s="314"/>
      <c r="BW3981" s="314"/>
      <c r="BX3981" s="155"/>
    </row>
    <row r="3982" spans="1:76" ht="15.75" customHeight="1">
      <c r="A3982" s="25"/>
      <c r="B3982" s="39"/>
      <c r="C3982" s="155"/>
      <c r="D3982" s="155"/>
      <c r="E3982" s="40"/>
      <c r="F3982" s="314"/>
      <c r="H3982" s="315"/>
      <c r="I3982" s="315"/>
      <c r="BA3982" s="30"/>
      <c r="BB3982" s="155"/>
      <c r="BC3982" s="314"/>
      <c r="BD3982" s="314"/>
      <c r="BE3982" s="314"/>
      <c r="BF3982" s="314"/>
      <c r="BG3982" s="314"/>
      <c r="BH3982" s="314"/>
      <c r="BI3982" s="314"/>
      <c r="BJ3982" s="314"/>
      <c r="BK3982" s="40"/>
      <c r="BL3982" s="40"/>
      <c r="BM3982" s="40"/>
      <c r="BN3982" s="40"/>
      <c r="BO3982" s="40"/>
      <c r="BP3982" s="155"/>
      <c r="BQ3982" s="314"/>
      <c r="BR3982" s="314"/>
      <c r="BS3982" s="314"/>
      <c r="BT3982" s="314"/>
      <c r="BU3982" s="314"/>
      <c r="BV3982" s="314"/>
      <c r="BW3982" s="314"/>
      <c r="BX3982" s="155"/>
    </row>
    <row r="3983" spans="1:76" ht="15.75" customHeight="1">
      <c r="A3983" s="25"/>
      <c r="B3983" s="39"/>
      <c r="C3983" s="155"/>
      <c r="D3983" s="155"/>
      <c r="E3983" s="40"/>
      <c r="F3983" s="314"/>
      <c r="H3983" s="315"/>
      <c r="I3983" s="315"/>
      <c r="BA3983" s="30"/>
      <c r="BB3983" s="155"/>
      <c r="BC3983" s="314"/>
      <c r="BD3983" s="314"/>
      <c r="BE3983" s="314"/>
      <c r="BF3983" s="314"/>
      <c r="BG3983" s="314"/>
      <c r="BH3983" s="314"/>
      <c r="BI3983" s="314"/>
      <c r="BJ3983" s="314"/>
      <c r="BK3983" s="40"/>
      <c r="BL3983" s="40"/>
      <c r="BM3983" s="40"/>
      <c r="BN3983" s="40"/>
      <c r="BO3983" s="40"/>
      <c r="BP3983" s="155"/>
      <c r="BQ3983" s="314"/>
      <c r="BR3983" s="314"/>
      <c r="BS3983" s="314"/>
      <c r="BT3983" s="314"/>
      <c r="BU3983" s="314"/>
      <c r="BV3983" s="314"/>
      <c r="BW3983" s="314"/>
      <c r="BX3983" s="155"/>
    </row>
    <row r="3984" spans="1:76" ht="15.75" customHeight="1">
      <c r="A3984" s="25"/>
      <c r="B3984" s="39"/>
      <c r="C3984" s="155"/>
      <c r="D3984" s="155"/>
      <c r="E3984" s="40"/>
      <c r="F3984" s="314"/>
      <c r="H3984" s="315"/>
      <c r="I3984" s="315"/>
      <c r="BA3984" s="30"/>
      <c r="BB3984" s="155"/>
      <c r="BC3984" s="314"/>
      <c r="BD3984" s="314"/>
      <c r="BE3984" s="314"/>
      <c r="BF3984" s="314"/>
      <c r="BG3984" s="314"/>
      <c r="BH3984" s="314"/>
      <c r="BI3984" s="314"/>
      <c r="BJ3984" s="314"/>
      <c r="BK3984" s="40"/>
      <c r="BL3984" s="40"/>
      <c r="BM3984" s="40"/>
      <c r="BN3984" s="40"/>
      <c r="BO3984" s="40"/>
      <c r="BP3984" s="155"/>
      <c r="BQ3984" s="314"/>
      <c r="BR3984" s="314"/>
      <c r="BS3984" s="314"/>
      <c r="BT3984" s="314"/>
      <c r="BU3984" s="314"/>
      <c r="BV3984" s="314"/>
      <c r="BW3984" s="314"/>
      <c r="BX3984" s="155"/>
    </row>
    <row r="3985" spans="1:76" ht="15.75" customHeight="1">
      <c r="A3985" s="25"/>
      <c r="B3985" s="39"/>
      <c r="C3985" s="155"/>
      <c r="D3985" s="155"/>
      <c r="E3985" s="40"/>
      <c r="F3985" s="314"/>
      <c r="H3985" s="315"/>
      <c r="I3985" s="315"/>
      <c r="BA3985" s="30"/>
      <c r="BB3985" s="155"/>
      <c r="BC3985" s="314"/>
      <c r="BD3985" s="314"/>
      <c r="BE3985" s="314"/>
      <c r="BF3985" s="314"/>
      <c r="BG3985" s="314"/>
      <c r="BH3985" s="314"/>
      <c r="BI3985" s="314"/>
      <c r="BJ3985" s="314"/>
      <c r="BK3985" s="40"/>
      <c r="BL3985" s="40"/>
      <c r="BM3985" s="40"/>
      <c r="BN3985" s="40"/>
      <c r="BO3985" s="40"/>
      <c r="BP3985" s="155"/>
      <c r="BQ3985" s="314"/>
      <c r="BR3985" s="314"/>
      <c r="BS3985" s="314"/>
      <c r="BT3985" s="314"/>
      <c r="BU3985" s="314"/>
      <c r="BV3985" s="314"/>
      <c r="BW3985" s="314"/>
      <c r="BX3985" s="155"/>
    </row>
    <row r="3986" spans="1:76" ht="15.75" customHeight="1">
      <c r="A3986" s="25"/>
      <c r="B3986" s="39"/>
      <c r="C3986" s="155"/>
      <c r="D3986" s="155"/>
      <c r="E3986" s="40"/>
      <c r="F3986" s="314"/>
      <c r="H3986" s="315"/>
      <c r="I3986" s="315"/>
      <c r="BA3986" s="30"/>
      <c r="BB3986" s="155"/>
      <c r="BC3986" s="322"/>
      <c r="BD3986" s="322"/>
      <c r="BE3986" s="322"/>
      <c r="BF3986" s="322"/>
      <c r="BG3986" s="322"/>
      <c r="BH3986" s="322"/>
      <c r="BI3986" s="322"/>
      <c r="BJ3986" s="322"/>
      <c r="BK3986" s="341"/>
      <c r="BL3986" s="40"/>
      <c r="BM3986" s="40"/>
      <c r="BN3986" s="40"/>
      <c r="BO3986" s="40"/>
      <c r="BP3986" s="155"/>
      <c r="BQ3986" s="314"/>
      <c r="BR3986" s="314"/>
      <c r="BS3986" s="314"/>
      <c r="BT3986" s="314"/>
      <c r="BU3986" s="314"/>
      <c r="BV3986" s="314"/>
      <c r="BW3986" s="314"/>
      <c r="BX3986" s="155"/>
    </row>
    <row r="3987" spans="1:76" ht="15.75" customHeight="1">
      <c r="A3987" s="25"/>
      <c r="B3987" s="39"/>
      <c r="C3987" s="155"/>
      <c r="D3987" s="155"/>
      <c r="E3987" s="40"/>
      <c r="F3987" s="314"/>
      <c r="H3987" s="315"/>
      <c r="I3987" s="315"/>
      <c r="BA3987" s="30"/>
      <c r="BB3987" s="155"/>
      <c r="BC3987" s="314"/>
      <c r="BD3987" s="314"/>
      <c r="BE3987" s="314"/>
      <c r="BF3987" s="314"/>
      <c r="BG3987" s="314"/>
      <c r="BH3987" s="314"/>
      <c r="BI3987" s="314"/>
      <c r="BJ3987" s="314"/>
      <c r="BK3987" s="40"/>
      <c r="BL3987" s="40"/>
      <c r="BM3987" s="40"/>
      <c r="BN3987" s="40"/>
      <c r="BO3987" s="40"/>
      <c r="BP3987" s="155"/>
      <c r="BQ3987" s="314"/>
      <c r="BR3987" s="314"/>
      <c r="BS3987" s="314"/>
      <c r="BT3987" s="314"/>
      <c r="BU3987" s="314"/>
      <c r="BV3987" s="314"/>
      <c r="BW3987" s="314"/>
      <c r="BX3987" s="155"/>
    </row>
    <row r="3988" spans="1:76" ht="15.75" customHeight="1">
      <c r="A3988" s="25"/>
      <c r="B3988" s="39"/>
      <c r="C3988" s="155"/>
      <c r="D3988" s="155"/>
      <c r="E3988" s="40"/>
      <c r="F3988" s="314"/>
      <c r="H3988" s="315"/>
      <c r="I3988" s="315"/>
      <c r="BA3988" s="30"/>
      <c r="BB3988" s="155"/>
      <c r="BC3988" s="314"/>
      <c r="BD3988" s="314"/>
      <c r="BE3988" s="314"/>
      <c r="BF3988" s="314"/>
      <c r="BG3988" s="314"/>
      <c r="BH3988" s="314"/>
      <c r="BI3988" s="314"/>
      <c r="BJ3988" s="314"/>
      <c r="BK3988" s="40"/>
      <c r="BL3988" s="40"/>
      <c r="BM3988" s="40"/>
      <c r="BN3988" s="40"/>
      <c r="BO3988" s="40"/>
      <c r="BP3988" s="155"/>
      <c r="BQ3988" s="314"/>
      <c r="BR3988" s="314"/>
      <c r="BS3988" s="314"/>
      <c r="BT3988" s="314"/>
      <c r="BU3988" s="314"/>
      <c r="BV3988" s="314"/>
      <c r="BW3988" s="314"/>
      <c r="BX3988" s="155"/>
    </row>
    <row r="3989" spans="1:76" ht="15.75" customHeight="1">
      <c r="A3989" s="25"/>
      <c r="B3989" s="39"/>
      <c r="C3989" s="155"/>
      <c r="D3989" s="155"/>
      <c r="E3989" s="40"/>
      <c r="F3989" s="314"/>
      <c r="H3989" s="315"/>
      <c r="I3989" s="315"/>
      <c r="BA3989" s="30"/>
      <c r="BB3989" s="155"/>
      <c r="BC3989" s="314"/>
      <c r="BD3989" s="314"/>
      <c r="BE3989" s="314"/>
      <c r="BF3989" s="314"/>
      <c r="BG3989" s="314"/>
      <c r="BH3989" s="314"/>
      <c r="BI3989" s="314"/>
      <c r="BJ3989" s="314"/>
      <c r="BK3989" s="40"/>
      <c r="BL3989" s="40"/>
      <c r="BM3989" s="40"/>
      <c r="BN3989" s="40"/>
      <c r="BO3989" s="40"/>
      <c r="BP3989" s="155"/>
      <c r="BQ3989" s="314"/>
      <c r="BR3989" s="314"/>
      <c r="BS3989" s="314"/>
      <c r="BT3989" s="314"/>
      <c r="BU3989" s="314"/>
      <c r="BV3989" s="314"/>
      <c r="BW3989" s="314"/>
      <c r="BX3989" s="155"/>
    </row>
    <row r="3990" spans="1:76" ht="15.75" customHeight="1">
      <c r="A3990" s="25"/>
      <c r="B3990" s="39"/>
      <c r="C3990" s="155"/>
      <c r="D3990" s="155"/>
      <c r="E3990" s="40"/>
      <c r="F3990" s="314"/>
      <c r="H3990" s="315"/>
      <c r="I3990" s="315"/>
      <c r="BA3990" s="30"/>
      <c r="BB3990" s="155"/>
      <c r="BC3990" s="314"/>
      <c r="BD3990" s="314"/>
      <c r="BE3990" s="314"/>
      <c r="BF3990" s="314"/>
      <c r="BG3990" s="314"/>
      <c r="BH3990" s="314"/>
      <c r="BI3990" s="314"/>
      <c r="BJ3990" s="314"/>
      <c r="BK3990" s="40"/>
      <c r="BL3990" s="40"/>
      <c r="BM3990" s="40"/>
      <c r="BN3990" s="40"/>
      <c r="BO3990" s="40"/>
      <c r="BP3990" s="155"/>
      <c r="BQ3990" s="314"/>
      <c r="BR3990" s="314"/>
      <c r="BS3990" s="314"/>
      <c r="BT3990" s="314"/>
      <c r="BU3990" s="314"/>
      <c r="BV3990" s="314"/>
      <c r="BW3990" s="314"/>
      <c r="BX3990" s="155"/>
    </row>
    <row r="3991" spans="1:76" ht="15.75" customHeight="1">
      <c r="A3991" s="25"/>
      <c r="B3991" s="39"/>
      <c r="C3991" s="155"/>
      <c r="D3991" s="155"/>
      <c r="E3991" s="40"/>
      <c r="F3991" s="314"/>
      <c r="H3991" s="315"/>
      <c r="I3991" s="315"/>
      <c r="BA3991" s="30"/>
      <c r="BB3991" s="155"/>
      <c r="BC3991" s="314"/>
      <c r="BD3991" s="314"/>
      <c r="BE3991" s="314"/>
      <c r="BF3991" s="314"/>
      <c r="BG3991" s="314"/>
      <c r="BH3991" s="314"/>
      <c r="BI3991" s="314"/>
      <c r="BJ3991" s="314"/>
      <c r="BK3991" s="40"/>
      <c r="BL3991" s="40"/>
      <c r="BM3991" s="40"/>
      <c r="BN3991" s="40"/>
      <c r="BO3991" s="40"/>
      <c r="BP3991" s="155"/>
      <c r="BQ3991" s="314"/>
      <c r="BR3991" s="314"/>
      <c r="BS3991" s="314"/>
      <c r="BT3991" s="314"/>
      <c r="BU3991" s="314"/>
      <c r="BV3991" s="314"/>
      <c r="BW3991" s="314"/>
      <c r="BX3991" s="155"/>
    </row>
    <row r="3992" spans="1:76" ht="15.75" customHeight="1">
      <c r="A3992" s="25"/>
      <c r="B3992" s="39"/>
      <c r="C3992" s="155"/>
      <c r="D3992" s="155"/>
      <c r="E3992" s="40"/>
      <c r="F3992" s="314"/>
      <c r="H3992" s="315"/>
      <c r="I3992" s="315"/>
      <c r="BA3992" s="30"/>
      <c r="BB3992" s="155"/>
      <c r="BC3992" s="314"/>
      <c r="BD3992" s="314"/>
      <c r="BE3992" s="314"/>
      <c r="BF3992" s="314"/>
      <c r="BG3992" s="314"/>
      <c r="BH3992" s="314"/>
      <c r="BI3992" s="314"/>
      <c r="BJ3992" s="314"/>
      <c r="BK3992" s="40"/>
      <c r="BL3992" s="40"/>
      <c r="BM3992" s="40"/>
      <c r="BN3992" s="40"/>
      <c r="BO3992" s="40"/>
      <c r="BP3992" s="155"/>
      <c r="BQ3992" s="314"/>
      <c r="BR3992" s="314"/>
      <c r="BS3992" s="314"/>
      <c r="BT3992" s="314"/>
      <c r="BU3992" s="314"/>
      <c r="BV3992" s="314"/>
      <c r="BW3992" s="314"/>
      <c r="BX3992" s="155"/>
    </row>
    <row r="3993" spans="1:76" ht="15.75" customHeight="1">
      <c r="A3993" s="25"/>
      <c r="B3993" s="39"/>
      <c r="C3993" s="155"/>
      <c r="D3993" s="155"/>
      <c r="E3993" s="40"/>
      <c r="F3993" s="314"/>
      <c r="H3993" s="315"/>
      <c r="I3993" s="315"/>
      <c r="BA3993" s="30"/>
      <c r="BB3993" s="155"/>
      <c r="BC3993" s="314"/>
      <c r="BD3993" s="314"/>
      <c r="BE3993" s="314"/>
      <c r="BF3993" s="314"/>
      <c r="BG3993" s="314"/>
      <c r="BH3993" s="314"/>
      <c r="BI3993" s="314"/>
      <c r="BJ3993" s="314"/>
      <c r="BK3993" s="40"/>
      <c r="BL3993" s="40"/>
      <c r="BM3993" s="40"/>
      <c r="BN3993" s="40"/>
      <c r="BO3993" s="40"/>
      <c r="BP3993" s="155"/>
      <c r="BQ3993" s="314"/>
      <c r="BR3993" s="314"/>
      <c r="BS3993" s="314"/>
      <c r="BT3993" s="314"/>
      <c r="BU3993" s="314"/>
      <c r="BV3993" s="314"/>
      <c r="BW3993" s="314"/>
      <c r="BX3993" s="155"/>
    </row>
    <row r="3994" spans="1:76" ht="15.75" customHeight="1">
      <c r="A3994" s="25"/>
      <c r="B3994" s="39"/>
      <c r="C3994" s="155"/>
      <c r="D3994" s="155"/>
      <c r="E3994" s="40"/>
      <c r="F3994" s="314"/>
      <c r="H3994" s="315"/>
      <c r="I3994" s="315"/>
      <c r="BA3994" s="30"/>
      <c r="BB3994" s="155"/>
      <c r="BC3994" s="314"/>
      <c r="BD3994" s="314"/>
      <c r="BE3994" s="314"/>
      <c r="BF3994" s="314"/>
      <c r="BG3994" s="314"/>
      <c r="BH3994" s="314"/>
      <c r="BI3994" s="314"/>
      <c r="BJ3994" s="314"/>
      <c r="BK3994" s="40"/>
      <c r="BL3994" s="40"/>
      <c r="BM3994" s="40"/>
      <c r="BN3994" s="40"/>
      <c r="BO3994" s="40"/>
      <c r="BP3994" s="155"/>
      <c r="BQ3994" s="314"/>
      <c r="BR3994" s="314"/>
      <c r="BS3994" s="314"/>
      <c r="BT3994" s="314"/>
      <c r="BU3994" s="314"/>
      <c r="BV3994" s="314"/>
      <c r="BW3994" s="314"/>
      <c r="BX3994" s="155"/>
    </row>
    <row r="3995" spans="1:76" ht="15.75" customHeight="1">
      <c r="A3995" s="25"/>
      <c r="B3995" s="39"/>
      <c r="C3995" s="155"/>
      <c r="D3995" s="155"/>
      <c r="E3995" s="40"/>
      <c r="F3995" s="314"/>
      <c r="H3995" s="315"/>
      <c r="I3995" s="315"/>
      <c r="BA3995" s="30"/>
      <c r="BB3995" s="155"/>
      <c r="BC3995" s="314"/>
      <c r="BD3995" s="314"/>
      <c r="BE3995" s="314"/>
      <c r="BF3995" s="314"/>
      <c r="BG3995" s="314"/>
      <c r="BH3995" s="314"/>
      <c r="BI3995" s="314"/>
      <c r="BJ3995" s="314"/>
      <c r="BK3995" s="40"/>
      <c r="BL3995" s="40"/>
      <c r="BM3995" s="40"/>
      <c r="BN3995" s="40"/>
      <c r="BO3995" s="40"/>
      <c r="BP3995" s="155"/>
      <c r="BQ3995" s="314"/>
      <c r="BR3995" s="314"/>
      <c r="BS3995" s="314"/>
      <c r="BT3995" s="314"/>
      <c r="BU3995" s="314"/>
      <c r="BV3995" s="314"/>
      <c r="BW3995" s="314"/>
      <c r="BX3995" s="155"/>
    </row>
    <row r="3996" spans="1:76" ht="15.75" customHeight="1">
      <c r="A3996" s="25"/>
      <c r="B3996" s="39"/>
      <c r="C3996" s="155"/>
      <c r="D3996" s="155"/>
      <c r="E3996" s="40"/>
      <c r="F3996" s="314"/>
      <c r="H3996" s="315"/>
      <c r="I3996" s="315"/>
      <c r="BA3996" s="30"/>
      <c r="BB3996" s="155"/>
      <c r="BC3996" s="314"/>
      <c r="BD3996" s="314"/>
      <c r="BE3996" s="314"/>
      <c r="BF3996" s="314"/>
      <c r="BG3996" s="314"/>
      <c r="BH3996" s="314"/>
      <c r="BI3996" s="314"/>
      <c r="BJ3996" s="314"/>
      <c r="BK3996" s="40"/>
      <c r="BL3996" s="40"/>
      <c r="BM3996" s="40"/>
      <c r="BN3996" s="40"/>
      <c r="BO3996" s="40"/>
      <c r="BP3996" s="155"/>
      <c r="BQ3996" s="314"/>
      <c r="BR3996" s="314"/>
      <c r="BS3996" s="314"/>
      <c r="BT3996" s="314"/>
      <c r="BU3996" s="314"/>
      <c r="BV3996" s="314"/>
      <c r="BW3996" s="314"/>
      <c r="BX3996" s="155"/>
    </row>
    <row r="3997" spans="1:76" ht="15.75" customHeight="1">
      <c r="A3997" s="25"/>
      <c r="B3997" s="39"/>
      <c r="C3997" s="155"/>
      <c r="D3997" s="155"/>
      <c r="E3997" s="40"/>
      <c r="F3997" s="314"/>
      <c r="H3997" s="315"/>
      <c r="I3997" s="315"/>
      <c r="BA3997" s="30"/>
      <c r="BB3997" s="155"/>
      <c r="BC3997" s="314"/>
      <c r="BD3997" s="314"/>
      <c r="BE3997" s="314"/>
      <c r="BF3997" s="314"/>
      <c r="BG3997" s="314"/>
      <c r="BH3997" s="314"/>
      <c r="BI3997" s="314"/>
      <c r="BJ3997" s="314"/>
      <c r="BK3997" s="40"/>
      <c r="BL3997" s="40"/>
      <c r="BM3997" s="40"/>
      <c r="BN3997" s="40"/>
      <c r="BO3997" s="40"/>
      <c r="BP3997" s="155"/>
      <c r="BQ3997" s="314"/>
      <c r="BR3997" s="314"/>
      <c r="BS3997" s="314"/>
      <c r="BT3997" s="314"/>
      <c r="BU3997" s="314"/>
      <c r="BV3997" s="314"/>
      <c r="BW3997" s="314"/>
      <c r="BX3997" s="155"/>
    </row>
    <row r="3998" spans="1:76" ht="15.75" customHeight="1">
      <c r="A3998" s="25"/>
      <c r="B3998" s="39"/>
      <c r="C3998" s="155"/>
      <c r="D3998" s="155"/>
      <c r="E3998" s="40"/>
      <c r="F3998" s="314"/>
      <c r="H3998" s="315"/>
      <c r="I3998" s="315"/>
      <c r="BA3998" s="30"/>
      <c r="BB3998" s="155"/>
      <c r="BC3998" s="314"/>
      <c r="BD3998" s="314"/>
      <c r="BE3998" s="314"/>
      <c r="BF3998" s="314"/>
      <c r="BG3998" s="314"/>
      <c r="BH3998" s="314"/>
      <c r="BI3998" s="314"/>
      <c r="BJ3998" s="314"/>
      <c r="BK3998" s="40"/>
      <c r="BL3998" s="40"/>
      <c r="BM3998" s="40"/>
      <c r="BN3998" s="40"/>
      <c r="BO3998" s="40"/>
      <c r="BP3998" s="155"/>
      <c r="BQ3998" s="314"/>
      <c r="BR3998" s="314"/>
      <c r="BS3998" s="314"/>
      <c r="BT3998" s="314"/>
      <c r="BU3998" s="314"/>
      <c r="BV3998" s="314"/>
      <c r="BW3998" s="314"/>
      <c r="BX3998" s="155"/>
    </row>
    <row r="3999" spans="1:76" ht="15.75" customHeight="1">
      <c r="A3999" s="25"/>
      <c r="B3999" s="39"/>
      <c r="C3999" s="155"/>
      <c r="D3999" s="155"/>
      <c r="E3999" s="40"/>
      <c r="F3999" s="314"/>
      <c r="H3999" s="315"/>
      <c r="I3999" s="315"/>
      <c r="BA3999" s="30"/>
      <c r="BB3999" s="155"/>
      <c r="BC3999" s="314"/>
      <c r="BD3999" s="314"/>
      <c r="BE3999" s="314"/>
      <c r="BF3999" s="314"/>
      <c r="BG3999" s="314"/>
      <c r="BH3999" s="314"/>
      <c r="BI3999" s="314"/>
      <c r="BJ3999" s="314"/>
      <c r="BK3999" s="40"/>
      <c r="BL3999" s="40"/>
      <c r="BM3999" s="40"/>
      <c r="BN3999" s="40"/>
      <c r="BO3999" s="40"/>
      <c r="BP3999" s="155"/>
      <c r="BQ3999" s="314"/>
      <c r="BR3999" s="314"/>
      <c r="BS3999" s="314"/>
      <c r="BT3999" s="314"/>
      <c r="BU3999" s="314"/>
      <c r="BV3999" s="314"/>
      <c r="BW3999" s="314"/>
      <c r="BX3999" s="155"/>
    </row>
    <row r="4000" spans="1:76" ht="15.75" customHeight="1">
      <c r="A4000" s="25"/>
      <c r="B4000" s="39"/>
      <c r="C4000" s="155"/>
      <c r="D4000" s="155"/>
      <c r="E4000" s="40"/>
      <c r="F4000" s="314"/>
      <c r="H4000" s="315"/>
      <c r="I4000" s="315"/>
      <c r="BA4000" s="30"/>
      <c r="BB4000" s="155"/>
      <c r="BC4000" s="314"/>
      <c r="BD4000" s="314"/>
      <c r="BE4000" s="314"/>
      <c r="BF4000" s="314"/>
      <c r="BG4000" s="314"/>
      <c r="BH4000" s="314"/>
      <c r="BI4000" s="314"/>
      <c r="BJ4000" s="314"/>
      <c r="BK4000" s="40"/>
      <c r="BL4000" s="40"/>
      <c r="BM4000" s="40"/>
      <c r="BN4000" s="40"/>
      <c r="BO4000" s="40"/>
      <c r="BP4000" s="155"/>
      <c r="BQ4000" s="314"/>
      <c r="BR4000" s="314"/>
      <c r="BS4000" s="314"/>
      <c r="BT4000" s="314"/>
      <c r="BU4000" s="314"/>
      <c r="BV4000" s="314"/>
      <c r="BW4000" s="314"/>
      <c r="BX4000" s="155"/>
    </row>
    <row r="4001" spans="1:76" ht="15.75" customHeight="1">
      <c r="A4001" s="25"/>
      <c r="B4001" s="39"/>
      <c r="C4001" s="155"/>
      <c r="D4001" s="155"/>
      <c r="E4001" s="40"/>
      <c r="F4001" s="314"/>
      <c r="H4001" s="315"/>
      <c r="I4001" s="315"/>
      <c r="BA4001" s="30"/>
      <c r="BB4001" s="155"/>
      <c r="BC4001" s="314"/>
      <c r="BD4001" s="314"/>
      <c r="BE4001" s="314"/>
      <c r="BF4001" s="314"/>
      <c r="BG4001" s="314"/>
      <c r="BH4001" s="314"/>
      <c r="BI4001" s="314"/>
      <c r="BJ4001" s="314"/>
      <c r="BK4001" s="40"/>
      <c r="BL4001" s="40"/>
      <c r="BM4001" s="40"/>
      <c r="BN4001" s="40"/>
      <c r="BO4001" s="40"/>
      <c r="BP4001" s="155"/>
      <c r="BQ4001" s="314"/>
      <c r="BR4001" s="314"/>
      <c r="BS4001" s="314"/>
      <c r="BT4001" s="314"/>
      <c r="BU4001" s="314"/>
      <c r="BV4001" s="314"/>
      <c r="BW4001" s="314"/>
      <c r="BX4001" s="155"/>
    </row>
    <row r="4002" spans="1:76" ht="15.75" customHeight="1">
      <c r="A4002" s="25"/>
      <c r="B4002" s="39"/>
      <c r="C4002" s="155"/>
      <c r="D4002" s="155"/>
      <c r="E4002" s="40"/>
      <c r="F4002" s="314"/>
      <c r="H4002" s="315"/>
      <c r="I4002" s="315"/>
      <c r="BA4002" s="30"/>
      <c r="BB4002" s="155"/>
      <c r="BC4002" s="314"/>
      <c r="BD4002" s="314"/>
      <c r="BE4002" s="314"/>
      <c r="BF4002" s="314"/>
      <c r="BG4002" s="314"/>
      <c r="BH4002" s="314"/>
      <c r="BI4002" s="314"/>
      <c r="BJ4002" s="314"/>
      <c r="BK4002" s="40"/>
      <c r="BL4002" s="40"/>
      <c r="BM4002" s="40"/>
      <c r="BN4002" s="40"/>
      <c r="BO4002" s="40"/>
      <c r="BP4002" s="155"/>
      <c r="BQ4002" s="314"/>
      <c r="BR4002" s="314"/>
      <c r="BS4002" s="314"/>
      <c r="BT4002" s="314"/>
      <c r="BU4002" s="314"/>
      <c r="BV4002" s="314"/>
      <c r="BW4002" s="314"/>
      <c r="BX4002" s="155"/>
    </row>
    <row r="4003" spans="1:76" ht="15.75" customHeight="1">
      <c r="A4003" s="25"/>
      <c r="B4003" s="39"/>
      <c r="C4003" s="155"/>
      <c r="D4003" s="155"/>
      <c r="E4003" s="40"/>
      <c r="F4003" s="314"/>
      <c r="H4003" s="315"/>
      <c r="I4003" s="315"/>
      <c r="BA4003" s="30"/>
      <c r="BB4003" s="155"/>
      <c r="BC4003" s="314"/>
      <c r="BD4003" s="314"/>
      <c r="BE4003" s="314"/>
      <c r="BF4003" s="314"/>
      <c r="BG4003" s="314"/>
      <c r="BH4003" s="314"/>
      <c r="BI4003" s="314"/>
      <c r="BJ4003" s="314"/>
      <c r="BK4003" s="40"/>
      <c r="BL4003" s="40"/>
      <c r="BM4003" s="40"/>
      <c r="BN4003" s="40"/>
      <c r="BO4003" s="40"/>
      <c r="BP4003" s="155"/>
      <c r="BQ4003" s="314"/>
      <c r="BR4003" s="314"/>
      <c r="BS4003" s="314"/>
      <c r="BT4003" s="314"/>
      <c r="BU4003" s="314"/>
      <c r="BV4003" s="314"/>
      <c r="BW4003" s="314"/>
      <c r="BX4003" s="155"/>
    </row>
    <row r="4004" spans="1:76" ht="15.75" customHeight="1">
      <c r="A4004" s="25"/>
      <c r="B4004" s="39"/>
      <c r="C4004" s="155"/>
      <c r="D4004" s="155"/>
      <c r="E4004" s="40"/>
      <c r="F4004" s="314"/>
      <c r="H4004" s="315"/>
      <c r="I4004" s="315"/>
      <c r="BA4004" s="30"/>
      <c r="BB4004" s="155"/>
      <c r="BC4004" s="314"/>
      <c r="BD4004" s="314"/>
      <c r="BE4004" s="314"/>
      <c r="BF4004" s="314"/>
      <c r="BG4004" s="314"/>
      <c r="BH4004" s="314"/>
      <c r="BI4004" s="314"/>
      <c r="BJ4004" s="314"/>
      <c r="BK4004" s="40"/>
      <c r="BL4004" s="40"/>
      <c r="BM4004" s="40"/>
      <c r="BN4004" s="40"/>
      <c r="BO4004" s="40"/>
      <c r="BP4004" s="155"/>
      <c r="BQ4004" s="314"/>
      <c r="BR4004" s="314"/>
      <c r="BS4004" s="314"/>
      <c r="BT4004" s="314"/>
      <c r="BU4004" s="314"/>
      <c r="BV4004" s="314"/>
      <c r="BW4004" s="314"/>
      <c r="BX4004" s="155"/>
    </row>
    <row r="4005" spans="1:76" ht="15.75" customHeight="1">
      <c r="A4005" s="25"/>
      <c r="B4005" s="39"/>
      <c r="C4005" s="155"/>
      <c r="D4005" s="155"/>
      <c r="E4005" s="40"/>
      <c r="F4005" s="314"/>
      <c r="H4005" s="315"/>
      <c r="I4005" s="315"/>
      <c r="BA4005" s="30"/>
      <c r="BB4005" s="155"/>
      <c r="BC4005" s="314"/>
      <c r="BD4005" s="314"/>
      <c r="BE4005" s="314"/>
      <c r="BF4005" s="314"/>
      <c r="BG4005" s="314"/>
      <c r="BH4005" s="314"/>
      <c r="BI4005" s="314"/>
      <c r="BJ4005" s="314"/>
      <c r="BK4005" s="40"/>
      <c r="BL4005" s="40"/>
      <c r="BM4005" s="40"/>
      <c r="BN4005" s="40"/>
      <c r="BO4005" s="40"/>
      <c r="BP4005" s="155"/>
      <c r="BQ4005" s="314"/>
      <c r="BR4005" s="314"/>
      <c r="BS4005" s="314"/>
      <c r="BT4005" s="314"/>
      <c r="BU4005" s="314"/>
      <c r="BV4005" s="314"/>
      <c r="BW4005" s="314"/>
      <c r="BX4005" s="155"/>
    </row>
    <row r="4006" spans="1:76" ht="15.75" customHeight="1">
      <c r="A4006" s="25"/>
      <c r="B4006" s="39"/>
      <c r="C4006" s="155"/>
      <c r="D4006" s="155"/>
      <c r="E4006" s="40"/>
      <c r="F4006" s="314"/>
      <c r="H4006" s="315"/>
      <c r="I4006" s="315"/>
      <c r="BA4006" s="30"/>
      <c r="BB4006" s="155"/>
      <c r="BC4006" s="314"/>
      <c r="BD4006" s="314"/>
      <c r="BE4006" s="314"/>
      <c r="BF4006" s="314"/>
      <c r="BG4006" s="314"/>
      <c r="BH4006" s="314"/>
      <c r="BI4006" s="314"/>
      <c r="BJ4006" s="314"/>
      <c r="BK4006" s="40"/>
      <c r="BL4006" s="40"/>
      <c r="BM4006" s="40"/>
      <c r="BN4006" s="40"/>
      <c r="BO4006" s="40"/>
      <c r="BP4006" s="155"/>
      <c r="BQ4006" s="314"/>
      <c r="BR4006" s="314"/>
      <c r="BS4006" s="314"/>
      <c r="BT4006" s="314"/>
      <c r="BU4006" s="314"/>
      <c r="BV4006" s="314"/>
      <c r="BW4006" s="314"/>
      <c r="BX4006" s="155"/>
    </row>
    <row r="4007" spans="1:76" ht="15.75" customHeight="1">
      <c r="A4007" s="25"/>
      <c r="B4007" s="39"/>
      <c r="C4007" s="155"/>
      <c r="D4007" s="155"/>
      <c r="E4007" s="40"/>
      <c r="F4007" s="314"/>
      <c r="H4007" s="315"/>
      <c r="I4007" s="315"/>
      <c r="BA4007" s="30"/>
      <c r="BB4007" s="155"/>
      <c r="BC4007" s="314"/>
      <c r="BD4007" s="314"/>
      <c r="BE4007" s="314"/>
      <c r="BF4007" s="314"/>
      <c r="BG4007" s="314"/>
      <c r="BH4007" s="314"/>
      <c r="BI4007" s="314"/>
      <c r="BJ4007" s="314"/>
      <c r="BK4007" s="40"/>
      <c r="BL4007" s="40"/>
      <c r="BM4007" s="40"/>
      <c r="BN4007" s="40"/>
      <c r="BO4007" s="40"/>
      <c r="BP4007" s="155"/>
      <c r="BQ4007" s="314"/>
      <c r="BR4007" s="314"/>
      <c r="BS4007" s="314"/>
      <c r="BT4007" s="314"/>
      <c r="BU4007" s="314"/>
      <c r="BV4007" s="314"/>
      <c r="BW4007" s="314"/>
      <c r="BX4007" s="155"/>
    </row>
    <row r="4008" spans="1:76" ht="15.75" customHeight="1">
      <c r="A4008" s="25"/>
      <c r="B4008" s="39"/>
      <c r="C4008" s="155"/>
      <c r="D4008" s="155"/>
      <c r="E4008" s="40"/>
      <c r="F4008" s="314"/>
      <c r="H4008" s="315"/>
      <c r="I4008" s="315"/>
      <c r="BA4008" s="30"/>
      <c r="BB4008" s="155"/>
      <c r="BC4008" s="314"/>
      <c r="BD4008" s="314"/>
      <c r="BE4008" s="314"/>
      <c r="BF4008" s="314"/>
      <c r="BG4008" s="314"/>
      <c r="BH4008" s="314"/>
      <c r="BI4008" s="314"/>
      <c r="BJ4008" s="314"/>
      <c r="BK4008" s="40"/>
      <c r="BL4008" s="40"/>
      <c r="BM4008" s="40"/>
      <c r="BN4008" s="40"/>
      <c r="BO4008" s="40"/>
      <c r="BP4008" s="155"/>
      <c r="BQ4008" s="314"/>
      <c r="BR4008" s="314"/>
      <c r="BS4008" s="314"/>
      <c r="BT4008" s="314"/>
      <c r="BU4008" s="314"/>
      <c r="BV4008" s="314"/>
      <c r="BW4008" s="314"/>
      <c r="BX4008" s="155"/>
    </row>
    <row r="4009" spans="1:76" ht="15.75" customHeight="1">
      <c r="A4009" s="25"/>
      <c r="B4009" s="39"/>
      <c r="C4009" s="155"/>
      <c r="D4009" s="155"/>
      <c r="E4009" s="40"/>
      <c r="F4009" s="314"/>
      <c r="H4009" s="315"/>
      <c r="I4009" s="315"/>
      <c r="BA4009" s="30"/>
      <c r="BB4009" s="155"/>
      <c r="BC4009" s="314"/>
      <c r="BD4009" s="314"/>
      <c r="BE4009" s="314"/>
      <c r="BF4009" s="314"/>
      <c r="BG4009" s="314"/>
      <c r="BH4009" s="314"/>
      <c r="BI4009" s="314"/>
      <c r="BJ4009" s="314"/>
      <c r="BK4009" s="40"/>
      <c r="BL4009" s="40"/>
      <c r="BM4009" s="40"/>
      <c r="BN4009" s="40"/>
      <c r="BO4009" s="40"/>
      <c r="BP4009" s="155"/>
      <c r="BQ4009" s="314"/>
      <c r="BR4009" s="314"/>
      <c r="BS4009" s="314"/>
      <c r="BT4009" s="314"/>
      <c r="BU4009" s="314"/>
      <c r="BV4009" s="314"/>
      <c r="BW4009" s="314"/>
      <c r="BX4009" s="155"/>
    </row>
    <row r="4010" spans="1:76" ht="15.75" customHeight="1">
      <c r="A4010" s="25"/>
      <c r="B4010" s="39"/>
      <c r="C4010" s="155"/>
      <c r="D4010" s="155"/>
      <c r="E4010" s="40"/>
      <c r="F4010" s="314"/>
      <c r="H4010" s="315"/>
      <c r="I4010" s="315"/>
      <c r="BA4010" s="30"/>
      <c r="BB4010" s="155"/>
      <c r="BC4010" s="314"/>
      <c r="BD4010" s="314"/>
      <c r="BE4010" s="314"/>
      <c r="BF4010" s="314"/>
      <c r="BG4010" s="314"/>
      <c r="BH4010" s="314"/>
      <c r="BI4010" s="314"/>
      <c r="BJ4010" s="314"/>
      <c r="BK4010" s="40"/>
      <c r="BL4010" s="40"/>
      <c r="BM4010" s="40"/>
      <c r="BN4010" s="40"/>
      <c r="BO4010" s="40"/>
      <c r="BP4010" s="155"/>
      <c r="BQ4010" s="314"/>
      <c r="BR4010" s="314"/>
      <c r="BS4010" s="314"/>
      <c r="BT4010" s="314"/>
      <c r="BU4010" s="314"/>
      <c r="BV4010" s="314"/>
      <c r="BW4010" s="314"/>
      <c r="BX4010" s="155"/>
    </row>
    <row r="4011" spans="1:76" ht="15.75" customHeight="1">
      <c r="A4011" s="25"/>
      <c r="B4011" s="39"/>
      <c r="C4011" s="155"/>
      <c r="D4011" s="155"/>
      <c r="E4011" s="40"/>
      <c r="F4011" s="314"/>
      <c r="H4011" s="315"/>
      <c r="I4011" s="315"/>
      <c r="BA4011" s="30"/>
      <c r="BB4011" s="155"/>
      <c r="BC4011" s="314"/>
      <c r="BD4011" s="314"/>
      <c r="BE4011" s="314"/>
      <c r="BF4011" s="314"/>
      <c r="BG4011" s="314"/>
      <c r="BH4011" s="314"/>
      <c r="BI4011" s="314"/>
      <c r="BJ4011" s="314"/>
      <c r="BK4011" s="40"/>
      <c r="BL4011" s="40"/>
      <c r="BM4011" s="40"/>
      <c r="BN4011" s="40"/>
      <c r="BO4011" s="40"/>
      <c r="BP4011" s="155"/>
      <c r="BQ4011" s="314"/>
      <c r="BR4011" s="314"/>
      <c r="BS4011" s="314"/>
      <c r="BT4011" s="314"/>
      <c r="BU4011" s="314"/>
      <c r="BV4011" s="314"/>
      <c r="BW4011" s="314"/>
      <c r="BX4011" s="155"/>
    </row>
    <row r="4012" spans="1:76" ht="15.75" customHeight="1">
      <c r="A4012" s="25"/>
      <c r="B4012" s="39"/>
      <c r="C4012" s="155"/>
      <c r="D4012" s="155"/>
      <c r="E4012" s="40"/>
      <c r="F4012" s="314"/>
      <c r="H4012" s="315"/>
      <c r="I4012" s="315"/>
      <c r="BA4012" s="30"/>
      <c r="BB4012" s="155"/>
      <c r="BC4012" s="314"/>
      <c r="BD4012" s="314"/>
      <c r="BE4012" s="314"/>
      <c r="BF4012" s="314"/>
      <c r="BG4012" s="314"/>
      <c r="BH4012" s="314"/>
      <c r="BI4012" s="314"/>
      <c r="BJ4012" s="314"/>
      <c r="BK4012" s="40"/>
      <c r="BL4012" s="40"/>
      <c r="BM4012" s="40"/>
      <c r="BN4012" s="40"/>
      <c r="BO4012" s="40"/>
      <c r="BP4012" s="155"/>
      <c r="BQ4012" s="314"/>
      <c r="BR4012" s="314"/>
      <c r="BS4012" s="314"/>
      <c r="BT4012" s="314"/>
      <c r="BU4012" s="314"/>
      <c r="BV4012" s="314"/>
      <c r="BW4012" s="314"/>
      <c r="BX4012" s="155"/>
    </row>
    <row r="4013" spans="1:76" ht="15.75" customHeight="1">
      <c r="A4013" s="25"/>
      <c r="B4013" s="39"/>
      <c r="C4013" s="155"/>
      <c r="D4013" s="155"/>
      <c r="E4013" s="40"/>
      <c r="F4013" s="314"/>
      <c r="H4013" s="315"/>
      <c r="I4013" s="315"/>
      <c r="BA4013" s="30"/>
      <c r="BB4013" s="155"/>
      <c r="BC4013" s="314"/>
      <c r="BD4013" s="314"/>
      <c r="BE4013" s="314"/>
      <c r="BF4013" s="314"/>
      <c r="BG4013" s="314"/>
      <c r="BH4013" s="314"/>
      <c r="BI4013" s="314"/>
      <c r="BJ4013" s="314"/>
      <c r="BK4013" s="40"/>
      <c r="BL4013" s="40"/>
      <c r="BM4013" s="40"/>
      <c r="BN4013" s="40"/>
      <c r="BO4013" s="40"/>
      <c r="BP4013" s="155"/>
      <c r="BQ4013" s="314"/>
      <c r="BR4013" s="314"/>
      <c r="BS4013" s="314"/>
      <c r="BT4013" s="314"/>
      <c r="BU4013" s="314"/>
      <c r="BV4013" s="314"/>
      <c r="BW4013" s="314"/>
      <c r="BX4013" s="155"/>
    </row>
    <row r="4014" spans="1:76" ht="15.75" customHeight="1">
      <c r="A4014" s="25"/>
      <c r="B4014" s="39"/>
      <c r="C4014" s="155"/>
      <c r="D4014" s="155"/>
      <c r="E4014" s="40"/>
      <c r="F4014" s="314"/>
      <c r="H4014" s="315"/>
      <c r="I4014" s="315"/>
      <c r="BA4014" s="30"/>
      <c r="BB4014" s="155"/>
      <c r="BC4014" s="314"/>
      <c r="BD4014" s="314"/>
      <c r="BE4014" s="314"/>
      <c r="BF4014" s="314"/>
      <c r="BG4014" s="314"/>
      <c r="BH4014" s="314"/>
      <c r="BI4014" s="314"/>
      <c r="BJ4014" s="314"/>
      <c r="BK4014" s="40"/>
      <c r="BL4014" s="40"/>
      <c r="BM4014" s="40"/>
      <c r="BN4014" s="40"/>
      <c r="BO4014" s="40"/>
      <c r="BP4014" s="155"/>
      <c r="BQ4014" s="314"/>
      <c r="BR4014" s="314"/>
      <c r="BS4014" s="314"/>
      <c r="BT4014" s="314"/>
      <c r="BU4014" s="314"/>
      <c r="BV4014" s="314"/>
      <c r="BW4014" s="314"/>
      <c r="BX4014" s="155"/>
    </row>
    <row r="4015" spans="1:76" ht="15.75" customHeight="1">
      <c r="A4015" s="25"/>
      <c r="B4015" s="39"/>
      <c r="C4015" s="155"/>
      <c r="D4015" s="155"/>
      <c r="E4015" s="40"/>
      <c r="F4015" s="314"/>
      <c r="H4015" s="315"/>
      <c r="I4015" s="315"/>
      <c r="BA4015" s="30"/>
      <c r="BB4015" s="155"/>
      <c r="BC4015" s="314"/>
      <c r="BD4015" s="314"/>
      <c r="BE4015" s="314"/>
      <c r="BF4015" s="314"/>
      <c r="BG4015" s="314"/>
      <c r="BH4015" s="314"/>
      <c r="BI4015" s="314"/>
      <c r="BJ4015" s="314"/>
      <c r="BK4015" s="40"/>
      <c r="BL4015" s="40"/>
      <c r="BM4015" s="40"/>
      <c r="BN4015" s="40"/>
      <c r="BO4015" s="40"/>
      <c r="BP4015" s="155"/>
      <c r="BQ4015" s="314"/>
      <c r="BR4015" s="314"/>
      <c r="BS4015" s="314"/>
      <c r="BT4015" s="314"/>
      <c r="BU4015" s="314"/>
      <c r="BV4015" s="314"/>
      <c r="BW4015" s="314"/>
      <c r="BX4015" s="155"/>
    </row>
    <row r="4016" spans="1:76" ht="15.75" customHeight="1">
      <c r="A4016" s="25"/>
      <c r="B4016" s="39"/>
      <c r="C4016" s="155"/>
      <c r="D4016" s="155"/>
      <c r="E4016" s="40"/>
      <c r="F4016" s="314"/>
      <c r="H4016" s="315"/>
      <c r="I4016" s="315"/>
      <c r="BA4016" s="30"/>
      <c r="BB4016" s="155"/>
      <c r="BC4016" s="314"/>
      <c r="BD4016" s="314"/>
      <c r="BE4016" s="314"/>
      <c r="BF4016" s="314"/>
      <c r="BG4016" s="314"/>
      <c r="BH4016" s="314"/>
      <c r="BI4016" s="314"/>
      <c r="BJ4016" s="314"/>
      <c r="BK4016" s="40"/>
      <c r="BL4016" s="40"/>
      <c r="BM4016" s="40"/>
      <c r="BN4016" s="40"/>
      <c r="BO4016" s="40"/>
      <c r="BP4016" s="155"/>
      <c r="BQ4016" s="314"/>
      <c r="BR4016" s="314"/>
      <c r="BS4016" s="314"/>
      <c r="BT4016" s="314"/>
      <c r="BU4016" s="314"/>
      <c r="BV4016" s="314"/>
      <c r="BW4016" s="314"/>
      <c r="BX4016" s="155"/>
    </row>
    <row r="4017" spans="1:76" ht="15.75" customHeight="1">
      <c r="A4017" s="25"/>
      <c r="B4017" s="39"/>
      <c r="C4017" s="155"/>
      <c r="D4017" s="155"/>
      <c r="E4017" s="40"/>
      <c r="F4017" s="314"/>
      <c r="H4017" s="315"/>
      <c r="I4017" s="315"/>
      <c r="BA4017" s="30"/>
      <c r="BB4017" s="155"/>
      <c r="BC4017" s="314"/>
      <c r="BD4017" s="314"/>
      <c r="BE4017" s="314"/>
      <c r="BF4017" s="314"/>
      <c r="BG4017" s="314"/>
      <c r="BH4017" s="314"/>
      <c r="BI4017" s="314"/>
      <c r="BJ4017" s="314"/>
      <c r="BK4017" s="40"/>
      <c r="BL4017" s="40"/>
      <c r="BM4017" s="40"/>
      <c r="BN4017" s="40"/>
      <c r="BO4017" s="40"/>
      <c r="BP4017" s="155"/>
      <c r="BQ4017" s="314"/>
      <c r="BR4017" s="314"/>
      <c r="BS4017" s="314"/>
      <c r="BT4017" s="314"/>
      <c r="BU4017" s="314"/>
      <c r="BV4017" s="314"/>
      <c r="BW4017" s="314"/>
      <c r="BX4017" s="155"/>
    </row>
    <row r="4018" spans="1:76" ht="15.75" customHeight="1">
      <c r="A4018" s="25"/>
      <c r="B4018" s="39"/>
      <c r="C4018" s="155"/>
      <c r="D4018" s="155"/>
      <c r="E4018" s="40"/>
      <c r="F4018" s="314"/>
      <c r="H4018" s="315"/>
      <c r="I4018" s="315"/>
      <c r="BA4018" s="30"/>
      <c r="BB4018" s="155"/>
      <c r="BC4018" s="314"/>
      <c r="BD4018" s="314"/>
      <c r="BE4018" s="314"/>
      <c r="BF4018" s="314"/>
      <c r="BG4018" s="314"/>
      <c r="BH4018" s="314"/>
      <c r="BI4018" s="314"/>
      <c r="BJ4018" s="314"/>
      <c r="BK4018" s="40"/>
      <c r="BL4018" s="40"/>
      <c r="BM4018" s="40"/>
      <c r="BN4018" s="40"/>
      <c r="BO4018" s="40"/>
      <c r="BP4018" s="155"/>
      <c r="BQ4018" s="314"/>
      <c r="BR4018" s="314"/>
      <c r="BS4018" s="314"/>
      <c r="BT4018" s="314"/>
      <c r="BU4018" s="314"/>
      <c r="BV4018" s="314"/>
      <c r="BW4018" s="314"/>
      <c r="BX4018" s="155"/>
    </row>
    <row r="4019" spans="1:76" ht="15.75" customHeight="1">
      <c r="A4019" s="25"/>
      <c r="B4019" s="39"/>
      <c r="C4019" s="155"/>
      <c r="D4019" s="155"/>
      <c r="E4019" s="40"/>
      <c r="F4019" s="314"/>
      <c r="H4019" s="315"/>
      <c r="I4019" s="315"/>
      <c r="BA4019" s="30"/>
      <c r="BB4019" s="155"/>
      <c r="BC4019" s="314"/>
      <c r="BD4019" s="314"/>
      <c r="BE4019" s="314"/>
      <c r="BF4019" s="314"/>
      <c r="BG4019" s="314"/>
      <c r="BH4019" s="314"/>
      <c r="BI4019" s="314"/>
      <c r="BJ4019" s="314"/>
      <c r="BK4019" s="40"/>
      <c r="BL4019" s="40"/>
      <c r="BM4019" s="40"/>
      <c r="BN4019" s="40"/>
      <c r="BO4019" s="40"/>
      <c r="BP4019" s="155"/>
      <c r="BQ4019" s="314"/>
      <c r="BR4019" s="314"/>
      <c r="BS4019" s="314"/>
      <c r="BT4019" s="314"/>
      <c r="BU4019" s="314"/>
      <c r="BV4019" s="314"/>
      <c r="BW4019" s="314"/>
      <c r="BX4019" s="155"/>
    </row>
    <row r="4020" spans="1:76" ht="15.75" customHeight="1">
      <c r="A4020" s="25"/>
      <c r="B4020" s="39"/>
      <c r="C4020" s="155"/>
      <c r="D4020" s="155"/>
      <c r="E4020" s="40"/>
      <c r="F4020" s="314"/>
      <c r="H4020" s="315"/>
      <c r="I4020" s="315"/>
      <c r="BA4020" s="30"/>
      <c r="BB4020" s="155"/>
      <c r="BC4020" s="314"/>
      <c r="BD4020" s="314"/>
      <c r="BE4020" s="314"/>
      <c r="BF4020" s="314"/>
      <c r="BG4020" s="314"/>
      <c r="BH4020" s="314"/>
      <c r="BI4020" s="314"/>
      <c r="BJ4020" s="314"/>
      <c r="BK4020" s="40"/>
      <c r="BL4020" s="40"/>
      <c r="BM4020" s="40"/>
      <c r="BN4020" s="40"/>
      <c r="BO4020" s="40"/>
      <c r="BP4020" s="155"/>
      <c r="BQ4020" s="314"/>
      <c r="BR4020" s="314"/>
      <c r="BS4020" s="314"/>
      <c r="BT4020" s="314"/>
      <c r="BU4020" s="314"/>
      <c r="BV4020" s="314"/>
      <c r="BW4020" s="314"/>
      <c r="BX4020" s="155"/>
    </row>
    <row r="4021" spans="1:76" ht="15.75" customHeight="1">
      <c r="A4021" s="25"/>
      <c r="B4021" s="39"/>
      <c r="C4021" s="155"/>
      <c r="D4021" s="155"/>
      <c r="E4021" s="40"/>
      <c r="F4021" s="314"/>
      <c r="H4021" s="315"/>
      <c r="I4021" s="315"/>
      <c r="BA4021" s="30"/>
      <c r="BB4021" s="155"/>
      <c r="BC4021" s="314"/>
      <c r="BD4021" s="314"/>
      <c r="BE4021" s="314"/>
      <c r="BF4021" s="314"/>
      <c r="BG4021" s="314"/>
      <c r="BH4021" s="314"/>
      <c r="BI4021" s="314"/>
      <c r="BJ4021" s="314"/>
      <c r="BK4021" s="40"/>
      <c r="BL4021" s="40"/>
      <c r="BM4021" s="40"/>
      <c r="BN4021" s="40"/>
      <c r="BO4021" s="40"/>
      <c r="BP4021" s="155"/>
      <c r="BQ4021" s="314"/>
      <c r="BR4021" s="314"/>
      <c r="BS4021" s="314"/>
      <c r="BT4021" s="314"/>
      <c r="BU4021" s="314"/>
      <c r="BV4021" s="314"/>
      <c r="BW4021" s="314"/>
      <c r="BX4021" s="155"/>
    </row>
    <row r="4022" spans="1:76" ht="15.75" customHeight="1">
      <c r="A4022" s="25"/>
      <c r="B4022" s="39"/>
      <c r="C4022" s="155"/>
      <c r="D4022" s="155"/>
      <c r="E4022" s="40"/>
      <c r="F4022" s="314"/>
      <c r="H4022" s="315"/>
      <c r="I4022" s="315"/>
      <c r="BA4022" s="30"/>
      <c r="BB4022" s="155"/>
      <c r="BC4022" s="314"/>
      <c r="BD4022" s="314"/>
      <c r="BE4022" s="314"/>
      <c r="BF4022" s="314"/>
      <c r="BG4022" s="314"/>
      <c r="BH4022" s="314"/>
      <c r="BI4022" s="314"/>
      <c r="BJ4022" s="314"/>
      <c r="BK4022" s="40"/>
      <c r="BL4022" s="40"/>
      <c r="BM4022" s="40"/>
      <c r="BN4022" s="40"/>
      <c r="BO4022" s="40"/>
      <c r="BP4022" s="155"/>
      <c r="BQ4022" s="314"/>
      <c r="BR4022" s="314"/>
      <c r="BS4022" s="314"/>
      <c r="BT4022" s="314"/>
      <c r="BU4022" s="314"/>
      <c r="BV4022" s="314"/>
      <c r="BW4022" s="314"/>
      <c r="BX4022" s="155"/>
    </row>
    <row r="4023" spans="1:76" ht="15.75" customHeight="1">
      <c r="A4023" s="25"/>
      <c r="B4023" s="39"/>
      <c r="C4023" s="155"/>
      <c r="D4023" s="155"/>
      <c r="E4023" s="40"/>
      <c r="F4023" s="314"/>
      <c r="H4023" s="315"/>
      <c r="I4023" s="315"/>
      <c r="BA4023" s="30"/>
      <c r="BB4023" s="155"/>
      <c r="BC4023" s="314"/>
      <c r="BD4023" s="314"/>
      <c r="BE4023" s="314"/>
      <c r="BF4023" s="314"/>
      <c r="BG4023" s="314"/>
      <c r="BH4023" s="314"/>
      <c r="BI4023" s="314"/>
      <c r="BJ4023" s="314"/>
      <c r="BK4023" s="40"/>
      <c r="BL4023" s="40"/>
      <c r="BM4023" s="40"/>
      <c r="BN4023" s="40"/>
      <c r="BO4023" s="40"/>
      <c r="BP4023" s="155"/>
      <c r="BQ4023" s="314"/>
      <c r="BR4023" s="314"/>
      <c r="BS4023" s="314"/>
      <c r="BT4023" s="314"/>
      <c r="BU4023" s="314"/>
      <c r="BV4023" s="314"/>
      <c r="BW4023" s="314"/>
      <c r="BX4023" s="155"/>
    </row>
    <row r="4024" spans="1:76" ht="15.75" customHeight="1">
      <c r="A4024" s="25"/>
      <c r="B4024" s="39"/>
      <c r="C4024" s="155"/>
      <c r="D4024" s="155"/>
      <c r="E4024" s="40"/>
      <c r="F4024" s="314"/>
      <c r="H4024" s="315"/>
      <c r="I4024" s="315"/>
      <c r="BA4024" s="30"/>
      <c r="BB4024" s="155"/>
      <c r="BC4024" s="314"/>
      <c r="BD4024" s="314"/>
      <c r="BE4024" s="314"/>
      <c r="BF4024" s="314"/>
      <c r="BG4024" s="314"/>
      <c r="BH4024" s="314"/>
      <c r="BI4024" s="314"/>
      <c r="BJ4024" s="314"/>
      <c r="BK4024" s="40"/>
      <c r="BL4024" s="40"/>
      <c r="BM4024" s="40"/>
      <c r="BN4024" s="40"/>
      <c r="BO4024" s="40"/>
      <c r="BP4024" s="155"/>
      <c r="BQ4024" s="314"/>
      <c r="BR4024" s="314"/>
      <c r="BS4024" s="314"/>
      <c r="BT4024" s="314"/>
      <c r="BU4024" s="314"/>
      <c r="BV4024" s="314"/>
      <c r="BW4024" s="314"/>
      <c r="BX4024" s="155"/>
    </row>
    <row r="4025" spans="1:76" ht="15.75" customHeight="1">
      <c r="A4025" s="25"/>
      <c r="B4025" s="39"/>
      <c r="C4025" s="155"/>
      <c r="D4025" s="155"/>
      <c r="E4025" s="40"/>
      <c r="F4025" s="314"/>
      <c r="H4025" s="315"/>
      <c r="I4025" s="315"/>
      <c r="BA4025" s="30"/>
      <c r="BB4025" s="155"/>
      <c r="BC4025" s="314"/>
      <c r="BD4025" s="314"/>
      <c r="BE4025" s="314"/>
      <c r="BF4025" s="314"/>
      <c r="BG4025" s="314"/>
      <c r="BH4025" s="314"/>
      <c r="BI4025" s="314"/>
      <c r="BJ4025" s="314"/>
      <c r="BK4025" s="40"/>
      <c r="BL4025" s="40"/>
      <c r="BM4025" s="40"/>
      <c r="BN4025" s="40"/>
      <c r="BO4025" s="40"/>
      <c r="BP4025" s="155"/>
      <c r="BQ4025" s="314"/>
      <c r="BR4025" s="314"/>
      <c r="BS4025" s="314"/>
      <c r="BT4025" s="314"/>
      <c r="BU4025" s="314"/>
      <c r="BV4025" s="314"/>
      <c r="BW4025" s="314"/>
      <c r="BX4025" s="155"/>
    </row>
    <row r="4026" spans="1:76" ht="15.75" customHeight="1">
      <c r="A4026" s="25"/>
      <c r="B4026" s="39"/>
      <c r="C4026" s="155"/>
      <c r="D4026" s="155"/>
      <c r="E4026" s="40"/>
      <c r="F4026" s="314"/>
      <c r="H4026" s="315"/>
      <c r="I4026" s="315"/>
      <c r="BA4026" s="30"/>
      <c r="BB4026" s="155"/>
      <c r="BC4026" s="314"/>
      <c r="BD4026" s="314"/>
      <c r="BE4026" s="314"/>
      <c r="BF4026" s="314"/>
      <c r="BG4026" s="314"/>
      <c r="BH4026" s="314"/>
      <c r="BI4026" s="314"/>
      <c r="BJ4026" s="314"/>
      <c r="BK4026" s="40"/>
      <c r="BL4026" s="40"/>
      <c r="BM4026" s="40"/>
      <c r="BN4026" s="40"/>
      <c r="BO4026" s="40"/>
      <c r="BP4026" s="155"/>
      <c r="BQ4026" s="314"/>
      <c r="BR4026" s="314"/>
      <c r="BS4026" s="314"/>
      <c r="BT4026" s="314"/>
      <c r="BU4026" s="314"/>
      <c r="BV4026" s="314"/>
      <c r="BW4026" s="314"/>
      <c r="BX4026" s="155"/>
    </row>
    <row r="4027" spans="1:76" ht="15.75" customHeight="1">
      <c r="A4027" s="25"/>
      <c r="B4027" s="39"/>
      <c r="C4027" s="155"/>
      <c r="D4027" s="155"/>
      <c r="E4027" s="40"/>
      <c r="F4027" s="314"/>
      <c r="H4027" s="315"/>
      <c r="I4027" s="315"/>
      <c r="BA4027" s="30"/>
      <c r="BB4027" s="155"/>
      <c r="BC4027" s="314"/>
      <c r="BD4027" s="314"/>
      <c r="BE4027" s="314"/>
      <c r="BF4027" s="314"/>
      <c r="BG4027" s="314"/>
      <c r="BH4027" s="314"/>
      <c r="BI4027" s="314"/>
      <c r="BJ4027" s="314"/>
      <c r="BK4027" s="40"/>
      <c r="BL4027" s="40"/>
      <c r="BM4027" s="40"/>
      <c r="BN4027" s="40"/>
      <c r="BO4027" s="40"/>
      <c r="BP4027" s="155"/>
      <c r="BQ4027" s="314"/>
      <c r="BR4027" s="314"/>
      <c r="BS4027" s="314"/>
      <c r="BT4027" s="314"/>
      <c r="BU4027" s="314"/>
      <c r="BV4027" s="314"/>
      <c r="BW4027" s="314"/>
      <c r="BX4027" s="155"/>
    </row>
    <row r="4028" spans="1:76" ht="15.75" customHeight="1">
      <c r="A4028" s="25"/>
      <c r="B4028" s="39"/>
      <c r="C4028" s="155"/>
      <c r="D4028" s="155"/>
      <c r="E4028" s="40"/>
      <c r="F4028" s="314"/>
      <c r="H4028" s="315"/>
      <c r="I4028" s="315"/>
      <c r="BA4028" s="30"/>
      <c r="BB4028" s="155"/>
      <c r="BC4028" s="314"/>
      <c r="BD4028" s="314"/>
      <c r="BE4028" s="314"/>
      <c r="BF4028" s="314"/>
      <c r="BG4028" s="314"/>
      <c r="BH4028" s="314"/>
      <c r="BI4028" s="314"/>
      <c r="BJ4028" s="314"/>
      <c r="BK4028" s="40"/>
      <c r="BL4028" s="40"/>
      <c r="BM4028" s="40"/>
      <c r="BN4028" s="40"/>
      <c r="BO4028" s="40"/>
      <c r="BP4028" s="155"/>
      <c r="BQ4028" s="314"/>
      <c r="BR4028" s="314"/>
      <c r="BS4028" s="314"/>
      <c r="BT4028" s="314"/>
      <c r="BU4028" s="314"/>
      <c r="BV4028" s="314"/>
      <c r="BW4028" s="314"/>
      <c r="BX4028" s="155"/>
    </row>
    <row r="4029" spans="1:76" ht="15.75" customHeight="1">
      <c r="A4029" s="25"/>
      <c r="B4029" s="39"/>
      <c r="C4029" s="155"/>
      <c r="D4029" s="155"/>
      <c r="E4029" s="40"/>
      <c r="F4029" s="314"/>
      <c r="H4029" s="315"/>
      <c r="I4029" s="315"/>
      <c r="BA4029" s="30"/>
      <c r="BB4029" s="155"/>
      <c r="BC4029" s="314"/>
      <c r="BD4029" s="314"/>
      <c r="BE4029" s="314"/>
      <c r="BF4029" s="314"/>
      <c r="BG4029" s="314"/>
      <c r="BH4029" s="314"/>
      <c r="BI4029" s="314"/>
      <c r="BJ4029" s="314"/>
      <c r="BK4029" s="40"/>
      <c r="BL4029" s="40"/>
      <c r="BM4029" s="40"/>
      <c r="BN4029" s="40"/>
      <c r="BO4029" s="40"/>
      <c r="BP4029" s="155"/>
      <c r="BQ4029" s="314"/>
      <c r="BR4029" s="314"/>
      <c r="BS4029" s="314"/>
      <c r="BT4029" s="314"/>
      <c r="BU4029" s="314"/>
      <c r="BV4029" s="314"/>
      <c r="BW4029" s="314"/>
      <c r="BX4029" s="155"/>
    </row>
    <row r="4030" spans="1:76" ht="15.75" customHeight="1">
      <c r="A4030" s="25"/>
      <c r="B4030" s="39"/>
      <c r="C4030" s="155"/>
      <c r="D4030" s="155"/>
      <c r="E4030" s="40"/>
      <c r="F4030" s="314"/>
      <c r="H4030" s="315"/>
      <c r="I4030" s="315"/>
      <c r="BA4030" s="30"/>
      <c r="BB4030" s="155"/>
      <c r="BC4030" s="314"/>
      <c r="BD4030" s="314"/>
      <c r="BE4030" s="314"/>
      <c r="BF4030" s="314"/>
      <c r="BG4030" s="314"/>
      <c r="BH4030" s="314"/>
      <c r="BI4030" s="314"/>
      <c r="BJ4030" s="314"/>
      <c r="BK4030" s="40"/>
      <c r="BL4030" s="40"/>
      <c r="BM4030" s="40"/>
      <c r="BN4030" s="40"/>
      <c r="BO4030" s="40"/>
      <c r="BP4030" s="155"/>
      <c r="BQ4030" s="314"/>
      <c r="BR4030" s="314"/>
      <c r="BS4030" s="314"/>
      <c r="BT4030" s="314"/>
      <c r="BU4030" s="314"/>
      <c r="BV4030" s="314"/>
      <c r="BW4030" s="314"/>
      <c r="BX4030" s="155"/>
    </row>
    <row r="4031" spans="1:76" ht="15.75" customHeight="1">
      <c r="A4031" s="25"/>
      <c r="B4031" s="39"/>
      <c r="C4031" s="155"/>
      <c r="D4031" s="155"/>
      <c r="E4031" s="40"/>
      <c r="F4031" s="314"/>
      <c r="H4031" s="315"/>
      <c r="I4031" s="315"/>
      <c r="BA4031" s="30"/>
      <c r="BB4031" s="155"/>
      <c r="BC4031" s="314"/>
      <c r="BD4031" s="314"/>
      <c r="BE4031" s="314"/>
      <c r="BF4031" s="314"/>
      <c r="BG4031" s="314"/>
      <c r="BH4031" s="314"/>
      <c r="BI4031" s="314"/>
      <c r="BJ4031" s="314"/>
      <c r="BK4031" s="40"/>
      <c r="BL4031" s="40"/>
      <c r="BM4031" s="40"/>
      <c r="BN4031" s="40"/>
      <c r="BO4031" s="40"/>
      <c r="BP4031" s="155"/>
      <c r="BQ4031" s="314"/>
      <c r="BR4031" s="314"/>
      <c r="BS4031" s="314"/>
      <c r="BT4031" s="314"/>
      <c r="BU4031" s="314"/>
      <c r="BV4031" s="314"/>
      <c r="BW4031" s="314"/>
      <c r="BX4031" s="155"/>
    </row>
    <row r="4032" spans="1:76" ht="15.75" customHeight="1">
      <c r="A4032" s="25"/>
      <c r="B4032" s="39"/>
      <c r="C4032" s="155"/>
      <c r="D4032" s="155"/>
      <c r="E4032" s="40"/>
      <c r="F4032" s="314"/>
      <c r="H4032" s="315"/>
      <c r="I4032" s="315"/>
      <c r="BA4032" s="30"/>
      <c r="BB4032" s="155"/>
      <c r="BC4032" s="314"/>
      <c r="BD4032" s="314"/>
      <c r="BE4032" s="314"/>
      <c r="BF4032" s="314"/>
      <c r="BG4032" s="314"/>
      <c r="BH4032" s="314"/>
      <c r="BI4032" s="314"/>
      <c r="BJ4032" s="314"/>
      <c r="BK4032" s="40"/>
      <c r="BL4032" s="40"/>
      <c r="BM4032" s="40"/>
      <c r="BN4032" s="40"/>
      <c r="BO4032" s="40"/>
      <c r="BP4032" s="155"/>
      <c r="BQ4032" s="314"/>
      <c r="BR4032" s="314"/>
      <c r="BS4032" s="314"/>
      <c r="BT4032" s="314"/>
      <c r="BU4032" s="314"/>
      <c r="BV4032" s="314"/>
      <c r="BW4032" s="314"/>
      <c r="BX4032" s="155"/>
    </row>
    <row r="4033" spans="1:76" ht="15.75" customHeight="1">
      <c r="A4033" s="25"/>
      <c r="B4033" s="39"/>
      <c r="C4033" s="155"/>
      <c r="D4033" s="155"/>
      <c r="E4033" s="40"/>
      <c r="F4033" s="314"/>
      <c r="H4033" s="315"/>
      <c r="I4033" s="315"/>
      <c r="BA4033" s="30"/>
      <c r="BB4033" s="155"/>
      <c r="BC4033" s="314"/>
      <c r="BD4033" s="314"/>
      <c r="BE4033" s="314"/>
      <c r="BF4033" s="314"/>
      <c r="BG4033" s="314"/>
      <c r="BH4033" s="314"/>
      <c r="BI4033" s="314"/>
      <c r="BJ4033" s="314"/>
      <c r="BK4033" s="40"/>
      <c r="BL4033" s="40"/>
      <c r="BM4033" s="40"/>
      <c r="BN4033" s="40"/>
      <c r="BO4033" s="40"/>
      <c r="BP4033" s="155"/>
      <c r="BQ4033" s="314"/>
      <c r="BR4033" s="314"/>
      <c r="BS4033" s="314"/>
      <c r="BT4033" s="314"/>
      <c r="BU4033" s="314"/>
      <c r="BV4033" s="314"/>
      <c r="BW4033" s="314"/>
      <c r="BX4033" s="155"/>
    </row>
    <row r="4034" spans="1:76" ht="15.75" customHeight="1">
      <c r="A4034" s="25"/>
      <c r="B4034" s="39"/>
      <c r="C4034" s="155"/>
      <c r="D4034" s="155"/>
      <c r="E4034" s="40"/>
      <c r="F4034" s="314"/>
      <c r="H4034" s="315"/>
      <c r="I4034" s="315"/>
      <c r="BA4034" s="30"/>
      <c r="BB4034" s="155"/>
      <c r="BC4034" s="322"/>
      <c r="BD4034" s="322"/>
      <c r="BE4034" s="322"/>
      <c r="BF4034" s="322"/>
      <c r="BG4034" s="322"/>
      <c r="BH4034" s="322"/>
      <c r="BI4034" s="322"/>
      <c r="BJ4034" s="322"/>
      <c r="BK4034" s="341"/>
      <c r="BL4034" s="40"/>
      <c r="BM4034" s="40"/>
      <c r="BN4034" s="40"/>
      <c r="BO4034" s="40"/>
      <c r="BP4034" s="155"/>
      <c r="BQ4034" s="314"/>
      <c r="BR4034" s="314"/>
      <c r="BS4034" s="314"/>
      <c r="BT4034" s="314"/>
      <c r="BU4034" s="314"/>
      <c r="BV4034" s="314"/>
      <c r="BW4034" s="314"/>
      <c r="BX4034" s="155"/>
    </row>
    <row r="4035" spans="1:76" ht="15.75" customHeight="1">
      <c r="A4035" s="25"/>
      <c r="B4035" s="39"/>
      <c r="C4035" s="155"/>
      <c r="D4035" s="155"/>
      <c r="E4035" s="40"/>
      <c r="F4035" s="314"/>
      <c r="H4035" s="315"/>
      <c r="I4035" s="315"/>
      <c r="BA4035" s="30"/>
      <c r="BB4035" s="155"/>
      <c r="BC4035" s="314"/>
      <c r="BD4035" s="314"/>
      <c r="BE4035" s="314"/>
      <c r="BF4035" s="314"/>
      <c r="BG4035" s="314"/>
      <c r="BH4035" s="314"/>
      <c r="BI4035" s="314"/>
      <c r="BJ4035" s="314"/>
      <c r="BK4035" s="40"/>
      <c r="BL4035" s="40"/>
      <c r="BM4035" s="40"/>
      <c r="BN4035" s="40"/>
      <c r="BO4035" s="40"/>
      <c r="BP4035" s="155"/>
      <c r="BQ4035" s="314"/>
      <c r="BR4035" s="314"/>
      <c r="BS4035" s="314"/>
      <c r="BT4035" s="314"/>
      <c r="BU4035" s="314"/>
      <c r="BV4035" s="314"/>
      <c r="BW4035" s="314"/>
      <c r="BX4035" s="155"/>
    </row>
    <row r="4036" spans="1:76" ht="15.75" customHeight="1">
      <c r="A4036" s="25"/>
      <c r="B4036" s="39"/>
      <c r="C4036" s="155"/>
      <c r="D4036" s="155"/>
      <c r="E4036" s="40"/>
      <c r="F4036" s="314"/>
      <c r="H4036" s="315"/>
      <c r="I4036" s="315"/>
      <c r="BA4036" s="30"/>
      <c r="BB4036" s="155"/>
      <c r="BC4036" s="314"/>
      <c r="BD4036" s="314"/>
      <c r="BE4036" s="314"/>
      <c r="BF4036" s="314"/>
      <c r="BG4036" s="314"/>
      <c r="BH4036" s="314"/>
      <c r="BI4036" s="314"/>
      <c r="BJ4036" s="314"/>
      <c r="BK4036" s="40"/>
      <c r="BL4036" s="40"/>
      <c r="BM4036" s="40"/>
      <c r="BN4036" s="40"/>
      <c r="BO4036" s="40"/>
      <c r="BP4036" s="155"/>
      <c r="BQ4036" s="314"/>
      <c r="BR4036" s="314"/>
      <c r="BS4036" s="314"/>
      <c r="BT4036" s="314"/>
      <c r="BU4036" s="314"/>
      <c r="BV4036" s="314"/>
      <c r="BW4036" s="314"/>
      <c r="BX4036" s="155"/>
    </row>
    <row r="4037" spans="1:76" ht="15.75" customHeight="1">
      <c r="A4037" s="25"/>
      <c r="B4037" s="39"/>
      <c r="C4037" s="155"/>
      <c r="D4037" s="155"/>
      <c r="E4037" s="40"/>
      <c r="F4037" s="314"/>
      <c r="H4037" s="315"/>
      <c r="I4037" s="315"/>
      <c r="BA4037" s="30"/>
      <c r="BB4037" s="155"/>
      <c r="BC4037" s="314"/>
      <c r="BD4037" s="314"/>
      <c r="BE4037" s="314"/>
      <c r="BF4037" s="314"/>
      <c r="BG4037" s="314"/>
      <c r="BH4037" s="314"/>
      <c r="BI4037" s="314"/>
      <c r="BJ4037" s="314"/>
      <c r="BK4037" s="40"/>
      <c r="BL4037" s="40"/>
      <c r="BM4037" s="40"/>
      <c r="BN4037" s="40"/>
      <c r="BO4037" s="40"/>
      <c r="BP4037" s="155"/>
      <c r="BQ4037" s="314"/>
      <c r="BR4037" s="314"/>
      <c r="BS4037" s="314"/>
      <c r="BT4037" s="314"/>
      <c r="BU4037" s="314"/>
      <c r="BV4037" s="314"/>
      <c r="BW4037" s="314"/>
      <c r="BX4037" s="155"/>
    </row>
    <row r="4038" spans="1:76" ht="15.75" customHeight="1">
      <c r="A4038" s="25"/>
      <c r="B4038" s="39"/>
      <c r="C4038" s="155"/>
      <c r="D4038" s="155"/>
      <c r="E4038" s="40"/>
      <c r="F4038" s="314"/>
      <c r="H4038" s="315"/>
      <c r="I4038" s="315"/>
      <c r="BA4038" s="30"/>
      <c r="BB4038" s="155"/>
      <c r="BC4038" s="314"/>
      <c r="BD4038" s="314"/>
      <c r="BE4038" s="314"/>
      <c r="BF4038" s="314"/>
      <c r="BG4038" s="314"/>
      <c r="BH4038" s="314"/>
      <c r="BI4038" s="314"/>
      <c r="BJ4038" s="314"/>
      <c r="BK4038" s="40"/>
      <c r="BL4038" s="40"/>
      <c r="BM4038" s="40"/>
      <c r="BN4038" s="40"/>
      <c r="BO4038" s="40"/>
      <c r="BP4038" s="155"/>
      <c r="BQ4038" s="314"/>
      <c r="BR4038" s="314"/>
      <c r="BS4038" s="314"/>
      <c r="BT4038" s="314"/>
      <c r="BU4038" s="314"/>
      <c r="BV4038" s="314"/>
      <c r="BW4038" s="314"/>
      <c r="BX4038" s="155"/>
    </row>
    <row r="4039" spans="1:76" ht="15.75" customHeight="1">
      <c r="A4039" s="25"/>
      <c r="B4039" s="39"/>
      <c r="C4039" s="155"/>
      <c r="D4039" s="155"/>
      <c r="E4039" s="40"/>
      <c r="F4039" s="314"/>
      <c r="H4039" s="315"/>
      <c r="I4039" s="315"/>
      <c r="BA4039" s="30"/>
      <c r="BB4039" s="155"/>
      <c r="BC4039" s="314"/>
      <c r="BD4039" s="314"/>
      <c r="BE4039" s="314"/>
      <c r="BF4039" s="314"/>
      <c r="BG4039" s="314"/>
      <c r="BH4039" s="314"/>
      <c r="BI4039" s="314"/>
      <c r="BJ4039" s="314"/>
      <c r="BK4039" s="40"/>
      <c r="BL4039" s="40"/>
      <c r="BM4039" s="40"/>
      <c r="BN4039" s="40"/>
      <c r="BO4039" s="40"/>
      <c r="BP4039" s="155"/>
      <c r="BQ4039" s="314"/>
      <c r="BR4039" s="314"/>
      <c r="BS4039" s="314"/>
      <c r="BT4039" s="314"/>
      <c r="BU4039" s="314"/>
      <c r="BV4039" s="314"/>
      <c r="BW4039" s="314"/>
      <c r="BX4039" s="155"/>
    </row>
    <row r="4040" spans="1:76" ht="15.75" customHeight="1">
      <c r="A4040" s="25"/>
      <c r="B4040" s="39"/>
      <c r="C4040" s="155"/>
      <c r="D4040" s="155"/>
      <c r="E4040" s="40"/>
      <c r="F4040" s="314"/>
      <c r="H4040" s="315"/>
      <c r="I4040" s="315"/>
      <c r="BA4040" s="30"/>
      <c r="BB4040" s="155"/>
      <c r="BC4040" s="314"/>
      <c r="BD4040" s="314"/>
      <c r="BE4040" s="314"/>
      <c r="BF4040" s="314"/>
      <c r="BG4040" s="314"/>
      <c r="BH4040" s="314"/>
      <c r="BI4040" s="314"/>
      <c r="BJ4040" s="314"/>
      <c r="BK4040" s="40"/>
      <c r="BL4040" s="40"/>
      <c r="BM4040" s="40"/>
      <c r="BN4040" s="40"/>
      <c r="BO4040" s="40"/>
      <c r="BP4040" s="155"/>
      <c r="BQ4040" s="314"/>
      <c r="BR4040" s="314"/>
      <c r="BS4040" s="314"/>
      <c r="BT4040" s="314"/>
      <c r="BU4040" s="314"/>
      <c r="BV4040" s="314"/>
      <c r="BW4040" s="314"/>
      <c r="BX4040" s="155"/>
    </row>
    <row r="4041" spans="1:76" ht="15.75" customHeight="1">
      <c r="A4041" s="25"/>
      <c r="B4041" s="39"/>
      <c r="C4041" s="155"/>
      <c r="D4041" s="155"/>
      <c r="E4041" s="40"/>
      <c r="F4041" s="314"/>
      <c r="H4041" s="315"/>
      <c r="I4041" s="315"/>
      <c r="BA4041" s="30"/>
      <c r="BB4041" s="155"/>
      <c r="BC4041" s="314"/>
      <c r="BD4041" s="314"/>
      <c r="BE4041" s="314"/>
      <c r="BF4041" s="314"/>
      <c r="BG4041" s="314"/>
      <c r="BH4041" s="314"/>
      <c r="BI4041" s="314"/>
      <c r="BJ4041" s="314"/>
      <c r="BK4041" s="40"/>
      <c r="BL4041" s="40"/>
      <c r="BM4041" s="40"/>
      <c r="BN4041" s="40"/>
      <c r="BO4041" s="40"/>
      <c r="BP4041" s="155"/>
      <c r="BQ4041" s="314"/>
      <c r="BR4041" s="314"/>
      <c r="BS4041" s="314"/>
      <c r="BT4041" s="314"/>
      <c r="BU4041" s="314"/>
      <c r="BV4041" s="314"/>
      <c r="BW4041" s="314"/>
      <c r="BX4041" s="155"/>
    </row>
    <row r="4042" spans="1:76" ht="15.75" customHeight="1">
      <c r="A4042" s="25"/>
      <c r="B4042" s="39"/>
      <c r="C4042" s="155"/>
      <c r="D4042" s="155"/>
      <c r="E4042" s="40"/>
      <c r="F4042" s="314"/>
      <c r="H4042" s="315"/>
      <c r="I4042" s="315"/>
      <c r="BA4042" s="30"/>
      <c r="BB4042" s="155"/>
      <c r="BC4042" s="314"/>
      <c r="BD4042" s="314"/>
      <c r="BE4042" s="314"/>
      <c r="BF4042" s="314"/>
      <c r="BG4042" s="314"/>
      <c r="BH4042" s="314"/>
      <c r="BI4042" s="314"/>
      <c r="BJ4042" s="314"/>
      <c r="BK4042" s="40"/>
      <c r="BL4042" s="40"/>
      <c r="BM4042" s="40"/>
      <c r="BN4042" s="40"/>
      <c r="BO4042" s="40"/>
      <c r="BP4042" s="155"/>
      <c r="BQ4042" s="314"/>
      <c r="BR4042" s="314"/>
      <c r="BS4042" s="314"/>
      <c r="BT4042" s="314"/>
      <c r="BU4042" s="314"/>
      <c r="BV4042" s="314"/>
      <c r="BW4042" s="314"/>
      <c r="BX4042" s="155"/>
    </row>
    <row r="4043" spans="1:76" ht="15.75" customHeight="1">
      <c r="A4043" s="25"/>
      <c r="B4043" s="39"/>
      <c r="C4043" s="155"/>
      <c r="D4043" s="155"/>
      <c r="E4043" s="40"/>
      <c r="F4043" s="314"/>
      <c r="H4043" s="315"/>
      <c r="I4043" s="315"/>
      <c r="BA4043" s="30"/>
      <c r="BB4043" s="155"/>
      <c r="BC4043" s="314"/>
      <c r="BD4043" s="314"/>
      <c r="BE4043" s="314"/>
      <c r="BF4043" s="314"/>
      <c r="BG4043" s="314"/>
      <c r="BH4043" s="314"/>
      <c r="BI4043" s="314"/>
      <c r="BJ4043" s="314"/>
      <c r="BK4043" s="40"/>
      <c r="BL4043" s="40"/>
      <c r="BM4043" s="40"/>
      <c r="BN4043" s="40"/>
      <c r="BO4043" s="40"/>
      <c r="BP4043" s="155"/>
      <c r="BQ4043" s="314"/>
      <c r="BR4043" s="314"/>
      <c r="BS4043" s="314"/>
      <c r="BT4043" s="314"/>
      <c r="BU4043" s="314"/>
      <c r="BV4043" s="314"/>
      <c r="BW4043" s="314"/>
      <c r="BX4043" s="155"/>
    </row>
    <row r="4044" spans="1:76" ht="15.75" customHeight="1">
      <c r="A4044" s="25"/>
      <c r="B4044" s="39"/>
      <c r="C4044" s="155"/>
      <c r="D4044" s="155"/>
      <c r="E4044" s="40"/>
      <c r="F4044" s="314"/>
      <c r="H4044" s="315"/>
      <c r="I4044" s="315"/>
      <c r="BA4044" s="30"/>
      <c r="BB4044" s="155"/>
      <c r="BC4044" s="314"/>
      <c r="BD4044" s="314"/>
      <c r="BE4044" s="314"/>
      <c r="BF4044" s="314"/>
      <c r="BG4044" s="314"/>
      <c r="BH4044" s="314"/>
      <c r="BI4044" s="314"/>
      <c r="BJ4044" s="314"/>
      <c r="BK4044" s="40"/>
      <c r="BL4044" s="40"/>
      <c r="BM4044" s="40"/>
      <c r="BN4044" s="40"/>
      <c r="BO4044" s="40"/>
      <c r="BP4044" s="155"/>
      <c r="BQ4044" s="314"/>
      <c r="BR4044" s="314"/>
      <c r="BS4044" s="314"/>
      <c r="BT4044" s="314"/>
      <c r="BU4044" s="314"/>
      <c r="BV4044" s="314"/>
      <c r="BW4044" s="314"/>
      <c r="BX4044" s="155"/>
    </row>
    <row r="4045" spans="1:76" ht="15.75" customHeight="1">
      <c r="A4045" s="25"/>
      <c r="B4045" s="39"/>
      <c r="C4045" s="155"/>
      <c r="D4045" s="155"/>
      <c r="E4045" s="40"/>
      <c r="F4045" s="314"/>
      <c r="H4045" s="315"/>
      <c r="I4045" s="315"/>
      <c r="BA4045" s="30"/>
      <c r="BB4045" s="155"/>
      <c r="BC4045" s="314"/>
      <c r="BD4045" s="314"/>
      <c r="BE4045" s="314"/>
      <c r="BF4045" s="314"/>
      <c r="BG4045" s="314"/>
      <c r="BH4045" s="314"/>
      <c r="BI4045" s="314"/>
      <c r="BJ4045" s="314"/>
      <c r="BK4045" s="40"/>
      <c r="BL4045" s="40"/>
      <c r="BM4045" s="40"/>
      <c r="BN4045" s="40"/>
      <c r="BO4045" s="40"/>
      <c r="BP4045" s="155"/>
      <c r="BQ4045" s="314"/>
      <c r="BR4045" s="314"/>
      <c r="BS4045" s="314"/>
      <c r="BT4045" s="314"/>
      <c r="BU4045" s="314"/>
      <c r="BV4045" s="314"/>
      <c r="BW4045" s="314"/>
      <c r="BX4045" s="155"/>
    </row>
    <row r="4046" spans="1:76" ht="15.75" customHeight="1">
      <c r="A4046" s="25"/>
      <c r="B4046" s="39"/>
      <c r="C4046" s="155"/>
      <c r="D4046" s="155"/>
      <c r="E4046" s="40"/>
      <c r="F4046" s="314"/>
      <c r="H4046" s="315"/>
      <c r="I4046" s="315"/>
      <c r="BA4046" s="30"/>
      <c r="BB4046" s="155"/>
      <c r="BC4046" s="314"/>
      <c r="BD4046" s="314"/>
      <c r="BE4046" s="314"/>
      <c r="BF4046" s="314"/>
      <c r="BG4046" s="314"/>
      <c r="BH4046" s="314"/>
      <c r="BI4046" s="314"/>
      <c r="BJ4046" s="314"/>
      <c r="BK4046" s="40"/>
      <c r="BL4046" s="40"/>
      <c r="BM4046" s="40"/>
      <c r="BN4046" s="40"/>
      <c r="BO4046" s="40"/>
      <c r="BP4046" s="155"/>
      <c r="BQ4046" s="314"/>
      <c r="BR4046" s="314"/>
      <c r="BS4046" s="314"/>
      <c r="BT4046" s="314"/>
      <c r="BU4046" s="314"/>
      <c r="BV4046" s="314"/>
      <c r="BW4046" s="314"/>
      <c r="BX4046" s="155"/>
    </row>
    <row r="4047" spans="1:76" ht="15.75" customHeight="1">
      <c r="A4047" s="25"/>
      <c r="B4047" s="39"/>
      <c r="C4047" s="155"/>
      <c r="D4047" s="155"/>
      <c r="E4047" s="40"/>
      <c r="F4047" s="314"/>
      <c r="H4047" s="315"/>
      <c r="I4047" s="315"/>
      <c r="BA4047" s="30"/>
      <c r="BB4047" s="155"/>
      <c r="BC4047" s="314"/>
      <c r="BD4047" s="314"/>
      <c r="BE4047" s="314"/>
      <c r="BF4047" s="314"/>
      <c r="BG4047" s="314"/>
      <c r="BH4047" s="314"/>
      <c r="BI4047" s="314"/>
      <c r="BJ4047" s="314"/>
      <c r="BK4047" s="40"/>
      <c r="BL4047" s="40"/>
      <c r="BM4047" s="40"/>
      <c r="BN4047" s="40"/>
      <c r="BO4047" s="40"/>
      <c r="BP4047" s="155"/>
      <c r="BQ4047" s="314"/>
      <c r="BR4047" s="314"/>
      <c r="BS4047" s="314"/>
      <c r="BT4047" s="314"/>
      <c r="BU4047" s="314"/>
      <c r="BV4047" s="314"/>
      <c r="BW4047" s="314"/>
      <c r="BX4047" s="155"/>
    </row>
    <row r="4048" spans="1:76" ht="15.75" customHeight="1">
      <c r="A4048" s="25"/>
      <c r="B4048" s="39"/>
      <c r="C4048" s="155"/>
      <c r="D4048" s="155"/>
      <c r="E4048" s="40"/>
      <c r="F4048" s="314"/>
      <c r="H4048" s="315"/>
      <c r="I4048" s="315"/>
      <c r="BA4048" s="30"/>
      <c r="BB4048" s="155"/>
      <c r="BC4048" s="314"/>
      <c r="BD4048" s="314"/>
      <c r="BE4048" s="314"/>
      <c r="BF4048" s="314"/>
      <c r="BG4048" s="314"/>
      <c r="BH4048" s="314"/>
      <c r="BI4048" s="314"/>
      <c r="BJ4048" s="314"/>
      <c r="BK4048" s="40"/>
      <c r="BL4048" s="40"/>
      <c r="BM4048" s="40"/>
      <c r="BN4048" s="40"/>
      <c r="BO4048" s="40"/>
      <c r="BP4048" s="155"/>
      <c r="BQ4048" s="314"/>
      <c r="BR4048" s="314"/>
      <c r="BS4048" s="314"/>
      <c r="BT4048" s="314"/>
      <c r="BU4048" s="314"/>
      <c r="BV4048" s="314"/>
      <c r="BW4048" s="314"/>
      <c r="BX4048" s="155"/>
    </row>
    <row r="4049" spans="1:76" ht="15.75" customHeight="1">
      <c r="A4049" s="25"/>
      <c r="B4049" s="39"/>
      <c r="C4049" s="155"/>
      <c r="D4049" s="155"/>
      <c r="E4049" s="40"/>
      <c r="F4049" s="314"/>
      <c r="H4049" s="315"/>
      <c r="I4049" s="315"/>
      <c r="BA4049" s="30"/>
      <c r="BB4049" s="155"/>
      <c r="BC4049" s="314"/>
      <c r="BD4049" s="314"/>
      <c r="BE4049" s="314"/>
      <c r="BF4049" s="314"/>
      <c r="BG4049" s="314"/>
      <c r="BH4049" s="314"/>
      <c r="BI4049" s="314"/>
      <c r="BJ4049" s="314"/>
      <c r="BK4049" s="40"/>
      <c r="BL4049" s="40"/>
      <c r="BM4049" s="40"/>
      <c r="BN4049" s="40"/>
      <c r="BO4049" s="40"/>
      <c r="BP4049" s="155"/>
      <c r="BQ4049" s="314"/>
      <c r="BR4049" s="314"/>
      <c r="BS4049" s="314"/>
      <c r="BT4049" s="314"/>
      <c r="BU4049" s="314"/>
      <c r="BV4049" s="314"/>
      <c r="BW4049" s="314"/>
      <c r="BX4049" s="155"/>
    </row>
    <row r="4050" spans="1:76" ht="15.75" customHeight="1">
      <c r="A4050" s="25"/>
      <c r="B4050" s="39"/>
      <c r="C4050" s="155"/>
      <c r="D4050" s="155"/>
      <c r="E4050" s="40"/>
      <c r="F4050" s="314"/>
      <c r="H4050" s="315"/>
      <c r="I4050" s="315"/>
      <c r="BA4050" s="30"/>
      <c r="BB4050" s="155"/>
      <c r="BC4050" s="314"/>
      <c r="BD4050" s="314"/>
      <c r="BE4050" s="314"/>
      <c r="BF4050" s="314"/>
      <c r="BG4050" s="314"/>
      <c r="BH4050" s="314"/>
      <c r="BI4050" s="314"/>
      <c r="BJ4050" s="314"/>
      <c r="BK4050" s="40"/>
      <c r="BL4050" s="40"/>
      <c r="BM4050" s="40"/>
      <c r="BN4050" s="40"/>
      <c r="BO4050" s="40"/>
      <c r="BP4050" s="155"/>
      <c r="BQ4050" s="314"/>
      <c r="BR4050" s="314"/>
      <c r="BS4050" s="314"/>
      <c r="BT4050" s="314"/>
      <c r="BU4050" s="314"/>
      <c r="BV4050" s="314"/>
      <c r="BW4050" s="314"/>
      <c r="BX4050" s="155"/>
    </row>
    <row r="4051" spans="1:76" ht="15.75" customHeight="1">
      <c r="A4051" s="25"/>
      <c r="B4051" s="39"/>
      <c r="C4051" s="155"/>
      <c r="D4051" s="155"/>
      <c r="E4051" s="40"/>
      <c r="F4051" s="314"/>
      <c r="H4051" s="315"/>
      <c r="I4051" s="315"/>
      <c r="BA4051" s="30"/>
      <c r="BB4051" s="155"/>
      <c r="BC4051" s="314"/>
      <c r="BD4051" s="314"/>
      <c r="BE4051" s="314"/>
      <c r="BF4051" s="314"/>
      <c r="BG4051" s="314"/>
      <c r="BH4051" s="314"/>
      <c r="BI4051" s="314"/>
      <c r="BJ4051" s="314"/>
      <c r="BK4051" s="40"/>
      <c r="BL4051" s="40"/>
      <c r="BM4051" s="40"/>
      <c r="BN4051" s="40"/>
      <c r="BO4051" s="40"/>
      <c r="BP4051" s="155"/>
      <c r="BQ4051" s="314"/>
      <c r="BR4051" s="314"/>
      <c r="BS4051" s="314"/>
      <c r="BT4051" s="314"/>
      <c r="BU4051" s="314"/>
      <c r="BV4051" s="314"/>
      <c r="BW4051" s="314"/>
      <c r="BX4051" s="155"/>
    </row>
    <row r="4052" spans="1:76" ht="15.75" customHeight="1">
      <c r="A4052" s="25"/>
      <c r="B4052" s="39"/>
      <c r="C4052" s="155"/>
      <c r="D4052" s="155"/>
      <c r="E4052" s="40"/>
      <c r="F4052" s="314"/>
      <c r="H4052" s="315"/>
      <c r="I4052" s="315"/>
      <c r="BA4052" s="30"/>
      <c r="BB4052" s="155"/>
      <c r="BC4052" s="314"/>
      <c r="BD4052" s="314"/>
      <c r="BE4052" s="314"/>
      <c r="BF4052" s="314"/>
      <c r="BG4052" s="314"/>
      <c r="BH4052" s="314"/>
      <c r="BI4052" s="314"/>
      <c r="BJ4052" s="314"/>
      <c r="BK4052" s="40"/>
      <c r="BL4052" s="40"/>
      <c r="BM4052" s="40"/>
      <c r="BN4052" s="40"/>
      <c r="BO4052" s="40"/>
      <c r="BP4052" s="155"/>
      <c r="BQ4052" s="314"/>
      <c r="BR4052" s="314"/>
      <c r="BS4052" s="314"/>
      <c r="BT4052" s="314"/>
      <c r="BU4052" s="314"/>
      <c r="BV4052" s="314"/>
      <c r="BW4052" s="314"/>
      <c r="BX4052" s="155"/>
    </row>
    <row r="4053" spans="1:76" ht="15.75" customHeight="1">
      <c r="A4053" s="25"/>
      <c r="B4053" s="39"/>
      <c r="C4053" s="155"/>
      <c r="D4053" s="155"/>
      <c r="E4053" s="40"/>
      <c r="F4053" s="314"/>
      <c r="H4053" s="315"/>
      <c r="I4053" s="315"/>
      <c r="BA4053" s="30"/>
      <c r="BB4053" s="155"/>
      <c r="BC4053" s="314"/>
      <c r="BD4053" s="314"/>
      <c r="BE4053" s="314"/>
      <c r="BF4053" s="314"/>
      <c r="BG4053" s="314"/>
      <c r="BH4053" s="314"/>
      <c r="BI4053" s="314"/>
      <c r="BJ4053" s="314"/>
      <c r="BK4053" s="40"/>
      <c r="BL4053" s="40"/>
      <c r="BM4053" s="40"/>
      <c r="BN4053" s="40"/>
      <c r="BO4053" s="40"/>
      <c r="BP4053" s="155"/>
      <c r="BQ4053" s="314"/>
      <c r="BR4053" s="314"/>
      <c r="BS4053" s="314"/>
      <c r="BT4053" s="314"/>
      <c r="BU4053" s="314"/>
      <c r="BV4053" s="314"/>
      <c r="BW4053" s="314"/>
      <c r="BX4053" s="155"/>
    </row>
    <row r="4054" spans="1:76" ht="15.75" customHeight="1">
      <c r="A4054" s="25"/>
      <c r="B4054" s="39"/>
      <c r="C4054" s="155"/>
      <c r="D4054" s="155"/>
      <c r="E4054" s="40"/>
      <c r="F4054" s="314"/>
      <c r="H4054" s="315"/>
      <c r="I4054" s="315"/>
      <c r="BA4054" s="30"/>
      <c r="BB4054" s="155"/>
      <c r="BC4054" s="314"/>
      <c r="BD4054" s="314"/>
      <c r="BE4054" s="314"/>
      <c r="BF4054" s="314"/>
      <c r="BG4054" s="314"/>
      <c r="BH4054" s="314"/>
      <c r="BI4054" s="314"/>
      <c r="BJ4054" s="314"/>
      <c r="BK4054" s="40"/>
      <c r="BL4054" s="40"/>
      <c r="BM4054" s="40"/>
      <c r="BN4054" s="40"/>
      <c r="BO4054" s="40"/>
      <c r="BP4054" s="155"/>
      <c r="BQ4054" s="314"/>
      <c r="BR4054" s="314"/>
      <c r="BS4054" s="314"/>
      <c r="BT4054" s="314"/>
      <c r="BU4054" s="314"/>
      <c r="BV4054" s="314"/>
      <c r="BW4054" s="314"/>
      <c r="BX4054" s="155"/>
    </row>
    <row r="4055" spans="1:76" ht="15.75" customHeight="1">
      <c r="A4055" s="25"/>
      <c r="B4055" s="39"/>
      <c r="C4055" s="155"/>
      <c r="D4055" s="155"/>
      <c r="E4055" s="40"/>
      <c r="F4055" s="314"/>
      <c r="H4055" s="315"/>
      <c r="I4055" s="315"/>
      <c r="BA4055" s="30"/>
      <c r="BB4055" s="155"/>
      <c r="BC4055" s="314"/>
      <c r="BD4055" s="314"/>
      <c r="BE4055" s="314"/>
      <c r="BF4055" s="314"/>
      <c r="BG4055" s="314"/>
      <c r="BH4055" s="314"/>
      <c r="BI4055" s="314"/>
      <c r="BJ4055" s="314"/>
      <c r="BK4055" s="40"/>
      <c r="BL4055" s="40"/>
      <c r="BM4055" s="40"/>
      <c r="BN4055" s="40"/>
      <c r="BO4055" s="40"/>
      <c r="BP4055" s="155"/>
      <c r="BQ4055" s="314"/>
      <c r="BR4055" s="314"/>
      <c r="BS4055" s="314"/>
      <c r="BT4055" s="314"/>
      <c r="BU4055" s="314"/>
      <c r="BV4055" s="314"/>
      <c r="BW4055" s="314"/>
      <c r="BX4055" s="155"/>
    </row>
    <row r="4056" spans="1:76" ht="15.75" customHeight="1">
      <c r="A4056" s="25"/>
      <c r="B4056" s="39"/>
      <c r="C4056" s="155"/>
      <c r="D4056" s="155"/>
      <c r="E4056" s="40"/>
      <c r="F4056" s="314"/>
      <c r="H4056" s="315"/>
      <c r="I4056" s="315"/>
      <c r="BA4056" s="30"/>
      <c r="BB4056" s="155"/>
      <c r="BC4056" s="314"/>
      <c r="BD4056" s="314"/>
      <c r="BE4056" s="314"/>
      <c r="BF4056" s="314"/>
      <c r="BG4056" s="314"/>
      <c r="BH4056" s="314"/>
      <c r="BI4056" s="314"/>
      <c r="BJ4056" s="314"/>
      <c r="BK4056" s="40"/>
      <c r="BL4056" s="40"/>
      <c r="BM4056" s="40"/>
      <c r="BN4056" s="40"/>
      <c r="BO4056" s="40"/>
      <c r="BP4056" s="155"/>
      <c r="BQ4056" s="314"/>
      <c r="BR4056" s="314"/>
      <c r="BS4056" s="314"/>
      <c r="BT4056" s="314"/>
      <c r="BU4056" s="314"/>
      <c r="BV4056" s="314"/>
      <c r="BW4056" s="314"/>
      <c r="BX4056" s="155"/>
    </row>
    <row r="4057" spans="1:76" ht="15.75" customHeight="1">
      <c r="A4057" s="25"/>
      <c r="B4057" s="39"/>
      <c r="C4057" s="155"/>
      <c r="D4057" s="155"/>
      <c r="E4057" s="40"/>
      <c r="F4057" s="314"/>
      <c r="H4057" s="315"/>
      <c r="I4057" s="315"/>
      <c r="BA4057" s="30"/>
      <c r="BB4057" s="155"/>
      <c r="BC4057" s="322"/>
      <c r="BD4057" s="322"/>
      <c r="BE4057" s="322"/>
      <c r="BF4057" s="322"/>
      <c r="BG4057" s="322"/>
      <c r="BH4057" s="322"/>
      <c r="BI4057" s="322"/>
      <c r="BJ4057" s="322"/>
      <c r="BK4057" s="341"/>
      <c r="BL4057" s="40"/>
      <c r="BM4057" s="40"/>
      <c r="BN4057" s="40"/>
      <c r="BO4057" s="40"/>
      <c r="BP4057" s="155"/>
      <c r="BQ4057" s="314"/>
      <c r="BR4057" s="314"/>
      <c r="BS4057" s="314"/>
      <c r="BT4057" s="314"/>
      <c r="BU4057" s="314"/>
      <c r="BV4057" s="314"/>
      <c r="BW4057" s="314"/>
      <c r="BX4057" s="155"/>
    </row>
    <row r="4058" spans="1:76" ht="15.75" customHeight="1">
      <c r="A4058" s="25"/>
      <c r="B4058" s="39"/>
      <c r="C4058" s="155"/>
      <c r="D4058" s="155"/>
      <c r="E4058" s="40"/>
      <c r="F4058" s="314"/>
      <c r="H4058" s="315"/>
      <c r="I4058" s="315"/>
      <c r="BA4058" s="30"/>
      <c r="BB4058" s="155"/>
      <c r="BC4058" s="314"/>
      <c r="BD4058" s="314"/>
      <c r="BE4058" s="314"/>
      <c r="BF4058" s="314"/>
      <c r="BG4058" s="314"/>
      <c r="BH4058" s="314"/>
      <c r="BI4058" s="314"/>
      <c r="BJ4058" s="314"/>
      <c r="BK4058" s="40"/>
      <c r="BL4058" s="40"/>
      <c r="BM4058" s="40"/>
      <c r="BN4058" s="40"/>
      <c r="BO4058" s="40"/>
      <c r="BP4058" s="155"/>
      <c r="BQ4058" s="314"/>
      <c r="BR4058" s="314"/>
      <c r="BS4058" s="314"/>
      <c r="BT4058" s="314"/>
      <c r="BU4058" s="314"/>
      <c r="BV4058" s="314"/>
      <c r="BW4058" s="314"/>
      <c r="BX4058" s="155"/>
    </row>
    <row r="4059" spans="1:76" ht="15.75" customHeight="1">
      <c r="A4059" s="25"/>
      <c r="B4059" s="39"/>
      <c r="C4059" s="155"/>
      <c r="D4059" s="155"/>
      <c r="E4059" s="40"/>
      <c r="F4059" s="314"/>
      <c r="H4059" s="315"/>
      <c r="I4059" s="315"/>
      <c r="BA4059" s="30"/>
      <c r="BB4059" s="155"/>
      <c r="BC4059" s="314"/>
      <c r="BD4059" s="314"/>
      <c r="BE4059" s="314"/>
      <c r="BF4059" s="314"/>
      <c r="BG4059" s="314"/>
      <c r="BH4059" s="314"/>
      <c r="BI4059" s="314"/>
      <c r="BJ4059" s="314"/>
      <c r="BK4059" s="40"/>
      <c r="BL4059" s="40"/>
      <c r="BM4059" s="40"/>
      <c r="BN4059" s="40"/>
      <c r="BO4059" s="40"/>
      <c r="BP4059" s="155"/>
      <c r="BQ4059" s="314"/>
      <c r="BR4059" s="314"/>
      <c r="BS4059" s="314"/>
      <c r="BT4059" s="314"/>
      <c r="BU4059" s="314"/>
      <c r="BV4059" s="314"/>
      <c r="BW4059" s="314"/>
      <c r="BX4059" s="155"/>
    </row>
    <row r="4060" spans="1:76" ht="15.75" customHeight="1">
      <c r="A4060" s="25"/>
      <c r="B4060" s="39"/>
      <c r="C4060" s="155"/>
      <c r="D4060" s="155"/>
      <c r="E4060" s="40"/>
      <c r="F4060" s="314"/>
      <c r="H4060" s="315"/>
      <c r="I4060" s="315"/>
      <c r="BA4060" s="30"/>
      <c r="BB4060" s="155"/>
      <c r="BC4060" s="314"/>
      <c r="BD4060" s="314"/>
      <c r="BE4060" s="314"/>
      <c r="BF4060" s="314"/>
      <c r="BG4060" s="314"/>
      <c r="BH4060" s="314"/>
      <c r="BI4060" s="314"/>
      <c r="BJ4060" s="314"/>
      <c r="BK4060" s="40"/>
      <c r="BL4060" s="40"/>
      <c r="BM4060" s="40"/>
      <c r="BN4060" s="40"/>
      <c r="BO4060" s="40"/>
      <c r="BP4060" s="155"/>
      <c r="BQ4060" s="314"/>
      <c r="BR4060" s="314"/>
      <c r="BS4060" s="314"/>
      <c r="BT4060" s="314"/>
      <c r="BU4060" s="314"/>
      <c r="BV4060" s="314"/>
      <c r="BW4060" s="314"/>
      <c r="BX4060" s="155"/>
    </row>
    <row r="4061" spans="1:76" ht="15.75" customHeight="1">
      <c r="A4061" s="25"/>
      <c r="B4061" s="39"/>
      <c r="C4061" s="155"/>
      <c r="D4061" s="155"/>
      <c r="E4061" s="40"/>
      <c r="F4061" s="314"/>
      <c r="H4061" s="315"/>
      <c r="I4061" s="315"/>
      <c r="BA4061" s="30"/>
      <c r="BB4061" s="155"/>
      <c r="BC4061" s="314"/>
      <c r="BD4061" s="314"/>
      <c r="BE4061" s="314"/>
      <c r="BF4061" s="314"/>
      <c r="BG4061" s="314"/>
      <c r="BH4061" s="314"/>
      <c r="BI4061" s="314"/>
      <c r="BJ4061" s="314"/>
      <c r="BK4061" s="40"/>
      <c r="BL4061" s="40"/>
      <c r="BM4061" s="40"/>
      <c r="BN4061" s="40"/>
      <c r="BO4061" s="40"/>
      <c r="BP4061" s="155"/>
      <c r="BQ4061" s="314"/>
      <c r="BR4061" s="314"/>
      <c r="BS4061" s="314"/>
      <c r="BT4061" s="314"/>
      <c r="BU4061" s="314"/>
      <c r="BV4061" s="314"/>
      <c r="BW4061" s="314"/>
      <c r="BX4061" s="155"/>
    </row>
    <row r="4062" spans="1:76" ht="15.75" customHeight="1">
      <c r="A4062" s="25"/>
      <c r="B4062" s="39"/>
      <c r="C4062" s="155"/>
      <c r="D4062" s="155"/>
      <c r="E4062" s="40"/>
      <c r="F4062" s="314"/>
      <c r="H4062" s="315"/>
      <c r="I4062" s="315"/>
      <c r="BA4062" s="30"/>
      <c r="BB4062" s="155"/>
      <c r="BC4062" s="314"/>
      <c r="BD4062" s="314"/>
      <c r="BE4062" s="314"/>
      <c r="BF4062" s="314"/>
      <c r="BG4062" s="314"/>
      <c r="BH4062" s="314"/>
      <c r="BI4062" s="314"/>
      <c r="BJ4062" s="314"/>
      <c r="BK4062" s="40"/>
      <c r="BL4062" s="40"/>
      <c r="BM4062" s="40"/>
      <c r="BN4062" s="40"/>
      <c r="BO4062" s="40"/>
      <c r="BP4062" s="155"/>
      <c r="BQ4062" s="314"/>
      <c r="BR4062" s="314"/>
      <c r="BS4062" s="314"/>
      <c r="BT4062" s="314"/>
      <c r="BU4062" s="314"/>
      <c r="BV4062" s="314"/>
      <c r="BW4062" s="314"/>
      <c r="BX4062" s="155"/>
    </row>
    <row r="4063" spans="1:76" ht="15.75" customHeight="1">
      <c r="A4063" s="25"/>
      <c r="B4063" s="39"/>
      <c r="C4063" s="155"/>
      <c r="D4063" s="155"/>
      <c r="E4063" s="40"/>
      <c r="F4063" s="314"/>
      <c r="H4063" s="315"/>
      <c r="I4063" s="315"/>
      <c r="BA4063" s="30"/>
      <c r="BB4063" s="155"/>
      <c r="BC4063" s="314"/>
      <c r="BD4063" s="314"/>
      <c r="BE4063" s="314"/>
      <c r="BF4063" s="314"/>
      <c r="BG4063" s="314"/>
      <c r="BH4063" s="314"/>
      <c r="BI4063" s="314"/>
      <c r="BJ4063" s="314"/>
      <c r="BK4063" s="40"/>
      <c r="BL4063" s="40"/>
      <c r="BM4063" s="40"/>
      <c r="BN4063" s="40"/>
      <c r="BO4063" s="40"/>
      <c r="BP4063" s="155"/>
      <c r="BQ4063" s="314"/>
      <c r="BR4063" s="314"/>
      <c r="BS4063" s="314"/>
      <c r="BT4063" s="314"/>
      <c r="BU4063" s="314"/>
      <c r="BV4063" s="314"/>
      <c r="BW4063" s="314"/>
      <c r="BX4063" s="155"/>
    </row>
    <row r="4064" spans="1:76" ht="15.75" customHeight="1">
      <c r="A4064" s="25"/>
      <c r="B4064" s="39"/>
      <c r="C4064" s="155"/>
      <c r="D4064" s="155"/>
      <c r="E4064" s="40"/>
      <c r="F4064" s="314"/>
      <c r="H4064" s="315"/>
      <c r="I4064" s="315"/>
      <c r="BA4064" s="30"/>
      <c r="BB4064" s="155"/>
      <c r="BC4064" s="314"/>
      <c r="BD4064" s="314"/>
      <c r="BE4064" s="314"/>
      <c r="BF4064" s="314"/>
      <c r="BG4064" s="314"/>
      <c r="BH4064" s="314"/>
      <c r="BI4064" s="314"/>
      <c r="BJ4064" s="314"/>
      <c r="BK4064" s="40"/>
      <c r="BL4064" s="40"/>
      <c r="BM4064" s="40"/>
      <c r="BN4064" s="40"/>
      <c r="BO4064" s="40"/>
      <c r="BP4064" s="155"/>
      <c r="BQ4064" s="314"/>
      <c r="BR4064" s="314"/>
      <c r="BS4064" s="314"/>
      <c r="BT4064" s="314"/>
      <c r="BU4064" s="314"/>
      <c r="BV4064" s="314"/>
      <c r="BW4064" s="314"/>
      <c r="BX4064" s="155"/>
    </row>
    <row r="4065" spans="1:76" ht="15.75" customHeight="1">
      <c r="A4065" s="25"/>
      <c r="B4065" s="39"/>
      <c r="C4065" s="155"/>
      <c r="D4065" s="155"/>
      <c r="E4065" s="40"/>
      <c r="F4065" s="314"/>
      <c r="H4065" s="315"/>
      <c r="I4065" s="315"/>
      <c r="BA4065" s="30"/>
      <c r="BB4065" s="155"/>
      <c r="BC4065" s="314"/>
      <c r="BD4065" s="314"/>
      <c r="BE4065" s="314"/>
      <c r="BF4065" s="314"/>
      <c r="BG4065" s="314"/>
      <c r="BH4065" s="314"/>
      <c r="BI4065" s="314"/>
      <c r="BJ4065" s="314"/>
      <c r="BK4065" s="40"/>
      <c r="BL4065" s="40"/>
      <c r="BM4065" s="40"/>
      <c r="BN4065" s="40"/>
      <c r="BO4065" s="40"/>
      <c r="BP4065" s="155"/>
      <c r="BQ4065" s="314"/>
      <c r="BR4065" s="314"/>
      <c r="BS4065" s="314"/>
      <c r="BT4065" s="314"/>
      <c r="BU4065" s="314"/>
      <c r="BV4065" s="314"/>
      <c r="BW4065" s="314"/>
      <c r="BX4065" s="155"/>
    </row>
    <row r="4066" spans="1:76" ht="15.75" customHeight="1">
      <c r="A4066" s="25"/>
      <c r="B4066" s="39"/>
      <c r="C4066" s="155"/>
      <c r="D4066" s="155"/>
      <c r="E4066" s="40"/>
      <c r="F4066" s="314"/>
      <c r="H4066" s="315"/>
      <c r="I4066" s="315"/>
      <c r="BA4066" s="30"/>
      <c r="BB4066" s="155"/>
      <c r="BC4066" s="314"/>
      <c r="BD4066" s="314"/>
      <c r="BE4066" s="314"/>
      <c r="BF4066" s="314"/>
      <c r="BG4066" s="314"/>
      <c r="BH4066" s="314"/>
      <c r="BI4066" s="314"/>
      <c r="BJ4066" s="314"/>
      <c r="BK4066" s="40"/>
      <c r="BL4066" s="40"/>
      <c r="BM4066" s="40"/>
      <c r="BN4066" s="40"/>
      <c r="BO4066" s="40"/>
      <c r="BP4066" s="155"/>
      <c r="BQ4066" s="314"/>
      <c r="BR4066" s="314"/>
      <c r="BS4066" s="314"/>
      <c r="BT4066" s="314"/>
      <c r="BU4066" s="314"/>
      <c r="BV4066" s="314"/>
      <c r="BW4066" s="314"/>
      <c r="BX4066" s="155"/>
    </row>
    <row r="4067" spans="1:76" ht="15.75" customHeight="1">
      <c r="A4067" s="25"/>
      <c r="B4067" s="39"/>
      <c r="C4067" s="155"/>
      <c r="D4067" s="155"/>
      <c r="E4067" s="40"/>
      <c r="F4067" s="314"/>
      <c r="H4067" s="315"/>
      <c r="I4067" s="315"/>
      <c r="BA4067" s="30"/>
      <c r="BB4067" s="155"/>
      <c r="BC4067" s="314"/>
      <c r="BD4067" s="314"/>
      <c r="BE4067" s="314"/>
      <c r="BF4067" s="314"/>
      <c r="BG4067" s="314"/>
      <c r="BH4067" s="314"/>
      <c r="BI4067" s="314"/>
      <c r="BJ4067" s="314"/>
      <c r="BK4067" s="40"/>
      <c r="BL4067" s="40"/>
      <c r="BM4067" s="40"/>
      <c r="BN4067" s="40"/>
      <c r="BO4067" s="40"/>
      <c r="BP4067" s="155"/>
      <c r="BQ4067" s="314"/>
      <c r="BR4067" s="314"/>
      <c r="BS4067" s="314"/>
      <c r="BT4067" s="314"/>
      <c r="BU4067" s="314"/>
      <c r="BV4067" s="314"/>
      <c r="BW4067" s="314"/>
      <c r="BX4067" s="155"/>
    </row>
    <row r="4068" spans="1:76" ht="15.75" customHeight="1">
      <c r="A4068" s="25"/>
      <c r="B4068" s="39"/>
      <c r="C4068" s="155"/>
      <c r="D4068" s="155"/>
      <c r="E4068" s="40"/>
      <c r="F4068" s="314"/>
      <c r="H4068" s="315"/>
      <c r="I4068" s="315"/>
      <c r="BA4068" s="30"/>
      <c r="BB4068" s="155"/>
      <c r="BC4068" s="314"/>
      <c r="BD4068" s="314"/>
      <c r="BE4068" s="314"/>
      <c r="BF4068" s="314"/>
      <c r="BG4068" s="314"/>
      <c r="BH4068" s="314"/>
      <c r="BI4068" s="314"/>
      <c r="BJ4068" s="314"/>
      <c r="BK4068" s="40"/>
      <c r="BL4068" s="40"/>
      <c r="BM4068" s="40"/>
      <c r="BN4068" s="40"/>
      <c r="BO4068" s="40"/>
      <c r="BP4068" s="155"/>
      <c r="BQ4068" s="314"/>
      <c r="BR4068" s="314"/>
      <c r="BS4068" s="314"/>
      <c r="BT4068" s="314"/>
      <c r="BU4068" s="314"/>
      <c r="BV4068" s="314"/>
      <c r="BW4068" s="314"/>
      <c r="BX4068" s="155"/>
    </row>
    <row r="4069" spans="1:76" ht="15.75" customHeight="1">
      <c r="A4069" s="25"/>
      <c r="B4069" s="39"/>
      <c r="C4069" s="155"/>
      <c r="D4069" s="155"/>
      <c r="E4069" s="40"/>
      <c r="F4069" s="314"/>
      <c r="H4069" s="315"/>
      <c r="I4069" s="315"/>
      <c r="BA4069" s="30"/>
      <c r="BB4069" s="155"/>
      <c r="BC4069" s="314"/>
      <c r="BD4069" s="314"/>
      <c r="BE4069" s="314"/>
      <c r="BF4069" s="314"/>
      <c r="BG4069" s="314"/>
      <c r="BH4069" s="314"/>
      <c r="BI4069" s="314"/>
      <c r="BJ4069" s="314"/>
      <c r="BK4069" s="40"/>
      <c r="BL4069" s="40"/>
      <c r="BM4069" s="40"/>
      <c r="BN4069" s="40"/>
      <c r="BO4069" s="40"/>
      <c r="BP4069" s="155"/>
      <c r="BQ4069" s="314"/>
      <c r="BR4069" s="314"/>
      <c r="BS4069" s="314"/>
      <c r="BT4069" s="314"/>
      <c r="BU4069" s="314"/>
      <c r="BV4069" s="314"/>
      <c r="BW4069" s="314"/>
      <c r="BX4069" s="155"/>
    </row>
    <row r="4070" spans="1:76" ht="15.75" customHeight="1">
      <c r="A4070" s="25"/>
      <c r="B4070" s="39"/>
      <c r="C4070" s="155"/>
      <c r="D4070" s="155"/>
      <c r="E4070" s="40"/>
      <c r="F4070" s="314"/>
      <c r="H4070" s="315"/>
      <c r="I4070" s="315"/>
      <c r="BA4070" s="30"/>
      <c r="BB4070" s="155"/>
      <c r="BC4070" s="314"/>
      <c r="BD4070" s="314"/>
      <c r="BE4070" s="314"/>
      <c r="BF4070" s="314"/>
      <c r="BG4070" s="314"/>
      <c r="BH4070" s="314"/>
      <c r="BI4070" s="314"/>
      <c r="BJ4070" s="314"/>
      <c r="BK4070" s="40"/>
      <c r="BL4070" s="40"/>
      <c r="BM4070" s="40"/>
      <c r="BN4070" s="40"/>
      <c r="BO4070" s="40"/>
      <c r="BP4070" s="155"/>
      <c r="BQ4070" s="314"/>
      <c r="BR4070" s="314"/>
      <c r="BS4070" s="314"/>
      <c r="BT4070" s="314"/>
      <c r="BU4070" s="314"/>
      <c r="BV4070" s="314"/>
      <c r="BW4070" s="314"/>
      <c r="BX4070" s="155"/>
    </row>
    <row r="4071" spans="1:76" ht="15.75" customHeight="1">
      <c r="A4071" s="25"/>
      <c r="B4071" s="39"/>
      <c r="C4071" s="155"/>
      <c r="D4071" s="155"/>
      <c r="E4071" s="40"/>
      <c r="F4071" s="314"/>
      <c r="H4071" s="315"/>
      <c r="I4071" s="315"/>
      <c r="BA4071" s="30"/>
      <c r="BB4071" s="155"/>
      <c r="BC4071" s="314"/>
      <c r="BD4071" s="314"/>
      <c r="BE4071" s="314"/>
      <c r="BF4071" s="314"/>
      <c r="BG4071" s="314"/>
      <c r="BH4071" s="314"/>
      <c r="BI4071" s="314"/>
      <c r="BJ4071" s="314"/>
      <c r="BK4071" s="40"/>
      <c r="BL4071" s="40"/>
      <c r="BM4071" s="40"/>
      <c r="BN4071" s="40"/>
      <c r="BO4071" s="40"/>
      <c r="BP4071" s="155"/>
      <c r="BQ4071" s="314"/>
      <c r="BR4071" s="314"/>
      <c r="BS4071" s="314"/>
      <c r="BT4071" s="314"/>
      <c r="BU4071" s="314"/>
      <c r="BV4071" s="314"/>
      <c r="BW4071" s="314"/>
      <c r="BX4071" s="155"/>
    </row>
    <row r="4072" spans="1:76" ht="15.75" customHeight="1">
      <c r="A4072" s="25"/>
      <c r="B4072" s="39"/>
      <c r="C4072" s="155"/>
      <c r="D4072" s="155"/>
      <c r="E4072" s="40"/>
      <c r="F4072" s="314"/>
      <c r="H4072" s="315"/>
      <c r="I4072" s="315"/>
      <c r="BA4072" s="30"/>
      <c r="BB4072" s="155"/>
      <c r="BC4072" s="314"/>
      <c r="BD4072" s="314"/>
      <c r="BE4072" s="314"/>
      <c r="BF4072" s="314"/>
      <c r="BG4072" s="314"/>
      <c r="BH4072" s="314"/>
      <c r="BI4072" s="314"/>
      <c r="BJ4072" s="314"/>
      <c r="BK4072" s="40"/>
      <c r="BL4072" s="40"/>
      <c r="BM4072" s="40"/>
      <c r="BN4072" s="40"/>
      <c r="BO4072" s="40"/>
      <c r="BP4072" s="155"/>
      <c r="BQ4072" s="314"/>
      <c r="BR4072" s="314"/>
      <c r="BS4072" s="314"/>
      <c r="BT4072" s="314"/>
      <c r="BU4072" s="314"/>
      <c r="BV4072" s="314"/>
      <c r="BW4072" s="314"/>
      <c r="BX4072" s="155"/>
    </row>
    <row r="4073" spans="1:76" ht="15.75" customHeight="1">
      <c r="A4073" s="25"/>
      <c r="B4073" s="39"/>
      <c r="C4073" s="155"/>
      <c r="D4073" s="155"/>
      <c r="E4073" s="40"/>
      <c r="F4073" s="314"/>
      <c r="H4073" s="315"/>
      <c r="I4073" s="315"/>
      <c r="BA4073" s="30"/>
      <c r="BB4073" s="155"/>
      <c r="BC4073" s="314"/>
      <c r="BD4073" s="314"/>
      <c r="BE4073" s="314"/>
      <c r="BF4073" s="314"/>
      <c r="BG4073" s="314"/>
      <c r="BH4073" s="314"/>
      <c r="BI4073" s="314"/>
      <c r="BJ4073" s="314"/>
      <c r="BK4073" s="40"/>
      <c r="BL4073" s="40"/>
      <c r="BM4073" s="40"/>
      <c r="BN4073" s="40"/>
      <c r="BO4073" s="40"/>
      <c r="BP4073" s="155"/>
      <c r="BQ4073" s="314"/>
      <c r="BR4073" s="314"/>
      <c r="BS4073" s="314"/>
      <c r="BT4073" s="314"/>
      <c r="BU4073" s="314"/>
      <c r="BV4073" s="314"/>
      <c r="BW4073" s="314"/>
      <c r="BX4073" s="155"/>
    </row>
    <row r="4074" spans="1:76" ht="15.75" customHeight="1">
      <c r="A4074" s="25"/>
      <c r="B4074" s="39"/>
      <c r="C4074" s="155"/>
      <c r="D4074" s="155"/>
      <c r="E4074" s="40"/>
      <c r="F4074" s="314"/>
      <c r="H4074" s="315"/>
      <c r="I4074" s="315"/>
      <c r="BA4074" s="30"/>
      <c r="BB4074" s="155"/>
      <c r="BC4074" s="314"/>
      <c r="BD4074" s="314"/>
      <c r="BE4074" s="314"/>
      <c r="BF4074" s="314"/>
      <c r="BG4074" s="314"/>
      <c r="BH4074" s="314"/>
      <c r="BI4074" s="314"/>
      <c r="BJ4074" s="314"/>
      <c r="BK4074" s="40"/>
      <c r="BL4074" s="40"/>
      <c r="BM4074" s="40"/>
      <c r="BN4074" s="40"/>
      <c r="BO4074" s="40"/>
      <c r="BP4074" s="155"/>
      <c r="BQ4074" s="314"/>
      <c r="BR4074" s="314"/>
      <c r="BS4074" s="314"/>
      <c r="BT4074" s="314"/>
      <c r="BU4074" s="314"/>
      <c r="BV4074" s="314"/>
      <c r="BW4074" s="314"/>
      <c r="BX4074" s="155"/>
    </row>
    <row r="4075" spans="1:76" ht="15.75" customHeight="1">
      <c r="A4075" s="25"/>
      <c r="B4075" s="39"/>
      <c r="C4075" s="155"/>
      <c r="D4075" s="155"/>
      <c r="E4075" s="40"/>
      <c r="F4075" s="314"/>
      <c r="H4075" s="315"/>
      <c r="I4075" s="315"/>
      <c r="BA4075" s="30"/>
      <c r="BB4075" s="155"/>
      <c r="BC4075" s="314"/>
      <c r="BD4075" s="314"/>
      <c r="BE4075" s="314"/>
      <c r="BF4075" s="314"/>
      <c r="BG4075" s="314"/>
      <c r="BH4075" s="314"/>
      <c r="BI4075" s="314"/>
      <c r="BJ4075" s="314"/>
      <c r="BK4075" s="40"/>
      <c r="BL4075" s="40"/>
      <c r="BM4075" s="40"/>
      <c r="BN4075" s="40"/>
      <c r="BO4075" s="40"/>
      <c r="BP4075" s="155"/>
      <c r="BQ4075" s="314"/>
      <c r="BR4075" s="314"/>
      <c r="BS4075" s="314"/>
      <c r="BT4075" s="314"/>
      <c r="BU4075" s="314"/>
      <c r="BV4075" s="314"/>
      <c r="BW4075" s="314"/>
      <c r="BX4075" s="155"/>
    </row>
    <row r="4076" spans="1:76" ht="15.75" customHeight="1">
      <c r="A4076" s="25"/>
      <c r="B4076" s="39"/>
      <c r="C4076" s="155"/>
      <c r="D4076" s="155"/>
      <c r="E4076" s="40"/>
      <c r="F4076" s="314"/>
      <c r="H4076" s="315"/>
      <c r="I4076" s="315"/>
      <c r="BA4076" s="30"/>
      <c r="BB4076" s="155"/>
      <c r="BC4076" s="314"/>
      <c r="BD4076" s="314"/>
      <c r="BE4076" s="314"/>
      <c r="BF4076" s="314"/>
      <c r="BG4076" s="314"/>
      <c r="BH4076" s="314"/>
      <c r="BI4076" s="314"/>
      <c r="BJ4076" s="314"/>
      <c r="BK4076" s="40"/>
      <c r="BL4076" s="40"/>
      <c r="BM4076" s="40"/>
      <c r="BN4076" s="40"/>
      <c r="BO4076" s="40"/>
      <c r="BP4076" s="155"/>
      <c r="BQ4076" s="314"/>
      <c r="BR4076" s="314"/>
      <c r="BS4076" s="314"/>
      <c r="BT4076" s="314"/>
      <c r="BU4076" s="314"/>
      <c r="BV4076" s="314"/>
      <c r="BW4076" s="314"/>
      <c r="BX4076" s="155"/>
    </row>
    <row r="4077" spans="1:76" ht="15.75" customHeight="1">
      <c r="A4077" s="25"/>
      <c r="B4077" s="39"/>
      <c r="C4077" s="155"/>
      <c r="D4077" s="155"/>
      <c r="E4077" s="40"/>
      <c r="F4077" s="314"/>
      <c r="H4077" s="315"/>
      <c r="I4077" s="315"/>
      <c r="BA4077" s="30"/>
      <c r="BB4077" s="155"/>
      <c r="BC4077" s="314"/>
      <c r="BD4077" s="314"/>
      <c r="BE4077" s="314"/>
      <c r="BF4077" s="314"/>
      <c r="BG4077" s="314"/>
      <c r="BH4077" s="314"/>
      <c r="BI4077" s="314"/>
      <c r="BJ4077" s="314"/>
      <c r="BK4077" s="40"/>
      <c r="BL4077" s="40"/>
      <c r="BM4077" s="40"/>
      <c r="BN4077" s="40"/>
      <c r="BO4077" s="40"/>
      <c r="BP4077" s="155"/>
      <c r="BQ4077" s="314"/>
      <c r="BR4077" s="314"/>
      <c r="BS4077" s="314"/>
      <c r="BT4077" s="314"/>
      <c r="BU4077" s="314"/>
      <c r="BV4077" s="314"/>
      <c r="BW4077" s="314"/>
      <c r="BX4077" s="155"/>
    </row>
    <row r="4078" spans="1:76" ht="15.75" customHeight="1">
      <c r="A4078" s="25"/>
      <c r="B4078" s="39"/>
      <c r="C4078" s="155"/>
      <c r="D4078" s="155"/>
      <c r="E4078" s="40"/>
      <c r="F4078" s="314"/>
      <c r="H4078" s="315"/>
      <c r="I4078" s="315"/>
      <c r="BA4078" s="30"/>
      <c r="BB4078" s="155"/>
      <c r="BC4078" s="314"/>
      <c r="BD4078" s="314"/>
      <c r="BE4078" s="314"/>
      <c r="BF4078" s="314"/>
      <c r="BG4078" s="314"/>
      <c r="BH4078" s="314"/>
      <c r="BI4078" s="314"/>
      <c r="BJ4078" s="314"/>
      <c r="BK4078" s="40"/>
      <c r="BL4078" s="40"/>
      <c r="BM4078" s="40"/>
      <c r="BN4078" s="40"/>
      <c r="BO4078" s="40"/>
      <c r="BP4078" s="155"/>
      <c r="BQ4078" s="314"/>
      <c r="BR4078" s="314"/>
      <c r="BS4078" s="314"/>
      <c r="BT4078" s="314"/>
      <c r="BU4078" s="314"/>
      <c r="BV4078" s="314"/>
      <c r="BW4078" s="314"/>
      <c r="BX4078" s="155"/>
    </row>
    <row r="4079" spans="1:76" ht="15.75" customHeight="1">
      <c r="A4079" s="25"/>
      <c r="B4079" s="39"/>
      <c r="C4079" s="155"/>
      <c r="D4079" s="155"/>
      <c r="E4079" s="40"/>
      <c r="F4079" s="314"/>
      <c r="H4079" s="315"/>
      <c r="I4079" s="315"/>
      <c r="BA4079" s="30"/>
      <c r="BB4079" s="155"/>
      <c r="BC4079" s="314"/>
      <c r="BD4079" s="314"/>
      <c r="BE4079" s="314"/>
      <c r="BF4079" s="314"/>
      <c r="BG4079" s="314"/>
      <c r="BH4079" s="314"/>
      <c r="BI4079" s="314"/>
      <c r="BJ4079" s="314"/>
      <c r="BK4079" s="40"/>
      <c r="BL4079" s="40"/>
      <c r="BM4079" s="40"/>
      <c r="BN4079" s="40"/>
      <c r="BO4079" s="40"/>
      <c r="BP4079" s="155"/>
      <c r="BQ4079" s="314"/>
      <c r="BR4079" s="314"/>
      <c r="BS4079" s="314"/>
      <c r="BT4079" s="314"/>
      <c r="BU4079" s="314"/>
      <c r="BV4079" s="314"/>
      <c r="BW4079" s="314"/>
      <c r="BX4079" s="155"/>
    </row>
    <row r="4080" spans="1:76" ht="15.75" customHeight="1">
      <c r="A4080" s="25"/>
      <c r="B4080" s="39"/>
      <c r="C4080" s="155"/>
      <c r="D4080" s="155"/>
      <c r="E4080" s="40"/>
      <c r="F4080" s="314"/>
      <c r="H4080" s="315"/>
      <c r="I4080" s="315"/>
      <c r="BA4080" s="30"/>
      <c r="BB4080" s="155"/>
      <c r="BC4080" s="314"/>
      <c r="BD4080" s="314"/>
      <c r="BE4080" s="314"/>
      <c r="BF4080" s="314"/>
      <c r="BG4080" s="314"/>
      <c r="BH4080" s="314"/>
      <c r="BI4080" s="314"/>
      <c r="BJ4080" s="314"/>
      <c r="BK4080" s="40"/>
      <c r="BL4080" s="40"/>
      <c r="BM4080" s="40"/>
      <c r="BN4080" s="40"/>
      <c r="BO4080" s="40"/>
      <c r="BP4080" s="155"/>
      <c r="BQ4080" s="314"/>
      <c r="BR4080" s="314"/>
      <c r="BS4080" s="314"/>
      <c r="BT4080" s="314"/>
      <c r="BU4080" s="314"/>
      <c r="BV4080" s="314"/>
      <c r="BW4080" s="314"/>
      <c r="BX4080" s="155"/>
    </row>
    <row r="4081" spans="1:76" ht="15.75" customHeight="1">
      <c r="A4081" s="25"/>
      <c r="B4081" s="39"/>
      <c r="C4081" s="155"/>
      <c r="D4081" s="155"/>
      <c r="E4081" s="40"/>
      <c r="F4081" s="314"/>
      <c r="H4081" s="315"/>
      <c r="I4081" s="315"/>
      <c r="BA4081" s="30"/>
      <c r="BB4081" s="155"/>
      <c r="BC4081" s="314"/>
      <c r="BD4081" s="314"/>
      <c r="BE4081" s="314"/>
      <c r="BF4081" s="314"/>
      <c r="BG4081" s="314"/>
      <c r="BH4081" s="314"/>
      <c r="BI4081" s="314"/>
      <c r="BJ4081" s="314"/>
      <c r="BK4081" s="40"/>
      <c r="BL4081" s="40"/>
      <c r="BM4081" s="40"/>
      <c r="BN4081" s="40"/>
      <c r="BO4081" s="40"/>
      <c r="BP4081" s="155"/>
      <c r="BQ4081" s="314"/>
      <c r="BR4081" s="314"/>
      <c r="BS4081" s="314"/>
      <c r="BT4081" s="314"/>
      <c r="BU4081" s="314"/>
      <c r="BV4081" s="314"/>
      <c r="BW4081" s="314"/>
      <c r="BX4081" s="155"/>
    </row>
    <row r="4082" spans="1:76" ht="15.75" customHeight="1">
      <c r="A4082" s="25"/>
      <c r="B4082" s="39"/>
      <c r="C4082" s="155"/>
      <c r="D4082" s="155"/>
      <c r="E4082" s="40"/>
      <c r="F4082" s="314"/>
      <c r="H4082" s="315"/>
      <c r="I4082" s="315"/>
      <c r="BA4082" s="30"/>
      <c r="BB4082" s="155"/>
      <c r="BC4082" s="322"/>
      <c r="BD4082" s="322"/>
      <c r="BE4082" s="322"/>
      <c r="BF4082" s="322"/>
      <c r="BG4082" s="322"/>
      <c r="BH4082" s="322"/>
      <c r="BI4082" s="322"/>
      <c r="BJ4082" s="322"/>
      <c r="BK4082" s="341"/>
      <c r="BL4082" s="40"/>
      <c r="BM4082" s="40"/>
      <c r="BN4082" s="40"/>
      <c r="BO4082" s="40"/>
      <c r="BP4082" s="155"/>
      <c r="BQ4082" s="314"/>
      <c r="BR4082" s="314"/>
      <c r="BS4082" s="314"/>
      <c r="BT4082" s="314"/>
      <c r="BU4082" s="314"/>
      <c r="BV4082" s="314"/>
      <c r="BW4082" s="314"/>
      <c r="BX4082" s="155"/>
    </row>
    <row r="4083" spans="1:76" ht="15.75" customHeight="1">
      <c r="A4083" s="25"/>
      <c r="B4083" s="39"/>
      <c r="C4083" s="155"/>
      <c r="D4083" s="155"/>
      <c r="E4083" s="40"/>
      <c r="F4083" s="314"/>
      <c r="H4083" s="315"/>
      <c r="I4083" s="315"/>
      <c r="BA4083" s="30"/>
      <c r="BB4083" s="155"/>
      <c r="BC4083" s="314"/>
      <c r="BD4083" s="314"/>
      <c r="BE4083" s="314"/>
      <c r="BF4083" s="314"/>
      <c r="BG4083" s="314"/>
      <c r="BH4083" s="314"/>
      <c r="BI4083" s="314"/>
      <c r="BJ4083" s="314"/>
      <c r="BK4083" s="40"/>
      <c r="BL4083" s="40"/>
      <c r="BM4083" s="40"/>
      <c r="BN4083" s="40"/>
      <c r="BO4083" s="40"/>
      <c r="BP4083" s="155"/>
      <c r="BQ4083" s="314"/>
      <c r="BR4083" s="314"/>
      <c r="BS4083" s="314"/>
      <c r="BT4083" s="314"/>
      <c r="BU4083" s="314"/>
      <c r="BV4083" s="314"/>
      <c r="BW4083" s="314"/>
      <c r="BX4083" s="155"/>
    </row>
    <row r="4084" spans="1:76" ht="15.75" customHeight="1">
      <c r="A4084" s="25"/>
      <c r="B4084" s="39"/>
      <c r="C4084" s="155"/>
      <c r="D4084" s="155"/>
      <c r="E4084" s="40"/>
      <c r="F4084" s="314"/>
      <c r="H4084" s="315"/>
      <c r="I4084" s="315"/>
      <c r="BA4084" s="30"/>
      <c r="BB4084" s="155"/>
      <c r="BC4084" s="314"/>
      <c r="BD4084" s="314"/>
      <c r="BE4084" s="314"/>
      <c r="BF4084" s="314"/>
      <c r="BG4084" s="314"/>
      <c r="BH4084" s="314"/>
      <c r="BI4084" s="314"/>
      <c r="BJ4084" s="314"/>
      <c r="BK4084" s="40"/>
      <c r="BL4084" s="40"/>
      <c r="BM4084" s="40"/>
      <c r="BN4084" s="40"/>
      <c r="BO4084" s="40"/>
      <c r="BP4084" s="155"/>
      <c r="BQ4084" s="314"/>
      <c r="BR4084" s="314"/>
      <c r="BS4084" s="314"/>
      <c r="BT4084" s="314"/>
      <c r="BU4084" s="314"/>
      <c r="BV4084" s="314"/>
      <c r="BW4084" s="314"/>
      <c r="BX4084" s="155"/>
    </row>
    <row r="4085" spans="1:76" ht="15.75" customHeight="1">
      <c r="A4085" s="25"/>
      <c r="B4085" s="39"/>
      <c r="C4085" s="155"/>
      <c r="D4085" s="155"/>
      <c r="E4085" s="40"/>
      <c r="F4085" s="314"/>
      <c r="H4085" s="315"/>
      <c r="I4085" s="315"/>
      <c r="BA4085" s="30"/>
      <c r="BB4085" s="155"/>
      <c r="BC4085" s="314"/>
      <c r="BD4085" s="314"/>
      <c r="BE4085" s="314"/>
      <c r="BF4085" s="314"/>
      <c r="BG4085" s="314"/>
      <c r="BH4085" s="314"/>
      <c r="BI4085" s="314"/>
      <c r="BJ4085" s="314"/>
      <c r="BK4085" s="40"/>
      <c r="BL4085" s="40"/>
      <c r="BM4085" s="40"/>
      <c r="BN4085" s="40"/>
      <c r="BO4085" s="40"/>
      <c r="BP4085" s="155"/>
      <c r="BQ4085" s="314"/>
      <c r="BR4085" s="314"/>
      <c r="BS4085" s="314"/>
      <c r="BT4085" s="314"/>
      <c r="BU4085" s="314"/>
      <c r="BV4085" s="314"/>
      <c r="BW4085" s="314"/>
      <c r="BX4085" s="155"/>
    </row>
    <row r="4086" spans="1:76" ht="15.75" customHeight="1">
      <c r="A4086" s="25"/>
      <c r="B4086" s="39"/>
      <c r="C4086" s="155"/>
      <c r="D4086" s="155"/>
      <c r="E4086" s="40"/>
      <c r="F4086" s="314"/>
      <c r="H4086" s="315"/>
      <c r="I4086" s="315"/>
      <c r="BA4086" s="30"/>
      <c r="BB4086" s="155"/>
      <c r="BC4086" s="314"/>
      <c r="BD4086" s="314"/>
      <c r="BE4086" s="314"/>
      <c r="BF4086" s="314"/>
      <c r="BG4086" s="314"/>
      <c r="BH4086" s="314"/>
      <c r="BI4086" s="314"/>
      <c r="BJ4086" s="314"/>
      <c r="BK4086" s="40"/>
      <c r="BL4086" s="40"/>
      <c r="BM4086" s="40"/>
      <c r="BN4086" s="40"/>
      <c r="BO4086" s="40"/>
      <c r="BP4086" s="155"/>
      <c r="BQ4086" s="314"/>
      <c r="BR4086" s="314"/>
      <c r="BS4086" s="314"/>
      <c r="BT4086" s="314"/>
      <c r="BU4086" s="314"/>
      <c r="BV4086" s="314"/>
      <c r="BW4086" s="314"/>
      <c r="BX4086" s="155"/>
    </row>
    <row r="4087" spans="1:76" ht="15.75" customHeight="1">
      <c r="A4087" s="25"/>
      <c r="B4087" s="39"/>
      <c r="C4087" s="155"/>
      <c r="D4087" s="155"/>
      <c r="E4087" s="40"/>
      <c r="F4087" s="314"/>
      <c r="H4087" s="315"/>
      <c r="I4087" s="315"/>
      <c r="BA4087" s="30"/>
      <c r="BB4087" s="155"/>
      <c r="BC4087" s="314"/>
      <c r="BD4087" s="314"/>
      <c r="BE4087" s="314"/>
      <c r="BF4087" s="314"/>
      <c r="BG4087" s="314"/>
      <c r="BH4087" s="314"/>
      <c r="BI4087" s="314"/>
      <c r="BJ4087" s="314"/>
      <c r="BK4087" s="40"/>
      <c r="BL4087" s="40"/>
      <c r="BM4087" s="40"/>
      <c r="BN4087" s="40"/>
      <c r="BO4087" s="40"/>
      <c r="BP4087" s="155"/>
      <c r="BQ4087" s="314"/>
      <c r="BR4087" s="314"/>
      <c r="BS4087" s="314"/>
      <c r="BT4087" s="314"/>
      <c r="BU4087" s="314"/>
      <c r="BV4087" s="314"/>
      <c r="BW4087" s="314"/>
      <c r="BX4087" s="155"/>
    </row>
    <row r="4088" spans="1:76" ht="15.75" customHeight="1">
      <c r="A4088" s="25"/>
      <c r="B4088" s="39"/>
      <c r="C4088" s="155"/>
      <c r="D4088" s="155"/>
      <c r="E4088" s="40"/>
      <c r="F4088" s="314"/>
      <c r="H4088" s="315"/>
      <c r="I4088" s="315"/>
      <c r="BA4088" s="30"/>
      <c r="BB4088" s="155"/>
      <c r="BC4088" s="314"/>
      <c r="BD4088" s="314"/>
      <c r="BE4088" s="314"/>
      <c r="BF4088" s="314"/>
      <c r="BG4088" s="314"/>
      <c r="BH4088" s="314"/>
      <c r="BI4088" s="314"/>
      <c r="BJ4088" s="314"/>
      <c r="BK4088" s="40"/>
      <c r="BL4088" s="40"/>
      <c r="BM4088" s="40"/>
      <c r="BN4088" s="40"/>
      <c r="BO4088" s="40"/>
      <c r="BP4088" s="155"/>
      <c r="BQ4088" s="314"/>
      <c r="BR4088" s="314"/>
      <c r="BS4088" s="314"/>
      <c r="BT4088" s="314"/>
      <c r="BU4088" s="314"/>
      <c r="BV4088" s="314"/>
      <c r="BW4088" s="314"/>
      <c r="BX4088" s="155"/>
    </row>
    <row r="4089" spans="1:76" ht="15.75" customHeight="1">
      <c r="A4089" s="25"/>
      <c r="B4089" s="39"/>
      <c r="C4089" s="155"/>
      <c r="D4089" s="155"/>
      <c r="E4089" s="40"/>
      <c r="F4089" s="314"/>
      <c r="H4089" s="315"/>
      <c r="I4089" s="315"/>
      <c r="BA4089" s="30"/>
      <c r="BB4089" s="155"/>
      <c r="BC4089" s="314"/>
      <c r="BD4089" s="314"/>
      <c r="BE4089" s="314"/>
      <c r="BF4089" s="314"/>
      <c r="BG4089" s="314"/>
      <c r="BH4089" s="314"/>
      <c r="BI4089" s="314"/>
      <c r="BJ4089" s="314"/>
      <c r="BK4089" s="40"/>
      <c r="BL4089" s="40"/>
      <c r="BM4089" s="40"/>
      <c r="BN4089" s="40"/>
      <c r="BO4089" s="40"/>
      <c r="BP4089" s="155"/>
      <c r="BQ4089" s="314"/>
      <c r="BR4089" s="314"/>
      <c r="BS4089" s="314"/>
      <c r="BT4089" s="314"/>
      <c r="BU4089" s="314"/>
      <c r="BV4089" s="314"/>
      <c r="BW4089" s="314"/>
      <c r="BX4089" s="155"/>
    </row>
    <row r="4090" spans="1:76" ht="15.75" customHeight="1">
      <c r="A4090" s="25"/>
      <c r="B4090" s="39"/>
      <c r="C4090" s="155"/>
      <c r="D4090" s="155"/>
      <c r="E4090" s="40"/>
      <c r="F4090" s="314"/>
      <c r="H4090" s="315"/>
      <c r="I4090" s="315"/>
      <c r="BA4090" s="30"/>
      <c r="BB4090" s="155"/>
      <c r="BC4090" s="314"/>
      <c r="BD4090" s="314"/>
      <c r="BE4090" s="314"/>
      <c r="BF4090" s="314"/>
      <c r="BG4090" s="314"/>
      <c r="BH4090" s="314"/>
      <c r="BI4090" s="314"/>
      <c r="BJ4090" s="314"/>
      <c r="BK4090" s="40"/>
      <c r="BL4090" s="40"/>
      <c r="BM4090" s="40"/>
      <c r="BN4090" s="40"/>
      <c r="BO4090" s="40"/>
      <c r="BP4090" s="155"/>
      <c r="BQ4090" s="314"/>
      <c r="BR4090" s="314"/>
      <c r="BS4090" s="314"/>
      <c r="BT4090" s="314"/>
      <c r="BU4090" s="314"/>
      <c r="BV4090" s="314"/>
      <c r="BW4090" s="314"/>
      <c r="BX4090" s="155"/>
    </row>
    <row r="4091" spans="1:76" ht="15.75" customHeight="1">
      <c r="A4091" s="25"/>
      <c r="B4091" s="39"/>
      <c r="C4091" s="155"/>
      <c r="D4091" s="155"/>
      <c r="E4091" s="40"/>
      <c r="F4091" s="314"/>
      <c r="H4091" s="315"/>
      <c r="I4091" s="315"/>
      <c r="BA4091" s="30"/>
      <c r="BB4091" s="155"/>
      <c r="BC4091" s="314"/>
      <c r="BD4091" s="314"/>
      <c r="BE4091" s="314"/>
      <c r="BF4091" s="314"/>
      <c r="BG4091" s="314"/>
      <c r="BH4091" s="314"/>
      <c r="BI4091" s="314"/>
      <c r="BJ4091" s="314"/>
      <c r="BK4091" s="40"/>
      <c r="BL4091" s="40"/>
      <c r="BM4091" s="40"/>
      <c r="BN4091" s="40"/>
      <c r="BO4091" s="40"/>
      <c r="BP4091" s="155"/>
      <c r="BQ4091" s="314"/>
      <c r="BR4091" s="314"/>
      <c r="BS4091" s="314"/>
      <c r="BT4091" s="314"/>
      <c r="BU4091" s="314"/>
      <c r="BV4091" s="314"/>
      <c r="BW4091" s="314"/>
      <c r="BX4091" s="155"/>
    </row>
    <row r="4092" spans="1:76" ht="15.75" customHeight="1">
      <c r="A4092" s="25"/>
      <c r="B4092" s="39"/>
      <c r="C4092" s="155"/>
      <c r="D4092" s="155"/>
      <c r="E4092" s="40"/>
      <c r="F4092" s="314"/>
      <c r="H4092" s="315"/>
      <c r="I4092" s="315"/>
      <c r="BA4092" s="30"/>
      <c r="BB4092" s="155"/>
      <c r="BC4092" s="314"/>
      <c r="BD4092" s="314"/>
      <c r="BE4092" s="314"/>
      <c r="BF4092" s="314"/>
      <c r="BG4092" s="314"/>
      <c r="BH4092" s="314"/>
      <c r="BI4092" s="314"/>
      <c r="BJ4092" s="314"/>
      <c r="BK4092" s="40"/>
      <c r="BL4092" s="40"/>
      <c r="BM4092" s="40"/>
      <c r="BN4092" s="40"/>
      <c r="BO4092" s="40"/>
      <c r="BP4092" s="155"/>
      <c r="BQ4092" s="314"/>
      <c r="BR4092" s="314"/>
      <c r="BS4092" s="314"/>
      <c r="BT4092" s="314"/>
      <c r="BU4092" s="314"/>
      <c r="BV4092" s="314"/>
      <c r="BW4092" s="314"/>
      <c r="BX4092" s="155"/>
    </row>
    <row r="4093" spans="1:76" ht="15.75" customHeight="1">
      <c r="A4093" s="25"/>
      <c r="B4093" s="39"/>
      <c r="C4093" s="155"/>
      <c r="D4093" s="155"/>
      <c r="E4093" s="40"/>
      <c r="F4093" s="314"/>
      <c r="H4093" s="315"/>
      <c r="I4093" s="315"/>
      <c r="BA4093" s="30"/>
      <c r="BB4093" s="155"/>
      <c r="BC4093" s="314"/>
      <c r="BD4093" s="314"/>
      <c r="BE4093" s="314"/>
      <c r="BF4093" s="314"/>
      <c r="BG4093" s="314"/>
      <c r="BH4093" s="314"/>
      <c r="BI4093" s="314"/>
      <c r="BJ4093" s="314"/>
      <c r="BK4093" s="40"/>
      <c r="BL4093" s="40"/>
      <c r="BM4093" s="40"/>
      <c r="BN4093" s="40"/>
      <c r="BO4093" s="40"/>
      <c r="BP4093" s="155"/>
      <c r="BQ4093" s="314"/>
      <c r="BR4093" s="314"/>
      <c r="BS4093" s="314"/>
      <c r="BT4093" s="314"/>
      <c r="BU4093" s="314"/>
      <c r="BV4093" s="314"/>
      <c r="BW4093" s="314"/>
      <c r="BX4093" s="155"/>
    </row>
    <row r="4094" spans="1:76" ht="15.75" customHeight="1">
      <c r="A4094" s="25"/>
      <c r="B4094" s="39"/>
      <c r="C4094" s="155"/>
      <c r="D4094" s="155"/>
      <c r="E4094" s="40"/>
      <c r="F4094" s="314"/>
      <c r="H4094" s="315"/>
      <c r="I4094" s="315"/>
      <c r="BA4094" s="30"/>
      <c r="BB4094" s="155"/>
      <c r="BC4094" s="314"/>
      <c r="BD4094" s="314"/>
      <c r="BE4094" s="314"/>
      <c r="BF4094" s="314"/>
      <c r="BG4094" s="314"/>
      <c r="BH4094" s="314"/>
      <c r="BI4094" s="314"/>
      <c r="BJ4094" s="314"/>
      <c r="BK4094" s="40"/>
      <c r="BL4094" s="40"/>
      <c r="BM4094" s="40"/>
      <c r="BN4094" s="40"/>
      <c r="BO4094" s="40"/>
      <c r="BP4094" s="155"/>
      <c r="BQ4094" s="314"/>
      <c r="BR4094" s="314"/>
      <c r="BS4094" s="314"/>
      <c r="BT4094" s="314"/>
      <c r="BU4094" s="314"/>
      <c r="BV4094" s="314"/>
      <c r="BW4094" s="314"/>
      <c r="BX4094" s="155"/>
    </row>
    <row r="4095" spans="1:76" ht="15.75" customHeight="1">
      <c r="A4095" s="25"/>
      <c r="B4095" s="39"/>
      <c r="C4095" s="155"/>
      <c r="D4095" s="155"/>
      <c r="E4095" s="40"/>
      <c r="F4095" s="314"/>
      <c r="H4095" s="315"/>
      <c r="I4095" s="315"/>
      <c r="BA4095" s="30"/>
      <c r="BB4095" s="155"/>
      <c r="BC4095" s="314"/>
      <c r="BD4095" s="314"/>
      <c r="BE4095" s="314"/>
      <c r="BF4095" s="314"/>
      <c r="BG4095" s="314"/>
      <c r="BH4095" s="314"/>
      <c r="BI4095" s="314"/>
      <c r="BJ4095" s="314"/>
      <c r="BK4095" s="40"/>
      <c r="BL4095" s="40"/>
      <c r="BM4095" s="40"/>
      <c r="BN4095" s="40"/>
      <c r="BO4095" s="40"/>
      <c r="BP4095" s="155"/>
      <c r="BQ4095" s="314"/>
      <c r="BR4095" s="314"/>
      <c r="BS4095" s="314"/>
      <c r="BT4095" s="314"/>
      <c r="BU4095" s="314"/>
      <c r="BV4095" s="314"/>
      <c r="BW4095" s="314"/>
      <c r="BX4095" s="155"/>
    </row>
    <row r="4096" spans="1:76" ht="15.75" customHeight="1">
      <c r="A4096" s="25"/>
      <c r="B4096" s="39"/>
      <c r="C4096" s="155"/>
      <c r="D4096" s="155"/>
      <c r="E4096" s="40"/>
      <c r="F4096" s="314"/>
      <c r="H4096" s="315"/>
      <c r="I4096" s="315"/>
      <c r="BA4096" s="30"/>
      <c r="BB4096" s="155"/>
      <c r="BC4096" s="314"/>
      <c r="BD4096" s="314"/>
      <c r="BE4096" s="314"/>
      <c r="BF4096" s="314"/>
      <c r="BG4096" s="314"/>
      <c r="BH4096" s="314"/>
      <c r="BI4096" s="314"/>
      <c r="BJ4096" s="314"/>
      <c r="BK4096" s="40"/>
      <c r="BL4096" s="40"/>
      <c r="BM4096" s="40"/>
      <c r="BN4096" s="40"/>
      <c r="BO4096" s="40"/>
      <c r="BP4096" s="155"/>
      <c r="BQ4096" s="314"/>
      <c r="BR4096" s="314"/>
      <c r="BS4096" s="314"/>
      <c r="BT4096" s="314"/>
      <c r="BU4096" s="314"/>
      <c r="BV4096" s="314"/>
      <c r="BW4096" s="314"/>
      <c r="BX4096" s="155"/>
    </row>
    <row r="4097" spans="1:76" ht="15.75" customHeight="1">
      <c r="A4097" s="25"/>
      <c r="B4097" s="39"/>
      <c r="C4097" s="155"/>
      <c r="D4097" s="155"/>
      <c r="E4097" s="40"/>
      <c r="F4097" s="314"/>
      <c r="H4097" s="315"/>
      <c r="I4097" s="315"/>
      <c r="BA4097" s="30"/>
      <c r="BB4097" s="155"/>
      <c r="BC4097" s="314"/>
      <c r="BD4097" s="314"/>
      <c r="BE4097" s="314"/>
      <c r="BF4097" s="314"/>
      <c r="BG4097" s="314"/>
      <c r="BH4097" s="314"/>
      <c r="BI4097" s="314"/>
      <c r="BJ4097" s="314"/>
      <c r="BK4097" s="40"/>
      <c r="BL4097" s="40"/>
      <c r="BM4097" s="40"/>
      <c r="BN4097" s="40"/>
      <c r="BO4097" s="40"/>
      <c r="BP4097" s="155"/>
      <c r="BQ4097" s="314"/>
      <c r="BR4097" s="314"/>
      <c r="BS4097" s="314"/>
      <c r="BT4097" s="314"/>
      <c r="BU4097" s="314"/>
      <c r="BV4097" s="314"/>
      <c r="BW4097" s="314"/>
      <c r="BX4097" s="155"/>
    </row>
    <row r="4098" spans="1:76" ht="15.75" customHeight="1">
      <c r="A4098" s="25"/>
      <c r="B4098" s="39"/>
      <c r="C4098" s="155"/>
      <c r="D4098" s="155"/>
      <c r="E4098" s="40"/>
      <c r="F4098" s="314"/>
      <c r="H4098" s="315"/>
      <c r="I4098" s="315"/>
      <c r="BA4098" s="30"/>
      <c r="BB4098" s="155"/>
      <c r="BC4098" s="314"/>
      <c r="BD4098" s="314"/>
      <c r="BE4098" s="314"/>
      <c r="BF4098" s="314"/>
      <c r="BG4098" s="314"/>
      <c r="BH4098" s="314"/>
      <c r="BI4098" s="314"/>
      <c r="BJ4098" s="314"/>
      <c r="BK4098" s="40"/>
      <c r="BL4098" s="40"/>
      <c r="BM4098" s="40"/>
      <c r="BN4098" s="40"/>
      <c r="BO4098" s="40"/>
      <c r="BP4098" s="155"/>
      <c r="BQ4098" s="314"/>
      <c r="BR4098" s="314"/>
      <c r="BS4098" s="314"/>
      <c r="BT4098" s="314"/>
      <c r="BU4098" s="314"/>
      <c r="BV4098" s="314"/>
      <c r="BW4098" s="314"/>
      <c r="BX4098" s="155"/>
    </row>
    <row r="4099" spans="1:76" ht="15.75" customHeight="1">
      <c r="A4099" s="25"/>
      <c r="B4099" s="39"/>
      <c r="C4099" s="155"/>
      <c r="D4099" s="155"/>
      <c r="E4099" s="40"/>
      <c r="F4099" s="314"/>
      <c r="H4099" s="315"/>
      <c r="I4099" s="315"/>
      <c r="BA4099" s="30"/>
      <c r="BB4099" s="155"/>
      <c r="BC4099" s="314"/>
      <c r="BD4099" s="314"/>
      <c r="BE4099" s="314"/>
      <c r="BF4099" s="314"/>
      <c r="BG4099" s="314"/>
      <c r="BH4099" s="314"/>
      <c r="BI4099" s="314"/>
      <c r="BJ4099" s="314"/>
      <c r="BK4099" s="40"/>
      <c r="BL4099" s="40"/>
      <c r="BM4099" s="40"/>
      <c r="BN4099" s="40"/>
      <c r="BO4099" s="40"/>
      <c r="BP4099" s="155"/>
      <c r="BQ4099" s="314"/>
      <c r="BR4099" s="314"/>
      <c r="BS4099" s="314"/>
      <c r="BT4099" s="314"/>
      <c r="BU4099" s="314"/>
      <c r="BV4099" s="314"/>
      <c r="BW4099" s="314"/>
      <c r="BX4099" s="155"/>
    </row>
    <row r="4100" spans="1:76" ht="15.75" customHeight="1">
      <c r="A4100" s="25"/>
      <c r="B4100" s="39"/>
      <c r="C4100" s="155"/>
      <c r="D4100" s="155"/>
      <c r="E4100" s="40"/>
      <c r="F4100" s="314"/>
      <c r="H4100" s="315"/>
      <c r="I4100" s="315"/>
      <c r="BA4100" s="30"/>
      <c r="BB4100" s="155"/>
      <c r="BC4100" s="314"/>
      <c r="BD4100" s="314"/>
      <c r="BE4100" s="314"/>
      <c r="BF4100" s="314"/>
      <c r="BG4100" s="314"/>
      <c r="BH4100" s="314"/>
      <c r="BI4100" s="314"/>
      <c r="BJ4100" s="314"/>
      <c r="BK4100" s="40"/>
      <c r="BL4100" s="40"/>
      <c r="BM4100" s="40"/>
      <c r="BN4100" s="40"/>
      <c r="BO4100" s="40"/>
      <c r="BP4100" s="155"/>
      <c r="BQ4100" s="314"/>
      <c r="BR4100" s="314"/>
      <c r="BS4100" s="314"/>
      <c r="BT4100" s="314"/>
      <c r="BU4100" s="314"/>
      <c r="BV4100" s="314"/>
      <c r="BW4100" s="314"/>
      <c r="BX4100" s="155"/>
    </row>
    <row r="4101" spans="1:76" ht="15.75" customHeight="1">
      <c r="A4101" s="25"/>
      <c r="B4101" s="39"/>
      <c r="C4101" s="155"/>
      <c r="D4101" s="155"/>
      <c r="E4101" s="40"/>
      <c r="F4101" s="314"/>
      <c r="H4101" s="315"/>
      <c r="I4101" s="315"/>
      <c r="BA4101" s="30"/>
      <c r="BB4101" s="155"/>
      <c r="BC4101" s="314"/>
      <c r="BD4101" s="314"/>
      <c r="BE4101" s="314"/>
      <c r="BF4101" s="314"/>
      <c r="BG4101" s="314"/>
      <c r="BH4101" s="314"/>
      <c r="BI4101" s="314"/>
      <c r="BJ4101" s="314"/>
      <c r="BK4101" s="40"/>
      <c r="BL4101" s="40"/>
      <c r="BM4101" s="40"/>
      <c r="BN4101" s="40"/>
      <c r="BO4101" s="40"/>
      <c r="BP4101" s="155"/>
      <c r="BQ4101" s="314"/>
      <c r="BR4101" s="314"/>
      <c r="BS4101" s="314"/>
      <c r="BT4101" s="314"/>
      <c r="BU4101" s="314"/>
      <c r="BV4101" s="314"/>
      <c r="BW4101" s="314"/>
      <c r="BX4101" s="155"/>
    </row>
    <row r="4102" spans="1:76" ht="15.75" customHeight="1">
      <c r="A4102" s="25"/>
      <c r="B4102" s="39"/>
      <c r="C4102" s="155"/>
      <c r="D4102" s="155"/>
      <c r="E4102" s="40"/>
      <c r="F4102" s="314"/>
      <c r="H4102" s="315"/>
      <c r="I4102" s="315"/>
      <c r="BA4102" s="30"/>
      <c r="BB4102" s="155"/>
      <c r="BC4102" s="314"/>
      <c r="BD4102" s="314"/>
      <c r="BE4102" s="314"/>
      <c r="BF4102" s="314"/>
      <c r="BG4102" s="314"/>
      <c r="BH4102" s="314"/>
      <c r="BI4102" s="314"/>
      <c r="BJ4102" s="314"/>
      <c r="BK4102" s="40"/>
      <c r="BL4102" s="40"/>
      <c r="BM4102" s="40"/>
      <c r="BN4102" s="40"/>
      <c r="BO4102" s="40"/>
      <c r="BP4102" s="155"/>
      <c r="BQ4102" s="314"/>
      <c r="BR4102" s="314"/>
      <c r="BS4102" s="314"/>
      <c r="BT4102" s="314"/>
      <c r="BU4102" s="314"/>
      <c r="BV4102" s="314"/>
      <c r="BW4102" s="314"/>
      <c r="BX4102" s="155"/>
    </row>
    <row r="4103" spans="1:76" ht="15.75" customHeight="1">
      <c r="A4103" s="25"/>
      <c r="B4103" s="39"/>
      <c r="C4103" s="155"/>
      <c r="D4103" s="155"/>
      <c r="E4103" s="40"/>
      <c r="F4103" s="314"/>
      <c r="H4103" s="315"/>
      <c r="I4103" s="315"/>
      <c r="BA4103" s="30"/>
      <c r="BB4103" s="155"/>
      <c r="BC4103" s="314"/>
      <c r="BD4103" s="314"/>
      <c r="BE4103" s="314"/>
      <c r="BF4103" s="314"/>
      <c r="BG4103" s="314"/>
      <c r="BH4103" s="314"/>
      <c r="BI4103" s="314"/>
      <c r="BJ4103" s="314"/>
      <c r="BK4103" s="40"/>
      <c r="BL4103" s="40"/>
      <c r="BM4103" s="40"/>
      <c r="BN4103" s="40"/>
      <c r="BO4103" s="40"/>
      <c r="BP4103" s="155"/>
      <c r="BQ4103" s="314"/>
      <c r="BR4103" s="314"/>
      <c r="BS4103" s="314"/>
      <c r="BT4103" s="314"/>
      <c r="BU4103" s="314"/>
      <c r="BV4103" s="314"/>
      <c r="BW4103" s="314"/>
      <c r="BX4103" s="155"/>
    </row>
    <row r="4104" spans="1:76" ht="15.75" customHeight="1">
      <c r="A4104" s="25"/>
      <c r="B4104" s="39"/>
      <c r="C4104" s="155"/>
      <c r="D4104" s="155"/>
      <c r="E4104" s="40"/>
      <c r="F4104" s="314"/>
      <c r="H4104" s="315"/>
      <c r="I4104" s="315"/>
      <c r="BA4104" s="30"/>
      <c r="BB4104" s="155"/>
      <c r="BC4104" s="314"/>
      <c r="BD4104" s="314"/>
      <c r="BE4104" s="314"/>
      <c r="BF4104" s="314"/>
      <c r="BG4104" s="314"/>
      <c r="BH4104" s="314"/>
      <c r="BI4104" s="314"/>
      <c r="BJ4104" s="314"/>
      <c r="BK4104" s="40"/>
      <c r="BL4104" s="40"/>
      <c r="BM4104" s="40"/>
      <c r="BN4104" s="40"/>
      <c r="BO4104" s="40"/>
      <c r="BP4104" s="155"/>
      <c r="BQ4104" s="314"/>
      <c r="BR4104" s="314"/>
      <c r="BS4104" s="314"/>
      <c r="BT4104" s="314"/>
      <c r="BU4104" s="314"/>
      <c r="BV4104" s="314"/>
      <c r="BW4104" s="314"/>
      <c r="BX4104" s="155"/>
    </row>
    <row r="4105" spans="1:76" ht="15.75" customHeight="1">
      <c r="A4105" s="25"/>
      <c r="B4105" s="39"/>
      <c r="C4105" s="155"/>
      <c r="D4105" s="155"/>
      <c r="E4105" s="40"/>
      <c r="F4105" s="314"/>
      <c r="H4105" s="315"/>
      <c r="I4105" s="315"/>
      <c r="BA4105" s="30"/>
      <c r="BB4105" s="155"/>
      <c r="BC4105" s="322"/>
      <c r="BD4105" s="322"/>
      <c r="BE4105" s="322"/>
      <c r="BF4105" s="322"/>
      <c r="BG4105" s="322"/>
      <c r="BH4105" s="322"/>
      <c r="BI4105" s="322"/>
      <c r="BJ4105" s="322"/>
      <c r="BK4105" s="341"/>
      <c r="BL4105" s="40"/>
      <c r="BM4105" s="40"/>
      <c r="BN4105" s="40"/>
      <c r="BO4105" s="40"/>
      <c r="BP4105" s="155"/>
      <c r="BQ4105" s="314"/>
      <c r="BR4105" s="314"/>
      <c r="BS4105" s="314"/>
      <c r="BT4105" s="314"/>
      <c r="BU4105" s="314"/>
      <c r="BV4105" s="314"/>
      <c r="BW4105" s="314"/>
      <c r="BX4105" s="155"/>
    </row>
    <row r="4106" spans="1:76" ht="15.75" customHeight="1">
      <c r="A4106" s="25"/>
      <c r="B4106" s="39"/>
      <c r="C4106" s="155"/>
      <c r="D4106" s="155"/>
      <c r="E4106" s="40"/>
      <c r="F4106" s="314"/>
      <c r="H4106" s="315"/>
      <c r="I4106" s="315"/>
      <c r="BA4106" s="30"/>
      <c r="BB4106" s="155"/>
      <c r="BC4106" s="314"/>
      <c r="BD4106" s="314"/>
      <c r="BE4106" s="314"/>
      <c r="BF4106" s="314"/>
      <c r="BG4106" s="314"/>
      <c r="BH4106" s="314"/>
      <c r="BI4106" s="314"/>
      <c r="BJ4106" s="314"/>
      <c r="BK4106" s="40"/>
      <c r="BL4106" s="40"/>
      <c r="BM4106" s="40"/>
      <c r="BN4106" s="40"/>
      <c r="BO4106" s="40"/>
      <c r="BP4106" s="155"/>
      <c r="BQ4106" s="314"/>
      <c r="BR4106" s="314"/>
      <c r="BS4106" s="314"/>
      <c r="BT4106" s="314"/>
      <c r="BU4106" s="314"/>
      <c r="BV4106" s="314"/>
      <c r="BW4106" s="314"/>
      <c r="BX4106" s="155"/>
    </row>
    <row r="4107" spans="1:76" ht="15.75" customHeight="1">
      <c r="A4107" s="25"/>
      <c r="B4107" s="39"/>
      <c r="C4107" s="155"/>
      <c r="D4107" s="155"/>
      <c r="E4107" s="40"/>
      <c r="F4107" s="314"/>
      <c r="H4107" s="315"/>
      <c r="I4107" s="315"/>
      <c r="BA4107" s="30"/>
      <c r="BB4107" s="155"/>
      <c r="BC4107" s="314"/>
      <c r="BD4107" s="314"/>
      <c r="BE4107" s="314"/>
      <c r="BF4107" s="314"/>
      <c r="BG4107" s="314"/>
      <c r="BH4107" s="314"/>
      <c r="BI4107" s="314"/>
      <c r="BJ4107" s="314"/>
      <c r="BK4107" s="40"/>
      <c r="BL4107" s="40"/>
      <c r="BM4107" s="40"/>
      <c r="BN4107" s="40"/>
      <c r="BO4107" s="40"/>
      <c r="BP4107" s="155"/>
      <c r="BQ4107" s="314"/>
      <c r="BR4107" s="314"/>
      <c r="BS4107" s="314"/>
      <c r="BT4107" s="314"/>
      <c r="BU4107" s="314"/>
      <c r="BV4107" s="314"/>
      <c r="BW4107" s="314"/>
      <c r="BX4107" s="155"/>
    </row>
    <row r="4108" spans="1:76" ht="15.75" customHeight="1">
      <c r="A4108" s="25"/>
      <c r="B4108" s="39"/>
      <c r="C4108" s="155"/>
      <c r="D4108" s="155"/>
      <c r="E4108" s="40"/>
      <c r="F4108" s="314"/>
      <c r="H4108" s="315"/>
      <c r="I4108" s="315"/>
      <c r="BA4108" s="30"/>
      <c r="BB4108" s="155"/>
      <c r="BC4108" s="314"/>
      <c r="BD4108" s="314"/>
      <c r="BE4108" s="314"/>
      <c r="BF4108" s="314"/>
      <c r="BG4108" s="314"/>
      <c r="BH4108" s="314"/>
      <c r="BI4108" s="314"/>
      <c r="BJ4108" s="314"/>
      <c r="BK4108" s="40"/>
      <c r="BL4108" s="40"/>
      <c r="BM4108" s="40"/>
      <c r="BN4108" s="40"/>
      <c r="BO4108" s="40"/>
      <c r="BP4108" s="155"/>
      <c r="BQ4108" s="314"/>
      <c r="BR4108" s="314"/>
      <c r="BS4108" s="314"/>
      <c r="BT4108" s="314"/>
      <c r="BU4108" s="314"/>
      <c r="BV4108" s="314"/>
      <c r="BW4108" s="314"/>
      <c r="BX4108" s="155"/>
    </row>
    <row r="4109" spans="1:76" ht="15.75" customHeight="1">
      <c r="A4109" s="25"/>
      <c r="B4109" s="39"/>
      <c r="C4109" s="155"/>
      <c r="D4109" s="155"/>
      <c r="E4109" s="40"/>
      <c r="F4109" s="314"/>
      <c r="H4109" s="315"/>
      <c r="I4109" s="315"/>
      <c r="BA4109" s="30"/>
      <c r="BB4109" s="155"/>
      <c r="BC4109" s="314"/>
      <c r="BD4109" s="314"/>
      <c r="BE4109" s="314"/>
      <c r="BF4109" s="314"/>
      <c r="BG4109" s="314"/>
      <c r="BH4109" s="314"/>
      <c r="BI4109" s="314"/>
      <c r="BJ4109" s="314"/>
      <c r="BK4109" s="40"/>
      <c r="BL4109" s="40"/>
      <c r="BM4109" s="40"/>
      <c r="BN4109" s="40"/>
      <c r="BO4109" s="40"/>
      <c r="BP4109" s="155"/>
      <c r="BQ4109" s="314"/>
      <c r="BR4109" s="314"/>
      <c r="BS4109" s="314"/>
      <c r="BT4109" s="314"/>
      <c r="BU4109" s="314"/>
      <c r="BV4109" s="314"/>
      <c r="BW4109" s="314"/>
      <c r="BX4109" s="155"/>
    </row>
    <row r="4110" spans="1:76" ht="15.75" customHeight="1">
      <c r="A4110" s="25"/>
      <c r="B4110" s="39"/>
      <c r="C4110" s="155"/>
      <c r="D4110" s="155"/>
      <c r="E4110" s="40"/>
      <c r="F4110" s="314"/>
      <c r="H4110" s="315"/>
      <c r="I4110" s="315"/>
      <c r="BA4110" s="30"/>
      <c r="BB4110" s="155"/>
      <c r="BC4110" s="314"/>
      <c r="BD4110" s="314"/>
      <c r="BE4110" s="314"/>
      <c r="BF4110" s="314"/>
      <c r="BG4110" s="314"/>
      <c r="BH4110" s="314"/>
      <c r="BI4110" s="314"/>
      <c r="BJ4110" s="314"/>
      <c r="BK4110" s="40"/>
      <c r="BL4110" s="40"/>
      <c r="BM4110" s="40"/>
      <c r="BN4110" s="40"/>
      <c r="BO4110" s="40"/>
      <c r="BP4110" s="155"/>
      <c r="BQ4110" s="314"/>
      <c r="BR4110" s="314"/>
      <c r="BS4110" s="314"/>
      <c r="BT4110" s="314"/>
      <c r="BU4110" s="314"/>
      <c r="BV4110" s="314"/>
      <c r="BW4110" s="314"/>
      <c r="BX4110" s="155"/>
    </row>
    <row r="4111" spans="1:76" ht="15.75" customHeight="1">
      <c r="A4111" s="25"/>
      <c r="B4111" s="39"/>
      <c r="C4111" s="155"/>
      <c r="D4111" s="155"/>
      <c r="E4111" s="40"/>
      <c r="F4111" s="314"/>
      <c r="H4111" s="315"/>
      <c r="I4111" s="315"/>
      <c r="BA4111" s="30"/>
      <c r="BB4111" s="155"/>
      <c r="BC4111" s="314"/>
      <c r="BD4111" s="314"/>
      <c r="BE4111" s="314"/>
      <c r="BF4111" s="314"/>
      <c r="BG4111" s="314"/>
      <c r="BH4111" s="314"/>
      <c r="BI4111" s="314"/>
      <c r="BJ4111" s="314"/>
      <c r="BK4111" s="40"/>
      <c r="BL4111" s="40"/>
      <c r="BM4111" s="40"/>
      <c r="BN4111" s="40"/>
      <c r="BO4111" s="40"/>
      <c r="BP4111" s="155"/>
      <c r="BQ4111" s="314"/>
      <c r="BR4111" s="314"/>
      <c r="BS4111" s="314"/>
      <c r="BT4111" s="314"/>
      <c r="BU4111" s="314"/>
      <c r="BV4111" s="314"/>
      <c r="BW4111" s="314"/>
      <c r="BX4111" s="155"/>
    </row>
    <row r="4112" spans="1:76" ht="15.75" customHeight="1">
      <c r="A4112" s="25"/>
      <c r="B4112" s="39"/>
      <c r="C4112" s="155"/>
      <c r="D4112" s="155"/>
      <c r="E4112" s="40"/>
      <c r="F4112" s="314"/>
      <c r="H4112" s="315"/>
      <c r="I4112" s="315"/>
      <c r="BA4112" s="30"/>
      <c r="BB4112" s="155"/>
      <c r="BC4112" s="314"/>
      <c r="BD4112" s="314"/>
      <c r="BE4112" s="314"/>
      <c r="BF4112" s="314"/>
      <c r="BG4112" s="314"/>
      <c r="BH4112" s="314"/>
      <c r="BI4112" s="314"/>
      <c r="BJ4112" s="314"/>
      <c r="BK4112" s="40"/>
      <c r="BL4112" s="40"/>
      <c r="BM4112" s="40"/>
      <c r="BN4112" s="40"/>
      <c r="BO4112" s="40"/>
      <c r="BP4112" s="155"/>
      <c r="BQ4112" s="314"/>
      <c r="BR4112" s="314"/>
      <c r="BS4112" s="314"/>
      <c r="BT4112" s="314"/>
      <c r="BU4112" s="314"/>
      <c r="BV4112" s="314"/>
      <c r="BW4112" s="314"/>
      <c r="BX4112" s="155"/>
    </row>
    <row r="4113" spans="1:76" ht="15.75" customHeight="1">
      <c r="A4113" s="25"/>
      <c r="B4113" s="39"/>
      <c r="C4113" s="155"/>
      <c r="D4113" s="155"/>
      <c r="E4113" s="40"/>
      <c r="F4113" s="314"/>
      <c r="H4113" s="315"/>
      <c r="I4113" s="315"/>
      <c r="BA4113" s="30"/>
      <c r="BB4113" s="155"/>
      <c r="BC4113" s="314"/>
      <c r="BD4113" s="314"/>
      <c r="BE4113" s="314"/>
      <c r="BF4113" s="314"/>
      <c r="BG4113" s="314"/>
      <c r="BH4113" s="314"/>
      <c r="BI4113" s="314"/>
      <c r="BJ4113" s="314"/>
      <c r="BK4113" s="40"/>
      <c r="BL4113" s="40"/>
      <c r="BM4113" s="40"/>
      <c r="BN4113" s="40"/>
      <c r="BO4113" s="40"/>
      <c r="BP4113" s="155"/>
      <c r="BQ4113" s="314"/>
      <c r="BR4113" s="314"/>
      <c r="BS4113" s="314"/>
      <c r="BT4113" s="314"/>
      <c r="BU4113" s="314"/>
      <c r="BV4113" s="314"/>
      <c r="BW4113" s="314"/>
      <c r="BX4113" s="155"/>
    </row>
    <row r="4114" spans="1:76" ht="15.75" customHeight="1">
      <c r="A4114" s="25"/>
      <c r="B4114" s="39"/>
      <c r="C4114" s="155"/>
      <c r="D4114" s="155"/>
      <c r="E4114" s="40"/>
      <c r="F4114" s="314"/>
      <c r="H4114" s="315"/>
      <c r="I4114" s="315"/>
      <c r="BA4114" s="30"/>
      <c r="BB4114" s="155"/>
      <c r="BC4114" s="314"/>
      <c r="BD4114" s="314"/>
      <c r="BE4114" s="314"/>
      <c r="BF4114" s="314"/>
      <c r="BG4114" s="314"/>
      <c r="BH4114" s="314"/>
      <c r="BI4114" s="314"/>
      <c r="BJ4114" s="314"/>
      <c r="BK4114" s="40"/>
      <c r="BL4114" s="40"/>
      <c r="BM4114" s="40"/>
      <c r="BN4114" s="40"/>
      <c r="BO4114" s="40"/>
      <c r="BP4114" s="155"/>
      <c r="BQ4114" s="314"/>
      <c r="BR4114" s="314"/>
      <c r="BS4114" s="314"/>
      <c r="BT4114" s="314"/>
      <c r="BU4114" s="314"/>
      <c r="BV4114" s="314"/>
      <c r="BW4114" s="314"/>
      <c r="BX4114" s="155"/>
    </row>
    <row r="4115" spans="1:76" ht="15.75" customHeight="1">
      <c r="A4115" s="25"/>
      <c r="B4115" s="39"/>
      <c r="C4115" s="155"/>
      <c r="D4115" s="155"/>
      <c r="E4115" s="40"/>
      <c r="F4115" s="314"/>
      <c r="H4115" s="315"/>
      <c r="I4115" s="315"/>
      <c r="BA4115" s="30"/>
      <c r="BB4115" s="155"/>
      <c r="BC4115" s="314"/>
      <c r="BD4115" s="314"/>
      <c r="BE4115" s="314"/>
      <c r="BF4115" s="314"/>
      <c r="BG4115" s="314"/>
      <c r="BH4115" s="314"/>
      <c r="BI4115" s="314"/>
      <c r="BJ4115" s="314"/>
      <c r="BK4115" s="40"/>
      <c r="BL4115" s="40"/>
      <c r="BM4115" s="40"/>
      <c r="BN4115" s="40"/>
      <c r="BO4115" s="40"/>
      <c r="BP4115" s="155"/>
      <c r="BQ4115" s="314"/>
      <c r="BR4115" s="314"/>
      <c r="BS4115" s="314"/>
      <c r="BT4115" s="314"/>
      <c r="BU4115" s="314"/>
      <c r="BV4115" s="314"/>
      <c r="BW4115" s="314"/>
      <c r="BX4115" s="155"/>
    </row>
    <row r="4116" spans="1:76" ht="15.75" customHeight="1">
      <c r="A4116" s="25"/>
      <c r="B4116" s="39"/>
      <c r="C4116" s="155"/>
      <c r="D4116" s="155"/>
      <c r="E4116" s="40"/>
      <c r="F4116" s="314"/>
      <c r="H4116" s="315"/>
      <c r="I4116" s="315"/>
      <c r="BA4116" s="30"/>
      <c r="BB4116" s="155"/>
      <c r="BC4116" s="314"/>
      <c r="BD4116" s="314"/>
      <c r="BE4116" s="314"/>
      <c r="BF4116" s="314"/>
      <c r="BG4116" s="314"/>
      <c r="BH4116" s="314"/>
      <c r="BI4116" s="314"/>
      <c r="BJ4116" s="314"/>
      <c r="BK4116" s="40"/>
      <c r="BL4116" s="40"/>
      <c r="BM4116" s="40"/>
      <c r="BN4116" s="40"/>
      <c r="BO4116" s="40"/>
      <c r="BP4116" s="155"/>
      <c r="BQ4116" s="314"/>
      <c r="BR4116" s="314"/>
      <c r="BS4116" s="314"/>
      <c r="BT4116" s="314"/>
      <c r="BU4116" s="314"/>
      <c r="BV4116" s="314"/>
      <c r="BW4116" s="314"/>
      <c r="BX4116" s="155"/>
    </row>
    <row r="4117" spans="1:76" ht="15.75" customHeight="1">
      <c r="A4117" s="25"/>
      <c r="B4117" s="39"/>
      <c r="C4117" s="155"/>
      <c r="D4117" s="155"/>
      <c r="E4117" s="40"/>
      <c r="F4117" s="314"/>
      <c r="H4117" s="315"/>
      <c r="I4117" s="315"/>
      <c r="BA4117" s="30"/>
      <c r="BB4117" s="155"/>
      <c r="BC4117" s="314"/>
      <c r="BD4117" s="314"/>
      <c r="BE4117" s="314"/>
      <c r="BF4117" s="314"/>
      <c r="BG4117" s="314"/>
      <c r="BH4117" s="314"/>
      <c r="BI4117" s="314"/>
      <c r="BJ4117" s="314"/>
      <c r="BK4117" s="40"/>
      <c r="BL4117" s="40"/>
      <c r="BM4117" s="40"/>
      <c r="BN4117" s="40"/>
      <c r="BO4117" s="40"/>
      <c r="BP4117" s="155"/>
      <c r="BQ4117" s="314"/>
      <c r="BR4117" s="314"/>
      <c r="BS4117" s="314"/>
      <c r="BT4117" s="314"/>
      <c r="BU4117" s="314"/>
      <c r="BV4117" s="314"/>
      <c r="BW4117" s="314"/>
      <c r="BX4117" s="155"/>
    </row>
    <row r="4118" spans="1:76" ht="15.75" customHeight="1">
      <c r="A4118" s="25"/>
      <c r="B4118" s="39"/>
      <c r="C4118" s="155"/>
      <c r="D4118" s="155"/>
      <c r="E4118" s="40"/>
      <c r="F4118" s="314"/>
      <c r="H4118" s="315"/>
      <c r="I4118" s="315"/>
      <c r="BA4118" s="30"/>
      <c r="BB4118" s="155"/>
      <c r="BC4118" s="314"/>
      <c r="BD4118" s="314"/>
      <c r="BE4118" s="314"/>
      <c r="BF4118" s="314"/>
      <c r="BG4118" s="314"/>
      <c r="BH4118" s="314"/>
      <c r="BI4118" s="314"/>
      <c r="BJ4118" s="314"/>
      <c r="BK4118" s="40"/>
      <c r="BL4118" s="40"/>
      <c r="BM4118" s="40"/>
      <c r="BN4118" s="40"/>
      <c r="BO4118" s="40"/>
      <c r="BP4118" s="155"/>
      <c r="BQ4118" s="314"/>
      <c r="BR4118" s="314"/>
      <c r="BS4118" s="314"/>
      <c r="BT4118" s="314"/>
      <c r="BU4118" s="314"/>
      <c r="BV4118" s="314"/>
      <c r="BW4118" s="314"/>
      <c r="BX4118" s="155"/>
    </row>
    <row r="4119" spans="1:76" ht="15.75" customHeight="1">
      <c r="A4119" s="25"/>
      <c r="B4119" s="39"/>
      <c r="C4119" s="155"/>
      <c r="D4119" s="155"/>
      <c r="E4119" s="40"/>
      <c r="F4119" s="314"/>
      <c r="H4119" s="315"/>
      <c r="I4119" s="315"/>
      <c r="BA4119" s="30"/>
      <c r="BB4119" s="155"/>
      <c r="BC4119" s="314"/>
      <c r="BD4119" s="314"/>
      <c r="BE4119" s="314"/>
      <c r="BF4119" s="314"/>
      <c r="BG4119" s="314"/>
      <c r="BH4119" s="314"/>
      <c r="BI4119" s="314"/>
      <c r="BJ4119" s="314"/>
      <c r="BK4119" s="40"/>
      <c r="BL4119" s="40"/>
      <c r="BM4119" s="40"/>
      <c r="BN4119" s="40"/>
      <c r="BO4119" s="40"/>
      <c r="BP4119" s="155"/>
      <c r="BQ4119" s="314"/>
      <c r="BR4119" s="314"/>
      <c r="BS4119" s="314"/>
      <c r="BT4119" s="314"/>
      <c r="BU4119" s="314"/>
      <c r="BV4119" s="314"/>
      <c r="BW4119" s="314"/>
      <c r="BX4119" s="155"/>
    </row>
    <row r="4120" spans="1:76" ht="15.75" customHeight="1">
      <c r="A4120" s="25"/>
      <c r="B4120" s="39"/>
      <c r="C4120" s="155"/>
      <c r="D4120" s="155"/>
      <c r="E4120" s="40"/>
      <c r="F4120" s="314"/>
      <c r="H4120" s="315"/>
      <c r="I4120" s="315"/>
      <c r="BA4120" s="30"/>
      <c r="BB4120" s="155"/>
      <c r="BC4120" s="314"/>
      <c r="BD4120" s="314"/>
      <c r="BE4120" s="314"/>
      <c r="BF4120" s="314"/>
      <c r="BG4120" s="314"/>
      <c r="BH4120" s="314"/>
      <c r="BI4120" s="314"/>
      <c r="BJ4120" s="314"/>
      <c r="BK4120" s="40"/>
      <c r="BL4120" s="40"/>
      <c r="BM4120" s="40"/>
      <c r="BN4120" s="40"/>
      <c r="BO4120" s="40"/>
      <c r="BP4120" s="155"/>
      <c r="BQ4120" s="314"/>
      <c r="BR4120" s="314"/>
      <c r="BS4120" s="314"/>
      <c r="BT4120" s="314"/>
      <c r="BU4120" s="314"/>
      <c r="BV4120" s="314"/>
      <c r="BW4120" s="314"/>
      <c r="BX4120" s="155"/>
    </row>
    <row r="4121" spans="1:76" ht="15.75" customHeight="1">
      <c r="A4121" s="25"/>
      <c r="B4121" s="39"/>
      <c r="C4121" s="155"/>
      <c r="D4121" s="155"/>
      <c r="E4121" s="40"/>
      <c r="F4121" s="314"/>
      <c r="H4121" s="315"/>
      <c r="I4121" s="315"/>
      <c r="BA4121" s="30"/>
      <c r="BB4121" s="155"/>
      <c r="BC4121" s="314"/>
      <c r="BD4121" s="314"/>
      <c r="BE4121" s="314"/>
      <c r="BF4121" s="314"/>
      <c r="BG4121" s="314"/>
      <c r="BH4121" s="314"/>
      <c r="BI4121" s="314"/>
      <c r="BJ4121" s="314"/>
      <c r="BK4121" s="40"/>
      <c r="BL4121" s="40"/>
      <c r="BM4121" s="40"/>
      <c r="BN4121" s="40"/>
      <c r="BO4121" s="40"/>
      <c r="BP4121" s="155"/>
      <c r="BQ4121" s="314"/>
      <c r="BR4121" s="314"/>
      <c r="BS4121" s="314"/>
      <c r="BT4121" s="314"/>
      <c r="BU4121" s="314"/>
      <c r="BV4121" s="314"/>
      <c r="BW4121" s="314"/>
      <c r="BX4121" s="155"/>
    </row>
    <row r="4122" spans="1:76" ht="15.75" customHeight="1">
      <c r="A4122" s="25"/>
      <c r="B4122" s="39"/>
      <c r="C4122" s="155"/>
      <c r="D4122" s="155"/>
      <c r="E4122" s="40"/>
      <c r="F4122" s="314"/>
      <c r="H4122" s="315"/>
      <c r="I4122" s="315"/>
      <c r="BA4122" s="30"/>
      <c r="BB4122" s="155"/>
      <c r="BC4122" s="314"/>
      <c r="BD4122" s="314"/>
      <c r="BE4122" s="314"/>
      <c r="BF4122" s="314"/>
      <c r="BG4122" s="314"/>
      <c r="BH4122" s="314"/>
      <c r="BI4122" s="314"/>
      <c r="BJ4122" s="314"/>
      <c r="BK4122" s="40"/>
      <c r="BL4122" s="40"/>
      <c r="BM4122" s="40"/>
      <c r="BN4122" s="40"/>
      <c r="BO4122" s="40"/>
      <c r="BP4122" s="155"/>
      <c r="BQ4122" s="314"/>
      <c r="BR4122" s="314"/>
      <c r="BS4122" s="314"/>
      <c r="BT4122" s="314"/>
      <c r="BU4122" s="314"/>
      <c r="BV4122" s="314"/>
      <c r="BW4122" s="314"/>
      <c r="BX4122" s="155"/>
    </row>
    <row r="4123" spans="1:76" ht="15.75" customHeight="1">
      <c r="A4123" s="25"/>
      <c r="B4123" s="39"/>
      <c r="C4123" s="155"/>
      <c r="D4123" s="155"/>
      <c r="E4123" s="40"/>
      <c r="F4123" s="314"/>
      <c r="H4123" s="315"/>
      <c r="I4123" s="315"/>
      <c r="BA4123" s="30"/>
      <c r="BB4123" s="155"/>
      <c r="BC4123" s="314"/>
      <c r="BD4123" s="314"/>
      <c r="BE4123" s="314"/>
      <c r="BF4123" s="314"/>
      <c r="BG4123" s="314"/>
      <c r="BH4123" s="314"/>
      <c r="BI4123" s="314"/>
      <c r="BJ4123" s="314"/>
      <c r="BK4123" s="40"/>
      <c r="BL4123" s="40"/>
      <c r="BM4123" s="40"/>
      <c r="BN4123" s="40"/>
      <c r="BO4123" s="40"/>
      <c r="BP4123" s="155"/>
      <c r="BQ4123" s="314"/>
      <c r="BR4123" s="314"/>
      <c r="BS4123" s="314"/>
      <c r="BT4123" s="314"/>
      <c r="BU4123" s="314"/>
      <c r="BV4123" s="314"/>
      <c r="BW4123" s="314"/>
      <c r="BX4123" s="155"/>
    </row>
    <row r="4124" spans="1:76" ht="15.75" customHeight="1">
      <c r="A4124" s="25"/>
      <c r="B4124" s="39"/>
      <c r="C4124" s="155"/>
      <c r="D4124" s="155"/>
      <c r="E4124" s="40"/>
      <c r="F4124" s="314"/>
      <c r="H4124" s="315"/>
      <c r="I4124" s="315"/>
      <c r="BA4124" s="30"/>
      <c r="BB4124" s="155"/>
      <c r="BC4124" s="314"/>
      <c r="BD4124" s="314"/>
      <c r="BE4124" s="314"/>
      <c r="BF4124" s="314"/>
      <c r="BG4124" s="314"/>
      <c r="BH4124" s="314"/>
      <c r="BI4124" s="314"/>
      <c r="BJ4124" s="314"/>
      <c r="BK4124" s="40"/>
      <c r="BL4124" s="40"/>
      <c r="BM4124" s="40"/>
      <c r="BN4124" s="40"/>
      <c r="BO4124" s="40"/>
      <c r="BP4124" s="155"/>
      <c r="BQ4124" s="314"/>
      <c r="BR4124" s="314"/>
      <c r="BS4124" s="314"/>
      <c r="BT4124" s="314"/>
      <c r="BU4124" s="314"/>
      <c r="BV4124" s="314"/>
      <c r="BW4124" s="314"/>
      <c r="BX4124" s="155"/>
    </row>
    <row r="4125" spans="1:76" ht="15.75" customHeight="1">
      <c r="A4125" s="25"/>
      <c r="B4125" s="39"/>
      <c r="C4125" s="155"/>
      <c r="D4125" s="155"/>
      <c r="E4125" s="40"/>
      <c r="F4125" s="314"/>
      <c r="H4125" s="315"/>
      <c r="I4125" s="315"/>
      <c r="BA4125" s="30"/>
      <c r="BB4125" s="155"/>
      <c r="BC4125" s="314"/>
      <c r="BD4125" s="314"/>
      <c r="BE4125" s="314"/>
      <c r="BF4125" s="314"/>
      <c r="BG4125" s="314"/>
      <c r="BH4125" s="314"/>
      <c r="BI4125" s="314"/>
      <c r="BJ4125" s="314"/>
      <c r="BK4125" s="40"/>
      <c r="BL4125" s="40"/>
      <c r="BM4125" s="40"/>
      <c r="BN4125" s="40"/>
      <c r="BO4125" s="40"/>
      <c r="BP4125" s="155"/>
      <c r="BQ4125" s="314"/>
      <c r="BR4125" s="314"/>
      <c r="BS4125" s="314"/>
      <c r="BT4125" s="314"/>
      <c r="BU4125" s="314"/>
      <c r="BV4125" s="314"/>
      <c r="BW4125" s="314"/>
      <c r="BX4125" s="155"/>
    </row>
    <row r="4126" spans="1:76" ht="15.75" customHeight="1">
      <c r="A4126" s="25"/>
      <c r="B4126" s="39"/>
      <c r="C4126" s="155"/>
      <c r="D4126" s="155"/>
      <c r="E4126" s="40"/>
      <c r="F4126" s="314"/>
      <c r="H4126" s="315"/>
      <c r="I4126" s="315"/>
      <c r="BA4126" s="30"/>
      <c r="BB4126" s="155"/>
      <c r="BC4126" s="314"/>
      <c r="BD4126" s="314"/>
      <c r="BE4126" s="314"/>
      <c r="BF4126" s="314"/>
      <c r="BG4126" s="314"/>
      <c r="BH4126" s="314"/>
      <c r="BI4126" s="314"/>
      <c r="BJ4126" s="314"/>
      <c r="BK4126" s="40"/>
      <c r="BL4126" s="40"/>
      <c r="BM4126" s="40"/>
      <c r="BN4126" s="40"/>
      <c r="BO4126" s="40"/>
      <c r="BP4126" s="155"/>
      <c r="BQ4126" s="314"/>
      <c r="BR4126" s="314"/>
      <c r="BS4126" s="314"/>
      <c r="BT4126" s="314"/>
      <c r="BU4126" s="314"/>
      <c r="BV4126" s="314"/>
      <c r="BW4126" s="314"/>
      <c r="BX4126" s="155"/>
    </row>
    <row r="4127" spans="1:76" ht="15.75" customHeight="1">
      <c r="A4127" s="25"/>
      <c r="B4127" s="39"/>
      <c r="C4127" s="155"/>
      <c r="D4127" s="155"/>
      <c r="E4127" s="40"/>
      <c r="F4127" s="314"/>
      <c r="H4127" s="315"/>
      <c r="I4127" s="315"/>
      <c r="BA4127" s="30"/>
      <c r="BB4127" s="155"/>
      <c r="BC4127" s="314"/>
      <c r="BD4127" s="314"/>
      <c r="BE4127" s="314"/>
      <c r="BF4127" s="314"/>
      <c r="BG4127" s="314"/>
      <c r="BH4127" s="314"/>
      <c r="BI4127" s="314"/>
      <c r="BJ4127" s="314"/>
      <c r="BK4127" s="40"/>
      <c r="BL4127" s="40"/>
      <c r="BM4127" s="40"/>
      <c r="BN4127" s="40"/>
      <c r="BO4127" s="40"/>
      <c r="BP4127" s="155"/>
      <c r="BQ4127" s="314"/>
      <c r="BR4127" s="314"/>
      <c r="BS4127" s="314"/>
      <c r="BT4127" s="314"/>
      <c r="BU4127" s="314"/>
      <c r="BV4127" s="314"/>
      <c r="BW4127" s="314"/>
      <c r="BX4127" s="155"/>
    </row>
    <row r="4128" spans="1:76" ht="15.75" customHeight="1">
      <c r="A4128" s="25"/>
      <c r="B4128" s="39"/>
      <c r="C4128" s="155"/>
      <c r="D4128" s="155"/>
      <c r="E4128" s="40"/>
      <c r="F4128" s="314"/>
      <c r="H4128" s="315"/>
      <c r="I4128" s="315"/>
      <c r="BA4128" s="30"/>
      <c r="BB4128" s="155"/>
      <c r="BC4128" s="314"/>
      <c r="BD4128" s="314"/>
      <c r="BE4128" s="314"/>
      <c r="BF4128" s="314"/>
      <c r="BG4128" s="314"/>
      <c r="BH4128" s="314"/>
      <c r="BI4128" s="314"/>
      <c r="BJ4128" s="314"/>
      <c r="BK4128" s="40"/>
      <c r="BL4128" s="40"/>
      <c r="BM4128" s="40"/>
      <c r="BN4128" s="40"/>
      <c r="BO4128" s="40"/>
      <c r="BP4128" s="155"/>
      <c r="BQ4128" s="314"/>
      <c r="BR4128" s="314"/>
      <c r="BS4128" s="314"/>
      <c r="BT4128" s="314"/>
      <c r="BU4128" s="314"/>
      <c r="BV4128" s="314"/>
      <c r="BW4128" s="314"/>
      <c r="BX4128" s="155"/>
    </row>
    <row r="4129" spans="1:76" ht="15.75" customHeight="1">
      <c r="A4129" s="25"/>
      <c r="B4129" s="39"/>
      <c r="C4129" s="155"/>
      <c r="D4129" s="155"/>
      <c r="E4129" s="40"/>
      <c r="F4129" s="314"/>
      <c r="H4129" s="315"/>
      <c r="I4129" s="315"/>
      <c r="BA4129" s="30"/>
      <c r="BB4129" s="155"/>
      <c r="BC4129" s="314"/>
      <c r="BD4129" s="314"/>
      <c r="BE4129" s="314"/>
      <c r="BF4129" s="314"/>
      <c r="BG4129" s="314"/>
      <c r="BH4129" s="314"/>
      <c r="BI4129" s="314"/>
      <c r="BJ4129" s="314"/>
      <c r="BK4129" s="40"/>
      <c r="BL4129" s="40"/>
      <c r="BM4129" s="40"/>
      <c r="BN4129" s="40"/>
      <c r="BO4129" s="40"/>
      <c r="BP4129" s="155"/>
      <c r="BQ4129" s="314"/>
      <c r="BR4129" s="314"/>
      <c r="BS4129" s="314"/>
      <c r="BT4129" s="314"/>
      <c r="BU4129" s="314"/>
      <c r="BV4129" s="314"/>
      <c r="BW4129" s="314"/>
      <c r="BX4129" s="155"/>
    </row>
    <row r="4130" spans="1:76" ht="15.75" customHeight="1">
      <c r="A4130" s="25"/>
      <c r="B4130" s="39"/>
      <c r="C4130" s="155"/>
      <c r="D4130" s="155"/>
      <c r="E4130" s="40"/>
      <c r="F4130" s="314"/>
      <c r="H4130" s="315"/>
      <c r="I4130" s="315"/>
      <c r="BA4130" s="30"/>
      <c r="BB4130" s="155"/>
      <c r="BC4130" s="322"/>
      <c r="BD4130" s="322"/>
      <c r="BE4130" s="322"/>
      <c r="BF4130" s="322"/>
      <c r="BG4130" s="322"/>
      <c r="BH4130" s="322"/>
      <c r="BI4130" s="322"/>
      <c r="BJ4130" s="322"/>
      <c r="BK4130" s="341"/>
      <c r="BL4130" s="40"/>
      <c r="BM4130" s="40"/>
      <c r="BN4130" s="40"/>
      <c r="BO4130" s="40"/>
      <c r="BP4130" s="155"/>
      <c r="BQ4130" s="314"/>
      <c r="BR4130" s="314"/>
      <c r="BS4130" s="314"/>
      <c r="BT4130" s="314"/>
      <c r="BU4130" s="314"/>
      <c r="BV4130" s="314"/>
      <c r="BW4130" s="314"/>
      <c r="BX4130" s="155"/>
    </row>
    <row r="4131" spans="1:76" ht="15.75" customHeight="1">
      <c r="A4131" s="25"/>
      <c r="B4131" s="39"/>
      <c r="C4131" s="155"/>
      <c r="D4131" s="155"/>
      <c r="E4131" s="40"/>
      <c r="F4131" s="314"/>
      <c r="H4131" s="315"/>
      <c r="I4131" s="315"/>
      <c r="BA4131" s="30"/>
      <c r="BB4131" s="155"/>
      <c r="BC4131" s="314"/>
      <c r="BD4131" s="314"/>
      <c r="BE4131" s="314"/>
      <c r="BF4131" s="314"/>
      <c r="BG4131" s="314"/>
      <c r="BH4131" s="314"/>
      <c r="BI4131" s="314"/>
      <c r="BJ4131" s="314"/>
      <c r="BK4131" s="40"/>
      <c r="BL4131" s="40"/>
      <c r="BM4131" s="40"/>
      <c r="BN4131" s="40"/>
      <c r="BO4131" s="40"/>
      <c r="BP4131" s="155"/>
      <c r="BQ4131" s="314"/>
      <c r="BR4131" s="314"/>
      <c r="BS4131" s="314"/>
      <c r="BT4131" s="314"/>
      <c r="BU4131" s="314"/>
      <c r="BV4131" s="314"/>
      <c r="BW4131" s="314"/>
      <c r="BX4131" s="155"/>
    </row>
    <row r="4132" spans="1:76" ht="15.75" customHeight="1">
      <c r="A4132" s="25"/>
      <c r="B4132" s="39"/>
      <c r="C4132" s="155"/>
      <c r="D4132" s="155"/>
      <c r="E4132" s="40"/>
      <c r="F4132" s="314"/>
      <c r="H4132" s="315"/>
      <c r="I4132" s="315"/>
      <c r="BA4132" s="30"/>
      <c r="BB4132" s="155"/>
      <c r="BC4132" s="314"/>
      <c r="BD4132" s="314"/>
      <c r="BE4132" s="314"/>
      <c r="BF4132" s="314"/>
      <c r="BG4132" s="314"/>
      <c r="BH4132" s="314"/>
      <c r="BI4132" s="314"/>
      <c r="BJ4132" s="314"/>
      <c r="BK4132" s="40"/>
      <c r="BL4132" s="40"/>
      <c r="BM4132" s="40"/>
      <c r="BN4132" s="40"/>
      <c r="BO4132" s="40"/>
      <c r="BP4132" s="155"/>
      <c r="BQ4132" s="314"/>
      <c r="BR4132" s="314"/>
      <c r="BS4132" s="314"/>
      <c r="BT4132" s="314"/>
      <c r="BU4132" s="314"/>
      <c r="BV4132" s="314"/>
      <c r="BW4132" s="314"/>
      <c r="BX4132" s="155"/>
    </row>
    <row r="4133" spans="1:76" ht="15.75" customHeight="1">
      <c r="A4133" s="25"/>
      <c r="B4133" s="39"/>
      <c r="C4133" s="155"/>
      <c r="D4133" s="155"/>
      <c r="E4133" s="40"/>
      <c r="F4133" s="314"/>
      <c r="H4133" s="315"/>
      <c r="I4133" s="315"/>
      <c r="BA4133" s="30"/>
      <c r="BB4133" s="155"/>
      <c r="BC4133" s="314"/>
      <c r="BD4133" s="314"/>
      <c r="BE4133" s="314"/>
      <c r="BF4133" s="314"/>
      <c r="BG4133" s="314"/>
      <c r="BH4133" s="314"/>
      <c r="BI4133" s="314"/>
      <c r="BJ4133" s="314"/>
      <c r="BK4133" s="40"/>
      <c r="BL4133" s="40"/>
      <c r="BM4133" s="40"/>
      <c r="BN4133" s="40"/>
      <c r="BO4133" s="40"/>
      <c r="BP4133" s="155"/>
      <c r="BQ4133" s="314"/>
      <c r="BR4133" s="314"/>
      <c r="BS4133" s="314"/>
      <c r="BT4133" s="314"/>
      <c r="BU4133" s="314"/>
      <c r="BV4133" s="314"/>
      <c r="BW4133" s="314"/>
      <c r="BX4133" s="155"/>
    </row>
    <row r="4134" spans="1:76" ht="15.75" customHeight="1">
      <c r="A4134" s="25"/>
      <c r="B4134" s="39"/>
      <c r="C4134" s="155"/>
      <c r="D4134" s="155"/>
      <c r="E4134" s="40"/>
      <c r="F4134" s="314"/>
      <c r="H4134" s="315"/>
      <c r="I4134" s="315"/>
      <c r="BA4134" s="30"/>
      <c r="BB4134" s="155"/>
      <c r="BC4134" s="314"/>
      <c r="BD4134" s="314"/>
      <c r="BE4134" s="314"/>
      <c r="BF4134" s="314"/>
      <c r="BG4134" s="314"/>
      <c r="BH4134" s="314"/>
      <c r="BI4134" s="314"/>
      <c r="BJ4134" s="314"/>
      <c r="BK4134" s="40"/>
      <c r="BL4134" s="40"/>
      <c r="BM4134" s="40"/>
      <c r="BN4134" s="40"/>
      <c r="BO4134" s="40"/>
      <c r="BP4134" s="155"/>
      <c r="BQ4134" s="314"/>
      <c r="BR4134" s="314"/>
      <c r="BS4134" s="314"/>
      <c r="BT4134" s="314"/>
      <c r="BU4134" s="314"/>
      <c r="BV4134" s="314"/>
      <c r="BW4134" s="314"/>
      <c r="BX4134" s="155"/>
    </row>
    <row r="4135" spans="1:76" ht="15.75" customHeight="1">
      <c r="A4135" s="25"/>
      <c r="B4135" s="39"/>
      <c r="C4135" s="155"/>
      <c r="D4135" s="155"/>
      <c r="E4135" s="40"/>
      <c r="F4135" s="314"/>
      <c r="H4135" s="315"/>
      <c r="I4135" s="315"/>
      <c r="BA4135" s="30"/>
      <c r="BB4135" s="155"/>
      <c r="BC4135" s="314"/>
      <c r="BD4135" s="314"/>
      <c r="BE4135" s="314"/>
      <c r="BF4135" s="314"/>
      <c r="BG4135" s="314"/>
      <c r="BH4135" s="314"/>
      <c r="BI4135" s="314"/>
      <c r="BJ4135" s="314"/>
      <c r="BK4135" s="40"/>
      <c r="BL4135" s="40"/>
      <c r="BM4135" s="40"/>
      <c r="BN4135" s="40"/>
      <c r="BO4135" s="40"/>
      <c r="BP4135" s="155"/>
      <c r="BQ4135" s="314"/>
      <c r="BR4135" s="314"/>
      <c r="BS4135" s="314"/>
      <c r="BT4135" s="314"/>
      <c r="BU4135" s="314"/>
      <c r="BV4135" s="314"/>
      <c r="BW4135" s="314"/>
      <c r="BX4135" s="155"/>
    </row>
    <row r="4136" spans="1:76" ht="15.75" customHeight="1">
      <c r="A4136" s="25"/>
      <c r="B4136" s="39"/>
      <c r="C4136" s="155"/>
      <c r="D4136" s="155"/>
      <c r="E4136" s="40"/>
      <c r="F4136" s="314"/>
      <c r="H4136" s="315"/>
      <c r="I4136" s="315"/>
      <c r="BA4136" s="30"/>
      <c r="BB4136" s="155"/>
      <c r="BC4136" s="314"/>
      <c r="BD4136" s="314"/>
      <c r="BE4136" s="314"/>
      <c r="BF4136" s="314"/>
      <c r="BG4136" s="314"/>
      <c r="BH4136" s="314"/>
      <c r="BI4136" s="314"/>
      <c r="BJ4136" s="314"/>
      <c r="BK4136" s="40"/>
      <c r="BL4136" s="40"/>
      <c r="BM4136" s="40"/>
      <c r="BN4136" s="40"/>
      <c r="BO4136" s="40"/>
      <c r="BP4136" s="155"/>
      <c r="BQ4136" s="314"/>
      <c r="BR4136" s="314"/>
      <c r="BS4136" s="314"/>
      <c r="BT4136" s="314"/>
      <c r="BU4136" s="314"/>
      <c r="BV4136" s="314"/>
      <c r="BW4136" s="314"/>
      <c r="BX4136" s="155"/>
    </row>
    <row r="4137" spans="1:76" ht="15.75" customHeight="1">
      <c r="A4137" s="25"/>
      <c r="B4137" s="39"/>
      <c r="C4137" s="155"/>
      <c r="D4137" s="155"/>
      <c r="E4137" s="40"/>
      <c r="F4137" s="314"/>
      <c r="H4137" s="315"/>
      <c r="I4137" s="315"/>
      <c r="BA4137" s="30"/>
      <c r="BB4137" s="155"/>
      <c r="BC4137" s="314"/>
      <c r="BD4137" s="314"/>
      <c r="BE4137" s="314"/>
      <c r="BF4137" s="314"/>
      <c r="BG4137" s="314"/>
      <c r="BH4137" s="314"/>
      <c r="BI4137" s="314"/>
      <c r="BJ4137" s="314"/>
      <c r="BK4137" s="40"/>
      <c r="BL4137" s="40"/>
      <c r="BM4137" s="40"/>
      <c r="BN4137" s="40"/>
      <c r="BO4137" s="40"/>
      <c r="BP4137" s="155"/>
      <c r="BQ4137" s="314"/>
      <c r="BR4137" s="314"/>
      <c r="BS4137" s="314"/>
      <c r="BT4137" s="314"/>
      <c r="BU4137" s="314"/>
      <c r="BV4137" s="314"/>
      <c r="BW4137" s="314"/>
      <c r="BX4137" s="155"/>
    </row>
    <row r="4138" spans="1:76" ht="15.75" customHeight="1">
      <c r="A4138" s="25"/>
      <c r="B4138" s="39"/>
      <c r="C4138" s="155"/>
      <c r="D4138" s="155"/>
      <c r="E4138" s="40"/>
      <c r="F4138" s="314"/>
      <c r="H4138" s="315"/>
      <c r="I4138" s="315"/>
      <c r="BA4138" s="30"/>
      <c r="BB4138" s="155"/>
      <c r="BC4138" s="314"/>
      <c r="BD4138" s="314"/>
      <c r="BE4138" s="314"/>
      <c r="BF4138" s="314"/>
      <c r="BG4138" s="314"/>
      <c r="BH4138" s="314"/>
      <c r="BI4138" s="314"/>
      <c r="BJ4138" s="314"/>
      <c r="BK4138" s="40"/>
      <c r="BL4138" s="40"/>
      <c r="BM4138" s="40"/>
      <c r="BN4138" s="40"/>
      <c r="BO4138" s="40"/>
      <c r="BP4138" s="155"/>
      <c r="BQ4138" s="314"/>
      <c r="BR4138" s="314"/>
      <c r="BS4138" s="314"/>
      <c r="BT4138" s="314"/>
      <c r="BU4138" s="314"/>
      <c r="BV4138" s="314"/>
      <c r="BW4138" s="314"/>
      <c r="BX4138" s="155"/>
    </row>
    <row r="4139" spans="1:76" ht="15.75" customHeight="1">
      <c r="A4139" s="25"/>
      <c r="B4139" s="39"/>
      <c r="C4139" s="155"/>
      <c r="D4139" s="155"/>
      <c r="E4139" s="40"/>
      <c r="F4139" s="314"/>
      <c r="H4139" s="315"/>
      <c r="I4139" s="315"/>
      <c r="BA4139" s="30"/>
      <c r="BB4139" s="155"/>
      <c r="BC4139" s="314"/>
      <c r="BD4139" s="314"/>
      <c r="BE4139" s="314"/>
      <c r="BF4139" s="314"/>
      <c r="BG4139" s="314"/>
      <c r="BH4139" s="314"/>
      <c r="BI4139" s="314"/>
      <c r="BJ4139" s="314"/>
      <c r="BK4139" s="40"/>
      <c r="BL4139" s="40"/>
      <c r="BM4139" s="40"/>
      <c r="BN4139" s="40"/>
      <c r="BO4139" s="40"/>
      <c r="BP4139" s="155"/>
      <c r="BQ4139" s="314"/>
      <c r="BR4139" s="314"/>
      <c r="BS4139" s="314"/>
      <c r="BT4139" s="314"/>
      <c r="BU4139" s="314"/>
      <c r="BV4139" s="314"/>
      <c r="BW4139" s="314"/>
      <c r="BX4139" s="155"/>
    </row>
    <row r="4140" spans="1:76" ht="15.75" customHeight="1">
      <c r="A4140" s="25"/>
      <c r="B4140" s="39"/>
      <c r="C4140" s="155"/>
      <c r="D4140" s="155"/>
      <c r="E4140" s="40"/>
      <c r="F4140" s="314"/>
      <c r="H4140" s="315"/>
      <c r="I4140" s="315"/>
      <c r="BA4140" s="30"/>
      <c r="BB4140" s="155"/>
      <c r="BC4140" s="314"/>
      <c r="BD4140" s="314"/>
      <c r="BE4140" s="314"/>
      <c r="BF4140" s="314"/>
      <c r="BG4140" s="314"/>
      <c r="BH4140" s="314"/>
      <c r="BI4140" s="314"/>
      <c r="BJ4140" s="314"/>
      <c r="BK4140" s="40"/>
      <c r="BL4140" s="40"/>
      <c r="BM4140" s="40"/>
      <c r="BN4140" s="40"/>
      <c r="BO4140" s="40"/>
      <c r="BP4140" s="155"/>
      <c r="BQ4140" s="314"/>
      <c r="BR4140" s="314"/>
      <c r="BS4140" s="314"/>
      <c r="BT4140" s="314"/>
      <c r="BU4140" s="314"/>
      <c r="BV4140" s="314"/>
      <c r="BW4140" s="314"/>
      <c r="BX4140" s="155"/>
    </row>
    <row r="4141" spans="1:76" ht="15.75" customHeight="1">
      <c r="A4141" s="25"/>
      <c r="B4141" s="39"/>
      <c r="C4141" s="155"/>
      <c r="D4141" s="155"/>
      <c r="E4141" s="40"/>
      <c r="F4141" s="314"/>
      <c r="H4141" s="315"/>
      <c r="I4141" s="315"/>
      <c r="BA4141" s="30"/>
      <c r="BB4141" s="155"/>
      <c r="BC4141" s="314"/>
      <c r="BD4141" s="314"/>
      <c r="BE4141" s="314"/>
      <c r="BF4141" s="314"/>
      <c r="BG4141" s="314"/>
      <c r="BH4141" s="314"/>
      <c r="BI4141" s="314"/>
      <c r="BJ4141" s="314"/>
      <c r="BK4141" s="40"/>
      <c r="BL4141" s="40"/>
      <c r="BM4141" s="40"/>
      <c r="BN4141" s="40"/>
      <c r="BO4141" s="40"/>
      <c r="BP4141" s="155"/>
      <c r="BQ4141" s="314"/>
      <c r="BR4141" s="314"/>
      <c r="BS4141" s="314"/>
      <c r="BT4141" s="314"/>
      <c r="BU4141" s="314"/>
      <c r="BV4141" s="314"/>
      <c r="BW4141" s="314"/>
      <c r="BX4141" s="155"/>
    </row>
    <row r="4142" spans="1:76" ht="15.75" customHeight="1">
      <c r="A4142" s="25"/>
      <c r="B4142" s="39"/>
      <c r="C4142" s="155"/>
      <c r="D4142" s="155"/>
      <c r="E4142" s="40"/>
      <c r="F4142" s="314"/>
      <c r="H4142" s="315"/>
      <c r="I4142" s="315"/>
      <c r="BA4142" s="30"/>
      <c r="BB4142" s="155"/>
      <c r="BC4142" s="314"/>
      <c r="BD4142" s="314"/>
      <c r="BE4142" s="314"/>
      <c r="BF4142" s="314"/>
      <c r="BG4142" s="314"/>
      <c r="BH4142" s="314"/>
      <c r="BI4142" s="314"/>
      <c r="BJ4142" s="314"/>
      <c r="BK4142" s="40"/>
      <c r="BL4142" s="40"/>
      <c r="BM4142" s="40"/>
      <c r="BN4142" s="40"/>
      <c r="BO4142" s="40"/>
      <c r="BP4142" s="155"/>
      <c r="BQ4142" s="314"/>
      <c r="BR4142" s="314"/>
      <c r="BS4142" s="314"/>
      <c r="BT4142" s="314"/>
      <c r="BU4142" s="314"/>
      <c r="BV4142" s="314"/>
      <c r="BW4142" s="314"/>
      <c r="BX4142" s="155"/>
    </row>
    <row r="4143" spans="1:76" ht="15.75" customHeight="1">
      <c r="A4143" s="25"/>
      <c r="B4143" s="39"/>
      <c r="C4143" s="155"/>
      <c r="D4143" s="155"/>
      <c r="E4143" s="40"/>
      <c r="F4143" s="314"/>
      <c r="H4143" s="315"/>
      <c r="I4143" s="315"/>
      <c r="BA4143" s="30"/>
      <c r="BB4143" s="155"/>
      <c r="BC4143" s="314"/>
      <c r="BD4143" s="314"/>
      <c r="BE4143" s="314"/>
      <c r="BF4143" s="314"/>
      <c r="BG4143" s="314"/>
      <c r="BH4143" s="314"/>
      <c r="BI4143" s="314"/>
      <c r="BJ4143" s="314"/>
      <c r="BK4143" s="40"/>
      <c r="BL4143" s="40"/>
      <c r="BM4143" s="40"/>
      <c r="BN4143" s="40"/>
      <c r="BO4143" s="40"/>
      <c r="BP4143" s="155"/>
      <c r="BQ4143" s="314"/>
      <c r="BR4143" s="314"/>
      <c r="BS4143" s="314"/>
      <c r="BT4143" s="314"/>
      <c r="BU4143" s="314"/>
      <c r="BV4143" s="314"/>
      <c r="BW4143" s="314"/>
      <c r="BX4143" s="155"/>
    </row>
    <row r="4144" spans="1:76" ht="15.75" customHeight="1">
      <c r="A4144" s="25"/>
      <c r="B4144" s="39"/>
      <c r="C4144" s="155"/>
      <c r="D4144" s="155"/>
      <c r="E4144" s="40"/>
      <c r="F4144" s="314"/>
      <c r="H4144" s="315"/>
      <c r="I4144" s="315"/>
      <c r="BA4144" s="30"/>
      <c r="BB4144" s="155"/>
      <c r="BC4144" s="314"/>
      <c r="BD4144" s="314"/>
      <c r="BE4144" s="314"/>
      <c r="BF4144" s="314"/>
      <c r="BG4144" s="314"/>
      <c r="BH4144" s="314"/>
      <c r="BI4144" s="314"/>
      <c r="BJ4144" s="314"/>
      <c r="BK4144" s="40"/>
      <c r="BL4144" s="40"/>
      <c r="BM4144" s="40"/>
      <c r="BN4144" s="40"/>
      <c r="BO4144" s="40"/>
      <c r="BP4144" s="155"/>
      <c r="BQ4144" s="314"/>
      <c r="BR4144" s="314"/>
      <c r="BS4144" s="314"/>
      <c r="BT4144" s="314"/>
      <c r="BU4144" s="314"/>
      <c r="BV4144" s="314"/>
      <c r="BW4144" s="314"/>
      <c r="BX4144" s="155"/>
    </row>
    <row r="4145" spans="1:76" ht="15.75" customHeight="1">
      <c r="A4145" s="25"/>
      <c r="B4145" s="39"/>
      <c r="C4145" s="155"/>
      <c r="D4145" s="155"/>
      <c r="E4145" s="40"/>
      <c r="F4145" s="314"/>
      <c r="H4145" s="315"/>
      <c r="I4145" s="315"/>
      <c r="BA4145" s="30"/>
      <c r="BB4145" s="155"/>
      <c r="BC4145" s="314"/>
      <c r="BD4145" s="314"/>
      <c r="BE4145" s="314"/>
      <c r="BF4145" s="314"/>
      <c r="BG4145" s="314"/>
      <c r="BH4145" s="314"/>
      <c r="BI4145" s="314"/>
      <c r="BJ4145" s="314"/>
      <c r="BK4145" s="40"/>
      <c r="BL4145" s="40"/>
      <c r="BM4145" s="40"/>
      <c r="BN4145" s="40"/>
      <c r="BO4145" s="40"/>
      <c r="BP4145" s="155"/>
      <c r="BQ4145" s="314"/>
      <c r="BR4145" s="314"/>
      <c r="BS4145" s="314"/>
      <c r="BT4145" s="314"/>
      <c r="BU4145" s="314"/>
      <c r="BV4145" s="314"/>
      <c r="BW4145" s="314"/>
      <c r="BX4145" s="155"/>
    </row>
    <row r="4146" spans="1:76" ht="15.75" customHeight="1">
      <c r="A4146" s="25"/>
      <c r="B4146" s="39"/>
      <c r="C4146" s="155"/>
      <c r="D4146" s="155"/>
      <c r="E4146" s="40"/>
      <c r="F4146" s="314"/>
      <c r="H4146" s="315"/>
      <c r="I4146" s="315"/>
      <c r="BA4146" s="30"/>
      <c r="BB4146" s="155"/>
      <c r="BC4146" s="314"/>
      <c r="BD4146" s="314"/>
      <c r="BE4146" s="314"/>
      <c r="BF4146" s="314"/>
      <c r="BG4146" s="314"/>
      <c r="BH4146" s="314"/>
      <c r="BI4146" s="314"/>
      <c r="BJ4146" s="314"/>
      <c r="BK4146" s="40"/>
      <c r="BL4146" s="40"/>
      <c r="BM4146" s="40"/>
      <c r="BN4146" s="40"/>
      <c r="BO4146" s="40"/>
      <c r="BP4146" s="155"/>
      <c r="BQ4146" s="314"/>
      <c r="BR4146" s="314"/>
      <c r="BS4146" s="314"/>
      <c r="BT4146" s="314"/>
      <c r="BU4146" s="314"/>
      <c r="BV4146" s="314"/>
      <c r="BW4146" s="314"/>
      <c r="BX4146" s="155"/>
    </row>
    <row r="4147" spans="1:76" ht="15.75" customHeight="1">
      <c r="A4147" s="25"/>
      <c r="B4147" s="39"/>
      <c r="C4147" s="155"/>
      <c r="D4147" s="155"/>
      <c r="E4147" s="40"/>
      <c r="F4147" s="314"/>
      <c r="H4147" s="315"/>
      <c r="I4147" s="315"/>
      <c r="BA4147" s="30"/>
      <c r="BB4147" s="155"/>
      <c r="BC4147" s="314"/>
      <c r="BD4147" s="314"/>
      <c r="BE4147" s="314"/>
      <c r="BF4147" s="314"/>
      <c r="BG4147" s="314"/>
      <c r="BH4147" s="314"/>
      <c r="BI4147" s="314"/>
      <c r="BJ4147" s="314"/>
      <c r="BK4147" s="40"/>
      <c r="BL4147" s="40"/>
      <c r="BM4147" s="40"/>
      <c r="BN4147" s="40"/>
      <c r="BO4147" s="40"/>
      <c r="BP4147" s="155"/>
      <c r="BQ4147" s="314"/>
      <c r="BR4147" s="314"/>
      <c r="BS4147" s="314"/>
      <c r="BT4147" s="314"/>
      <c r="BU4147" s="314"/>
      <c r="BV4147" s="314"/>
      <c r="BW4147" s="314"/>
      <c r="BX4147" s="155"/>
    </row>
    <row r="4148" spans="1:76" ht="15.75" customHeight="1">
      <c r="A4148" s="25"/>
      <c r="B4148" s="39"/>
      <c r="C4148" s="155"/>
      <c r="D4148" s="155"/>
      <c r="E4148" s="40"/>
      <c r="F4148" s="314"/>
      <c r="H4148" s="315"/>
      <c r="I4148" s="315"/>
      <c r="BA4148" s="30"/>
      <c r="BB4148" s="155"/>
      <c r="BC4148" s="314"/>
      <c r="BD4148" s="314"/>
      <c r="BE4148" s="314"/>
      <c r="BF4148" s="314"/>
      <c r="BG4148" s="314"/>
      <c r="BH4148" s="314"/>
      <c r="BI4148" s="314"/>
      <c r="BJ4148" s="314"/>
      <c r="BK4148" s="40"/>
      <c r="BL4148" s="40"/>
      <c r="BM4148" s="40"/>
      <c r="BN4148" s="40"/>
      <c r="BO4148" s="40"/>
      <c r="BP4148" s="155"/>
      <c r="BQ4148" s="314"/>
      <c r="BR4148" s="314"/>
      <c r="BS4148" s="314"/>
      <c r="BT4148" s="314"/>
      <c r="BU4148" s="314"/>
      <c r="BV4148" s="314"/>
      <c r="BW4148" s="314"/>
      <c r="BX4148" s="155"/>
    </row>
    <row r="4149" spans="1:76" ht="15.75" customHeight="1">
      <c r="A4149" s="25"/>
      <c r="B4149" s="39"/>
      <c r="C4149" s="155"/>
      <c r="D4149" s="155"/>
      <c r="E4149" s="40"/>
      <c r="F4149" s="314"/>
      <c r="H4149" s="315"/>
      <c r="I4149" s="315"/>
      <c r="BA4149" s="30"/>
      <c r="BB4149" s="155"/>
      <c r="BC4149" s="314"/>
      <c r="BD4149" s="314"/>
      <c r="BE4149" s="314"/>
      <c r="BF4149" s="314"/>
      <c r="BG4149" s="314"/>
      <c r="BH4149" s="314"/>
      <c r="BI4149" s="314"/>
      <c r="BJ4149" s="314"/>
      <c r="BK4149" s="40"/>
      <c r="BL4149" s="40"/>
      <c r="BM4149" s="40"/>
      <c r="BN4149" s="40"/>
      <c r="BO4149" s="40"/>
      <c r="BP4149" s="155"/>
      <c r="BQ4149" s="314"/>
      <c r="BR4149" s="314"/>
      <c r="BS4149" s="314"/>
      <c r="BT4149" s="314"/>
      <c r="BU4149" s="314"/>
      <c r="BV4149" s="314"/>
      <c r="BW4149" s="314"/>
      <c r="BX4149" s="155"/>
    </row>
    <row r="4150" spans="1:76" ht="15.75" customHeight="1">
      <c r="A4150" s="25"/>
      <c r="B4150" s="39"/>
      <c r="C4150" s="155"/>
      <c r="D4150" s="155"/>
      <c r="E4150" s="40"/>
      <c r="F4150" s="314"/>
      <c r="H4150" s="315"/>
      <c r="I4150" s="315"/>
      <c r="BA4150" s="30"/>
      <c r="BB4150" s="155"/>
      <c r="BC4150" s="314"/>
      <c r="BD4150" s="314"/>
      <c r="BE4150" s="314"/>
      <c r="BF4150" s="314"/>
      <c r="BG4150" s="314"/>
      <c r="BH4150" s="314"/>
      <c r="BI4150" s="314"/>
      <c r="BJ4150" s="314"/>
      <c r="BK4150" s="40"/>
      <c r="BL4150" s="40"/>
      <c r="BM4150" s="40"/>
      <c r="BN4150" s="40"/>
      <c r="BO4150" s="40"/>
      <c r="BP4150" s="155"/>
      <c r="BQ4150" s="314"/>
      <c r="BR4150" s="314"/>
      <c r="BS4150" s="314"/>
      <c r="BT4150" s="314"/>
      <c r="BU4150" s="314"/>
      <c r="BV4150" s="314"/>
      <c r="BW4150" s="314"/>
      <c r="BX4150" s="155"/>
    </row>
    <row r="4151" spans="1:76" ht="15.75" customHeight="1">
      <c r="A4151" s="25"/>
      <c r="B4151" s="39"/>
      <c r="C4151" s="155"/>
      <c r="D4151" s="155"/>
      <c r="E4151" s="40"/>
      <c r="F4151" s="314"/>
      <c r="H4151" s="315"/>
      <c r="I4151" s="315"/>
      <c r="BA4151" s="30"/>
      <c r="BB4151" s="155"/>
      <c r="BC4151" s="314"/>
      <c r="BD4151" s="314"/>
      <c r="BE4151" s="314"/>
      <c r="BF4151" s="314"/>
      <c r="BG4151" s="314"/>
      <c r="BH4151" s="314"/>
      <c r="BI4151" s="314"/>
      <c r="BJ4151" s="314"/>
      <c r="BK4151" s="40"/>
      <c r="BL4151" s="40"/>
      <c r="BM4151" s="40"/>
      <c r="BN4151" s="40"/>
      <c r="BO4151" s="40"/>
      <c r="BP4151" s="155"/>
      <c r="BQ4151" s="314"/>
      <c r="BR4151" s="314"/>
      <c r="BS4151" s="314"/>
      <c r="BT4151" s="314"/>
      <c r="BU4151" s="314"/>
      <c r="BV4151" s="314"/>
      <c r="BW4151" s="314"/>
      <c r="BX4151" s="155"/>
    </row>
    <row r="4152" spans="1:76" ht="15.75" customHeight="1">
      <c r="A4152" s="25"/>
      <c r="B4152" s="39"/>
      <c r="C4152" s="155"/>
      <c r="D4152" s="155"/>
      <c r="E4152" s="40"/>
      <c r="F4152" s="314"/>
      <c r="H4152" s="315"/>
      <c r="I4152" s="315"/>
      <c r="BA4152" s="30"/>
      <c r="BB4152" s="155"/>
      <c r="BC4152" s="314"/>
      <c r="BD4152" s="314"/>
      <c r="BE4152" s="314"/>
      <c r="BF4152" s="314"/>
      <c r="BG4152" s="314"/>
      <c r="BH4152" s="314"/>
      <c r="BI4152" s="314"/>
      <c r="BJ4152" s="314"/>
      <c r="BK4152" s="40"/>
      <c r="BL4152" s="40"/>
      <c r="BM4152" s="40"/>
      <c r="BN4152" s="40"/>
      <c r="BO4152" s="40"/>
      <c r="BP4152" s="155"/>
      <c r="BQ4152" s="314"/>
      <c r="BR4152" s="314"/>
      <c r="BS4152" s="314"/>
      <c r="BT4152" s="314"/>
      <c r="BU4152" s="314"/>
      <c r="BV4152" s="314"/>
      <c r="BW4152" s="314"/>
      <c r="BX4152" s="155"/>
    </row>
    <row r="4153" spans="1:76" ht="15.75" customHeight="1">
      <c r="A4153" s="25"/>
      <c r="B4153" s="39"/>
      <c r="C4153" s="155"/>
      <c r="D4153" s="155"/>
      <c r="E4153" s="40"/>
      <c r="F4153" s="314"/>
      <c r="H4153" s="315"/>
      <c r="I4153" s="315"/>
      <c r="BA4153" s="30"/>
      <c r="BB4153" s="155"/>
      <c r="BC4153" s="314"/>
      <c r="BD4153" s="314"/>
      <c r="BE4153" s="314"/>
      <c r="BF4153" s="314"/>
      <c r="BG4153" s="314"/>
      <c r="BH4153" s="314"/>
      <c r="BI4153" s="314"/>
      <c r="BJ4153" s="314"/>
      <c r="BK4153" s="40"/>
      <c r="BL4153" s="40"/>
      <c r="BM4153" s="40"/>
      <c r="BN4153" s="40"/>
      <c r="BO4153" s="40"/>
      <c r="BP4153" s="155"/>
      <c r="BQ4153" s="314"/>
      <c r="BR4153" s="314"/>
      <c r="BS4153" s="314"/>
      <c r="BT4153" s="314"/>
      <c r="BU4153" s="314"/>
      <c r="BV4153" s="314"/>
      <c r="BW4153" s="314"/>
      <c r="BX4153" s="155"/>
    </row>
    <row r="4154" spans="1:76" ht="15.75" customHeight="1">
      <c r="A4154" s="25"/>
      <c r="B4154" s="39"/>
      <c r="C4154" s="155"/>
      <c r="D4154" s="155"/>
      <c r="E4154" s="40"/>
      <c r="F4154" s="314"/>
      <c r="H4154" s="315"/>
      <c r="I4154" s="315"/>
      <c r="BA4154" s="30"/>
      <c r="BB4154" s="155"/>
      <c r="BC4154" s="314"/>
      <c r="BD4154" s="314"/>
      <c r="BE4154" s="314"/>
      <c r="BF4154" s="314"/>
      <c r="BG4154" s="314"/>
      <c r="BH4154" s="314"/>
      <c r="BI4154" s="314"/>
      <c r="BJ4154" s="314"/>
      <c r="BK4154" s="40"/>
      <c r="BL4154" s="40"/>
      <c r="BM4154" s="40"/>
      <c r="BN4154" s="40"/>
      <c r="BO4154" s="40"/>
      <c r="BP4154" s="155"/>
      <c r="BQ4154" s="314"/>
      <c r="BR4154" s="314"/>
      <c r="BS4154" s="314"/>
      <c r="BT4154" s="314"/>
      <c r="BU4154" s="314"/>
      <c r="BV4154" s="314"/>
      <c r="BW4154" s="314"/>
      <c r="BX4154" s="155"/>
    </row>
    <row r="4155" spans="1:76" ht="15.75" customHeight="1">
      <c r="A4155" s="25"/>
      <c r="B4155" s="39"/>
      <c r="C4155" s="155"/>
      <c r="D4155" s="155"/>
      <c r="E4155" s="40"/>
      <c r="F4155" s="314"/>
      <c r="H4155" s="315"/>
      <c r="I4155" s="315"/>
      <c r="BA4155" s="30"/>
      <c r="BB4155" s="155"/>
      <c r="BC4155" s="314"/>
      <c r="BD4155" s="314"/>
      <c r="BE4155" s="314"/>
      <c r="BF4155" s="314"/>
      <c r="BG4155" s="314"/>
      <c r="BH4155" s="314"/>
      <c r="BI4155" s="314"/>
      <c r="BJ4155" s="314"/>
      <c r="BK4155" s="40"/>
      <c r="BL4155" s="40"/>
      <c r="BM4155" s="40"/>
      <c r="BN4155" s="40"/>
      <c r="BO4155" s="40"/>
      <c r="BP4155" s="155"/>
      <c r="BQ4155" s="314"/>
      <c r="BR4155" s="314"/>
      <c r="BS4155" s="314"/>
      <c r="BT4155" s="314"/>
      <c r="BU4155" s="314"/>
      <c r="BV4155" s="314"/>
      <c r="BW4155" s="314"/>
      <c r="BX4155" s="155"/>
    </row>
    <row r="4156" spans="1:76" ht="15.75" customHeight="1">
      <c r="A4156" s="25"/>
      <c r="B4156" s="39"/>
      <c r="C4156" s="155"/>
      <c r="D4156" s="155"/>
      <c r="E4156" s="40"/>
      <c r="F4156" s="314"/>
      <c r="H4156" s="315"/>
      <c r="I4156" s="315"/>
      <c r="BA4156" s="30"/>
      <c r="BB4156" s="155"/>
      <c r="BC4156" s="314"/>
      <c r="BD4156" s="314"/>
      <c r="BE4156" s="314"/>
      <c r="BF4156" s="314"/>
      <c r="BG4156" s="314"/>
      <c r="BH4156" s="314"/>
      <c r="BI4156" s="314"/>
      <c r="BJ4156" s="314"/>
      <c r="BK4156" s="40"/>
      <c r="BL4156" s="40"/>
      <c r="BM4156" s="40"/>
      <c r="BN4156" s="40"/>
      <c r="BO4156" s="40"/>
      <c r="BP4156" s="155"/>
      <c r="BQ4156" s="314"/>
      <c r="BR4156" s="314"/>
      <c r="BS4156" s="314"/>
      <c r="BT4156" s="314"/>
      <c r="BU4156" s="314"/>
      <c r="BV4156" s="314"/>
      <c r="BW4156" s="314"/>
      <c r="BX4156" s="155"/>
    </row>
    <row r="4157" spans="1:76" ht="15.75" customHeight="1">
      <c r="A4157" s="25"/>
      <c r="B4157" s="39"/>
      <c r="C4157" s="155"/>
      <c r="D4157" s="155"/>
      <c r="E4157" s="40"/>
      <c r="F4157" s="314"/>
      <c r="H4157" s="315"/>
      <c r="I4157" s="315"/>
      <c r="BA4157" s="30"/>
      <c r="BB4157" s="155"/>
      <c r="BC4157" s="314"/>
      <c r="BD4157" s="314"/>
      <c r="BE4157" s="314"/>
      <c r="BF4157" s="314"/>
      <c r="BG4157" s="314"/>
      <c r="BH4157" s="314"/>
      <c r="BI4157" s="314"/>
      <c r="BJ4157" s="314"/>
      <c r="BK4157" s="40"/>
      <c r="BL4157" s="40"/>
      <c r="BM4157" s="40"/>
      <c r="BN4157" s="40"/>
      <c r="BO4157" s="40"/>
      <c r="BP4157" s="155"/>
      <c r="BQ4157" s="314"/>
      <c r="BR4157" s="314"/>
      <c r="BS4157" s="314"/>
      <c r="BT4157" s="314"/>
      <c r="BU4157" s="314"/>
      <c r="BV4157" s="314"/>
      <c r="BW4157" s="314"/>
      <c r="BX4157" s="155"/>
    </row>
    <row r="4158" spans="1:76" ht="15.75" customHeight="1">
      <c r="A4158" s="25"/>
      <c r="B4158" s="39"/>
      <c r="C4158" s="155"/>
      <c r="D4158" s="155"/>
      <c r="E4158" s="40"/>
      <c r="F4158" s="314"/>
      <c r="H4158" s="315"/>
      <c r="I4158" s="315"/>
      <c r="BA4158" s="30"/>
      <c r="BB4158" s="155"/>
      <c r="BC4158" s="314"/>
      <c r="BD4158" s="314"/>
      <c r="BE4158" s="314"/>
      <c r="BF4158" s="314"/>
      <c r="BG4158" s="314"/>
      <c r="BH4158" s="314"/>
      <c r="BI4158" s="314"/>
      <c r="BJ4158" s="314"/>
      <c r="BK4158" s="40"/>
      <c r="BL4158" s="40"/>
      <c r="BM4158" s="40"/>
      <c r="BN4158" s="40"/>
      <c r="BO4158" s="40"/>
      <c r="BP4158" s="155"/>
      <c r="BQ4158" s="314"/>
      <c r="BR4158" s="314"/>
      <c r="BS4158" s="314"/>
      <c r="BT4158" s="314"/>
      <c r="BU4158" s="314"/>
      <c r="BV4158" s="314"/>
      <c r="BW4158" s="314"/>
      <c r="BX4158" s="155"/>
    </row>
    <row r="4159" spans="1:76" ht="15.75" customHeight="1">
      <c r="A4159" s="25"/>
      <c r="B4159" s="39"/>
      <c r="C4159" s="155"/>
      <c r="D4159" s="155"/>
      <c r="E4159" s="40"/>
      <c r="F4159" s="314"/>
      <c r="H4159" s="315"/>
      <c r="I4159" s="315"/>
      <c r="BA4159" s="30"/>
      <c r="BB4159" s="155"/>
      <c r="BC4159" s="314"/>
      <c r="BD4159" s="314"/>
      <c r="BE4159" s="314"/>
      <c r="BF4159" s="314"/>
      <c r="BG4159" s="314"/>
      <c r="BH4159" s="314"/>
      <c r="BI4159" s="314"/>
      <c r="BJ4159" s="314"/>
      <c r="BK4159" s="40"/>
      <c r="BL4159" s="40"/>
      <c r="BM4159" s="40"/>
      <c r="BN4159" s="40"/>
      <c r="BO4159" s="40"/>
      <c r="BP4159" s="155"/>
      <c r="BQ4159" s="314"/>
      <c r="BR4159" s="314"/>
      <c r="BS4159" s="314"/>
      <c r="BT4159" s="314"/>
      <c r="BU4159" s="314"/>
      <c r="BV4159" s="314"/>
      <c r="BW4159" s="314"/>
      <c r="BX4159" s="155"/>
    </row>
    <row r="4160" spans="1:76" ht="15.75" customHeight="1">
      <c r="A4160" s="25"/>
      <c r="B4160" s="39"/>
      <c r="C4160" s="155"/>
      <c r="D4160" s="155"/>
      <c r="E4160" s="40"/>
      <c r="F4160" s="314"/>
      <c r="H4160" s="315"/>
      <c r="I4160" s="315"/>
      <c r="BA4160" s="30"/>
      <c r="BB4160" s="155"/>
      <c r="BC4160" s="314"/>
      <c r="BD4160" s="314"/>
      <c r="BE4160" s="314"/>
      <c r="BF4160" s="314"/>
      <c r="BG4160" s="314"/>
      <c r="BH4160" s="314"/>
      <c r="BI4160" s="314"/>
      <c r="BJ4160" s="314"/>
      <c r="BK4160" s="40"/>
      <c r="BL4160" s="40"/>
      <c r="BM4160" s="40"/>
      <c r="BN4160" s="40"/>
      <c r="BO4160" s="40"/>
      <c r="BP4160" s="155"/>
      <c r="BQ4160" s="314"/>
      <c r="BR4160" s="314"/>
      <c r="BS4160" s="314"/>
      <c r="BT4160" s="314"/>
      <c r="BU4160" s="314"/>
      <c r="BV4160" s="314"/>
      <c r="BW4160" s="314"/>
      <c r="BX4160" s="155"/>
    </row>
    <row r="4161" spans="1:76" ht="15.75" customHeight="1">
      <c r="A4161" s="25"/>
      <c r="B4161" s="39"/>
      <c r="C4161" s="155"/>
      <c r="D4161" s="155"/>
      <c r="E4161" s="40"/>
      <c r="F4161" s="314"/>
      <c r="H4161" s="315"/>
      <c r="I4161" s="315"/>
      <c r="BA4161" s="30"/>
      <c r="BB4161" s="155"/>
      <c r="BC4161" s="314"/>
      <c r="BD4161" s="314"/>
      <c r="BE4161" s="314"/>
      <c r="BF4161" s="314"/>
      <c r="BG4161" s="314"/>
      <c r="BH4161" s="314"/>
      <c r="BI4161" s="314"/>
      <c r="BJ4161" s="314"/>
      <c r="BK4161" s="40"/>
      <c r="BL4161" s="40"/>
      <c r="BM4161" s="40"/>
      <c r="BN4161" s="40"/>
      <c r="BO4161" s="40"/>
      <c r="BP4161" s="155"/>
      <c r="BQ4161" s="314"/>
      <c r="BR4161" s="314"/>
      <c r="BS4161" s="314"/>
      <c r="BT4161" s="314"/>
      <c r="BU4161" s="314"/>
      <c r="BV4161" s="314"/>
      <c r="BW4161" s="314"/>
      <c r="BX4161" s="155"/>
    </row>
    <row r="4162" spans="1:76" ht="15.75" customHeight="1">
      <c r="A4162" s="25"/>
      <c r="B4162" s="39"/>
      <c r="C4162" s="155"/>
      <c r="D4162" s="155"/>
      <c r="E4162" s="40"/>
      <c r="F4162" s="314"/>
      <c r="H4162" s="315"/>
      <c r="I4162" s="315"/>
      <c r="BA4162" s="30"/>
      <c r="BB4162" s="155"/>
      <c r="BC4162" s="314"/>
      <c r="BD4162" s="314"/>
      <c r="BE4162" s="314"/>
      <c r="BF4162" s="314"/>
      <c r="BG4162" s="314"/>
      <c r="BH4162" s="314"/>
      <c r="BI4162" s="314"/>
      <c r="BJ4162" s="314"/>
      <c r="BK4162" s="40"/>
      <c r="BL4162" s="40"/>
      <c r="BM4162" s="40"/>
      <c r="BN4162" s="40"/>
      <c r="BO4162" s="40"/>
      <c r="BP4162" s="155"/>
      <c r="BQ4162" s="314"/>
      <c r="BR4162" s="314"/>
      <c r="BS4162" s="314"/>
      <c r="BT4162" s="314"/>
      <c r="BU4162" s="314"/>
      <c r="BV4162" s="314"/>
      <c r="BW4162" s="314"/>
      <c r="BX4162" s="155"/>
    </row>
    <row r="4163" spans="1:76" ht="15.75" customHeight="1">
      <c r="A4163" s="25"/>
      <c r="B4163" s="39"/>
      <c r="C4163" s="155"/>
      <c r="D4163" s="155"/>
      <c r="E4163" s="40"/>
      <c r="F4163" s="314"/>
      <c r="H4163" s="315"/>
      <c r="I4163" s="315"/>
      <c r="BA4163" s="30"/>
      <c r="BB4163" s="155"/>
      <c r="BC4163" s="314"/>
      <c r="BD4163" s="314"/>
      <c r="BE4163" s="314"/>
      <c r="BF4163" s="314"/>
      <c r="BG4163" s="314"/>
      <c r="BH4163" s="314"/>
      <c r="BI4163" s="314"/>
      <c r="BJ4163" s="314"/>
      <c r="BK4163" s="40"/>
      <c r="BL4163" s="40"/>
      <c r="BM4163" s="40"/>
      <c r="BN4163" s="40"/>
      <c r="BO4163" s="40"/>
      <c r="BP4163" s="155"/>
      <c r="BQ4163" s="314"/>
      <c r="BR4163" s="314"/>
      <c r="BS4163" s="314"/>
      <c r="BT4163" s="314"/>
      <c r="BU4163" s="314"/>
      <c r="BV4163" s="314"/>
      <c r="BW4163" s="314"/>
      <c r="BX4163" s="155"/>
    </row>
    <row r="4164" spans="1:76" ht="15.75" customHeight="1">
      <c r="A4164" s="25"/>
      <c r="B4164" s="39"/>
      <c r="C4164" s="155"/>
      <c r="D4164" s="155"/>
      <c r="E4164" s="40"/>
      <c r="F4164" s="314"/>
      <c r="H4164" s="315"/>
      <c r="I4164" s="315"/>
      <c r="BA4164" s="30"/>
      <c r="BB4164" s="155"/>
      <c r="BC4164" s="314"/>
      <c r="BD4164" s="314"/>
      <c r="BE4164" s="314"/>
      <c r="BF4164" s="314"/>
      <c r="BG4164" s="314"/>
      <c r="BH4164" s="314"/>
      <c r="BI4164" s="314"/>
      <c r="BJ4164" s="314"/>
      <c r="BK4164" s="40"/>
      <c r="BL4164" s="40"/>
      <c r="BM4164" s="40"/>
      <c r="BN4164" s="40"/>
      <c r="BO4164" s="40"/>
      <c r="BP4164" s="155"/>
      <c r="BQ4164" s="314"/>
      <c r="BR4164" s="314"/>
      <c r="BS4164" s="314"/>
      <c r="BT4164" s="314"/>
      <c r="BU4164" s="314"/>
      <c r="BV4164" s="314"/>
      <c r="BW4164" s="314"/>
      <c r="BX4164" s="155"/>
    </row>
    <row r="4165" spans="1:76" ht="15.75" customHeight="1">
      <c r="A4165" s="25"/>
      <c r="B4165" s="39"/>
      <c r="C4165" s="155"/>
      <c r="D4165" s="155"/>
      <c r="E4165" s="40"/>
      <c r="F4165" s="314"/>
      <c r="H4165" s="315"/>
      <c r="I4165" s="315"/>
      <c r="BA4165" s="30"/>
      <c r="BB4165" s="155"/>
      <c r="BC4165" s="322"/>
      <c r="BD4165" s="322"/>
      <c r="BE4165" s="322"/>
      <c r="BF4165" s="322"/>
      <c r="BG4165" s="322"/>
      <c r="BH4165" s="322"/>
      <c r="BI4165" s="322"/>
      <c r="BJ4165" s="322"/>
      <c r="BK4165" s="341"/>
      <c r="BL4165" s="40"/>
      <c r="BM4165" s="40"/>
      <c r="BN4165" s="40"/>
      <c r="BO4165" s="40"/>
      <c r="BP4165" s="155"/>
      <c r="BQ4165" s="314"/>
      <c r="BR4165" s="314"/>
      <c r="BS4165" s="314"/>
      <c r="BT4165" s="314"/>
      <c r="BU4165" s="314"/>
      <c r="BV4165" s="314"/>
      <c r="BW4165" s="314"/>
      <c r="BX4165" s="155"/>
    </row>
    <row r="4166" spans="1:76" ht="15.75" customHeight="1">
      <c r="A4166" s="25"/>
      <c r="B4166" s="39"/>
      <c r="C4166" s="155"/>
      <c r="D4166" s="155"/>
      <c r="E4166" s="40"/>
      <c r="F4166" s="314"/>
      <c r="H4166" s="315"/>
      <c r="I4166" s="315"/>
      <c r="BA4166" s="30"/>
      <c r="BB4166" s="155"/>
      <c r="BC4166" s="314"/>
      <c r="BD4166" s="314"/>
      <c r="BE4166" s="314"/>
      <c r="BF4166" s="314"/>
      <c r="BG4166" s="314"/>
      <c r="BH4166" s="314"/>
      <c r="BI4166" s="314"/>
      <c r="BJ4166" s="314"/>
      <c r="BK4166" s="40"/>
      <c r="BL4166" s="40"/>
      <c r="BM4166" s="40"/>
      <c r="BN4166" s="40"/>
      <c r="BO4166" s="40"/>
      <c r="BP4166" s="155"/>
      <c r="BQ4166" s="314"/>
      <c r="BR4166" s="314"/>
      <c r="BS4166" s="314"/>
      <c r="BT4166" s="314"/>
      <c r="BU4166" s="314"/>
      <c r="BV4166" s="314"/>
      <c r="BW4166" s="314"/>
      <c r="BX4166" s="155"/>
    </row>
    <row r="4167" spans="1:76" ht="15.75" customHeight="1">
      <c r="A4167" s="25"/>
      <c r="B4167" s="39"/>
      <c r="C4167" s="155"/>
      <c r="D4167" s="155"/>
      <c r="E4167" s="40"/>
      <c r="F4167" s="314"/>
      <c r="H4167" s="315"/>
      <c r="I4167" s="315"/>
      <c r="BA4167" s="30"/>
      <c r="BB4167" s="155"/>
      <c r="BC4167" s="314"/>
      <c r="BD4167" s="314"/>
      <c r="BE4167" s="314"/>
      <c r="BF4167" s="314"/>
      <c r="BG4167" s="314"/>
      <c r="BH4167" s="314"/>
      <c r="BI4167" s="314"/>
      <c r="BJ4167" s="314"/>
      <c r="BK4167" s="40"/>
      <c r="BL4167" s="40"/>
      <c r="BM4167" s="40"/>
      <c r="BN4167" s="40"/>
      <c r="BO4167" s="40"/>
      <c r="BP4167" s="155"/>
      <c r="BQ4167" s="314"/>
      <c r="BR4167" s="314"/>
      <c r="BS4167" s="314"/>
      <c r="BT4167" s="314"/>
      <c r="BU4167" s="314"/>
      <c r="BV4167" s="314"/>
      <c r="BW4167" s="314"/>
      <c r="BX4167" s="155"/>
    </row>
    <row r="4168" spans="1:76" ht="15.75" customHeight="1">
      <c r="A4168" s="25"/>
      <c r="B4168" s="39"/>
      <c r="C4168" s="155"/>
      <c r="D4168" s="155"/>
      <c r="E4168" s="40"/>
      <c r="F4168" s="314"/>
      <c r="H4168" s="315"/>
      <c r="I4168" s="315"/>
      <c r="BA4168" s="30"/>
      <c r="BB4168" s="155"/>
      <c r="BC4168" s="314"/>
      <c r="BD4168" s="314"/>
      <c r="BE4168" s="314"/>
      <c r="BF4168" s="314"/>
      <c r="BG4168" s="314"/>
      <c r="BH4168" s="314"/>
      <c r="BI4168" s="314"/>
      <c r="BJ4168" s="314"/>
      <c r="BK4168" s="40"/>
      <c r="BL4168" s="40"/>
      <c r="BM4168" s="40"/>
      <c r="BN4168" s="40"/>
      <c r="BO4168" s="40"/>
      <c r="BP4168" s="155"/>
      <c r="BQ4168" s="314"/>
      <c r="BR4168" s="314"/>
      <c r="BS4168" s="314"/>
      <c r="BT4168" s="314"/>
      <c r="BU4168" s="314"/>
      <c r="BV4168" s="314"/>
      <c r="BW4168" s="314"/>
      <c r="BX4168" s="155"/>
    </row>
    <row r="4169" spans="1:76" ht="15.75" customHeight="1">
      <c r="A4169" s="25"/>
      <c r="B4169" s="39"/>
      <c r="C4169" s="155"/>
      <c r="D4169" s="155"/>
      <c r="E4169" s="40"/>
      <c r="F4169" s="314"/>
      <c r="H4169" s="315"/>
      <c r="I4169" s="315"/>
      <c r="BA4169" s="30"/>
      <c r="BB4169" s="155"/>
      <c r="BC4169" s="314"/>
      <c r="BD4169" s="314"/>
      <c r="BE4169" s="314"/>
      <c r="BF4169" s="314"/>
      <c r="BG4169" s="314"/>
      <c r="BH4169" s="314"/>
      <c r="BI4169" s="314"/>
      <c r="BJ4169" s="314"/>
      <c r="BK4169" s="40"/>
      <c r="BL4169" s="40"/>
      <c r="BM4169" s="40"/>
      <c r="BN4169" s="40"/>
      <c r="BO4169" s="40"/>
      <c r="BP4169" s="155"/>
      <c r="BQ4169" s="314"/>
      <c r="BR4169" s="314"/>
      <c r="BS4169" s="314"/>
      <c r="BT4169" s="314"/>
      <c r="BU4169" s="314"/>
      <c r="BV4169" s="314"/>
      <c r="BW4169" s="314"/>
      <c r="BX4169" s="155"/>
    </row>
    <row r="4170" spans="1:76" ht="15.75" customHeight="1">
      <c r="A4170" s="25"/>
      <c r="B4170" s="39"/>
      <c r="C4170" s="155"/>
      <c r="D4170" s="155"/>
      <c r="E4170" s="40"/>
      <c r="F4170" s="314"/>
      <c r="H4170" s="315"/>
      <c r="I4170" s="315"/>
      <c r="BA4170" s="30"/>
      <c r="BB4170" s="155"/>
      <c r="BC4170" s="314"/>
      <c r="BD4170" s="314"/>
      <c r="BE4170" s="314"/>
      <c r="BF4170" s="314"/>
      <c r="BG4170" s="314"/>
      <c r="BH4170" s="314"/>
      <c r="BI4170" s="314"/>
      <c r="BJ4170" s="314"/>
      <c r="BK4170" s="40"/>
      <c r="BL4170" s="40"/>
      <c r="BM4170" s="40"/>
      <c r="BN4170" s="40"/>
      <c r="BO4170" s="40"/>
      <c r="BP4170" s="155"/>
      <c r="BQ4170" s="314"/>
      <c r="BR4170" s="314"/>
      <c r="BS4170" s="314"/>
      <c r="BT4170" s="314"/>
      <c r="BU4170" s="314"/>
      <c r="BV4170" s="314"/>
      <c r="BW4170" s="314"/>
      <c r="BX4170" s="155"/>
    </row>
    <row r="4171" spans="1:76" ht="15.75" customHeight="1">
      <c r="A4171" s="25"/>
      <c r="B4171" s="39"/>
      <c r="C4171" s="155"/>
      <c r="D4171" s="155"/>
      <c r="E4171" s="40"/>
      <c r="F4171" s="314"/>
      <c r="H4171" s="315"/>
      <c r="I4171" s="315"/>
      <c r="BA4171" s="30"/>
      <c r="BB4171" s="155"/>
      <c r="BC4171" s="314"/>
      <c r="BD4171" s="314"/>
      <c r="BE4171" s="314"/>
      <c r="BF4171" s="314"/>
      <c r="BG4171" s="314"/>
      <c r="BH4171" s="314"/>
      <c r="BI4171" s="314"/>
      <c r="BJ4171" s="314"/>
      <c r="BK4171" s="40"/>
      <c r="BL4171" s="40"/>
      <c r="BM4171" s="40"/>
      <c r="BN4171" s="40"/>
      <c r="BO4171" s="40"/>
      <c r="BP4171" s="155"/>
      <c r="BQ4171" s="314"/>
      <c r="BR4171" s="314"/>
      <c r="BS4171" s="314"/>
      <c r="BT4171" s="314"/>
      <c r="BU4171" s="314"/>
      <c r="BV4171" s="314"/>
      <c r="BW4171" s="314"/>
      <c r="BX4171" s="155"/>
    </row>
    <row r="4172" spans="1:76" ht="15.75" customHeight="1">
      <c r="A4172" s="25"/>
      <c r="B4172" s="39"/>
      <c r="C4172" s="155"/>
      <c r="D4172" s="155"/>
      <c r="E4172" s="40"/>
      <c r="F4172" s="314"/>
      <c r="H4172" s="315"/>
      <c r="I4172" s="315"/>
      <c r="BA4172" s="30"/>
      <c r="BB4172" s="155"/>
      <c r="BC4172" s="314"/>
      <c r="BD4172" s="314"/>
      <c r="BE4172" s="314"/>
      <c r="BF4172" s="314"/>
      <c r="BG4172" s="314"/>
      <c r="BH4172" s="314"/>
      <c r="BI4172" s="314"/>
      <c r="BJ4172" s="314"/>
      <c r="BK4172" s="40"/>
      <c r="BL4172" s="40"/>
      <c r="BM4172" s="40"/>
      <c r="BN4172" s="40"/>
      <c r="BO4172" s="40"/>
      <c r="BP4172" s="155"/>
      <c r="BQ4172" s="314"/>
      <c r="BR4172" s="314"/>
      <c r="BS4172" s="314"/>
      <c r="BT4172" s="314"/>
      <c r="BU4172" s="314"/>
      <c r="BV4172" s="314"/>
      <c r="BW4172" s="314"/>
      <c r="BX4172" s="155"/>
    </row>
    <row r="4173" spans="1:76" ht="15.75" customHeight="1">
      <c r="A4173" s="25"/>
      <c r="B4173" s="39"/>
      <c r="C4173" s="155"/>
      <c r="D4173" s="155"/>
      <c r="E4173" s="40"/>
      <c r="F4173" s="314"/>
      <c r="H4173" s="315"/>
      <c r="I4173" s="315"/>
      <c r="BA4173" s="30"/>
      <c r="BB4173" s="155"/>
      <c r="BC4173" s="314"/>
      <c r="BD4173" s="314"/>
      <c r="BE4173" s="314"/>
      <c r="BF4173" s="314"/>
      <c r="BG4173" s="314"/>
      <c r="BH4173" s="314"/>
      <c r="BI4173" s="314"/>
      <c r="BJ4173" s="314"/>
      <c r="BK4173" s="40"/>
      <c r="BL4173" s="40"/>
      <c r="BM4173" s="40"/>
      <c r="BN4173" s="40"/>
      <c r="BO4173" s="40"/>
      <c r="BP4173" s="155"/>
      <c r="BQ4173" s="314"/>
      <c r="BR4173" s="314"/>
      <c r="BS4173" s="314"/>
      <c r="BT4173" s="314"/>
      <c r="BU4173" s="314"/>
      <c r="BV4173" s="314"/>
      <c r="BW4173" s="314"/>
      <c r="BX4173" s="155"/>
    </row>
    <row r="4174" spans="1:76" ht="15.75" customHeight="1">
      <c r="A4174" s="25"/>
      <c r="B4174" s="39"/>
      <c r="C4174" s="155"/>
      <c r="D4174" s="155"/>
      <c r="E4174" s="40"/>
      <c r="F4174" s="314"/>
      <c r="H4174" s="315"/>
      <c r="I4174" s="315"/>
      <c r="BA4174" s="30"/>
      <c r="BB4174" s="155"/>
      <c r="BC4174" s="314"/>
      <c r="BD4174" s="314"/>
      <c r="BE4174" s="314"/>
      <c r="BF4174" s="314"/>
      <c r="BG4174" s="314"/>
      <c r="BH4174" s="314"/>
      <c r="BI4174" s="314"/>
      <c r="BJ4174" s="314"/>
      <c r="BK4174" s="40"/>
      <c r="BL4174" s="40"/>
      <c r="BM4174" s="40"/>
      <c r="BN4174" s="40"/>
      <c r="BO4174" s="40"/>
      <c r="BP4174" s="155"/>
      <c r="BQ4174" s="314"/>
      <c r="BR4174" s="314"/>
      <c r="BS4174" s="314"/>
      <c r="BT4174" s="314"/>
      <c r="BU4174" s="314"/>
      <c r="BV4174" s="314"/>
      <c r="BW4174" s="314"/>
      <c r="BX4174" s="155"/>
    </row>
    <row r="4175" spans="1:76" ht="15.75" customHeight="1">
      <c r="A4175" s="25"/>
      <c r="B4175" s="39"/>
      <c r="C4175" s="155"/>
      <c r="D4175" s="155"/>
      <c r="E4175" s="40"/>
      <c r="F4175" s="314"/>
      <c r="H4175" s="315"/>
      <c r="I4175" s="315"/>
      <c r="BA4175" s="30"/>
      <c r="BB4175" s="155"/>
      <c r="BC4175" s="314"/>
      <c r="BD4175" s="314"/>
      <c r="BE4175" s="314"/>
      <c r="BF4175" s="314"/>
      <c r="BG4175" s="314"/>
      <c r="BH4175" s="314"/>
      <c r="BI4175" s="314"/>
      <c r="BJ4175" s="314"/>
      <c r="BK4175" s="40"/>
      <c r="BL4175" s="40"/>
      <c r="BM4175" s="40"/>
      <c r="BN4175" s="40"/>
      <c r="BO4175" s="40"/>
      <c r="BP4175" s="155"/>
      <c r="BQ4175" s="314"/>
      <c r="BR4175" s="314"/>
      <c r="BS4175" s="314"/>
      <c r="BT4175" s="314"/>
      <c r="BU4175" s="314"/>
      <c r="BV4175" s="314"/>
      <c r="BW4175" s="314"/>
      <c r="BX4175" s="155"/>
    </row>
    <row r="4176" spans="1:76" ht="15.75" customHeight="1">
      <c r="A4176" s="25"/>
      <c r="B4176" s="39"/>
      <c r="C4176" s="155"/>
      <c r="D4176" s="155"/>
      <c r="E4176" s="40"/>
      <c r="F4176" s="314"/>
      <c r="H4176" s="315"/>
      <c r="I4176" s="315"/>
      <c r="BA4176" s="30"/>
      <c r="BB4176" s="155"/>
      <c r="BC4176" s="314"/>
      <c r="BD4176" s="314"/>
      <c r="BE4176" s="314"/>
      <c r="BF4176" s="314"/>
      <c r="BG4176" s="314"/>
      <c r="BH4176" s="314"/>
      <c r="BI4176" s="314"/>
      <c r="BJ4176" s="314"/>
      <c r="BK4176" s="40"/>
      <c r="BL4176" s="40"/>
      <c r="BM4176" s="40"/>
      <c r="BN4176" s="40"/>
      <c r="BO4176" s="40"/>
      <c r="BP4176" s="155"/>
      <c r="BQ4176" s="314"/>
      <c r="BR4176" s="314"/>
      <c r="BS4176" s="314"/>
      <c r="BT4176" s="314"/>
      <c r="BU4176" s="314"/>
      <c r="BV4176" s="314"/>
      <c r="BW4176" s="314"/>
      <c r="BX4176" s="155"/>
    </row>
    <row r="4177" spans="1:76" ht="15.75" customHeight="1">
      <c r="A4177" s="25"/>
      <c r="B4177" s="39"/>
      <c r="C4177" s="155"/>
      <c r="D4177" s="155"/>
      <c r="E4177" s="40"/>
      <c r="F4177" s="314"/>
      <c r="H4177" s="315"/>
      <c r="I4177" s="315"/>
      <c r="BA4177" s="30"/>
      <c r="BB4177" s="155"/>
      <c r="BC4177" s="314"/>
      <c r="BD4177" s="314"/>
      <c r="BE4177" s="314"/>
      <c r="BF4177" s="314"/>
      <c r="BG4177" s="314"/>
      <c r="BH4177" s="314"/>
      <c r="BI4177" s="314"/>
      <c r="BJ4177" s="314"/>
      <c r="BK4177" s="40"/>
      <c r="BL4177" s="40"/>
      <c r="BM4177" s="40"/>
      <c r="BN4177" s="40"/>
      <c r="BO4177" s="40"/>
      <c r="BP4177" s="155"/>
      <c r="BQ4177" s="314"/>
      <c r="BR4177" s="314"/>
      <c r="BS4177" s="314"/>
      <c r="BT4177" s="314"/>
      <c r="BU4177" s="314"/>
      <c r="BV4177" s="314"/>
      <c r="BW4177" s="314"/>
      <c r="BX4177" s="155"/>
    </row>
    <row r="4178" spans="1:76" ht="15.75" customHeight="1">
      <c r="A4178" s="25"/>
      <c r="B4178" s="39"/>
      <c r="C4178" s="155"/>
      <c r="D4178" s="155"/>
      <c r="E4178" s="40"/>
      <c r="F4178" s="314"/>
      <c r="H4178" s="315"/>
      <c r="I4178" s="315"/>
      <c r="BA4178" s="30"/>
      <c r="BB4178" s="155"/>
      <c r="BC4178" s="314"/>
      <c r="BD4178" s="314"/>
      <c r="BE4178" s="314"/>
      <c r="BF4178" s="314"/>
      <c r="BG4178" s="314"/>
      <c r="BH4178" s="314"/>
      <c r="BI4178" s="314"/>
      <c r="BJ4178" s="314"/>
      <c r="BK4178" s="40"/>
      <c r="BL4178" s="40"/>
      <c r="BM4178" s="40"/>
      <c r="BN4178" s="40"/>
      <c r="BO4178" s="40"/>
      <c r="BP4178" s="155"/>
      <c r="BQ4178" s="314"/>
      <c r="BR4178" s="314"/>
      <c r="BS4178" s="314"/>
      <c r="BT4178" s="314"/>
      <c r="BU4178" s="314"/>
      <c r="BV4178" s="314"/>
      <c r="BW4178" s="314"/>
      <c r="BX4178" s="155"/>
    </row>
    <row r="4179" spans="1:76" ht="15.75" customHeight="1">
      <c r="A4179" s="25"/>
      <c r="B4179" s="39"/>
      <c r="C4179" s="155"/>
      <c r="D4179" s="155"/>
      <c r="E4179" s="40"/>
      <c r="F4179" s="314"/>
      <c r="H4179" s="315"/>
      <c r="I4179" s="315"/>
      <c r="BA4179" s="30"/>
      <c r="BB4179" s="155"/>
      <c r="BC4179" s="314"/>
      <c r="BD4179" s="314"/>
      <c r="BE4179" s="314"/>
      <c r="BF4179" s="314"/>
      <c r="BG4179" s="314"/>
      <c r="BH4179" s="314"/>
      <c r="BI4179" s="314"/>
      <c r="BJ4179" s="314"/>
      <c r="BK4179" s="40"/>
      <c r="BL4179" s="40"/>
      <c r="BM4179" s="40"/>
      <c r="BN4179" s="40"/>
      <c r="BO4179" s="40"/>
      <c r="BP4179" s="155"/>
      <c r="BQ4179" s="314"/>
      <c r="BR4179" s="314"/>
      <c r="BS4179" s="314"/>
      <c r="BT4179" s="314"/>
      <c r="BU4179" s="314"/>
      <c r="BV4179" s="314"/>
      <c r="BW4179" s="314"/>
      <c r="BX4179" s="155"/>
    </row>
    <row r="4180" spans="1:76" ht="15.75" customHeight="1">
      <c r="A4180" s="25"/>
      <c r="B4180" s="39"/>
      <c r="C4180" s="155"/>
      <c r="D4180" s="155"/>
      <c r="E4180" s="40"/>
      <c r="F4180" s="314"/>
      <c r="H4180" s="315"/>
      <c r="I4180" s="315"/>
      <c r="BA4180" s="30"/>
      <c r="BB4180" s="155"/>
      <c r="BC4180" s="314"/>
      <c r="BD4180" s="314"/>
      <c r="BE4180" s="314"/>
      <c r="BF4180" s="314"/>
      <c r="BG4180" s="314"/>
      <c r="BH4180" s="314"/>
      <c r="BI4180" s="314"/>
      <c r="BJ4180" s="314"/>
      <c r="BK4180" s="40"/>
      <c r="BL4180" s="40"/>
      <c r="BM4180" s="40"/>
      <c r="BN4180" s="40"/>
      <c r="BO4180" s="40"/>
      <c r="BP4180" s="155"/>
      <c r="BQ4180" s="314"/>
      <c r="BR4180" s="314"/>
      <c r="BS4180" s="314"/>
      <c r="BT4180" s="314"/>
      <c r="BU4180" s="314"/>
      <c r="BV4180" s="314"/>
      <c r="BW4180" s="314"/>
      <c r="BX4180" s="155"/>
    </row>
    <row r="4181" spans="1:76" ht="15.75" customHeight="1">
      <c r="A4181" s="25"/>
      <c r="B4181" s="39"/>
      <c r="C4181" s="155"/>
      <c r="D4181" s="155"/>
      <c r="E4181" s="40"/>
      <c r="F4181" s="314"/>
      <c r="H4181" s="315"/>
      <c r="I4181" s="315"/>
      <c r="BA4181" s="30"/>
      <c r="BB4181" s="155"/>
      <c r="BC4181" s="314"/>
      <c r="BD4181" s="314"/>
      <c r="BE4181" s="314"/>
      <c r="BF4181" s="314"/>
      <c r="BG4181" s="314"/>
      <c r="BH4181" s="314"/>
      <c r="BI4181" s="314"/>
      <c r="BJ4181" s="314"/>
      <c r="BK4181" s="40"/>
      <c r="BL4181" s="40"/>
      <c r="BM4181" s="40"/>
      <c r="BN4181" s="40"/>
      <c r="BO4181" s="40"/>
      <c r="BP4181" s="155"/>
      <c r="BQ4181" s="314"/>
      <c r="BR4181" s="314"/>
      <c r="BS4181" s="314"/>
      <c r="BT4181" s="314"/>
      <c r="BU4181" s="314"/>
      <c r="BV4181" s="314"/>
      <c r="BW4181" s="314"/>
      <c r="BX4181" s="155"/>
    </row>
    <row r="4182" spans="1:76" ht="15.75" customHeight="1">
      <c r="A4182" s="25"/>
      <c r="B4182" s="39"/>
      <c r="C4182" s="155"/>
      <c r="D4182" s="155"/>
      <c r="E4182" s="40"/>
      <c r="F4182" s="314"/>
      <c r="H4182" s="315"/>
      <c r="I4182" s="315"/>
      <c r="BA4182" s="30"/>
      <c r="BB4182" s="155"/>
      <c r="BC4182" s="314"/>
      <c r="BD4182" s="314"/>
      <c r="BE4182" s="314"/>
      <c r="BF4182" s="314"/>
      <c r="BG4182" s="314"/>
      <c r="BH4182" s="314"/>
      <c r="BI4182" s="314"/>
      <c r="BJ4182" s="314"/>
      <c r="BK4182" s="40"/>
      <c r="BL4182" s="40"/>
      <c r="BM4182" s="40"/>
      <c r="BN4182" s="40"/>
      <c r="BO4182" s="40"/>
      <c r="BP4182" s="155"/>
      <c r="BQ4182" s="314"/>
      <c r="BR4182" s="314"/>
      <c r="BS4182" s="314"/>
      <c r="BT4182" s="314"/>
      <c r="BU4182" s="314"/>
      <c r="BV4182" s="314"/>
      <c r="BW4182" s="314"/>
      <c r="BX4182" s="155"/>
    </row>
    <row r="4183" spans="1:76" ht="15.75" customHeight="1">
      <c r="A4183" s="25"/>
      <c r="B4183" s="39"/>
      <c r="C4183" s="155"/>
      <c r="D4183" s="155"/>
      <c r="E4183" s="40"/>
      <c r="F4183" s="314"/>
      <c r="H4183" s="315"/>
      <c r="I4183" s="315"/>
      <c r="BA4183" s="30"/>
      <c r="BB4183" s="155"/>
      <c r="BC4183" s="314"/>
      <c r="BD4183" s="314"/>
      <c r="BE4183" s="314"/>
      <c r="BF4183" s="314"/>
      <c r="BG4183" s="314"/>
      <c r="BH4183" s="314"/>
      <c r="BI4183" s="314"/>
      <c r="BJ4183" s="314"/>
      <c r="BK4183" s="40"/>
      <c r="BL4183" s="40"/>
      <c r="BM4183" s="40"/>
      <c r="BN4183" s="40"/>
      <c r="BO4183" s="40"/>
      <c r="BP4183" s="155"/>
      <c r="BQ4183" s="314"/>
      <c r="BR4183" s="314"/>
      <c r="BS4183" s="314"/>
      <c r="BT4183" s="314"/>
      <c r="BU4183" s="314"/>
      <c r="BV4183" s="314"/>
      <c r="BW4183" s="314"/>
      <c r="BX4183" s="155"/>
    </row>
    <row r="4184" spans="1:76" ht="15.75" customHeight="1">
      <c r="A4184" s="25"/>
      <c r="B4184" s="39"/>
      <c r="C4184" s="155"/>
      <c r="D4184" s="155"/>
      <c r="E4184" s="40"/>
      <c r="F4184" s="314"/>
      <c r="H4184" s="315"/>
      <c r="I4184" s="315"/>
      <c r="BA4184" s="30"/>
      <c r="BB4184" s="155"/>
      <c r="BC4184" s="314"/>
      <c r="BD4184" s="314"/>
      <c r="BE4184" s="314"/>
      <c r="BF4184" s="314"/>
      <c r="BG4184" s="314"/>
      <c r="BH4184" s="314"/>
      <c r="BI4184" s="314"/>
      <c r="BJ4184" s="314"/>
      <c r="BK4184" s="40"/>
      <c r="BL4184" s="40"/>
      <c r="BM4184" s="40"/>
      <c r="BN4184" s="40"/>
      <c r="BO4184" s="40"/>
      <c r="BP4184" s="155"/>
      <c r="BQ4184" s="314"/>
      <c r="BR4184" s="314"/>
      <c r="BS4184" s="314"/>
      <c r="BT4184" s="314"/>
      <c r="BU4184" s="314"/>
      <c r="BV4184" s="314"/>
      <c r="BW4184" s="314"/>
      <c r="BX4184" s="155"/>
    </row>
    <row r="4185" spans="1:76" ht="15.75" customHeight="1">
      <c r="A4185" s="25"/>
      <c r="B4185" s="39"/>
      <c r="C4185" s="155"/>
      <c r="D4185" s="155"/>
      <c r="E4185" s="40"/>
      <c r="F4185" s="314"/>
      <c r="H4185" s="315"/>
      <c r="I4185" s="315"/>
      <c r="BA4185" s="30"/>
      <c r="BB4185" s="155"/>
      <c r="BC4185" s="314"/>
      <c r="BD4185" s="314"/>
      <c r="BE4185" s="314"/>
      <c r="BF4185" s="314"/>
      <c r="BG4185" s="314"/>
      <c r="BH4185" s="314"/>
      <c r="BI4185" s="314"/>
      <c r="BJ4185" s="314"/>
      <c r="BK4185" s="40"/>
      <c r="BL4185" s="40"/>
      <c r="BM4185" s="40"/>
      <c r="BN4185" s="40"/>
      <c r="BO4185" s="40"/>
      <c r="BP4185" s="155"/>
      <c r="BQ4185" s="314"/>
      <c r="BR4185" s="314"/>
      <c r="BS4185" s="314"/>
      <c r="BT4185" s="314"/>
      <c r="BU4185" s="314"/>
      <c r="BV4185" s="314"/>
      <c r="BW4185" s="314"/>
      <c r="BX4185" s="155"/>
    </row>
    <row r="4186" spans="1:76" ht="15.75" customHeight="1">
      <c r="A4186" s="25"/>
      <c r="B4186" s="39"/>
      <c r="C4186" s="155"/>
      <c r="D4186" s="155"/>
      <c r="E4186" s="40"/>
      <c r="F4186" s="314"/>
      <c r="H4186" s="315"/>
      <c r="I4186" s="315"/>
      <c r="BA4186" s="30"/>
      <c r="BB4186" s="155"/>
      <c r="BC4186" s="314"/>
      <c r="BD4186" s="314"/>
      <c r="BE4186" s="314"/>
      <c r="BF4186" s="314"/>
      <c r="BG4186" s="314"/>
      <c r="BH4186" s="314"/>
      <c r="BI4186" s="314"/>
      <c r="BJ4186" s="314"/>
      <c r="BK4186" s="40"/>
      <c r="BL4186" s="40"/>
      <c r="BM4186" s="40"/>
      <c r="BN4186" s="40"/>
      <c r="BO4186" s="40"/>
      <c r="BP4186" s="155"/>
      <c r="BQ4186" s="314"/>
      <c r="BR4186" s="314"/>
      <c r="BS4186" s="314"/>
      <c r="BT4186" s="314"/>
      <c r="BU4186" s="314"/>
      <c r="BV4186" s="314"/>
      <c r="BW4186" s="314"/>
      <c r="BX4186" s="155"/>
    </row>
    <row r="4187" spans="1:76" ht="15.75" customHeight="1">
      <c r="A4187" s="25"/>
      <c r="B4187" s="39"/>
      <c r="C4187" s="155"/>
      <c r="D4187" s="155"/>
      <c r="E4187" s="40"/>
      <c r="F4187" s="314"/>
      <c r="H4187" s="315"/>
      <c r="I4187" s="315"/>
      <c r="BA4187" s="30"/>
      <c r="BB4187" s="155"/>
      <c r="BC4187" s="314"/>
      <c r="BD4187" s="314"/>
      <c r="BE4187" s="314"/>
      <c r="BF4187" s="314"/>
      <c r="BG4187" s="314"/>
      <c r="BH4187" s="314"/>
      <c r="BI4187" s="314"/>
      <c r="BJ4187" s="314"/>
      <c r="BK4187" s="40"/>
      <c r="BL4187" s="40"/>
      <c r="BM4187" s="40"/>
      <c r="BN4187" s="40"/>
      <c r="BO4187" s="40"/>
      <c r="BP4187" s="155"/>
      <c r="BQ4187" s="314"/>
      <c r="BR4187" s="314"/>
      <c r="BS4187" s="314"/>
      <c r="BT4187" s="314"/>
      <c r="BU4187" s="314"/>
      <c r="BV4187" s="314"/>
      <c r="BW4187" s="314"/>
      <c r="BX4187" s="155"/>
    </row>
    <row r="4188" spans="1:76" ht="15.75" customHeight="1">
      <c r="A4188" s="25"/>
      <c r="B4188" s="39"/>
      <c r="C4188" s="155"/>
      <c r="D4188" s="155"/>
      <c r="E4188" s="40"/>
      <c r="F4188" s="314"/>
      <c r="H4188" s="315"/>
      <c r="I4188" s="315"/>
      <c r="BA4188" s="30"/>
      <c r="BB4188" s="155"/>
      <c r="BC4188" s="314"/>
      <c r="BD4188" s="314"/>
      <c r="BE4188" s="314"/>
      <c r="BF4188" s="314"/>
      <c r="BG4188" s="314"/>
      <c r="BH4188" s="314"/>
      <c r="BI4188" s="314"/>
      <c r="BJ4188" s="314"/>
      <c r="BK4188" s="40"/>
      <c r="BL4188" s="40"/>
      <c r="BM4188" s="40"/>
      <c r="BN4188" s="40"/>
      <c r="BO4188" s="40"/>
      <c r="BP4188" s="155"/>
      <c r="BQ4188" s="314"/>
      <c r="BR4188" s="314"/>
      <c r="BS4188" s="314"/>
      <c r="BT4188" s="314"/>
      <c r="BU4188" s="314"/>
      <c r="BV4188" s="314"/>
      <c r="BW4188" s="314"/>
      <c r="BX4188" s="155"/>
    </row>
    <row r="4189" spans="1:76" ht="15.75" customHeight="1">
      <c r="A4189" s="25"/>
      <c r="B4189" s="39"/>
      <c r="C4189" s="155"/>
      <c r="D4189" s="155"/>
      <c r="E4189" s="40"/>
      <c r="F4189" s="314"/>
      <c r="H4189" s="315"/>
      <c r="I4189" s="315"/>
      <c r="BA4189" s="30"/>
      <c r="BB4189" s="155"/>
      <c r="BC4189" s="314"/>
      <c r="BD4189" s="314"/>
      <c r="BE4189" s="314"/>
      <c r="BF4189" s="314"/>
      <c r="BG4189" s="314"/>
      <c r="BH4189" s="314"/>
      <c r="BI4189" s="314"/>
      <c r="BJ4189" s="314"/>
      <c r="BK4189" s="40"/>
      <c r="BL4189" s="40"/>
      <c r="BM4189" s="40"/>
      <c r="BN4189" s="40"/>
      <c r="BO4189" s="40"/>
      <c r="BP4189" s="155"/>
      <c r="BQ4189" s="314"/>
      <c r="BR4189" s="314"/>
      <c r="BS4189" s="314"/>
      <c r="BT4189" s="314"/>
      <c r="BU4189" s="314"/>
      <c r="BV4189" s="314"/>
      <c r="BW4189" s="314"/>
      <c r="BX4189" s="155"/>
    </row>
    <row r="4190" spans="1:76" ht="15.75" customHeight="1">
      <c r="A4190" s="25"/>
      <c r="B4190" s="39"/>
      <c r="C4190" s="155"/>
      <c r="D4190" s="155"/>
      <c r="E4190" s="40"/>
      <c r="F4190" s="314"/>
      <c r="H4190" s="315"/>
      <c r="I4190" s="315"/>
      <c r="BA4190" s="30"/>
      <c r="BB4190" s="155"/>
      <c r="BC4190" s="314"/>
      <c r="BD4190" s="314"/>
      <c r="BE4190" s="314"/>
      <c r="BF4190" s="314"/>
      <c r="BG4190" s="314"/>
      <c r="BH4190" s="314"/>
      <c r="BI4190" s="314"/>
      <c r="BJ4190" s="314"/>
      <c r="BK4190" s="40"/>
      <c r="BL4190" s="40"/>
      <c r="BM4190" s="40"/>
      <c r="BN4190" s="40"/>
      <c r="BO4190" s="40"/>
      <c r="BP4190" s="155"/>
      <c r="BQ4190" s="314"/>
      <c r="BR4190" s="314"/>
      <c r="BS4190" s="314"/>
      <c r="BT4190" s="314"/>
      <c r="BU4190" s="314"/>
      <c r="BV4190" s="314"/>
      <c r="BW4190" s="314"/>
      <c r="BX4190" s="155"/>
    </row>
    <row r="4191" spans="1:76" ht="15.75" customHeight="1">
      <c r="A4191" s="25"/>
      <c r="B4191" s="39"/>
      <c r="C4191" s="155"/>
      <c r="D4191" s="155"/>
      <c r="E4191" s="40"/>
      <c r="F4191" s="314"/>
      <c r="H4191" s="315"/>
      <c r="I4191" s="315"/>
      <c r="BA4191" s="30"/>
      <c r="BB4191" s="155"/>
      <c r="BC4191" s="314"/>
      <c r="BD4191" s="314"/>
      <c r="BE4191" s="314"/>
      <c r="BF4191" s="314"/>
      <c r="BG4191" s="314"/>
      <c r="BH4191" s="314"/>
      <c r="BI4191" s="314"/>
      <c r="BJ4191" s="314"/>
      <c r="BK4191" s="40"/>
      <c r="BL4191" s="40"/>
      <c r="BM4191" s="40"/>
      <c r="BN4191" s="40"/>
      <c r="BO4191" s="40"/>
      <c r="BP4191" s="155"/>
      <c r="BQ4191" s="314"/>
      <c r="BR4191" s="314"/>
      <c r="BS4191" s="314"/>
      <c r="BT4191" s="314"/>
      <c r="BU4191" s="314"/>
      <c r="BV4191" s="314"/>
      <c r="BW4191" s="314"/>
      <c r="BX4191" s="155"/>
    </row>
    <row r="4192" spans="1:76" ht="15.75" customHeight="1">
      <c r="A4192" s="25"/>
      <c r="B4192" s="39"/>
      <c r="C4192" s="155"/>
      <c r="D4192" s="155"/>
      <c r="E4192" s="40"/>
      <c r="F4192" s="314"/>
      <c r="H4192" s="315"/>
      <c r="I4192" s="315"/>
      <c r="BA4192" s="30"/>
      <c r="BB4192" s="155"/>
      <c r="BC4192" s="314"/>
      <c r="BD4192" s="314"/>
      <c r="BE4192" s="314"/>
      <c r="BF4192" s="314"/>
      <c r="BG4192" s="314"/>
      <c r="BH4192" s="314"/>
      <c r="BI4192" s="314"/>
      <c r="BJ4192" s="314"/>
      <c r="BK4192" s="40"/>
      <c r="BL4192" s="40"/>
      <c r="BM4192" s="40"/>
      <c r="BN4192" s="40"/>
      <c r="BO4192" s="40"/>
      <c r="BP4192" s="155"/>
      <c r="BQ4192" s="314"/>
      <c r="BR4192" s="314"/>
      <c r="BS4192" s="314"/>
      <c r="BT4192" s="314"/>
      <c r="BU4192" s="314"/>
      <c r="BV4192" s="314"/>
      <c r="BW4192" s="314"/>
      <c r="BX4192" s="155"/>
    </row>
    <row r="4193" spans="1:76" ht="15.75" customHeight="1">
      <c r="A4193" s="25"/>
      <c r="B4193" s="39"/>
      <c r="C4193" s="155"/>
      <c r="D4193" s="155"/>
      <c r="E4193" s="40"/>
      <c r="F4193" s="314"/>
      <c r="H4193" s="315"/>
      <c r="I4193" s="315"/>
      <c r="BA4193" s="30"/>
      <c r="BB4193" s="155"/>
      <c r="BC4193" s="314"/>
      <c r="BD4193" s="314"/>
      <c r="BE4193" s="314"/>
      <c r="BF4193" s="314"/>
      <c r="BG4193" s="314"/>
      <c r="BH4193" s="314"/>
      <c r="BI4193" s="314"/>
      <c r="BJ4193" s="314"/>
      <c r="BK4193" s="40"/>
      <c r="BL4193" s="40"/>
      <c r="BM4193" s="40"/>
      <c r="BN4193" s="40"/>
      <c r="BO4193" s="40"/>
      <c r="BP4193" s="155"/>
      <c r="BQ4193" s="314"/>
      <c r="BR4193" s="314"/>
      <c r="BS4193" s="314"/>
      <c r="BT4193" s="314"/>
      <c r="BU4193" s="314"/>
      <c r="BV4193" s="314"/>
      <c r="BW4193" s="314"/>
      <c r="BX4193" s="155"/>
    </row>
    <row r="4194" spans="1:76" ht="15.75" customHeight="1">
      <c r="A4194" s="25"/>
      <c r="B4194" s="39"/>
      <c r="C4194" s="155"/>
      <c r="D4194" s="155"/>
      <c r="E4194" s="40"/>
      <c r="F4194" s="314"/>
      <c r="H4194" s="315"/>
      <c r="I4194" s="315"/>
      <c r="BA4194" s="30"/>
      <c r="BB4194" s="155"/>
      <c r="BC4194" s="314"/>
      <c r="BD4194" s="314"/>
      <c r="BE4194" s="314"/>
      <c r="BF4194" s="314"/>
      <c r="BG4194" s="314"/>
      <c r="BH4194" s="314"/>
      <c r="BI4194" s="314"/>
      <c r="BJ4194" s="314"/>
      <c r="BK4194" s="40"/>
      <c r="BL4194" s="40"/>
      <c r="BM4194" s="40"/>
      <c r="BN4194" s="40"/>
      <c r="BO4194" s="40"/>
      <c r="BP4194" s="155"/>
      <c r="BQ4194" s="314"/>
      <c r="BR4194" s="314"/>
      <c r="BS4194" s="314"/>
      <c r="BT4194" s="314"/>
      <c r="BU4194" s="314"/>
      <c r="BV4194" s="314"/>
      <c r="BW4194" s="314"/>
      <c r="BX4194" s="155"/>
    </row>
    <row r="4195" spans="1:76" ht="15.75" customHeight="1">
      <c r="A4195" s="25"/>
      <c r="B4195" s="39"/>
      <c r="C4195" s="155"/>
      <c r="D4195" s="155"/>
      <c r="E4195" s="40"/>
      <c r="F4195" s="314"/>
      <c r="H4195" s="315"/>
      <c r="I4195" s="315"/>
      <c r="BA4195" s="30"/>
      <c r="BB4195" s="155"/>
      <c r="BC4195" s="314"/>
      <c r="BD4195" s="314"/>
      <c r="BE4195" s="314"/>
      <c r="BF4195" s="314"/>
      <c r="BG4195" s="314"/>
      <c r="BH4195" s="314"/>
      <c r="BI4195" s="314"/>
      <c r="BJ4195" s="314"/>
      <c r="BK4195" s="40"/>
      <c r="BL4195" s="40"/>
      <c r="BM4195" s="40"/>
      <c r="BN4195" s="40"/>
      <c r="BO4195" s="40"/>
      <c r="BP4195" s="155"/>
      <c r="BQ4195" s="314"/>
      <c r="BR4195" s="314"/>
      <c r="BS4195" s="314"/>
      <c r="BT4195" s="314"/>
      <c r="BU4195" s="314"/>
      <c r="BV4195" s="314"/>
      <c r="BW4195" s="314"/>
      <c r="BX4195" s="155"/>
    </row>
    <row r="4196" spans="1:76" ht="15.75" customHeight="1">
      <c r="A4196" s="25"/>
      <c r="B4196" s="39"/>
      <c r="C4196" s="155"/>
      <c r="D4196" s="155"/>
      <c r="E4196" s="40"/>
      <c r="F4196" s="314"/>
      <c r="H4196" s="315"/>
      <c r="I4196" s="315"/>
      <c r="BA4196" s="30"/>
      <c r="BB4196" s="155"/>
      <c r="BC4196" s="314"/>
      <c r="BD4196" s="314"/>
      <c r="BE4196" s="314"/>
      <c r="BF4196" s="314"/>
      <c r="BG4196" s="314"/>
      <c r="BH4196" s="314"/>
      <c r="BI4196" s="314"/>
      <c r="BJ4196" s="314"/>
      <c r="BK4196" s="40"/>
      <c r="BL4196" s="40"/>
      <c r="BM4196" s="40"/>
      <c r="BN4196" s="40"/>
      <c r="BO4196" s="40"/>
      <c r="BP4196" s="155"/>
      <c r="BQ4196" s="314"/>
      <c r="BR4196" s="314"/>
      <c r="BS4196" s="314"/>
      <c r="BT4196" s="314"/>
      <c r="BU4196" s="314"/>
      <c r="BV4196" s="314"/>
      <c r="BW4196" s="314"/>
      <c r="BX4196" s="155"/>
    </row>
    <row r="4197" spans="1:76" ht="15.75" customHeight="1">
      <c r="A4197" s="25"/>
      <c r="B4197" s="39"/>
      <c r="C4197" s="155"/>
      <c r="D4197" s="155"/>
      <c r="E4197" s="40"/>
      <c r="F4197" s="314"/>
      <c r="H4197" s="315"/>
      <c r="I4197" s="315"/>
      <c r="BA4197" s="30"/>
      <c r="BB4197" s="155"/>
      <c r="BC4197" s="314"/>
      <c r="BD4197" s="314"/>
      <c r="BE4197" s="314"/>
      <c r="BF4197" s="314"/>
      <c r="BG4197" s="314"/>
      <c r="BH4197" s="314"/>
      <c r="BI4197" s="314"/>
      <c r="BJ4197" s="314"/>
      <c r="BK4197" s="40"/>
      <c r="BL4197" s="40"/>
      <c r="BM4197" s="40"/>
      <c r="BN4197" s="40"/>
      <c r="BO4197" s="40"/>
      <c r="BP4197" s="155"/>
      <c r="BQ4197" s="314"/>
      <c r="BR4197" s="314"/>
      <c r="BS4197" s="314"/>
      <c r="BT4197" s="314"/>
      <c r="BU4197" s="314"/>
      <c r="BV4197" s="314"/>
      <c r="BW4197" s="314"/>
      <c r="BX4197" s="155"/>
    </row>
    <row r="4198" spans="1:76" ht="15.75" customHeight="1">
      <c r="A4198" s="25"/>
      <c r="B4198" s="39"/>
      <c r="C4198" s="155"/>
      <c r="D4198" s="155"/>
      <c r="E4198" s="40"/>
      <c r="F4198" s="314"/>
      <c r="H4198" s="315"/>
      <c r="I4198" s="315"/>
      <c r="BA4198" s="30"/>
      <c r="BB4198" s="155"/>
      <c r="BC4198" s="314"/>
      <c r="BD4198" s="314"/>
      <c r="BE4198" s="314"/>
      <c r="BF4198" s="314"/>
      <c r="BG4198" s="314"/>
      <c r="BH4198" s="314"/>
      <c r="BI4198" s="314"/>
      <c r="BJ4198" s="314"/>
      <c r="BK4198" s="40"/>
      <c r="BL4198" s="40"/>
      <c r="BM4198" s="40"/>
      <c r="BN4198" s="40"/>
      <c r="BO4198" s="40"/>
      <c r="BP4198" s="155"/>
      <c r="BQ4198" s="314"/>
      <c r="BR4198" s="314"/>
      <c r="BS4198" s="314"/>
      <c r="BT4198" s="314"/>
      <c r="BU4198" s="314"/>
      <c r="BV4198" s="314"/>
      <c r="BW4198" s="314"/>
      <c r="BX4198" s="155"/>
    </row>
    <row r="4199" spans="1:76" ht="15.75" customHeight="1">
      <c r="A4199" s="25"/>
      <c r="B4199" s="39"/>
      <c r="C4199" s="155"/>
      <c r="D4199" s="155"/>
      <c r="E4199" s="40"/>
      <c r="F4199" s="314"/>
      <c r="H4199" s="315"/>
      <c r="I4199" s="315"/>
      <c r="BA4199" s="30"/>
      <c r="BB4199" s="155"/>
      <c r="BC4199" s="314"/>
      <c r="BD4199" s="314"/>
      <c r="BE4199" s="314"/>
      <c r="BF4199" s="314"/>
      <c r="BG4199" s="314"/>
      <c r="BH4199" s="314"/>
      <c r="BI4199" s="314"/>
      <c r="BJ4199" s="314"/>
      <c r="BK4199" s="40"/>
      <c r="BL4199" s="40"/>
      <c r="BM4199" s="40"/>
      <c r="BN4199" s="40"/>
      <c r="BO4199" s="40"/>
      <c r="BP4199" s="155"/>
      <c r="BQ4199" s="314"/>
      <c r="BR4199" s="314"/>
      <c r="BS4199" s="314"/>
      <c r="BT4199" s="314"/>
      <c r="BU4199" s="314"/>
      <c r="BV4199" s="314"/>
      <c r="BW4199" s="314"/>
      <c r="BX4199" s="155"/>
    </row>
    <row r="4200" spans="1:76" ht="15.75" customHeight="1">
      <c r="A4200" s="25"/>
      <c r="B4200" s="39"/>
      <c r="C4200" s="155"/>
      <c r="D4200" s="155"/>
      <c r="E4200" s="40"/>
      <c r="F4200" s="314"/>
      <c r="H4200" s="315"/>
      <c r="I4200" s="315"/>
      <c r="BA4200" s="30"/>
      <c r="BB4200" s="155"/>
      <c r="BC4200" s="314"/>
      <c r="BD4200" s="314"/>
      <c r="BE4200" s="314"/>
      <c r="BF4200" s="314"/>
      <c r="BG4200" s="314"/>
      <c r="BH4200" s="314"/>
      <c r="BI4200" s="314"/>
      <c r="BJ4200" s="314"/>
      <c r="BK4200" s="40"/>
      <c r="BL4200" s="40"/>
      <c r="BM4200" s="40"/>
      <c r="BN4200" s="40"/>
      <c r="BO4200" s="40"/>
      <c r="BP4200" s="155"/>
      <c r="BQ4200" s="314"/>
      <c r="BR4200" s="314"/>
      <c r="BS4200" s="314"/>
      <c r="BT4200" s="314"/>
      <c r="BU4200" s="314"/>
      <c r="BV4200" s="314"/>
      <c r="BW4200" s="314"/>
      <c r="BX4200" s="155"/>
    </row>
    <row r="4201" spans="1:76" ht="15.75" customHeight="1">
      <c r="A4201" s="25"/>
      <c r="B4201" s="39"/>
      <c r="C4201" s="155"/>
      <c r="D4201" s="155"/>
      <c r="E4201" s="40"/>
      <c r="F4201" s="314"/>
      <c r="H4201" s="315"/>
      <c r="I4201" s="315"/>
      <c r="BA4201" s="30"/>
      <c r="BB4201" s="155"/>
      <c r="BC4201" s="322"/>
      <c r="BD4201" s="322"/>
      <c r="BE4201" s="322"/>
      <c r="BF4201" s="322"/>
      <c r="BG4201" s="322"/>
      <c r="BH4201" s="322"/>
      <c r="BI4201" s="322"/>
      <c r="BJ4201" s="322"/>
      <c r="BK4201" s="341"/>
      <c r="BL4201" s="40"/>
      <c r="BM4201" s="40"/>
      <c r="BN4201" s="40"/>
      <c r="BO4201" s="40"/>
      <c r="BP4201" s="155"/>
      <c r="BQ4201" s="314"/>
      <c r="BR4201" s="314"/>
      <c r="BS4201" s="314"/>
      <c r="BT4201" s="314"/>
      <c r="BU4201" s="314"/>
      <c r="BV4201" s="314"/>
      <c r="BW4201" s="314"/>
      <c r="BX4201" s="155"/>
    </row>
    <row r="4202" spans="1:76" ht="15.75" customHeight="1">
      <c r="A4202" s="25"/>
      <c r="B4202" s="39"/>
      <c r="C4202" s="155"/>
      <c r="D4202" s="155"/>
      <c r="E4202" s="40"/>
      <c r="F4202" s="314"/>
      <c r="H4202" s="315"/>
      <c r="I4202" s="315"/>
      <c r="BA4202" s="30"/>
      <c r="BB4202" s="155"/>
      <c r="BC4202" s="314"/>
      <c r="BD4202" s="314"/>
      <c r="BE4202" s="314"/>
      <c r="BF4202" s="314"/>
      <c r="BG4202" s="314"/>
      <c r="BH4202" s="314"/>
      <c r="BI4202" s="314"/>
      <c r="BJ4202" s="314"/>
      <c r="BK4202" s="40"/>
      <c r="BL4202" s="40"/>
      <c r="BM4202" s="40"/>
      <c r="BN4202" s="40"/>
      <c r="BO4202" s="40"/>
      <c r="BP4202" s="155"/>
      <c r="BQ4202" s="314"/>
      <c r="BR4202" s="314"/>
      <c r="BS4202" s="314"/>
      <c r="BT4202" s="314"/>
      <c r="BU4202" s="314"/>
      <c r="BV4202" s="314"/>
      <c r="BW4202" s="314"/>
      <c r="BX4202" s="155"/>
    </row>
    <row r="4203" spans="1:76" ht="15.75" customHeight="1">
      <c r="A4203" s="25"/>
      <c r="B4203" s="39"/>
      <c r="C4203" s="155"/>
      <c r="D4203" s="155"/>
      <c r="E4203" s="40"/>
      <c r="F4203" s="314"/>
      <c r="H4203" s="315"/>
      <c r="I4203" s="315"/>
      <c r="BA4203" s="30"/>
      <c r="BB4203" s="155"/>
      <c r="BC4203" s="314"/>
      <c r="BD4203" s="314"/>
      <c r="BE4203" s="314"/>
      <c r="BF4203" s="314"/>
      <c r="BG4203" s="314"/>
      <c r="BH4203" s="314"/>
      <c r="BI4203" s="314"/>
      <c r="BJ4203" s="314"/>
      <c r="BK4203" s="40"/>
      <c r="BL4203" s="40"/>
      <c r="BM4203" s="40"/>
      <c r="BN4203" s="40"/>
      <c r="BO4203" s="40"/>
      <c r="BP4203" s="155"/>
      <c r="BQ4203" s="314"/>
      <c r="BR4203" s="314"/>
      <c r="BS4203" s="314"/>
      <c r="BT4203" s="314"/>
      <c r="BU4203" s="314"/>
      <c r="BV4203" s="314"/>
      <c r="BW4203" s="314"/>
      <c r="BX4203" s="155"/>
    </row>
    <row r="4204" spans="1:76" ht="15.75" customHeight="1">
      <c r="A4204" s="25"/>
      <c r="B4204" s="39"/>
      <c r="C4204" s="155"/>
      <c r="D4204" s="155"/>
      <c r="E4204" s="40"/>
      <c r="F4204" s="314"/>
      <c r="H4204" s="315"/>
      <c r="I4204" s="315"/>
      <c r="BA4204" s="30"/>
      <c r="BB4204" s="155"/>
      <c r="BC4204" s="314"/>
      <c r="BD4204" s="314"/>
      <c r="BE4204" s="314"/>
      <c r="BF4204" s="314"/>
      <c r="BG4204" s="314"/>
      <c r="BH4204" s="314"/>
      <c r="BI4204" s="314"/>
      <c r="BJ4204" s="314"/>
      <c r="BK4204" s="40"/>
      <c r="BL4204" s="40"/>
      <c r="BM4204" s="40"/>
      <c r="BN4204" s="40"/>
      <c r="BO4204" s="40"/>
      <c r="BP4204" s="155"/>
      <c r="BQ4204" s="314"/>
      <c r="BR4204" s="314"/>
      <c r="BS4204" s="314"/>
      <c r="BT4204" s="314"/>
      <c r="BU4204" s="314"/>
      <c r="BV4204" s="314"/>
      <c r="BW4204" s="314"/>
      <c r="BX4204" s="155"/>
    </row>
    <row r="4205" spans="1:76" ht="15.75" customHeight="1">
      <c r="A4205" s="25"/>
      <c r="B4205" s="39"/>
      <c r="C4205" s="155"/>
      <c r="D4205" s="155"/>
      <c r="E4205" s="40"/>
      <c r="F4205" s="314"/>
      <c r="H4205" s="315"/>
      <c r="I4205" s="315"/>
      <c r="BA4205" s="30"/>
      <c r="BB4205" s="155"/>
      <c r="BC4205" s="314"/>
      <c r="BD4205" s="314"/>
      <c r="BE4205" s="314"/>
      <c r="BF4205" s="314"/>
      <c r="BG4205" s="314"/>
      <c r="BH4205" s="314"/>
      <c r="BI4205" s="314"/>
      <c r="BJ4205" s="314"/>
      <c r="BK4205" s="40"/>
      <c r="BL4205" s="40"/>
      <c r="BM4205" s="40"/>
      <c r="BN4205" s="40"/>
      <c r="BO4205" s="40"/>
      <c r="BP4205" s="155"/>
      <c r="BQ4205" s="314"/>
      <c r="BR4205" s="314"/>
      <c r="BS4205" s="314"/>
      <c r="BT4205" s="314"/>
      <c r="BU4205" s="314"/>
      <c r="BV4205" s="314"/>
      <c r="BW4205" s="314"/>
      <c r="BX4205" s="155"/>
    </row>
    <row r="4206" spans="1:76" ht="15.75" customHeight="1">
      <c r="A4206" s="25"/>
      <c r="B4206" s="39"/>
      <c r="C4206" s="155"/>
      <c r="D4206" s="155"/>
      <c r="E4206" s="40"/>
      <c r="F4206" s="314"/>
      <c r="H4206" s="315"/>
      <c r="I4206" s="315"/>
      <c r="BA4206" s="30"/>
      <c r="BB4206" s="155"/>
      <c r="BC4206" s="314"/>
      <c r="BD4206" s="314"/>
      <c r="BE4206" s="314"/>
      <c r="BF4206" s="314"/>
      <c r="BG4206" s="314"/>
      <c r="BH4206" s="314"/>
      <c r="BI4206" s="314"/>
      <c r="BJ4206" s="314"/>
      <c r="BK4206" s="40"/>
      <c r="BL4206" s="40"/>
      <c r="BM4206" s="40"/>
      <c r="BN4206" s="40"/>
      <c r="BO4206" s="40"/>
      <c r="BP4206" s="155"/>
      <c r="BQ4206" s="314"/>
      <c r="BR4206" s="314"/>
      <c r="BS4206" s="314"/>
      <c r="BT4206" s="314"/>
      <c r="BU4206" s="314"/>
      <c r="BV4206" s="314"/>
      <c r="BW4206" s="314"/>
      <c r="BX4206" s="155"/>
    </row>
    <row r="4207" spans="1:76" ht="15.75" customHeight="1">
      <c r="A4207" s="25"/>
      <c r="B4207" s="39"/>
      <c r="C4207" s="155"/>
      <c r="D4207" s="155"/>
      <c r="E4207" s="40"/>
      <c r="F4207" s="314"/>
      <c r="H4207" s="315"/>
      <c r="I4207" s="315"/>
      <c r="BA4207" s="30"/>
      <c r="BB4207" s="155"/>
      <c r="BC4207" s="314"/>
      <c r="BD4207" s="314"/>
      <c r="BE4207" s="314"/>
      <c r="BF4207" s="314"/>
      <c r="BG4207" s="314"/>
      <c r="BH4207" s="314"/>
      <c r="BI4207" s="314"/>
      <c r="BJ4207" s="314"/>
      <c r="BK4207" s="40"/>
      <c r="BL4207" s="40"/>
      <c r="BM4207" s="40"/>
      <c r="BN4207" s="40"/>
      <c r="BO4207" s="40"/>
      <c r="BP4207" s="155"/>
      <c r="BQ4207" s="314"/>
      <c r="BR4207" s="314"/>
      <c r="BS4207" s="314"/>
      <c r="BT4207" s="314"/>
      <c r="BU4207" s="314"/>
      <c r="BV4207" s="314"/>
      <c r="BW4207" s="314"/>
      <c r="BX4207" s="155"/>
    </row>
    <row r="4208" spans="1:76" ht="15.75" customHeight="1">
      <c r="A4208" s="25"/>
      <c r="B4208" s="39"/>
      <c r="C4208" s="155"/>
      <c r="D4208" s="155"/>
      <c r="E4208" s="40"/>
      <c r="F4208" s="314"/>
      <c r="H4208" s="315"/>
      <c r="I4208" s="315"/>
      <c r="BA4208" s="30"/>
      <c r="BB4208" s="155"/>
      <c r="BC4208" s="314"/>
      <c r="BD4208" s="314"/>
      <c r="BE4208" s="314"/>
      <c r="BF4208" s="314"/>
      <c r="BG4208" s="314"/>
      <c r="BH4208" s="314"/>
      <c r="BI4208" s="314"/>
      <c r="BJ4208" s="314"/>
      <c r="BK4208" s="40"/>
      <c r="BL4208" s="40"/>
      <c r="BM4208" s="40"/>
      <c r="BN4208" s="40"/>
      <c r="BO4208" s="40"/>
      <c r="BP4208" s="155"/>
      <c r="BQ4208" s="314"/>
      <c r="BR4208" s="314"/>
      <c r="BS4208" s="314"/>
      <c r="BT4208" s="314"/>
      <c r="BU4208" s="314"/>
      <c r="BV4208" s="314"/>
      <c r="BW4208" s="314"/>
      <c r="BX4208" s="155"/>
    </row>
    <row r="4209" spans="1:76" ht="15.75" customHeight="1">
      <c r="A4209" s="25"/>
      <c r="B4209" s="39"/>
      <c r="C4209" s="155"/>
      <c r="D4209" s="155"/>
      <c r="E4209" s="40"/>
      <c r="F4209" s="314"/>
      <c r="H4209" s="315"/>
      <c r="I4209" s="315"/>
      <c r="BA4209" s="30"/>
      <c r="BB4209" s="155"/>
      <c r="BC4209" s="314"/>
      <c r="BD4209" s="314"/>
      <c r="BE4209" s="314"/>
      <c r="BF4209" s="314"/>
      <c r="BG4209" s="314"/>
      <c r="BH4209" s="314"/>
      <c r="BI4209" s="314"/>
      <c r="BJ4209" s="314"/>
      <c r="BK4209" s="40"/>
      <c r="BL4209" s="40"/>
      <c r="BM4209" s="40"/>
      <c r="BN4209" s="40"/>
      <c r="BO4209" s="40"/>
      <c r="BP4209" s="155"/>
      <c r="BQ4209" s="314"/>
      <c r="BR4209" s="314"/>
      <c r="BS4209" s="314"/>
      <c r="BT4209" s="314"/>
      <c r="BU4209" s="314"/>
      <c r="BV4209" s="314"/>
      <c r="BW4209" s="314"/>
      <c r="BX4209" s="155"/>
    </row>
    <row r="4210" spans="1:76" ht="15.75" customHeight="1">
      <c r="A4210" s="25"/>
      <c r="B4210" s="39"/>
      <c r="C4210" s="155"/>
      <c r="D4210" s="155"/>
      <c r="E4210" s="40"/>
      <c r="F4210" s="314"/>
      <c r="H4210" s="315"/>
      <c r="I4210" s="315"/>
      <c r="BA4210" s="30"/>
      <c r="BB4210" s="155"/>
      <c r="BC4210" s="314"/>
      <c r="BD4210" s="314"/>
      <c r="BE4210" s="314"/>
      <c r="BF4210" s="314"/>
      <c r="BG4210" s="314"/>
      <c r="BH4210" s="314"/>
      <c r="BI4210" s="314"/>
      <c r="BJ4210" s="314"/>
      <c r="BK4210" s="40"/>
      <c r="BL4210" s="40"/>
      <c r="BM4210" s="40"/>
      <c r="BN4210" s="40"/>
      <c r="BO4210" s="40"/>
      <c r="BP4210" s="155"/>
      <c r="BQ4210" s="314"/>
      <c r="BR4210" s="314"/>
      <c r="BS4210" s="314"/>
      <c r="BT4210" s="314"/>
      <c r="BU4210" s="314"/>
      <c r="BV4210" s="314"/>
      <c r="BW4210" s="314"/>
      <c r="BX4210" s="155"/>
    </row>
    <row r="4211" spans="1:76" ht="15.75" customHeight="1">
      <c r="A4211" s="25"/>
      <c r="B4211" s="39"/>
      <c r="C4211" s="155"/>
      <c r="D4211" s="155"/>
      <c r="E4211" s="40"/>
      <c r="F4211" s="314"/>
      <c r="H4211" s="315"/>
      <c r="I4211" s="315"/>
      <c r="BA4211" s="30"/>
      <c r="BB4211" s="155"/>
      <c r="BC4211" s="314"/>
      <c r="BD4211" s="314"/>
      <c r="BE4211" s="314"/>
      <c r="BF4211" s="314"/>
      <c r="BG4211" s="314"/>
      <c r="BH4211" s="314"/>
      <c r="BI4211" s="314"/>
      <c r="BJ4211" s="314"/>
      <c r="BK4211" s="40"/>
      <c r="BL4211" s="40"/>
      <c r="BM4211" s="40"/>
      <c r="BN4211" s="40"/>
      <c r="BO4211" s="40"/>
      <c r="BP4211" s="155"/>
      <c r="BQ4211" s="314"/>
      <c r="BR4211" s="314"/>
      <c r="BS4211" s="314"/>
      <c r="BT4211" s="314"/>
      <c r="BU4211" s="314"/>
      <c r="BV4211" s="314"/>
      <c r="BW4211" s="314"/>
      <c r="BX4211" s="155"/>
    </row>
    <row r="4212" spans="1:76" ht="15.75" customHeight="1">
      <c r="A4212" s="25"/>
      <c r="B4212" s="39"/>
      <c r="C4212" s="155"/>
      <c r="D4212" s="155"/>
      <c r="E4212" s="40"/>
      <c r="F4212" s="314"/>
      <c r="H4212" s="315"/>
      <c r="I4212" s="315"/>
      <c r="BA4212" s="30"/>
      <c r="BB4212" s="155"/>
      <c r="BC4212" s="314"/>
      <c r="BD4212" s="314"/>
      <c r="BE4212" s="314"/>
      <c r="BF4212" s="314"/>
      <c r="BG4212" s="314"/>
      <c r="BH4212" s="314"/>
      <c r="BI4212" s="314"/>
      <c r="BJ4212" s="314"/>
      <c r="BK4212" s="40"/>
      <c r="BL4212" s="40"/>
      <c r="BM4212" s="40"/>
      <c r="BN4212" s="40"/>
      <c r="BO4212" s="40"/>
      <c r="BP4212" s="155"/>
      <c r="BQ4212" s="314"/>
      <c r="BR4212" s="314"/>
      <c r="BS4212" s="314"/>
      <c r="BT4212" s="314"/>
      <c r="BU4212" s="314"/>
      <c r="BV4212" s="314"/>
      <c r="BW4212" s="314"/>
      <c r="BX4212" s="155"/>
    </row>
    <row r="4213" spans="1:76" ht="15.75" customHeight="1">
      <c r="A4213" s="25"/>
      <c r="B4213" s="39"/>
      <c r="C4213" s="155"/>
      <c r="D4213" s="155"/>
      <c r="E4213" s="40"/>
      <c r="F4213" s="314"/>
      <c r="H4213" s="315"/>
      <c r="I4213" s="315"/>
      <c r="BA4213" s="30"/>
      <c r="BB4213" s="155"/>
      <c r="BC4213" s="314"/>
      <c r="BD4213" s="314"/>
      <c r="BE4213" s="314"/>
      <c r="BF4213" s="314"/>
      <c r="BG4213" s="314"/>
      <c r="BH4213" s="314"/>
      <c r="BI4213" s="314"/>
      <c r="BJ4213" s="314"/>
      <c r="BK4213" s="40"/>
      <c r="BL4213" s="40"/>
      <c r="BM4213" s="40"/>
      <c r="BN4213" s="40"/>
      <c r="BO4213" s="40"/>
      <c r="BP4213" s="155"/>
      <c r="BQ4213" s="314"/>
      <c r="BR4213" s="314"/>
      <c r="BS4213" s="314"/>
      <c r="BT4213" s="314"/>
      <c r="BU4213" s="314"/>
      <c r="BV4213" s="314"/>
      <c r="BW4213" s="314"/>
      <c r="BX4213" s="155"/>
    </row>
    <row r="4214" spans="1:76" ht="15.75" customHeight="1">
      <c r="A4214" s="25"/>
      <c r="B4214" s="39"/>
      <c r="C4214" s="155"/>
      <c r="D4214" s="155"/>
      <c r="E4214" s="40"/>
      <c r="F4214" s="314"/>
      <c r="H4214" s="315"/>
      <c r="I4214" s="315"/>
      <c r="BA4214" s="30"/>
      <c r="BB4214" s="155"/>
      <c r="BC4214" s="314"/>
      <c r="BD4214" s="314"/>
      <c r="BE4214" s="314"/>
      <c r="BF4214" s="314"/>
      <c r="BG4214" s="314"/>
      <c r="BH4214" s="314"/>
      <c r="BI4214" s="314"/>
      <c r="BJ4214" s="314"/>
      <c r="BK4214" s="40"/>
      <c r="BL4214" s="40"/>
      <c r="BM4214" s="40"/>
      <c r="BN4214" s="40"/>
      <c r="BO4214" s="40"/>
      <c r="BP4214" s="155"/>
      <c r="BQ4214" s="314"/>
      <c r="BR4214" s="314"/>
      <c r="BS4214" s="314"/>
      <c r="BT4214" s="314"/>
      <c r="BU4214" s="314"/>
      <c r="BV4214" s="314"/>
      <c r="BW4214" s="314"/>
      <c r="BX4214" s="155"/>
    </row>
    <row r="4215" spans="1:76" ht="15.75" customHeight="1">
      <c r="A4215" s="25"/>
      <c r="B4215" s="39"/>
      <c r="C4215" s="155"/>
      <c r="D4215" s="155"/>
      <c r="E4215" s="40"/>
      <c r="F4215" s="314"/>
      <c r="H4215" s="315"/>
      <c r="I4215" s="315"/>
      <c r="BA4215" s="30"/>
      <c r="BB4215" s="155"/>
      <c r="BC4215" s="314"/>
      <c r="BD4215" s="314"/>
      <c r="BE4215" s="314"/>
      <c r="BF4215" s="314"/>
      <c r="BG4215" s="314"/>
      <c r="BH4215" s="314"/>
      <c r="BI4215" s="314"/>
      <c r="BJ4215" s="314"/>
      <c r="BK4215" s="40"/>
      <c r="BL4215" s="40"/>
      <c r="BM4215" s="40"/>
      <c r="BN4215" s="40"/>
      <c r="BO4215" s="40"/>
      <c r="BP4215" s="155"/>
      <c r="BQ4215" s="314"/>
      <c r="BR4215" s="314"/>
      <c r="BS4215" s="314"/>
      <c r="BT4215" s="314"/>
      <c r="BU4215" s="314"/>
      <c r="BV4215" s="314"/>
      <c r="BW4215" s="314"/>
      <c r="BX4215" s="155"/>
    </row>
    <row r="4216" spans="1:76" ht="15.75" customHeight="1">
      <c r="A4216" s="25"/>
      <c r="B4216" s="39"/>
      <c r="C4216" s="155"/>
      <c r="D4216" s="155"/>
      <c r="E4216" s="40"/>
      <c r="F4216" s="314"/>
      <c r="H4216" s="315"/>
      <c r="I4216" s="315"/>
      <c r="BA4216" s="30"/>
      <c r="BB4216" s="155"/>
      <c r="BC4216" s="314"/>
      <c r="BD4216" s="314"/>
      <c r="BE4216" s="314"/>
      <c r="BF4216" s="314"/>
      <c r="BG4216" s="314"/>
      <c r="BH4216" s="314"/>
      <c r="BI4216" s="314"/>
      <c r="BJ4216" s="314"/>
      <c r="BK4216" s="40"/>
      <c r="BL4216" s="40"/>
      <c r="BM4216" s="40"/>
      <c r="BN4216" s="40"/>
      <c r="BO4216" s="40"/>
      <c r="BP4216" s="155"/>
      <c r="BQ4216" s="314"/>
      <c r="BR4216" s="314"/>
      <c r="BS4216" s="314"/>
      <c r="BT4216" s="314"/>
      <c r="BU4216" s="314"/>
      <c r="BV4216" s="314"/>
      <c r="BW4216" s="314"/>
      <c r="BX4216" s="155"/>
    </row>
    <row r="4217" spans="1:76" ht="15.75" customHeight="1">
      <c r="A4217" s="25"/>
      <c r="B4217" s="39"/>
      <c r="C4217" s="155"/>
      <c r="D4217" s="155"/>
      <c r="E4217" s="40"/>
      <c r="F4217" s="314"/>
      <c r="H4217" s="315"/>
      <c r="I4217" s="315"/>
      <c r="BA4217" s="30"/>
      <c r="BB4217" s="155"/>
      <c r="BC4217" s="314"/>
      <c r="BD4217" s="314"/>
      <c r="BE4217" s="314"/>
      <c r="BF4217" s="314"/>
      <c r="BG4217" s="314"/>
      <c r="BH4217" s="314"/>
      <c r="BI4217" s="314"/>
      <c r="BJ4217" s="314"/>
      <c r="BK4217" s="40"/>
      <c r="BL4217" s="40"/>
      <c r="BM4217" s="40"/>
      <c r="BN4217" s="40"/>
      <c r="BO4217" s="40"/>
      <c r="BP4217" s="155"/>
      <c r="BQ4217" s="314"/>
      <c r="BR4217" s="314"/>
      <c r="BS4217" s="314"/>
      <c r="BT4217" s="314"/>
      <c r="BU4217" s="314"/>
      <c r="BV4217" s="314"/>
      <c r="BW4217" s="314"/>
      <c r="BX4217" s="155"/>
    </row>
    <row r="4218" spans="1:76" ht="15.75" customHeight="1">
      <c r="A4218" s="25"/>
      <c r="B4218" s="39"/>
      <c r="C4218" s="155"/>
      <c r="D4218" s="155"/>
      <c r="E4218" s="40"/>
      <c r="F4218" s="314"/>
      <c r="H4218" s="315"/>
      <c r="I4218" s="315"/>
      <c r="BA4218" s="30"/>
      <c r="BB4218" s="155"/>
      <c r="BC4218" s="314"/>
      <c r="BD4218" s="314"/>
      <c r="BE4218" s="314"/>
      <c r="BF4218" s="314"/>
      <c r="BG4218" s="314"/>
      <c r="BH4218" s="314"/>
      <c r="BI4218" s="314"/>
      <c r="BJ4218" s="314"/>
      <c r="BK4218" s="40"/>
      <c r="BL4218" s="40"/>
      <c r="BM4218" s="40"/>
      <c r="BN4218" s="40"/>
      <c r="BO4218" s="40"/>
      <c r="BP4218" s="155"/>
      <c r="BQ4218" s="314"/>
      <c r="BR4218" s="314"/>
      <c r="BS4218" s="314"/>
      <c r="BT4218" s="314"/>
      <c r="BU4218" s="314"/>
      <c r="BV4218" s="314"/>
      <c r="BW4218" s="314"/>
      <c r="BX4218" s="155"/>
    </row>
    <row r="4219" spans="1:76" ht="15.75" customHeight="1">
      <c r="A4219" s="25"/>
      <c r="B4219" s="39"/>
      <c r="C4219" s="155"/>
      <c r="D4219" s="155"/>
      <c r="E4219" s="40"/>
      <c r="F4219" s="314"/>
      <c r="H4219" s="315"/>
      <c r="I4219" s="315"/>
      <c r="BA4219" s="30"/>
      <c r="BB4219" s="155"/>
      <c r="BC4219" s="314"/>
      <c r="BD4219" s="314"/>
      <c r="BE4219" s="314"/>
      <c r="BF4219" s="314"/>
      <c r="BG4219" s="314"/>
      <c r="BH4219" s="314"/>
      <c r="BI4219" s="314"/>
      <c r="BJ4219" s="314"/>
      <c r="BK4219" s="40"/>
      <c r="BL4219" s="40"/>
      <c r="BM4219" s="40"/>
      <c r="BN4219" s="40"/>
      <c r="BO4219" s="40"/>
      <c r="BP4219" s="155"/>
      <c r="BQ4219" s="314"/>
      <c r="BR4219" s="314"/>
      <c r="BS4219" s="314"/>
      <c r="BT4219" s="314"/>
      <c r="BU4219" s="314"/>
      <c r="BV4219" s="314"/>
      <c r="BW4219" s="314"/>
      <c r="BX4219" s="155"/>
    </row>
    <row r="4220" spans="1:76" ht="15.75" customHeight="1">
      <c r="A4220" s="25"/>
      <c r="B4220" s="39"/>
      <c r="C4220" s="155"/>
      <c r="D4220" s="155"/>
      <c r="E4220" s="40"/>
      <c r="F4220" s="314"/>
      <c r="H4220" s="315"/>
      <c r="I4220" s="315"/>
      <c r="BA4220" s="30"/>
      <c r="BB4220" s="155"/>
      <c r="BC4220" s="314"/>
      <c r="BD4220" s="314"/>
      <c r="BE4220" s="314"/>
      <c r="BF4220" s="314"/>
      <c r="BG4220" s="314"/>
      <c r="BH4220" s="314"/>
      <c r="BI4220" s="314"/>
      <c r="BJ4220" s="314"/>
      <c r="BK4220" s="40"/>
      <c r="BL4220" s="40"/>
      <c r="BM4220" s="40"/>
      <c r="BN4220" s="40"/>
      <c r="BO4220" s="40"/>
      <c r="BP4220" s="155"/>
      <c r="BQ4220" s="314"/>
      <c r="BR4220" s="314"/>
      <c r="BS4220" s="314"/>
      <c r="BT4220" s="314"/>
      <c r="BU4220" s="314"/>
      <c r="BV4220" s="314"/>
      <c r="BW4220" s="314"/>
      <c r="BX4220" s="155"/>
    </row>
    <row r="4221" spans="1:76" ht="15.75" customHeight="1">
      <c r="A4221" s="25"/>
      <c r="B4221" s="39"/>
      <c r="C4221" s="155"/>
      <c r="D4221" s="155"/>
      <c r="E4221" s="40"/>
      <c r="F4221" s="314"/>
      <c r="H4221" s="315"/>
      <c r="I4221" s="315"/>
      <c r="BA4221" s="30"/>
      <c r="BB4221" s="155"/>
      <c r="BC4221" s="314"/>
      <c r="BD4221" s="314"/>
      <c r="BE4221" s="314"/>
      <c r="BF4221" s="314"/>
      <c r="BG4221" s="314"/>
      <c r="BH4221" s="314"/>
      <c r="BI4221" s="314"/>
      <c r="BJ4221" s="314"/>
      <c r="BK4221" s="40"/>
      <c r="BL4221" s="40"/>
      <c r="BM4221" s="40"/>
      <c r="BN4221" s="40"/>
      <c r="BO4221" s="40"/>
      <c r="BP4221" s="155"/>
      <c r="BQ4221" s="314"/>
      <c r="BR4221" s="314"/>
      <c r="BS4221" s="314"/>
      <c r="BT4221" s="314"/>
      <c r="BU4221" s="314"/>
      <c r="BV4221" s="314"/>
      <c r="BW4221" s="314"/>
      <c r="BX4221" s="155"/>
    </row>
    <row r="4222" spans="1:76" ht="15.75" customHeight="1">
      <c r="A4222" s="25"/>
      <c r="B4222" s="39"/>
      <c r="C4222" s="155"/>
      <c r="D4222" s="155"/>
      <c r="E4222" s="40"/>
      <c r="F4222" s="314"/>
      <c r="H4222" s="315"/>
      <c r="I4222" s="315"/>
      <c r="BA4222" s="30"/>
      <c r="BB4222" s="155"/>
      <c r="BC4222" s="314"/>
      <c r="BD4222" s="314"/>
      <c r="BE4222" s="314"/>
      <c r="BF4222" s="314"/>
      <c r="BG4222" s="314"/>
      <c r="BH4222" s="314"/>
      <c r="BI4222" s="314"/>
      <c r="BJ4222" s="314"/>
      <c r="BK4222" s="40"/>
      <c r="BL4222" s="40"/>
      <c r="BM4222" s="40"/>
      <c r="BN4222" s="40"/>
      <c r="BO4222" s="40"/>
      <c r="BP4222" s="155"/>
      <c r="BQ4222" s="314"/>
      <c r="BR4222" s="314"/>
      <c r="BS4222" s="314"/>
      <c r="BT4222" s="314"/>
      <c r="BU4222" s="314"/>
      <c r="BV4222" s="314"/>
      <c r="BW4222" s="314"/>
      <c r="BX4222" s="155"/>
    </row>
    <row r="4223" spans="1:76" ht="15.75" customHeight="1">
      <c r="A4223" s="25"/>
      <c r="B4223" s="39"/>
      <c r="C4223" s="155"/>
      <c r="D4223" s="155"/>
      <c r="E4223" s="40"/>
      <c r="F4223" s="314"/>
      <c r="H4223" s="315"/>
      <c r="I4223" s="315"/>
      <c r="BA4223" s="30"/>
      <c r="BB4223" s="155"/>
      <c r="BC4223" s="314"/>
      <c r="BD4223" s="314"/>
      <c r="BE4223" s="314"/>
      <c r="BF4223" s="314"/>
      <c r="BG4223" s="314"/>
      <c r="BH4223" s="314"/>
      <c r="BI4223" s="314"/>
      <c r="BJ4223" s="314"/>
      <c r="BK4223" s="40"/>
      <c r="BL4223" s="40"/>
      <c r="BM4223" s="40"/>
      <c r="BN4223" s="40"/>
      <c r="BO4223" s="40"/>
      <c r="BP4223" s="155"/>
      <c r="BQ4223" s="314"/>
      <c r="BR4223" s="314"/>
      <c r="BS4223" s="314"/>
      <c r="BT4223" s="314"/>
      <c r="BU4223" s="314"/>
      <c r="BV4223" s="314"/>
      <c r="BW4223" s="314"/>
      <c r="BX4223" s="155"/>
    </row>
    <row r="4224" spans="1:76" ht="15.75" customHeight="1">
      <c r="A4224" s="25"/>
      <c r="B4224" s="39"/>
      <c r="C4224" s="155"/>
      <c r="D4224" s="155"/>
      <c r="E4224" s="40"/>
      <c r="F4224" s="314"/>
      <c r="H4224" s="315"/>
      <c r="I4224" s="315"/>
      <c r="BA4224" s="30"/>
      <c r="BB4224" s="155"/>
      <c r="BC4224" s="314"/>
      <c r="BD4224" s="314"/>
      <c r="BE4224" s="314"/>
      <c r="BF4224" s="314"/>
      <c r="BG4224" s="314"/>
      <c r="BH4224" s="314"/>
      <c r="BI4224" s="314"/>
      <c r="BJ4224" s="314"/>
      <c r="BK4224" s="40"/>
      <c r="BL4224" s="40"/>
      <c r="BM4224" s="40"/>
      <c r="BN4224" s="40"/>
      <c r="BO4224" s="40"/>
      <c r="BP4224" s="155"/>
      <c r="BQ4224" s="314"/>
      <c r="BR4224" s="314"/>
      <c r="BS4224" s="314"/>
      <c r="BT4224" s="314"/>
      <c r="BU4224" s="314"/>
      <c r="BV4224" s="314"/>
      <c r="BW4224" s="314"/>
      <c r="BX4224" s="155"/>
    </row>
    <row r="4225" spans="1:76" ht="15.75" customHeight="1">
      <c r="A4225" s="25"/>
      <c r="B4225" s="39"/>
      <c r="C4225" s="155"/>
      <c r="D4225" s="155"/>
      <c r="E4225" s="40"/>
      <c r="F4225" s="314"/>
      <c r="H4225" s="315"/>
      <c r="I4225" s="315"/>
      <c r="BA4225" s="30"/>
      <c r="BB4225" s="155"/>
      <c r="BC4225" s="314"/>
      <c r="BD4225" s="314"/>
      <c r="BE4225" s="314"/>
      <c r="BF4225" s="314"/>
      <c r="BG4225" s="314"/>
      <c r="BH4225" s="314"/>
      <c r="BI4225" s="314"/>
      <c r="BJ4225" s="314"/>
      <c r="BK4225" s="40"/>
      <c r="BL4225" s="40"/>
      <c r="BM4225" s="40"/>
      <c r="BN4225" s="40"/>
      <c r="BO4225" s="40"/>
      <c r="BP4225" s="155"/>
      <c r="BQ4225" s="314"/>
      <c r="BR4225" s="314"/>
      <c r="BS4225" s="314"/>
      <c r="BT4225" s="314"/>
      <c r="BU4225" s="314"/>
      <c r="BV4225" s="314"/>
      <c r="BW4225" s="314"/>
      <c r="BX4225" s="155"/>
    </row>
    <row r="4226" spans="1:76" ht="15.75" customHeight="1">
      <c r="A4226" s="25"/>
      <c r="B4226" s="39"/>
      <c r="C4226" s="155"/>
      <c r="D4226" s="155"/>
      <c r="E4226" s="40"/>
      <c r="F4226" s="314"/>
      <c r="H4226" s="315"/>
      <c r="I4226" s="315"/>
      <c r="BA4226" s="30"/>
      <c r="BB4226" s="155"/>
      <c r="BC4226" s="314"/>
      <c r="BD4226" s="314"/>
      <c r="BE4226" s="314"/>
      <c r="BF4226" s="314"/>
      <c r="BG4226" s="314"/>
      <c r="BH4226" s="314"/>
      <c r="BI4226" s="314"/>
      <c r="BJ4226" s="314"/>
      <c r="BK4226" s="40"/>
      <c r="BL4226" s="40"/>
      <c r="BM4226" s="40"/>
      <c r="BN4226" s="40"/>
      <c r="BO4226" s="40"/>
      <c r="BP4226" s="155"/>
      <c r="BQ4226" s="314"/>
      <c r="BR4226" s="314"/>
      <c r="BS4226" s="314"/>
      <c r="BT4226" s="314"/>
      <c r="BU4226" s="314"/>
      <c r="BV4226" s="314"/>
      <c r="BW4226" s="314"/>
      <c r="BX4226" s="155"/>
    </row>
    <row r="4227" spans="1:76" ht="15.75" customHeight="1">
      <c r="A4227" s="25"/>
      <c r="B4227" s="39"/>
      <c r="C4227" s="155"/>
      <c r="D4227" s="155"/>
      <c r="E4227" s="40"/>
      <c r="F4227" s="314"/>
      <c r="H4227" s="315"/>
      <c r="I4227" s="315"/>
      <c r="BA4227" s="30"/>
      <c r="BB4227" s="155"/>
      <c r="BC4227" s="314"/>
      <c r="BD4227" s="314"/>
      <c r="BE4227" s="314"/>
      <c r="BF4227" s="314"/>
      <c r="BG4227" s="314"/>
      <c r="BH4227" s="314"/>
      <c r="BI4227" s="314"/>
      <c r="BJ4227" s="314"/>
      <c r="BK4227" s="40"/>
      <c r="BL4227" s="40"/>
      <c r="BM4227" s="40"/>
      <c r="BN4227" s="40"/>
      <c r="BO4227" s="40"/>
      <c r="BP4227" s="155"/>
      <c r="BQ4227" s="314"/>
      <c r="BR4227" s="314"/>
      <c r="BS4227" s="314"/>
      <c r="BT4227" s="314"/>
      <c r="BU4227" s="314"/>
      <c r="BV4227" s="314"/>
      <c r="BW4227" s="314"/>
      <c r="BX4227" s="155"/>
    </row>
    <row r="4228" spans="1:76" ht="15.75" customHeight="1">
      <c r="A4228" s="25"/>
      <c r="B4228" s="39"/>
      <c r="C4228" s="155"/>
      <c r="D4228" s="155"/>
      <c r="E4228" s="40"/>
      <c r="F4228" s="314"/>
      <c r="H4228" s="315"/>
      <c r="I4228" s="315"/>
      <c r="BA4228" s="30"/>
      <c r="BB4228" s="155"/>
      <c r="BC4228" s="314"/>
      <c r="BD4228" s="314"/>
      <c r="BE4228" s="314"/>
      <c r="BF4228" s="314"/>
      <c r="BG4228" s="314"/>
      <c r="BH4228" s="314"/>
      <c r="BI4228" s="314"/>
      <c r="BJ4228" s="314"/>
      <c r="BK4228" s="40"/>
      <c r="BL4228" s="40"/>
      <c r="BM4228" s="40"/>
      <c r="BN4228" s="40"/>
      <c r="BO4228" s="40"/>
      <c r="BP4228" s="155"/>
      <c r="BQ4228" s="314"/>
      <c r="BR4228" s="314"/>
      <c r="BS4228" s="314"/>
      <c r="BT4228" s="314"/>
      <c r="BU4228" s="314"/>
      <c r="BV4228" s="314"/>
      <c r="BW4228" s="314"/>
      <c r="BX4228" s="155"/>
    </row>
    <row r="4229" spans="1:76" ht="15.75" customHeight="1">
      <c r="A4229" s="25"/>
      <c r="B4229" s="39"/>
      <c r="C4229" s="155"/>
      <c r="D4229" s="155"/>
      <c r="E4229" s="40"/>
      <c r="F4229" s="314"/>
      <c r="H4229" s="315"/>
      <c r="I4229" s="315"/>
      <c r="BA4229" s="30"/>
      <c r="BB4229" s="155"/>
      <c r="BC4229" s="314"/>
      <c r="BD4229" s="314"/>
      <c r="BE4229" s="314"/>
      <c r="BF4229" s="314"/>
      <c r="BG4229" s="314"/>
      <c r="BH4229" s="314"/>
      <c r="BI4229" s="314"/>
      <c r="BJ4229" s="314"/>
      <c r="BK4229" s="40"/>
      <c r="BL4229" s="40"/>
      <c r="BM4229" s="40"/>
      <c r="BN4229" s="40"/>
      <c r="BO4229" s="40"/>
      <c r="BP4229" s="155"/>
      <c r="BQ4229" s="314"/>
      <c r="BR4229" s="314"/>
      <c r="BS4229" s="314"/>
      <c r="BT4229" s="314"/>
      <c r="BU4229" s="314"/>
      <c r="BV4229" s="314"/>
      <c r="BW4229" s="314"/>
      <c r="BX4229" s="155"/>
    </row>
    <row r="4230" spans="1:76" ht="15.75" customHeight="1">
      <c r="A4230" s="25"/>
      <c r="B4230" s="39"/>
      <c r="C4230" s="155"/>
      <c r="D4230" s="155"/>
      <c r="E4230" s="40"/>
      <c r="F4230" s="314"/>
      <c r="H4230" s="315"/>
      <c r="I4230" s="315"/>
      <c r="BA4230" s="30"/>
      <c r="BB4230" s="155"/>
      <c r="BC4230" s="314"/>
      <c r="BD4230" s="314"/>
      <c r="BE4230" s="314"/>
      <c r="BF4230" s="314"/>
      <c r="BG4230" s="314"/>
      <c r="BH4230" s="314"/>
      <c r="BI4230" s="314"/>
      <c r="BJ4230" s="314"/>
      <c r="BK4230" s="40"/>
      <c r="BL4230" s="40"/>
      <c r="BM4230" s="40"/>
      <c r="BN4230" s="40"/>
      <c r="BO4230" s="40"/>
      <c r="BP4230" s="155"/>
      <c r="BQ4230" s="314"/>
      <c r="BR4230" s="314"/>
      <c r="BS4230" s="314"/>
      <c r="BT4230" s="314"/>
      <c r="BU4230" s="314"/>
      <c r="BV4230" s="314"/>
      <c r="BW4230" s="314"/>
      <c r="BX4230" s="155"/>
    </row>
    <row r="4231" spans="1:76" ht="15.75" customHeight="1">
      <c r="A4231" s="25"/>
      <c r="B4231" s="39"/>
      <c r="C4231" s="155"/>
      <c r="D4231" s="155"/>
      <c r="E4231" s="40"/>
      <c r="F4231" s="314"/>
      <c r="H4231" s="315"/>
      <c r="I4231" s="315"/>
      <c r="BA4231" s="30"/>
      <c r="BB4231" s="155"/>
      <c r="BC4231" s="314"/>
      <c r="BD4231" s="314"/>
      <c r="BE4231" s="314"/>
      <c r="BF4231" s="314"/>
      <c r="BG4231" s="314"/>
      <c r="BH4231" s="314"/>
      <c r="BI4231" s="314"/>
      <c r="BJ4231" s="314"/>
      <c r="BK4231" s="40"/>
      <c r="BL4231" s="40"/>
      <c r="BM4231" s="40"/>
      <c r="BN4231" s="40"/>
      <c r="BO4231" s="40"/>
      <c r="BP4231" s="155"/>
      <c r="BQ4231" s="314"/>
      <c r="BR4231" s="314"/>
      <c r="BS4231" s="314"/>
      <c r="BT4231" s="314"/>
      <c r="BU4231" s="314"/>
      <c r="BV4231" s="314"/>
      <c r="BW4231" s="314"/>
      <c r="BX4231" s="155"/>
    </row>
    <row r="4232" spans="1:76" ht="15.75" customHeight="1">
      <c r="A4232" s="25"/>
      <c r="B4232" s="39"/>
      <c r="C4232" s="155"/>
      <c r="D4232" s="155"/>
      <c r="E4232" s="40"/>
      <c r="F4232" s="314"/>
      <c r="H4232" s="315"/>
      <c r="I4232" s="315"/>
      <c r="BA4232" s="30"/>
      <c r="BB4232" s="155"/>
      <c r="BC4232" s="314"/>
      <c r="BD4232" s="314"/>
      <c r="BE4232" s="314"/>
      <c r="BF4232" s="314"/>
      <c r="BG4232" s="314"/>
      <c r="BH4232" s="314"/>
      <c r="BI4232" s="314"/>
      <c r="BJ4232" s="314"/>
      <c r="BK4232" s="40"/>
      <c r="BL4232" s="40"/>
      <c r="BM4232" s="40"/>
      <c r="BN4232" s="40"/>
      <c r="BO4232" s="40"/>
      <c r="BP4232" s="155"/>
      <c r="BQ4232" s="314"/>
      <c r="BR4232" s="314"/>
      <c r="BS4232" s="314"/>
      <c r="BT4232" s="314"/>
      <c r="BU4232" s="314"/>
      <c r="BV4232" s="314"/>
      <c r="BW4232" s="314"/>
      <c r="BX4232" s="155"/>
    </row>
    <row r="4233" spans="1:76" ht="15.75" customHeight="1">
      <c r="A4233" s="25"/>
      <c r="B4233" s="39"/>
      <c r="C4233" s="155"/>
      <c r="D4233" s="155"/>
      <c r="E4233" s="40"/>
      <c r="F4233" s="314"/>
      <c r="H4233" s="315"/>
      <c r="I4233" s="315"/>
      <c r="BA4233" s="30"/>
      <c r="BB4233" s="155"/>
      <c r="BC4233" s="314"/>
      <c r="BD4233" s="314"/>
      <c r="BE4233" s="314"/>
      <c r="BF4233" s="314"/>
      <c r="BG4233" s="314"/>
      <c r="BH4233" s="314"/>
      <c r="BI4233" s="314"/>
      <c r="BJ4233" s="314"/>
      <c r="BK4233" s="40"/>
      <c r="BL4233" s="40"/>
      <c r="BM4233" s="40"/>
      <c r="BN4233" s="40"/>
      <c r="BO4233" s="40"/>
      <c r="BP4233" s="155"/>
      <c r="BQ4233" s="314"/>
      <c r="BR4233" s="314"/>
      <c r="BS4233" s="314"/>
      <c r="BT4233" s="314"/>
      <c r="BU4233" s="314"/>
      <c r="BV4233" s="314"/>
      <c r="BW4233" s="314"/>
      <c r="BX4233" s="155"/>
    </row>
    <row r="4234" spans="1:76" ht="15.75" customHeight="1">
      <c r="A4234" s="25"/>
      <c r="B4234" s="39"/>
      <c r="C4234" s="155"/>
      <c r="D4234" s="155"/>
      <c r="E4234" s="40"/>
      <c r="F4234" s="314"/>
      <c r="H4234" s="315"/>
      <c r="I4234" s="315"/>
      <c r="BA4234" s="30"/>
      <c r="BB4234" s="155"/>
      <c r="BC4234" s="314"/>
      <c r="BD4234" s="314"/>
      <c r="BE4234" s="314"/>
      <c r="BF4234" s="314"/>
      <c r="BG4234" s="314"/>
      <c r="BH4234" s="314"/>
      <c r="BI4234" s="314"/>
      <c r="BJ4234" s="314"/>
      <c r="BK4234" s="40"/>
      <c r="BL4234" s="40"/>
      <c r="BM4234" s="40"/>
      <c r="BN4234" s="40"/>
      <c r="BO4234" s="40"/>
      <c r="BP4234" s="155"/>
      <c r="BQ4234" s="314"/>
      <c r="BR4234" s="314"/>
      <c r="BS4234" s="314"/>
      <c r="BT4234" s="314"/>
      <c r="BU4234" s="314"/>
      <c r="BV4234" s="314"/>
      <c r="BW4234" s="314"/>
      <c r="BX4234" s="155"/>
    </row>
    <row r="4235" spans="1:76" ht="15.75" customHeight="1">
      <c r="A4235" s="25"/>
      <c r="B4235" s="39"/>
      <c r="C4235" s="155"/>
      <c r="D4235" s="155"/>
      <c r="E4235" s="40"/>
      <c r="F4235" s="314"/>
      <c r="H4235" s="315"/>
      <c r="I4235" s="315"/>
      <c r="BA4235" s="30"/>
      <c r="BB4235" s="155"/>
      <c r="BC4235" s="314"/>
      <c r="BD4235" s="314"/>
      <c r="BE4235" s="314"/>
      <c r="BF4235" s="314"/>
      <c r="BG4235" s="314"/>
      <c r="BH4235" s="314"/>
      <c r="BI4235" s="314"/>
      <c r="BJ4235" s="314"/>
      <c r="BK4235" s="40"/>
      <c r="BL4235" s="40"/>
      <c r="BM4235" s="40"/>
      <c r="BN4235" s="40"/>
      <c r="BO4235" s="40"/>
      <c r="BP4235" s="155"/>
      <c r="BQ4235" s="314"/>
      <c r="BR4235" s="314"/>
      <c r="BS4235" s="314"/>
      <c r="BT4235" s="314"/>
      <c r="BU4235" s="314"/>
      <c r="BV4235" s="314"/>
      <c r="BW4235" s="314"/>
      <c r="BX4235" s="155"/>
    </row>
    <row r="4236" spans="1:76" ht="15.75" customHeight="1">
      <c r="A4236" s="25"/>
      <c r="B4236" s="39"/>
      <c r="C4236" s="155"/>
      <c r="D4236" s="155"/>
      <c r="E4236" s="40"/>
      <c r="F4236" s="314"/>
      <c r="H4236" s="315"/>
      <c r="I4236" s="315"/>
      <c r="BA4236" s="30"/>
      <c r="BB4236" s="155"/>
      <c r="BC4236" s="314"/>
      <c r="BD4236" s="314"/>
      <c r="BE4236" s="314"/>
      <c r="BF4236" s="314"/>
      <c r="BG4236" s="314"/>
      <c r="BH4236" s="314"/>
      <c r="BI4236" s="314"/>
      <c r="BJ4236" s="314"/>
      <c r="BK4236" s="40"/>
      <c r="BL4236" s="40"/>
      <c r="BM4236" s="40"/>
      <c r="BN4236" s="40"/>
      <c r="BO4236" s="40"/>
      <c r="BP4236" s="155"/>
      <c r="BQ4236" s="314"/>
      <c r="BR4236" s="314"/>
      <c r="BS4236" s="314"/>
      <c r="BT4236" s="314"/>
      <c r="BU4236" s="314"/>
      <c r="BV4236" s="314"/>
      <c r="BW4236" s="314"/>
      <c r="BX4236" s="155"/>
    </row>
    <row r="4237" spans="1:76" ht="15.75" customHeight="1">
      <c r="A4237" s="25"/>
      <c r="B4237" s="39"/>
      <c r="C4237" s="155"/>
      <c r="D4237" s="155"/>
      <c r="E4237" s="40"/>
      <c r="F4237" s="314"/>
      <c r="H4237" s="315"/>
      <c r="I4237" s="315"/>
      <c r="BA4237" s="30"/>
      <c r="BB4237" s="155"/>
      <c r="BC4237" s="314"/>
      <c r="BD4237" s="314"/>
      <c r="BE4237" s="314"/>
      <c r="BF4237" s="314"/>
      <c r="BG4237" s="314"/>
      <c r="BH4237" s="314"/>
      <c r="BI4237" s="314"/>
      <c r="BJ4237" s="314"/>
      <c r="BK4237" s="40"/>
      <c r="BL4237" s="40"/>
      <c r="BM4237" s="40"/>
      <c r="BN4237" s="40"/>
      <c r="BO4237" s="40"/>
      <c r="BP4237" s="155"/>
      <c r="BQ4237" s="314"/>
      <c r="BR4237" s="314"/>
      <c r="BS4237" s="314"/>
      <c r="BT4237" s="314"/>
      <c r="BU4237" s="314"/>
      <c r="BV4237" s="314"/>
      <c r="BW4237" s="314"/>
      <c r="BX4237" s="155"/>
    </row>
    <row r="4238" spans="1:76" ht="15.75" customHeight="1">
      <c r="A4238" s="25"/>
      <c r="B4238" s="39"/>
      <c r="C4238" s="155"/>
      <c r="D4238" s="155"/>
      <c r="E4238" s="40"/>
      <c r="F4238" s="314"/>
      <c r="H4238" s="315"/>
      <c r="I4238" s="315"/>
      <c r="BA4238" s="30"/>
      <c r="BB4238" s="155"/>
      <c r="BC4238" s="314"/>
      <c r="BD4238" s="314"/>
      <c r="BE4238" s="314"/>
      <c r="BF4238" s="314"/>
      <c r="BG4238" s="314"/>
      <c r="BH4238" s="314"/>
      <c r="BI4238" s="314"/>
      <c r="BJ4238" s="314"/>
      <c r="BK4238" s="40"/>
      <c r="BL4238" s="40"/>
      <c r="BM4238" s="40"/>
      <c r="BN4238" s="40"/>
      <c r="BO4238" s="40"/>
      <c r="BP4238" s="155"/>
      <c r="BQ4238" s="314"/>
      <c r="BR4238" s="314"/>
      <c r="BS4238" s="314"/>
      <c r="BT4238" s="314"/>
      <c r="BU4238" s="314"/>
      <c r="BV4238" s="314"/>
      <c r="BW4238" s="314"/>
      <c r="BX4238" s="155"/>
    </row>
    <row r="4239" spans="1:76" ht="15.75" customHeight="1">
      <c r="A4239" s="25"/>
      <c r="B4239" s="39"/>
      <c r="C4239" s="155"/>
      <c r="D4239" s="155"/>
      <c r="E4239" s="40"/>
      <c r="F4239" s="314"/>
      <c r="H4239" s="315"/>
      <c r="I4239" s="315"/>
      <c r="BA4239" s="30"/>
      <c r="BB4239" s="155"/>
      <c r="BC4239" s="314"/>
      <c r="BD4239" s="314"/>
      <c r="BE4239" s="314"/>
      <c r="BF4239" s="314"/>
      <c r="BG4239" s="314"/>
      <c r="BH4239" s="314"/>
      <c r="BI4239" s="314"/>
      <c r="BJ4239" s="314"/>
      <c r="BK4239" s="40"/>
      <c r="BL4239" s="40"/>
      <c r="BM4239" s="40"/>
      <c r="BN4239" s="40"/>
      <c r="BO4239" s="40"/>
      <c r="BP4239" s="155"/>
      <c r="BQ4239" s="314"/>
      <c r="BR4239" s="314"/>
      <c r="BS4239" s="314"/>
      <c r="BT4239" s="314"/>
      <c r="BU4239" s="314"/>
      <c r="BV4239" s="314"/>
      <c r="BW4239" s="314"/>
      <c r="BX4239" s="155"/>
    </row>
    <row r="4240" spans="1:76" ht="15.75" customHeight="1">
      <c r="A4240" s="25"/>
      <c r="B4240" s="39"/>
      <c r="C4240" s="155"/>
      <c r="D4240" s="155"/>
      <c r="E4240" s="40"/>
      <c r="F4240" s="314"/>
      <c r="H4240" s="315"/>
      <c r="I4240" s="315"/>
      <c r="BA4240" s="30"/>
      <c r="BB4240" s="155"/>
      <c r="BC4240" s="314"/>
      <c r="BD4240" s="314"/>
      <c r="BE4240" s="314"/>
      <c r="BF4240" s="314"/>
      <c r="BG4240" s="314"/>
      <c r="BH4240" s="314"/>
      <c r="BI4240" s="314"/>
      <c r="BJ4240" s="314"/>
      <c r="BK4240" s="40"/>
      <c r="BL4240" s="40"/>
      <c r="BM4240" s="40"/>
      <c r="BN4240" s="40"/>
      <c r="BO4240" s="40"/>
      <c r="BP4240" s="155"/>
      <c r="BQ4240" s="314"/>
      <c r="BR4240" s="314"/>
      <c r="BS4240" s="314"/>
      <c r="BT4240" s="314"/>
      <c r="BU4240" s="314"/>
      <c r="BV4240" s="314"/>
      <c r="BW4240" s="314"/>
      <c r="BX4240" s="155"/>
    </row>
    <row r="4241" spans="1:76" ht="15.75" customHeight="1">
      <c r="A4241" s="25"/>
      <c r="B4241" s="39"/>
      <c r="C4241" s="155"/>
      <c r="D4241" s="155"/>
      <c r="E4241" s="40"/>
      <c r="F4241" s="314"/>
      <c r="H4241" s="315"/>
      <c r="I4241" s="315"/>
      <c r="BA4241" s="30"/>
      <c r="BB4241" s="155"/>
      <c r="BC4241" s="314"/>
      <c r="BD4241" s="314"/>
      <c r="BE4241" s="314"/>
      <c r="BF4241" s="314"/>
      <c r="BG4241" s="314"/>
      <c r="BH4241" s="314"/>
      <c r="BI4241" s="314"/>
      <c r="BJ4241" s="314"/>
      <c r="BK4241" s="40"/>
      <c r="BL4241" s="40"/>
      <c r="BM4241" s="40"/>
      <c r="BN4241" s="40"/>
      <c r="BO4241" s="40"/>
      <c r="BP4241" s="155"/>
      <c r="BQ4241" s="314"/>
      <c r="BR4241" s="314"/>
      <c r="BS4241" s="314"/>
      <c r="BT4241" s="314"/>
      <c r="BU4241" s="314"/>
      <c r="BV4241" s="314"/>
      <c r="BW4241" s="314"/>
      <c r="BX4241" s="155"/>
    </row>
    <row r="4242" spans="1:76" ht="15.75" customHeight="1">
      <c r="A4242" s="25"/>
      <c r="B4242" s="39"/>
      <c r="C4242" s="155"/>
      <c r="D4242" s="155"/>
      <c r="E4242" s="40"/>
      <c r="F4242" s="314"/>
      <c r="H4242" s="315"/>
      <c r="I4242" s="315"/>
      <c r="BA4242" s="30"/>
      <c r="BB4242" s="155"/>
      <c r="BC4242" s="314"/>
      <c r="BD4242" s="314"/>
      <c r="BE4242" s="314"/>
      <c r="BF4242" s="314"/>
      <c r="BG4242" s="314"/>
      <c r="BH4242" s="314"/>
      <c r="BI4242" s="314"/>
      <c r="BJ4242" s="314"/>
      <c r="BK4242" s="40"/>
      <c r="BL4242" s="40"/>
      <c r="BM4242" s="40"/>
      <c r="BN4242" s="40"/>
      <c r="BO4242" s="40"/>
      <c r="BP4242" s="155"/>
      <c r="BQ4242" s="314"/>
      <c r="BR4242" s="314"/>
      <c r="BS4242" s="314"/>
      <c r="BT4242" s="314"/>
      <c r="BU4242" s="314"/>
      <c r="BV4242" s="314"/>
      <c r="BW4242" s="314"/>
      <c r="BX4242" s="155"/>
    </row>
    <row r="4243" spans="1:76" ht="15.75" customHeight="1">
      <c r="A4243" s="25"/>
      <c r="B4243" s="39"/>
      <c r="C4243" s="155"/>
      <c r="D4243" s="155"/>
      <c r="E4243" s="40"/>
      <c r="F4243" s="314"/>
      <c r="H4243" s="315"/>
      <c r="I4243" s="315"/>
      <c r="BA4243" s="30"/>
      <c r="BB4243" s="155"/>
      <c r="BC4243" s="314"/>
      <c r="BD4243" s="314"/>
      <c r="BE4243" s="314"/>
      <c r="BF4243" s="314"/>
      <c r="BG4243" s="314"/>
      <c r="BH4243" s="314"/>
      <c r="BI4243" s="314"/>
      <c r="BJ4243" s="314"/>
      <c r="BK4243" s="40"/>
      <c r="BL4243" s="40"/>
      <c r="BM4243" s="40"/>
      <c r="BN4243" s="40"/>
      <c r="BO4243" s="40"/>
      <c r="BP4243" s="155"/>
      <c r="BQ4243" s="314"/>
      <c r="BR4243" s="314"/>
      <c r="BS4243" s="314"/>
      <c r="BT4243" s="314"/>
      <c r="BU4243" s="314"/>
      <c r="BV4243" s="314"/>
      <c r="BW4243" s="314"/>
      <c r="BX4243" s="155"/>
    </row>
    <row r="4244" spans="1:76" ht="15.75" customHeight="1">
      <c r="A4244" s="25"/>
      <c r="B4244" s="39"/>
      <c r="C4244" s="155"/>
      <c r="D4244" s="155"/>
      <c r="E4244" s="40"/>
      <c r="F4244" s="314"/>
      <c r="H4244" s="315"/>
      <c r="I4244" s="315"/>
      <c r="BA4244" s="30"/>
      <c r="BB4244" s="155"/>
      <c r="BC4244" s="314"/>
      <c r="BD4244" s="314"/>
      <c r="BE4244" s="314"/>
      <c r="BF4244" s="314"/>
      <c r="BG4244" s="314"/>
      <c r="BH4244" s="314"/>
      <c r="BI4244" s="314"/>
      <c r="BJ4244" s="314"/>
      <c r="BK4244" s="40"/>
      <c r="BL4244" s="40"/>
      <c r="BM4244" s="40"/>
      <c r="BN4244" s="40"/>
      <c r="BO4244" s="40"/>
      <c r="BP4244" s="155"/>
      <c r="BQ4244" s="314"/>
      <c r="BR4244" s="314"/>
      <c r="BS4244" s="314"/>
      <c r="BT4244" s="314"/>
      <c r="BU4244" s="314"/>
      <c r="BV4244" s="314"/>
      <c r="BW4244" s="314"/>
      <c r="BX4244" s="155"/>
    </row>
    <row r="4245" spans="1:76" ht="15.75" customHeight="1">
      <c r="A4245" s="25"/>
      <c r="B4245" s="39"/>
      <c r="C4245" s="155"/>
      <c r="D4245" s="155"/>
      <c r="E4245" s="40"/>
      <c r="F4245" s="314"/>
      <c r="H4245" s="315"/>
      <c r="I4245" s="315"/>
      <c r="BA4245" s="30"/>
      <c r="BB4245" s="155"/>
      <c r="BC4245" s="314"/>
      <c r="BD4245" s="314"/>
      <c r="BE4245" s="314"/>
      <c r="BF4245" s="314"/>
      <c r="BG4245" s="314"/>
      <c r="BH4245" s="314"/>
      <c r="BI4245" s="314"/>
      <c r="BJ4245" s="314"/>
      <c r="BK4245" s="40"/>
      <c r="BL4245" s="40"/>
      <c r="BM4245" s="40"/>
      <c r="BN4245" s="40"/>
      <c r="BO4245" s="40"/>
      <c r="BP4245" s="155"/>
      <c r="BQ4245" s="314"/>
      <c r="BR4245" s="314"/>
      <c r="BS4245" s="314"/>
      <c r="BT4245" s="314"/>
      <c r="BU4245" s="314"/>
      <c r="BV4245" s="314"/>
      <c r="BW4245" s="314"/>
      <c r="BX4245" s="155"/>
    </row>
    <row r="4246" spans="1:76" ht="15.75" customHeight="1">
      <c r="A4246" s="25"/>
      <c r="B4246" s="39"/>
      <c r="C4246" s="155"/>
      <c r="D4246" s="155"/>
      <c r="E4246" s="40"/>
      <c r="F4246" s="314"/>
      <c r="H4246" s="315"/>
      <c r="I4246" s="315"/>
      <c r="BA4246" s="30"/>
      <c r="BB4246" s="155"/>
      <c r="BC4246" s="314"/>
      <c r="BD4246" s="314"/>
      <c r="BE4246" s="314"/>
      <c r="BF4246" s="314"/>
      <c r="BG4246" s="314"/>
      <c r="BH4246" s="314"/>
      <c r="BI4246" s="314"/>
      <c r="BJ4246" s="314"/>
      <c r="BK4246" s="40"/>
      <c r="BL4246" s="40"/>
      <c r="BM4246" s="40"/>
      <c r="BN4246" s="40"/>
      <c r="BO4246" s="40"/>
      <c r="BP4246" s="155"/>
      <c r="BQ4246" s="314"/>
      <c r="BR4246" s="314"/>
      <c r="BS4246" s="314"/>
      <c r="BT4246" s="314"/>
      <c r="BU4246" s="314"/>
      <c r="BV4246" s="314"/>
      <c r="BW4246" s="314"/>
      <c r="BX4246" s="155"/>
    </row>
    <row r="4247" spans="1:76" ht="15.75" customHeight="1">
      <c r="A4247" s="25"/>
      <c r="B4247" s="39"/>
      <c r="C4247" s="155"/>
      <c r="D4247" s="155"/>
      <c r="E4247" s="40"/>
      <c r="F4247" s="314"/>
      <c r="H4247" s="315"/>
      <c r="I4247" s="315"/>
      <c r="BA4247" s="30"/>
      <c r="BB4247" s="155"/>
      <c r="BC4247" s="314"/>
      <c r="BD4247" s="314"/>
      <c r="BE4247" s="314"/>
      <c r="BF4247" s="314"/>
      <c r="BG4247" s="314"/>
      <c r="BH4247" s="314"/>
      <c r="BI4247" s="314"/>
      <c r="BJ4247" s="314"/>
      <c r="BK4247" s="40"/>
      <c r="BL4247" s="40"/>
      <c r="BM4247" s="40"/>
      <c r="BN4247" s="40"/>
      <c r="BO4247" s="40"/>
      <c r="BP4247" s="155"/>
      <c r="BQ4247" s="314"/>
      <c r="BR4247" s="314"/>
      <c r="BS4247" s="314"/>
      <c r="BT4247" s="314"/>
      <c r="BU4247" s="314"/>
      <c r="BV4247" s="314"/>
      <c r="BW4247" s="314"/>
      <c r="BX4247" s="155"/>
    </row>
    <row r="4248" spans="1:76" ht="15.75" customHeight="1">
      <c r="A4248" s="25"/>
      <c r="B4248" s="39"/>
      <c r="C4248" s="155"/>
      <c r="D4248" s="155"/>
      <c r="E4248" s="40"/>
      <c r="F4248" s="314"/>
      <c r="H4248" s="315"/>
      <c r="I4248" s="315"/>
      <c r="BA4248" s="30"/>
      <c r="BB4248" s="155"/>
      <c r="BC4248" s="314"/>
      <c r="BD4248" s="314"/>
      <c r="BE4248" s="314"/>
      <c r="BF4248" s="314"/>
      <c r="BG4248" s="314"/>
      <c r="BH4248" s="314"/>
      <c r="BI4248" s="314"/>
      <c r="BJ4248" s="314"/>
      <c r="BK4248" s="40"/>
      <c r="BL4248" s="40"/>
      <c r="BM4248" s="40"/>
      <c r="BN4248" s="40"/>
      <c r="BO4248" s="40"/>
      <c r="BP4248" s="155"/>
      <c r="BQ4248" s="314"/>
      <c r="BR4248" s="314"/>
      <c r="BS4248" s="314"/>
      <c r="BT4248" s="314"/>
      <c r="BU4248" s="314"/>
      <c r="BV4248" s="314"/>
      <c r="BW4248" s="314"/>
      <c r="BX4248" s="155"/>
    </row>
    <row r="4249" spans="1:76" ht="15.75" customHeight="1">
      <c r="A4249" s="25"/>
      <c r="B4249" s="39"/>
      <c r="C4249" s="155"/>
      <c r="D4249" s="155"/>
      <c r="E4249" s="40"/>
      <c r="F4249" s="314"/>
      <c r="H4249" s="315"/>
      <c r="I4249" s="315"/>
      <c r="BA4249" s="30"/>
      <c r="BB4249" s="155"/>
      <c r="BC4249" s="314"/>
      <c r="BD4249" s="314"/>
      <c r="BE4249" s="314"/>
      <c r="BF4249" s="314"/>
      <c r="BG4249" s="314"/>
      <c r="BH4249" s="314"/>
      <c r="BI4249" s="314"/>
      <c r="BJ4249" s="314"/>
      <c r="BK4249" s="40"/>
      <c r="BL4249" s="40"/>
      <c r="BM4249" s="40"/>
      <c r="BN4249" s="40"/>
      <c r="BO4249" s="40"/>
      <c r="BP4249" s="155"/>
      <c r="BQ4249" s="314"/>
      <c r="BR4249" s="314"/>
      <c r="BS4249" s="314"/>
      <c r="BT4249" s="314"/>
      <c r="BU4249" s="314"/>
      <c r="BV4249" s="314"/>
      <c r="BW4249" s="314"/>
      <c r="BX4249" s="155"/>
    </row>
    <row r="4250" spans="1:76" ht="15.75" customHeight="1">
      <c r="A4250" s="25"/>
      <c r="B4250" s="39"/>
      <c r="C4250" s="155"/>
      <c r="D4250" s="155"/>
      <c r="E4250" s="40"/>
      <c r="F4250" s="314"/>
      <c r="H4250" s="315"/>
      <c r="I4250" s="315"/>
      <c r="BA4250" s="30"/>
      <c r="BB4250" s="155"/>
      <c r="BC4250" s="322"/>
      <c r="BD4250" s="322"/>
      <c r="BE4250" s="322"/>
      <c r="BF4250" s="322"/>
      <c r="BG4250" s="322"/>
      <c r="BH4250" s="322"/>
      <c r="BI4250" s="322"/>
      <c r="BJ4250" s="322"/>
      <c r="BK4250" s="341"/>
      <c r="BL4250" s="40"/>
      <c r="BM4250" s="40"/>
      <c r="BN4250" s="40"/>
      <c r="BO4250" s="40"/>
      <c r="BP4250" s="155"/>
      <c r="BQ4250" s="314"/>
      <c r="BR4250" s="314"/>
      <c r="BS4250" s="314"/>
      <c r="BT4250" s="314"/>
      <c r="BU4250" s="314"/>
      <c r="BV4250" s="314"/>
      <c r="BW4250" s="314"/>
      <c r="BX4250" s="155"/>
    </row>
    <row r="4251" spans="1:76" ht="15.75" customHeight="1">
      <c r="A4251" s="25"/>
      <c r="B4251" s="39"/>
      <c r="C4251" s="155"/>
      <c r="D4251" s="155"/>
      <c r="E4251" s="40"/>
      <c r="F4251" s="314"/>
      <c r="H4251" s="315"/>
      <c r="I4251" s="315"/>
      <c r="BA4251" s="30"/>
      <c r="BB4251" s="155"/>
      <c r="BC4251" s="314"/>
      <c r="BD4251" s="314"/>
      <c r="BE4251" s="314"/>
      <c r="BF4251" s="314"/>
      <c r="BG4251" s="314"/>
      <c r="BH4251" s="314"/>
      <c r="BI4251" s="314"/>
      <c r="BJ4251" s="314"/>
      <c r="BK4251" s="40"/>
      <c r="BL4251" s="40"/>
      <c r="BM4251" s="40"/>
      <c r="BN4251" s="40"/>
      <c r="BO4251" s="40"/>
      <c r="BP4251" s="155"/>
      <c r="BQ4251" s="314"/>
      <c r="BR4251" s="314"/>
      <c r="BS4251" s="314"/>
      <c r="BT4251" s="314"/>
      <c r="BU4251" s="314"/>
      <c r="BV4251" s="314"/>
      <c r="BW4251" s="314"/>
      <c r="BX4251" s="155"/>
    </row>
    <row r="4252" spans="1:76" ht="15.75" customHeight="1">
      <c r="A4252" s="25"/>
      <c r="B4252" s="39"/>
      <c r="C4252" s="155"/>
      <c r="D4252" s="155"/>
      <c r="E4252" s="40"/>
      <c r="F4252" s="314"/>
      <c r="H4252" s="315"/>
      <c r="I4252" s="315"/>
      <c r="BA4252" s="30"/>
      <c r="BB4252" s="155"/>
      <c r="BC4252" s="314"/>
      <c r="BD4252" s="314"/>
      <c r="BE4252" s="314"/>
      <c r="BF4252" s="314"/>
      <c r="BG4252" s="314"/>
      <c r="BH4252" s="314"/>
      <c r="BI4252" s="314"/>
      <c r="BJ4252" s="314"/>
      <c r="BK4252" s="40"/>
      <c r="BL4252" s="40"/>
      <c r="BM4252" s="40"/>
      <c r="BN4252" s="40"/>
      <c r="BO4252" s="40"/>
      <c r="BP4252" s="155"/>
      <c r="BQ4252" s="314"/>
      <c r="BR4252" s="314"/>
      <c r="BS4252" s="314"/>
      <c r="BT4252" s="314"/>
      <c r="BU4252" s="314"/>
      <c r="BV4252" s="314"/>
      <c r="BW4252" s="314"/>
      <c r="BX4252" s="155"/>
    </row>
    <row r="4253" spans="1:76" ht="15.75" customHeight="1">
      <c r="A4253" s="25"/>
      <c r="B4253" s="39"/>
      <c r="C4253" s="155"/>
      <c r="D4253" s="155"/>
      <c r="E4253" s="40"/>
      <c r="F4253" s="314"/>
      <c r="H4253" s="315"/>
      <c r="I4253" s="315"/>
      <c r="BA4253" s="30"/>
      <c r="BB4253" s="155"/>
      <c r="BC4253" s="314"/>
      <c r="BD4253" s="314"/>
      <c r="BE4253" s="314"/>
      <c r="BF4253" s="314"/>
      <c r="BG4253" s="314"/>
      <c r="BH4253" s="314"/>
      <c r="BI4253" s="314"/>
      <c r="BJ4253" s="314"/>
      <c r="BK4253" s="40"/>
      <c r="BL4253" s="40"/>
      <c r="BM4253" s="40"/>
      <c r="BN4253" s="40"/>
      <c r="BO4253" s="40"/>
      <c r="BP4253" s="155"/>
      <c r="BQ4253" s="314"/>
      <c r="BR4253" s="314"/>
      <c r="BS4253" s="314"/>
      <c r="BT4253" s="314"/>
      <c r="BU4253" s="314"/>
      <c r="BV4253" s="314"/>
      <c r="BW4253" s="314"/>
      <c r="BX4253" s="155"/>
    </row>
    <row r="4254" spans="1:76" ht="15.75" customHeight="1">
      <c r="A4254" s="25"/>
      <c r="B4254" s="39"/>
      <c r="C4254" s="155"/>
      <c r="D4254" s="155"/>
      <c r="E4254" s="40"/>
      <c r="F4254" s="314"/>
      <c r="H4254" s="315"/>
      <c r="I4254" s="315"/>
      <c r="BA4254" s="30"/>
      <c r="BB4254" s="155"/>
      <c r="BC4254" s="314"/>
      <c r="BD4254" s="314"/>
      <c r="BE4254" s="314"/>
      <c r="BF4254" s="314"/>
      <c r="BG4254" s="314"/>
      <c r="BH4254" s="314"/>
      <c r="BI4254" s="314"/>
      <c r="BJ4254" s="314"/>
      <c r="BK4254" s="40"/>
      <c r="BL4254" s="40"/>
      <c r="BM4254" s="40"/>
      <c r="BN4254" s="40"/>
      <c r="BO4254" s="40"/>
      <c r="BP4254" s="155"/>
      <c r="BQ4254" s="314"/>
      <c r="BR4254" s="314"/>
      <c r="BS4254" s="314"/>
      <c r="BT4254" s="314"/>
      <c r="BU4254" s="314"/>
      <c r="BV4254" s="314"/>
      <c r="BW4254" s="314"/>
      <c r="BX4254" s="155"/>
    </row>
    <row r="4255" spans="1:76" ht="15.75" customHeight="1">
      <c r="A4255" s="25"/>
      <c r="B4255" s="39"/>
      <c r="C4255" s="155"/>
      <c r="D4255" s="155"/>
      <c r="E4255" s="40"/>
      <c r="F4255" s="314"/>
      <c r="H4255" s="315"/>
      <c r="I4255" s="315"/>
      <c r="BA4255" s="30"/>
      <c r="BB4255" s="155"/>
      <c r="BC4255" s="314"/>
      <c r="BD4255" s="314"/>
      <c r="BE4255" s="314"/>
      <c r="BF4255" s="314"/>
      <c r="BG4255" s="314"/>
      <c r="BH4255" s="314"/>
      <c r="BI4255" s="314"/>
      <c r="BJ4255" s="314"/>
      <c r="BK4255" s="40"/>
      <c r="BL4255" s="40"/>
      <c r="BM4255" s="40"/>
      <c r="BN4255" s="40"/>
      <c r="BO4255" s="40"/>
      <c r="BP4255" s="155"/>
      <c r="BQ4255" s="314"/>
      <c r="BR4255" s="314"/>
      <c r="BS4255" s="314"/>
      <c r="BT4255" s="314"/>
      <c r="BU4255" s="314"/>
      <c r="BV4255" s="314"/>
      <c r="BW4255" s="314"/>
      <c r="BX4255" s="155"/>
    </row>
    <row r="4256" spans="1:76" ht="15.75" customHeight="1">
      <c r="A4256" s="25"/>
      <c r="B4256" s="39"/>
      <c r="C4256" s="155"/>
      <c r="D4256" s="155"/>
      <c r="E4256" s="40"/>
      <c r="F4256" s="314"/>
      <c r="H4256" s="315"/>
      <c r="I4256" s="315"/>
      <c r="BA4256" s="30"/>
      <c r="BB4256" s="155"/>
      <c r="BC4256" s="314"/>
      <c r="BD4256" s="314"/>
      <c r="BE4256" s="314"/>
      <c r="BF4256" s="314"/>
      <c r="BG4256" s="314"/>
      <c r="BH4256" s="314"/>
      <c r="BI4256" s="314"/>
      <c r="BJ4256" s="314"/>
      <c r="BK4256" s="40"/>
      <c r="BL4256" s="40"/>
      <c r="BM4256" s="40"/>
      <c r="BN4256" s="40"/>
      <c r="BO4256" s="40"/>
      <c r="BP4256" s="155"/>
      <c r="BQ4256" s="314"/>
      <c r="BR4256" s="314"/>
      <c r="BS4256" s="314"/>
      <c r="BT4256" s="314"/>
      <c r="BU4256" s="314"/>
      <c r="BV4256" s="314"/>
      <c r="BW4256" s="314"/>
      <c r="BX4256" s="155"/>
    </row>
    <row r="4257" spans="1:76" ht="15.75" customHeight="1">
      <c r="A4257" s="25"/>
      <c r="B4257" s="39"/>
      <c r="C4257" s="155"/>
      <c r="D4257" s="155"/>
      <c r="E4257" s="40"/>
      <c r="F4257" s="314"/>
      <c r="H4257" s="315"/>
      <c r="I4257" s="315"/>
      <c r="BA4257" s="30"/>
      <c r="BB4257" s="155"/>
      <c r="BC4257" s="314"/>
      <c r="BD4257" s="314"/>
      <c r="BE4257" s="314"/>
      <c r="BF4257" s="314"/>
      <c r="BG4257" s="314"/>
      <c r="BH4257" s="314"/>
      <c r="BI4257" s="314"/>
      <c r="BJ4257" s="314"/>
      <c r="BK4257" s="40"/>
      <c r="BL4257" s="40"/>
      <c r="BM4257" s="40"/>
      <c r="BN4257" s="40"/>
      <c r="BO4257" s="40"/>
      <c r="BP4257" s="155"/>
      <c r="BQ4257" s="314"/>
      <c r="BR4257" s="314"/>
      <c r="BS4257" s="314"/>
      <c r="BT4257" s="314"/>
      <c r="BU4257" s="314"/>
      <c r="BV4257" s="314"/>
      <c r="BW4257" s="314"/>
      <c r="BX4257" s="155"/>
    </row>
    <row r="4258" spans="1:76" ht="15.75" customHeight="1">
      <c r="A4258" s="25"/>
      <c r="B4258" s="39"/>
      <c r="C4258" s="155"/>
      <c r="D4258" s="155"/>
      <c r="E4258" s="40"/>
      <c r="F4258" s="314"/>
      <c r="H4258" s="315"/>
      <c r="I4258" s="315"/>
      <c r="BA4258" s="30"/>
      <c r="BB4258" s="155"/>
      <c r="BC4258" s="314"/>
      <c r="BD4258" s="314"/>
      <c r="BE4258" s="314"/>
      <c r="BF4258" s="314"/>
      <c r="BG4258" s="314"/>
      <c r="BH4258" s="314"/>
      <c r="BI4258" s="314"/>
      <c r="BJ4258" s="314"/>
      <c r="BK4258" s="40"/>
      <c r="BL4258" s="40"/>
      <c r="BM4258" s="40"/>
      <c r="BN4258" s="40"/>
      <c r="BO4258" s="40"/>
      <c r="BP4258" s="155"/>
      <c r="BQ4258" s="314"/>
      <c r="BR4258" s="314"/>
      <c r="BS4258" s="314"/>
      <c r="BT4258" s="314"/>
      <c r="BU4258" s="314"/>
      <c r="BV4258" s="314"/>
      <c r="BW4258" s="314"/>
      <c r="BX4258" s="155"/>
    </row>
    <row r="4259" spans="1:76" ht="15.75" customHeight="1">
      <c r="A4259" s="25"/>
      <c r="B4259" s="39"/>
      <c r="C4259" s="155"/>
      <c r="D4259" s="155"/>
      <c r="E4259" s="40"/>
      <c r="F4259" s="314"/>
      <c r="H4259" s="315"/>
      <c r="I4259" s="315"/>
      <c r="BA4259" s="30"/>
      <c r="BB4259" s="155"/>
      <c r="BC4259" s="314"/>
      <c r="BD4259" s="314"/>
      <c r="BE4259" s="314"/>
      <c r="BF4259" s="314"/>
      <c r="BG4259" s="314"/>
      <c r="BH4259" s="314"/>
      <c r="BI4259" s="314"/>
      <c r="BJ4259" s="314"/>
      <c r="BK4259" s="40"/>
      <c r="BL4259" s="40"/>
      <c r="BM4259" s="40"/>
      <c r="BN4259" s="40"/>
      <c r="BO4259" s="40"/>
      <c r="BP4259" s="155"/>
      <c r="BQ4259" s="314"/>
      <c r="BR4259" s="314"/>
      <c r="BS4259" s="314"/>
      <c r="BT4259" s="314"/>
      <c r="BU4259" s="314"/>
      <c r="BV4259" s="314"/>
      <c r="BW4259" s="314"/>
      <c r="BX4259" s="155"/>
    </row>
    <row r="4260" spans="1:76" ht="15.75" customHeight="1">
      <c r="A4260" s="25"/>
      <c r="B4260" s="39"/>
      <c r="C4260" s="155"/>
      <c r="D4260" s="155"/>
      <c r="E4260" s="40"/>
      <c r="F4260" s="314"/>
      <c r="H4260" s="315"/>
      <c r="I4260" s="315"/>
      <c r="BA4260" s="30"/>
      <c r="BB4260" s="155"/>
      <c r="BC4260" s="314"/>
      <c r="BD4260" s="314"/>
      <c r="BE4260" s="314"/>
      <c r="BF4260" s="314"/>
      <c r="BG4260" s="314"/>
      <c r="BH4260" s="314"/>
      <c r="BI4260" s="314"/>
      <c r="BJ4260" s="314"/>
      <c r="BK4260" s="40"/>
      <c r="BL4260" s="40"/>
      <c r="BM4260" s="40"/>
      <c r="BN4260" s="40"/>
      <c r="BO4260" s="40"/>
      <c r="BP4260" s="155"/>
      <c r="BQ4260" s="314"/>
      <c r="BR4260" s="314"/>
      <c r="BS4260" s="314"/>
      <c r="BT4260" s="314"/>
      <c r="BU4260" s="314"/>
      <c r="BV4260" s="314"/>
      <c r="BW4260" s="314"/>
      <c r="BX4260" s="155"/>
    </row>
    <row r="4261" spans="1:76" ht="15.75" customHeight="1">
      <c r="A4261" s="25"/>
      <c r="B4261" s="39"/>
      <c r="C4261" s="155"/>
      <c r="D4261" s="155"/>
      <c r="E4261" s="40"/>
      <c r="F4261" s="314"/>
      <c r="H4261" s="315"/>
      <c r="I4261" s="315"/>
      <c r="BA4261" s="30"/>
      <c r="BB4261" s="155"/>
      <c r="BC4261" s="314"/>
      <c r="BD4261" s="314"/>
      <c r="BE4261" s="314"/>
      <c r="BF4261" s="314"/>
      <c r="BG4261" s="314"/>
      <c r="BH4261" s="314"/>
      <c r="BI4261" s="314"/>
      <c r="BJ4261" s="314"/>
      <c r="BK4261" s="40"/>
      <c r="BL4261" s="40"/>
      <c r="BM4261" s="40"/>
      <c r="BN4261" s="40"/>
      <c r="BO4261" s="40"/>
      <c r="BP4261" s="155"/>
      <c r="BQ4261" s="314"/>
      <c r="BR4261" s="314"/>
      <c r="BS4261" s="314"/>
      <c r="BT4261" s="314"/>
      <c r="BU4261" s="314"/>
      <c r="BV4261" s="314"/>
      <c r="BW4261" s="314"/>
      <c r="BX4261" s="155"/>
    </row>
    <row r="4262" spans="1:76" ht="15.75" customHeight="1">
      <c r="A4262" s="25"/>
      <c r="B4262" s="39"/>
      <c r="C4262" s="155"/>
      <c r="D4262" s="155"/>
      <c r="E4262" s="40"/>
      <c r="F4262" s="314"/>
      <c r="H4262" s="315"/>
      <c r="I4262" s="315"/>
      <c r="BA4262" s="30"/>
      <c r="BB4262" s="155"/>
      <c r="BC4262" s="314"/>
      <c r="BD4262" s="314"/>
      <c r="BE4262" s="314"/>
      <c r="BF4262" s="314"/>
      <c r="BG4262" s="314"/>
      <c r="BH4262" s="314"/>
      <c r="BI4262" s="314"/>
      <c r="BJ4262" s="314"/>
      <c r="BK4262" s="40"/>
      <c r="BL4262" s="40"/>
      <c r="BM4262" s="40"/>
      <c r="BN4262" s="40"/>
      <c r="BO4262" s="40"/>
      <c r="BP4262" s="155"/>
      <c r="BQ4262" s="314"/>
      <c r="BR4262" s="314"/>
      <c r="BS4262" s="314"/>
      <c r="BT4262" s="314"/>
      <c r="BU4262" s="314"/>
      <c r="BV4262" s="314"/>
      <c r="BW4262" s="314"/>
      <c r="BX4262" s="155"/>
    </row>
    <row r="4263" spans="1:76" ht="15.75" customHeight="1">
      <c r="A4263" s="25"/>
      <c r="B4263" s="39"/>
      <c r="C4263" s="155"/>
      <c r="D4263" s="155"/>
      <c r="E4263" s="40"/>
      <c r="F4263" s="314"/>
      <c r="H4263" s="315"/>
      <c r="I4263" s="315"/>
      <c r="BA4263" s="30"/>
      <c r="BB4263" s="155"/>
      <c r="BC4263" s="314"/>
      <c r="BD4263" s="314"/>
      <c r="BE4263" s="314"/>
      <c r="BF4263" s="314"/>
      <c r="BG4263" s="314"/>
      <c r="BH4263" s="314"/>
      <c r="BI4263" s="314"/>
      <c r="BJ4263" s="314"/>
      <c r="BK4263" s="40"/>
      <c r="BL4263" s="40"/>
      <c r="BM4263" s="40"/>
      <c r="BN4263" s="40"/>
      <c r="BO4263" s="40"/>
      <c r="BP4263" s="155"/>
      <c r="BQ4263" s="314"/>
      <c r="BR4263" s="314"/>
      <c r="BS4263" s="314"/>
      <c r="BT4263" s="314"/>
      <c r="BU4263" s="314"/>
      <c r="BV4263" s="314"/>
      <c r="BW4263" s="314"/>
      <c r="BX4263" s="155"/>
    </row>
    <row r="4264" spans="1:76" ht="15.75" customHeight="1">
      <c r="A4264" s="25"/>
      <c r="B4264" s="39"/>
      <c r="C4264" s="155"/>
      <c r="D4264" s="155"/>
      <c r="E4264" s="40"/>
      <c r="F4264" s="314"/>
      <c r="H4264" s="315"/>
      <c r="I4264" s="315"/>
      <c r="BA4264" s="30"/>
      <c r="BB4264" s="155"/>
      <c r="BC4264" s="314"/>
      <c r="BD4264" s="314"/>
      <c r="BE4264" s="314"/>
      <c r="BF4264" s="314"/>
      <c r="BG4264" s="314"/>
      <c r="BH4264" s="314"/>
      <c r="BI4264" s="314"/>
      <c r="BJ4264" s="314"/>
      <c r="BK4264" s="40"/>
      <c r="BL4264" s="40"/>
      <c r="BM4264" s="40"/>
      <c r="BN4264" s="40"/>
      <c r="BO4264" s="40"/>
      <c r="BP4264" s="155"/>
      <c r="BQ4264" s="314"/>
      <c r="BR4264" s="314"/>
      <c r="BS4264" s="314"/>
      <c r="BT4264" s="314"/>
      <c r="BU4264" s="314"/>
      <c r="BV4264" s="314"/>
      <c r="BW4264" s="314"/>
      <c r="BX4264" s="155"/>
    </row>
    <row r="4265" spans="1:76" ht="15.75" customHeight="1">
      <c r="A4265" s="25"/>
      <c r="B4265" s="39"/>
      <c r="C4265" s="155"/>
      <c r="D4265" s="155"/>
      <c r="E4265" s="40"/>
      <c r="F4265" s="314"/>
      <c r="H4265" s="315"/>
      <c r="I4265" s="315"/>
      <c r="BA4265" s="30"/>
      <c r="BB4265" s="155"/>
      <c r="BC4265" s="314"/>
      <c r="BD4265" s="314"/>
      <c r="BE4265" s="314"/>
      <c r="BF4265" s="314"/>
      <c r="BG4265" s="314"/>
      <c r="BH4265" s="314"/>
      <c r="BI4265" s="314"/>
      <c r="BJ4265" s="314"/>
      <c r="BK4265" s="40"/>
      <c r="BL4265" s="40"/>
      <c r="BM4265" s="40"/>
      <c r="BN4265" s="40"/>
      <c r="BO4265" s="40"/>
      <c r="BP4265" s="155"/>
      <c r="BQ4265" s="314"/>
      <c r="BR4265" s="314"/>
      <c r="BS4265" s="314"/>
      <c r="BT4265" s="314"/>
      <c r="BU4265" s="314"/>
      <c r="BV4265" s="314"/>
      <c r="BW4265" s="314"/>
      <c r="BX4265" s="155"/>
    </row>
    <row r="4266" spans="1:76" ht="15.75" customHeight="1">
      <c r="A4266" s="25"/>
      <c r="B4266" s="39"/>
      <c r="C4266" s="155"/>
      <c r="D4266" s="155"/>
      <c r="E4266" s="40"/>
      <c r="F4266" s="314"/>
      <c r="H4266" s="315"/>
      <c r="I4266" s="315"/>
      <c r="BA4266" s="30"/>
      <c r="BB4266" s="155"/>
      <c r="BC4266" s="314"/>
      <c r="BD4266" s="314"/>
      <c r="BE4266" s="314"/>
      <c r="BF4266" s="314"/>
      <c r="BG4266" s="314"/>
      <c r="BH4266" s="314"/>
      <c r="BI4266" s="314"/>
      <c r="BJ4266" s="314"/>
      <c r="BK4266" s="40"/>
      <c r="BL4266" s="40"/>
      <c r="BM4266" s="40"/>
      <c r="BN4266" s="40"/>
      <c r="BO4266" s="40"/>
      <c r="BP4266" s="155"/>
      <c r="BQ4266" s="314"/>
      <c r="BR4266" s="314"/>
      <c r="BS4266" s="314"/>
      <c r="BT4266" s="314"/>
      <c r="BU4266" s="314"/>
      <c r="BV4266" s="314"/>
      <c r="BW4266" s="314"/>
      <c r="BX4266" s="155"/>
    </row>
    <row r="4267" spans="1:76" ht="15.75" customHeight="1">
      <c r="A4267" s="25"/>
      <c r="B4267" s="39"/>
      <c r="C4267" s="155"/>
      <c r="D4267" s="155"/>
      <c r="E4267" s="40"/>
      <c r="F4267" s="314"/>
      <c r="H4267" s="315"/>
      <c r="I4267" s="315"/>
      <c r="BA4267" s="30"/>
      <c r="BB4267" s="155"/>
      <c r="BC4267" s="314"/>
      <c r="BD4267" s="314"/>
      <c r="BE4267" s="314"/>
      <c r="BF4267" s="314"/>
      <c r="BG4267" s="314"/>
      <c r="BH4267" s="314"/>
      <c r="BI4267" s="314"/>
      <c r="BJ4267" s="314"/>
      <c r="BK4267" s="40"/>
      <c r="BL4267" s="40"/>
      <c r="BM4267" s="40"/>
      <c r="BN4267" s="40"/>
      <c r="BO4267" s="40"/>
      <c r="BP4267" s="155"/>
      <c r="BQ4267" s="314"/>
      <c r="BR4267" s="314"/>
      <c r="BS4267" s="314"/>
      <c r="BT4267" s="314"/>
      <c r="BU4267" s="314"/>
      <c r="BV4267" s="314"/>
      <c r="BW4267" s="314"/>
      <c r="BX4267" s="155"/>
    </row>
    <row r="4268" spans="1:76" ht="15.75" customHeight="1">
      <c r="A4268" s="25"/>
      <c r="B4268" s="39"/>
      <c r="C4268" s="155"/>
      <c r="D4268" s="155"/>
      <c r="E4268" s="40"/>
      <c r="F4268" s="314"/>
      <c r="H4268" s="315"/>
      <c r="I4268" s="315"/>
      <c r="BA4268" s="30"/>
      <c r="BB4268" s="155"/>
      <c r="BC4268" s="314"/>
      <c r="BD4268" s="314"/>
      <c r="BE4268" s="314"/>
      <c r="BF4268" s="314"/>
      <c r="BG4268" s="314"/>
      <c r="BH4268" s="314"/>
      <c r="BI4268" s="314"/>
      <c r="BJ4268" s="314"/>
      <c r="BK4268" s="40"/>
      <c r="BL4268" s="40"/>
      <c r="BM4268" s="40"/>
      <c r="BN4268" s="40"/>
      <c r="BO4268" s="40"/>
      <c r="BP4268" s="155"/>
      <c r="BQ4268" s="314"/>
      <c r="BR4268" s="314"/>
      <c r="BS4268" s="314"/>
      <c r="BT4268" s="314"/>
      <c r="BU4268" s="314"/>
      <c r="BV4268" s="314"/>
      <c r="BW4268" s="314"/>
      <c r="BX4268" s="155"/>
    </row>
    <row r="4269" spans="1:76" ht="15.75" customHeight="1">
      <c r="A4269" s="25"/>
      <c r="B4269" s="39"/>
      <c r="C4269" s="155"/>
      <c r="D4269" s="155"/>
      <c r="E4269" s="40"/>
      <c r="F4269" s="314"/>
      <c r="H4269" s="315"/>
      <c r="I4269" s="315"/>
      <c r="BA4269" s="30"/>
      <c r="BB4269" s="155"/>
      <c r="BC4269" s="322"/>
      <c r="BD4269" s="322"/>
      <c r="BE4269" s="322"/>
      <c r="BF4269" s="322"/>
      <c r="BG4269" s="322"/>
      <c r="BH4269" s="322"/>
      <c r="BI4269" s="322"/>
      <c r="BJ4269" s="322"/>
      <c r="BK4269" s="341"/>
      <c r="BL4269" s="40"/>
      <c r="BM4269" s="40"/>
      <c r="BN4269" s="40"/>
      <c r="BO4269" s="40"/>
      <c r="BP4269" s="155"/>
      <c r="BQ4269" s="314"/>
      <c r="BR4269" s="314"/>
      <c r="BS4269" s="314"/>
      <c r="BT4269" s="314"/>
      <c r="BU4269" s="314"/>
      <c r="BV4269" s="314"/>
      <c r="BW4269" s="314"/>
      <c r="BX4269" s="155"/>
    </row>
    <row r="4270" spans="1:76" ht="15.75" customHeight="1">
      <c r="A4270" s="25"/>
      <c r="B4270" s="39"/>
      <c r="C4270" s="155"/>
      <c r="D4270" s="155"/>
      <c r="E4270" s="40"/>
      <c r="F4270" s="314"/>
      <c r="H4270" s="315"/>
      <c r="I4270" s="315"/>
      <c r="BA4270" s="30"/>
      <c r="BB4270" s="155"/>
      <c r="BC4270" s="314"/>
      <c r="BD4270" s="314"/>
      <c r="BE4270" s="314"/>
      <c r="BF4270" s="314"/>
      <c r="BG4270" s="314"/>
      <c r="BH4270" s="314"/>
      <c r="BI4270" s="314"/>
      <c r="BJ4270" s="314"/>
      <c r="BK4270" s="40"/>
      <c r="BL4270" s="40"/>
      <c r="BM4270" s="40"/>
      <c r="BN4270" s="40"/>
      <c r="BO4270" s="40"/>
      <c r="BP4270" s="155"/>
      <c r="BQ4270" s="314"/>
      <c r="BR4270" s="314"/>
      <c r="BS4270" s="314"/>
      <c r="BT4270" s="314"/>
      <c r="BU4270" s="314"/>
      <c r="BV4270" s="314"/>
      <c r="BW4270" s="314"/>
      <c r="BX4270" s="155"/>
    </row>
    <row r="4271" spans="1:76" ht="15.75" customHeight="1">
      <c r="A4271" s="25"/>
      <c r="B4271" s="39"/>
      <c r="C4271" s="155"/>
      <c r="D4271" s="155"/>
      <c r="E4271" s="40"/>
      <c r="F4271" s="314"/>
      <c r="H4271" s="315"/>
      <c r="I4271" s="315"/>
      <c r="BA4271" s="30"/>
      <c r="BB4271" s="155"/>
      <c r="BC4271" s="314"/>
      <c r="BD4271" s="314"/>
      <c r="BE4271" s="314"/>
      <c r="BF4271" s="314"/>
      <c r="BG4271" s="314"/>
      <c r="BH4271" s="314"/>
      <c r="BI4271" s="314"/>
      <c r="BJ4271" s="314"/>
      <c r="BK4271" s="40"/>
      <c r="BL4271" s="40"/>
      <c r="BM4271" s="40"/>
      <c r="BN4271" s="40"/>
      <c r="BO4271" s="40"/>
      <c r="BP4271" s="155"/>
      <c r="BQ4271" s="314"/>
      <c r="BR4271" s="314"/>
      <c r="BS4271" s="314"/>
      <c r="BT4271" s="314"/>
      <c r="BU4271" s="314"/>
      <c r="BV4271" s="314"/>
      <c r="BW4271" s="314"/>
      <c r="BX4271" s="155"/>
    </row>
    <row r="4272" spans="1:76" ht="15.75" customHeight="1">
      <c r="A4272" s="25"/>
      <c r="B4272" s="39"/>
      <c r="C4272" s="155"/>
      <c r="D4272" s="155"/>
      <c r="E4272" s="40"/>
      <c r="F4272" s="314"/>
      <c r="H4272" s="315"/>
      <c r="I4272" s="315"/>
      <c r="BA4272" s="30"/>
      <c r="BB4272" s="155"/>
      <c r="BC4272" s="314"/>
      <c r="BD4272" s="314"/>
      <c r="BE4272" s="314"/>
      <c r="BF4272" s="314"/>
      <c r="BG4272" s="314"/>
      <c r="BH4272" s="314"/>
      <c r="BI4272" s="314"/>
      <c r="BJ4272" s="314"/>
      <c r="BK4272" s="40"/>
      <c r="BL4272" s="40"/>
      <c r="BM4272" s="40"/>
      <c r="BN4272" s="40"/>
      <c r="BO4272" s="40"/>
      <c r="BP4272" s="155"/>
      <c r="BQ4272" s="314"/>
      <c r="BR4272" s="314"/>
      <c r="BS4272" s="314"/>
      <c r="BT4272" s="314"/>
      <c r="BU4272" s="314"/>
      <c r="BV4272" s="314"/>
      <c r="BW4272" s="314"/>
      <c r="BX4272" s="155"/>
    </row>
    <row r="4273" spans="1:76" ht="15.75" customHeight="1">
      <c r="A4273" s="25"/>
      <c r="B4273" s="39"/>
      <c r="C4273" s="155"/>
      <c r="D4273" s="155"/>
      <c r="E4273" s="40"/>
      <c r="F4273" s="314"/>
      <c r="H4273" s="315"/>
      <c r="I4273" s="315"/>
      <c r="BA4273" s="30"/>
      <c r="BB4273" s="155"/>
      <c r="BC4273" s="314"/>
      <c r="BD4273" s="314"/>
      <c r="BE4273" s="314"/>
      <c r="BF4273" s="314"/>
      <c r="BG4273" s="314"/>
      <c r="BH4273" s="314"/>
      <c r="BI4273" s="314"/>
      <c r="BJ4273" s="314"/>
      <c r="BK4273" s="40"/>
      <c r="BL4273" s="40"/>
      <c r="BM4273" s="40"/>
      <c r="BN4273" s="40"/>
      <c r="BO4273" s="40"/>
      <c r="BP4273" s="155"/>
      <c r="BQ4273" s="314"/>
      <c r="BR4273" s="314"/>
      <c r="BS4273" s="314"/>
      <c r="BT4273" s="314"/>
      <c r="BU4273" s="314"/>
      <c r="BV4273" s="314"/>
      <c r="BW4273" s="314"/>
      <c r="BX4273" s="155"/>
    </row>
    <row r="4274" spans="1:76" ht="15.75" customHeight="1">
      <c r="A4274" s="25"/>
      <c r="B4274" s="39"/>
      <c r="C4274" s="155"/>
      <c r="D4274" s="155"/>
      <c r="E4274" s="40"/>
      <c r="F4274" s="314"/>
      <c r="H4274" s="315"/>
      <c r="I4274" s="315"/>
      <c r="BA4274" s="30"/>
      <c r="BB4274" s="155"/>
      <c r="BC4274" s="314"/>
      <c r="BD4274" s="314"/>
      <c r="BE4274" s="314"/>
      <c r="BF4274" s="314"/>
      <c r="BG4274" s="314"/>
      <c r="BH4274" s="314"/>
      <c r="BI4274" s="314"/>
      <c r="BJ4274" s="314"/>
      <c r="BK4274" s="40"/>
      <c r="BL4274" s="40"/>
      <c r="BM4274" s="40"/>
      <c r="BN4274" s="40"/>
      <c r="BO4274" s="40"/>
      <c r="BP4274" s="155"/>
      <c r="BQ4274" s="314"/>
      <c r="BR4274" s="314"/>
      <c r="BS4274" s="314"/>
      <c r="BT4274" s="314"/>
      <c r="BU4274" s="314"/>
      <c r="BV4274" s="314"/>
      <c r="BW4274" s="314"/>
      <c r="BX4274" s="155"/>
    </row>
    <row r="4275" spans="1:76" ht="15.75" customHeight="1">
      <c r="A4275" s="25"/>
      <c r="B4275" s="39"/>
      <c r="C4275" s="155"/>
      <c r="D4275" s="155"/>
      <c r="E4275" s="40"/>
      <c r="F4275" s="314"/>
      <c r="H4275" s="315"/>
      <c r="I4275" s="315"/>
      <c r="BA4275" s="30"/>
      <c r="BB4275" s="155"/>
      <c r="BC4275" s="314"/>
      <c r="BD4275" s="314"/>
      <c r="BE4275" s="314"/>
      <c r="BF4275" s="314"/>
      <c r="BG4275" s="314"/>
      <c r="BH4275" s="314"/>
      <c r="BI4275" s="314"/>
      <c r="BJ4275" s="314"/>
      <c r="BK4275" s="40"/>
      <c r="BL4275" s="40"/>
      <c r="BM4275" s="40"/>
      <c r="BN4275" s="40"/>
      <c r="BO4275" s="40"/>
      <c r="BP4275" s="155"/>
      <c r="BQ4275" s="314"/>
      <c r="BR4275" s="314"/>
      <c r="BS4275" s="314"/>
      <c r="BT4275" s="314"/>
      <c r="BU4275" s="314"/>
      <c r="BV4275" s="314"/>
      <c r="BW4275" s="314"/>
      <c r="BX4275" s="155"/>
    </row>
    <row r="4276" spans="1:76" ht="15.75" customHeight="1">
      <c r="A4276" s="25"/>
      <c r="B4276" s="39"/>
      <c r="C4276" s="155"/>
      <c r="D4276" s="155"/>
      <c r="E4276" s="40"/>
      <c r="F4276" s="314"/>
      <c r="H4276" s="315"/>
      <c r="I4276" s="315"/>
      <c r="BA4276" s="30"/>
      <c r="BB4276" s="155"/>
      <c r="BC4276" s="314"/>
      <c r="BD4276" s="314"/>
      <c r="BE4276" s="314"/>
      <c r="BF4276" s="314"/>
      <c r="BG4276" s="314"/>
      <c r="BH4276" s="314"/>
      <c r="BI4276" s="314"/>
      <c r="BJ4276" s="314"/>
      <c r="BK4276" s="40"/>
      <c r="BL4276" s="40"/>
      <c r="BM4276" s="40"/>
      <c r="BN4276" s="40"/>
      <c r="BO4276" s="40"/>
      <c r="BP4276" s="155"/>
      <c r="BQ4276" s="314"/>
      <c r="BR4276" s="314"/>
      <c r="BS4276" s="314"/>
      <c r="BT4276" s="314"/>
      <c r="BU4276" s="314"/>
      <c r="BV4276" s="314"/>
      <c r="BW4276" s="314"/>
      <c r="BX4276" s="155"/>
    </row>
    <row r="4277" spans="1:76" ht="15.75" customHeight="1">
      <c r="A4277" s="25"/>
      <c r="B4277" s="39"/>
      <c r="C4277" s="155"/>
      <c r="D4277" s="155"/>
      <c r="E4277" s="40"/>
      <c r="F4277" s="314"/>
      <c r="H4277" s="315"/>
      <c r="I4277" s="315"/>
      <c r="BA4277" s="30"/>
      <c r="BB4277" s="155"/>
      <c r="BC4277" s="314"/>
      <c r="BD4277" s="314"/>
      <c r="BE4277" s="314"/>
      <c r="BF4277" s="314"/>
      <c r="BG4277" s="314"/>
      <c r="BH4277" s="314"/>
      <c r="BI4277" s="314"/>
      <c r="BJ4277" s="314"/>
      <c r="BK4277" s="40"/>
      <c r="BL4277" s="40"/>
      <c r="BM4277" s="40"/>
      <c r="BN4277" s="40"/>
      <c r="BO4277" s="40"/>
      <c r="BP4277" s="155"/>
      <c r="BQ4277" s="314"/>
      <c r="BR4277" s="314"/>
      <c r="BS4277" s="314"/>
      <c r="BT4277" s="314"/>
      <c r="BU4277" s="314"/>
      <c r="BV4277" s="314"/>
      <c r="BW4277" s="314"/>
      <c r="BX4277" s="155"/>
    </row>
    <row r="4278" spans="1:76" ht="15.75" customHeight="1">
      <c r="A4278" s="25"/>
      <c r="B4278" s="39"/>
      <c r="C4278" s="155"/>
      <c r="D4278" s="155"/>
      <c r="E4278" s="40"/>
      <c r="F4278" s="314"/>
      <c r="H4278" s="315"/>
      <c r="I4278" s="315"/>
      <c r="BA4278" s="30"/>
      <c r="BB4278" s="155"/>
      <c r="BC4278" s="314"/>
      <c r="BD4278" s="314"/>
      <c r="BE4278" s="314"/>
      <c r="BF4278" s="314"/>
      <c r="BG4278" s="314"/>
      <c r="BH4278" s="314"/>
      <c r="BI4278" s="314"/>
      <c r="BJ4278" s="314"/>
      <c r="BK4278" s="40"/>
      <c r="BL4278" s="40"/>
      <c r="BM4278" s="40"/>
      <c r="BN4278" s="40"/>
      <c r="BO4278" s="40"/>
      <c r="BP4278" s="155"/>
      <c r="BQ4278" s="314"/>
      <c r="BR4278" s="314"/>
      <c r="BS4278" s="314"/>
      <c r="BT4278" s="314"/>
      <c r="BU4278" s="314"/>
      <c r="BV4278" s="314"/>
      <c r="BW4278" s="314"/>
      <c r="BX4278" s="155"/>
    </row>
    <row r="4279" spans="1:76" ht="15.75" customHeight="1">
      <c r="A4279" s="25"/>
      <c r="B4279" s="39"/>
      <c r="C4279" s="155"/>
      <c r="D4279" s="155"/>
      <c r="E4279" s="40"/>
      <c r="F4279" s="314"/>
      <c r="H4279" s="315"/>
      <c r="I4279" s="315"/>
      <c r="BA4279" s="30"/>
      <c r="BB4279" s="155"/>
      <c r="BC4279" s="314"/>
      <c r="BD4279" s="314"/>
      <c r="BE4279" s="314"/>
      <c r="BF4279" s="314"/>
      <c r="BG4279" s="314"/>
      <c r="BH4279" s="314"/>
      <c r="BI4279" s="314"/>
      <c r="BJ4279" s="314"/>
      <c r="BK4279" s="40"/>
      <c r="BL4279" s="40"/>
      <c r="BM4279" s="40"/>
      <c r="BN4279" s="40"/>
      <c r="BO4279" s="40"/>
      <c r="BP4279" s="155"/>
      <c r="BQ4279" s="314"/>
      <c r="BR4279" s="314"/>
      <c r="BS4279" s="314"/>
      <c r="BT4279" s="314"/>
      <c r="BU4279" s="314"/>
      <c r="BV4279" s="314"/>
      <c r="BW4279" s="314"/>
      <c r="BX4279" s="155"/>
    </row>
    <row r="4280" spans="1:76" ht="15.75" customHeight="1">
      <c r="A4280" s="25"/>
      <c r="B4280" s="39"/>
      <c r="C4280" s="155"/>
      <c r="D4280" s="155"/>
      <c r="E4280" s="40"/>
      <c r="F4280" s="314"/>
      <c r="H4280" s="315"/>
      <c r="I4280" s="315"/>
      <c r="BA4280" s="30"/>
      <c r="BB4280" s="155"/>
      <c r="BC4280" s="314"/>
      <c r="BD4280" s="314"/>
      <c r="BE4280" s="314"/>
      <c r="BF4280" s="314"/>
      <c r="BG4280" s="314"/>
      <c r="BH4280" s="314"/>
      <c r="BI4280" s="314"/>
      <c r="BJ4280" s="314"/>
      <c r="BK4280" s="40"/>
      <c r="BL4280" s="40"/>
      <c r="BM4280" s="40"/>
      <c r="BN4280" s="40"/>
      <c r="BO4280" s="40"/>
      <c r="BP4280" s="155"/>
      <c r="BQ4280" s="314"/>
      <c r="BR4280" s="314"/>
      <c r="BS4280" s="314"/>
      <c r="BT4280" s="314"/>
      <c r="BU4280" s="314"/>
      <c r="BV4280" s="314"/>
      <c r="BW4280" s="314"/>
      <c r="BX4280" s="155"/>
    </row>
    <row r="4281" spans="1:76" ht="15.75" customHeight="1">
      <c r="A4281" s="25"/>
      <c r="B4281" s="39"/>
      <c r="C4281" s="155"/>
      <c r="D4281" s="155"/>
      <c r="E4281" s="40"/>
      <c r="F4281" s="314"/>
      <c r="H4281" s="315"/>
      <c r="I4281" s="315"/>
      <c r="BA4281" s="30"/>
      <c r="BB4281" s="155"/>
      <c r="BC4281" s="314"/>
      <c r="BD4281" s="314"/>
      <c r="BE4281" s="314"/>
      <c r="BF4281" s="314"/>
      <c r="BG4281" s="314"/>
      <c r="BH4281" s="314"/>
      <c r="BI4281" s="314"/>
      <c r="BJ4281" s="314"/>
      <c r="BK4281" s="40"/>
      <c r="BL4281" s="40"/>
      <c r="BM4281" s="40"/>
      <c r="BN4281" s="40"/>
      <c r="BO4281" s="40"/>
      <c r="BP4281" s="155"/>
      <c r="BQ4281" s="314"/>
      <c r="BR4281" s="314"/>
      <c r="BS4281" s="314"/>
      <c r="BT4281" s="314"/>
      <c r="BU4281" s="314"/>
      <c r="BV4281" s="314"/>
      <c r="BW4281" s="314"/>
      <c r="BX4281" s="155"/>
    </row>
    <row r="4282" spans="1:76" ht="15.75" customHeight="1">
      <c r="A4282" s="25"/>
      <c r="B4282" s="39"/>
      <c r="C4282" s="155"/>
      <c r="D4282" s="155"/>
      <c r="E4282" s="40"/>
      <c r="F4282" s="314"/>
      <c r="H4282" s="315"/>
      <c r="I4282" s="315"/>
      <c r="BA4282" s="30"/>
      <c r="BB4282" s="155"/>
      <c r="BC4282" s="314"/>
      <c r="BD4282" s="314"/>
      <c r="BE4282" s="314"/>
      <c r="BF4282" s="314"/>
      <c r="BG4282" s="314"/>
      <c r="BH4282" s="314"/>
      <c r="BI4282" s="314"/>
      <c r="BJ4282" s="314"/>
      <c r="BK4282" s="40"/>
      <c r="BL4282" s="40"/>
      <c r="BM4282" s="40"/>
      <c r="BN4282" s="40"/>
      <c r="BO4282" s="40"/>
      <c r="BP4282" s="155"/>
      <c r="BQ4282" s="314"/>
      <c r="BR4282" s="314"/>
      <c r="BS4282" s="314"/>
      <c r="BT4282" s="314"/>
      <c r="BU4282" s="314"/>
      <c r="BV4282" s="314"/>
      <c r="BW4282" s="314"/>
      <c r="BX4282" s="155"/>
    </row>
    <row r="4283" spans="1:76" ht="15.75" customHeight="1">
      <c r="A4283" s="25"/>
      <c r="B4283" s="39"/>
      <c r="C4283" s="155"/>
      <c r="D4283" s="155"/>
      <c r="E4283" s="40"/>
      <c r="F4283" s="314"/>
      <c r="H4283" s="315"/>
      <c r="I4283" s="315"/>
      <c r="BA4283" s="30"/>
      <c r="BB4283" s="155"/>
      <c r="BC4283" s="314"/>
      <c r="BD4283" s="314"/>
      <c r="BE4283" s="314"/>
      <c r="BF4283" s="314"/>
      <c r="BG4283" s="314"/>
      <c r="BH4283" s="314"/>
      <c r="BI4283" s="314"/>
      <c r="BJ4283" s="314"/>
      <c r="BK4283" s="40"/>
      <c r="BL4283" s="40"/>
      <c r="BM4283" s="40"/>
      <c r="BN4283" s="40"/>
      <c r="BO4283" s="40"/>
      <c r="BP4283" s="155"/>
      <c r="BQ4283" s="314"/>
      <c r="BR4283" s="314"/>
      <c r="BS4283" s="314"/>
      <c r="BT4283" s="314"/>
      <c r="BU4283" s="314"/>
      <c r="BV4283" s="314"/>
      <c r="BW4283" s="314"/>
      <c r="BX4283" s="155"/>
    </row>
    <row r="4284" spans="1:76" ht="15.75" customHeight="1">
      <c r="A4284" s="25"/>
      <c r="B4284" s="39"/>
      <c r="C4284" s="155"/>
      <c r="D4284" s="155"/>
      <c r="E4284" s="40"/>
      <c r="F4284" s="314"/>
      <c r="H4284" s="315"/>
      <c r="I4284" s="315"/>
      <c r="BA4284" s="30"/>
      <c r="BB4284" s="155"/>
      <c r="BC4284" s="314"/>
      <c r="BD4284" s="314"/>
      <c r="BE4284" s="314"/>
      <c r="BF4284" s="314"/>
      <c r="BG4284" s="314"/>
      <c r="BH4284" s="314"/>
      <c r="BI4284" s="314"/>
      <c r="BJ4284" s="314"/>
      <c r="BK4284" s="40"/>
      <c r="BL4284" s="40"/>
      <c r="BM4284" s="40"/>
      <c r="BN4284" s="40"/>
      <c r="BO4284" s="40"/>
      <c r="BP4284" s="155"/>
      <c r="BQ4284" s="314"/>
      <c r="BR4284" s="314"/>
      <c r="BS4284" s="314"/>
      <c r="BT4284" s="314"/>
      <c r="BU4284" s="314"/>
      <c r="BV4284" s="314"/>
      <c r="BW4284" s="314"/>
      <c r="BX4284" s="155"/>
    </row>
    <row r="4285" spans="1:76" ht="15.75" customHeight="1">
      <c r="A4285" s="25"/>
      <c r="B4285" s="39"/>
      <c r="C4285" s="155"/>
      <c r="D4285" s="155"/>
      <c r="E4285" s="40"/>
      <c r="F4285" s="314"/>
      <c r="H4285" s="315"/>
      <c r="I4285" s="315"/>
      <c r="BA4285" s="30"/>
      <c r="BB4285" s="155"/>
      <c r="BC4285" s="314"/>
      <c r="BD4285" s="314"/>
      <c r="BE4285" s="314"/>
      <c r="BF4285" s="314"/>
      <c r="BG4285" s="314"/>
      <c r="BH4285" s="314"/>
      <c r="BI4285" s="314"/>
      <c r="BJ4285" s="314"/>
      <c r="BK4285" s="40"/>
      <c r="BL4285" s="40"/>
      <c r="BM4285" s="40"/>
      <c r="BN4285" s="40"/>
      <c r="BO4285" s="40"/>
      <c r="BP4285" s="155"/>
      <c r="BQ4285" s="314"/>
      <c r="BR4285" s="314"/>
      <c r="BS4285" s="314"/>
      <c r="BT4285" s="314"/>
      <c r="BU4285" s="314"/>
      <c r="BV4285" s="314"/>
      <c r="BW4285" s="314"/>
      <c r="BX4285" s="155"/>
    </row>
    <row r="4286" spans="1:76" ht="15.75" customHeight="1">
      <c r="A4286" s="25"/>
      <c r="B4286" s="39"/>
      <c r="C4286" s="155"/>
      <c r="D4286" s="155"/>
      <c r="E4286" s="40"/>
      <c r="F4286" s="314"/>
      <c r="H4286" s="315"/>
      <c r="I4286" s="315"/>
      <c r="BA4286" s="30"/>
      <c r="BB4286" s="155"/>
      <c r="BC4286" s="314"/>
      <c r="BD4286" s="314"/>
      <c r="BE4286" s="314"/>
      <c r="BF4286" s="314"/>
      <c r="BG4286" s="314"/>
      <c r="BH4286" s="314"/>
      <c r="BI4286" s="314"/>
      <c r="BJ4286" s="314"/>
      <c r="BK4286" s="40"/>
      <c r="BL4286" s="40"/>
      <c r="BM4286" s="40"/>
      <c r="BN4286" s="40"/>
      <c r="BO4286" s="40"/>
      <c r="BP4286" s="155"/>
      <c r="BQ4286" s="314"/>
      <c r="BR4286" s="314"/>
      <c r="BS4286" s="314"/>
      <c r="BT4286" s="314"/>
      <c r="BU4286" s="314"/>
      <c r="BV4286" s="314"/>
      <c r="BW4286" s="314"/>
      <c r="BX4286" s="155"/>
    </row>
    <row r="4287" spans="1:76" ht="15.75" customHeight="1">
      <c r="A4287" s="25"/>
      <c r="B4287" s="39"/>
      <c r="C4287" s="155"/>
      <c r="D4287" s="155"/>
      <c r="E4287" s="40"/>
      <c r="F4287" s="314"/>
      <c r="H4287" s="315"/>
      <c r="I4287" s="315"/>
      <c r="BA4287" s="30"/>
      <c r="BB4287" s="155"/>
      <c r="BC4287" s="314"/>
      <c r="BD4287" s="314"/>
      <c r="BE4287" s="314"/>
      <c r="BF4287" s="314"/>
      <c r="BG4287" s="314"/>
      <c r="BH4287" s="314"/>
      <c r="BI4287" s="314"/>
      <c r="BJ4287" s="314"/>
      <c r="BK4287" s="40"/>
      <c r="BL4287" s="40"/>
      <c r="BM4287" s="40"/>
      <c r="BN4287" s="40"/>
      <c r="BO4287" s="40"/>
      <c r="BP4287" s="155"/>
      <c r="BQ4287" s="314"/>
      <c r="BR4287" s="314"/>
      <c r="BS4287" s="314"/>
      <c r="BT4287" s="314"/>
      <c r="BU4287" s="314"/>
      <c r="BV4287" s="314"/>
      <c r="BW4287" s="314"/>
      <c r="BX4287" s="155"/>
    </row>
    <row r="4288" spans="1:76" ht="15.75" customHeight="1">
      <c r="A4288" s="25"/>
      <c r="B4288" s="39"/>
      <c r="C4288" s="155"/>
      <c r="D4288" s="155"/>
      <c r="E4288" s="40"/>
      <c r="F4288" s="314"/>
      <c r="H4288" s="315"/>
      <c r="I4288" s="315"/>
      <c r="BA4288" s="30"/>
      <c r="BB4288" s="155"/>
      <c r="BC4288" s="322"/>
      <c r="BD4288" s="322"/>
      <c r="BE4288" s="322"/>
      <c r="BF4288" s="322"/>
      <c r="BG4288" s="322"/>
      <c r="BH4288" s="322"/>
      <c r="BI4288" s="322"/>
      <c r="BJ4288" s="322"/>
      <c r="BK4288" s="341"/>
      <c r="BL4288" s="40"/>
      <c r="BM4288" s="40"/>
      <c r="BN4288" s="40"/>
      <c r="BO4288" s="40"/>
      <c r="BP4288" s="155"/>
      <c r="BQ4288" s="314"/>
      <c r="BR4288" s="314"/>
      <c r="BS4288" s="314"/>
      <c r="BT4288" s="314"/>
      <c r="BU4288" s="314"/>
      <c r="BV4288" s="314"/>
      <c r="BW4288" s="314"/>
      <c r="BX4288" s="155"/>
    </row>
    <row r="4289" spans="1:76" ht="15.75" customHeight="1">
      <c r="A4289" s="25"/>
      <c r="B4289" s="39"/>
      <c r="C4289" s="155"/>
      <c r="D4289" s="155"/>
      <c r="E4289" s="40"/>
      <c r="F4289" s="314"/>
      <c r="H4289" s="315"/>
      <c r="I4289" s="315"/>
      <c r="BA4289" s="30"/>
      <c r="BB4289" s="155"/>
      <c r="BC4289" s="314"/>
      <c r="BD4289" s="314"/>
      <c r="BE4289" s="314"/>
      <c r="BF4289" s="314"/>
      <c r="BG4289" s="314"/>
      <c r="BH4289" s="314"/>
      <c r="BI4289" s="314"/>
      <c r="BJ4289" s="314"/>
      <c r="BK4289" s="40"/>
      <c r="BL4289" s="40"/>
      <c r="BM4289" s="40"/>
      <c r="BN4289" s="40"/>
      <c r="BO4289" s="40"/>
      <c r="BP4289" s="155"/>
      <c r="BQ4289" s="314"/>
      <c r="BR4289" s="314"/>
      <c r="BS4289" s="314"/>
      <c r="BT4289" s="314"/>
      <c r="BU4289" s="314"/>
      <c r="BV4289" s="314"/>
      <c r="BW4289" s="314"/>
      <c r="BX4289" s="155"/>
    </row>
    <row r="4290" spans="1:76" ht="15.75" customHeight="1">
      <c r="A4290" s="25"/>
      <c r="B4290" s="39"/>
      <c r="C4290" s="155"/>
      <c r="D4290" s="155"/>
      <c r="E4290" s="40"/>
      <c r="F4290" s="314"/>
      <c r="H4290" s="315"/>
      <c r="I4290" s="315"/>
      <c r="BA4290" s="30"/>
      <c r="BB4290" s="155"/>
      <c r="BC4290" s="314"/>
      <c r="BD4290" s="314"/>
      <c r="BE4290" s="314"/>
      <c r="BF4290" s="314"/>
      <c r="BG4290" s="314"/>
      <c r="BH4290" s="314"/>
      <c r="BI4290" s="314"/>
      <c r="BJ4290" s="314"/>
      <c r="BK4290" s="40"/>
      <c r="BL4290" s="40"/>
      <c r="BM4290" s="40"/>
      <c r="BN4290" s="40"/>
      <c r="BO4290" s="40"/>
      <c r="BP4290" s="155"/>
      <c r="BQ4290" s="314"/>
      <c r="BR4290" s="314"/>
      <c r="BS4290" s="314"/>
      <c r="BT4290" s="314"/>
      <c r="BU4290" s="314"/>
      <c r="BV4290" s="314"/>
      <c r="BW4290" s="314"/>
      <c r="BX4290" s="155"/>
    </row>
    <row r="4291" spans="1:76" ht="15.75" customHeight="1">
      <c r="A4291" s="25"/>
      <c r="B4291" s="39"/>
      <c r="C4291" s="155"/>
      <c r="D4291" s="155"/>
      <c r="E4291" s="40"/>
      <c r="F4291" s="314"/>
      <c r="H4291" s="315"/>
      <c r="I4291" s="315"/>
      <c r="BA4291" s="30"/>
      <c r="BB4291" s="155"/>
      <c r="BC4291" s="314"/>
      <c r="BD4291" s="314"/>
      <c r="BE4291" s="314"/>
      <c r="BF4291" s="314"/>
      <c r="BG4291" s="314"/>
      <c r="BH4291" s="314"/>
      <c r="BI4291" s="314"/>
      <c r="BJ4291" s="314"/>
      <c r="BK4291" s="40"/>
      <c r="BL4291" s="40"/>
      <c r="BM4291" s="40"/>
      <c r="BN4291" s="40"/>
      <c r="BO4291" s="40"/>
      <c r="BP4291" s="155"/>
      <c r="BQ4291" s="314"/>
      <c r="BR4291" s="314"/>
      <c r="BS4291" s="314"/>
      <c r="BT4291" s="314"/>
      <c r="BU4291" s="314"/>
      <c r="BV4291" s="314"/>
      <c r="BW4291" s="314"/>
      <c r="BX4291" s="155"/>
    </row>
    <row r="4292" spans="1:76" ht="15.75" customHeight="1">
      <c r="A4292" s="25"/>
      <c r="B4292" s="39"/>
      <c r="C4292" s="155"/>
      <c r="D4292" s="155"/>
      <c r="E4292" s="40"/>
      <c r="F4292" s="314"/>
      <c r="H4292" s="315"/>
      <c r="I4292" s="315"/>
      <c r="BA4292" s="30"/>
      <c r="BB4292" s="155"/>
      <c r="BC4292" s="314"/>
      <c r="BD4292" s="314"/>
      <c r="BE4292" s="314"/>
      <c r="BF4292" s="314"/>
      <c r="BG4292" s="314"/>
      <c r="BH4292" s="314"/>
      <c r="BI4292" s="314"/>
      <c r="BJ4292" s="314"/>
      <c r="BK4292" s="40"/>
      <c r="BL4292" s="40"/>
      <c r="BM4292" s="40"/>
      <c r="BN4292" s="40"/>
      <c r="BO4292" s="40"/>
      <c r="BP4292" s="155"/>
      <c r="BQ4292" s="314"/>
      <c r="BR4292" s="314"/>
      <c r="BS4292" s="314"/>
      <c r="BT4292" s="314"/>
      <c r="BU4292" s="314"/>
      <c r="BV4292" s="314"/>
      <c r="BW4292" s="314"/>
      <c r="BX4292" s="155"/>
    </row>
    <row r="4293" spans="1:76" ht="15.75" customHeight="1">
      <c r="A4293" s="25"/>
      <c r="B4293" s="39"/>
      <c r="C4293" s="155"/>
      <c r="D4293" s="155"/>
      <c r="E4293" s="40"/>
      <c r="F4293" s="314"/>
      <c r="H4293" s="315"/>
      <c r="I4293" s="315"/>
      <c r="BA4293" s="30"/>
      <c r="BB4293" s="155"/>
      <c r="BC4293" s="314"/>
      <c r="BD4293" s="314"/>
      <c r="BE4293" s="314"/>
      <c r="BF4293" s="314"/>
      <c r="BG4293" s="314"/>
      <c r="BH4293" s="314"/>
      <c r="BI4293" s="314"/>
      <c r="BJ4293" s="314"/>
      <c r="BK4293" s="40"/>
      <c r="BL4293" s="40"/>
      <c r="BM4293" s="40"/>
      <c r="BN4293" s="40"/>
      <c r="BO4293" s="40"/>
      <c r="BP4293" s="155"/>
      <c r="BQ4293" s="314"/>
      <c r="BR4293" s="314"/>
      <c r="BS4293" s="314"/>
      <c r="BT4293" s="314"/>
      <c r="BU4293" s="314"/>
      <c r="BV4293" s="314"/>
      <c r="BW4293" s="314"/>
      <c r="BX4293" s="155"/>
    </row>
    <row r="4294" spans="1:76" ht="15.75" customHeight="1">
      <c r="A4294" s="25"/>
      <c r="B4294" s="39"/>
      <c r="C4294" s="155"/>
      <c r="D4294" s="155"/>
      <c r="E4294" s="40"/>
      <c r="F4294" s="314"/>
      <c r="H4294" s="315"/>
      <c r="I4294" s="315"/>
      <c r="BA4294" s="30"/>
      <c r="BB4294" s="155"/>
      <c r="BC4294" s="314"/>
      <c r="BD4294" s="314"/>
      <c r="BE4294" s="314"/>
      <c r="BF4294" s="314"/>
      <c r="BG4294" s="314"/>
      <c r="BH4294" s="314"/>
      <c r="BI4294" s="314"/>
      <c r="BJ4294" s="314"/>
      <c r="BK4294" s="40"/>
      <c r="BL4294" s="40"/>
      <c r="BM4294" s="40"/>
      <c r="BN4294" s="40"/>
      <c r="BO4294" s="40"/>
      <c r="BP4294" s="155"/>
      <c r="BQ4294" s="314"/>
      <c r="BR4294" s="314"/>
      <c r="BS4294" s="314"/>
      <c r="BT4294" s="314"/>
      <c r="BU4294" s="314"/>
      <c r="BV4294" s="314"/>
      <c r="BW4294" s="314"/>
      <c r="BX4294" s="155"/>
    </row>
    <row r="4295" spans="1:76" ht="15.75" customHeight="1">
      <c r="A4295" s="25"/>
      <c r="B4295" s="39"/>
      <c r="C4295" s="155"/>
      <c r="D4295" s="155"/>
      <c r="E4295" s="40"/>
      <c r="F4295" s="314"/>
      <c r="H4295" s="315"/>
      <c r="I4295" s="315"/>
      <c r="BA4295" s="30"/>
      <c r="BB4295" s="155"/>
      <c r="BC4295" s="314"/>
      <c r="BD4295" s="314"/>
      <c r="BE4295" s="314"/>
      <c r="BF4295" s="314"/>
      <c r="BG4295" s="314"/>
      <c r="BH4295" s="314"/>
      <c r="BI4295" s="314"/>
      <c r="BJ4295" s="314"/>
      <c r="BK4295" s="40"/>
      <c r="BL4295" s="40"/>
      <c r="BM4295" s="40"/>
      <c r="BN4295" s="40"/>
      <c r="BO4295" s="40"/>
      <c r="BP4295" s="155"/>
      <c r="BQ4295" s="314"/>
      <c r="BR4295" s="314"/>
      <c r="BS4295" s="314"/>
      <c r="BT4295" s="314"/>
      <c r="BU4295" s="314"/>
      <c r="BV4295" s="314"/>
      <c r="BW4295" s="314"/>
      <c r="BX4295" s="155"/>
    </row>
    <row r="4296" spans="1:76" ht="15.75" customHeight="1">
      <c r="A4296" s="25"/>
      <c r="B4296" s="39"/>
      <c r="C4296" s="155"/>
      <c r="D4296" s="155"/>
      <c r="E4296" s="40"/>
      <c r="F4296" s="314"/>
      <c r="H4296" s="315"/>
      <c r="I4296" s="315"/>
      <c r="BA4296" s="30"/>
      <c r="BB4296" s="155"/>
      <c r="BC4296" s="314"/>
      <c r="BD4296" s="314"/>
      <c r="BE4296" s="314"/>
      <c r="BF4296" s="314"/>
      <c r="BG4296" s="314"/>
      <c r="BH4296" s="314"/>
      <c r="BI4296" s="314"/>
      <c r="BJ4296" s="314"/>
      <c r="BK4296" s="40"/>
      <c r="BL4296" s="40"/>
      <c r="BM4296" s="40"/>
      <c r="BN4296" s="40"/>
      <c r="BO4296" s="40"/>
      <c r="BP4296" s="155"/>
      <c r="BQ4296" s="314"/>
      <c r="BR4296" s="314"/>
      <c r="BS4296" s="314"/>
      <c r="BT4296" s="314"/>
      <c r="BU4296" s="314"/>
      <c r="BV4296" s="314"/>
      <c r="BW4296" s="314"/>
      <c r="BX4296" s="155"/>
    </row>
    <row r="4297" spans="1:76" ht="15.75" customHeight="1">
      <c r="A4297" s="25"/>
      <c r="B4297" s="39"/>
      <c r="C4297" s="155"/>
      <c r="D4297" s="155"/>
      <c r="E4297" s="40"/>
      <c r="F4297" s="314"/>
      <c r="H4297" s="315"/>
      <c r="I4297" s="315"/>
      <c r="BA4297" s="30"/>
      <c r="BB4297" s="155"/>
      <c r="BC4297" s="314"/>
      <c r="BD4297" s="314"/>
      <c r="BE4297" s="314"/>
      <c r="BF4297" s="314"/>
      <c r="BG4297" s="314"/>
      <c r="BH4297" s="314"/>
      <c r="BI4297" s="314"/>
      <c r="BJ4297" s="314"/>
      <c r="BK4297" s="40"/>
      <c r="BL4297" s="40"/>
      <c r="BM4297" s="40"/>
      <c r="BN4297" s="40"/>
      <c r="BO4297" s="40"/>
      <c r="BP4297" s="155"/>
      <c r="BQ4297" s="314"/>
      <c r="BR4297" s="314"/>
      <c r="BS4297" s="314"/>
      <c r="BT4297" s="314"/>
      <c r="BU4297" s="314"/>
      <c r="BV4297" s="314"/>
      <c r="BW4297" s="314"/>
      <c r="BX4297" s="155"/>
    </row>
    <row r="4298" spans="1:76" ht="15.75" customHeight="1">
      <c r="A4298" s="25"/>
      <c r="B4298" s="39"/>
      <c r="C4298" s="155"/>
      <c r="D4298" s="155"/>
      <c r="E4298" s="40"/>
      <c r="F4298" s="314"/>
      <c r="H4298" s="315"/>
      <c r="I4298" s="315"/>
      <c r="BA4298" s="30"/>
      <c r="BB4298" s="155"/>
      <c r="BC4298" s="314"/>
      <c r="BD4298" s="314"/>
      <c r="BE4298" s="314"/>
      <c r="BF4298" s="314"/>
      <c r="BG4298" s="314"/>
      <c r="BH4298" s="314"/>
      <c r="BI4298" s="314"/>
      <c r="BJ4298" s="314"/>
      <c r="BK4298" s="40"/>
      <c r="BL4298" s="40"/>
      <c r="BM4298" s="40"/>
      <c r="BN4298" s="40"/>
      <c r="BO4298" s="40"/>
      <c r="BP4298" s="155"/>
      <c r="BQ4298" s="314"/>
      <c r="BR4298" s="314"/>
      <c r="BS4298" s="314"/>
      <c r="BT4298" s="314"/>
      <c r="BU4298" s="314"/>
      <c r="BV4298" s="314"/>
      <c r="BW4298" s="314"/>
      <c r="BX4298" s="155"/>
    </row>
    <row r="4299" spans="1:76" ht="15.75" customHeight="1">
      <c r="A4299" s="25"/>
      <c r="B4299" s="39"/>
      <c r="C4299" s="155"/>
      <c r="D4299" s="155"/>
      <c r="E4299" s="40"/>
      <c r="F4299" s="314"/>
      <c r="H4299" s="315"/>
      <c r="I4299" s="315"/>
      <c r="BA4299" s="30"/>
      <c r="BB4299" s="155"/>
      <c r="BC4299" s="314"/>
      <c r="BD4299" s="314"/>
      <c r="BE4299" s="314"/>
      <c r="BF4299" s="314"/>
      <c r="BG4299" s="314"/>
      <c r="BH4299" s="314"/>
      <c r="BI4299" s="314"/>
      <c r="BJ4299" s="314"/>
      <c r="BK4299" s="40"/>
      <c r="BL4299" s="40"/>
      <c r="BM4299" s="40"/>
      <c r="BN4299" s="40"/>
      <c r="BO4299" s="40"/>
      <c r="BP4299" s="155"/>
      <c r="BQ4299" s="314"/>
      <c r="BR4299" s="314"/>
      <c r="BS4299" s="314"/>
      <c r="BT4299" s="314"/>
      <c r="BU4299" s="314"/>
      <c r="BV4299" s="314"/>
      <c r="BW4299" s="314"/>
      <c r="BX4299" s="155"/>
    </row>
    <row r="4300" spans="1:76" ht="15.75" customHeight="1">
      <c r="A4300" s="25"/>
      <c r="B4300" s="39"/>
      <c r="C4300" s="155"/>
      <c r="D4300" s="155"/>
      <c r="E4300" s="40"/>
      <c r="F4300" s="314"/>
      <c r="H4300" s="315"/>
      <c r="I4300" s="315"/>
      <c r="BA4300" s="30"/>
      <c r="BB4300" s="155"/>
      <c r="BC4300" s="314"/>
      <c r="BD4300" s="314"/>
      <c r="BE4300" s="314"/>
      <c r="BF4300" s="314"/>
      <c r="BG4300" s="314"/>
      <c r="BH4300" s="314"/>
      <c r="BI4300" s="314"/>
      <c r="BJ4300" s="314"/>
      <c r="BK4300" s="40"/>
      <c r="BL4300" s="40"/>
      <c r="BM4300" s="40"/>
      <c r="BN4300" s="40"/>
      <c r="BO4300" s="40"/>
      <c r="BP4300" s="155"/>
      <c r="BQ4300" s="314"/>
      <c r="BR4300" s="314"/>
      <c r="BS4300" s="314"/>
      <c r="BT4300" s="314"/>
      <c r="BU4300" s="314"/>
      <c r="BV4300" s="314"/>
      <c r="BW4300" s="314"/>
      <c r="BX4300" s="155"/>
    </row>
    <row r="4301" spans="1:76" ht="15.75" customHeight="1">
      <c r="A4301" s="25"/>
      <c r="B4301" s="39"/>
      <c r="C4301" s="155"/>
      <c r="D4301" s="155"/>
      <c r="E4301" s="40"/>
      <c r="F4301" s="314"/>
      <c r="H4301" s="315"/>
      <c r="I4301" s="315"/>
      <c r="BA4301" s="30"/>
      <c r="BB4301" s="155"/>
      <c r="BC4301" s="314"/>
      <c r="BD4301" s="314"/>
      <c r="BE4301" s="314"/>
      <c r="BF4301" s="314"/>
      <c r="BG4301" s="314"/>
      <c r="BH4301" s="314"/>
      <c r="BI4301" s="314"/>
      <c r="BJ4301" s="314"/>
      <c r="BK4301" s="40"/>
      <c r="BL4301" s="40"/>
      <c r="BM4301" s="40"/>
      <c r="BN4301" s="40"/>
      <c r="BO4301" s="40"/>
      <c r="BP4301" s="155"/>
      <c r="BQ4301" s="314"/>
      <c r="BR4301" s="314"/>
      <c r="BS4301" s="314"/>
      <c r="BT4301" s="314"/>
      <c r="BU4301" s="314"/>
      <c r="BV4301" s="314"/>
      <c r="BW4301" s="314"/>
      <c r="BX4301" s="155"/>
    </row>
    <row r="4302" spans="1:76" ht="15.75" customHeight="1">
      <c r="A4302" s="25"/>
      <c r="B4302" s="39"/>
      <c r="C4302" s="155"/>
      <c r="D4302" s="155"/>
      <c r="E4302" s="40"/>
      <c r="F4302" s="314"/>
      <c r="H4302" s="315"/>
      <c r="I4302" s="315"/>
      <c r="BA4302" s="30"/>
      <c r="BB4302" s="155"/>
      <c r="BC4302" s="314"/>
      <c r="BD4302" s="314"/>
      <c r="BE4302" s="314"/>
      <c r="BF4302" s="314"/>
      <c r="BG4302" s="314"/>
      <c r="BH4302" s="314"/>
      <c r="BI4302" s="314"/>
      <c r="BJ4302" s="314"/>
      <c r="BK4302" s="40"/>
      <c r="BL4302" s="40"/>
      <c r="BM4302" s="40"/>
      <c r="BN4302" s="40"/>
      <c r="BO4302" s="40"/>
      <c r="BP4302" s="155"/>
      <c r="BQ4302" s="314"/>
      <c r="BR4302" s="314"/>
      <c r="BS4302" s="314"/>
      <c r="BT4302" s="314"/>
      <c r="BU4302" s="314"/>
      <c r="BV4302" s="314"/>
      <c r="BW4302" s="314"/>
      <c r="BX4302" s="155"/>
    </row>
    <row r="4303" spans="1:76" ht="15.75" customHeight="1">
      <c r="A4303" s="25"/>
      <c r="B4303" s="39"/>
      <c r="C4303" s="155"/>
      <c r="D4303" s="155"/>
      <c r="E4303" s="40"/>
      <c r="F4303" s="314"/>
      <c r="H4303" s="315"/>
      <c r="I4303" s="315"/>
      <c r="BA4303" s="30"/>
      <c r="BB4303" s="155"/>
      <c r="BC4303" s="314"/>
      <c r="BD4303" s="314"/>
      <c r="BE4303" s="314"/>
      <c r="BF4303" s="314"/>
      <c r="BG4303" s="314"/>
      <c r="BH4303" s="314"/>
      <c r="BI4303" s="314"/>
      <c r="BJ4303" s="314"/>
      <c r="BK4303" s="40"/>
      <c r="BL4303" s="40"/>
      <c r="BM4303" s="40"/>
      <c r="BN4303" s="40"/>
      <c r="BO4303" s="40"/>
      <c r="BP4303" s="155"/>
      <c r="BQ4303" s="314"/>
      <c r="BR4303" s="314"/>
      <c r="BS4303" s="314"/>
      <c r="BT4303" s="314"/>
      <c r="BU4303" s="314"/>
      <c r="BV4303" s="314"/>
      <c r="BW4303" s="314"/>
      <c r="BX4303" s="155"/>
    </row>
    <row r="4304" spans="1:76" ht="15.75" customHeight="1">
      <c r="A4304" s="25"/>
      <c r="B4304" s="39"/>
      <c r="C4304" s="155"/>
      <c r="D4304" s="155"/>
      <c r="E4304" s="40"/>
      <c r="F4304" s="314"/>
      <c r="H4304" s="315"/>
      <c r="I4304" s="315"/>
      <c r="BA4304" s="30"/>
      <c r="BB4304" s="155"/>
      <c r="BC4304" s="314"/>
      <c r="BD4304" s="314"/>
      <c r="BE4304" s="314"/>
      <c r="BF4304" s="314"/>
      <c r="BG4304" s="314"/>
      <c r="BH4304" s="314"/>
      <c r="BI4304" s="314"/>
      <c r="BJ4304" s="314"/>
      <c r="BK4304" s="40"/>
      <c r="BL4304" s="40"/>
      <c r="BM4304" s="40"/>
      <c r="BN4304" s="40"/>
      <c r="BO4304" s="40"/>
      <c r="BP4304" s="155"/>
      <c r="BQ4304" s="314"/>
      <c r="BR4304" s="314"/>
      <c r="BS4304" s="314"/>
      <c r="BT4304" s="314"/>
      <c r="BU4304" s="314"/>
      <c r="BV4304" s="314"/>
      <c r="BW4304" s="314"/>
      <c r="BX4304" s="155"/>
    </row>
    <row r="4305" spans="1:76" ht="15.75" customHeight="1">
      <c r="A4305" s="25"/>
      <c r="B4305" s="39"/>
      <c r="C4305" s="155"/>
      <c r="D4305" s="155"/>
      <c r="E4305" s="40"/>
      <c r="F4305" s="314"/>
      <c r="H4305" s="315"/>
      <c r="I4305" s="315"/>
      <c r="BA4305" s="30"/>
      <c r="BB4305" s="155"/>
      <c r="BC4305" s="314"/>
      <c r="BD4305" s="314"/>
      <c r="BE4305" s="314"/>
      <c r="BF4305" s="314"/>
      <c r="BG4305" s="314"/>
      <c r="BH4305" s="314"/>
      <c r="BI4305" s="314"/>
      <c r="BJ4305" s="314"/>
      <c r="BK4305" s="40"/>
      <c r="BL4305" s="40"/>
      <c r="BM4305" s="40"/>
      <c r="BN4305" s="40"/>
      <c r="BO4305" s="40"/>
      <c r="BP4305" s="155"/>
      <c r="BQ4305" s="314"/>
      <c r="BR4305" s="314"/>
      <c r="BS4305" s="314"/>
      <c r="BT4305" s="314"/>
      <c r="BU4305" s="314"/>
      <c r="BV4305" s="314"/>
      <c r="BW4305" s="314"/>
      <c r="BX4305" s="155"/>
    </row>
    <row r="4306" spans="1:76" ht="15.75" customHeight="1">
      <c r="A4306" s="25"/>
      <c r="B4306" s="39"/>
      <c r="C4306" s="155"/>
      <c r="D4306" s="155"/>
      <c r="E4306" s="40"/>
      <c r="F4306" s="314"/>
      <c r="H4306" s="315"/>
      <c r="I4306" s="315"/>
      <c r="BA4306" s="30"/>
      <c r="BB4306" s="155"/>
      <c r="BC4306" s="322"/>
      <c r="BD4306" s="322"/>
      <c r="BE4306" s="322"/>
      <c r="BF4306" s="322"/>
      <c r="BG4306" s="322"/>
      <c r="BH4306" s="322"/>
      <c r="BI4306" s="322"/>
      <c r="BJ4306" s="322"/>
      <c r="BK4306" s="341"/>
      <c r="BL4306" s="40"/>
      <c r="BM4306" s="40"/>
      <c r="BN4306" s="40"/>
      <c r="BO4306" s="40"/>
      <c r="BP4306" s="155"/>
      <c r="BQ4306" s="314"/>
      <c r="BR4306" s="314"/>
      <c r="BS4306" s="314"/>
      <c r="BT4306" s="314"/>
      <c r="BU4306" s="314"/>
      <c r="BV4306" s="314"/>
      <c r="BW4306" s="314"/>
      <c r="BX4306" s="155"/>
    </row>
    <row r="4307" spans="1:76" ht="15.75" customHeight="1">
      <c r="A4307" s="25"/>
      <c r="B4307" s="39"/>
      <c r="C4307" s="155"/>
      <c r="D4307" s="155"/>
      <c r="E4307" s="40"/>
      <c r="F4307" s="314"/>
      <c r="H4307" s="315"/>
      <c r="I4307" s="315"/>
      <c r="BA4307" s="30"/>
      <c r="BB4307" s="155"/>
      <c r="BC4307" s="314"/>
      <c r="BD4307" s="314"/>
      <c r="BE4307" s="314"/>
      <c r="BF4307" s="314"/>
      <c r="BG4307" s="314"/>
      <c r="BH4307" s="314"/>
      <c r="BI4307" s="314"/>
      <c r="BJ4307" s="314"/>
      <c r="BK4307" s="40"/>
      <c r="BL4307" s="40"/>
      <c r="BM4307" s="40"/>
      <c r="BN4307" s="40"/>
      <c r="BO4307" s="40"/>
      <c r="BP4307" s="155"/>
      <c r="BQ4307" s="314"/>
      <c r="BR4307" s="314"/>
      <c r="BS4307" s="314"/>
      <c r="BT4307" s="314"/>
      <c r="BU4307" s="314"/>
      <c r="BV4307" s="314"/>
      <c r="BW4307" s="314"/>
      <c r="BX4307" s="155"/>
    </row>
    <row r="4308" spans="1:76" ht="15.75" customHeight="1">
      <c r="A4308" s="25"/>
      <c r="B4308" s="39"/>
      <c r="C4308" s="155"/>
      <c r="D4308" s="155"/>
      <c r="E4308" s="40"/>
      <c r="F4308" s="314"/>
      <c r="H4308" s="315"/>
      <c r="I4308" s="315"/>
      <c r="BA4308" s="30"/>
      <c r="BB4308" s="155"/>
      <c r="BC4308" s="314"/>
      <c r="BD4308" s="314"/>
      <c r="BE4308" s="314"/>
      <c r="BF4308" s="314"/>
      <c r="BG4308" s="314"/>
      <c r="BH4308" s="314"/>
      <c r="BI4308" s="314"/>
      <c r="BJ4308" s="314"/>
      <c r="BK4308" s="40"/>
      <c r="BL4308" s="40"/>
      <c r="BM4308" s="40"/>
      <c r="BN4308" s="40"/>
      <c r="BO4308" s="40"/>
      <c r="BP4308" s="155"/>
      <c r="BQ4308" s="314"/>
      <c r="BR4308" s="314"/>
      <c r="BS4308" s="314"/>
      <c r="BT4308" s="314"/>
      <c r="BU4308" s="314"/>
      <c r="BV4308" s="314"/>
      <c r="BW4308" s="314"/>
      <c r="BX4308" s="155"/>
    </row>
    <row r="4309" spans="1:76" ht="15.75" customHeight="1">
      <c r="A4309" s="25"/>
      <c r="B4309" s="39"/>
      <c r="C4309" s="155"/>
      <c r="D4309" s="155"/>
      <c r="E4309" s="40"/>
      <c r="F4309" s="314"/>
      <c r="H4309" s="315"/>
      <c r="I4309" s="315"/>
      <c r="BA4309" s="30"/>
      <c r="BB4309" s="155"/>
      <c r="BC4309" s="314"/>
      <c r="BD4309" s="314"/>
      <c r="BE4309" s="314"/>
      <c r="BF4309" s="314"/>
      <c r="BG4309" s="314"/>
      <c r="BH4309" s="314"/>
      <c r="BI4309" s="314"/>
      <c r="BJ4309" s="314"/>
      <c r="BK4309" s="40"/>
      <c r="BL4309" s="40"/>
      <c r="BM4309" s="40"/>
      <c r="BN4309" s="40"/>
      <c r="BO4309" s="40"/>
      <c r="BP4309" s="155"/>
      <c r="BQ4309" s="314"/>
      <c r="BR4309" s="314"/>
      <c r="BS4309" s="314"/>
      <c r="BT4309" s="314"/>
      <c r="BU4309" s="314"/>
      <c r="BV4309" s="314"/>
      <c r="BW4309" s="314"/>
      <c r="BX4309" s="155"/>
    </row>
    <row r="4310" spans="1:76" ht="15.75" customHeight="1">
      <c r="A4310" s="25"/>
      <c r="B4310" s="39"/>
      <c r="C4310" s="155"/>
      <c r="D4310" s="155"/>
      <c r="E4310" s="40"/>
      <c r="F4310" s="314"/>
      <c r="H4310" s="315"/>
      <c r="I4310" s="315"/>
      <c r="BA4310" s="30"/>
      <c r="BB4310" s="155"/>
      <c r="BC4310" s="314"/>
      <c r="BD4310" s="314"/>
      <c r="BE4310" s="314"/>
      <c r="BF4310" s="314"/>
      <c r="BG4310" s="314"/>
      <c r="BH4310" s="314"/>
      <c r="BI4310" s="314"/>
      <c r="BJ4310" s="314"/>
      <c r="BK4310" s="40"/>
      <c r="BL4310" s="40"/>
      <c r="BM4310" s="40"/>
      <c r="BN4310" s="40"/>
      <c r="BO4310" s="40"/>
      <c r="BP4310" s="155"/>
      <c r="BQ4310" s="314"/>
      <c r="BR4310" s="314"/>
      <c r="BS4310" s="314"/>
      <c r="BT4310" s="314"/>
      <c r="BU4310" s="314"/>
      <c r="BV4310" s="314"/>
      <c r="BW4310" s="314"/>
      <c r="BX4310" s="155"/>
    </row>
    <row r="4311" spans="1:76" ht="15.75" customHeight="1">
      <c r="A4311" s="25"/>
      <c r="B4311" s="39"/>
      <c r="C4311" s="155"/>
      <c r="D4311" s="155"/>
      <c r="E4311" s="40"/>
      <c r="F4311" s="314"/>
      <c r="H4311" s="315"/>
      <c r="I4311" s="315"/>
      <c r="BA4311" s="30"/>
      <c r="BB4311" s="155"/>
      <c r="BC4311" s="314"/>
      <c r="BD4311" s="314"/>
      <c r="BE4311" s="314"/>
      <c r="BF4311" s="314"/>
      <c r="BG4311" s="314"/>
      <c r="BH4311" s="314"/>
      <c r="BI4311" s="314"/>
      <c r="BJ4311" s="314"/>
      <c r="BK4311" s="40"/>
      <c r="BL4311" s="40"/>
      <c r="BM4311" s="40"/>
      <c r="BN4311" s="40"/>
      <c r="BO4311" s="40"/>
      <c r="BP4311" s="155"/>
      <c r="BQ4311" s="314"/>
      <c r="BR4311" s="314"/>
      <c r="BS4311" s="314"/>
      <c r="BT4311" s="314"/>
      <c r="BU4311" s="314"/>
      <c r="BV4311" s="314"/>
      <c r="BW4311" s="314"/>
      <c r="BX4311" s="155"/>
    </row>
    <row r="4312" spans="1:76" ht="15.75" customHeight="1">
      <c r="A4312" s="25"/>
      <c r="B4312" s="39"/>
      <c r="C4312" s="155"/>
      <c r="D4312" s="155"/>
      <c r="E4312" s="40"/>
      <c r="F4312" s="314"/>
      <c r="H4312" s="315"/>
      <c r="I4312" s="315"/>
      <c r="BA4312" s="30"/>
      <c r="BB4312" s="155"/>
      <c r="BC4312" s="314"/>
      <c r="BD4312" s="314"/>
      <c r="BE4312" s="314"/>
      <c r="BF4312" s="314"/>
      <c r="BG4312" s="314"/>
      <c r="BH4312" s="314"/>
      <c r="BI4312" s="314"/>
      <c r="BJ4312" s="314"/>
      <c r="BK4312" s="40"/>
      <c r="BL4312" s="40"/>
      <c r="BM4312" s="40"/>
      <c r="BN4312" s="40"/>
      <c r="BO4312" s="40"/>
      <c r="BP4312" s="155"/>
      <c r="BQ4312" s="314"/>
      <c r="BR4312" s="314"/>
      <c r="BS4312" s="314"/>
      <c r="BT4312" s="314"/>
      <c r="BU4312" s="314"/>
      <c r="BV4312" s="314"/>
      <c r="BW4312" s="314"/>
      <c r="BX4312" s="155"/>
    </row>
    <row r="4313" spans="1:76" ht="15.75" customHeight="1">
      <c r="A4313" s="25"/>
      <c r="B4313" s="39"/>
      <c r="C4313" s="155"/>
      <c r="D4313" s="155"/>
      <c r="E4313" s="40"/>
      <c r="F4313" s="314"/>
      <c r="H4313" s="315"/>
      <c r="I4313" s="315"/>
      <c r="BA4313" s="30"/>
      <c r="BB4313" s="155"/>
      <c r="BC4313" s="314"/>
      <c r="BD4313" s="314"/>
      <c r="BE4313" s="314"/>
      <c r="BF4313" s="314"/>
      <c r="BG4313" s="314"/>
      <c r="BH4313" s="314"/>
      <c r="BI4313" s="314"/>
      <c r="BJ4313" s="314"/>
      <c r="BK4313" s="40"/>
      <c r="BL4313" s="40"/>
      <c r="BM4313" s="40"/>
      <c r="BN4313" s="40"/>
      <c r="BO4313" s="40"/>
      <c r="BP4313" s="155"/>
      <c r="BQ4313" s="314"/>
      <c r="BR4313" s="314"/>
      <c r="BS4313" s="314"/>
      <c r="BT4313" s="314"/>
      <c r="BU4313" s="314"/>
      <c r="BV4313" s="314"/>
      <c r="BW4313" s="314"/>
      <c r="BX4313" s="155"/>
    </row>
    <row r="4314" spans="1:76" ht="15.75" customHeight="1">
      <c r="A4314" s="25"/>
      <c r="B4314" s="39"/>
      <c r="C4314" s="155"/>
      <c r="D4314" s="155"/>
      <c r="E4314" s="40"/>
      <c r="F4314" s="314"/>
      <c r="H4314" s="315"/>
      <c r="I4314" s="315"/>
      <c r="BA4314" s="30"/>
      <c r="BB4314" s="155"/>
      <c r="BC4314" s="314"/>
      <c r="BD4314" s="314"/>
      <c r="BE4314" s="314"/>
      <c r="BF4314" s="314"/>
      <c r="BG4314" s="314"/>
      <c r="BH4314" s="314"/>
      <c r="BI4314" s="314"/>
      <c r="BJ4314" s="314"/>
      <c r="BK4314" s="40"/>
      <c r="BL4314" s="40"/>
      <c r="BM4314" s="40"/>
      <c r="BN4314" s="40"/>
      <c r="BO4314" s="40"/>
      <c r="BP4314" s="155"/>
      <c r="BQ4314" s="314"/>
      <c r="BR4314" s="314"/>
      <c r="BS4314" s="314"/>
      <c r="BT4314" s="314"/>
      <c r="BU4314" s="314"/>
      <c r="BV4314" s="314"/>
      <c r="BW4314" s="314"/>
      <c r="BX4314" s="155"/>
    </row>
    <row r="4315" spans="1:76" ht="15.75" customHeight="1">
      <c r="A4315" s="25"/>
      <c r="B4315" s="39"/>
      <c r="C4315" s="155"/>
      <c r="D4315" s="155"/>
      <c r="E4315" s="40"/>
      <c r="F4315" s="314"/>
      <c r="H4315" s="315"/>
      <c r="I4315" s="315"/>
      <c r="BA4315" s="30"/>
      <c r="BB4315" s="155"/>
      <c r="BC4315" s="314"/>
      <c r="BD4315" s="314"/>
      <c r="BE4315" s="314"/>
      <c r="BF4315" s="314"/>
      <c r="BG4315" s="314"/>
      <c r="BH4315" s="314"/>
      <c r="BI4315" s="314"/>
      <c r="BJ4315" s="314"/>
      <c r="BK4315" s="40"/>
      <c r="BL4315" s="40"/>
      <c r="BM4315" s="40"/>
      <c r="BN4315" s="40"/>
      <c r="BO4315" s="40"/>
      <c r="BP4315" s="155"/>
      <c r="BQ4315" s="314"/>
      <c r="BR4315" s="314"/>
      <c r="BS4315" s="314"/>
      <c r="BT4315" s="314"/>
      <c r="BU4315" s="314"/>
      <c r="BV4315" s="314"/>
      <c r="BW4315" s="314"/>
      <c r="BX4315" s="155"/>
    </row>
    <row r="4316" spans="1:76" ht="15.75" customHeight="1">
      <c r="A4316" s="25"/>
      <c r="B4316" s="39"/>
      <c r="C4316" s="155"/>
      <c r="D4316" s="155"/>
      <c r="E4316" s="40"/>
      <c r="F4316" s="314"/>
      <c r="H4316" s="315"/>
      <c r="I4316" s="315"/>
      <c r="BA4316" s="30"/>
      <c r="BB4316" s="155"/>
      <c r="BC4316" s="314"/>
      <c r="BD4316" s="314"/>
      <c r="BE4316" s="314"/>
      <c r="BF4316" s="314"/>
      <c r="BG4316" s="314"/>
      <c r="BH4316" s="314"/>
      <c r="BI4316" s="314"/>
      <c r="BJ4316" s="314"/>
      <c r="BK4316" s="40"/>
      <c r="BL4316" s="40"/>
      <c r="BM4316" s="40"/>
      <c r="BN4316" s="40"/>
      <c r="BO4316" s="40"/>
      <c r="BP4316" s="155"/>
      <c r="BQ4316" s="314"/>
      <c r="BR4316" s="314"/>
      <c r="BS4316" s="314"/>
      <c r="BT4316" s="314"/>
      <c r="BU4316" s="314"/>
      <c r="BV4316" s="314"/>
      <c r="BW4316" s="314"/>
      <c r="BX4316" s="155"/>
    </row>
    <row r="4317" spans="1:76" ht="15.75" customHeight="1">
      <c r="A4317" s="25"/>
      <c r="B4317" s="39"/>
      <c r="C4317" s="155"/>
      <c r="D4317" s="155"/>
      <c r="E4317" s="40"/>
      <c r="F4317" s="314"/>
      <c r="H4317" s="315"/>
      <c r="I4317" s="315"/>
      <c r="BA4317" s="30"/>
      <c r="BB4317" s="155"/>
      <c r="BC4317" s="314"/>
      <c r="BD4317" s="314"/>
      <c r="BE4317" s="314"/>
      <c r="BF4317" s="314"/>
      <c r="BG4317" s="314"/>
      <c r="BH4317" s="314"/>
      <c r="BI4317" s="314"/>
      <c r="BJ4317" s="314"/>
      <c r="BK4317" s="40"/>
      <c r="BL4317" s="40"/>
      <c r="BM4317" s="40"/>
      <c r="BN4317" s="40"/>
      <c r="BO4317" s="40"/>
      <c r="BP4317" s="155"/>
      <c r="BQ4317" s="314"/>
      <c r="BR4317" s="314"/>
      <c r="BS4317" s="314"/>
      <c r="BT4317" s="314"/>
      <c r="BU4317" s="314"/>
      <c r="BV4317" s="314"/>
      <c r="BW4317" s="314"/>
      <c r="BX4317" s="155"/>
    </row>
    <row r="4318" spans="1:76" ht="15.75" customHeight="1">
      <c r="A4318" s="25"/>
      <c r="B4318" s="39"/>
      <c r="C4318" s="155"/>
      <c r="D4318" s="155"/>
      <c r="E4318" s="40"/>
      <c r="F4318" s="314"/>
      <c r="H4318" s="315"/>
      <c r="I4318" s="315"/>
      <c r="BA4318" s="30"/>
      <c r="BB4318" s="155"/>
      <c r="BC4318" s="314"/>
      <c r="BD4318" s="314"/>
      <c r="BE4318" s="314"/>
      <c r="BF4318" s="314"/>
      <c r="BG4318" s="314"/>
      <c r="BH4318" s="314"/>
      <c r="BI4318" s="314"/>
      <c r="BJ4318" s="314"/>
      <c r="BK4318" s="40"/>
      <c r="BL4318" s="40"/>
      <c r="BM4318" s="40"/>
      <c r="BN4318" s="40"/>
      <c r="BO4318" s="40"/>
      <c r="BP4318" s="155"/>
      <c r="BQ4318" s="314"/>
      <c r="BR4318" s="314"/>
      <c r="BS4318" s="314"/>
      <c r="BT4318" s="314"/>
      <c r="BU4318" s="314"/>
      <c r="BV4318" s="314"/>
      <c r="BW4318" s="314"/>
      <c r="BX4318" s="155"/>
    </row>
    <row r="4319" spans="1:76" ht="15.75" customHeight="1">
      <c r="A4319" s="25"/>
      <c r="B4319" s="39"/>
      <c r="C4319" s="155"/>
      <c r="D4319" s="155"/>
      <c r="E4319" s="40"/>
      <c r="F4319" s="314"/>
      <c r="H4319" s="315"/>
      <c r="I4319" s="315"/>
      <c r="BA4319" s="30"/>
      <c r="BB4319" s="155"/>
      <c r="BC4319" s="314"/>
      <c r="BD4319" s="314"/>
      <c r="BE4319" s="314"/>
      <c r="BF4319" s="314"/>
      <c r="BG4319" s="314"/>
      <c r="BH4319" s="314"/>
      <c r="BI4319" s="314"/>
      <c r="BJ4319" s="314"/>
      <c r="BK4319" s="40"/>
      <c r="BL4319" s="40"/>
      <c r="BM4319" s="40"/>
      <c r="BN4319" s="40"/>
      <c r="BO4319" s="40"/>
      <c r="BP4319" s="155"/>
      <c r="BQ4319" s="314"/>
      <c r="BR4319" s="314"/>
      <c r="BS4319" s="314"/>
      <c r="BT4319" s="314"/>
      <c r="BU4319" s="314"/>
      <c r="BV4319" s="314"/>
      <c r="BW4319" s="314"/>
      <c r="BX4319" s="155"/>
    </row>
    <row r="4320" spans="1:76" ht="15.75" customHeight="1">
      <c r="A4320" s="25"/>
      <c r="B4320" s="39"/>
      <c r="C4320" s="155"/>
      <c r="D4320" s="155"/>
      <c r="E4320" s="40"/>
      <c r="F4320" s="314"/>
      <c r="H4320" s="315"/>
      <c r="I4320" s="315"/>
      <c r="BA4320" s="30"/>
      <c r="BB4320" s="155"/>
      <c r="BC4320" s="314"/>
      <c r="BD4320" s="314"/>
      <c r="BE4320" s="314"/>
      <c r="BF4320" s="314"/>
      <c r="BG4320" s="314"/>
      <c r="BH4320" s="314"/>
      <c r="BI4320" s="314"/>
      <c r="BJ4320" s="314"/>
      <c r="BK4320" s="40"/>
      <c r="BL4320" s="40"/>
      <c r="BM4320" s="40"/>
      <c r="BN4320" s="40"/>
      <c r="BO4320" s="40"/>
      <c r="BP4320" s="155"/>
      <c r="BQ4320" s="314"/>
      <c r="BR4320" s="314"/>
      <c r="BS4320" s="314"/>
      <c r="BT4320" s="314"/>
      <c r="BU4320" s="314"/>
      <c r="BV4320" s="314"/>
      <c r="BW4320" s="314"/>
      <c r="BX4320" s="155"/>
    </row>
    <row r="4321" spans="1:76" ht="15.75" customHeight="1">
      <c r="A4321" s="25"/>
      <c r="B4321" s="39"/>
      <c r="C4321" s="155"/>
      <c r="D4321" s="155"/>
      <c r="E4321" s="40"/>
      <c r="F4321" s="314"/>
      <c r="H4321" s="315"/>
      <c r="I4321" s="315"/>
      <c r="BA4321" s="30"/>
      <c r="BB4321" s="155"/>
      <c r="BC4321" s="314"/>
      <c r="BD4321" s="314"/>
      <c r="BE4321" s="314"/>
      <c r="BF4321" s="314"/>
      <c r="BG4321" s="314"/>
      <c r="BH4321" s="314"/>
      <c r="BI4321" s="314"/>
      <c r="BJ4321" s="314"/>
      <c r="BK4321" s="40"/>
      <c r="BL4321" s="40"/>
      <c r="BM4321" s="40"/>
      <c r="BN4321" s="40"/>
      <c r="BO4321" s="40"/>
      <c r="BP4321" s="155"/>
      <c r="BQ4321" s="314"/>
      <c r="BR4321" s="314"/>
      <c r="BS4321" s="314"/>
      <c r="BT4321" s="314"/>
      <c r="BU4321" s="314"/>
      <c r="BV4321" s="314"/>
      <c r="BW4321" s="314"/>
      <c r="BX4321" s="155"/>
    </row>
    <row r="4322" spans="1:76" ht="15.75" customHeight="1">
      <c r="A4322" s="25"/>
      <c r="B4322" s="39"/>
      <c r="C4322" s="155"/>
      <c r="D4322" s="155"/>
      <c r="E4322" s="40"/>
      <c r="F4322" s="314"/>
      <c r="H4322" s="315"/>
      <c r="I4322" s="315"/>
      <c r="BA4322" s="30"/>
      <c r="BB4322" s="155"/>
      <c r="BC4322" s="314"/>
      <c r="BD4322" s="314"/>
      <c r="BE4322" s="314"/>
      <c r="BF4322" s="314"/>
      <c r="BG4322" s="314"/>
      <c r="BH4322" s="314"/>
      <c r="BI4322" s="314"/>
      <c r="BJ4322" s="314"/>
      <c r="BK4322" s="40"/>
      <c r="BL4322" s="40"/>
      <c r="BM4322" s="40"/>
      <c r="BN4322" s="40"/>
      <c r="BO4322" s="40"/>
      <c r="BP4322" s="155"/>
      <c r="BQ4322" s="314"/>
      <c r="BR4322" s="314"/>
      <c r="BS4322" s="314"/>
      <c r="BT4322" s="314"/>
      <c r="BU4322" s="314"/>
      <c r="BV4322" s="314"/>
      <c r="BW4322" s="314"/>
      <c r="BX4322" s="155"/>
    </row>
    <row r="4323" spans="1:76" ht="15.75" customHeight="1">
      <c r="A4323" s="25"/>
      <c r="B4323" s="39"/>
      <c r="C4323" s="155"/>
      <c r="D4323" s="155"/>
      <c r="E4323" s="40"/>
      <c r="F4323" s="314"/>
      <c r="H4323" s="315"/>
      <c r="I4323" s="315"/>
      <c r="BA4323" s="30"/>
      <c r="BB4323" s="155"/>
      <c r="BC4323" s="314"/>
      <c r="BD4323" s="314"/>
      <c r="BE4323" s="314"/>
      <c r="BF4323" s="314"/>
      <c r="BG4323" s="314"/>
      <c r="BH4323" s="314"/>
      <c r="BI4323" s="314"/>
      <c r="BJ4323" s="314"/>
      <c r="BK4323" s="40"/>
      <c r="BL4323" s="40"/>
      <c r="BM4323" s="40"/>
      <c r="BN4323" s="40"/>
      <c r="BO4323" s="40"/>
      <c r="BP4323" s="155"/>
      <c r="BQ4323" s="314"/>
      <c r="BR4323" s="314"/>
      <c r="BS4323" s="314"/>
      <c r="BT4323" s="314"/>
      <c r="BU4323" s="314"/>
      <c r="BV4323" s="314"/>
      <c r="BW4323" s="314"/>
      <c r="BX4323" s="155"/>
    </row>
    <row r="4324" spans="1:76" ht="15.75" customHeight="1">
      <c r="A4324" s="25"/>
      <c r="B4324" s="39"/>
      <c r="C4324" s="155"/>
      <c r="D4324" s="155"/>
      <c r="E4324" s="40"/>
      <c r="F4324" s="314"/>
      <c r="H4324" s="315"/>
      <c r="I4324" s="315"/>
      <c r="BA4324" s="30"/>
      <c r="BB4324" s="155"/>
      <c r="BC4324" s="314"/>
      <c r="BD4324" s="314"/>
      <c r="BE4324" s="314"/>
      <c r="BF4324" s="314"/>
      <c r="BG4324" s="314"/>
      <c r="BH4324" s="314"/>
      <c r="BI4324" s="314"/>
      <c r="BJ4324" s="314"/>
      <c r="BK4324" s="40"/>
      <c r="BL4324" s="40"/>
      <c r="BM4324" s="40"/>
      <c r="BN4324" s="40"/>
      <c r="BO4324" s="40"/>
      <c r="BP4324" s="155"/>
      <c r="BQ4324" s="314"/>
      <c r="BR4324" s="314"/>
      <c r="BS4324" s="314"/>
      <c r="BT4324" s="314"/>
      <c r="BU4324" s="314"/>
      <c r="BV4324" s="314"/>
      <c r="BW4324" s="314"/>
      <c r="BX4324" s="155"/>
    </row>
    <row r="4325" spans="1:76" ht="15.75" customHeight="1">
      <c r="A4325" s="25"/>
      <c r="B4325" s="39"/>
      <c r="C4325" s="155"/>
      <c r="D4325" s="155"/>
      <c r="E4325" s="40"/>
      <c r="F4325" s="314"/>
      <c r="H4325" s="315"/>
      <c r="I4325" s="315"/>
      <c r="BA4325" s="30"/>
      <c r="BB4325" s="155"/>
      <c r="BC4325" s="314"/>
      <c r="BD4325" s="314"/>
      <c r="BE4325" s="314"/>
      <c r="BF4325" s="314"/>
      <c r="BG4325" s="314"/>
      <c r="BH4325" s="314"/>
      <c r="BI4325" s="314"/>
      <c r="BJ4325" s="314"/>
      <c r="BK4325" s="40"/>
      <c r="BL4325" s="40"/>
      <c r="BM4325" s="40"/>
      <c r="BN4325" s="40"/>
      <c r="BO4325" s="40"/>
      <c r="BP4325" s="155"/>
      <c r="BQ4325" s="314"/>
      <c r="BR4325" s="314"/>
      <c r="BS4325" s="314"/>
      <c r="BT4325" s="314"/>
      <c r="BU4325" s="314"/>
      <c r="BV4325" s="314"/>
      <c r="BW4325" s="314"/>
      <c r="BX4325" s="155"/>
    </row>
    <row r="4326" spans="1:76" ht="15.75" customHeight="1">
      <c r="A4326" s="25"/>
      <c r="B4326" s="39"/>
      <c r="C4326" s="155"/>
      <c r="D4326" s="155"/>
      <c r="E4326" s="40"/>
      <c r="F4326" s="314"/>
      <c r="H4326" s="315"/>
      <c r="I4326" s="315"/>
      <c r="BA4326" s="30"/>
      <c r="BB4326" s="155"/>
      <c r="BC4326" s="314"/>
      <c r="BD4326" s="314"/>
      <c r="BE4326" s="314"/>
      <c r="BF4326" s="314"/>
      <c r="BG4326" s="314"/>
      <c r="BH4326" s="314"/>
      <c r="BI4326" s="314"/>
      <c r="BJ4326" s="314"/>
      <c r="BK4326" s="40"/>
      <c r="BL4326" s="40"/>
      <c r="BM4326" s="40"/>
      <c r="BN4326" s="40"/>
      <c r="BO4326" s="40"/>
      <c r="BP4326" s="155"/>
      <c r="BQ4326" s="314"/>
      <c r="BR4326" s="314"/>
      <c r="BS4326" s="314"/>
      <c r="BT4326" s="314"/>
      <c r="BU4326" s="314"/>
      <c r="BV4326" s="314"/>
      <c r="BW4326" s="314"/>
      <c r="BX4326" s="155"/>
    </row>
    <row r="4327" spans="1:76" ht="15.75" customHeight="1">
      <c r="A4327" s="25"/>
      <c r="B4327" s="39"/>
      <c r="C4327" s="155"/>
      <c r="D4327" s="155"/>
      <c r="E4327" s="40"/>
      <c r="F4327" s="314"/>
      <c r="H4327" s="315"/>
      <c r="I4327" s="315"/>
      <c r="BA4327" s="30"/>
      <c r="BB4327" s="155"/>
      <c r="BC4327" s="314"/>
      <c r="BD4327" s="314"/>
      <c r="BE4327" s="314"/>
      <c r="BF4327" s="314"/>
      <c r="BG4327" s="314"/>
      <c r="BH4327" s="314"/>
      <c r="BI4327" s="314"/>
      <c r="BJ4327" s="314"/>
      <c r="BK4327" s="40"/>
      <c r="BL4327" s="40"/>
      <c r="BM4327" s="40"/>
      <c r="BN4327" s="40"/>
      <c r="BO4327" s="40"/>
      <c r="BP4327" s="155"/>
      <c r="BQ4327" s="314"/>
      <c r="BR4327" s="314"/>
      <c r="BS4327" s="314"/>
      <c r="BT4327" s="314"/>
      <c r="BU4327" s="314"/>
      <c r="BV4327" s="314"/>
      <c r="BW4327" s="314"/>
      <c r="BX4327" s="155"/>
    </row>
    <row r="4328" spans="1:76" ht="15.75" customHeight="1">
      <c r="A4328" s="25"/>
      <c r="B4328" s="39"/>
      <c r="C4328" s="155"/>
      <c r="D4328" s="155"/>
      <c r="E4328" s="40"/>
      <c r="F4328" s="314"/>
      <c r="H4328" s="315"/>
      <c r="I4328" s="315"/>
      <c r="BA4328" s="30"/>
      <c r="BB4328" s="155"/>
      <c r="BC4328" s="314"/>
      <c r="BD4328" s="314"/>
      <c r="BE4328" s="314"/>
      <c r="BF4328" s="314"/>
      <c r="BG4328" s="314"/>
      <c r="BH4328" s="314"/>
      <c r="BI4328" s="314"/>
      <c r="BJ4328" s="314"/>
      <c r="BK4328" s="40"/>
      <c r="BL4328" s="40"/>
      <c r="BM4328" s="40"/>
      <c r="BN4328" s="40"/>
      <c r="BO4328" s="40"/>
      <c r="BP4328" s="155"/>
      <c r="BQ4328" s="314"/>
      <c r="BR4328" s="314"/>
      <c r="BS4328" s="314"/>
      <c r="BT4328" s="314"/>
      <c r="BU4328" s="314"/>
      <c r="BV4328" s="314"/>
      <c r="BW4328" s="314"/>
      <c r="BX4328" s="155"/>
    </row>
    <row r="4329" spans="1:76" ht="15.75" customHeight="1">
      <c r="A4329" s="25"/>
      <c r="B4329" s="39"/>
      <c r="C4329" s="155"/>
      <c r="D4329" s="155"/>
      <c r="E4329" s="40"/>
      <c r="F4329" s="314"/>
      <c r="H4329" s="315"/>
      <c r="I4329" s="315"/>
      <c r="BA4329" s="30"/>
      <c r="BB4329" s="155"/>
      <c r="BC4329" s="314"/>
      <c r="BD4329" s="314"/>
      <c r="BE4329" s="314"/>
      <c r="BF4329" s="314"/>
      <c r="BG4329" s="314"/>
      <c r="BH4329" s="314"/>
      <c r="BI4329" s="314"/>
      <c r="BJ4329" s="314"/>
      <c r="BK4329" s="40"/>
      <c r="BL4329" s="40"/>
      <c r="BM4329" s="40"/>
      <c r="BN4329" s="40"/>
      <c r="BO4329" s="40"/>
      <c r="BP4329" s="155"/>
      <c r="BQ4329" s="314"/>
      <c r="BR4329" s="314"/>
      <c r="BS4329" s="314"/>
      <c r="BT4329" s="314"/>
      <c r="BU4329" s="314"/>
      <c r="BV4329" s="314"/>
      <c r="BW4329" s="314"/>
      <c r="BX4329" s="155"/>
    </row>
    <row r="4330" spans="1:76" ht="15.75" customHeight="1">
      <c r="A4330" s="25"/>
      <c r="B4330" s="39"/>
      <c r="C4330" s="155"/>
      <c r="D4330" s="155"/>
      <c r="E4330" s="40"/>
      <c r="F4330" s="314"/>
      <c r="H4330" s="315"/>
      <c r="I4330" s="315"/>
      <c r="BA4330" s="30"/>
      <c r="BB4330" s="155"/>
      <c r="BC4330" s="314"/>
      <c r="BD4330" s="314"/>
      <c r="BE4330" s="314"/>
      <c r="BF4330" s="314"/>
      <c r="BG4330" s="314"/>
      <c r="BH4330" s="314"/>
      <c r="BI4330" s="314"/>
      <c r="BJ4330" s="314"/>
      <c r="BK4330" s="40"/>
      <c r="BL4330" s="40"/>
      <c r="BM4330" s="40"/>
      <c r="BN4330" s="40"/>
      <c r="BO4330" s="40"/>
      <c r="BP4330" s="155"/>
      <c r="BQ4330" s="314"/>
      <c r="BR4330" s="314"/>
      <c r="BS4330" s="314"/>
      <c r="BT4330" s="314"/>
      <c r="BU4330" s="314"/>
      <c r="BV4330" s="314"/>
      <c r="BW4330" s="314"/>
      <c r="BX4330" s="155"/>
    </row>
    <row r="4331" spans="1:76" ht="15.75" customHeight="1">
      <c r="A4331" s="25"/>
      <c r="B4331" s="39"/>
      <c r="C4331" s="155"/>
      <c r="D4331" s="155"/>
      <c r="E4331" s="40"/>
      <c r="F4331" s="314"/>
      <c r="H4331" s="315"/>
      <c r="I4331" s="315"/>
      <c r="BA4331" s="30"/>
      <c r="BB4331" s="155"/>
      <c r="BC4331" s="314"/>
      <c r="BD4331" s="314"/>
      <c r="BE4331" s="314"/>
      <c r="BF4331" s="314"/>
      <c r="BG4331" s="314"/>
      <c r="BH4331" s="314"/>
      <c r="BI4331" s="314"/>
      <c r="BJ4331" s="314"/>
      <c r="BK4331" s="40"/>
      <c r="BL4331" s="40"/>
      <c r="BM4331" s="40"/>
      <c r="BN4331" s="40"/>
      <c r="BO4331" s="40"/>
      <c r="BP4331" s="155"/>
      <c r="BQ4331" s="314"/>
      <c r="BR4331" s="314"/>
      <c r="BS4331" s="314"/>
      <c r="BT4331" s="314"/>
      <c r="BU4331" s="314"/>
      <c r="BV4331" s="314"/>
      <c r="BW4331" s="314"/>
      <c r="BX4331" s="155"/>
    </row>
    <row r="4332" spans="1:76" ht="15.75" customHeight="1">
      <c r="A4332" s="25"/>
      <c r="B4332" s="39"/>
      <c r="C4332" s="155"/>
      <c r="D4332" s="155"/>
      <c r="E4332" s="40"/>
      <c r="F4332" s="314"/>
      <c r="H4332" s="315"/>
      <c r="I4332" s="315"/>
      <c r="BA4332" s="30"/>
      <c r="BB4332" s="155"/>
      <c r="BC4332" s="322"/>
      <c r="BD4332" s="322"/>
      <c r="BE4332" s="322"/>
      <c r="BF4332" s="322"/>
      <c r="BG4332" s="322"/>
      <c r="BH4332" s="322"/>
      <c r="BI4332" s="322"/>
      <c r="BJ4332" s="322"/>
      <c r="BK4332" s="341"/>
      <c r="BL4332" s="40"/>
      <c r="BM4332" s="40"/>
      <c r="BN4332" s="40"/>
      <c r="BO4332" s="40"/>
      <c r="BP4332" s="155"/>
      <c r="BQ4332" s="314"/>
      <c r="BR4332" s="314"/>
      <c r="BS4332" s="314"/>
      <c r="BT4332" s="314"/>
      <c r="BU4332" s="314"/>
      <c r="BV4332" s="314"/>
      <c r="BW4332" s="314"/>
      <c r="BX4332" s="155"/>
    </row>
    <row r="4333" spans="1:76" ht="15.75" customHeight="1">
      <c r="A4333" s="25"/>
      <c r="B4333" s="39"/>
      <c r="C4333" s="155"/>
      <c r="D4333" s="155"/>
      <c r="E4333" s="40"/>
      <c r="F4333" s="314"/>
      <c r="H4333" s="315"/>
      <c r="I4333" s="315"/>
      <c r="BA4333" s="30"/>
      <c r="BB4333" s="155"/>
      <c r="BC4333" s="314"/>
      <c r="BD4333" s="314"/>
      <c r="BE4333" s="314"/>
      <c r="BF4333" s="314"/>
      <c r="BG4333" s="314"/>
      <c r="BH4333" s="314"/>
      <c r="BI4333" s="314"/>
      <c r="BJ4333" s="314"/>
      <c r="BK4333" s="40"/>
      <c r="BL4333" s="40"/>
      <c r="BM4333" s="40"/>
      <c r="BN4333" s="40"/>
      <c r="BO4333" s="40"/>
      <c r="BP4333" s="155"/>
      <c r="BQ4333" s="314"/>
      <c r="BR4333" s="314"/>
      <c r="BS4333" s="314"/>
      <c r="BT4333" s="314"/>
      <c r="BU4333" s="314"/>
      <c r="BV4333" s="314"/>
      <c r="BW4333" s="314"/>
      <c r="BX4333" s="155"/>
    </row>
    <row r="4334" spans="1:76" ht="15.75" customHeight="1">
      <c r="A4334" s="25"/>
      <c r="B4334" s="39"/>
      <c r="C4334" s="155"/>
      <c r="D4334" s="155"/>
      <c r="E4334" s="40"/>
      <c r="F4334" s="314"/>
      <c r="H4334" s="315"/>
      <c r="I4334" s="315"/>
      <c r="BA4334" s="30"/>
      <c r="BB4334" s="155"/>
      <c r="BC4334" s="314"/>
      <c r="BD4334" s="314"/>
      <c r="BE4334" s="314"/>
      <c r="BF4334" s="314"/>
      <c r="BG4334" s="314"/>
      <c r="BH4334" s="314"/>
      <c r="BI4334" s="314"/>
      <c r="BJ4334" s="314"/>
      <c r="BK4334" s="40"/>
      <c r="BL4334" s="40"/>
      <c r="BM4334" s="40"/>
      <c r="BN4334" s="40"/>
      <c r="BO4334" s="40"/>
      <c r="BP4334" s="155"/>
      <c r="BQ4334" s="314"/>
      <c r="BR4334" s="314"/>
      <c r="BS4334" s="314"/>
      <c r="BT4334" s="314"/>
      <c r="BU4334" s="314"/>
      <c r="BV4334" s="314"/>
      <c r="BW4334" s="314"/>
      <c r="BX4334" s="155"/>
    </row>
    <row r="4335" spans="1:76" ht="15.75" customHeight="1">
      <c r="A4335" s="25"/>
      <c r="B4335" s="39"/>
      <c r="C4335" s="155"/>
      <c r="D4335" s="155"/>
      <c r="E4335" s="40"/>
      <c r="F4335" s="314"/>
      <c r="H4335" s="315"/>
      <c r="I4335" s="315"/>
      <c r="BA4335" s="30"/>
      <c r="BB4335" s="155"/>
      <c r="BC4335" s="314"/>
      <c r="BD4335" s="314"/>
      <c r="BE4335" s="314"/>
      <c r="BF4335" s="314"/>
      <c r="BG4335" s="314"/>
      <c r="BH4335" s="314"/>
      <c r="BI4335" s="314"/>
      <c r="BJ4335" s="314"/>
      <c r="BK4335" s="40"/>
      <c r="BL4335" s="40"/>
      <c r="BM4335" s="40"/>
      <c r="BN4335" s="40"/>
      <c r="BO4335" s="40"/>
      <c r="BP4335" s="155"/>
      <c r="BQ4335" s="314"/>
      <c r="BR4335" s="314"/>
      <c r="BS4335" s="314"/>
      <c r="BT4335" s="314"/>
      <c r="BU4335" s="314"/>
      <c r="BV4335" s="314"/>
      <c r="BW4335" s="314"/>
      <c r="BX4335" s="155"/>
    </row>
    <row r="4336" spans="1:76" ht="15.75" customHeight="1">
      <c r="A4336" s="25"/>
      <c r="B4336" s="39"/>
      <c r="C4336" s="155"/>
      <c r="D4336" s="155"/>
      <c r="E4336" s="40"/>
      <c r="F4336" s="314"/>
      <c r="H4336" s="315"/>
      <c r="I4336" s="315"/>
      <c r="BA4336" s="30"/>
      <c r="BB4336" s="155"/>
      <c r="BC4336" s="314"/>
      <c r="BD4336" s="314"/>
      <c r="BE4336" s="314"/>
      <c r="BF4336" s="314"/>
      <c r="BG4336" s="314"/>
      <c r="BH4336" s="314"/>
      <c r="BI4336" s="314"/>
      <c r="BJ4336" s="314"/>
      <c r="BK4336" s="40"/>
      <c r="BL4336" s="40"/>
      <c r="BM4336" s="40"/>
      <c r="BN4336" s="40"/>
      <c r="BO4336" s="40"/>
      <c r="BP4336" s="155"/>
      <c r="BQ4336" s="314"/>
      <c r="BR4336" s="314"/>
      <c r="BS4336" s="314"/>
      <c r="BT4336" s="314"/>
      <c r="BU4336" s="314"/>
      <c r="BV4336" s="314"/>
      <c r="BW4336" s="314"/>
      <c r="BX4336" s="155"/>
    </row>
    <row r="4337" spans="1:76" ht="15.75" customHeight="1">
      <c r="A4337" s="25"/>
      <c r="B4337" s="39"/>
      <c r="C4337" s="155"/>
      <c r="D4337" s="155"/>
      <c r="E4337" s="40"/>
      <c r="F4337" s="314"/>
      <c r="H4337" s="315"/>
      <c r="I4337" s="315"/>
      <c r="BA4337" s="30"/>
      <c r="BB4337" s="155"/>
      <c r="BC4337" s="314"/>
      <c r="BD4337" s="314"/>
      <c r="BE4337" s="314"/>
      <c r="BF4337" s="314"/>
      <c r="BG4337" s="314"/>
      <c r="BH4337" s="314"/>
      <c r="BI4337" s="314"/>
      <c r="BJ4337" s="314"/>
      <c r="BK4337" s="40"/>
      <c r="BL4337" s="40"/>
      <c r="BM4337" s="40"/>
      <c r="BN4337" s="40"/>
      <c r="BO4337" s="40"/>
      <c r="BP4337" s="155"/>
      <c r="BQ4337" s="314"/>
      <c r="BR4337" s="314"/>
      <c r="BS4337" s="314"/>
      <c r="BT4337" s="314"/>
      <c r="BU4337" s="314"/>
      <c r="BV4337" s="314"/>
      <c r="BW4337" s="314"/>
      <c r="BX4337" s="155"/>
    </row>
    <row r="4338" spans="1:76" ht="15.75" customHeight="1">
      <c r="A4338" s="25"/>
      <c r="B4338" s="39"/>
      <c r="C4338" s="155"/>
      <c r="D4338" s="155"/>
      <c r="E4338" s="40"/>
      <c r="F4338" s="314"/>
      <c r="H4338" s="315"/>
      <c r="I4338" s="315"/>
      <c r="BA4338" s="30"/>
      <c r="BB4338" s="155"/>
      <c r="BC4338" s="314"/>
      <c r="BD4338" s="314"/>
      <c r="BE4338" s="314"/>
      <c r="BF4338" s="314"/>
      <c r="BG4338" s="314"/>
      <c r="BH4338" s="314"/>
      <c r="BI4338" s="314"/>
      <c r="BJ4338" s="314"/>
      <c r="BK4338" s="40"/>
      <c r="BL4338" s="40"/>
      <c r="BM4338" s="40"/>
      <c r="BN4338" s="40"/>
      <c r="BO4338" s="40"/>
      <c r="BP4338" s="155"/>
      <c r="BQ4338" s="314"/>
      <c r="BR4338" s="314"/>
      <c r="BS4338" s="314"/>
      <c r="BT4338" s="314"/>
      <c r="BU4338" s="314"/>
      <c r="BV4338" s="314"/>
      <c r="BW4338" s="314"/>
      <c r="BX4338" s="155"/>
    </row>
    <row r="4339" spans="1:76" ht="15.75" customHeight="1">
      <c r="A4339" s="25"/>
      <c r="B4339" s="39"/>
      <c r="C4339" s="155"/>
      <c r="D4339" s="155"/>
      <c r="E4339" s="40"/>
      <c r="F4339" s="314"/>
      <c r="H4339" s="315"/>
      <c r="I4339" s="315"/>
      <c r="BA4339" s="30"/>
      <c r="BB4339" s="155"/>
      <c r="BC4339" s="314"/>
      <c r="BD4339" s="314"/>
      <c r="BE4339" s="314"/>
      <c r="BF4339" s="314"/>
      <c r="BG4339" s="314"/>
      <c r="BH4339" s="314"/>
      <c r="BI4339" s="314"/>
      <c r="BJ4339" s="314"/>
      <c r="BK4339" s="40"/>
      <c r="BL4339" s="40"/>
      <c r="BM4339" s="40"/>
      <c r="BN4339" s="40"/>
      <c r="BO4339" s="40"/>
      <c r="BP4339" s="155"/>
      <c r="BQ4339" s="314"/>
      <c r="BR4339" s="314"/>
      <c r="BS4339" s="314"/>
      <c r="BT4339" s="314"/>
      <c r="BU4339" s="314"/>
      <c r="BV4339" s="314"/>
      <c r="BW4339" s="314"/>
      <c r="BX4339" s="155"/>
    </row>
    <row r="4340" spans="1:76" ht="15.75" customHeight="1">
      <c r="A4340" s="25"/>
      <c r="B4340" s="39"/>
      <c r="C4340" s="155"/>
      <c r="D4340" s="155"/>
      <c r="E4340" s="40"/>
      <c r="F4340" s="314"/>
      <c r="H4340" s="315"/>
      <c r="I4340" s="315"/>
      <c r="BA4340" s="30"/>
      <c r="BB4340" s="155"/>
      <c r="BC4340" s="314"/>
      <c r="BD4340" s="314"/>
      <c r="BE4340" s="314"/>
      <c r="BF4340" s="314"/>
      <c r="BG4340" s="314"/>
      <c r="BH4340" s="314"/>
      <c r="BI4340" s="314"/>
      <c r="BJ4340" s="314"/>
      <c r="BK4340" s="40"/>
      <c r="BL4340" s="40"/>
      <c r="BM4340" s="40"/>
      <c r="BN4340" s="40"/>
      <c r="BO4340" s="40"/>
      <c r="BP4340" s="155"/>
      <c r="BQ4340" s="314"/>
      <c r="BR4340" s="314"/>
      <c r="BS4340" s="314"/>
      <c r="BT4340" s="314"/>
      <c r="BU4340" s="314"/>
      <c r="BV4340" s="314"/>
      <c r="BW4340" s="314"/>
      <c r="BX4340" s="155"/>
    </row>
    <row r="4341" spans="1:76" ht="15.75" customHeight="1">
      <c r="A4341" s="25"/>
      <c r="B4341" s="39"/>
      <c r="C4341" s="155"/>
      <c r="D4341" s="155"/>
      <c r="E4341" s="40"/>
      <c r="F4341" s="314"/>
      <c r="H4341" s="315"/>
      <c r="I4341" s="315"/>
      <c r="BA4341" s="30"/>
      <c r="BB4341" s="155"/>
      <c r="BC4341" s="314"/>
      <c r="BD4341" s="314"/>
      <c r="BE4341" s="314"/>
      <c r="BF4341" s="314"/>
      <c r="BG4341" s="314"/>
      <c r="BH4341" s="314"/>
      <c r="BI4341" s="314"/>
      <c r="BJ4341" s="314"/>
      <c r="BK4341" s="40"/>
      <c r="BL4341" s="40"/>
      <c r="BM4341" s="40"/>
      <c r="BN4341" s="40"/>
      <c r="BO4341" s="40"/>
      <c r="BP4341" s="155"/>
      <c r="BQ4341" s="314"/>
      <c r="BR4341" s="314"/>
      <c r="BS4341" s="314"/>
      <c r="BT4341" s="314"/>
      <c r="BU4341" s="314"/>
      <c r="BV4341" s="314"/>
      <c r="BW4341" s="314"/>
      <c r="BX4341" s="155"/>
    </row>
    <row r="4342" spans="1:76" ht="15.75" customHeight="1">
      <c r="A4342" s="25"/>
      <c r="B4342" s="39"/>
      <c r="C4342" s="155"/>
      <c r="D4342" s="155"/>
      <c r="E4342" s="40"/>
      <c r="F4342" s="314"/>
      <c r="H4342" s="315"/>
      <c r="I4342" s="315"/>
      <c r="BA4342" s="30"/>
      <c r="BB4342" s="155"/>
      <c r="BC4342" s="314"/>
      <c r="BD4342" s="314"/>
      <c r="BE4342" s="314"/>
      <c r="BF4342" s="314"/>
      <c r="BG4342" s="314"/>
      <c r="BH4342" s="314"/>
      <c r="BI4342" s="314"/>
      <c r="BJ4342" s="314"/>
      <c r="BK4342" s="40"/>
      <c r="BL4342" s="40"/>
      <c r="BM4342" s="40"/>
      <c r="BN4342" s="40"/>
      <c r="BO4342" s="40"/>
      <c r="BP4342" s="155"/>
      <c r="BQ4342" s="314"/>
      <c r="BR4342" s="314"/>
      <c r="BS4342" s="314"/>
      <c r="BT4342" s="314"/>
      <c r="BU4342" s="314"/>
      <c r="BV4342" s="314"/>
      <c r="BW4342" s="314"/>
      <c r="BX4342" s="155"/>
    </row>
    <row r="4343" spans="1:76" ht="15.75" customHeight="1">
      <c r="A4343" s="25"/>
      <c r="B4343" s="39"/>
      <c r="C4343" s="155"/>
      <c r="D4343" s="155"/>
      <c r="E4343" s="40"/>
      <c r="F4343" s="314"/>
      <c r="H4343" s="315"/>
      <c r="I4343" s="315"/>
      <c r="BA4343" s="30"/>
      <c r="BB4343" s="155"/>
      <c r="BC4343" s="314"/>
      <c r="BD4343" s="314"/>
      <c r="BE4343" s="314"/>
      <c r="BF4343" s="314"/>
      <c r="BG4343" s="314"/>
      <c r="BH4343" s="314"/>
      <c r="BI4343" s="314"/>
      <c r="BJ4343" s="314"/>
      <c r="BK4343" s="40"/>
      <c r="BL4343" s="40"/>
      <c r="BM4343" s="40"/>
      <c r="BN4343" s="40"/>
      <c r="BO4343" s="40"/>
      <c r="BP4343" s="155"/>
      <c r="BQ4343" s="314"/>
      <c r="BR4343" s="314"/>
      <c r="BS4343" s="314"/>
      <c r="BT4343" s="314"/>
      <c r="BU4343" s="314"/>
      <c r="BV4343" s="314"/>
      <c r="BW4343" s="314"/>
      <c r="BX4343" s="155"/>
    </row>
    <row r="4344" spans="1:76" ht="15.75" customHeight="1">
      <c r="A4344" s="25"/>
      <c r="B4344" s="39"/>
      <c r="C4344" s="155"/>
      <c r="D4344" s="155"/>
      <c r="E4344" s="40"/>
      <c r="F4344" s="314"/>
      <c r="H4344" s="315"/>
      <c r="I4344" s="315"/>
      <c r="BA4344" s="30"/>
      <c r="BB4344" s="155"/>
      <c r="BC4344" s="314"/>
      <c r="BD4344" s="314"/>
      <c r="BE4344" s="314"/>
      <c r="BF4344" s="314"/>
      <c r="BG4344" s="314"/>
      <c r="BH4344" s="314"/>
      <c r="BI4344" s="314"/>
      <c r="BJ4344" s="314"/>
      <c r="BK4344" s="40"/>
      <c r="BL4344" s="40"/>
      <c r="BM4344" s="40"/>
      <c r="BN4344" s="40"/>
      <c r="BO4344" s="40"/>
      <c r="BP4344" s="155"/>
      <c r="BQ4344" s="314"/>
      <c r="BR4344" s="314"/>
      <c r="BS4344" s="314"/>
      <c r="BT4344" s="314"/>
      <c r="BU4344" s="314"/>
      <c r="BV4344" s="314"/>
      <c r="BW4344" s="314"/>
      <c r="BX4344" s="155"/>
    </row>
    <row r="4345" spans="1:76" ht="15.75" customHeight="1">
      <c r="A4345" s="25"/>
      <c r="B4345" s="39"/>
      <c r="C4345" s="155"/>
      <c r="D4345" s="155"/>
      <c r="E4345" s="40"/>
      <c r="F4345" s="314"/>
      <c r="H4345" s="315"/>
      <c r="I4345" s="315"/>
      <c r="BA4345" s="30"/>
      <c r="BB4345" s="155"/>
      <c r="BC4345" s="314"/>
      <c r="BD4345" s="314"/>
      <c r="BE4345" s="314"/>
      <c r="BF4345" s="314"/>
      <c r="BG4345" s="314"/>
      <c r="BH4345" s="314"/>
      <c r="BI4345" s="314"/>
      <c r="BJ4345" s="314"/>
      <c r="BK4345" s="40"/>
      <c r="BL4345" s="40"/>
      <c r="BM4345" s="40"/>
      <c r="BN4345" s="40"/>
      <c r="BO4345" s="40"/>
      <c r="BP4345" s="155"/>
      <c r="BQ4345" s="314"/>
      <c r="BR4345" s="314"/>
      <c r="BS4345" s="314"/>
      <c r="BT4345" s="314"/>
      <c r="BU4345" s="314"/>
      <c r="BV4345" s="314"/>
      <c r="BW4345" s="314"/>
      <c r="BX4345" s="155"/>
    </row>
    <row r="4346" spans="1:76" ht="15.75" customHeight="1">
      <c r="A4346" s="25"/>
      <c r="B4346" s="39"/>
      <c r="C4346" s="155"/>
      <c r="D4346" s="155"/>
      <c r="E4346" s="40"/>
      <c r="F4346" s="314"/>
      <c r="H4346" s="315"/>
      <c r="I4346" s="315"/>
      <c r="BA4346" s="30"/>
      <c r="BB4346" s="155"/>
      <c r="BC4346" s="314"/>
      <c r="BD4346" s="314"/>
      <c r="BE4346" s="314"/>
      <c r="BF4346" s="314"/>
      <c r="BG4346" s="314"/>
      <c r="BH4346" s="314"/>
      <c r="BI4346" s="314"/>
      <c r="BJ4346" s="314"/>
      <c r="BK4346" s="40"/>
      <c r="BL4346" s="40"/>
      <c r="BM4346" s="40"/>
      <c r="BN4346" s="40"/>
      <c r="BO4346" s="40"/>
      <c r="BP4346" s="155"/>
      <c r="BQ4346" s="314"/>
      <c r="BR4346" s="314"/>
      <c r="BS4346" s="314"/>
      <c r="BT4346" s="314"/>
      <c r="BU4346" s="314"/>
      <c r="BV4346" s="314"/>
      <c r="BW4346" s="314"/>
      <c r="BX4346" s="155"/>
    </row>
    <row r="4347" spans="1:76" ht="15.75" customHeight="1">
      <c r="A4347" s="25"/>
      <c r="B4347" s="39"/>
      <c r="C4347" s="155"/>
      <c r="D4347" s="155"/>
      <c r="E4347" s="40"/>
      <c r="F4347" s="314"/>
      <c r="H4347" s="315"/>
      <c r="I4347" s="315"/>
      <c r="BA4347" s="30"/>
      <c r="BB4347" s="155"/>
      <c r="BC4347" s="314"/>
      <c r="BD4347" s="314"/>
      <c r="BE4347" s="314"/>
      <c r="BF4347" s="314"/>
      <c r="BG4347" s="314"/>
      <c r="BH4347" s="314"/>
      <c r="BI4347" s="314"/>
      <c r="BJ4347" s="314"/>
      <c r="BK4347" s="40"/>
      <c r="BL4347" s="40"/>
      <c r="BM4347" s="40"/>
      <c r="BN4347" s="40"/>
      <c r="BO4347" s="40"/>
      <c r="BP4347" s="155"/>
      <c r="BQ4347" s="314"/>
      <c r="BR4347" s="314"/>
      <c r="BS4347" s="314"/>
      <c r="BT4347" s="314"/>
      <c r="BU4347" s="314"/>
      <c r="BV4347" s="314"/>
      <c r="BW4347" s="314"/>
      <c r="BX4347" s="155"/>
    </row>
    <row r="4348" spans="1:76" ht="15.75" customHeight="1">
      <c r="A4348" s="25"/>
      <c r="B4348" s="39"/>
      <c r="C4348" s="155"/>
      <c r="D4348" s="155"/>
      <c r="E4348" s="40"/>
      <c r="F4348" s="314"/>
      <c r="H4348" s="315"/>
      <c r="I4348" s="315"/>
      <c r="BA4348" s="30"/>
      <c r="BB4348" s="155"/>
      <c r="BC4348" s="314"/>
      <c r="BD4348" s="314"/>
      <c r="BE4348" s="314"/>
      <c r="BF4348" s="314"/>
      <c r="BG4348" s="314"/>
      <c r="BH4348" s="314"/>
      <c r="BI4348" s="314"/>
      <c r="BJ4348" s="314"/>
      <c r="BK4348" s="40"/>
      <c r="BL4348" s="40"/>
      <c r="BM4348" s="40"/>
      <c r="BN4348" s="40"/>
      <c r="BO4348" s="40"/>
      <c r="BP4348" s="155"/>
      <c r="BQ4348" s="314"/>
      <c r="BR4348" s="314"/>
      <c r="BS4348" s="314"/>
      <c r="BT4348" s="314"/>
      <c r="BU4348" s="314"/>
      <c r="BV4348" s="314"/>
      <c r="BW4348" s="314"/>
      <c r="BX4348" s="155"/>
    </row>
    <row r="4349" spans="1:76" ht="15.75" customHeight="1">
      <c r="A4349" s="25"/>
      <c r="B4349" s="39"/>
      <c r="C4349" s="155"/>
      <c r="D4349" s="155"/>
      <c r="E4349" s="40"/>
      <c r="F4349" s="314"/>
      <c r="H4349" s="315"/>
      <c r="I4349" s="315"/>
      <c r="BA4349" s="30"/>
      <c r="BB4349" s="155"/>
      <c r="BC4349" s="314"/>
      <c r="BD4349" s="314"/>
      <c r="BE4349" s="314"/>
      <c r="BF4349" s="314"/>
      <c r="BG4349" s="314"/>
      <c r="BH4349" s="314"/>
      <c r="BI4349" s="314"/>
      <c r="BJ4349" s="314"/>
      <c r="BK4349" s="40"/>
      <c r="BL4349" s="40"/>
      <c r="BM4349" s="40"/>
      <c r="BN4349" s="40"/>
      <c r="BO4349" s="40"/>
      <c r="BP4349" s="155"/>
      <c r="BQ4349" s="314"/>
      <c r="BR4349" s="314"/>
      <c r="BS4349" s="314"/>
      <c r="BT4349" s="314"/>
      <c r="BU4349" s="314"/>
      <c r="BV4349" s="314"/>
      <c r="BW4349" s="314"/>
      <c r="BX4349" s="155"/>
    </row>
    <row r="4350" spans="1:76" ht="15.75" customHeight="1">
      <c r="A4350" s="25"/>
      <c r="B4350" s="39"/>
      <c r="C4350" s="155"/>
      <c r="D4350" s="155"/>
      <c r="E4350" s="40"/>
      <c r="F4350" s="314"/>
      <c r="H4350" s="315"/>
      <c r="I4350" s="315"/>
      <c r="BA4350" s="30"/>
      <c r="BB4350" s="155"/>
      <c r="BC4350" s="314"/>
      <c r="BD4350" s="314"/>
      <c r="BE4350" s="314"/>
      <c r="BF4350" s="314"/>
      <c r="BG4350" s="314"/>
      <c r="BH4350" s="314"/>
      <c r="BI4350" s="314"/>
      <c r="BJ4350" s="314"/>
      <c r="BK4350" s="40"/>
      <c r="BL4350" s="40"/>
      <c r="BM4350" s="40"/>
      <c r="BN4350" s="40"/>
      <c r="BO4350" s="40"/>
      <c r="BP4350" s="155"/>
      <c r="BQ4350" s="314"/>
      <c r="BR4350" s="314"/>
      <c r="BS4350" s="314"/>
      <c r="BT4350" s="314"/>
      <c r="BU4350" s="314"/>
      <c r="BV4350" s="314"/>
      <c r="BW4350" s="314"/>
      <c r="BX4350" s="155"/>
    </row>
    <row r="4351" spans="1:76" ht="15.75" customHeight="1">
      <c r="A4351" s="25"/>
      <c r="B4351" s="39"/>
      <c r="C4351" s="155"/>
      <c r="D4351" s="155"/>
      <c r="E4351" s="40"/>
      <c r="F4351" s="314"/>
      <c r="H4351" s="315"/>
      <c r="I4351" s="315"/>
      <c r="BA4351" s="30"/>
      <c r="BB4351" s="155"/>
      <c r="BC4351" s="314"/>
      <c r="BD4351" s="314"/>
      <c r="BE4351" s="314"/>
      <c r="BF4351" s="314"/>
      <c r="BG4351" s="314"/>
      <c r="BH4351" s="314"/>
      <c r="BI4351" s="314"/>
      <c r="BJ4351" s="314"/>
      <c r="BK4351" s="40"/>
      <c r="BL4351" s="40"/>
      <c r="BM4351" s="40"/>
      <c r="BN4351" s="40"/>
      <c r="BO4351" s="40"/>
      <c r="BP4351" s="155"/>
      <c r="BQ4351" s="314"/>
      <c r="BR4351" s="314"/>
      <c r="BS4351" s="314"/>
      <c r="BT4351" s="314"/>
      <c r="BU4351" s="314"/>
      <c r="BV4351" s="314"/>
      <c r="BW4351" s="314"/>
      <c r="BX4351" s="155"/>
    </row>
    <row r="4352" spans="1:76" ht="15.75" customHeight="1">
      <c r="A4352" s="25"/>
      <c r="B4352" s="39"/>
      <c r="C4352" s="155"/>
      <c r="D4352" s="155"/>
      <c r="E4352" s="40"/>
      <c r="F4352" s="314"/>
      <c r="H4352" s="315"/>
      <c r="I4352" s="315"/>
      <c r="BA4352" s="30"/>
      <c r="BB4352" s="155"/>
      <c r="BC4352" s="314"/>
      <c r="BD4352" s="314"/>
      <c r="BE4352" s="314"/>
      <c r="BF4352" s="314"/>
      <c r="BG4352" s="314"/>
      <c r="BH4352" s="314"/>
      <c r="BI4352" s="314"/>
      <c r="BJ4352" s="314"/>
      <c r="BK4352" s="40"/>
      <c r="BL4352" s="40"/>
      <c r="BM4352" s="40"/>
      <c r="BN4352" s="40"/>
      <c r="BO4352" s="40"/>
      <c r="BP4352" s="155"/>
      <c r="BQ4352" s="314"/>
      <c r="BR4352" s="314"/>
      <c r="BS4352" s="314"/>
      <c r="BT4352" s="314"/>
      <c r="BU4352" s="314"/>
      <c r="BV4352" s="314"/>
      <c r="BW4352" s="314"/>
      <c r="BX4352" s="155"/>
    </row>
    <row r="4353" spans="1:76" ht="15.75" customHeight="1">
      <c r="A4353" s="25"/>
      <c r="B4353" s="39"/>
      <c r="C4353" s="155"/>
      <c r="D4353" s="155"/>
      <c r="E4353" s="40"/>
      <c r="F4353" s="314"/>
      <c r="H4353" s="315"/>
      <c r="I4353" s="315"/>
      <c r="BA4353" s="30"/>
      <c r="BB4353" s="155"/>
      <c r="BC4353" s="314"/>
      <c r="BD4353" s="314"/>
      <c r="BE4353" s="314"/>
      <c r="BF4353" s="314"/>
      <c r="BG4353" s="314"/>
      <c r="BH4353" s="314"/>
      <c r="BI4353" s="314"/>
      <c r="BJ4353" s="314"/>
      <c r="BK4353" s="40"/>
      <c r="BL4353" s="40"/>
      <c r="BM4353" s="40"/>
      <c r="BN4353" s="40"/>
      <c r="BO4353" s="40"/>
      <c r="BP4353" s="155"/>
      <c r="BQ4353" s="314"/>
      <c r="BR4353" s="314"/>
      <c r="BS4353" s="314"/>
      <c r="BT4353" s="314"/>
      <c r="BU4353" s="314"/>
      <c r="BV4353" s="314"/>
      <c r="BW4353" s="314"/>
      <c r="BX4353" s="155"/>
    </row>
    <row r="4354" spans="1:76" ht="15.75" customHeight="1">
      <c r="A4354" s="25"/>
      <c r="B4354" s="39"/>
      <c r="C4354" s="155"/>
      <c r="D4354" s="155"/>
      <c r="E4354" s="40"/>
      <c r="F4354" s="314"/>
      <c r="H4354" s="315"/>
      <c r="I4354" s="315"/>
      <c r="BA4354" s="30"/>
      <c r="BB4354" s="155"/>
      <c r="BC4354" s="314"/>
      <c r="BD4354" s="314"/>
      <c r="BE4354" s="314"/>
      <c r="BF4354" s="314"/>
      <c r="BG4354" s="314"/>
      <c r="BH4354" s="314"/>
      <c r="BI4354" s="314"/>
      <c r="BJ4354" s="314"/>
      <c r="BK4354" s="40"/>
      <c r="BL4354" s="40"/>
      <c r="BM4354" s="40"/>
      <c r="BN4354" s="40"/>
      <c r="BO4354" s="40"/>
      <c r="BP4354" s="155"/>
      <c r="BQ4354" s="314"/>
      <c r="BR4354" s="314"/>
      <c r="BS4354" s="314"/>
      <c r="BT4354" s="314"/>
      <c r="BU4354" s="314"/>
      <c r="BV4354" s="314"/>
      <c r="BW4354" s="314"/>
      <c r="BX4354" s="155"/>
    </row>
    <row r="4355" spans="1:76" ht="15.75" customHeight="1">
      <c r="A4355" s="25"/>
      <c r="B4355" s="39"/>
      <c r="C4355" s="155"/>
      <c r="D4355" s="155"/>
      <c r="E4355" s="40"/>
      <c r="F4355" s="314"/>
      <c r="H4355" s="315"/>
      <c r="I4355" s="315"/>
      <c r="BA4355" s="30"/>
      <c r="BB4355" s="155"/>
      <c r="BC4355" s="322"/>
      <c r="BD4355" s="322"/>
      <c r="BE4355" s="322"/>
      <c r="BF4355" s="322"/>
      <c r="BG4355" s="322"/>
      <c r="BH4355" s="322"/>
      <c r="BI4355" s="322"/>
      <c r="BJ4355" s="322"/>
      <c r="BK4355" s="341"/>
      <c r="BL4355" s="40"/>
      <c r="BM4355" s="40"/>
      <c r="BN4355" s="40"/>
      <c r="BO4355" s="40"/>
      <c r="BP4355" s="155"/>
      <c r="BQ4355" s="314"/>
      <c r="BR4355" s="314"/>
      <c r="BS4355" s="314"/>
      <c r="BT4355" s="314"/>
      <c r="BU4355" s="314"/>
      <c r="BV4355" s="314"/>
      <c r="BW4355" s="314"/>
      <c r="BX4355" s="155"/>
    </row>
    <row r="4356" spans="1:76" ht="15.75" customHeight="1">
      <c r="A4356" s="25"/>
      <c r="B4356" s="39"/>
      <c r="C4356" s="155"/>
      <c r="D4356" s="155"/>
      <c r="E4356" s="40"/>
      <c r="F4356" s="314"/>
      <c r="H4356" s="315"/>
      <c r="I4356" s="315"/>
      <c r="BA4356" s="30"/>
      <c r="BB4356" s="155"/>
      <c r="BC4356" s="314"/>
      <c r="BD4356" s="314"/>
      <c r="BE4356" s="314"/>
      <c r="BF4356" s="314"/>
      <c r="BG4356" s="314"/>
      <c r="BH4356" s="314"/>
      <c r="BI4356" s="314"/>
      <c r="BJ4356" s="314"/>
      <c r="BK4356" s="40"/>
      <c r="BL4356" s="40"/>
      <c r="BM4356" s="40"/>
      <c r="BN4356" s="40"/>
      <c r="BO4356" s="40"/>
      <c r="BP4356" s="155"/>
      <c r="BQ4356" s="314"/>
      <c r="BR4356" s="314"/>
      <c r="BS4356" s="314"/>
      <c r="BT4356" s="314"/>
      <c r="BU4356" s="314"/>
      <c r="BV4356" s="314"/>
      <c r="BW4356" s="314"/>
      <c r="BX4356" s="155"/>
    </row>
    <row r="4357" spans="1:76" ht="15.75" customHeight="1">
      <c r="A4357" s="25"/>
      <c r="B4357" s="39"/>
      <c r="C4357" s="155"/>
      <c r="D4357" s="155"/>
      <c r="E4357" s="40"/>
      <c r="F4357" s="314"/>
      <c r="H4357" s="315"/>
      <c r="I4357" s="315"/>
      <c r="BA4357" s="30"/>
      <c r="BB4357" s="155"/>
      <c r="BC4357" s="314"/>
      <c r="BD4357" s="314"/>
      <c r="BE4357" s="314"/>
      <c r="BF4357" s="314"/>
      <c r="BG4357" s="314"/>
      <c r="BH4357" s="314"/>
      <c r="BI4357" s="314"/>
      <c r="BJ4357" s="314"/>
      <c r="BK4357" s="40"/>
      <c r="BL4357" s="40"/>
      <c r="BM4357" s="40"/>
      <c r="BN4357" s="40"/>
      <c r="BO4357" s="40"/>
      <c r="BP4357" s="155"/>
      <c r="BQ4357" s="314"/>
      <c r="BR4357" s="314"/>
      <c r="BS4357" s="314"/>
      <c r="BT4357" s="314"/>
      <c r="BU4357" s="314"/>
      <c r="BV4357" s="314"/>
      <c r="BW4357" s="314"/>
      <c r="BX4357" s="155"/>
    </row>
    <row r="4358" spans="1:76" ht="15.75" customHeight="1">
      <c r="A4358" s="25"/>
      <c r="B4358" s="39"/>
      <c r="C4358" s="155"/>
      <c r="D4358" s="155"/>
      <c r="E4358" s="40"/>
      <c r="F4358" s="314"/>
      <c r="H4358" s="315"/>
      <c r="I4358" s="315"/>
      <c r="BA4358" s="30"/>
      <c r="BB4358" s="155"/>
      <c r="BC4358" s="314"/>
      <c r="BD4358" s="314"/>
      <c r="BE4358" s="314"/>
      <c r="BF4358" s="314"/>
      <c r="BG4358" s="314"/>
      <c r="BH4358" s="314"/>
      <c r="BI4358" s="314"/>
      <c r="BJ4358" s="314"/>
      <c r="BK4358" s="40"/>
      <c r="BL4358" s="40"/>
      <c r="BM4358" s="40"/>
      <c r="BN4358" s="40"/>
      <c r="BO4358" s="40"/>
      <c r="BP4358" s="155"/>
      <c r="BQ4358" s="314"/>
      <c r="BR4358" s="314"/>
      <c r="BS4358" s="314"/>
      <c r="BT4358" s="314"/>
      <c r="BU4358" s="314"/>
      <c r="BV4358" s="314"/>
      <c r="BW4358" s="314"/>
      <c r="BX4358" s="155"/>
    </row>
    <row r="4359" spans="1:76" ht="15.75" customHeight="1">
      <c r="A4359" s="25"/>
      <c r="B4359" s="39"/>
      <c r="C4359" s="155"/>
      <c r="D4359" s="155"/>
      <c r="E4359" s="40"/>
      <c r="F4359" s="314"/>
      <c r="H4359" s="315"/>
      <c r="I4359" s="315"/>
      <c r="BA4359" s="30"/>
      <c r="BB4359" s="155"/>
      <c r="BC4359" s="314"/>
      <c r="BD4359" s="314"/>
      <c r="BE4359" s="314"/>
      <c r="BF4359" s="314"/>
      <c r="BG4359" s="314"/>
      <c r="BH4359" s="314"/>
      <c r="BI4359" s="314"/>
      <c r="BJ4359" s="314"/>
      <c r="BK4359" s="40"/>
      <c r="BL4359" s="40"/>
      <c r="BM4359" s="40"/>
      <c r="BN4359" s="40"/>
      <c r="BO4359" s="40"/>
      <c r="BP4359" s="155"/>
      <c r="BQ4359" s="314"/>
      <c r="BR4359" s="314"/>
      <c r="BS4359" s="314"/>
      <c r="BT4359" s="314"/>
      <c r="BU4359" s="314"/>
      <c r="BV4359" s="314"/>
      <c r="BW4359" s="314"/>
      <c r="BX4359" s="155"/>
    </row>
    <row r="4360" spans="1:76" ht="15.75" customHeight="1">
      <c r="A4360" s="25"/>
      <c r="B4360" s="39"/>
      <c r="C4360" s="155"/>
      <c r="D4360" s="155"/>
      <c r="E4360" s="40"/>
      <c r="F4360" s="314"/>
      <c r="H4360" s="315"/>
      <c r="I4360" s="315"/>
      <c r="BA4360" s="30"/>
      <c r="BB4360" s="155"/>
      <c r="BC4360" s="314"/>
      <c r="BD4360" s="314"/>
      <c r="BE4360" s="314"/>
      <c r="BF4360" s="314"/>
      <c r="BG4360" s="314"/>
      <c r="BH4360" s="314"/>
      <c r="BI4360" s="314"/>
      <c r="BJ4360" s="314"/>
      <c r="BK4360" s="40"/>
      <c r="BL4360" s="40"/>
      <c r="BM4360" s="40"/>
      <c r="BN4360" s="40"/>
      <c r="BO4360" s="40"/>
      <c r="BP4360" s="155"/>
      <c r="BQ4360" s="314"/>
      <c r="BR4360" s="314"/>
      <c r="BS4360" s="314"/>
      <c r="BT4360" s="314"/>
      <c r="BU4360" s="314"/>
      <c r="BV4360" s="314"/>
      <c r="BW4360" s="314"/>
      <c r="BX4360" s="155"/>
    </row>
    <row r="4361" spans="1:76" ht="15.75" customHeight="1">
      <c r="A4361" s="25"/>
      <c r="B4361" s="39"/>
      <c r="C4361" s="155"/>
      <c r="D4361" s="155"/>
      <c r="E4361" s="40"/>
      <c r="F4361" s="314"/>
      <c r="H4361" s="315"/>
      <c r="I4361" s="315"/>
      <c r="BA4361" s="30"/>
      <c r="BB4361" s="155"/>
      <c r="BC4361" s="314"/>
      <c r="BD4361" s="314"/>
      <c r="BE4361" s="314"/>
      <c r="BF4361" s="314"/>
      <c r="BG4361" s="314"/>
      <c r="BH4361" s="314"/>
      <c r="BI4361" s="314"/>
      <c r="BJ4361" s="314"/>
      <c r="BK4361" s="40"/>
      <c r="BL4361" s="40"/>
      <c r="BM4361" s="40"/>
      <c r="BN4361" s="40"/>
      <c r="BO4361" s="40"/>
      <c r="BP4361" s="155"/>
      <c r="BQ4361" s="314"/>
      <c r="BR4361" s="314"/>
      <c r="BS4361" s="314"/>
      <c r="BT4361" s="314"/>
      <c r="BU4361" s="314"/>
      <c r="BV4361" s="314"/>
      <c r="BW4361" s="314"/>
      <c r="BX4361" s="155"/>
    </row>
    <row r="4362" spans="1:76" ht="15.75" customHeight="1">
      <c r="A4362" s="25"/>
      <c r="B4362" s="39"/>
      <c r="C4362" s="155"/>
      <c r="D4362" s="155"/>
      <c r="E4362" s="40"/>
      <c r="F4362" s="314"/>
      <c r="H4362" s="315"/>
      <c r="I4362" s="315"/>
      <c r="BA4362" s="30"/>
      <c r="BB4362" s="155"/>
      <c r="BC4362" s="314"/>
      <c r="BD4362" s="314"/>
      <c r="BE4362" s="314"/>
      <c r="BF4362" s="314"/>
      <c r="BG4362" s="314"/>
      <c r="BH4362" s="314"/>
      <c r="BI4362" s="314"/>
      <c r="BJ4362" s="314"/>
      <c r="BK4362" s="40"/>
      <c r="BL4362" s="40"/>
      <c r="BM4362" s="40"/>
      <c r="BN4362" s="40"/>
      <c r="BO4362" s="40"/>
      <c r="BP4362" s="155"/>
      <c r="BQ4362" s="314"/>
      <c r="BR4362" s="314"/>
      <c r="BS4362" s="314"/>
      <c r="BT4362" s="314"/>
      <c r="BU4362" s="314"/>
      <c r="BV4362" s="314"/>
      <c r="BW4362" s="314"/>
      <c r="BX4362" s="155"/>
    </row>
    <row r="4363" spans="1:76" ht="15.75" customHeight="1">
      <c r="A4363" s="25"/>
      <c r="B4363" s="39"/>
      <c r="C4363" s="155"/>
      <c r="D4363" s="155"/>
      <c r="E4363" s="40"/>
      <c r="F4363" s="314"/>
      <c r="H4363" s="315"/>
      <c r="I4363" s="315"/>
      <c r="BA4363" s="30"/>
      <c r="BB4363" s="155"/>
      <c r="BC4363" s="314"/>
      <c r="BD4363" s="314"/>
      <c r="BE4363" s="314"/>
      <c r="BF4363" s="314"/>
      <c r="BG4363" s="314"/>
      <c r="BH4363" s="314"/>
      <c r="BI4363" s="314"/>
      <c r="BJ4363" s="314"/>
      <c r="BK4363" s="40"/>
      <c r="BL4363" s="40"/>
      <c r="BM4363" s="40"/>
      <c r="BN4363" s="40"/>
      <c r="BO4363" s="40"/>
      <c r="BP4363" s="155"/>
      <c r="BQ4363" s="314"/>
      <c r="BR4363" s="314"/>
      <c r="BS4363" s="314"/>
      <c r="BT4363" s="314"/>
      <c r="BU4363" s="314"/>
      <c r="BV4363" s="314"/>
      <c r="BW4363" s="314"/>
      <c r="BX4363" s="155"/>
    </row>
    <row r="4364" spans="1:76" ht="15.75" customHeight="1">
      <c r="A4364" s="25"/>
      <c r="B4364" s="39"/>
      <c r="C4364" s="155"/>
      <c r="D4364" s="155"/>
      <c r="E4364" s="40"/>
      <c r="F4364" s="314"/>
      <c r="H4364" s="315"/>
      <c r="I4364" s="315"/>
      <c r="BA4364" s="30"/>
      <c r="BB4364" s="155"/>
      <c r="BC4364" s="314"/>
      <c r="BD4364" s="314"/>
      <c r="BE4364" s="314"/>
      <c r="BF4364" s="314"/>
      <c r="BG4364" s="314"/>
      <c r="BH4364" s="314"/>
      <c r="BI4364" s="314"/>
      <c r="BJ4364" s="314"/>
      <c r="BK4364" s="40"/>
      <c r="BL4364" s="40"/>
      <c r="BM4364" s="40"/>
      <c r="BN4364" s="40"/>
      <c r="BO4364" s="40"/>
      <c r="BP4364" s="155"/>
      <c r="BQ4364" s="314"/>
      <c r="BR4364" s="314"/>
      <c r="BS4364" s="314"/>
      <c r="BT4364" s="314"/>
      <c r="BU4364" s="314"/>
      <c r="BV4364" s="314"/>
      <c r="BW4364" s="314"/>
      <c r="BX4364" s="155"/>
    </row>
    <row r="4365" spans="1:76" ht="15.75" customHeight="1">
      <c r="A4365" s="25"/>
      <c r="B4365" s="39"/>
      <c r="C4365" s="155"/>
      <c r="D4365" s="155"/>
      <c r="E4365" s="40"/>
      <c r="F4365" s="314"/>
      <c r="H4365" s="315"/>
      <c r="I4365" s="315"/>
      <c r="BA4365" s="30"/>
      <c r="BB4365" s="155"/>
      <c r="BC4365" s="314"/>
      <c r="BD4365" s="314"/>
      <c r="BE4365" s="314"/>
      <c r="BF4365" s="314"/>
      <c r="BG4365" s="314"/>
      <c r="BH4365" s="314"/>
      <c r="BI4365" s="314"/>
      <c r="BJ4365" s="314"/>
      <c r="BK4365" s="40"/>
      <c r="BL4365" s="40"/>
      <c r="BM4365" s="40"/>
      <c r="BN4365" s="40"/>
      <c r="BO4365" s="40"/>
      <c r="BP4365" s="155"/>
      <c r="BQ4365" s="314"/>
      <c r="BR4365" s="314"/>
      <c r="BS4365" s="314"/>
      <c r="BT4365" s="314"/>
      <c r="BU4365" s="314"/>
      <c r="BV4365" s="314"/>
      <c r="BW4365" s="314"/>
      <c r="BX4365" s="155"/>
    </row>
    <row r="4366" spans="1:76" ht="15.75" customHeight="1">
      <c r="A4366" s="25"/>
      <c r="B4366" s="39"/>
      <c r="C4366" s="155"/>
      <c r="D4366" s="155"/>
      <c r="E4366" s="40"/>
      <c r="F4366" s="314"/>
      <c r="H4366" s="315"/>
      <c r="I4366" s="315"/>
      <c r="BA4366" s="30"/>
      <c r="BB4366" s="155"/>
      <c r="BC4366" s="314"/>
      <c r="BD4366" s="314"/>
      <c r="BE4366" s="314"/>
      <c r="BF4366" s="314"/>
      <c r="BG4366" s="314"/>
      <c r="BH4366" s="314"/>
      <c r="BI4366" s="314"/>
      <c r="BJ4366" s="314"/>
      <c r="BK4366" s="40"/>
      <c r="BL4366" s="40"/>
      <c r="BM4366" s="40"/>
      <c r="BN4366" s="40"/>
      <c r="BO4366" s="40"/>
      <c r="BP4366" s="155"/>
      <c r="BQ4366" s="314"/>
      <c r="BR4366" s="314"/>
      <c r="BS4366" s="314"/>
      <c r="BT4366" s="314"/>
      <c r="BU4366" s="314"/>
      <c r="BV4366" s="314"/>
      <c r="BW4366" s="314"/>
      <c r="BX4366" s="155"/>
    </row>
    <row r="4367" spans="1:76" ht="15.75" customHeight="1">
      <c r="A4367" s="25"/>
      <c r="B4367" s="39"/>
      <c r="C4367" s="155"/>
      <c r="D4367" s="155"/>
      <c r="E4367" s="40"/>
      <c r="F4367" s="314"/>
      <c r="H4367" s="315"/>
      <c r="I4367" s="315"/>
      <c r="BA4367" s="30"/>
      <c r="BB4367" s="155"/>
      <c r="BC4367" s="314"/>
      <c r="BD4367" s="314"/>
      <c r="BE4367" s="314"/>
      <c r="BF4367" s="314"/>
      <c r="BG4367" s="314"/>
      <c r="BH4367" s="314"/>
      <c r="BI4367" s="314"/>
      <c r="BJ4367" s="314"/>
      <c r="BK4367" s="40"/>
      <c r="BL4367" s="40"/>
      <c r="BM4367" s="40"/>
      <c r="BN4367" s="40"/>
      <c r="BO4367" s="40"/>
      <c r="BP4367" s="155"/>
      <c r="BQ4367" s="314"/>
      <c r="BR4367" s="314"/>
      <c r="BS4367" s="314"/>
      <c r="BT4367" s="314"/>
      <c r="BU4367" s="314"/>
      <c r="BV4367" s="314"/>
      <c r="BW4367" s="314"/>
      <c r="BX4367" s="155"/>
    </row>
    <row r="4368" spans="1:76" ht="15.75" customHeight="1">
      <c r="A4368" s="25"/>
      <c r="B4368" s="39"/>
      <c r="C4368" s="155"/>
      <c r="D4368" s="155"/>
      <c r="E4368" s="40"/>
      <c r="F4368" s="314"/>
      <c r="H4368" s="315"/>
      <c r="I4368" s="315"/>
      <c r="BA4368" s="30"/>
      <c r="BB4368" s="155"/>
      <c r="BC4368" s="314"/>
      <c r="BD4368" s="314"/>
      <c r="BE4368" s="314"/>
      <c r="BF4368" s="314"/>
      <c r="BG4368" s="314"/>
      <c r="BH4368" s="314"/>
      <c r="BI4368" s="314"/>
      <c r="BJ4368" s="314"/>
      <c r="BK4368" s="40"/>
      <c r="BL4368" s="40"/>
      <c r="BM4368" s="40"/>
      <c r="BN4368" s="40"/>
      <c r="BO4368" s="40"/>
      <c r="BP4368" s="155"/>
      <c r="BQ4368" s="314"/>
      <c r="BR4368" s="314"/>
      <c r="BS4368" s="314"/>
      <c r="BT4368" s="314"/>
      <c r="BU4368" s="314"/>
      <c r="BV4368" s="314"/>
      <c r="BW4368" s="314"/>
      <c r="BX4368" s="155"/>
    </row>
    <row r="4369" spans="1:76" ht="15.75" customHeight="1">
      <c r="A4369" s="25"/>
      <c r="B4369" s="39"/>
      <c r="C4369" s="155"/>
      <c r="D4369" s="155"/>
      <c r="E4369" s="40"/>
      <c r="F4369" s="314"/>
      <c r="H4369" s="315"/>
      <c r="I4369" s="315"/>
      <c r="BA4369" s="30"/>
      <c r="BB4369" s="155"/>
      <c r="BC4369" s="314"/>
      <c r="BD4369" s="314"/>
      <c r="BE4369" s="314"/>
      <c r="BF4369" s="314"/>
      <c r="BG4369" s="314"/>
      <c r="BH4369" s="314"/>
      <c r="BI4369" s="314"/>
      <c r="BJ4369" s="314"/>
      <c r="BK4369" s="40"/>
      <c r="BL4369" s="40"/>
      <c r="BM4369" s="40"/>
      <c r="BN4369" s="40"/>
      <c r="BO4369" s="40"/>
      <c r="BP4369" s="155"/>
      <c r="BQ4369" s="314"/>
      <c r="BR4369" s="314"/>
      <c r="BS4369" s="314"/>
      <c r="BT4369" s="314"/>
      <c r="BU4369" s="314"/>
      <c r="BV4369" s="314"/>
      <c r="BW4369" s="314"/>
      <c r="BX4369" s="155"/>
    </row>
    <row r="4370" spans="1:76" ht="15.75" customHeight="1">
      <c r="A4370" s="25"/>
      <c r="B4370" s="39"/>
      <c r="C4370" s="155"/>
      <c r="D4370" s="155"/>
      <c r="E4370" s="40"/>
      <c r="F4370" s="314"/>
      <c r="H4370" s="315"/>
      <c r="I4370" s="315"/>
      <c r="BA4370" s="30"/>
      <c r="BB4370" s="155"/>
      <c r="BC4370" s="314"/>
      <c r="BD4370" s="314"/>
      <c r="BE4370" s="314"/>
      <c r="BF4370" s="314"/>
      <c r="BG4370" s="314"/>
      <c r="BH4370" s="314"/>
      <c r="BI4370" s="314"/>
      <c r="BJ4370" s="314"/>
      <c r="BK4370" s="40"/>
      <c r="BL4370" s="40"/>
      <c r="BM4370" s="40"/>
      <c r="BN4370" s="40"/>
      <c r="BO4370" s="40"/>
      <c r="BP4370" s="155"/>
      <c r="BQ4370" s="314"/>
      <c r="BR4370" s="314"/>
      <c r="BS4370" s="314"/>
      <c r="BT4370" s="314"/>
      <c r="BU4370" s="314"/>
      <c r="BV4370" s="314"/>
      <c r="BW4370" s="314"/>
      <c r="BX4370" s="155"/>
    </row>
    <row r="4371" spans="1:76" ht="15.75" customHeight="1">
      <c r="A4371" s="25"/>
      <c r="B4371" s="39"/>
      <c r="C4371" s="155"/>
      <c r="D4371" s="155"/>
      <c r="E4371" s="40"/>
      <c r="F4371" s="314"/>
      <c r="H4371" s="315"/>
      <c r="I4371" s="315"/>
      <c r="BA4371" s="30"/>
      <c r="BB4371" s="155"/>
      <c r="BC4371" s="314"/>
      <c r="BD4371" s="314"/>
      <c r="BE4371" s="314"/>
      <c r="BF4371" s="314"/>
      <c r="BG4371" s="314"/>
      <c r="BH4371" s="314"/>
      <c r="BI4371" s="314"/>
      <c r="BJ4371" s="314"/>
      <c r="BK4371" s="40"/>
      <c r="BL4371" s="40"/>
      <c r="BM4371" s="40"/>
      <c r="BN4371" s="40"/>
      <c r="BO4371" s="40"/>
      <c r="BP4371" s="155"/>
      <c r="BQ4371" s="314"/>
      <c r="BR4371" s="314"/>
      <c r="BS4371" s="314"/>
      <c r="BT4371" s="314"/>
      <c r="BU4371" s="314"/>
      <c r="BV4371" s="314"/>
      <c r="BW4371" s="314"/>
      <c r="BX4371" s="155"/>
    </row>
    <row r="4372" spans="1:76" ht="15.75" customHeight="1">
      <c r="A4372" s="25"/>
      <c r="B4372" s="39"/>
      <c r="C4372" s="155"/>
      <c r="D4372" s="155"/>
      <c r="E4372" s="40"/>
      <c r="F4372" s="314"/>
      <c r="H4372" s="315"/>
      <c r="I4372" s="315"/>
      <c r="BA4372" s="30"/>
      <c r="BB4372" s="155"/>
      <c r="BC4372" s="314"/>
      <c r="BD4372" s="314"/>
      <c r="BE4372" s="314"/>
      <c r="BF4372" s="314"/>
      <c r="BG4372" s="314"/>
      <c r="BH4372" s="314"/>
      <c r="BI4372" s="314"/>
      <c r="BJ4372" s="314"/>
      <c r="BK4372" s="40"/>
      <c r="BL4372" s="40"/>
      <c r="BM4372" s="40"/>
      <c r="BN4372" s="40"/>
      <c r="BO4372" s="40"/>
      <c r="BP4372" s="155"/>
      <c r="BQ4372" s="314"/>
      <c r="BR4372" s="314"/>
      <c r="BS4372" s="314"/>
      <c r="BT4372" s="314"/>
      <c r="BU4372" s="314"/>
      <c r="BV4372" s="314"/>
      <c r="BW4372" s="314"/>
      <c r="BX4372" s="155"/>
    </row>
    <row r="4373" spans="1:76" ht="15.75" customHeight="1">
      <c r="A4373" s="25"/>
      <c r="B4373" s="39"/>
      <c r="C4373" s="155"/>
      <c r="D4373" s="155"/>
      <c r="E4373" s="40"/>
      <c r="F4373" s="314"/>
      <c r="H4373" s="315"/>
      <c r="I4373" s="315"/>
      <c r="BA4373" s="30"/>
      <c r="BB4373" s="155"/>
      <c r="BC4373" s="314"/>
      <c r="BD4373" s="314"/>
      <c r="BE4373" s="314"/>
      <c r="BF4373" s="314"/>
      <c r="BG4373" s="314"/>
      <c r="BH4373" s="314"/>
      <c r="BI4373" s="314"/>
      <c r="BJ4373" s="314"/>
      <c r="BK4373" s="40"/>
      <c r="BL4373" s="40"/>
      <c r="BM4373" s="40"/>
      <c r="BN4373" s="40"/>
      <c r="BO4373" s="40"/>
      <c r="BP4373" s="155"/>
      <c r="BQ4373" s="314"/>
      <c r="BR4373" s="314"/>
      <c r="BS4373" s="314"/>
      <c r="BT4373" s="314"/>
      <c r="BU4373" s="314"/>
      <c r="BV4373" s="314"/>
      <c r="BW4373" s="314"/>
      <c r="BX4373" s="155"/>
    </row>
    <row r="4374" spans="1:76" ht="15.75" customHeight="1">
      <c r="A4374" s="25"/>
      <c r="B4374" s="39"/>
      <c r="C4374" s="155"/>
      <c r="D4374" s="155"/>
      <c r="E4374" s="40"/>
      <c r="F4374" s="314"/>
      <c r="H4374" s="315"/>
      <c r="I4374" s="315"/>
      <c r="BA4374" s="30"/>
      <c r="BB4374" s="155"/>
      <c r="BC4374" s="314"/>
      <c r="BD4374" s="314"/>
      <c r="BE4374" s="314"/>
      <c r="BF4374" s="314"/>
      <c r="BG4374" s="314"/>
      <c r="BH4374" s="314"/>
      <c r="BI4374" s="314"/>
      <c r="BJ4374" s="314"/>
      <c r="BK4374" s="40"/>
      <c r="BL4374" s="40"/>
      <c r="BM4374" s="40"/>
      <c r="BN4374" s="40"/>
      <c r="BO4374" s="40"/>
      <c r="BP4374" s="155"/>
      <c r="BQ4374" s="314"/>
      <c r="BR4374" s="314"/>
      <c r="BS4374" s="314"/>
      <c r="BT4374" s="314"/>
      <c r="BU4374" s="314"/>
      <c r="BV4374" s="314"/>
      <c r="BW4374" s="314"/>
      <c r="BX4374" s="155"/>
    </row>
    <row r="4375" spans="1:76" ht="15.75" customHeight="1">
      <c r="A4375" s="25"/>
      <c r="B4375" s="39"/>
      <c r="C4375" s="155"/>
      <c r="D4375" s="155"/>
      <c r="E4375" s="40"/>
      <c r="F4375" s="314"/>
      <c r="H4375" s="315"/>
      <c r="I4375" s="315"/>
      <c r="BA4375" s="30"/>
      <c r="BB4375" s="155"/>
      <c r="BC4375" s="314"/>
      <c r="BD4375" s="314"/>
      <c r="BE4375" s="314"/>
      <c r="BF4375" s="314"/>
      <c r="BG4375" s="314"/>
      <c r="BH4375" s="314"/>
      <c r="BI4375" s="314"/>
      <c r="BJ4375" s="314"/>
      <c r="BK4375" s="40"/>
      <c r="BL4375" s="40"/>
      <c r="BM4375" s="40"/>
      <c r="BN4375" s="40"/>
      <c r="BO4375" s="40"/>
      <c r="BP4375" s="155"/>
      <c r="BQ4375" s="314"/>
      <c r="BR4375" s="314"/>
      <c r="BS4375" s="314"/>
      <c r="BT4375" s="314"/>
      <c r="BU4375" s="314"/>
      <c r="BV4375" s="314"/>
      <c r="BW4375" s="314"/>
      <c r="BX4375" s="155"/>
    </row>
    <row r="4376" spans="1:76" ht="15.75" customHeight="1">
      <c r="A4376" s="25"/>
      <c r="B4376" s="39"/>
      <c r="C4376" s="155"/>
      <c r="D4376" s="155"/>
      <c r="E4376" s="40"/>
      <c r="F4376" s="314"/>
      <c r="H4376" s="315"/>
      <c r="I4376" s="315"/>
      <c r="BA4376" s="30"/>
      <c r="BB4376" s="155"/>
      <c r="BC4376" s="314"/>
      <c r="BD4376" s="314"/>
      <c r="BE4376" s="314"/>
      <c r="BF4376" s="314"/>
      <c r="BG4376" s="314"/>
      <c r="BH4376" s="314"/>
      <c r="BI4376" s="314"/>
      <c r="BJ4376" s="314"/>
      <c r="BK4376" s="40"/>
      <c r="BL4376" s="40"/>
      <c r="BM4376" s="40"/>
      <c r="BN4376" s="40"/>
      <c r="BO4376" s="40"/>
      <c r="BP4376" s="155"/>
      <c r="BQ4376" s="314"/>
      <c r="BR4376" s="314"/>
      <c r="BS4376" s="314"/>
      <c r="BT4376" s="314"/>
      <c r="BU4376" s="314"/>
      <c r="BV4376" s="314"/>
      <c r="BW4376" s="314"/>
      <c r="BX4376" s="155"/>
    </row>
    <row r="4377" spans="1:76" ht="15.75" customHeight="1">
      <c r="A4377" s="25"/>
      <c r="B4377" s="39"/>
      <c r="C4377" s="155"/>
      <c r="D4377" s="155"/>
      <c r="E4377" s="40"/>
      <c r="F4377" s="314"/>
      <c r="H4377" s="315"/>
      <c r="I4377" s="315"/>
      <c r="BA4377" s="30"/>
      <c r="BB4377" s="155"/>
      <c r="BC4377" s="314"/>
      <c r="BD4377" s="314"/>
      <c r="BE4377" s="314"/>
      <c r="BF4377" s="314"/>
      <c r="BG4377" s="314"/>
      <c r="BH4377" s="314"/>
      <c r="BI4377" s="314"/>
      <c r="BJ4377" s="314"/>
      <c r="BK4377" s="40"/>
      <c r="BL4377" s="40"/>
      <c r="BM4377" s="40"/>
      <c r="BN4377" s="40"/>
      <c r="BO4377" s="40"/>
      <c r="BP4377" s="155"/>
      <c r="BQ4377" s="314"/>
      <c r="BR4377" s="314"/>
      <c r="BS4377" s="314"/>
      <c r="BT4377" s="314"/>
      <c r="BU4377" s="314"/>
      <c r="BV4377" s="314"/>
      <c r="BW4377" s="314"/>
      <c r="BX4377" s="155"/>
    </row>
    <row r="4378" spans="1:76" ht="15.75" customHeight="1">
      <c r="A4378" s="25"/>
      <c r="B4378" s="39"/>
      <c r="C4378" s="155"/>
      <c r="D4378" s="155"/>
      <c r="E4378" s="40"/>
      <c r="F4378" s="314"/>
      <c r="H4378" s="315"/>
      <c r="I4378" s="315"/>
      <c r="BA4378" s="30"/>
      <c r="BB4378" s="155"/>
      <c r="BC4378" s="314"/>
      <c r="BD4378" s="314"/>
      <c r="BE4378" s="314"/>
      <c r="BF4378" s="314"/>
      <c r="BG4378" s="314"/>
      <c r="BH4378" s="314"/>
      <c r="BI4378" s="314"/>
      <c r="BJ4378" s="314"/>
      <c r="BK4378" s="40"/>
      <c r="BL4378" s="40"/>
      <c r="BM4378" s="40"/>
      <c r="BN4378" s="40"/>
      <c r="BO4378" s="40"/>
      <c r="BP4378" s="155"/>
      <c r="BQ4378" s="314"/>
      <c r="BR4378" s="314"/>
      <c r="BS4378" s="314"/>
      <c r="BT4378" s="314"/>
      <c r="BU4378" s="314"/>
      <c r="BV4378" s="314"/>
      <c r="BW4378" s="314"/>
      <c r="BX4378" s="155"/>
    </row>
    <row r="4379" spans="1:76" ht="15.75" customHeight="1">
      <c r="A4379" s="25"/>
      <c r="B4379" s="39"/>
      <c r="C4379" s="155"/>
      <c r="D4379" s="155"/>
      <c r="E4379" s="40"/>
      <c r="F4379" s="314"/>
      <c r="H4379" s="315"/>
      <c r="I4379" s="315"/>
      <c r="BA4379" s="30"/>
      <c r="BB4379" s="155"/>
      <c r="BC4379" s="314"/>
      <c r="BD4379" s="314"/>
      <c r="BE4379" s="314"/>
      <c r="BF4379" s="314"/>
      <c r="BG4379" s="314"/>
      <c r="BH4379" s="314"/>
      <c r="BI4379" s="314"/>
      <c r="BJ4379" s="314"/>
      <c r="BK4379" s="40"/>
      <c r="BL4379" s="40"/>
      <c r="BM4379" s="40"/>
      <c r="BN4379" s="40"/>
      <c r="BO4379" s="40"/>
      <c r="BP4379" s="155"/>
      <c r="BQ4379" s="314"/>
      <c r="BR4379" s="314"/>
      <c r="BS4379" s="314"/>
      <c r="BT4379" s="314"/>
      <c r="BU4379" s="314"/>
      <c r="BV4379" s="314"/>
      <c r="BW4379" s="314"/>
      <c r="BX4379" s="155"/>
    </row>
    <row r="4380" spans="1:76" ht="15.75" customHeight="1">
      <c r="A4380" s="25"/>
      <c r="B4380" s="39"/>
      <c r="C4380" s="155"/>
      <c r="D4380" s="155"/>
      <c r="E4380" s="40"/>
      <c r="F4380" s="314"/>
      <c r="H4380" s="315"/>
      <c r="I4380" s="315"/>
      <c r="BA4380" s="30"/>
      <c r="BB4380" s="155"/>
      <c r="BC4380" s="314"/>
      <c r="BD4380" s="314"/>
      <c r="BE4380" s="314"/>
      <c r="BF4380" s="314"/>
      <c r="BG4380" s="314"/>
      <c r="BH4380" s="314"/>
      <c r="BI4380" s="314"/>
      <c r="BJ4380" s="314"/>
      <c r="BK4380" s="40"/>
      <c r="BL4380" s="40"/>
      <c r="BM4380" s="40"/>
      <c r="BN4380" s="40"/>
      <c r="BO4380" s="40"/>
      <c r="BP4380" s="155"/>
      <c r="BQ4380" s="314"/>
      <c r="BR4380" s="314"/>
      <c r="BS4380" s="314"/>
      <c r="BT4380" s="314"/>
      <c r="BU4380" s="314"/>
      <c r="BV4380" s="314"/>
      <c r="BW4380" s="314"/>
      <c r="BX4380" s="155"/>
    </row>
    <row r="4381" spans="1:76" ht="15.75" customHeight="1">
      <c r="A4381" s="25"/>
      <c r="B4381" s="39"/>
      <c r="C4381" s="155"/>
      <c r="D4381" s="155"/>
      <c r="E4381" s="40"/>
      <c r="F4381" s="314"/>
      <c r="H4381" s="315"/>
      <c r="I4381" s="315"/>
      <c r="BA4381" s="30"/>
      <c r="BB4381" s="155"/>
      <c r="BC4381" s="314"/>
      <c r="BD4381" s="314"/>
      <c r="BE4381" s="314"/>
      <c r="BF4381" s="314"/>
      <c r="BG4381" s="314"/>
      <c r="BH4381" s="314"/>
      <c r="BI4381" s="314"/>
      <c r="BJ4381" s="314"/>
      <c r="BK4381" s="40"/>
      <c r="BL4381" s="40"/>
      <c r="BM4381" s="40"/>
      <c r="BN4381" s="40"/>
      <c r="BO4381" s="40"/>
      <c r="BP4381" s="155"/>
      <c r="BQ4381" s="314"/>
      <c r="BR4381" s="314"/>
      <c r="BS4381" s="314"/>
      <c r="BT4381" s="314"/>
      <c r="BU4381" s="314"/>
      <c r="BV4381" s="314"/>
      <c r="BW4381" s="314"/>
      <c r="BX4381" s="155"/>
    </row>
    <row r="4382" spans="1:76" ht="15.75" customHeight="1">
      <c r="A4382" s="25"/>
      <c r="B4382" s="39"/>
      <c r="C4382" s="155"/>
      <c r="D4382" s="155"/>
      <c r="E4382" s="40"/>
      <c r="F4382" s="314"/>
      <c r="H4382" s="315"/>
      <c r="I4382" s="315"/>
      <c r="BA4382" s="30"/>
      <c r="BB4382" s="155"/>
      <c r="BC4382" s="322"/>
      <c r="BD4382" s="322"/>
      <c r="BE4382" s="322"/>
      <c r="BF4382" s="322"/>
      <c r="BG4382" s="322"/>
      <c r="BH4382" s="322"/>
      <c r="BI4382" s="322"/>
      <c r="BJ4382" s="322"/>
      <c r="BK4382" s="341"/>
      <c r="BL4382" s="40"/>
      <c r="BM4382" s="40"/>
      <c r="BN4382" s="40"/>
      <c r="BO4382" s="40"/>
      <c r="BP4382" s="155"/>
      <c r="BQ4382" s="314"/>
      <c r="BR4382" s="314"/>
      <c r="BS4382" s="314"/>
      <c r="BT4382" s="314"/>
      <c r="BU4382" s="314"/>
      <c r="BV4382" s="314"/>
      <c r="BW4382" s="314"/>
      <c r="BX4382" s="155"/>
    </row>
    <row r="4383" spans="1:76" ht="15.75" customHeight="1">
      <c r="A4383" s="25"/>
      <c r="B4383" s="39"/>
      <c r="C4383" s="155"/>
      <c r="D4383" s="155"/>
      <c r="E4383" s="40"/>
      <c r="F4383" s="314"/>
      <c r="H4383" s="315"/>
      <c r="I4383" s="315"/>
      <c r="BA4383" s="30"/>
      <c r="BB4383" s="155"/>
      <c r="BC4383" s="314"/>
      <c r="BD4383" s="314"/>
      <c r="BE4383" s="314"/>
      <c r="BF4383" s="314"/>
      <c r="BG4383" s="314"/>
      <c r="BH4383" s="314"/>
      <c r="BI4383" s="314"/>
      <c r="BJ4383" s="314"/>
      <c r="BK4383" s="40"/>
      <c r="BL4383" s="40"/>
      <c r="BM4383" s="40"/>
      <c r="BN4383" s="40"/>
      <c r="BO4383" s="40"/>
      <c r="BP4383" s="155"/>
      <c r="BQ4383" s="314"/>
      <c r="BR4383" s="314"/>
      <c r="BS4383" s="314"/>
      <c r="BT4383" s="314"/>
      <c r="BU4383" s="314"/>
      <c r="BV4383" s="314"/>
      <c r="BW4383" s="314"/>
      <c r="BX4383" s="155"/>
    </row>
    <row r="4384" spans="1:76" ht="15.75" customHeight="1">
      <c r="A4384" s="25"/>
      <c r="B4384" s="39"/>
      <c r="C4384" s="155"/>
      <c r="D4384" s="155"/>
      <c r="E4384" s="40"/>
      <c r="F4384" s="314"/>
      <c r="H4384" s="315"/>
      <c r="I4384" s="315"/>
      <c r="BA4384" s="30"/>
      <c r="BB4384" s="155"/>
      <c r="BC4384" s="314"/>
      <c r="BD4384" s="314"/>
      <c r="BE4384" s="314"/>
      <c r="BF4384" s="314"/>
      <c r="BG4384" s="314"/>
      <c r="BH4384" s="314"/>
      <c r="BI4384" s="314"/>
      <c r="BJ4384" s="314"/>
      <c r="BK4384" s="40"/>
      <c r="BL4384" s="40"/>
      <c r="BM4384" s="40"/>
      <c r="BN4384" s="40"/>
      <c r="BO4384" s="40"/>
      <c r="BP4384" s="155"/>
      <c r="BQ4384" s="314"/>
      <c r="BR4384" s="314"/>
      <c r="BS4384" s="314"/>
      <c r="BT4384" s="314"/>
      <c r="BU4384" s="314"/>
      <c r="BV4384" s="314"/>
      <c r="BW4384" s="314"/>
      <c r="BX4384" s="155"/>
    </row>
    <row r="4385" spans="1:76" ht="15.75" customHeight="1">
      <c r="A4385" s="25"/>
      <c r="B4385" s="39"/>
      <c r="C4385" s="155"/>
      <c r="D4385" s="155"/>
      <c r="E4385" s="40"/>
      <c r="F4385" s="314"/>
      <c r="H4385" s="315"/>
      <c r="I4385" s="315"/>
      <c r="BA4385" s="30"/>
      <c r="BB4385" s="155"/>
      <c r="BC4385" s="314"/>
      <c r="BD4385" s="314"/>
      <c r="BE4385" s="314"/>
      <c r="BF4385" s="314"/>
      <c r="BG4385" s="314"/>
      <c r="BH4385" s="314"/>
      <c r="BI4385" s="314"/>
      <c r="BJ4385" s="314"/>
      <c r="BK4385" s="40"/>
      <c r="BL4385" s="40"/>
      <c r="BM4385" s="40"/>
      <c r="BN4385" s="40"/>
      <c r="BO4385" s="40"/>
      <c r="BP4385" s="155"/>
      <c r="BQ4385" s="314"/>
      <c r="BR4385" s="314"/>
      <c r="BS4385" s="314"/>
      <c r="BT4385" s="314"/>
      <c r="BU4385" s="314"/>
      <c r="BV4385" s="314"/>
      <c r="BW4385" s="314"/>
      <c r="BX4385" s="155"/>
    </row>
    <row r="4386" spans="1:76" ht="15.75" customHeight="1">
      <c r="A4386" s="25"/>
      <c r="B4386" s="39"/>
      <c r="C4386" s="155"/>
      <c r="D4386" s="155"/>
      <c r="E4386" s="40"/>
      <c r="F4386" s="314"/>
      <c r="H4386" s="315"/>
      <c r="I4386" s="315"/>
      <c r="BA4386" s="30"/>
      <c r="BB4386" s="155"/>
      <c r="BC4386" s="314"/>
      <c r="BD4386" s="314"/>
      <c r="BE4386" s="314"/>
      <c r="BF4386" s="314"/>
      <c r="BG4386" s="314"/>
      <c r="BH4386" s="314"/>
      <c r="BI4386" s="314"/>
      <c r="BJ4386" s="314"/>
      <c r="BK4386" s="40"/>
      <c r="BL4386" s="40"/>
      <c r="BM4386" s="40"/>
      <c r="BN4386" s="40"/>
      <c r="BO4386" s="40"/>
      <c r="BP4386" s="155"/>
      <c r="BQ4386" s="314"/>
      <c r="BR4386" s="314"/>
      <c r="BS4386" s="314"/>
      <c r="BT4386" s="314"/>
      <c r="BU4386" s="314"/>
      <c r="BV4386" s="314"/>
      <c r="BW4386" s="314"/>
      <c r="BX4386" s="155"/>
    </row>
    <row r="4387" spans="1:76" ht="15.75" customHeight="1">
      <c r="A4387" s="25"/>
      <c r="B4387" s="39"/>
      <c r="C4387" s="155"/>
      <c r="D4387" s="155"/>
      <c r="E4387" s="40"/>
      <c r="F4387" s="314"/>
      <c r="H4387" s="315"/>
      <c r="I4387" s="315"/>
      <c r="BA4387" s="30"/>
      <c r="BB4387" s="155"/>
      <c r="BC4387" s="314"/>
      <c r="BD4387" s="314"/>
      <c r="BE4387" s="314"/>
      <c r="BF4387" s="314"/>
      <c r="BG4387" s="314"/>
      <c r="BH4387" s="314"/>
      <c r="BI4387" s="314"/>
      <c r="BJ4387" s="314"/>
      <c r="BK4387" s="40"/>
      <c r="BL4387" s="40"/>
      <c r="BM4387" s="40"/>
      <c r="BN4387" s="40"/>
      <c r="BO4387" s="40"/>
      <c r="BP4387" s="155"/>
      <c r="BQ4387" s="314"/>
      <c r="BR4387" s="314"/>
      <c r="BS4387" s="314"/>
      <c r="BT4387" s="314"/>
      <c r="BU4387" s="314"/>
      <c r="BV4387" s="314"/>
      <c r="BW4387" s="314"/>
      <c r="BX4387" s="155"/>
    </row>
    <row r="4388" spans="1:76" ht="15.75" customHeight="1">
      <c r="A4388" s="25"/>
      <c r="B4388" s="39"/>
      <c r="C4388" s="155"/>
      <c r="D4388" s="155"/>
      <c r="E4388" s="40"/>
      <c r="F4388" s="314"/>
      <c r="H4388" s="315"/>
      <c r="I4388" s="315"/>
      <c r="BA4388" s="30"/>
      <c r="BB4388" s="155"/>
      <c r="BC4388" s="314"/>
      <c r="BD4388" s="314"/>
      <c r="BE4388" s="314"/>
      <c r="BF4388" s="314"/>
      <c r="BG4388" s="314"/>
      <c r="BH4388" s="314"/>
      <c r="BI4388" s="314"/>
      <c r="BJ4388" s="314"/>
      <c r="BK4388" s="40"/>
      <c r="BL4388" s="40"/>
      <c r="BM4388" s="40"/>
      <c r="BN4388" s="40"/>
      <c r="BO4388" s="40"/>
      <c r="BP4388" s="155"/>
      <c r="BQ4388" s="314"/>
      <c r="BR4388" s="314"/>
      <c r="BS4388" s="314"/>
      <c r="BT4388" s="314"/>
      <c r="BU4388" s="314"/>
      <c r="BV4388" s="314"/>
      <c r="BW4388" s="314"/>
      <c r="BX4388" s="155"/>
    </row>
    <row r="4389" spans="1:76" ht="15.75" customHeight="1">
      <c r="A4389" s="25"/>
      <c r="B4389" s="39"/>
      <c r="C4389" s="155"/>
      <c r="D4389" s="155"/>
      <c r="E4389" s="40"/>
      <c r="F4389" s="314"/>
      <c r="H4389" s="315"/>
      <c r="I4389" s="315"/>
      <c r="BA4389" s="30"/>
      <c r="BB4389" s="155"/>
      <c r="BC4389" s="314"/>
      <c r="BD4389" s="314"/>
      <c r="BE4389" s="314"/>
      <c r="BF4389" s="314"/>
      <c r="BG4389" s="314"/>
      <c r="BH4389" s="314"/>
      <c r="BI4389" s="314"/>
      <c r="BJ4389" s="314"/>
      <c r="BK4389" s="40"/>
      <c r="BL4389" s="40"/>
      <c r="BM4389" s="40"/>
      <c r="BN4389" s="40"/>
      <c r="BO4389" s="40"/>
      <c r="BP4389" s="155"/>
      <c r="BQ4389" s="314"/>
      <c r="BR4389" s="314"/>
      <c r="BS4389" s="314"/>
      <c r="BT4389" s="314"/>
      <c r="BU4389" s="314"/>
      <c r="BV4389" s="314"/>
      <c r="BW4389" s="314"/>
      <c r="BX4389" s="155"/>
    </row>
    <row r="4390" spans="1:76" ht="15.75" customHeight="1">
      <c r="A4390" s="25"/>
      <c r="B4390" s="39"/>
      <c r="C4390" s="155"/>
      <c r="D4390" s="155"/>
      <c r="E4390" s="40"/>
      <c r="F4390" s="314"/>
      <c r="H4390" s="315"/>
      <c r="I4390" s="315"/>
      <c r="BA4390" s="30"/>
      <c r="BB4390" s="155"/>
      <c r="BC4390" s="314"/>
      <c r="BD4390" s="314"/>
      <c r="BE4390" s="314"/>
      <c r="BF4390" s="314"/>
      <c r="BG4390" s="314"/>
      <c r="BH4390" s="314"/>
      <c r="BI4390" s="314"/>
      <c r="BJ4390" s="314"/>
      <c r="BK4390" s="40"/>
      <c r="BL4390" s="40"/>
      <c r="BM4390" s="40"/>
      <c r="BN4390" s="40"/>
      <c r="BO4390" s="40"/>
      <c r="BP4390" s="155"/>
      <c r="BQ4390" s="314"/>
      <c r="BR4390" s="314"/>
      <c r="BS4390" s="314"/>
      <c r="BT4390" s="314"/>
      <c r="BU4390" s="314"/>
      <c r="BV4390" s="314"/>
      <c r="BW4390" s="314"/>
      <c r="BX4390" s="155"/>
    </row>
    <row r="4391" spans="1:76" ht="15.75" customHeight="1">
      <c r="A4391" s="25"/>
      <c r="B4391" s="39"/>
      <c r="C4391" s="155"/>
      <c r="D4391" s="155"/>
      <c r="E4391" s="40"/>
      <c r="F4391" s="314"/>
      <c r="H4391" s="315"/>
      <c r="I4391" s="315"/>
      <c r="BA4391" s="30"/>
      <c r="BB4391" s="155"/>
      <c r="BC4391" s="314"/>
      <c r="BD4391" s="314"/>
      <c r="BE4391" s="314"/>
      <c r="BF4391" s="314"/>
      <c r="BG4391" s="314"/>
      <c r="BH4391" s="314"/>
      <c r="BI4391" s="314"/>
      <c r="BJ4391" s="314"/>
      <c r="BK4391" s="40"/>
      <c r="BL4391" s="40"/>
      <c r="BM4391" s="40"/>
      <c r="BN4391" s="40"/>
      <c r="BO4391" s="40"/>
      <c r="BP4391" s="155"/>
      <c r="BQ4391" s="314"/>
      <c r="BR4391" s="314"/>
      <c r="BS4391" s="314"/>
      <c r="BT4391" s="314"/>
      <c r="BU4391" s="314"/>
      <c r="BV4391" s="314"/>
      <c r="BW4391" s="314"/>
      <c r="BX4391" s="155"/>
    </row>
    <row r="4392" spans="1:76" ht="15.75" customHeight="1">
      <c r="A4392" s="25"/>
      <c r="B4392" s="39"/>
      <c r="C4392" s="155"/>
      <c r="D4392" s="155"/>
      <c r="E4392" s="40"/>
      <c r="F4392" s="314"/>
      <c r="H4392" s="315"/>
      <c r="I4392" s="315"/>
      <c r="BA4392" s="30"/>
      <c r="BB4392" s="155"/>
      <c r="BC4392" s="314"/>
      <c r="BD4392" s="314"/>
      <c r="BE4392" s="314"/>
      <c r="BF4392" s="314"/>
      <c r="BG4392" s="314"/>
      <c r="BH4392" s="314"/>
      <c r="BI4392" s="314"/>
      <c r="BJ4392" s="314"/>
      <c r="BK4392" s="40"/>
      <c r="BL4392" s="40"/>
      <c r="BM4392" s="40"/>
      <c r="BN4392" s="40"/>
      <c r="BO4392" s="40"/>
      <c r="BP4392" s="155"/>
      <c r="BQ4392" s="314"/>
      <c r="BR4392" s="314"/>
      <c r="BS4392" s="314"/>
      <c r="BT4392" s="314"/>
      <c r="BU4392" s="314"/>
      <c r="BV4392" s="314"/>
      <c r="BW4392" s="314"/>
      <c r="BX4392" s="155"/>
    </row>
    <row r="4393" spans="1:76" ht="15.75" customHeight="1">
      <c r="A4393" s="25"/>
      <c r="B4393" s="39"/>
      <c r="C4393" s="155"/>
      <c r="D4393" s="155"/>
      <c r="E4393" s="40"/>
      <c r="F4393" s="314"/>
      <c r="H4393" s="315"/>
      <c r="I4393" s="315"/>
      <c r="BA4393" s="30"/>
      <c r="BB4393" s="155"/>
      <c r="BC4393" s="314"/>
      <c r="BD4393" s="314"/>
      <c r="BE4393" s="314"/>
      <c r="BF4393" s="314"/>
      <c r="BG4393" s="314"/>
      <c r="BH4393" s="314"/>
      <c r="BI4393" s="314"/>
      <c r="BJ4393" s="314"/>
      <c r="BK4393" s="40"/>
      <c r="BL4393" s="40"/>
      <c r="BM4393" s="40"/>
      <c r="BN4393" s="40"/>
      <c r="BO4393" s="40"/>
      <c r="BP4393" s="155"/>
      <c r="BQ4393" s="314"/>
      <c r="BR4393" s="314"/>
      <c r="BS4393" s="314"/>
      <c r="BT4393" s="314"/>
      <c r="BU4393" s="314"/>
      <c r="BV4393" s="314"/>
      <c r="BW4393" s="314"/>
      <c r="BX4393" s="155"/>
    </row>
    <row r="4394" spans="1:76" ht="15.75" customHeight="1">
      <c r="A4394" s="25"/>
      <c r="B4394" s="39"/>
      <c r="C4394" s="155"/>
      <c r="D4394" s="155"/>
      <c r="E4394" s="40"/>
      <c r="F4394" s="314"/>
      <c r="H4394" s="315"/>
      <c r="I4394" s="315"/>
      <c r="BA4394" s="30"/>
      <c r="BB4394" s="155"/>
      <c r="BC4394" s="314"/>
      <c r="BD4394" s="314"/>
      <c r="BE4394" s="314"/>
      <c r="BF4394" s="314"/>
      <c r="BG4394" s="314"/>
      <c r="BH4394" s="314"/>
      <c r="BI4394" s="314"/>
      <c r="BJ4394" s="314"/>
      <c r="BK4394" s="40"/>
      <c r="BL4394" s="40"/>
      <c r="BM4394" s="40"/>
      <c r="BN4394" s="40"/>
      <c r="BO4394" s="40"/>
      <c r="BP4394" s="155"/>
      <c r="BQ4394" s="314"/>
      <c r="BR4394" s="314"/>
      <c r="BS4394" s="314"/>
      <c r="BT4394" s="314"/>
      <c r="BU4394" s="314"/>
      <c r="BV4394" s="314"/>
      <c r="BW4394" s="314"/>
      <c r="BX4394" s="155"/>
    </row>
    <row r="4395" spans="1:76" ht="15.75" customHeight="1">
      <c r="A4395" s="25"/>
      <c r="B4395" s="39"/>
      <c r="C4395" s="155"/>
      <c r="D4395" s="155"/>
      <c r="E4395" s="40"/>
      <c r="F4395" s="314"/>
      <c r="H4395" s="315"/>
      <c r="I4395" s="315"/>
      <c r="BA4395" s="30"/>
      <c r="BB4395" s="155"/>
      <c r="BC4395" s="314"/>
      <c r="BD4395" s="314"/>
      <c r="BE4395" s="314"/>
      <c r="BF4395" s="314"/>
      <c r="BG4395" s="314"/>
      <c r="BH4395" s="314"/>
      <c r="BI4395" s="314"/>
      <c r="BJ4395" s="314"/>
      <c r="BK4395" s="40"/>
      <c r="BL4395" s="40"/>
      <c r="BM4395" s="40"/>
      <c r="BN4395" s="40"/>
      <c r="BO4395" s="40"/>
      <c r="BP4395" s="155"/>
      <c r="BQ4395" s="314"/>
      <c r="BR4395" s="314"/>
      <c r="BS4395" s="314"/>
      <c r="BT4395" s="314"/>
      <c r="BU4395" s="314"/>
      <c r="BV4395" s="314"/>
      <c r="BW4395" s="314"/>
      <c r="BX4395" s="155"/>
    </row>
    <row r="4396" spans="1:76" ht="15.75" customHeight="1">
      <c r="A4396" s="25"/>
      <c r="B4396" s="39"/>
      <c r="C4396" s="155"/>
      <c r="D4396" s="155"/>
      <c r="E4396" s="40"/>
      <c r="F4396" s="314"/>
      <c r="H4396" s="315"/>
      <c r="I4396" s="315"/>
      <c r="BA4396" s="30"/>
      <c r="BB4396" s="155"/>
      <c r="BC4396" s="314"/>
      <c r="BD4396" s="314"/>
      <c r="BE4396" s="314"/>
      <c r="BF4396" s="314"/>
      <c r="BG4396" s="314"/>
      <c r="BH4396" s="314"/>
      <c r="BI4396" s="314"/>
      <c r="BJ4396" s="314"/>
      <c r="BK4396" s="40"/>
      <c r="BL4396" s="40"/>
      <c r="BM4396" s="40"/>
      <c r="BN4396" s="40"/>
      <c r="BO4396" s="40"/>
      <c r="BP4396" s="155"/>
      <c r="BQ4396" s="314"/>
      <c r="BR4396" s="314"/>
      <c r="BS4396" s="314"/>
      <c r="BT4396" s="314"/>
      <c r="BU4396" s="314"/>
      <c r="BV4396" s="314"/>
      <c r="BW4396" s="314"/>
      <c r="BX4396" s="155"/>
    </row>
    <row r="4397" spans="1:76" ht="15.75" customHeight="1">
      <c r="A4397" s="25"/>
      <c r="B4397" s="39"/>
      <c r="C4397" s="155"/>
      <c r="D4397" s="155"/>
      <c r="E4397" s="40"/>
      <c r="F4397" s="314"/>
      <c r="H4397" s="315"/>
      <c r="I4397" s="315"/>
      <c r="BA4397" s="30"/>
      <c r="BB4397" s="155"/>
      <c r="BC4397" s="314"/>
      <c r="BD4397" s="314"/>
      <c r="BE4397" s="314"/>
      <c r="BF4397" s="314"/>
      <c r="BG4397" s="314"/>
      <c r="BH4397" s="314"/>
      <c r="BI4397" s="314"/>
      <c r="BJ4397" s="314"/>
      <c r="BK4397" s="40"/>
      <c r="BL4397" s="40"/>
      <c r="BM4397" s="40"/>
      <c r="BN4397" s="40"/>
      <c r="BO4397" s="40"/>
      <c r="BP4397" s="155"/>
      <c r="BQ4397" s="314"/>
      <c r="BR4397" s="314"/>
      <c r="BS4397" s="314"/>
      <c r="BT4397" s="314"/>
      <c r="BU4397" s="314"/>
      <c r="BV4397" s="314"/>
      <c r="BW4397" s="314"/>
      <c r="BX4397" s="155"/>
    </row>
    <row r="4398" spans="1:76" ht="15.75" customHeight="1">
      <c r="A4398" s="25"/>
      <c r="B4398" s="39"/>
      <c r="C4398" s="155"/>
      <c r="D4398" s="155"/>
      <c r="E4398" s="40"/>
      <c r="F4398" s="314"/>
      <c r="H4398" s="315"/>
      <c r="I4398" s="315"/>
      <c r="BA4398" s="30"/>
      <c r="BB4398" s="155"/>
      <c r="BC4398" s="314"/>
      <c r="BD4398" s="314"/>
      <c r="BE4398" s="314"/>
      <c r="BF4398" s="314"/>
      <c r="BG4398" s="314"/>
      <c r="BH4398" s="314"/>
      <c r="BI4398" s="314"/>
      <c r="BJ4398" s="314"/>
      <c r="BK4398" s="40"/>
      <c r="BL4398" s="40"/>
      <c r="BM4398" s="40"/>
      <c r="BN4398" s="40"/>
      <c r="BO4398" s="40"/>
      <c r="BP4398" s="155"/>
      <c r="BQ4398" s="314"/>
      <c r="BR4398" s="314"/>
      <c r="BS4398" s="314"/>
      <c r="BT4398" s="314"/>
      <c r="BU4398" s="314"/>
      <c r="BV4398" s="314"/>
      <c r="BW4398" s="314"/>
      <c r="BX4398" s="155"/>
    </row>
    <row r="4399" spans="1:76" ht="15.75" customHeight="1">
      <c r="A4399" s="25"/>
      <c r="B4399" s="39"/>
      <c r="C4399" s="155"/>
      <c r="D4399" s="155"/>
      <c r="E4399" s="40"/>
      <c r="F4399" s="314"/>
      <c r="H4399" s="315"/>
      <c r="I4399" s="315"/>
      <c r="BA4399" s="30"/>
      <c r="BB4399" s="155"/>
      <c r="BC4399" s="314"/>
      <c r="BD4399" s="314"/>
      <c r="BE4399" s="314"/>
      <c r="BF4399" s="314"/>
      <c r="BG4399" s="314"/>
      <c r="BH4399" s="314"/>
      <c r="BI4399" s="314"/>
      <c r="BJ4399" s="314"/>
      <c r="BK4399" s="40"/>
      <c r="BL4399" s="40"/>
      <c r="BM4399" s="40"/>
      <c r="BN4399" s="40"/>
      <c r="BO4399" s="40"/>
      <c r="BP4399" s="155"/>
      <c r="BQ4399" s="314"/>
      <c r="BR4399" s="314"/>
      <c r="BS4399" s="314"/>
      <c r="BT4399" s="314"/>
      <c r="BU4399" s="314"/>
      <c r="BV4399" s="314"/>
      <c r="BW4399" s="314"/>
      <c r="BX4399" s="155"/>
    </row>
    <row r="4400" spans="1:76" ht="15.75" customHeight="1">
      <c r="A4400" s="25"/>
      <c r="B4400" s="39"/>
      <c r="C4400" s="155"/>
      <c r="D4400" s="155"/>
      <c r="E4400" s="40"/>
      <c r="F4400" s="314"/>
      <c r="H4400" s="315"/>
      <c r="I4400" s="315"/>
      <c r="BA4400" s="30"/>
      <c r="BB4400" s="155"/>
      <c r="BC4400" s="314"/>
      <c r="BD4400" s="314"/>
      <c r="BE4400" s="314"/>
      <c r="BF4400" s="314"/>
      <c r="BG4400" s="314"/>
      <c r="BH4400" s="314"/>
      <c r="BI4400" s="314"/>
      <c r="BJ4400" s="314"/>
      <c r="BK4400" s="40"/>
      <c r="BL4400" s="40"/>
      <c r="BM4400" s="40"/>
      <c r="BN4400" s="40"/>
      <c r="BO4400" s="40"/>
      <c r="BP4400" s="155"/>
      <c r="BQ4400" s="314"/>
      <c r="BR4400" s="314"/>
      <c r="BS4400" s="314"/>
      <c r="BT4400" s="314"/>
      <c r="BU4400" s="314"/>
      <c r="BV4400" s="314"/>
      <c r="BW4400" s="314"/>
      <c r="BX4400" s="155"/>
    </row>
    <row r="4401" spans="1:76" ht="15.75" customHeight="1">
      <c r="A4401" s="25"/>
      <c r="B4401" s="39"/>
      <c r="C4401" s="155"/>
      <c r="D4401" s="155"/>
      <c r="E4401" s="40"/>
      <c r="F4401" s="314"/>
      <c r="H4401" s="315"/>
      <c r="I4401" s="315"/>
      <c r="BA4401" s="30"/>
      <c r="BB4401" s="155"/>
      <c r="BC4401" s="314"/>
      <c r="BD4401" s="314"/>
      <c r="BE4401" s="314"/>
      <c r="BF4401" s="314"/>
      <c r="BG4401" s="314"/>
      <c r="BH4401" s="314"/>
      <c r="BI4401" s="314"/>
      <c r="BJ4401" s="314"/>
      <c r="BK4401" s="40"/>
      <c r="BL4401" s="40"/>
      <c r="BM4401" s="40"/>
      <c r="BN4401" s="40"/>
      <c r="BO4401" s="40"/>
      <c r="BP4401" s="155"/>
      <c r="BQ4401" s="314"/>
      <c r="BR4401" s="314"/>
      <c r="BS4401" s="314"/>
      <c r="BT4401" s="314"/>
      <c r="BU4401" s="314"/>
      <c r="BV4401" s="314"/>
      <c r="BW4401" s="314"/>
      <c r="BX4401" s="155"/>
    </row>
    <row r="4402" spans="1:76" ht="15.75" customHeight="1">
      <c r="A4402" s="25"/>
      <c r="B4402" s="39"/>
      <c r="C4402" s="155"/>
      <c r="D4402" s="155"/>
      <c r="E4402" s="40"/>
      <c r="F4402" s="314"/>
      <c r="H4402" s="315"/>
      <c r="I4402" s="315"/>
      <c r="BA4402" s="30"/>
      <c r="BB4402" s="155"/>
      <c r="BC4402" s="314"/>
      <c r="BD4402" s="314"/>
      <c r="BE4402" s="314"/>
      <c r="BF4402" s="314"/>
      <c r="BG4402" s="314"/>
      <c r="BH4402" s="314"/>
      <c r="BI4402" s="314"/>
      <c r="BJ4402" s="314"/>
      <c r="BK4402" s="40"/>
      <c r="BL4402" s="40"/>
      <c r="BM4402" s="40"/>
      <c r="BN4402" s="40"/>
      <c r="BO4402" s="40"/>
      <c r="BP4402" s="155"/>
      <c r="BQ4402" s="314"/>
      <c r="BR4402" s="314"/>
      <c r="BS4402" s="314"/>
      <c r="BT4402" s="314"/>
      <c r="BU4402" s="314"/>
      <c r="BV4402" s="314"/>
      <c r="BW4402" s="314"/>
      <c r="BX4402" s="155"/>
    </row>
    <row r="4403" spans="1:76" ht="15.75" customHeight="1">
      <c r="A4403" s="25"/>
      <c r="B4403" s="39"/>
      <c r="C4403" s="155"/>
      <c r="D4403" s="155"/>
      <c r="E4403" s="40"/>
      <c r="F4403" s="314"/>
      <c r="H4403" s="315"/>
      <c r="I4403" s="315"/>
      <c r="BA4403" s="30"/>
      <c r="BB4403" s="155"/>
      <c r="BC4403" s="314"/>
      <c r="BD4403" s="314"/>
      <c r="BE4403" s="314"/>
      <c r="BF4403" s="314"/>
      <c r="BG4403" s="314"/>
      <c r="BH4403" s="314"/>
      <c r="BI4403" s="314"/>
      <c r="BJ4403" s="314"/>
      <c r="BK4403" s="40"/>
      <c r="BL4403" s="40"/>
      <c r="BM4403" s="40"/>
      <c r="BN4403" s="40"/>
      <c r="BO4403" s="40"/>
      <c r="BP4403" s="155"/>
      <c r="BQ4403" s="314"/>
      <c r="BR4403" s="314"/>
      <c r="BS4403" s="314"/>
      <c r="BT4403" s="314"/>
      <c r="BU4403" s="314"/>
      <c r="BV4403" s="314"/>
      <c r="BW4403" s="314"/>
      <c r="BX4403" s="155"/>
    </row>
    <row r="4404" spans="1:76" ht="15.75" customHeight="1">
      <c r="A4404" s="25"/>
      <c r="B4404" s="39"/>
      <c r="C4404" s="155"/>
      <c r="D4404" s="155"/>
      <c r="E4404" s="40"/>
      <c r="F4404" s="314"/>
      <c r="H4404" s="315"/>
      <c r="I4404" s="315"/>
      <c r="BA4404" s="30"/>
      <c r="BB4404" s="155"/>
      <c r="BC4404" s="314"/>
      <c r="BD4404" s="314"/>
      <c r="BE4404" s="314"/>
      <c r="BF4404" s="314"/>
      <c r="BG4404" s="314"/>
      <c r="BH4404" s="314"/>
      <c r="BI4404" s="314"/>
      <c r="BJ4404" s="314"/>
      <c r="BK4404" s="40"/>
      <c r="BL4404" s="40"/>
      <c r="BM4404" s="40"/>
      <c r="BN4404" s="40"/>
      <c r="BO4404" s="40"/>
      <c r="BP4404" s="155"/>
      <c r="BQ4404" s="314"/>
      <c r="BR4404" s="314"/>
      <c r="BS4404" s="314"/>
      <c r="BT4404" s="314"/>
      <c r="BU4404" s="314"/>
      <c r="BV4404" s="314"/>
      <c r="BW4404" s="314"/>
      <c r="BX4404" s="155"/>
    </row>
    <row r="4405" spans="1:76" ht="15.75" customHeight="1">
      <c r="A4405" s="25"/>
      <c r="B4405" s="39"/>
      <c r="C4405" s="155"/>
      <c r="D4405" s="155"/>
      <c r="E4405" s="40"/>
      <c r="F4405" s="314"/>
      <c r="H4405" s="315"/>
      <c r="I4405" s="315"/>
      <c r="BA4405" s="30"/>
      <c r="BB4405" s="155"/>
      <c r="BC4405" s="314"/>
      <c r="BD4405" s="314"/>
      <c r="BE4405" s="314"/>
      <c r="BF4405" s="314"/>
      <c r="BG4405" s="314"/>
      <c r="BH4405" s="314"/>
      <c r="BI4405" s="314"/>
      <c r="BJ4405" s="314"/>
      <c r="BK4405" s="40"/>
      <c r="BL4405" s="40"/>
      <c r="BM4405" s="40"/>
      <c r="BN4405" s="40"/>
      <c r="BO4405" s="40"/>
      <c r="BP4405" s="155"/>
      <c r="BQ4405" s="314"/>
      <c r="BR4405" s="314"/>
      <c r="BS4405" s="314"/>
      <c r="BT4405" s="314"/>
      <c r="BU4405" s="314"/>
      <c r="BV4405" s="314"/>
      <c r="BW4405" s="314"/>
      <c r="BX4405" s="155"/>
    </row>
    <row r="4406" spans="1:76" ht="15.75" customHeight="1">
      <c r="A4406" s="25"/>
      <c r="B4406" s="39"/>
      <c r="C4406" s="155"/>
      <c r="D4406" s="155"/>
      <c r="E4406" s="40"/>
      <c r="F4406" s="314"/>
      <c r="H4406" s="315"/>
      <c r="I4406" s="315"/>
      <c r="BA4406" s="30"/>
      <c r="BB4406" s="155"/>
      <c r="BC4406" s="314"/>
      <c r="BD4406" s="314"/>
      <c r="BE4406" s="314"/>
      <c r="BF4406" s="314"/>
      <c r="BG4406" s="314"/>
      <c r="BH4406" s="314"/>
      <c r="BI4406" s="314"/>
      <c r="BJ4406" s="314"/>
      <c r="BK4406" s="40"/>
      <c r="BL4406" s="40"/>
      <c r="BM4406" s="40"/>
      <c r="BN4406" s="40"/>
      <c r="BO4406" s="40"/>
      <c r="BP4406" s="155"/>
      <c r="BQ4406" s="314"/>
      <c r="BR4406" s="314"/>
      <c r="BS4406" s="314"/>
      <c r="BT4406" s="314"/>
      <c r="BU4406" s="314"/>
      <c r="BV4406" s="314"/>
      <c r="BW4406" s="314"/>
      <c r="BX4406" s="155"/>
    </row>
    <row r="4407" spans="1:76" ht="15.75" customHeight="1">
      <c r="A4407" s="25"/>
      <c r="B4407" s="39"/>
      <c r="C4407" s="155"/>
      <c r="D4407" s="155"/>
      <c r="E4407" s="40"/>
      <c r="F4407" s="314"/>
      <c r="H4407" s="315"/>
      <c r="I4407" s="315"/>
      <c r="BA4407" s="30"/>
      <c r="BB4407" s="155"/>
      <c r="BC4407" s="314"/>
      <c r="BD4407" s="314"/>
      <c r="BE4407" s="314"/>
      <c r="BF4407" s="314"/>
      <c r="BG4407" s="314"/>
      <c r="BH4407" s="314"/>
      <c r="BI4407" s="314"/>
      <c r="BJ4407" s="314"/>
      <c r="BK4407" s="40"/>
      <c r="BL4407" s="40"/>
      <c r="BM4407" s="40"/>
      <c r="BN4407" s="40"/>
      <c r="BO4407" s="40"/>
      <c r="BP4407" s="155"/>
      <c r="BQ4407" s="314"/>
      <c r="BR4407" s="314"/>
      <c r="BS4407" s="314"/>
      <c r="BT4407" s="314"/>
      <c r="BU4407" s="314"/>
      <c r="BV4407" s="314"/>
      <c r="BW4407" s="314"/>
      <c r="BX4407" s="155"/>
    </row>
    <row r="4408" spans="1:76" ht="15.75" customHeight="1">
      <c r="A4408" s="25"/>
      <c r="B4408" s="39"/>
      <c r="C4408" s="155"/>
      <c r="D4408" s="155"/>
      <c r="E4408" s="40"/>
      <c r="F4408" s="314"/>
      <c r="H4408" s="315"/>
      <c r="I4408" s="315"/>
      <c r="BA4408" s="30"/>
      <c r="BB4408" s="155"/>
      <c r="BC4408" s="314"/>
      <c r="BD4408" s="314"/>
      <c r="BE4408" s="314"/>
      <c r="BF4408" s="314"/>
      <c r="BG4408" s="314"/>
      <c r="BH4408" s="314"/>
      <c r="BI4408" s="314"/>
      <c r="BJ4408" s="314"/>
      <c r="BK4408" s="40"/>
      <c r="BL4408" s="40"/>
      <c r="BM4408" s="40"/>
      <c r="BN4408" s="40"/>
      <c r="BO4408" s="40"/>
      <c r="BP4408" s="155"/>
      <c r="BQ4408" s="314"/>
      <c r="BR4408" s="314"/>
      <c r="BS4408" s="314"/>
      <c r="BT4408" s="314"/>
      <c r="BU4408" s="314"/>
      <c r="BV4408" s="314"/>
      <c r="BW4408" s="314"/>
      <c r="BX4408" s="155"/>
    </row>
    <row r="4409" spans="1:76" ht="15.75" customHeight="1">
      <c r="A4409" s="25"/>
      <c r="B4409" s="39"/>
      <c r="C4409" s="155"/>
      <c r="D4409" s="155"/>
      <c r="E4409" s="40"/>
      <c r="F4409" s="314"/>
      <c r="H4409" s="315"/>
      <c r="I4409" s="315"/>
      <c r="BA4409" s="30"/>
      <c r="BB4409" s="155"/>
      <c r="BC4409" s="314"/>
      <c r="BD4409" s="314"/>
      <c r="BE4409" s="314"/>
      <c r="BF4409" s="314"/>
      <c r="BG4409" s="314"/>
      <c r="BH4409" s="314"/>
      <c r="BI4409" s="314"/>
      <c r="BJ4409" s="314"/>
      <c r="BK4409" s="40"/>
      <c r="BL4409" s="40"/>
      <c r="BM4409" s="40"/>
      <c r="BN4409" s="40"/>
      <c r="BO4409" s="40"/>
      <c r="BP4409" s="155"/>
      <c r="BQ4409" s="314"/>
      <c r="BR4409" s="314"/>
      <c r="BS4409" s="314"/>
      <c r="BT4409" s="314"/>
      <c r="BU4409" s="314"/>
      <c r="BV4409" s="314"/>
      <c r="BW4409" s="314"/>
      <c r="BX4409" s="155"/>
    </row>
    <row r="4410" spans="1:76" ht="15.75" customHeight="1">
      <c r="A4410" s="25"/>
      <c r="B4410" s="39"/>
      <c r="C4410" s="155"/>
      <c r="D4410" s="155"/>
      <c r="E4410" s="40"/>
      <c r="F4410" s="314"/>
      <c r="H4410" s="315"/>
      <c r="I4410" s="315"/>
      <c r="BA4410" s="30"/>
      <c r="BB4410" s="155"/>
      <c r="BC4410" s="314"/>
      <c r="BD4410" s="314"/>
      <c r="BE4410" s="314"/>
      <c r="BF4410" s="314"/>
      <c r="BG4410" s="314"/>
      <c r="BH4410" s="314"/>
      <c r="BI4410" s="314"/>
      <c r="BJ4410" s="314"/>
      <c r="BK4410" s="40"/>
      <c r="BL4410" s="40"/>
      <c r="BM4410" s="40"/>
      <c r="BN4410" s="40"/>
      <c r="BO4410" s="40"/>
      <c r="BP4410" s="155"/>
      <c r="BQ4410" s="314"/>
      <c r="BR4410" s="314"/>
      <c r="BS4410" s="314"/>
      <c r="BT4410" s="314"/>
      <c r="BU4410" s="314"/>
      <c r="BV4410" s="314"/>
      <c r="BW4410" s="314"/>
      <c r="BX4410" s="155"/>
    </row>
    <row r="4411" spans="1:76" ht="15.75" customHeight="1">
      <c r="A4411" s="25"/>
      <c r="B4411" s="39"/>
      <c r="C4411" s="155"/>
      <c r="D4411" s="155"/>
      <c r="E4411" s="40"/>
      <c r="F4411" s="314"/>
      <c r="H4411" s="315"/>
      <c r="I4411" s="315"/>
      <c r="BA4411" s="30"/>
      <c r="BB4411" s="155"/>
      <c r="BC4411" s="314"/>
      <c r="BD4411" s="314"/>
      <c r="BE4411" s="314"/>
      <c r="BF4411" s="314"/>
      <c r="BG4411" s="314"/>
      <c r="BH4411" s="314"/>
      <c r="BI4411" s="314"/>
      <c r="BJ4411" s="314"/>
      <c r="BK4411" s="40"/>
      <c r="BL4411" s="40"/>
      <c r="BM4411" s="40"/>
      <c r="BN4411" s="40"/>
      <c r="BO4411" s="40"/>
      <c r="BP4411" s="155"/>
      <c r="BQ4411" s="314"/>
      <c r="BR4411" s="314"/>
      <c r="BS4411" s="314"/>
      <c r="BT4411" s="314"/>
      <c r="BU4411" s="314"/>
      <c r="BV4411" s="314"/>
      <c r="BW4411" s="314"/>
      <c r="BX4411" s="155"/>
    </row>
    <row r="4412" spans="1:76" ht="15.75" customHeight="1">
      <c r="A4412" s="25"/>
      <c r="B4412" s="39"/>
      <c r="C4412" s="155"/>
      <c r="D4412" s="155"/>
      <c r="E4412" s="40"/>
      <c r="F4412" s="314"/>
      <c r="H4412" s="315"/>
      <c r="I4412" s="315"/>
      <c r="BA4412" s="30"/>
      <c r="BB4412" s="155"/>
      <c r="BC4412" s="314"/>
      <c r="BD4412" s="314"/>
      <c r="BE4412" s="314"/>
      <c r="BF4412" s="314"/>
      <c r="BG4412" s="314"/>
      <c r="BH4412" s="314"/>
      <c r="BI4412" s="314"/>
      <c r="BJ4412" s="314"/>
      <c r="BK4412" s="40"/>
      <c r="BL4412" s="40"/>
      <c r="BM4412" s="40"/>
      <c r="BN4412" s="40"/>
      <c r="BO4412" s="40"/>
      <c r="BP4412" s="155"/>
      <c r="BQ4412" s="314"/>
      <c r="BR4412" s="314"/>
      <c r="BS4412" s="314"/>
      <c r="BT4412" s="314"/>
      <c r="BU4412" s="314"/>
      <c r="BV4412" s="314"/>
      <c r="BW4412" s="314"/>
      <c r="BX4412" s="155"/>
    </row>
    <row r="4413" spans="1:76" ht="15.75" customHeight="1">
      <c r="A4413" s="25"/>
      <c r="B4413" s="39"/>
      <c r="C4413" s="155"/>
      <c r="D4413" s="155"/>
      <c r="E4413" s="40"/>
      <c r="F4413" s="314"/>
      <c r="H4413" s="315"/>
      <c r="I4413" s="315"/>
      <c r="BA4413" s="30"/>
      <c r="BB4413" s="155"/>
      <c r="BC4413" s="314"/>
      <c r="BD4413" s="314"/>
      <c r="BE4413" s="314"/>
      <c r="BF4413" s="314"/>
      <c r="BG4413" s="314"/>
      <c r="BH4413" s="314"/>
      <c r="BI4413" s="314"/>
      <c r="BJ4413" s="314"/>
      <c r="BK4413" s="40"/>
      <c r="BL4413" s="40"/>
      <c r="BM4413" s="40"/>
      <c r="BN4413" s="40"/>
      <c r="BO4413" s="40"/>
      <c r="BP4413" s="155"/>
      <c r="BQ4413" s="314"/>
      <c r="BR4413" s="314"/>
      <c r="BS4413" s="314"/>
      <c r="BT4413" s="314"/>
      <c r="BU4413" s="314"/>
      <c r="BV4413" s="314"/>
      <c r="BW4413" s="314"/>
      <c r="BX4413" s="155"/>
    </row>
    <row r="4414" spans="1:76" ht="15.75" customHeight="1">
      <c r="A4414" s="25"/>
      <c r="B4414" s="39"/>
      <c r="C4414" s="155"/>
      <c r="D4414" s="155"/>
      <c r="E4414" s="40"/>
      <c r="F4414" s="314"/>
      <c r="H4414" s="315"/>
      <c r="I4414" s="315"/>
      <c r="BA4414" s="30"/>
      <c r="BB4414" s="155"/>
      <c r="BC4414" s="314"/>
      <c r="BD4414" s="314"/>
      <c r="BE4414" s="314"/>
      <c r="BF4414" s="314"/>
      <c r="BG4414" s="314"/>
      <c r="BH4414" s="314"/>
      <c r="BI4414" s="314"/>
      <c r="BJ4414" s="314"/>
      <c r="BK4414" s="40"/>
      <c r="BL4414" s="40"/>
      <c r="BM4414" s="40"/>
      <c r="BN4414" s="40"/>
      <c r="BO4414" s="40"/>
      <c r="BP4414" s="155"/>
      <c r="BQ4414" s="314"/>
      <c r="BR4414" s="314"/>
      <c r="BS4414" s="314"/>
      <c r="BT4414" s="314"/>
      <c r="BU4414" s="314"/>
      <c r="BV4414" s="314"/>
      <c r="BW4414" s="314"/>
      <c r="BX4414" s="155"/>
    </row>
    <row r="4415" spans="1:76" ht="15.75" customHeight="1">
      <c r="A4415" s="25"/>
      <c r="B4415" s="39"/>
      <c r="C4415" s="155"/>
      <c r="D4415" s="155"/>
      <c r="E4415" s="40"/>
      <c r="F4415" s="314"/>
      <c r="H4415" s="315"/>
      <c r="I4415" s="315"/>
      <c r="BA4415" s="30"/>
      <c r="BB4415" s="155"/>
      <c r="BC4415" s="314"/>
      <c r="BD4415" s="314"/>
      <c r="BE4415" s="314"/>
      <c r="BF4415" s="314"/>
      <c r="BG4415" s="314"/>
      <c r="BH4415" s="314"/>
      <c r="BI4415" s="314"/>
      <c r="BJ4415" s="314"/>
      <c r="BK4415" s="40"/>
      <c r="BL4415" s="40"/>
      <c r="BM4415" s="40"/>
      <c r="BN4415" s="40"/>
      <c r="BO4415" s="40"/>
      <c r="BP4415" s="155"/>
      <c r="BQ4415" s="314"/>
      <c r="BR4415" s="314"/>
      <c r="BS4415" s="314"/>
      <c r="BT4415" s="314"/>
      <c r="BU4415" s="314"/>
      <c r="BV4415" s="314"/>
      <c r="BW4415" s="314"/>
      <c r="BX4415" s="155"/>
    </row>
    <row r="4416" spans="1:76" ht="15.75" customHeight="1">
      <c r="A4416" s="25"/>
      <c r="B4416" s="39"/>
      <c r="C4416" s="155"/>
      <c r="D4416" s="155"/>
      <c r="E4416" s="40"/>
      <c r="F4416" s="314"/>
      <c r="H4416" s="315"/>
      <c r="I4416" s="315"/>
      <c r="BA4416" s="30"/>
      <c r="BB4416" s="155"/>
      <c r="BC4416" s="314"/>
      <c r="BD4416" s="314"/>
      <c r="BE4416" s="314"/>
      <c r="BF4416" s="314"/>
      <c r="BG4416" s="314"/>
      <c r="BH4416" s="314"/>
      <c r="BI4416" s="314"/>
      <c r="BJ4416" s="314"/>
      <c r="BK4416" s="40"/>
      <c r="BL4416" s="40"/>
      <c r="BM4416" s="40"/>
      <c r="BN4416" s="40"/>
      <c r="BO4416" s="40"/>
      <c r="BP4416" s="155"/>
      <c r="BQ4416" s="314"/>
      <c r="BR4416" s="314"/>
      <c r="BS4416" s="314"/>
      <c r="BT4416" s="314"/>
      <c r="BU4416" s="314"/>
      <c r="BV4416" s="314"/>
      <c r="BW4416" s="314"/>
      <c r="BX4416" s="155"/>
    </row>
    <row r="4417" spans="1:76" ht="15.75" customHeight="1">
      <c r="A4417" s="25"/>
      <c r="B4417" s="39"/>
      <c r="C4417" s="155"/>
      <c r="D4417" s="155"/>
      <c r="E4417" s="40"/>
      <c r="F4417" s="314"/>
      <c r="H4417" s="315"/>
      <c r="I4417" s="315"/>
      <c r="BA4417" s="30"/>
      <c r="BB4417" s="155"/>
      <c r="BC4417" s="314"/>
      <c r="BD4417" s="314"/>
      <c r="BE4417" s="314"/>
      <c r="BF4417" s="314"/>
      <c r="BG4417" s="314"/>
      <c r="BH4417" s="314"/>
      <c r="BI4417" s="314"/>
      <c r="BJ4417" s="314"/>
      <c r="BK4417" s="40"/>
      <c r="BL4417" s="40"/>
      <c r="BM4417" s="40"/>
      <c r="BN4417" s="40"/>
      <c r="BO4417" s="40"/>
      <c r="BP4417" s="155"/>
      <c r="BQ4417" s="314"/>
      <c r="BR4417" s="314"/>
      <c r="BS4417" s="314"/>
      <c r="BT4417" s="314"/>
      <c r="BU4417" s="314"/>
      <c r="BV4417" s="314"/>
      <c r="BW4417" s="314"/>
      <c r="BX4417" s="155"/>
    </row>
    <row r="4418" spans="1:76" ht="15.75" customHeight="1">
      <c r="A4418" s="25"/>
      <c r="B4418" s="39"/>
      <c r="C4418" s="155"/>
      <c r="D4418" s="155"/>
      <c r="E4418" s="40"/>
      <c r="F4418" s="314"/>
      <c r="H4418" s="315"/>
      <c r="I4418" s="315"/>
      <c r="BA4418" s="30"/>
      <c r="BB4418" s="155"/>
      <c r="BC4418" s="314"/>
      <c r="BD4418" s="314"/>
      <c r="BE4418" s="314"/>
      <c r="BF4418" s="314"/>
      <c r="BG4418" s="314"/>
      <c r="BH4418" s="314"/>
      <c r="BI4418" s="314"/>
      <c r="BJ4418" s="314"/>
      <c r="BK4418" s="40"/>
      <c r="BL4418" s="40"/>
      <c r="BM4418" s="40"/>
      <c r="BN4418" s="40"/>
      <c r="BO4418" s="40"/>
      <c r="BP4418" s="155"/>
      <c r="BQ4418" s="314"/>
      <c r="BR4418" s="314"/>
      <c r="BS4418" s="314"/>
      <c r="BT4418" s="314"/>
      <c r="BU4418" s="314"/>
      <c r="BV4418" s="314"/>
      <c r="BW4418" s="314"/>
      <c r="BX4418" s="155"/>
    </row>
    <row r="4419" spans="1:76" ht="15.75" customHeight="1">
      <c r="A4419" s="25"/>
      <c r="B4419" s="39"/>
      <c r="C4419" s="155"/>
      <c r="D4419" s="155"/>
      <c r="E4419" s="40"/>
      <c r="F4419" s="314"/>
      <c r="H4419" s="315"/>
      <c r="I4419" s="315"/>
      <c r="BA4419" s="30"/>
      <c r="BB4419" s="155"/>
      <c r="BC4419" s="314"/>
      <c r="BD4419" s="314"/>
      <c r="BE4419" s="314"/>
      <c r="BF4419" s="314"/>
      <c r="BG4419" s="314"/>
      <c r="BH4419" s="314"/>
      <c r="BI4419" s="314"/>
      <c r="BJ4419" s="314"/>
      <c r="BK4419" s="40"/>
      <c r="BL4419" s="40"/>
      <c r="BM4419" s="40"/>
      <c r="BN4419" s="40"/>
      <c r="BO4419" s="40"/>
      <c r="BP4419" s="155"/>
      <c r="BQ4419" s="314"/>
      <c r="BR4419" s="314"/>
      <c r="BS4419" s="314"/>
      <c r="BT4419" s="314"/>
      <c r="BU4419" s="314"/>
      <c r="BV4419" s="314"/>
      <c r="BW4419" s="314"/>
      <c r="BX4419" s="155"/>
    </row>
    <row r="4420" spans="1:76" ht="15.75" customHeight="1">
      <c r="A4420" s="25"/>
      <c r="B4420" s="39"/>
      <c r="C4420" s="155"/>
      <c r="D4420" s="155"/>
      <c r="E4420" s="40"/>
      <c r="F4420" s="314"/>
      <c r="H4420" s="315"/>
      <c r="I4420" s="315"/>
      <c r="BA4420" s="30"/>
      <c r="BB4420" s="155"/>
      <c r="BC4420" s="314"/>
      <c r="BD4420" s="314"/>
      <c r="BE4420" s="314"/>
      <c r="BF4420" s="314"/>
      <c r="BG4420" s="314"/>
      <c r="BH4420" s="314"/>
      <c r="BI4420" s="314"/>
      <c r="BJ4420" s="314"/>
      <c r="BK4420" s="40"/>
      <c r="BL4420" s="40"/>
      <c r="BM4420" s="40"/>
      <c r="BN4420" s="40"/>
      <c r="BO4420" s="40"/>
      <c r="BP4420" s="155"/>
      <c r="BQ4420" s="314"/>
      <c r="BR4420" s="314"/>
      <c r="BS4420" s="314"/>
      <c r="BT4420" s="314"/>
      <c r="BU4420" s="314"/>
      <c r="BV4420" s="314"/>
      <c r="BW4420" s="314"/>
      <c r="BX4420" s="155"/>
    </row>
    <row r="4421" spans="1:76" ht="15.75" customHeight="1">
      <c r="A4421" s="25"/>
      <c r="B4421" s="39"/>
      <c r="C4421" s="155"/>
      <c r="D4421" s="155"/>
      <c r="E4421" s="40"/>
      <c r="F4421" s="314"/>
      <c r="H4421" s="315"/>
      <c r="I4421" s="315"/>
      <c r="BA4421" s="30"/>
      <c r="BB4421" s="155"/>
      <c r="BC4421" s="314"/>
      <c r="BD4421" s="314"/>
      <c r="BE4421" s="314"/>
      <c r="BF4421" s="314"/>
      <c r="BG4421" s="314"/>
      <c r="BH4421" s="314"/>
      <c r="BI4421" s="314"/>
      <c r="BJ4421" s="314"/>
      <c r="BK4421" s="40"/>
      <c r="BL4421" s="40"/>
      <c r="BM4421" s="40"/>
      <c r="BN4421" s="40"/>
      <c r="BO4421" s="40"/>
      <c r="BP4421" s="155"/>
      <c r="BQ4421" s="314"/>
      <c r="BR4421" s="314"/>
      <c r="BS4421" s="314"/>
      <c r="BT4421" s="314"/>
      <c r="BU4421" s="314"/>
      <c r="BV4421" s="314"/>
      <c r="BW4421" s="314"/>
      <c r="BX4421" s="155"/>
    </row>
    <row r="4422" spans="1:76" ht="15.75" customHeight="1">
      <c r="A4422" s="25"/>
      <c r="B4422" s="39"/>
      <c r="C4422" s="155"/>
      <c r="D4422" s="155"/>
      <c r="E4422" s="40"/>
      <c r="F4422" s="314"/>
      <c r="H4422" s="315"/>
      <c r="I4422" s="315"/>
      <c r="BA4422" s="30"/>
      <c r="BB4422" s="155"/>
      <c r="BC4422" s="314"/>
      <c r="BD4422" s="314"/>
      <c r="BE4422" s="314"/>
      <c r="BF4422" s="314"/>
      <c r="BG4422" s="314"/>
      <c r="BH4422" s="314"/>
      <c r="BI4422" s="314"/>
      <c r="BJ4422" s="314"/>
      <c r="BK4422" s="40"/>
      <c r="BL4422" s="40"/>
      <c r="BM4422" s="40"/>
      <c r="BN4422" s="40"/>
      <c r="BO4422" s="40"/>
      <c r="BP4422" s="155"/>
      <c r="BQ4422" s="314"/>
      <c r="BR4422" s="314"/>
      <c r="BS4422" s="314"/>
      <c r="BT4422" s="314"/>
      <c r="BU4422" s="314"/>
      <c r="BV4422" s="314"/>
      <c r="BW4422" s="314"/>
      <c r="BX4422" s="155"/>
    </row>
    <row r="4423" spans="1:76" ht="15.75" customHeight="1">
      <c r="A4423" s="25"/>
      <c r="B4423" s="39"/>
      <c r="C4423" s="155"/>
      <c r="D4423" s="155"/>
      <c r="E4423" s="40"/>
      <c r="F4423" s="314"/>
      <c r="H4423" s="315"/>
      <c r="I4423" s="315"/>
      <c r="BA4423" s="30"/>
      <c r="BB4423" s="155"/>
      <c r="BC4423" s="314"/>
      <c r="BD4423" s="314"/>
      <c r="BE4423" s="314"/>
      <c r="BF4423" s="314"/>
      <c r="BG4423" s="314"/>
      <c r="BH4423" s="314"/>
      <c r="BI4423" s="314"/>
      <c r="BJ4423" s="314"/>
      <c r="BK4423" s="40"/>
      <c r="BL4423" s="40"/>
      <c r="BM4423" s="40"/>
      <c r="BN4423" s="40"/>
      <c r="BO4423" s="40"/>
      <c r="BP4423" s="155"/>
      <c r="BQ4423" s="314"/>
      <c r="BR4423" s="314"/>
      <c r="BS4423" s="314"/>
      <c r="BT4423" s="314"/>
      <c r="BU4423" s="314"/>
      <c r="BV4423" s="314"/>
      <c r="BW4423" s="314"/>
      <c r="BX4423" s="155"/>
    </row>
    <row r="4424" spans="1:76" ht="15.75" customHeight="1">
      <c r="A4424" s="25"/>
      <c r="B4424" s="39"/>
      <c r="C4424" s="155"/>
      <c r="D4424" s="155"/>
      <c r="E4424" s="40"/>
      <c r="F4424" s="314"/>
      <c r="H4424" s="315"/>
      <c r="I4424" s="315"/>
      <c r="BA4424" s="30"/>
      <c r="BB4424" s="155"/>
      <c r="BC4424" s="322"/>
      <c r="BD4424" s="322"/>
      <c r="BE4424" s="322"/>
      <c r="BF4424" s="322"/>
      <c r="BG4424" s="322"/>
      <c r="BH4424" s="322"/>
      <c r="BI4424" s="322"/>
      <c r="BJ4424" s="322"/>
      <c r="BK4424" s="341"/>
      <c r="BL4424" s="40"/>
      <c r="BM4424" s="40"/>
      <c r="BN4424" s="40"/>
      <c r="BO4424" s="40"/>
      <c r="BP4424" s="155"/>
      <c r="BQ4424" s="314"/>
      <c r="BR4424" s="314"/>
      <c r="BS4424" s="314"/>
      <c r="BT4424" s="314"/>
      <c r="BU4424" s="314"/>
      <c r="BV4424" s="314"/>
      <c r="BW4424" s="314"/>
      <c r="BX4424" s="155"/>
    </row>
    <row r="4425" spans="1:76" ht="15.75" customHeight="1">
      <c r="A4425" s="25"/>
      <c r="B4425" s="39"/>
      <c r="C4425" s="155"/>
      <c r="D4425" s="155"/>
      <c r="E4425" s="40"/>
      <c r="F4425" s="314"/>
      <c r="H4425" s="315"/>
      <c r="I4425" s="315"/>
      <c r="BA4425" s="30"/>
      <c r="BB4425" s="155"/>
      <c r="BC4425" s="314"/>
      <c r="BD4425" s="314"/>
      <c r="BE4425" s="314"/>
      <c r="BF4425" s="314"/>
      <c r="BG4425" s="314"/>
      <c r="BH4425" s="314"/>
      <c r="BI4425" s="314"/>
      <c r="BJ4425" s="314"/>
      <c r="BK4425" s="40"/>
      <c r="BL4425" s="40"/>
      <c r="BM4425" s="40"/>
      <c r="BN4425" s="40"/>
      <c r="BO4425" s="40"/>
      <c r="BP4425" s="155"/>
      <c r="BQ4425" s="314"/>
      <c r="BR4425" s="314"/>
      <c r="BS4425" s="314"/>
      <c r="BT4425" s="314"/>
      <c r="BU4425" s="314"/>
      <c r="BV4425" s="314"/>
      <c r="BW4425" s="314"/>
      <c r="BX4425" s="155"/>
    </row>
    <row r="4426" spans="1:76" ht="15.75" customHeight="1">
      <c r="A4426" s="25"/>
      <c r="B4426" s="39"/>
      <c r="C4426" s="155"/>
      <c r="D4426" s="155"/>
      <c r="E4426" s="40"/>
      <c r="F4426" s="314"/>
      <c r="H4426" s="315"/>
      <c r="I4426" s="315"/>
      <c r="BA4426" s="30"/>
      <c r="BB4426" s="155"/>
      <c r="BC4426" s="314"/>
      <c r="BD4426" s="314"/>
      <c r="BE4426" s="314"/>
      <c r="BF4426" s="314"/>
      <c r="BG4426" s="314"/>
      <c r="BH4426" s="314"/>
      <c r="BI4426" s="314"/>
      <c r="BJ4426" s="314"/>
      <c r="BK4426" s="40"/>
      <c r="BL4426" s="40"/>
      <c r="BM4426" s="40"/>
      <c r="BN4426" s="40"/>
      <c r="BO4426" s="40"/>
      <c r="BP4426" s="155"/>
      <c r="BQ4426" s="314"/>
      <c r="BR4426" s="314"/>
      <c r="BS4426" s="314"/>
      <c r="BT4426" s="314"/>
      <c r="BU4426" s="314"/>
      <c r="BV4426" s="314"/>
      <c r="BW4426" s="314"/>
      <c r="BX4426" s="155"/>
    </row>
    <row r="4427" spans="1:76" ht="15.75" customHeight="1">
      <c r="A4427" s="25"/>
      <c r="B4427" s="39"/>
      <c r="C4427" s="155"/>
      <c r="D4427" s="155"/>
      <c r="E4427" s="40"/>
      <c r="F4427" s="314"/>
      <c r="H4427" s="315"/>
      <c r="I4427" s="315"/>
      <c r="BA4427" s="30"/>
      <c r="BB4427" s="155"/>
      <c r="BC4427" s="314"/>
      <c r="BD4427" s="314"/>
      <c r="BE4427" s="314"/>
      <c r="BF4427" s="314"/>
      <c r="BG4427" s="314"/>
      <c r="BH4427" s="314"/>
      <c r="BI4427" s="314"/>
      <c r="BJ4427" s="314"/>
      <c r="BK4427" s="40"/>
      <c r="BL4427" s="40"/>
      <c r="BM4427" s="40"/>
      <c r="BN4427" s="40"/>
      <c r="BO4427" s="40"/>
      <c r="BP4427" s="155"/>
      <c r="BQ4427" s="314"/>
      <c r="BR4427" s="314"/>
      <c r="BS4427" s="314"/>
      <c r="BT4427" s="314"/>
      <c r="BU4427" s="314"/>
      <c r="BV4427" s="314"/>
      <c r="BW4427" s="314"/>
      <c r="BX4427" s="155"/>
    </row>
    <row r="4428" spans="1:76" ht="15.75" customHeight="1">
      <c r="A4428" s="25"/>
      <c r="B4428" s="39"/>
      <c r="C4428" s="155"/>
      <c r="D4428" s="155"/>
      <c r="E4428" s="40"/>
      <c r="F4428" s="314"/>
      <c r="H4428" s="315"/>
      <c r="I4428" s="315"/>
      <c r="BA4428" s="30"/>
      <c r="BB4428" s="155"/>
      <c r="BC4428" s="314"/>
      <c r="BD4428" s="314"/>
      <c r="BE4428" s="314"/>
      <c r="BF4428" s="314"/>
      <c r="BG4428" s="314"/>
      <c r="BH4428" s="314"/>
      <c r="BI4428" s="314"/>
      <c r="BJ4428" s="314"/>
      <c r="BK4428" s="40"/>
      <c r="BL4428" s="40"/>
      <c r="BM4428" s="40"/>
      <c r="BN4428" s="40"/>
      <c r="BO4428" s="40"/>
      <c r="BP4428" s="155"/>
      <c r="BQ4428" s="314"/>
      <c r="BR4428" s="314"/>
      <c r="BS4428" s="314"/>
      <c r="BT4428" s="314"/>
      <c r="BU4428" s="314"/>
      <c r="BV4428" s="314"/>
      <c r="BW4428" s="314"/>
      <c r="BX4428" s="155"/>
    </row>
    <row r="4429" spans="1:76" ht="15.75" customHeight="1">
      <c r="A4429" s="25"/>
      <c r="B4429" s="39"/>
      <c r="C4429" s="155"/>
      <c r="D4429" s="155"/>
      <c r="E4429" s="40"/>
      <c r="F4429" s="314"/>
      <c r="H4429" s="315"/>
      <c r="I4429" s="315"/>
      <c r="BA4429" s="30"/>
      <c r="BB4429" s="155"/>
      <c r="BC4429" s="314"/>
      <c r="BD4429" s="314"/>
      <c r="BE4429" s="314"/>
      <c r="BF4429" s="314"/>
      <c r="BG4429" s="314"/>
      <c r="BH4429" s="314"/>
      <c r="BI4429" s="314"/>
      <c r="BJ4429" s="314"/>
      <c r="BK4429" s="40"/>
      <c r="BL4429" s="40"/>
      <c r="BM4429" s="40"/>
      <c r="BN4429" s="40"/>
      <c r="BO4429" s="40"/>
      <c r="BP4429" s="155"/>
      <c r="BQ4429" s="314"/>
      <c r="BR4429" s="314"/>
      <c r="BS4429" s="314"/>
      <c r="BT4429" s="314"/>
      <c r="BU4429" s="314"/>
      <c r="BV4429" s="314"/>
      <c r="BW4429" s="314"/>
      <c r="BX4429" s="155"/>
    </row>
    <row r="4430" spans="1:76" ht="15.75" customHeight="1">
      <c r="A4430" s="25"/>
      <c r="B4430" s="39"/>
      <c r="C4430" s="155"/>
      <c r="D4430" s="155"/>
      <c r="E4430" s="40"/>
      <c r="F4430" s="314"/>
      <c r="H4430" s="315"/>
      <c r="I4430" s="315"/>
      <c r="BA4430" s="30"/>
      <c r="BB4430" s="155"/>
      <c r="BC4430" s="314"/>
      <c r="BD4430" s="314"/>
      <c r="BE4430" s="314"/>
      <c r="BF4430" s="314"/>
      <c r="BG4430" s="314"/>
      <c r="BH4430" s="314"/>
      <c r="BI4430" s="314"/>
      <c r="BJ4430" s="314"/>
      <c r="BK4430" s="40"/>
      <c r="BL4430" s="40"/>
      <c r="BM4430" s="40"/>
      <c r="BN4430" s="40"/>
      <c r="BO4430" s="40"/>
      <c r="BP4430" s="155"/>
      <c r="BQ4430" s="314"/>
      <c r="BR4430" s="314"/>
      <c r="BS4430" s="314"/>
      <c r="BT4430" s="314"/>
      <c r="BU4430" s="314"/>
      <c r="BV4430" s="314"/>
      <c r="BW4430" s="314"/>
      <c r="BX4430" s="155"/>
    </row>
    <row r="4431" spans="1:76" ht="15.75" customHeight="1">
      <c r="A4431" s="25"/>
      <c r="B4431" s="39"/>
      <c r="C4431" s="155"/>
      <c r="D4431" s="155"/>
      <c r="E4431" s="40"/>
      <c r="F4431" s="314"/>
      <c r="H4431" s="315"/>
      <c r="I4431" s="315"/>
      <c r="BA4431" s="30"/>
      <c r="BB4431" s="155"/>
      <c r="BC4431" s="314"/>
      <c r="BD4431" s="314"/>
      <c r="BE4431" s="314"/>
      <c r="BF4431" s="314"/>
      <c r="BG4431" s="314"/>
      <c r="BH4431" s="314"/>
      <c r="BI4431" s="314"/>
      <c r="BJ4431" s="314"/>
      <c r="BK4431" s="40"/>
      <c r="BL4431" s="40"/>
      <c r="BM4431" s="40"/>
      <c r="BN4431" s="40"/>
      <c r="BO4431" s="40"/>
      <c r="BP4431" s="155"/>
      <c r="BQ4431" s="314"/>
      <c r="BR4431" s="314"/>
      <c r="BS4431" s="314"/>
      <c r="BT4431" s="314"/>
      <c r="BU4431" s="314"/>
      <c r="BV4431" s="314"/>
      <c r="BW4431" s="314"/>
      <c r="BX4431" s="155"/>
    </row>
    <row r="4432" spans="1:76" ht="15.75" customHeight="1">
      <c r="A4432" s="25"/>
      <c r="B4432" s="39"/>
      <c r="C4432" s="155"/>
      <c r="D4432" s="155"/>
      <c r="E4432" s="40"/>
      <c r="F4432" s="314"/>
      <c r="H4432" s="315"/>
      <c r="I4432" s="315"/>
      <c r="BA4432" s="30"/>
      <c r="BB4432" s="155"/>
      <c r="BC4432" s="314"/>
      <c r="BD4432" s="314"/>
      <c r="BE4432" s="314"/>
      <c r="BF4432" s="314"/>
      <c r="BG4432" s="314"/>
      <c r="BH4432" s="314"/>
      <c r="BI4432" s="314"/>
      <c r="BJ4432" s="314"/>
      <c r="BK4432" s="40"/>
      <c r="BL4432" s="40"/>
      <c r="BM4432" s="40"/>
      <c r="BN4432" s="40"/>
      <c r="BO4432" s="40"/>
      <c r="BP4432" s="155"/>
      <c r="BQ4432" s="314"/>
      <c r="BR4432" s="314"/>
      <c r="BS4432" s="314"/>
      <c r="BT4432" s="314"/>
      <c r="BU4432" s="314"/>
      <c r="BV4432" s="314"/>
      <c r="BW4432" s="314"/>
      <c r="BX4432" s="155"/>
    </row>
    <row r="4433" spans="1:76" ht="15.75" customHeight="1">
      <c r="A4433" s="25"/>
      <c r="B4433" s="39"/>
      <c r="C4433" s="155"/>
      <c r="D4433" s="155"/>
      <c r="E4433" s="40"/>
      <c r="F4433" s="314"/>
      <c r="H4433" s="315"/>
      <c r="I4433" s="315"/>
      <c r="BA4433" s="30"/>
      <c r="BB4433" s="155"/>
      <c r="BC4433" s="314"/>
      <c r="BD4433" s="314"/>
      <c r="BE4433" s="314"/>
      <c r="BF4433" s="314"/>
      <c r="BG4433" s="314"/>
      <c r="BH4433" s="314"/>
      <c r="BI4433" s="314"/>
      <c r="BJ4433" s="314"/>
      <c r="BK4433" s="40"/>
      <c r="BL4433" s="40"/>
      <c r="BM4433" s="40"/>
      <c r="BN4433" s="40"/>
      <c r="BO4433" s="40"/>
      <c r="BP4433" s="155"/>
      <c r="BQ4433" s="314"/>
      <c r="BR4433" s="314"/>
      <c r="BS4433" s="314"/>
      <c r="BT4433" s="314"/>
      <c r="BU4433" s="314"/>
      <c r="BV4433" s="314"/>
      <c r="BW4433" s="314"/>
      <c r="BX4433" s="155"/>
    </row>
    <row r="4434" spans="1:76" ht="15.75" customHeight="1">
      <c r="A4434" s="25"/>
      <c r="B4434" s="39"/>
      <c r="C4434" s="155"/>
      <c r="D4434" s="155"/>
      <c r="E4434" s="40"/>
      <c r="F4434" s="314"/>
      <c r="H4434" s="315"/>
      <c r="I4434" s="315"/>
      <c r="BA4434" s="30"/>
      <c r="BB4434" s="155"/>
      <c r="BC4434" s="314"/>
      <c r="BD4434" s="314"/>
      <c r="BE4434" s="314"/>
      <c r="BF4434" s="314"/>
      <c r="BG4434" s="314"/>
      <c r="BH4434" s="314"/>
      <c r="BI4434" s="314"/>
      <c r="BJ4434" s="314"/>
      <c r="BK4434" s="40"/>
      <c r="BL4434" s="40"/>
      <c r="BM4434" s="40"/>
      <c r="BN4434" s="40"/>
      <c r="BO4434" s="40"/>
      <c r="BP4434" s="155"/>
      <c r="BQ4434" s="314"/>
      <c r="BR4434" s="314"/>
      <c r="BS4434" s="314"/>
      <c r="BT4434" s="314"/>
      <c r="BU4434" s="314"/>
      <c r="BV4434" s="314"/>
      <c r="BW4434" s="314"/>
      <c r="BX4434" s="155"/>
    </row>
    <row r="4435" spans="1:76" ht="15.75" customHeight="1">
      <c r="A4435" s="25"/>
      <c r="B4435" s="39"/>
      <c r="C4435" s="155"/>
      <c r="D4435" s="155"/>
      <c r="E4435" s="40"/>
      <c r="F4435" s="314"/>
      <c r="H4435" s="315"/>
      <c r="I4435" s="315"/>
      <c r="BA4435" s="30"/>
      <c r="BB4435" s="155"/>
      <c r="BC4435" s="314"/>
      <c r="BD4435" s="314"/>
      <c r="BE4435" s="314"/>
      <c r="BF4435" s="314"/>
      <c r="BG4435" s="314"/>
      <c r="BH4435" s="314"/>
      <c r="BI4435" s="314"/>
      <c r="BJ4435" s="314"/>
      <c r="BK4435" s="40"/>
      <c r="BL4435" s="40"/>
      <c r="BM4435" s="40"/>
      <c r="BN4435" s="40"/>
      <c r="BO4435" s="40"/>
      <c r="BP4435" s="155"/>
      <c r="BQ4435" s="314"/>
      <c r="BR4435" s="314"/>
      <c r="BS4435" s="314"/>
      <c r="BT4435" s="314"/>
      <c r="BU4435" s="314"/>
      <c r="BV4435" s="314"/>
      <c r="BW4435" s="314"/>
      <c r="BX4435" s="155"/>
    </row>
    <row r="4436" spans="1:76" ht="15.75" customHeight="1">
      <c r="A4436" s="25"/>
      <c r="B4436" s="39"/>
      <c r="C4436" s="155"/>
      <c r="D4436" s="155"/>
      <c r="E4436" s="40"/>
      <c r="F4436" s="314"/>
      <c r="H4436" s="315"/>
      <c r="I4436" s="315"/>
      <c r="BA4436" s="30"/>
      <c r="BB4436" s="155"/>
      <c r="BC4436" s="314"/>
      <c r="BD4436" s="314"/>
      <c r="BE4436" s="314"/>
      <c r="BF4436" s="314"/>
      <c r="BG4436" s="314"/>
      <c r="BH4436" s="314"/>
      <c r="BI4436" s="314"/>
      <c r="BJ4436" s="314"/>
      <c r="BK4436" s="40"/>
      <c r="BL4436" s="40"/>
      <c r="BM4436" s="40"/>
      <c r="BN4436" s="40"/>
      <c r="BO4436" s="40"/>
      <c r="BP4436" s="155"/>
      <c r="BQ4436" s="314"/>
      <c r="BR4436" s="314"/>
      <c r="BS4436" s="314"/>
      <c r="BT4436" s="314"/>
      <c r="BU4436" s="314"/>
      <c r="BV4436" s="314"/>
      <c r="BW4436" s="314"/>
      <c r="BX4436" s="155"/>
    </row>
    <row r="4437" spans="1:76" ht="15.75" customHeight="1">
      <c r="A4437" s="25"/>
      <c r="B4437" s="39"/>
      <c r="C4437" s="155"/>
      <c r="D4437" s="155"/>
      <c r="E4437" s="40"/>
      <c r="F4437" s="314"/>
      <c r="H4437" s="315"/>
      <c r="I4437" s="315"/>
      <c r="BA4437" s="30"/>
      <c r="BB4437" s="155"/>
      <c r="BC4437" s="314"/>
      <c r="BD4437" s="314"/>
      <c r="BE4437" s="314"/>
      <c r="BF4437" s="314"/>
      <c r="BG4437" s="314"/>
      <c r="BH4437" s="314"/>
      <c r="BI4437" s="314"/>
      <c r="BJ4437" s="314"/>
      <c r="BK4437" s="40"/>
      <c r="BL4437" s="40"/>
      <c r="BM4437" s="40"/>
      <c r="BN4437" s="40"/>
      <c r="BO4437" s="40"/>
      <c r="BP4437" s="155"/>
      <c r="BQ4437" s="314"/>
      <c r="BR4437" s="314"/>
      <c r="BS4437" s="314"/>
      <c r="BT4437" s="314"/>
      <c r="BU4437" s="314"/>
      <c r="BV4437" s="314"/>
      <c r="BW4437" s="314"/>
      <c r="BX4437" s="155"/>
    </row>
    <row r="4438" spans="1:76" ht="15.75" customHeight="1">
      <c r="A4438" s="25"/>
      <c r="B4438" s="39"/>
      <c r="C4438" s="155"/>
      <c r="D4438" s="155"/>
      <c r="E4438" s="40"/>
      <c r="F4438" s="314"/>
      <c r="H4438" s="315"/>
      <c r="I4438" s="315"/>
      <c r="BA4438" s="30"/>
      <c r="BB4438" s="155"/>
      <c r="BC4438" s="314"/>
      <c r="BD4438" s="314"/>
      <c r="BE4438" s="314"/>
      <c r="BF4438" s="314"/>
      <c r="BG4438" s="314"/>
      <c r="BH4438" s="314"/>
      <c r="BI4438" s="314"/>
      <c r="BJ4438" s="314"/>
      <c r="BK4438" s="40"/>
      <c r="BL4438" s="40"/>
      <c r="BM4438" s="40"/>
      <c r="BN4438" s="40"/>
      <c r="BO4438" s="40"/>
      <c r="BP4438" s="155"/>
      <c r="BQ4438" s="314"/>
      <c r="BR4438" s="314"/>
      <c r="BS4438" s="314"/>
      <c r="BT4438" s="314"/>
      <c r="BU4438" s="314"/>
      <c r="BV4438" s="314"/>
      <c r="BW4438" s="314"/>
      <c r="BX4438" s="155"/>
    </row>
    <row r="4439" spans="1:76" ht="15.75" customHeight="1">
      <c r="A4439" s="25"/>
      <c r="B4439" s="39"/>
      <c r="C4439" s="155"/>
      <c r="D4439" s="155"/>
      <c r="E4439" s="40"/>
      <c r="F4439" s="314"/>
      <c r="H4439" s="315"/>
      <c r="I4439" s="315"/>
      <c r="BA4439" s="30"/>
      <c r="BB4439" s="155"/>
      <c r="BC4439" s="314"/>
      <c r="BD4439" s="314"/>
      <c r="BE4439" s="314"/>
      <c r="BF4439" s="314"/>
      <c r="BG4439" s="314"/>
      <c r="BH4439" s="314"/>
      <c r="BI4439" s="314"/>
      <c r="BJ4439" s="314"/>
      <c r="BK4439" s="40"/>
      <c r="BL4439" s="40"/>
      <c r="BM4439" s="40"/>
      <c r="BN4439" s="40"/>
      <c r="BO4439" s="40"/>
      <c r="BP4439" s="155"/>
      <c r="BQ4439" s="314"/>
      <c r="BR4439" s="314"/>
      <c r="BS4439" s="314"/>
      <c r="BT4439" s="314"/>
      <c r="BU4439" s="314"/>
      <c r="BV4439" s="314"/>
      <c r="BW4439" s="314"/>
      <c r="BX4439" s="155"/>
    </row>
    <row r="4440" spans="1:76" ht="15.75" customHeight="1">
      <c r="A4440" s="25"/>
      <c r="B4440" s="39"/>
      <c r="C4440" s="155"/>
      <c r="D4440" s="155"/>
      <c r="E4440" s="40"/>
      <c r="F4440" s="314"/>
      <c r="H4440" s="315"/>
      <c r="I4440" s="315"/>
      <c r="BA4440" s="30"/>
      <c r="BB4440" s="155"/>
      <c r="BC4440" s="314"/>
      <c r="BD4440" s="314"/>
      <c r="BE4440" s="314"/>
      <c r="BF4440" s="314"/>
      <c r="BG4440" s="314"/>
      <c r="BH4440" s="314"/>
      <c r="BI4440" s="314"/>
      <c r="BJ4440" s="314"/>
      <c r="BK4440" s="40"/>
      <c r="BL4440" s="40"/>
      <c r="BM4440" s="40"/>
      <c r="BN4440" s="40"/>
      <c r="BO4440" s="40"/>
      <c r="BP4440" s="155"/>
      <c r="BQ4440" s="314"/>
      <c r="BR4440" s="314"/>
      <c r="BS4440" s="314"/>
      <c r="BT4440" s="314"/>
      <c r="BU4440" s="314"/>
      <c r="BV4440" s="314"/>
      <c r="BW4440" s="314"/>
      <c r="BX4440" s="155"/>
    </row>
    <row r="4441" spans="1:76" ht="15.75" customHeight="1">
      <c r="A4441" s="25"/>
      <c r="B4441" s="39"/>
      <c r="C4441" s="155"/>
      <c r="D4441" s="155"/>
      <c r="E4441" s="40"/>
      <c r="F4441" s="314"/>
      <c r="H4441" s="315"/>
      <c r="I4441" s="315"/>
      <c r="BA4441" s="30"/>
      <c r="BB4441" s="155"/>
      <c r="BC4441" s="314"/>
      <c r="BD4441" s="314"/>
      <c r="BE4441" s="314"/>
      <c r="BF4441" s="314"/>
      <c r="BG4441" s="314"/>
      <c r="BH4441" s="314"/>
      <c r="BI4441" s="314"/>
      <c r="BJ4441" s="314"/>
      <c r="BK4441" s="40"/>
      <c r="BL4441" s="40"/>
      <c r="BM4441" s="40"/>
      <c r="BN4441" s="40"/>
      <c r="BO4441" s="40"/>
      <c r="BP4441" s="155"/>
      <c r="BQ4441" s="314"/>
      <c r="BR4441" s="314"/>
      <c r="BS4441" s="314"/>
      <c r="BT4441" s="314"/>
      <c r="BU4441" s="314"/>
      <c r="BV4441" s="314"/>
      <c r="BW4441" s="314"/>
      <c r="BX4441" s="155"/>
    </row>
    <row r="4442" spans="1:76" ht="15.75" customHeight="1">
      <c r="A4442" s="25"/>
      <c r="B4442" s="39"/>
      <c r="C4442" s="155"/>
      <c r="D4442" s="155"/>
      <c r="E4442" s="40"/>
      <c r="F4442" s="314"/>
      <c r="H4442" s="315"/>
      <c r="I4442" s="315"/>
      <c r="BA4442" s="30"/>
      <c r="BB4442" s="155"/>
      <c r="BC4442" s="314"/>
      <c r="BD4442" s="314"/>
      <c r="BE4442" s="314"/>
      <c r="BF4442" s="314"/>
      <c r="BG4442" s="314"/>
      <c r="BH4442" s="314"/>
      <c r="BI4442" s="314"/>
      <c r="BJ4442" s="314"/>
      <c r="BK4442" s="40"/>
      <c r="BL4442" s="40"/>
      <c r="BM4442" s="40"/>
      <c r="BN4442" s="40"/>
      <c r="BO4442" s="40"/>
      <c r="BP4442" s="155"/>
      <c r="BQ4442" s="314"/>
      <c r="BR4442" s="314"/>
      <c r="BS4442" s="314"/>
      <c r="BT4442" s="314"/>
      <c r="BU4442" s="314"/>
      <c r="BV4442" s="314"/>
      <c r="BW4442" s="314"/>
      <c r="BX4442" s="155"/>
    </row>
    <row r="4443" spans="1:76" ht="15.75" customHeight="1">
      <c r="A4443" s="25"/>
      <c r="B4443" s="39"/>
      <c r="C4443" s="155"/>
      <c r="D4443" s="155"/>
      <c r="E4443" s="40"/>
      <c r="F4443" s="314"/>
      <c r="H4443" s="315"/>
      <c r="I4443" s="315"/>
      <c r="BA4443" s="30"/>
      <c r="BB4443" s="155"/>
      <c r="BC4443" s="322"/>
      <c r="BD4443" s="322"/>
      <c r="BE4443" s="322"/>
      <c r="BF4443" s="322"/>
      <c r="BG4443" s="322"/>
      <c r="BH4443" s="322"/>
      <c r="BI4443" s="322"/>
      <c r="BJ4443" s="322"/>
      <c r="BK4443" s="341"/>
      <c r="BL4443" s="40"/>
      <c r="BM4443" s="40"/>
      <c r="BN4443" s="40"/>
      <c r="BO4443" s="40"/>
      <c r="BP4443" s="155"/>
      <c r="BQ4443" s="314"/>
      <c r="BR4443" s="314"/>
      <c r="BS4443" s="314"/>
      <c r="BT4443" s="314"/>
      <c r="BU4443" s="314"/>
      <c r="BV4443" s="314"/>
      <c r="BW4443" s="314"/>
      <c r="BX4443" s="155"/>
    </row>
    <row r="4444" spans="1:76" ht="15.75" customHeight="1">
      <c r="A4444" s="25"/>
      <c r="B4444" s="39"/>
      <c r="C4444" s="155"/>
      <c r="D4444" s="155"/>
      <c r="E4444" s="40"/>
      <c r="F4444" s="314"/>
      <c r="H4444" s="315"/>
      <c r="I4444" s="315"/>
      <c r="BA4444" s="30"/>
      <c r="BB4444" s="155"/>
      <c r="BC4444" s="314"/>
      <c r="BD4444" s="314"/>
      <c r="BE4444" s="314"/>
      <c r="BF4444" s="314"/>
      <c r="BG4444" s="314"/>
      <c r="BH4444" s="314"/>
      <c r="BI4444" s="314"/>
      <c r="BJ4444" s="314"/>
      <c r="BK4444" s="40"/>
      <c r="BL4444" s="40"/>
      <c r="BM4444" s="40"/>
      <c r="BN4444" s="40"/>
      <c r="BO4444" s="40"/>
      <c r="BP4444" s="155"/>
      <c r="BQ4444" s="314"/>
      <c r="BR4444" s="314"/>
      <c r="BS4444" s="314"/>
      <c r="BT4444" s="314"/>
      <c r="BU4444" s="314"/>
      <c r="BV4444" s="314"/>
      <c r="BW4444" s="314"/>
      <c r="BX4444" s="155"/>
    </row>
    <row r="4445" spans="1:76" ht="15.75" customHeight="1">
      <c r="A4445" s="25"/>
      <c r="B4445" s="39"/>
      <c r="C4445" s="155"/>
      <c r="D4445" s="155"/>
      <c r="E4445" s="40"/>
      <c r="F4445" s="314"/>
      <c r="H4445" s="315"/>
      <c r="I4445" s="315"/>
      <c r="BA4445" s="30"/>
      <c r="BB4445" s="155"/>
      <c r="BC4445" s="314"/>
      <c r="BD4445" s="314"/>
      <c r="BE4445" s="314"/>
      <c r="BF4445" s="314"/>
      <c r="BG4445" s="314"/>
      <c r="BH4445" s="314"/>
      <c r="BI4445" s="314"/>
      <c r="BJ4445" s="314"/>
      <c r="BK4445" s="40"/>
      <c r="BL4445" s="40"/>
      <c r="BM4445" s="40"/>
      <c r="BN4445" s="40"/>
      <c r="BO4445" s="40"/>
      <c r="BP4445" s="155"/>
      <c r="BQ4445" s="314"/>
      <c r="BR4445" s="314"/>
      <c r="BS4445" s="314"/>
      <c r="BT4445" s="314"/>
      <c r="BU4445" s="314"/>
      <c r="BV4445" s="314"/>
      <c r="BW4445" s="314"/>
      <c r="BX4445" s="155"/>
    </row>
    <row r="4446" spans="1:76" ht="15.75" customHeight="1">
      <c r="A4446" s="25"/>
      <c r="B4446" s="39"/>
      <c r="C4446" s="155"/>
      <c r="D4446" s="155"/>
      <c r="E4446" s="40"/>
      <c r="F4446" s="314"/>
      <c r="H4446" s="315"/>
      <c r="I4446" s="315"/>
      <c r="BA4446" s="30"/>
      <c r="BB4446" s="155"/>
      <c r="BC4446" s="314"/>
      <c r="BD4446" s="314"/>
      <c r="BE4446" s="314"/>
      <c r="BF4446" s="314"/>
      <c r="BG4446" s="314"/>
      <c r="BH4446" s="314"/>
      <c r="BI4446" s="314"/>
      <c r="BJ4446" s="314"/>
      <c r="BK4446" s="40"/>
      <c r="BL4446" s="40"/>
      <c r="BM4446" s="40"/>
      <c r="BN4446" s="40"/>
      <c r="BO4446" s="40"/>
      <c r="BP4446" s="155"/>
      <c r="BQ4446" s="314"/>
      <c r="BR4446" s="314"/>
      <c r="BS4446" s="314"/>
      <c r="BT4446" s="314"/>
      <c r="BU4446" s="314"/>
      <c r="BV4446" s="314"/>
      <c r="BW4446" s="314"/>
      <c r="BX4446" s="155"/>
    </row>
    <row r="4447" spans="1:76" ht="15.75" customHeight="1">
      <c r="A4447" s="25"/>
      <c r="B4447" s="39"/>
      <c r="C4447" s="155"/>
      <c r="D4447" s="155"/>
      <c r="E4447" s="40"/>
      <c r="F4447" s="314"/>
      <c r="H4447" s="315"/>
      <c r="I4447" s="315"/>
      <c r="BA4447" s="30"/>
      <c r="BB4447" s="155"/>
      <c r="BC4447" s="314"/>
      <c r="BD4447" s="314"/>
      <c r="BE4447" s="314"/>
      <c r="BF4447" s="314"/>
      <c r="BG4447" s="314"/>
      <c r="BH4447" s="314"/>
      <c r="BI4447" s="314"/>
      <c r="BJ4447" s="314"/>
      <c r="BK4447" s="40"/>
      <c r="BL4447" s="40"/>
      <c r="BM4447" s="40"/>
      <c r="BN4447" s="40"/>
      <c r="BO4447" s="40"/>
      <c r="BP4447" s="155"/>
      <c r="BQ4447" s="314"/>
      <c r="BR4447" s="314"/>
      <c r="BS4447" s="314"/>
      <c r="BT4447" s="314"/>
      <c r="BU4447" s="314"/>
      <c r="BV4447" s="314"/>
      <c r="BW4447" s="314"/>
      <c r="BX4447" s="155"/>
    </row>
    <row r="4448" spans="1:76" ht="15.75" customHeight="1">
      <c r="A4448" s="25"/>
      <c r="B4448" s="39"/>
      <c r="C4448" s="155"/>
      <c r="D4448" s="155"/>
      <c r="E4448" s="40"/>
      <c r="F4448" s="314"/>
      <c r="H4448" s="315"/>
      <c r="I4448" s="315"/>
      <c r="BA4448" s="30"/>
      <c r="BB4448" s="155"/>
      <c r="BC4448" s="314"/>
      <c r="BD4448" s="314"/>
      <c r="BE4448" s="314"/>
      <c r="BF4448" s="314"/>
      <c r="BG4448" s="314"/>
      <c r="BH4448" s="314"/>
      <c r="BI4448" s="314"/>
      <c r="BJ4448" s="314"/>
      <c r="BK4448" s="40"/>
      <c r="BL4448" s="40"/>
      <c r="BM4448" s="40"/>
      <c r="BN4448" s="40"/>
      <c r="BO4448" s="40"/>
      <c r="BP4448" s="155"/>
      <c r="BQ4448" s="314"/>
      <c r="BR4448" s="314"/>
      <c r="BS4448" s="314"/>
      <c r="BT4448" s="314"/>
      <c r="BU4448" s="314"/>
      <c r="BV4448" s="314"/>
      <c r="BW4448" s="314"/>
      <c r="BX4448" s="155"/>
    </row>
    <row r="4449" spans="1:76" ht="15.75" customHeight="1">
      <c r="A4449" s="25"/>
      <c r="B4449" s="39"/>
      <c r="C4449" s="155"/>
      <c r="D4449" s="155"/>
      <c r="E4449" s="40"/>
      <c r="F4449" s="314"/>
      <c r="H4449" s="315"/>
      <c r="I4449" s="315"/>
      <c r="BA4449" s="30"/>
      <c r="BB4449" s="155"/>
      <c r="BC4449" s="314"/>
      <c r="BD4449" s="314"/>
      <c r="BE4449" s="314"/>
      <c r="BF4449" s="314"/>
      <c r="BG4449" s="314"/>
      <c r="BH4449" s="314"/>
      <c r="BI4449" s="314"/>
      <c r="BJ4449" s="314"/>
      <c r="BK4449" s="40"/>
      <c r="BL4449" s="40"/>
      <c r="BM4449" s="40"/>
      <c r="BN4449" s="40"/>
      <c r="BO4449" s="40"/>
      <c r="BP4449" s="155"/>
      <c r="BQ4449" s="314"/>
      <c r="BR4449" s="314"/>
      <c r="BS4449" s="314"/>
      <c r="BT4449" s="314"/>
      <c r="BU4449" s="314"/>
      <c r="BV4449" s="314"/>
      <c r="BW4449" s="314"/>
      <c r="BX4449" s="155"/>
    </row>
    <row r="4450" spans="1:76" ht="15.75" customHeight="1">
      <c r="A4450" s="25"/>
      <c r="B4450" s="39"/>
      <c r="C4450" s="155"/>
      <c r="D4450" s="155"/>
      <c r="E4450" s="40"/>
      <c r="F4450" s="314"/>
      <c r="H4450" s="315"/>
      <c r="I4450" s="315"/>
      <c r="BA4450" s="30"/>
      <c r="BB4450" s="155"/>
      <c r="BC4450" s="314"/>
      <c r="BD4450" s="314"/>
      <c r="BE4450" s="314"/>
      <c r="BF4450" s="314"/>
      <c r="BG4450" s="314"/>
      <c r="BH4450" s="314"/>
      <c r="BI4450" s="314"/>
      <c r="BJ4450" s="314"/>
      <c r="BK4450" s="40"/>
      <c r="BL4450" s="40"/>
      <c r="BM4450" s="40"/>
      <c r="BN4450" s="40"/>
      <c r="BO4450" s="40"/>
      <c r="BP4450" s="155"/>
      <c r="BQ4450" s="314"/>
      <c r="BR4450" s="314"/>
      <c r="BS4450" s="314"/>
      <c r="BT4450" s="314"/>
      <c r="BU4450" s="314"/>
      <c r="BV4450" s="314"/>
      <c r="BW4450" s="314"/>
      <c r="BX4450" s="155"/>
    </row>
    <row r="4451" spans="1:76" ht="15.75" customHeight="1">
      <c r="A4451" s="25"/>
      <c r="B4451" s="39"/>
      <c r="C4451" s="155"/>
      <c r="D4451" s="155"/>
      <c r="E4451" s="40"/>
      <c r="F4451" s="314"/>
      <c r="H4451" s="315"/>
      <c r="I4451" s="315"/>
      <c r="BA4451" s="30"/>
      <c r="BB4451" s="155"/>
      <c r="BC4451" s="314"/>
      <c r="BD4451" s="314"/>
      <c r="BE4451" s="314"/>
      <c r="BF4451" s="314"/>
      <c r="BG4451" s="314"/>
      <c r="BH4451" s="314"/>
      <c r="BI4451" s="314"/>
      <c r="BJ4451" s="314"/>
      <c r="BK4451" s="40"/>
      <c r="BL4451" s="40"/>
      <c r="BM4451" s="40"/>
      <c r="BN4451" s="40"/>
      <c r="BO4451" s="40"/>
      <c r="BP4451" s="155"/>
      <c r="BQ4451" s="314"/>
      <c r="BR4451" s="314"/>
      <c r="BS4451" s="314"/>
      <c r="BT4451" s="314"/>
      <c r="BU4451" s="314"/>
      <c r="BV4451" s="314"/>
      <c r="BW4451" s="314"/>
      <c r="BX4451" s="155"/>
    </row>
    <row r="4452" spans="1:76" ht="15.75" customHeight="1">
      <c r="A4452" s="25"/>
      <c r="B4452" s="39"/>
      <c r="C4452" s="155"/>
      <c r="D4452" s="155"/>
      <c r="E4452" s="40"/>
      <c r="F4452" s="314"/>
      <c r="H4452" s="315"/>
      <c r="I4452" s="315"/>
      <c r="BA4452" s="30"/>
      <c r="BB4452" s="155"/>
      <c r="BC4452" s="314"/>
      <c r="BD4452" s="314"/>
      <c r="BE4452" s="314"/>
      <c r="BF4452" s="314"/>
      <c r="BG4452" s="314"/>
      <c r="BH4452" s="314"/>
      <c r="BI4452" s="314"/>
      <c r="BJ4452" s="314"/>
      <c r="BK4452" s="40"/>
      <c r="BL4452" s="40"/>
      <c r="BM4452" s="40"/>
      <c r="BN4452" s="40"/>
      <c r="BO4452" s="40"/>
      <c r="BP4452" s="155"/>
      <c r="BQ4452" s="314"/>
      <c r="BR4452" s="314"/>
      <c r="BS4452" s="314"/>
      <c r="BT4452" s="314"/>
      <c r="BU4452" s="314"/>
      <c r="BV4452" s="314"/>
      <c r="BW4452" s="314"/>
      <c r="BX4452" s="155"/>
    </row>
    <row r="4453" spans="1:76" ht="15.75" customHeight="1">
      <c r="A4453" s="25"/>
      <c r="B4453" s="39"/>
      <c r="C4453" s="155"/>
      <c r="D4453" s="155"/>
      <c r="E4453" s="40"/>
      <c r="F4453" s="314"/>
      <c r="H4453" s="315"/>
      <c r="I4453" s="315"/>
      <c r="BA4453" s="30"/>
      <c r="BB4453" s="155"/>
      <c r="BC4453" s="314"/>
      <c r="BD4453" s="314"/>
      <c r="BE4453" s="314"/>
      <c r="BF4453" s="314"/>
      <c r="BG4453" s="314"/>
      <c r="BH4453" s="314"/>
      <c r="BI4453" s="314"/>
      <c r="BJ4453" s="314"/>
      <c r="BK4453" s="40"/>
      <c r="BL4453" s="40"/>
      <c r="BM4453" s="40"/>
      <c r="BN4453" s="40"/>
      <c r="BO4453" s="40"/>
      <c r="BP4453" s="155"/>
      <c r="BQ4453" s="314"/>
      <c r="BR4453" s="314"/>
      <c r="BS4453" s="314"/>
      <c r="BT4453" s="314"/>
      <c r="BU4453" s="314"/>
      <c r="BV4453" s="314"/>
      <c r="BW4453" s="314"/>
      <c r="BX4453" s="155"/>
    </row>
    <row r="4454" spans="1:76" ht="15.75" customHeight="1">
      <c r="A4454" s="25"/>
      <c r="B4454" s="39"/>
      <c r="C4454" s="155"/>
      <c r="D4454" s="155"/>
      <c r="E4454" s="40"/>
      <c r="F4454" s="314"/>
      <c r="H4454" s="315"/>
      <c r="I4454" s="315"/>
      <c r="BA4454" s="30"/>
      <c r="BB4454" s="155"/>
      <c r="BC4454" s="314"/>
      <c r="BD4454" s="314"/>
      <c r="BE4454" s="314"/>
      <c r="BF4454" s="314"/>
      <c r="BG4454" s="314"/>
      <c r="BH4454" s="314"/>
      <c r="BI4454" s="314"/>
      <c r="BJ4454" s="314"/>
      <c r="BK4454" s="40"/>
      <c r="BL4454" s="40"/>
      <c r="BM4454" s="40"/>
      <c r="BN4454" s="40"/>
      <c r="BO4454" s="40"/>
      <c r="BP4454" s="155"/>
      <c r="BQ4454" s="314"/>
      <c r="BR4454" s="314"/>
      <c r="BS4454" s="314"/>
      <c r="BT4454" s="314"/>
      <c r="BU4454" s="314"/>
      <c r="BV4454" s="314"/>
      <c r="BW4454" s="314"/>
      <c r="BX4454" s="155"/>
    </row>
    <row r="4455" spans="1:76" ht="15.75" customHeight="1">
      <c r="A4455" s="25"/>
      <c r="B4455" s="39"/>
      <c r="C4455" s="155"/>
      <c r="D4455" s="155"/>
      <c r="E4455" s="40"/>
      <c r="F4455" s="314"/>
      <c r="H4455" s="315"/>
      <c r="I4455" s="315"/>
      <c r="BA4455" s="30"/>
      <c r="BB4455" s="155"/>
      <c r="BC4455" s="314"/>
      <c r="BD4455" s="314"/>
      <c r="BE4455" s="314"/>
      <c r="BF4455" s="314"/>
      <c r="BG4455" s="314"/>
      <c r="BH4455" s="314"/>
      <c r="BI4455" s="314"/>
      <c r="BJ4455" s="314"/>
      <c r="BK4455" s="40"/>
      <c r="BL4455" s="40"/>
      <c r="BM4455" s="40"/>
      <c r="BN4455" s="40"/>
      <c r="BO4455" s="40"/>
      <c r="BP4455" s="155"/>
      <c r="BQ4455" s="314"/>
      <c r="BR4455" s="314"/>
      <c r="BS4455" s="314"/>
      <c r="BT4455" s="314"/>
      <c r="BU4455" s="314"/>
      <c r="BV4455" s="314"/>
      <c r="BW4455" s="314"/>
      <c r="BX4455" s="155"/>
    </row>
    <row r="4456" spans="1:76" ht="15.75" customHeight="1">
      <c r="A4456" s="25"/>
      <c r="B4456" s="39"/>
      <c r="C4456" s="155"/>
      <c r="D4456" s="155"/>
      <c r="E4456" s="40"/>
      <c r="F4456" s="314"/>
      <c r="H4456" s="315"/>
      <c r="I4456" s="315"/>
      <c r="BA4456" s="30"/>
      <c r="BB4456" s="155"/>
      <c r="BC4456" s="314"/>
      <c r="BD4456" s="314"/>
      <c r="BE4456" s="314"/>
      <c r="BF4456" s="314"/>
      <c r="BG4456" s="314"/>
      <c r="BH4456" s="314"/>
      <c r="BI4456" s="314"/>
      <c r="BJ4456" s="314"/>
      <c r="BK4456" s="40"/>
      <c r="BL4456" s="40"/>
      <c r="BM4456" s="40"/>
      <c r="BN4456" s="40"/>
      <c r="BO4456" s="40"/>
      <c r="BP4456" s="155"/>
      <c r="BQ4456" s="314"/>
      <c r="BR4456" s="314"/>
      <c r="BS4456" s="314"/>
      <c r="BT4456" s="314"/>
      <c r="BU4456" s="314"/>
      <c r="BV4456" s="314"/>
      <c r="BW4456" s="314"/>
      <c r="BX4456" s="155"/>
    </row>
    <row r="4457" spans="1:76" ht="15.75" customHeight="1">
      <c r="A4457" s="25"/>
      <c r="B4457" s="39"/>
      <c r="C4457" s="155"/>
      <c r="D4457" s="155"/>
      <c r="E4457" s="40"/>
      <c r="F4457" s="314"/>
      <c r="H4457" s="315"/>
      <c r="I4457" s="315"/>
      <c r="BA4457" s="30"/>
      <c r="BB4457" s="155"/>
      <c r="BC4457" s="314"/>
      <c r="BD4457" s="314"/>
      <c r="BE4457" s="314"/>
      <c r="BF4457" s="314"/>
      <c r="BG4457" s="314"/>
      <c r="BH4457" s="314"/>
      <c r="BI4457" s="314"/>
      <c r="BJ4457" s="314"/>
      <c r="BK4457" s="40"/>
      <c r="BL4457" s="40"/>
      <c r="BM4457" s="40"/>
      <c r="BN4457" s="40"/>
      <c r="BO4457" s="40"/>
      <c r="BP4457" s="155"/>
      <c r="BQ4457" s="314"/>
      <c r="BR4457" s="314"/>
      <c r="BS4457" s="314"/>
      <c r="BT4457" s="314"/>
      <c r="BU4457" s="314"/>
      <c r="BV4457" s="314"/>
      <c r="BW4457" s="314"/>
      <c r="BX4457" s="155"/>
    </row>
    <row r="4458" spans="1:76" ht="15.75" customHeight="1">
      <c r="A4458" s="25"/>
      <c r="B4458" s="39"/>
      <c r="C4458" s="155"/>
      <c r="D4458" s="155"/>
      <c r="E4458" s="40"/>
      <c r="F4458" s="314"/>
      <c r="H4458" s="315"/>
      <c r="I4458" s="315"/>
      <c r="BA4458" s="30"/>
      <c r="BB4458" s="155"/>
      <c r="BC4458" s="314"/>
      <c r="BD4458" s="314"/>
      <c r="BE4458" s="314"/>
      <c r="BF4458" s="314"/>
      <c r="BG4458" s="314"/>
      <c r="BH4458" s="314"/>
      <c r="BI4458" s="314"/>
      <c r="BJ4458" s="314"/>
      <c r="BK4458" s="40"/>
      <c r="BL4458" s="40"/>
      <c r="BM4458" s="40"/>
      <c r="BN4458" s="40"/>
      <c r="BO4458" s="40"/>
      <c r="BP4458" s="155"/>
      <c r="BQ4458" s="314"/>
      <c r="BR4458" s="314"/>
      <c r="BS4458" s="314"/>
      <c r="BT4458" s="314"/>
      <c r="BU4458" s="314"/>
      <c r="BV4458" s="314"/>
      <c r="BW4458" s="314"/>
      <c r="BX4458" s="155"/>
    </row>
    <row r="4459" spans="1:76" ht="15.75" customHeight="1">
      <c r="A4459" s="25"/>
      <c r="B4459" s="39"/>
      <c r="C4459" s="155"/>
      <c r="D4459" s="155"/>
      <c r="E4459" s="40"/>
      <c r="F4459" s="314"/>
      <c r="H4459" s="315"/>
      <c r="I4459" s="315"/>
      <c r="BA4459" s="30"/>
      <c r="BB4459" s="155"/>
      <c r="BC4459" s="314"/>
      <c r="BD4459" s="314"/>
      <c r="BE4459" s="314"/>
      <c r="BF4459" s="314"/>
      <c r="BG4459" s="314"/>
      <c r="BH4459" s="314"/>
      <c r="BI4459" s="314"/>
      <c r="BJ4459" s="314"/>
      <c r="BK4459" s="40"/>
      <c r="BL4459" s="40"/>
      <c r="BM4459" s="40"/>
      <c r="BN4459" s="40"/>
      <c r="BO4459" s="40"/>
      <c r="BP4459" s="155"/>
      <c r="BQ4459" s="314"/>
      <c r="BR4459" s="314"/>
      <c r="BS4459" s="314"/>
      <c r="BT4459" s="314"/>
      <c r="BU4459" s="314"/>
      <c r="BV4459" s="314"/>
      <c r="BW4459" s="314"/>
      <c r="BX4459" s="155"/>
    </row>
    <row r="4460" spans="1:76" ht="15.75" customHeight="1">
      <c r="A4460" s="25"/>
      <c r="B4460" s="39"/>
      <c r="C4460" s="155"/>
      <c r="D4460" s="155"/>
      <c r="E4460" s="40"/>
      <c r="F4460" s="314"/>
      <c r="H4460" s="315"/>
      <c r="I4460" s="315"/>
      <c r="BA4460" s="30"/>
      <c r="BB4460" s="155"/>
      <c r="BC4460" s="314"/>
      <c r="BD4460" s="314"/>
      <c r="BE4460" s="314"/>
      <c r="BF4460" s="314"/>
      <c r="BG4460" s="314"/>
      <c r="BH4460" s="314"/>
      <c r="BI4460" s="314"/>
      <c r="BJ4460" s="314"/>
      <c r="BK4460" s="40"/>
      <c r="BL4460" s="40"/>
      <c r="BM4460" s="40"/>
      <c r="BN4460" s="40"/>
      <c r="BO4460" s="40"/>
      <c r="BP4460" s="155"/>
      <c r="BQ4460" s="314"/>
      <c r="BR4460" s="314"/>
      <c r="BS4460" s="314"/>
      <c r="BT4460" s="314"/>
      <c r="BU4460" s="314"/>
      <c r="BV4460" s="314"/>
      <c r="BW4460" s="314"/>
      <c r="BX4460" s="155"/>
    </row>
    <row r="4461" spans="1:76" ht="15.75" customHeight="1">
      <c r="A4461" s="25"/>
      <c r="B4461" s="39"/>
      <c r="C4461" s="155"/>
      <c r="D4461" s="155"/>
      <c r="E4461" s="40"/>
      <c r="F4461" s="314"/>
      <c r="H4461" s="315"/>
      <c r="I4461" s="315"/>
      <c r="BA4461" s="30"/>
      <c r="BB4461" s="155"/>
      <c r="BC4461" s="314"/>
      <c r="BD4461" s="314"/>
      <c r="BE4461" s="314"/>
      <c r="BF4461" s="314"/>
      <c r="BG4461" s="314"/>
      <c r="BH4461" s="314"/>
      <c r="BI4461" s="314"/>
      <c r="BJ4461" s="314"/>
      <c r="BK4461" s="40"/>
      <c r="BL4461" s="40"/>
      <c r="BM4461" s="40"/>
      <c r="BN4461" s="40"/>
      <c r="BO4461" s="40"/>
      <c r="BP4461" s="155"/>
      <c r="BQ4461" s="314"/>
      <c r="BR4461" s="314"/>
      <c r="BS4461" s="314"/>
      <c r="BT4461" s="314"/>
      <c r="BU4461" s="314"/>
      <c r="BV4461" s="314"/>
      <c r="BW4461" s="314"/>
      <c r="BX4461" s="155"/>
    </row>
    <row r="4462" spans="1:76" ht="15.75" customHeight="1">
      <c r="A4462" s="25"/>
      <c r="B4462" s="39"/>
      <c r="C4462" s="155"/>
      <c r="D4462" s="155"/>
      <c r="E4462" s="40"/>
      <c r="F4462" s="314"/>
      <c r="H4462" s="315"/>
      <c r="I4462" s="315"/>
      <c r="BA4462" s="30"/>
      <c r="BB4462" s="155"/>
      <c r="BC4462" s="314"/>
      <c r="BD4462" s="314"/>
      <c r="BE4462" s="314"/>
      <c r="BF4462" s="314"/>
      <c r="BG4462" s="314"/>
      <c r="BH4462" s="314"/>
      <c r="BI4462" s="314"/>
      <c r="BJ4462" s="314"/>
      <c r="BK4462" s="40"/>
      <c r="BL4462" s="40"/>
      <c r="BM4462" s="40"/>
      <c r="BN4462" s="40"/>
      <c r="BO4462" s="40"/>
      <c r="BP4462" s="155"/>
      <c r="BQ4462" s="314"/>
      <c r="BR4462" s="314"/>
      <c r="BS4462" s="314"/>
      <c r="BT4462" s="314"/>
      <c r="BU4462" s="314"/>
      <c r="BV4462" s="314"/>
      <c r="BW4462" s="314"/>
      <c r="BX4462" s="155"/>
    </row>
    <row r="4463" spans="1:76" ht="15.75" customHeight="1">
      <c r="A4463" s="25"/>
      <c r="B4463" s="39"/>
      <c r="C4463" s="155"/>
      <c r="D4463" s="155"/>
      <c r="E4463" s="40"/>
      <c r="F4463" s="314"/>
      <c r="H4463" s="315"/>
      <c r="I4463" s="315"/>
      <c r="BA4463" s="30"/>
      <c r="BB4463" s="155"/>
      <c r="BC4463" s="314"/>
      <c r="BD4463" s="314"/>
      <c r="BE4463" s="314"/>
      <c r="BF4463" s="314"/>
      <c r="BG4463" s="314"/>
      <c r="BH4463" s="314"/>
      <c r="BI4463" s="314"/>
      <c r="BJ4463" s="314"/>
      <c r="BK4463" s="40"/>
      <c r="BL4463" s="40"/>
      <c r="BM4463" s="40"/>
      <c r="BN4463" s="40"/>
      <c r="BO4463" s="40"/>
      <c r="BP4463" s="155"/>
      <c r="BQ4463" s="314"/>
      <c r="BR4463" s="314"/>
      <c r="BS4463" s="314"/>
      <c r="BT4463" s="314"/>
      <c r="BU4463" s="314"/>
      <c r="BV4463" s="314"/>
      <c r="BW4463" s="314"/>
      <c r="BX4463" s="155"/>
    </row>
    <row r="4464" spans="1:76" ht="15.75" customHeight="1">
      <c r="A4464" s="25"/>
      <c r="B4464" s="39"/>
      <c r="C4464" s="155"/>
      <c r="D4464" s="155"/>
      <c r="E4464" s="40"/>
      <c r="F4464" s="314"/>
      <c r="H4464" s="315"/>
      <c r="I4464" s="315"/>
      <c r="BA4464" s="30"/>
      <c r="BB4464" s="155"/>
      <c r="BC4464" s="314"/>
      <c r="BD4464" s="314"/>
      <c r="BE4464" s="314"/>
      <c r="BF4464" s="314"/>
      <c r="BG4464" s="314"/>
      <c r="BH4464" s="314"/>
      <c r="BI4464" s="314"/>
      <c r="BJ4464" s="314"/>
      <c r="BK4464" s="40"/>
      <c r="BL4464" s="40"/>
      <c r="BM4464" s="40"/>
      <c r="BN4464" s="40"/>
      <c r="BO4464" s="40"/>
      <c r="BP4464" s="155"/>
      <c r="BQ4464" s="314"/>
      <c r="BR4464" s="314"/>
      <c r="BS4464" s="314"/>
      <c r="BT4464" s="314"/>
      <c r="BU4464" s="314"/>
      <c r="BV4464" s="314"/>
      <c r="BW4464" s="314"/>
      <c r="BX4464" s="155"/>
    </row>
    <row r="4465" spans="1:76" ht="15.75" customHeight="1">
      <c r="A4465" s="25"/>
      <c r="B4465" s="39"/>
      <c r="C4465" s="155"/>
      <c r="D4465" s="155"/>
      <c r="E4465" s="40"/>
      <c r="F4465" s="314"/>
      <c r="H4465" s="315"/>
      <c r="I4465" s="315"/>
      <c r="BA4465" s="30"/>
      <c r="BB4465" s="155"/>
      <c r="BC4465" s="314"/>
      <c r="BD4465" s="314"/>
      <c r="BE4465" s="314"/>
      <c r="BF4465" s="314"/>
      <c r="BG4465" s="314"/>
      <c r="BH4465" s="314"/>
      <c r="BI4465" s="314"/>
      <c r="BJ4465" s="314"/>
      <c r="BK4465" s="40"/>
      <c r="BL4465" s="40"/>
      <c r="BM4465" s="40"/>
      <c r="BN4465" s="40"/>
      <c r="BO4465" s="40"/>
      <c r="BP4465" s="155"/>
      <c r="BQ4465" s="314"/>
      <c r="BR4465" s="314"/>
      <c r="BS4465" s="314"/>
      <c r="BT4465" s="314"/>
      <c r="BU4465" s="314"/>
      <c r="BV4465" s="314"/>
      <c r="BW4465" s="314"/>
      <c r="BX4465" s="155"/>
    </row>
    <row r="4466" spans="1:76" ht="15.75" customHeight="1">
      <c r="A4466" s="25"/>
      <c r="B4466" s="39"/>
      <c r="C4466" s="155"/>
      <c r="D4466" s="155"/>
      <c r="E4466" s="40"/>
      <c r="F4466" s="314"/>
      <c r="H4466" s="315"/>
      <c r="I4466" s="315"/>
      <c r="BA4466" s="30"/>
      <c r="BB4466" s="155"/>
      <c r="BC4466" s="314"/>
      <c r="BD4466" s="314"/>
      <c r="BE4466" s="314"/>
      <c r="BF4466" s="314"/>
      <c r="BG4466" s="314"/>
      <c r="BH4466" s="314"/>
      <c r="BI4466" s="314"/>
      <c r="BJ4466" s="314"/>
      <c r="BK4466" s="40"/>
      <c r="BL4466" s="40"/>
      <c r="BM4466" s="40"/>
      <c r="BN4466" s="40"/>
      <c r="BO4466" s="40"/>
      <c r="BP4466" s="155"/>
      <c r="BQ4466" s="314"/>
      <c r="BR4466" s="314"/>
      <c r="BS4466" s="314"/>
      <c r="BT4466" s="314"/>
      <c r="BU4466" s="314"/>
      <c r="BV4466" s="314"/>
      <c r="BW4466" s="314"/>
      <c r="BX4466" s="155"/>
    </row>
    <row r="4467" spans="1:76" ht="15.75" customHeight="1">
      <c r="A4467" s="25"/>
      <c r="B4467" s="39"/>
      <c r="C4467" s="155"/>
      <c r="D4467" s="155"/>
      <c r="E4467" s="40"/>
      <c r="F4467" s="314"/>
      <c r="H4467" s="315"/>
      <c r="I4467" s="315"/>
      <c r="BA4467" s="30"/>
      <c r="BB4467" s="155"/>
      <c r="BC4467" s="314"/>
      <c r="BD4467" s="314"/>
      <c r="BE4467" s="314"/>
      <c r="BF4467" s="314"/>
      <c r="BG4467" s="314"/>
      <c r="BH4467" s="314"/>
      <c r="BI4467" s="314"/>
      <c r="BJ4467" s="314"/>
      <c r="BK4467" s="40"/>
      <c r="BL4467" s="40"/>
      <c r="BM4467" s="40"/>
      <c r="BN4467" s="40"/>
      <c r="BO4467" s="40"/>
      <c r="BP4467" s="155"/>
      <c r="BQ4467" s="314"/>
      <c r="BR4467" s="314"/>
      <c r="BS4467" s="314"/>
      <c r="BT4467" s="314"/>
      <c r="BU4467" s="314"/>
      <c r="BV4467" s="314"/>
      <c r="BW4467" s="314"/>
      <c r="BX4467" s="155"/>
    </row>
    <row r="4468" spans="1:76" ht="15.75" customHeight="1">
      <c r="A4468" s="25"/>
      <c r="B4468" s="39"/>
      <c r="C4468" s="155"/>
      <c r="D4468" s="155"/>
      <c r="E4468" s="40"/>
      <c r="F4468" s="314"/>
      <c r="H4468" s="315"/>
      <c r="I4468" s="315"/>
      <c r="BA4468" s="30"/>
      <c r="BB4468" s="155"/>
      <c r="BC4468" s="314"/>
      <c r="BD4468" s="314"/>
      <c r="BE4468" s="314"/>
      <c r="BF4468" s="314"/>
      <c r="BG4468" s="314"/>
      <c r="BH4468" s="314"/>
      <c r="BI4468" s="314"/>
      <c r="BJ4468" s="314"/>
      <c r="BK4468" s="40"/>
      <c r="BL4468" s="40"/>
      <c r="BM4468" s="40"/>
      <c r="BN4468" s="40"/>
      <c r="BO4468" s="40"/>
      <c r="BP4468" s="155"/>
      <c r="BQ4468" s="314"/>
      <c r="BR4468" s="314"/>
      <c r="BS4468" s="314"/>
      <c r="BT4468" s="314"/>
      <c r="BU4468" s="314"/>
      <c r="BV4468" s="314"/>
      <c r="BW4468" s="314"/>
      <c r="BX4468" s="155"/>
    </row>
    <row r="4469" spans="1:76" ht="15.75" customHeight="1">
      <c r="A4469" s="25"/>
      <c r="B4469" s="39"/>
      <c r="C4469" s="155"/>
      <c r="D4469" s="155"/>
      <c r="E4469" s="40"/>
      <c r="F4469" s="314"/>
      <c r="H4469" s="315"/>
      <c r="I4469" s="315"/>
      <c r="BA4469" s="30"/>
      <c r="BB4469" s="155"/>
      <c r="BC4469" s="314"/>
      <c r="BD4469" s="314"/>
      <c r="BE4469" s="314"/>
      <c r="BF4469" s="314"/>
      <c r="BG4469" s="314"/>
      <c r="BH4469" s="314"/>
      <c r="BI4469" s="314"/>
      <c r="BJ4469" s="314"/>
      <c r="BK4469" s="40"/>
      <c r="BL4469" s="40"/>
      <c r="BM4469" s="40"/>
      <c r="BN4469" s="40"/>
      <c r="BO4469" s="40"/>
      <c r="BP4469" s="155"/>
      <c r="BQ4469" s="314"/>
      <c r="BR4469" s="314"/>
      <c r="BS4469" s="314"/>
      <c r="BT4469" s="314"/>
      <c r="BU4469" s="314"/>
      <c r="BV4469" s="314"/>
      <c r="BW4469" s="314"/>
      <c r="BX4469" s="155"/>
    </row>
    <row r="4470" spans="1:76" ht="15.75" customHeight="1">
      <c r="A4470" s="25"/>
      <c r="B4470" s="39"/>
      <c r="C4470" s="155"/>
      <c r="D4470" s="155"/>
      <c r="E4470" s="40"/>
      <c r="F4470" s="314"/>
      <c r="H4470" s="315"/>
      <c r="I4470" s="315"/>
      <c r="BA4470" s="30"/>
      <c r="BB4470" s="155"/>
      <c r="BC4470" s="314"/>
      <c r="BD4470" s="314"/>
      <c r="BE4470" s="314"/>
      <c r="BF4470" s="314"/>
      <c r="BG4470" s="314"/>
      <c r="BH4470" s="314"/>
      <c r="BI4470" s="314"/>
      <c r="BJ4470" s="314"/>
      <c r="BK4470" s="40"/>
      <c r="BL4470" s="40"/>
      <c r="BM4470" s="40"/>
      <c r="BN4470" s="40"/>
      <c r="BO4470" s="40"/>
      <c r="BP4470" s="155"/>
      <c r="BQ4470" s="314"/>
      <c r="BR4470" s="314"/>
      <c r="BS4470" s="314"/>
      <c r="BT4470" s="314"/>
      <c r="BU4470" s="314"/>
      <c r="BV4470" s="314"/>
      <c r="BW4470" s="314"/>
      <c r="BX4470" s="155"/>
    </row>
    <row r="4471" spans="1:76" ht="15.75" customHeight="1">
      <c r="A4471" s="25"/>
      <c r="B4471" s="39"/>
      <c r="C4471" s="155"/>
      <c r="D4471" s="155"/>
      <c r="E4471" s="40"/>
      <c r="F4471" s="314"/>
      <c r="H4471" s="315"/>
      <c r="I4471" s="315"/>
      <c r="BA4471" s="30"/>
      <c r="BB4471" s="155"/>
      <c r="BC4471" s="314"/>
      <c r="BD4471" s="314"/>
      <c r="BE4471" s="314"/>
      <c r="BF4471" s="314"/>
      <c r="BG4471" s="314"/>
      <c r="BH4471" s="314"/>
      <c r="BI4471" s="314"/>
      <c r="BJ4471" s="314"/>
      <c r="BK4471" s="40"/>
      <c r="BL4471" s="40"/>
      <c r="BM4471" s="40"/>
      <c r="BN4471" s="40"/>
      <c r="BO4471" s="40"/>
      <c r="BP4471" s="155"/>
      <c r="BQ4471" s="314"/>
      <c r="BR4471" s="314"/>
      <c r="BS4471" s="314"/>
      <c r="BT4471" s="314"/>
      <c r="BU4471" s="314"/>
      <c r="BV4471" s="314"/>
      <c r="BW4471" s="314"/>
      <c r="BX4471" s="155"/>
    </row>
    <row r="4472" spans="1:76" ht="15.75" customHeight="1">
      <c r="A4472" s="25"/>
      <c r="B4472" s="39"/>
      <c r="C4472" s="155"/>
      <c r="D4472" s="155"/>
      <c r="E4472" s="40"/>
      <c r="F4472" s="314"/>
      <c r="H4472" s="315"/>
      <c r="I4472" s="315"/>
      <c r="BA4472" s="30"/>
      <c r="BB4472" s="155"/>
      <c r="BC4472" s="314"/>
      <c r="BD4472" s="314"/>
      <c r="BE4472" s="314"/>
      <c r="BF4472" s="314"/>
      <c r="BG4472" s="314"/>
      <c r="BH4472" s="314"/>
      <c r="BI4472" s="314"/>
      <c r="BJ4472" s="314"/>
      <c r="BK4472" s="40"/>
      <c r="BL4472" s="40"/>
      <c r="BM4472" s="40"/>
      <c r="BN4472" s="40"/>
      <c r="BO4472" s="40"/>
      <c r="BP4472" s="155"/>
      <c r="BQ4472" s="314"/>
      <c r="BR4472" s="314"/>
      <c r="BS4472" s="314"/>
      <c r="BT4472" s="314"/>
      <c r="BU4472" s="314"/>
      <c r="BV4472" s="314"/>
      <c r="BW4472" s="314"/>
      <c r="BX4472" s="155"/>
    </row>
    <row r="4473" spans="1:76" ht="15.75" customHeight="1">
      <c r="A4473" s="25"/>
      <c r="B4473" s="39"/>
      <c r="C4473" s="155"/>
      <c r="D4473" s="155"/>
      <c r="E4473" s="40"/>
      <c r="F4473" s="314"/>
      <c r="H4473" s="315"/>
      <c r="I4473" s="315"/>
      <c r="BA4473" s="30"/>
      <c r="BB4473" s="155"/>
      <c r="BC4473" s="314"/>
      <c r="BD4473" s="314"/>
      <c r="BE4473" s="314"/>
      <c r="BF4473" s="314"/>
      <c r="BG4473" s="314"/>
      <c r="BH4473" s="314"/>
      <c r="BI4473" s="314"/>
      <c r="BJ4473" s="314"/>
      <c r="BK4473" s="40"/>
      <c r="BL4473" s="40"/>
      <c r="BM4473" s="40"/>
      <c r="BN4473" s="40"/>
      <c r="BO4473" s="40"/>
      <c r="BP4473" s="155"/>
      <c r="BQ4473" s="314"/>
      <c r="BR4473" s="314"/>
      <c r="BS4473" s="314"/>
      <c r="BT4473" s="314"/>
      <c r="BU4473" s="314"/>
      <c r="BV4473" s="314"/>
      <c r="BW4473" s="314"/>
      <c r="BX4473" s="155"/>
    </row>
    <row r="4474" spans="1:76" ht="15.75" customHeight="1">
      <c r="A4474" s="25"/>
      <c r="B4474" s="39"/>
      <c r="C4474" s="155"/>
      <c r="D4474" s="155"/>
      <c r="E4474" s="40"/>
      <c r="F4474" s="314"/>
      <c r="H4474" s="315"/>
      <c r="I4474" s="315"/>
      <c r="BA4474" s="30"/>
      <c r="BB4474" s="155"/>
      <c r="BC4474" s="314"/>
      <c r="BD4474" s="314"/>
      <c r="BE4474" s="314"/>
      <c r="BF4474" s="314"/>
      <c r="BG4474" s="314"/>
      <c r="BH4474" s="314"/>
      <c r="BI4474" s="314"/>
      <c r="BJ4474" s="314"/>
      <c r="BK4474" s="40"/>
      <c r="BL4474" s="40"/>
      <c r="BM4474" s="40"/>
      <c r="BN4474" s="40"/>
      <c r="BO4474" s="40"/>
      <c r="BP4474" s="155"/>
      <c r="BQ4474" s="314"/>
      <c r="BR4474" s="314"/>
      <c r="BS4474" s="314"/>
      <c r="BT4474" s="314"/>
      <c r="BU4474" s="314"/>
      <c r="BV4474" s="314"/>
      <c r="BW4474" s="314"/>
      <c r="BX4474" s="155"/>
    </row>
    <row r="4475" spans="1:76" ht="15.75" customHeight="1">
      <c r="A4475" s="25"/>
      <c r="B4475" s="39"/>
      <c r="C4475" s="155"/>
      <c r="D4475" s="155"/>
      <c r="E4475" s="40"/>
      <c r="F4475" s="314"/>
      <c r="H4475" s="315"/>
      <c r="I4475" s="315"/>
      <c r="BA4475" s="30"/>
      <c r="BB4475" s="155"/>
      <c r="BC4475" s="314"/>
      <c r="BD4475" s="314"/>
      <c r="BE4475" s="314"/>
      <c r="BF4475" s="314"/>
      <c r="BG4475" s="314"/>
      <c r="BH4475" s="314"/>
      <c r="BI4475" s="314"/>
      <c r="BJ4475" s="314"/>
      <c r="BK4475" s="40"/>
      <c r="BL4475" s="40"/>
      <c r="BM4475" s="40"/>
      <c r="BN4475" s="40"/>
      <c r="BO4475" s="40"/>
      <c r="BP4475" s="155"/>
      <c r="BQ4475" s="314"/>
      <c r="BR4475" s="314"/>
      <c r="BS4475" s="314"/>
      <c r="BT4475" s="314"/>
      <c r="BU4475" s="314"/>
      <c r="BV4475" s="314"/>
      <c r="BW4475" s="314"/>
      <c r="BX4475" s="155"/>
    </row>
    <row r="4476" spans="1:76" ht="15.75" customHeight="1">
      <c r="A4476" s="25"/>
      <c r="B4476" s="39"/>
      <c r="C4476" s="155"/>
      <c r="D4476" s="155"/>
      <c r="E4476" s="40"/>
      <c r="F4476" s="314"/>
      <c r="H4476" s="315"/>
      <c r="I4476" s="315"/>
      <c r="BA4476" s="30"/>
      <c r="BB4476" s="155"/>
      <c r="BC4476" s="314"/>
      <c r="BD4476" s="314"/>
      <c r="BE4476" s="314"/>
      <c r="BF4476" s="314"/>
      <c r="BG4476" s="314"/>
      <c r="BH4476" s="314"/>
      <c r="BI4476" s="314"/>
      <c r="BJ4476" s="314"/>
      <c r="BK4476" s="40"/>
      <c r="BL4476" s="40"/>
      <c r="BM4476" s="40"/>
      <c r="BN4476" s="40"/>
      <c r="BO4476" s="40"/>
      <c r="BP4476" s="155"/>
      <c r="BQ4476" s="314"/>
      <c r="BR4476" s="314"/>
      <c r="BS4476" s="314"/>
      <c r="BT4476" s="314"/>
      <c r="BU4476" s="314"/>
      <c r="BV4476" s="314"/>
      <c r="BW4476" s="314"/>
      <c r="BX4476" s="155"/>
    </row>
    <row r="4477" spans="1:76" ht="15.75" customHeight="1">
      <c r="A4477" s="25"/>
      <c r="B4477" s="39"/>
      <c r="C4477" s="155"/>
      <c r="D4477" s="155"/>
      <c r="E4477" s="40"/>
      <c r="F4477" s="314"/>
      <c r="H4477" s="315"/>
      <c r="I4477" s="315"/>
      <c r="BA4477" s="30"/>
      <c r="BB4477" s="155"/>
      <c r="BC4477" s="322"/>
      <c r="BD4477" s="322"/>
      <c r="BE4477" s="322"/>
      <c r="BF4477" s="322"/>
      <c r="BG4477" s="322"/>
      <c r="BH4477" s="322"/>
      <c r="BI4477" s="322"/>
      <c r="BJ4477" s="322"/>
      <c r="BK4477" s="341"/>
      <c r="BL4477" s="40"/>
      <c r="BM4477" s="40"/>
      <c r="BN4477" s="40"/>
      <c r="BO4477" s="40"/>
      <c r="BP4477" s="155"/>
      <c r="BQ4477" s="314"/>
      <c r="BR4477" s="314"/>
      <c r="BS4477" s="314"/>
      <c r="BT4477" s="314"/>
      <c r="BU4477" s="314"/>
      <c r="BV4477" s="314"/>
      <c r="BW4477" s="314"/>
      <c r="BX4477" s="155"/>
    </row>
    <row r="4478" spans="1:76" ht="15.75" customHeight="1">
      <c r="A4478" s="25"/>
      <c r="B4478" s="39"/>
      <c r="C4478" s="155"/>
      <c r="D4478" s="155"/>
      <c r="E4478" s="40"/>
      <c r="F4478" s="314"/>
      <c r="H4478" s="315"/>
      <c r="I4478" s="315"/>
      <c r="BA4478" s="30"/>
      <c r="BB4478" s="155"/>
      <c r="BC4478" s="314"/>
      <c r="BD4478" s="314"/>
      <c r="BE4478" s="314"/>
      <c r="BF4478" s="314"/>
      <c r="BG4478" s="314"/>
      <c r="BH4478" s="314"/>
      <c r="BI4478" s="314"/>
      <c r="BJ4478" s="314"/>
      <c r="BK4478" s="40"/>
      <c r="BL4478" s="40"/>
      <c r="BM4478" s="40"/>
      <c r="BN4478" s="40"/>
      <c r="BO4478" s="40"/>
      <c r="BP4478" s="155"/>
      <c r="BQ4478" s="314"/>
      <c r="BR4478" s="314"/>
      <c r="BS4478" s="314"/>
      <c r="BT4478" s="314"/>
      <c r="BU4478" s="314"/>
      <c r="BV4478" s="314"/>
      <c r="BW4478" s="314"/>
      <c r="BX4478" s="155"/>
    </row>
    <row r="4479" spans="1:76" ht="15.75" customHeight="1">
      <c r="A4479" s="25"/>
      <c r="B4479" s="39"/>
      <c r="C4479" s="155"/>
      <c r="D4479" s="155"/>
      <c r="E4479" s="40"/>
      <c r="F4479" s="314"/>
      <c r="H4479" s="315"/>
      <c r="I4479" s="315"/>
      <c r="BA4479" s="30"/>
      <c r="BB4479" s="155"/>
      <c r="BC4479" s="314"/>
      <c r="BD4479" s="314"/>
      <c r="BE4479" s="314"/>
      <c r="BF4479" s="314"/>
      <c r="BG4479" s="314"/>
      <c r="BH4479" s="314"/>
      <c r="BI4479" s="314"/>
      <c r="BJ4479" s="314"/>
      <c r="BK4479" s="40"/>
      <c r="BL4479" s="40"/>
      <c r="BM4479" s="40"/>
      <c r="BN4479" s="40"/>
      <c r="BO4479" s="40"/>
      <c r="BP4479" s="155"/>
      <c r="BQ4479" s="314"/>
      <c r="BR4479" s="314"/>
      <c r="BS4479" s="314"/>
      <c r="BT4479" s="314"/>
      <c r="BU4479" s="314"/>
      <c r="BV4479" s="314"/>
      <c r="BW4479" s="314"/>
      <c r="BX4479" s="155"/>
    </row>
    <row r="4480" spans="1:76" ht="15.75" customHeight="1">
      <c r="A4480" s="25"/>
      <c r="B4480" s="39"/>
      <c r="C4480" s="155"/>
      <c r="D4480" s="155"/>
      <c r="E4480" s="40"/>
      <c r="F4480" s="314"/>
      <c r="H4480" s="315"/>
      <c r="I4480" s="315"/>
      <c r="BA4480" s="30"/>
      <c r="BB4480" s="155"/>
      <c r="BC4480" s="314"/>
      <c r="BD4480" s="314"/>
      <c r="BE4480" s="314"/>
      <c r="BF4480" s="314"/>
      <c r="BG4480" s="314"/>
      <c r="BH4480" s="314"/>
      <c r="BI4480" s="314"/>
      <c r="BJ4480" s="314"/>
      <c r="BK4480" s="40"/>
      <c r="BL4480" s="40"/>
      <c r="BM4480" s="40"/>
      <c r="BN4480" s="40"/>
      <c r="BO4480" s="40"/>
      <c r="BP4480" s="155"/>
      <c r="BQ4480" s="314"/>
      <c r="BR4480" s="314"/>
      <c r="BS4480" s="314"/>
      <c r="BT4480" s="314"/>
      <c r="BU4480" s="314"/>
      <c r="BV4480" s="314"/>
      <c r="BW4480" s="314"/>
      <c r="BX4480" s="155"/>
    </row>
    <row r="4481" spans="1:76" ht="15.75" customHeight="1">
      <c r="A4481" s="25"/>
      <c r="B4481" s="39"/>
      <c r="C4481" s="155"/>
      <c r="D4481" s="155"/>
      <c r="E4481" s="40"/>
      <c r="F4481" s="314"/>
      <c r="H4481" s="315"/>
      <c r="I4481" s="315"/>
      <c r="BA4481" s="30"/>
      <c r="BB4481" s="155"/>
      <c r="BC4481" s="314"/>
      <c r="BD4481" s="314"/>
      <c r="BE4481" s="314"/>
      <c r="BF4481" s="314"/>
      <c r="BG4481" s="314"/>
      <c r="BH4481" s="314"/>
      <c r="BI4481" s="314"/>
      <c r="BJ4481" s="314"/>
      <c r="BK4481" s="40"/>
      <c r="BL4481" s="40"/>
      <c r="BM4481" s="40"/>
      <c r="BN4481" s="40"/>
      <c r="BO4481" s="40"/>
      <c r="BP4481" s="155"/>
      <c r="BQ4481" s="314"/>
      <c r="BR4481" s="314"/>
      <c r="BS4481" s="314"/>
      <c r="BT4481" s="314"/>
      <c r="BU4481" s="314"/>
      <c r="BV4481" s="314"/>
      <c r="BW4481" s="314"/>
      <c r="BX4481" s="155"/>
    </row>
    <row r="4482" spans="1:76" ht="15.75" customHeight="1">
      <c r="A4482" s="25"/>
      <c r="B4482" s="39"/>
      <c r="C4482" s="155"/>
      <c r="D4482" s="155"/>
      <c r="E4482" s="40"/>
      <c r="F4482" s="314"/>
      <c r="H4482" s="315"/>
      <c r="I4482" s="315"/>
      <c r="BA4482" s="30"/>
      <c r="BB4482" s="155"/>
      <c r="BC4482" s="314"/>
      <c r="BD4482" s="314"/>
      <c r="BE4482" s="314"/>
      <c r="BF4482" s="314"/>
      <c r="BG4482" s="314"/>
      <c r="BH4482" s="314"/>
      <c r="BI4482" s="314"/>
      <c r="BJ4482" s="314"/>
      <c r="BK4482" s="40"/>
      <c r="BL4482" s="40"/>
      <c r="BM4482" s="40"/>
      <c r="BN4482" s="40"/>
      <c r="BO4482" s="40"/>
      <c r="BP4482" s="155"/>
      <c r="BQ4482" s="314"/>
      <c r="BR4482" s="314"/>
      <c r="BS4482" s="314"/>
      <c r="BT4482" s="314"/>
      <c r="BU4482" s="314"/>
      <c r="BV4482" s="314"/>
      <c r="BW4482" s="314"/>
      <c r="BX4482" s="155"/>
    </row>
    <row r="4483" spans="1:76" ht="15.75" customHeight="1">
      <c r="A4483" s="25"/>
      <c r="B4483" s="39"/>
      <c r="C4483" s="155"/>
      <c r="D4483" s="155"/>
      <c r="E4483" s="40"/>
      <c r="F4483" s="314"/>
      <c r="H4483" s="315"/>
      <c r="I4483" s="315"/>
      <c r="BA4483" s="30"/>
      <c r="BB4483" s="155"/>
      <c r="BC4483" s="314"/>
      <c r="BD4483" s="314"/>
      <c r="BE4483" s="314"/>
      <c r="BF4483" s="314"/>
      <c r="BG4483" s="314"/>
      <c r="BH4483" s="314"/>
      <c r="BI4483" s="314"/>
      <c r="BJ4483" s="314"/>
      <c r="BK4483" s="40"/>
      <c r="BL4483" s="40"/>
      <c r="BM4483" s="40"/>
      <c r="BN4483" s="40"/>
      <c r="BO4483" s="40"/>
      <c r="BP4483" s="155"/>
      <c r="BQ4483" s="314"/>
      <c r="BR4483" s="314"/>
      <c r="BS4483" s="314"/>
      <c r="BT4483" s="314"/>
      <c r="BU4483" s="314"/>
      <c r="BV4483" s="314"/>
      <c r="BW4483" s="314"/>
      <c r="BX4483" s="155"/>
    </row>
    <row r="4484" spans="1:76" ht="15.75" customHeight="1">
      <c r="A4484" s="25"/>
      <c r="B4484" s="39"/>
      <c r="C4484" s="155"/>
      <c r="D4484" s="155"/>
      <c r="E4484" s="40"/>
      <c r="F4484" s="314"/>
      <c r="H4484" s="315"/>
      <c r="I4484" s="315"/>
      <c r="BA4484" s="30"/>
      <c r="BB4484" s="155"/>
      <c r="BC4484" s="314"/>
      <c r="BD4484" s="314"/>
      <c r="BE4484" s="314"/>
      <c r="BF4484" s="314"/>
      <c r="BG4484" s="314"/>
      <c r="BH4484" s="314"/>
      <c r="BI4484" s="314"/>
      <c r="BJ4484" s="314"/>
      <c r="BK4484" s="40"/>
      <c r="BL4484" s="40"/>
      <c r="BM4484" s="40"/>
      <c r="BN4484" s="40"/>
      <c r="BO4484" s="40"/>
      <c r="BP4484" s="155"/>
      <c r="BQ4484" s="314"/>
      <c r="BR4484" s="314"/>
      <c r="BS4484" s="314"/>
      <c r="BT4484" s="314"/>
      <c r="BU4484" s="314"/>
      <c r="BV4484" s="314"/>
      <c r="BW4484" s="314"/>
      <c r="BX4484" s="155"/>
    </row>
    <row r="4485" spans="1:76" ht="15.75" customHeight="1">
      <c r="A4485" s="25"/>
      <c r="B4485" s="39"/>
      <c r="C4485" s="155"/>
      <c r="D4485" s="155"/>
      <c r="E4485" s="40"/>
      <c r="F4485" s="314"/>
      <c r="H4485" s="315"/>
      <c r="I4485" s="315"/>
      <c r="BA4485" s="30"/>
      <c r="BB4485" s="155"/>
      <c r="BC4485" s="314"/>
      <c r="BD4485" s="314"/>
      <c r="BE4485" s="314"/>
      <c r="BF4485" s="314"/>
      <c r="BG4485" s="314"/>
      <c r="BH4485" s="314"/>
      <c r="BI4485" s="314"/>
      <c r="BJ4485" s="314"/>
      <c r="BK4485" s="40"/>
      <c r="BL4485" s="40"/>
      <c r="BM4485" s="40"/>
      <c r="BN4485" s="40"/>
      <c r="BO4485" s="40"/>
      <c r="BP4485" s="155"/>
      <c r="BQ4485" s="314"/>
      <c r="BR4485" s="314"/>
      <c r="BS4485" s="314"/>
      <c r="BT4485" s="314"/>
      <c r="BU4485" s="314"/>
      <c r="BV4485" s="314"/>
      <c r="BW4485" s="314"/>
      <c r="BX4485" s="155"/>
    </row>
    <row r="4486" spans="1:76" ht="15.75" customHeight="1">
      <c r="A4486" s="25"/>
      <c r="B4486" s="39"/>
      <c r="C4486" s="155"/>
      <c r="D4486" s="155"/>
      <c r="E4486" s="40"/>
      <c r="F4486" s="314"/>
      <c r="H4486" s="315"/>
      <c r="I4486" s="315"/>
      <c r="BA4486" s="30"/>
      <c r="BB4486" s="155"/>
      <c r="BC4486" s="314"/>
      <c r="BD4486" s="314"/>
      <c r="BE4486" s="314"/>
      <c r="BF4486" s="314"/>
      <c r="BG4486" s="314"/>
      <c r="BH4486" s="314"/>
      <c r="BI4486" s="314"/>
      <c r="BJ4486" s="314"/>
      <c r="BK4486" s="40"/>
      <c r="BL4486" s="40"/>
      <c r="BM4486" s="40"/>
      <c r="BN4486" s="40"/>
      <c r="BO4486" s="40"/>
      <c r="BP4486" s="155"/>
      <c r="BQ4486" s="314"/>
      <c r="BR4486" s="314"/>
      <c r="BS4486" s="314"/>
      <c r="BT4486" s="314"/>
      <c r="BU4486" s="314"/>
      <c r="BV4486" s="314"/>
      <c r="BW4486" s="314"/>
      <c r="BX4486" s="155"/>
    </row>
    <row r="4487" spans="1:76" ht="15.75" customHeight="1">
      <c r="A4487" s="25"/>
      <c r="B4487" s="39"/>
      <c r="C4487" s="155"/>
      <c r="D4487" s="155"/>
      <c r="E4487" s="40"/>
      <c r="F4487" s="314"/>
      <c r="H4487" s="315"/>
      <c r="I4487" s="315"/>
      <c r="BA4487" s="30"/>
      <c r="BB4487" s="155"/>
      <c r="BC4487" s="314"/>
      <c r="BD4487" s="314"/>
      <c r="BE4487" s="314"/>
      <c r="BF4487" s="314"/>
      <c r="BG4487" s="314"/>
      <c r="BH4487" s="314"/>
      <c r="BI4487" s="314"/>
      <c r="BJ4487" s="314"/>
      <c r="BK4487" s="40"/>
      <c r="BL4487" s="40"/>
      <c r="BM4487" s="40"/>
      <c r="BN4487" s="40"/>
      <c r="BO4487" s="40"/>
      <c r="BP4487" s="155"/>
      <c r="BQ4487" s="314"/>
      <c r="BR4487" s="314"/>
      <c r="BS4487" s="314"/>
      <c r="BT4487" s="314"/>
      <c r="BU4487" s="314"/>
      <c r="BV4487" s="314"/>
      <c r="BW4487" s="314"/>
      <c r="BX4487" s="155"/>
    </row>
    <row r="4488" spans="1:76" ht="15.75" customHeight="1">
      <c r="A4488" s="25"/>
      <c r="B4488" s="39"/>
      <c r="C4488" s="155"/>
      <c r="D4488" s="155"/>
      <c r="E4488" s="40"/>
      <c r="F4488" s="314"/>
      <c r="H4488" s="315"/>
      <c r="I4488" s="315"/>
      <c r="BA4488" s="30"/>
      <c r="BB4488" s="155"/>
      <c r="BC4488" s="314"/>
      <c r="BD4488" s="314"/>
      <c r="BE4488" s="314"/>
      <c r="BF4488" s="314"/>
      <c r="BG4488" s="314"/>
      <c r="BH4488" s="314"/>
      <c r="BI4488" s="314"/>
      <c r="BJ4488" s="314"/>
      <c r="BK4488" s="40"/>
      <c r="BL4488" s="40"/>
      <c r="BM4488" s="40"/>
      <c r="BN4488" s="40"/>
      <c r="BO4488" s="40"/>
      <c r="BP4488" s="155"/>
      <c r="BQ4488" s="314"/>
      <c r="BR4488" s="314"/>
      <c r="BS4488" s="314"/>
      <c r="BT4488" s="314"/>
      <c r="BU4488" s="314"/>
      <c r="BV4488" s="314"/>
      <c r="BW4488" s="314"/>
      <c r="BX4488" s="155"/>
    </row>
    <row r="4489" spans="1:76" ht="15.75" customHeight="1">
      <c r="A4489" s="25"/>
      <c r="B4489" s="39"/>
      <c r="C4489" s="155"/>
      <c r="D4489" s="155"/>
      <c r="E4489" s="40"/>
      <c r="F4489" s="314"/>
      <c r="H4489" s="315"/>
      <c r="I4489" s="315"/>
      <c r="BA4489" s="30"/>
      <c r="BB4489" s="155"/>
      <c r="BC4489" s="314"/>
      <c r="BD4489" s="314"/>
      <c r="BE4489" s="314"/>
      <c r="BF4489" s="314"/>
      <c r="BG4489" s="314"/>
      <c r="BH4489" s="314"/>
      <c r="BI4489" s="314"/>
      <c r="BJ4489" s="314"/>
      <c r="BK4489" s="40"/>
      <c r="BL4489" s="40"/>
      <c r="BM4489" s="40"/>
      <c r="BN4489" s="40"/>
      <c r="BO4489" s="40"/>
      <c r="BP4489" s="155"/>
      <c r="BQ4489" s="314"/>
      <c r="BR4489" s="314"/>
      <c r="BS4489" s="314"/>
      <c r="BT4489" s="314"/>
      <c r="BU4489" s="314"/>
      <c r="BV4489" s="314"/>
      <c r="BW4489" s="314"/>
      <c r="BX4489" s="155"/>
    </row>
    <row r="4490" spans="1:76" ht="15.75" customHeight="1">
      <c r="A4490" s="25"/>
      <c r="B4490" s="39"/>
      <c r="C4490" s="155"/>
      <c r="D4490" s="155"/>
      <c r="E4490" s="40"/>
      <c r="F4490" s="314"/>
      <c r="H4490" s="315"/>
      <c r="I4490" s="315"/>
      <c r="BA4490" s="30"/>
      <c r="BB4490" s="155"/>
      <c r="BC4490" s="314"/>
      <c r="BD4490" s="314"/>
      <c r="BE4490" s="314"/>
      <c r="BF4490" s="314"/>
      <c r="BG4490" s="314"/>
      <c r="BH4490" s="314"/>
      <c r="BI4490" s="314"/>
      <c r="BJ4490" s="314"/>
      <c r="BK4490" s="40"/>
      <c r="BL4490" s="40"/>
      <c r="BM4490" s="40"/>
      <c r="BN4490" s="40"/>
      <c r="BO4490" s="40"/>
      <c r="BP4490" s="155"/>
      <c r="BQ4490" s="314"/>
      <c r="BR4490" s="314"/>
      <c r="BS4490" s="314"/>
      <c r="BT4490" s="314"/>
      <c r="BU4490" s="314"/>
      <c r="BV4490" s="314"/>
      <c r="BW4490" s="314"/>
      <c r="BX4490" s="155"/>
    </row>
    <row r="4491" spans="1:76" ht="15.75" customHeight="1">
      <c r="A4491" s="25"/>
      <c r="B4491" s="39"/>
      <c r="C4491" s="155"/>
      <c r="D4491" s="155"/>
      <c r="E4491" s="40"/>
      <c r="F4491" s="314"/>
      <c r="H4491" s="315"/>
      <c r="I4491" s="315"/>
      <c r="BA4491" s="30"/>
      <c r="BB4491" s="155"/>
      <c r="BC4491" s="314"/>
      <c r="BD4491" s="314"/>
      <c r="BE4491" s="314"/>
      <c r="BF4491" s="314"/>
      <c r="BG4491" s="314"/>
      <c r="BH4491" s="314"/>
      <c r="BI4491" s="314"/>
      <c r="BJ4491" s="314"/>
      <c r="BK4491" s="40"/>
      <c r="BL4491" s="40"/>
      <c r="BM4491" s="40"/>
      <c r="BN4491" s="40"/>
      <c r="BO4491" s="40"/>
      <c r="BP4491" s="155"/>
      <c r="BQ4491" s="314"/>
      <c r="BR4491" s="314"/>
      <c r="BS4491" s="314"/>
      <c r="BT4491" s="314"/>
      <c r="BU4491" s="314"/>
      <c r="BV4491" s="314"/>
      <c r="BW4491" s="314"/>
      <c r="BX4491" s="155"/>
    </row>
    <row r="4492" spans="1:76" ht="15.75" customHeight="1">
      <c r="A4492" s="25"/>
      <c r="B4492" s="39"/>
      <c r="C4492" s="155"/>
      <c r="D4492" s="155"/>
      <c r="E4492" s="40"/>
      <c r="F4492" s="314"/>
      <c r="H4492" s="315"/>
      <c r="I4492" s="315"/>
      <c r="BA4492" s="30"/>
      <c r="BB4492" s="155"/>
      <c r="BC4492" s="314"/>
      <c r="BD4492" s="314"/>
      <c r="BE4492" s="314"/>
      <c r="BF4492" s="314"/>
      <c r="BG4492" s="314"/>
      <c r="BH4492" s="314"/>
      <c r="BI4492" s="314"/>
      <c r="BJ4492" s="314"/>
      <c r="BK4492" s="40"/>
      <c r="BL4492" s="40"/>
      <c r="BM4492" s="40"/>
      <c r="BN4492" s="40"/>
      <c r="BO4492" s="40"/>
      <c r="BP4492" s="155"/>
      <c r="BQ4492" s="314"/>
      <c r="BR4492" s="314"/>
      <c r="BS4492" s="314"/>
      <c r="BT4492" s="314"/>
      <c r="BU4492" s="314"/>
      <c r="BV4492" s="314"/>
      <c r="BW4492" s="314"/>
      <c r="BX4492" s="155"/>
    </row>
    <row r="4493" spans="1:76" ht="15.75" customHeight="1">
      <c r="A4493" s="25"/>
      <c r="B4493" s="39"/>
      <c r="C4493" s="155"/>
      <c r="D4493" s="155"/>
      <c r="E4493" s="40"/>
      <c r="F4493" s="314"/>
      <c r="H4493" s="315"/>
      <c r="I4493" s="315"/>
      <c r="BA4493" s="30"/>
      <c r="BB4493" s="155"/>
      <c r="BC4493" s="314"/>
      <c r="BD4493" s="314"/>
      <c r="BE4493" s="314"/>
      <c r="BF4493" s="314"/>
      <c r="BG4493" s="314"/>
      <c r="BH4493" s="314"/>
      <c r="BI4493" s="314"/>
      <c r="BJ4493" s="314"/>
      <c r="BK4493" s="40"/>
      <c r="BL4493" s="40"/>
      <c r="BM4493" s="40"/>
      <c r="BN4493" s="40"/>
      <c r="BO4493" s="40"/>
      <c r="BP4493" s="155"/>
      <c r="BQ4493" s="314"/>
      <c r="BR4493" s="314"/>
      <c r="BS4493" s="314"/>
      <c r="BT4493" s="314"/>
      <c r="BU4493" s="314"/>
      <c r="BV4493" s="314"/>
      <c r="BW4493" s="314"/>
      <c r="BX4493" s="155"/>
    </row>
    <row r="4494" spans="1:76" ht="15.75" customHeight="1">
      <c r="A4494" s="25"/>
      <c r="B4494" s="39"/>
      <c r="C4494" s="155"/>
      <c r="D4494" s="155"/>
      <c r="E4494" s="40"/>
      <c r="F4494" s="314"/>
      <c r="H4494" s="315"/>
      <c r="I4494" s="315"/>
      <c r="BA4494" s="30"/>
      <c r="BB4494" s="155"/>
      <c r="BC4494" s="314"/>
      <c r="BD4494" s="314"/>
      <c r="BE4494" s="314"/>
      <c r="BF4494" s="314"/>
      <c r="BG4494" s="314"/>
      <c r="BH4494" s="314"/>
      <c r="BI4494" s="314"/>
      <c r="BJ4494" s="314"/>
      <c r="BK4494" s="40"/>
      <c r="BL4494" s="40"/>
      <c r="BM4494" s="40"/>
      <c r="BN4494" s="40"/>
      <c r="BO4494" s="40"/>
      <c r="BP4494" s="155"/>
      <c r="BQ4494" s="314"/>
      <c r="BR4494" s="314"/>
      <c r="BS4494" s="314"/>
      <c r="BT4494" s="314"/>
      <c r="BU4494" s="314"/>
      <c r="BV4494" s="314"/>
      <c r="BW4494" s="314"/>
      <c r="BX4494" s="155"/>
    </row>
    <row r="4495" spans="1:76" ht="15.75" customHeight="1">
      <c r="A4495" s="25"/>
      <c r="B4495" s="39"/>
      <c r="C4495" s="155"/>
      <c r="D4495" s="155"/>
      <c r="E4495" s="40"/>
      <c r="F4495" s="314"/>
      <c r="H4495" s="315"/>
      <c r="I4495" s="315"/>
      <c r="BA4495" s="30"/>
      <c r="BB4495" s="155"/>
      <c r="BC4495" s="314"/>
      <c r="BD4495" s="314"/>
      <c r="BE4495" s="314"/>
      <c r="BF4495" s="314"/>
      <c r="BG4495" s="314"/>
      <c r="BH4495" s="314"/>
      <c r="BI4495" s="314"/>
      <c r="BJ4495" s="314"/>
      <c r="BK4495" s="40"/>
      <c r="BL4495" s="40"/>
      <c r="BM4495" s="40"/>
      <c r="BN4495" s="40"/>
      <c r="BO4495" s="40"/>
      <c r="BP4495" s="155"/>
      <c r="BQ4495" s="314"/>
      <c r="BR4495" s="314"/>
      <c r="BS4495" s="314"/>
      <c r="BT4495" s="314"/>
      <c r="BU4495" s="314"/>
      <c r="BV4495" s="314"/>
      <c r="BW4495" s="314"/>
      <c r="BX4495" s="155"/>
    </row>
    <row r="4496" spans="1:76" ht="15.75" customHeight="1">
      <c r="A4496" s="25"/>
      <c r="B4496" s="39"/>
      <c r="C4496" s="155"/>
      <c r="D4496" s="155"/>
      <c r="E4496" s="40"/>
      <c r="F4496" s="314"/>
      <c r="H4496" s="315"/>
      <c r="I4496" s="315"/>
      <c r="BA4496" s="30"/>
      <c r="BB4496" s="155"/>
      <c r="BC4496" s="314"/>
      <c r="BD4496" s="314"/>
      <c r="BE4496" s="314"/>
      <c r="BF4496" s="314"/>
      <c r="BG4496" s="314"/>
      <c r="BH4496" s="314"/>
      <c r="BI4496" s="314"/>
      <c r="BJ4496" s="314"/>
      <c r="BK4496" s="40"/>
      <c r="BL4496" s="40"/>
      <c r="BM4496" s="40"/>
      <c r="BN4496" s="40"/>
      <c r="BO4496" s="40"/>
      <c r="BP4496" s="155"/>
      <c r="BQ4496" s="314"/>
      <c r="BR4496" s="314"/>
      <c r="BS4496" s="314"/>
      <c r="BT4496" s="314"/>
      <c r="BU4496" s="314"/>
      <c r="BV4496" s="314"/>
      <c r="BW4496" s="314"/>
      <c r="BX4496" s="155"/>
    </row>
    <row r="4497" spans="1:76" ht="15.75" customHeight="1">
      <c r="A4497" s="25"/>
      <c r="B4497" s="39"/>
      <c r="C4497" s="155"/>
      <c r="D4497" s="155"/>
      <c r="E4497" s="40"/>
      <c r="F4497" s="314"/>
      <c r="H4497" s="315"/>
      <c r="I4497" s="315"/>
      <c r="BA4497" s="30"/>
      <c r="BB4497" s="155"/>
      <c r="BC4497" s="314"/>
      <c r="BD4497" s="314"/>
      <c r="BE4497" s="314"/>
      <c r="BF4497" s="314"/>
      <c r="BG4497" s="314"/>
      <c r="BH4497" s="314"/>
      <c r="BI4497" s="314"/>
      <c r="BJ4497" s="314"/>
      <c r="BK4497" s="40"/>
      <c r="BL4497" s="40"/>
      <c r="BM4497" s="40"/>
      <c r="BN4497" s="40"/>
      <c r="BO4497" s="40"/>
      <c r="BP4497" s="155"/>
      <c r="BQ4497" s="314"/>
      <c r="BR4497" s="314"/>
      <c r="BS4497" s="314"/>
      <c r="BT4497" s="314"/>
      <c r="BU4497" s="314"/>
      <c r="BV4497" s="314"/>
      <c r="BW4497" s="314"/>
      <c r="BX4497" s="155"/>
    </row>
    <row r="4498" spans="1:76" ht="15.75" customHeight="1">
      <c r="A4498" s="25"/>
      <c r="B4498" s="39"/>
      <c r="C4498" s="155"/>
      <c r="D4498" s="155"/>
      <c r="E4498" s="40"/>
      <c r="F4498" s="314"/>
      <c r="H4498" s="315"/>
      <c r="I4498" s="315"/>
      <c r="BA4498" s="30"/>
      <c r="BB4498" s="155"/>
      <c r="BC4498" s="314"/>
      <c r="BD4498" s="314"/>
      <c r="BE4498" s="314"/>
      <c r="BF4498" s="314"/>
      <c r="BG4498" s="314"/>
      <c r="BH4498" s="314"/>
      <c r="BI4498" s="314"/>
      <c r="BJ4498" s="314"/>
      <c r="BK4498" s="40"/>
      <c r="BL4498" s="40"/>
      <c r="BM4498" s="40"/>
      <c r="BN4498" s="40"/>
      <c r="BO4498" s="40"/>
      <c r="BP4498" s="155"/>
      <c r="BQ4498" s="314"/>
      <c r="BR4498" s="314"/>
      <c r="BS4498" s="314"/>
      <c r="BT4498" s="314"/>
      <c r="BU4498" s="314"/>
      <c r="BV4498" s="314"/>
      <c r="BW4498" s="314"/>
      <c r="BX4498" s="155"/>
    </row>
    <row r="4499" spans="1:76" ht="15.75" customHeight="1">
      <c r="A4499" s="25"/>
      <c r="B4499" s="39"/>
      <c r="C4499" s="155"/>
      <c r="D4499" s="155"/>
      <c r="E4499" s="40"/>
      <c r="F4499" s="314"/>
      <c r="H4499" s="315"/>
      <c r="I4499" s="315"/>
      <c r="BA4499" s="30"/>
      <c r="BB4499" s="155"/>
      <c r="BC4499" s="314"/>
      <c r="BD4499" s="314"/>
      <c r="BE4499" s="314"/>
      <c r="BF4499" s="314"/>
      <c r="BG4499" s="314"/>
      <c r="BH4499" s="314"/>
      <c r="BI4499" s="314"/>
      <c r="BJ4499" s="314"/>
      <c r="BK4499" s="40"/>
      <c r="BL4499" s="40"/>
      <c r="BM4499" s="40"/>
      <c r="BN4499" s="40"/>
      <c r="BO4499" s="40"/>
      <c r="BP4499" s="155"/>
      <c r="BQ4499" s="314"/>
      <c r="BR4499" s="314"/>
      <c r="BS4499" s="314"/>
      <c r="BT4499" s="314"/>
      <c r="BU4499" s="314"/>
      <c r="BV4499" s="314"/>
      <c r="BW4499" s="314"/>
      <c r="BX4499" s="155"/>
    </row>
    <row r="4500" spans="1:76" ht="15.75" customHeight="1">
      <c r="A4500" s="25"/>
      <c r="B4500" s="39"/>
      <c r="C4500" s="155"/>
      <c r="D4500" s="155"/>
      <c r="E4500" s="40"/>
      <c r="F4500" s="314"/>
      <c r="H4500" s="315"/>
      <c r="I4500" s="315"/>
      <c r="BA4500" s="30"/>
      <c r="BB4500" s="155"/>
      <c r="BC4500" s="314"/>
      <c r="BD4500" s="314"/>
      <c r="BE4500" s="314"/>
      <c r="BF4500" s="314"/>
      <c r="BG4500" s="314"/>
      <c r="BH4500" s="314"/>
      <c r="BI4500" s="314"/>
      <c r="BJ4500" s="314"/>
      <c r="BK4500" s="40"/>
      <c r="BL4500" s="40"/>
      <c r="BM4500" s="40"/>
      <c r="BN4500" s="40"/>
      <c r="BO4500" s="40"/>
      <c r="BP4500" s="155"/>
      <c r="BQ4500" s="314"/>
      <c r="BR4500" s="314"/>
      <c r="BS4500" s="314"/>
      <c r="BT4500" s="314"/>
      <c r="BU4500" s="314"/>
      <c r="BV4500" s="314"/>
      <c r="BW4500" s="314"/>
      <c r="BX4500" s="155"/>
    </row>
    <row r="4501" spans="1:76" ht="15.75" customHeight="1">
      <c r="A4501" s="25"/>
      <c r="B4501" s="39"/>
      <c r="C4501" s="155"/>
      <c r="D4501" s="155"/>
      <c r="E4501" s="40"/>
      <c r="F4501" s="314"/>
      <c r="H4501" s="315"/>
      <c r="I4501" s="315"/>
      <c r="BA4501" s="30"/>
      <c r="BB4501" s="155"/>
      <c r="BC4501" s="314"/>
      <c r="BD4501" s="314"/>
      <c r="BE4501" s="314"/>
      <c r="BF4501" s="314"/>
      <c r="BG4501" s="314"/>
      <c r="BH4501" s="314"/>
      <c r="BI4501" s="314"/>
      <c r="BJ4501" s="314"/>
      <c r="BK4501" s="40"/>
      <c r="BL4501" s="40"/>
      <c r="BM4501" s="40"/>
      <c r="BN4501" s="40"/>
      <c r="BO4501" s="40"/>
      <c r="BP4501" s="155"/>
      <c r="BQ4501" s="314"/>
      <c r="BR4501" s="314"/>
      <c r="BS4501" s="314"/>
      <c r="BT4501" s="314"/>
      <c r="BU4501" s="314"/>
      <c r="BV4501" s="314"/>
      <c r="BW4501" s="314"/>
      <c r="BX4501" s="155"/>
    </row>
    <row r="4502" spans="1:76" ht="15.75" customHeight="1">
      <c r="A4502" s="25"/>
      <c r="B4502" s="39"/>
      <c r="C4502" s="155"/>
      <c r="D4502" s="155"/>
      <c r="E4502" s="40"/>
      <c r="F4502" s="314"/>
      <c r="H4502" s="315"/>
      <c r="I4502" s="315"/>
      <c r="BA4502" s="30"/>
      <c r="BB4502" s="155"/>
      <c r="BC4502" s="314"/>
      <c r="BD4502" s="314"/>
      <c r="BE4502" s="314"/>
      <c r="BF4502" s="314"/>
      <c r="BG4502" s="314"/>
      <c r="BH4502" s="314"/>
      <c r="BI4502" s="314"/>
      <c r="BJ4502" s="314"/>
      <c r="BK4502" s="40"/>
      <c r="BL4502" s="40"/>
      <c r="BM4502" s="40"/>
      <c r="BN4502" s="40"/>
      <c r="BO4502" s="40"/>
      <c r="BP4502" s="155"/>
      <c r="BQ4502" s="314"/>
      <c r="BR4502" s="314"/>
      <c r="BS4502" s="314"/>
      <c r="BT4502" s="314"/>
      <c r="BU4502" s="314"/>
      <c r="BV4502" s="314"/>
      <c r="BW4502" s="314"/>
      <c r="BX4502" s="155"/>
    </row>
    <row r="4503" spans="1:76" ht="15.75" customHeight="1">
      <c r="A4503" s="25"/>
      <c r="B4503" s="39"/>
      <c r="C4503" s="155"/>
      <c r="D4503" s="155"/>
      <c r="E4503" s="40"/>
      <c r="F4503" s="314"/>
      <c r="H4503" s="315"/>
      <c r="I4503" s="315"/>
      <c r="BA4503" s="30"/>
      <c r="BB4503" s="155"/>
      <c r="BC4503" s="314"/>
      <c r="BD4503" s="314"/>
      <c r="BE4503" s="314"/>
      <c r="BF4503" s="314"/>
      <c r="BG4503" s="314"/>
      <c r="BH4503" s="314"/>
      <c r="BI4503" s="314"/>
      <c r="BJ4503" s="314"/>
      <c r="BK4503" s="40"/>
      <c r="BL4503" s="40"/>
      <c r="BM4503" s="40"/>
      <c r="BN4503" s="40"/>
      <c r="BO4503" s="40"/>
      <c r="BP4503" s="155"/>
      <c r="BQ4503" s="314"/>
      <c r="BR4503" s="314"/>
      <c r="BS4503" s="314"/>
      <c r="BT4503" s="314"/>
      <c r="BU4503" s="314"/>
      <c r="BV4503" s="314"/>
      <c r="BW4503" s="314"/>
      <c r="BX4503" s="155"/>
    </row>
    <row r="4504" spans="1:76" ht="15.75" customHeight="1">
      <c r="A4504" s="25"/>
      <c r="B4504" s="39"/>
      <c r="C4504" s="155"/>
      <c r="D4504" s="155"/>
      <c r="E4504" s="40"/>
      <c r="F4504" s="314"/>
      <c r="H4504" s="315"/>
      <c r="I4504" s="315"/>
      <c r="BA4504" s="30"/>
      <c r="BB4504" s="155"/>
      <c r="BC4504" s="314"/>
      <c r="BD4504" s="314"/>
      <c r="BE4504" s="314"/>
      <c r="BF4504" s="314"/>
      <c r="BG4504" s="314"/>
      <c r="BH4504" s="314"/>
      <c r="BI4504" s="314"/>
      <c r="BJ4504" s="314"/>
      <c r="BK4504" s="40"/>
      <c r="BL4504" s="40"/>
      <c r="BM4504" s="40"/>
      <c r="BN4504" s="40"/>
      <c r="BO4504" s="40"/>
      <c r="BP4504" s="155"/>
      <c r="BQ4504" s="314"/>
      <c r="BR4504" s="314"/>
      <c r="BS4504" s="314"/>
      <c r="BT4504" s="314"/>
      <c r="BU4504" s="314"/>
      <c r="BV4504" s="314"/>
      <c r="BW4504" s="314"/>
      <c r="BX4504" s="155"/>
    </row>
    <row r="4505" spans="1:76" ht="15.75" customHeight="1">
      <c r="A4505" s="25"/>
      <c r="B4505" s="39"/>
      <c r="C4505" s="155"/>
      <c r="D4505" s="155"/>
      <c r="E4505" s="40"/>
      <c r="F4505" s="314"/>
      <c r="H4505" s="315"/>
      <c r="I4505" s="315"/>
      <c r="BA4505" s="30"/>
      <c r="BB4505" s="155"/>
      <c r="BC4505" s="322"/>
      <c r="BD4505" s="322"/>
      <c r="BE4505" s="322"/>
      <c r="BF4505" s="322"/>
      <c r="BG4505" s="322"/>
      <c r="BH4505" s="322"/>
      <c r="BI4505" s="322"/>
      <c r="BJ4505" s="322"/>
      <c r="BK4505" s="341"/>
      <c r="BL4505" s="40"/>
      <c r="BM4505" s="40"/>
      <c r="BN4505" s="40"/>
      <c r="BO4505" s="40"/>
      <c r="BP4505" s="155"/>
      <c r="BQ4505" s="314"/>
      <c r="BR4505" s="314"/>
      <c r="BS4505" s="314"/>
      <c r="BT4505" s="314"/>
      <c r="BU4505" s="314"/>
      <c r="BV4505" s="314"/>
      <c r="BW4505" s="314"/>
      <c r="BX4505" s="155"/>
    </row>
    <row r="4506" spans="1:76" ht="15.75" customHeight="1">
      <c r="A4506" s="25"/>
      <c r="B4506" s="39"/>
      <c r="C4506" s="155"/>
      <c r="D4506" s="155"/>
      <c r="E4506" s="40"/>
      <c r="F4506" s="314"/>
      <c r="H4506" s="315"/>
      <c r="I4506" s="315"/>
      <c r="BA4506" s="30"/>
      <c r="BB4506" s="155"/>
      <c r="BC4506" s="314"/>
      <c r="BD4506" s="314"/>
      <c r="BE4506" s="314"/>
      <c r="BF4506" s="314"/>
      <c r="BG4506" s="314"/>
      <c r="BH4506" s="314"/>
      <c r="BI4506" s="314"/>
      <c r="BJ4506" s="314"/>
      <c r="BK4506" s="40"/>
      <c r="BL4506" s="40"/>
      <c r="BM4506" s="40"/>
      <c r="BN4506" s="40"/>
      <c r="BO4506" s="40"/>
      <c r="BP4506" s="155"/>
      <c r="BQ4506" s="314"/>
      <c r="BR4506" s="314"/>
      <c r="BS4506" s="314"/>
      <c r="BT4506" s="314"/>
      <c r="BU4506" s="314"/>
      <c r="BV4506" s="314"/>
      <c r="BW4506" s="314"/>
      <c r="BX4506" s="155"/>
    </row>
    <row r="4507" spans="1:76" ht="15.75" customHeight="1">
      <c r="A4507" s="25"/>
      <c r="B4507" s="39"/>
      <c r="C4507" s="155"/>
      <c r="D4507" s="155"/>
      <c r="E4507" s="40"/>
      <c r="F4507" s="314"/>
      <c r="H4507" s="315"/>
      <c r="I4507" s="315"/>
      <c r="BA4507" s="30"/>
      <c r="BB4507" s="155"/>
      <c r="BC4507" s="314"/>
      <c r="BD4507" s="314"/>
      <c r="BE4507" s="314"/>
      <c r="BF4507" s="314"/>
      <c r="BG4507" s="314"/>
      <c r="BH4507" s="314"/>
      <c r="BI4507" s="314"/>
      <c r="BJ4507" s="314"/>
      <c r="BK4507" s="40"/>
      <c r="BL4507" s="40"/>
      <c r="BM4507" s="40"/>
      <c r="BN4507" s="40"/>
      <c r="BO4507" s="40"/>
      <c r="BP4507" s="155"/>
      <c r="BQ4507" s="314"/>
      <c r="BR4507" s="314"/>
      <c r="BS4507" s="314"/>
      <c r="BT4507" s="314"/>
      <c r="BU4507" s="314"/>
      <c r="BV4507" s="314"/>
      <c r="BW4507" s="314"/>
      <c r="BX4507" s="155"/>
    </row>
    <row r="4508" spans="1:76" ht="15.75" customHeight="1">
      <c r="A4508" s="25"/>
      <c r="B4508" s="39"/>
      <c r="C4508" s="155"/>
      <c r="D4508" s="155"/>
      <c r="E4508" s="40"/>
      <c r="F4508" s="314"/>
      <c r="H4508" s="315"/>
      <c r="I4508" s="315"/>
      <c r="BA4508" s="30"/>
      <c r="BB4508" s="155"/>
      <c r="BC4508" s="314"/>
      <c r="BD4508" s="314"/>
      <c r="BE4508" s="314"/>
      <c r="BF4508" s="314"/>
      <c r="BG4508" s="314"/>
      <c r="BH4508" s="314"/>
      <c r="BI4508" s="314"/>
      <c r="BJ4508" s="314"/>
      <c r="BK4508" s="40"/>
      <c r="BL4508" s="40"/>
      <c r="BM4508" s="40"/>
      <c r="BN4508" s="40"/>
      <c r="BO4508" s="40"/>
      <c r="BP4508" s="155"/>
      <c r="BQ4508" s="314"/>
      <c r="BR4508" s="314"/>
      <c r="BS4508" s="314"/>
      <c r="BT4508" s="314"/>
      <c r="BU4508" s="314"/>
      <c r="BV4508" s="314"/>
      <c r="BW4508" s="314"/>
      <c r="BX4508" s="155"/>
    </row>
    <row r="4509" spans="1:76" ht="15.75" customHeight="1">
      <c r="A4509" s="25"/>
      <c r="B4509" s="39"/>
      <c r="C4509" s="155"/>
      <c r="D4509" s="155"/>
      <c r="E4509" s="40"/>
      <c r="F4509" s="314"/>
      <c r="H4509" s="315"/>
      <c r="I4509" s="315"/>
      <c r="BA4509" s="30"/>
      <c r="BB4509" s="155"/>
      <c r="BC4509" s="314"/>
      <c r="BD4509" s="314"/>
      <c r="BE4509" s="314"/>
      <c r="BF4509" s="314"/>
      <c r="BG4509" s="314"/>
      <c r="BH4509" s="314"/>
      <c r="BI4509" s="314"/>
      <c r="BJ4509" s="314"/>
      <c r="BK4509" s="40"/>
      <c r="BL4509" s="40"/>
      <c r="BM4509" s="40"/>
      <c r="BN4509" s="40"/>
      <c r="BO4509" s="40"/>
      <c r="BP4509" s="155"/>
      <c r="BQ4509" s="314"/>
      <c r="BR4509" s="314"/>
      <c r="BS4509" s="314"/>
      <c r="BT4509" s="314"/>
      <c r="BU4509" s="314"/>
      <c r="BV4509" s="314"/>
      <c r="BW4509" s="314"/>
      <c r="BX4509" s="155"/>
    </row>
    <row r="4510" spans="1:76" ht="15.75" customHeight="1">
      <c r="A4510" s="25"/>
      <c r="B4510" s="39"/>
      <c r="C4510" s="155"/>
      <c r="D4510" s="155"/>
      <c r="E4510" s="40"/>
      <c r="F4510" s="314"/>
      <c r="H4510" s="315"/>
      <c r="I4510" s="315"/>
      <c r="BA4510" s="30"/>
      <c r="BB4510" s="155"/>
      <c r="BC4510" s="314"/>
      <c r="BD4510" s="314"/>
      <c r="BE4510" s="314"/>
      <c r="BF4510" s="314"/>
      <c r="BG4510" s="314"/>
      <c r="BH4510" s="314"/>
      <c r="BI4510" s="314"/>
      <c r="BJ4510" s="314"/>
      <c r="BK4510" s="40"/>
      <c r="BL4510" s="40"/>
      <c r="BM4510" s="40"/>
      <c r="BN4510" s="40"/>
      <c r="BO4510" s="40"/>
      <c r="BP4510" s="155"/>
      <c r="BQ4510" s="314"/>
      <c r="BR4510" s="314"/>
      <c r="BS4510" s="314"/>
      <c r="BT4510" s="314"/>
      <c r="BU4510" s="314"/>
      <c r="BV4510" s="314"/>
      <c r="BW4510" s="314"/>
      <c r="BX4510" s="155"/>
    </row>
    <row r="4511" spans="1:76" ht="15.75" customHeight="1">
      <c r="A4511" s="25"/>
      <c r="B4511" s="39"/>
      <c r="C4511" s="155"/>
      <c r="D4511" s="155"/>
      <c r="E4511" s="40"/>
      <c r="F4511" s="314"/>
      <c r="H4511" s="315"/>
      <c r="I4511" s="315"/>
      <c r="BA4511" s="30"/>
      <c r="BB4511" s="155"/>
      <c r="BC4511" s="314"/>
      <c r="BD4511" s="314"/>
      <c r="BE4511" s="314"/>
      <c r="BF4511" s="314"/>
      <c r="BG4511" s="314"/>
      <c r="BH4511" s="314"/>
      <c r="BI4511" s="314"/>
      <c r="BJ4511" s="314"/>
      <c r="BK4511" s="40"/>
      <c r="BL4511" s="40"/>
      <c r="BM4511" s="40"/>
      <c r="BN4511" s="40"/>
      <c r="BO4511" s="40"/>
      <c r="BP4511" s="155"/>
      <c r="BQ4511" s="314"/>
      <c r="BR4511" s="314"/>
      <c r="BS4511" s="314"/>
      <c r="BT4511" s="314"/>
      <c r="BU4511" s="314"/>
      <c r="BV4511" s="314"/>
      <c r="BW4511" s="314"/>
      <c r="BX4511" s="155"/>
    </row>
    <row r="4512" spans="1:76" ht="15.75" customHeight="1">
      <c r="A4512" s="25"/>
      <c r="B4512" s="39"/>
      <c r="C4512" s="155"/>
      <c r="D4512" s="155"/>
      <c r="E4512" s="40"/>
      <c r="F4512" s="314"/>
      <c r="H4512" s="315"/>
      <c r="I4512" s="315"/>
      <c r="BA4512" s="30"/>
      <c r="BB4512" s="155"/>
      <c r="BC4512" s="314"/>
      <c r="BD4512" s="314"/>
      <c r="BE4512" s="314"/>
      <c r="BF4512" s="314"/>
      <c r="BG4512" s="314"/>
      <c r="BH4512" s="314"/>
      <c r="BI4512" s="314"/>
      <c r="BJ4512" s="314"/>
      <c r="BK4512" s="40"/>
      <c r="BL4512" s="40"/>
      <c r="BM4512" s="40"/>
      <c r="BN4512" s="40"/>
      <c r="BO4512" s="40"/>
      <c r="BP4512" s="155"/>
      <c r="BQ4512" s="314"/>
      <c r="BR4512" s="314"/>
      <c r="BS4512" s="314"/>
      <c r="BT4512" s="314"/>
      <c r="BU4512" s="314"/>
      <c r="BV4512" s="314"/>
      <c r="BW4512" s="314"/>
      <c r="BX4512" s="155"/>
    </row>
    <row r="4513" spans="1:76" ht="15.75" customHeight="1">
      <c r="A4513" s="25"/>
      <c r="B4513" s="39"/>
      <c r="C4513" s="155"/>
      <c r="D4513" s="155"/>
      <c r="E4513" s="40"/>
      <c r="F4513" s="314"/>
      <c r="H4513" s="315"/>
      <c r="I4513" s="315"/>
      <c r="BA4513" s="30"/>
      <c r="BB4513" s="155"/>
      <c r="BC4513" s="314"/>
      <c r="BD4513" s="314"/>
      <c r="BE4513" s="314"/>
      <c r="BF4513" s="314"/>
      <c r="BG4513" s="314"/>
      <c r="BH4513" s="314"/>
      <c r="BI4513" s="314"/>
      <c r="BJ4513" s="314"/>
      <c r="BK4513" s="40"/>
      <c r="BL4513" s="40"/>
      <c r="BM4513" s="40"/>
      <c r="BN4513" s="40"/>
      <c r="BO4513" s="40"/>
      <c r="BP4513" s="155"/>
      <c r="BQ4513" s="314"/>
      <c r="BR4513" s="314"/>
      <c r="BS4513" s="314"/>
      <c r="BT4513" s="314"/>
      <c r="BU4513" s="314"/>
      <c r="BV4513" s="314"/>
      <c r="BW4513" s="314"/>
      <c r="BX4513" s="155"/>
    </row>
    <row r="4514" spans="1:76" ht="15.75" customHeight="1">
      <c r="A4514" s="25"/>
      <c r="B4514" s="39"/>
      <c r="C4514" s="155"/>
      <c r="D4514" s="155"/>
      <c r="E4514" s="40"/>
      <c r="F4514" s="314"/>
      <c r="H4514" s="315"/>
      <c r="I4514" s="315"/>
      <c r="BA4514" s="30"/>
      <c r="BB4514" s="155"/>
      <c r="BC4514" s="314"/>
      <c r="BD4514" s="314"/>
      <c r="BE4514" s="314"/>
      <c r="BF4514" s="314"/>
      <c r="BG4514" s="314"/>
      <c r="BH4514" s="314"/>
      <c r="BI4514" s="314"/>
      <c r="BJ4514" s="314"/>
      <c r="BK4514" s="40"/>
      <c r="BL4514" s="40"/>
      <c r="BM4514" s="40"/>
      <c r="BN4514" s="40"/>
      <c r="BO4514" s="40"/>
      <c r="BP4514" s="155"/>
      <c r="BQ4514" s="314"/>
      <c r="BR4514" s="314"/>
      <c r="BS4514" s="314"/>
      <c r="BT4514" s="314"/>
      <c r="BU4514" s="314"/>
      <c r="BV4514" s="314"/>
      <c r="BW4514" s="314"/>
      <c r="BX4514" s="155"/>
    </row>
    <row r="4515" spans="1:76" ht="15.75" customHeight="1">
      <c r="A4515" s="25"/>
      <c r="B4515" s="39"/>
      <c r="C4515" s="155"/>
      <c r="D4515" s="155"/>
      <c r="E4515" s="40"/>
      <c r="F4515" s="314"/>
      <c r="H4515" s="315"/>
      <c r="I4515" s="315"/>
      <c r="BA4515" s="30"/>
      <c r="BB4515" s="155"/>
      <c r="BC4515" s="314"/>
      <c r="BD4515" s="314"/>
      <c r="BE4515" s="314"/>
      <c r="BF4515" s="314"/>
      <c r="BG4515" s="314"/>
      <c r="BH4515" s="314"/>
      <c r="BI4515" s="314"/>
      <c r="BJ4515" s="314"/>
      <c r="BK4515" s="40"/>
      <c r="BL4515" s="40"/>
      <c r="BM4515" s="40"/>
      <c r="BN4515" s="40"/>
      <c r="BO4515" s="40"/>
      <c r="BP4515" s="155"/>
      <c r="BQ4515" s="314"/>
      <c r="BR4515" s="314"/>
      <c r="BS4515" s="314"/>
      <c r="BT4515" s="314"/>
      <c r="BU4515" s="314"/>
      <c r="BV4515" s="314"/>
      <c r="BW4515" s="314"/>
      <c r="BX4515" s="155"/>
    </row>
    <row r="4516" spans="1:76" ht="15.75" customHeight="1">
      <c r="A4516" s="25"/>
      <c r="B4516" s="39"/>
      <c r="C4516" s="155"/>
      <c r="D4516" s="155"/>
      <c r="E4516" s="40"/>
      <c r="F4516" s="314"/>
      <c r="H4516" s="315"/>
      <c r="I4516" s="315"/>
      <c r="BA4516" s="30"/>
      <c r="BB4516" s="155"/>
      <c r="BC4516" s="314"/>
      <c r="BD4516" s="314"/>
      <c r="BE4516" s="314"/>
      <c r="BF4516" s="314"/>
      <c r="BG4516" s="314"/>
      <c r="BH4516" s="314"/>
      <c r="BI4516" s="314"/>
      <c r="BJ4516" s="314"/>
      <c r="BK4516" s="40"/>
      <c r="BL4516" s="40"/>
      <c r="BM4516" s="40"/>
      <c r="BN4516" s="40"/>
      <c r="BO4516" s="40"/>
      <c r="BP4516" s="155"/>
      <c r="BQ4516" s="314"/>
      <c r="BR4516" s="314"/>
      <c r="BS4516" s="314"/>
      <c r="BT4516" s="314"/>
      <c r="BU4516" s="314"/>
      <c r="BV4516" s="314"/>
      <c r="BW4516" s="314"/>
      <c r="BX4516" s="155"/>
    </row>
    <row r="4517" spans="1:76" ht="15.75" customHeight="1">
      <c r="A4517" s="25"/>
      <c r="B4517" s="39"/>
      <c r="C4517" s="155"/>
      <c r="D4517" s="155"/>
      <c r="E4517" s="40"/>
      <c r="F4517" s="314"/>
      <c r="H4517" s="315"/>
      <c r="I4517" s="315"/>
      <c r="BA4517" s="30"/>
      <c r="BB4517" s="155"/>
      <c r="BC4517" s="314"/>
      <c r="BD4517" s="314"/>
      <c r="BE4517" s="314"/>
      <c r="BF4517" s="314"/>
      <c r="BG4517" s="314"/>
      <c r="BH4517" s="314"/>
      <c r="BI4517" s="314"/>
      <c r="BJ4517" s="314"/>
      <c r="BK4517" s="40"/>
      <c r="BL4517" s="40"/>
      <c r="BM4517" s="40"/>
      <c r="BN4517" s="40"/>
      <c r="BO4517" s="40"/>
      <c r="BP4517" s="155"/>
      <c r="BQ4517" s="314"/>
      <c r="BR4517" s="314"/>
      <c r="BS4517" s="314"/>
      <c r="BT4517" s="314"/>
      <c r="BU4517" s="314"/>
      <c r="BV4517" s="314"/>
      <c r="BW4517" s="314"/>
      <c r="BX4517" s="155"/>
    </row>
    <row r="4518" spans="1:76" ht="15.75" customHeight="1">
      <c r="A4518" s="25"/>
      <c r="B4518" s="39"/>
      <c r="C4518" s="155"/>
      <c r="D4518" s="155"/>
      <c r="E4518" s="40"/>
      <c r="F4518" s="314"/>
      <c r="H4518" s="315"/>
      <c r="I4518" s="315"/>
      <c r="BA4518" s="30"/>
      <c r="BB4518" s="155"/>
      <c r="BC4518" s="314"/>
      <c r="BD4518" s="314"/>
      <c r="BE4518" s="314"/>
      <c r="BF4518" s="314"/>
      <c r="BG4518" s="314"/>
      <c r="BH4518" s="314"/>
      <c r="BI4518" s="314"/>
      <c r="BJ4518" s="314"/>
      <c r="BK4518" s="40"/>
      <c r="BL4518" s="40"/>
      <c r="BM4518" s="40"/>
      <c r="BN4518" s="40"/>
      <c r="BO4518" s="40"/>
      <c r="BP4518" s="155"/>
      <c r="BQ4518" s="314"/>
      <c r="BR4518" s="314"/>
      <c r="BS4518" s="314"/>
      <c r="BT4518" s="314"/>
      <c r="BU4518" s="314"/>
      <c r="BV4518" s="314"/>
      <c r="BW4518" s="314"/>
      <c r="BX4518" s="155"/>
    </row>
    <row r="4519" spans="1:76" ht="15.75" customHeight="1">
      <c r="A4519" s="25"/>
      <c r="B4519" s="39"/>
      <c r="C4519" s="155"/>
      <c r="D4519" s="155"/>
      <c r="E4519" s="40"/>
      <c r="F4519" s="314"/>
      <c r="H4519" s="315"/>
      <c r="I4519" s="315"/>
      <c r="BA4519" s="30"/>
      <c r="BB4519" s="155"/>
      <c r="BC4519" s="314"/>
      <c r="BD4519" s="314"/>
      <c r="BE4519" s="314"/>
      <c r="BF4519" s="314"/>
      <c r="BG4519" s="314"/>
      <c r="BH4519" s="314"/>
      <c r="BI4519" s="314"/>
      <c r="BJ4519" s="314"/>
      <c r="BK4519" s="40"/>
      <c r="BL4519" s="40"/>
      <c r="BM4519" s="40"/>
      <c r="BN4519" s="40"/>
      <c r="BO4519" s="40"/>
      <c r="BP4519" s="155"/>
      <c r="BQ4519" s="314"/>
      <c r="BR4519" s="314"/>
      <c r="BS4519" s="314"/>
      <c r="BT4519" s="314"/>
      <c r="BU4519" s="314"/>
      <c r="BV4519" s="314"/>
      <c r="BW4519" s="314"/>
      <c r="BX4519" s="155"/>
    </row>
    <row r="4520" spans="1:76" ht="15.75" customHeight="1">
      <c r="A4520" s="25"/>
      <c r="B4520" s="39"/>
      <c r="C4520" s="155"/>
      <c r="D4520" s="155"/>
      <c r="E4520" s="40"/>
      <c r="F4520" s="314"/>
      <c r="H4520" s="315"/>
      <c r="I4520" s="315"/>
      <c r="BA4520" s="30"/>
      <c r="BB4520" s="155"/>
      <c r="BC4520" s="314"/>
      <c r="BD4520" s="314"/>
      <c r="BE4520" s="314"/>
      <c r="BF4520" s="314"/>
      <c r="BG4520" s="314"/>
      <c r="BH4520" s="314"/>
      <c r="BI4520" s="314"/>
      <c r="BJ4520" s="314"/>
      <c r="BK4520" s="40"/>
      <c r="BL4520" s="40"/>
      <c r="BM4520" s="40"/>
      <c r="BN4520" s="40"/>
      <c r="BO4520" s="40"/>
      <c r="BP4520" s="155"/>
      <c r="BQ4520" s="314"/>
      <c r="BR4520" s="314"/>
      <c r="BS4520" s="314"/>
      <c r="BT4520" s="314"/>
      <c r="BU4520" s="314"/>
      <c r="BV4520" s="314"/>
      <c r="BW4520" s="314"/>
      <c r="BX4520" s="155"/>
    </row>
    <row r="4521" spans="1:76" ht="15.75" customHeight="1">
      <c r="A4521" s="25"/>
      <c r="B4521" s="39"/>
      <c r="C4521" s="155"/>
      <c r="D4521" s="155"/>
      <c r="E4521" s="40"/>
      <c r="F4521" s="314"/>
      <c r="H4521" s="315"/>
      <c r="I4521" s="315"/>
      <c r="BA4521" s="30"/>
      <c r="BB4521" s="155"/>
      <c r="BC4521" s="314"/>
      <c r="BD4521" s="314"/>
      <c r="BE4521" s="314"/>
      <c r="BF4521" s="314"/>
      <c r="BG4521" s="314"/>
      <c r="BH4521" s="314"/>
      <c r="BI4521" s="314"/>
      <c r="BJ4521" s="314"/>
      <c r="BK4521" s="40"/>
      <c r="BL4521" s="40"/>
      <c r="BM4521" s="40"/>
      <c r="BN4521" s="40"/>
      <c r="BO4521" s="40"/>
      <c r="BP4521" s="155"/>
      <c r="BQ4521" s="314"/>
      <c r="BR4521" s="314"/>
      <c r="BS4521" s="314"/>
      <c r="BT4521" s="314"/>
      <c r="BU4521" s="314"/>
      <c r="BV4521" s="314"/>
      <c r="BW4521" s="314"/>
      <c r="BX4521" s="155"/>
    </row>
    <row r="4522" spans="1:76" ht="15.75" customHeight="1">
      <c r="A4522" s="25"/>
      <c r="B4522" s="39"/>
      <c r="C4522" s="155"/>
      <c r="D4522" s="155"/>
      <c r="E4522" s="40"/>
      <c r="F4522" s="314"/>
      <c r="H4522" s="315"/>
      <c r="I4522" s="315"/>
      <c r="BA4522" s="30"/>
      <c r="BB4522" s="155"/>
      <c r="BC4522" s="314"/>
      <c r="BD4522" s="314"/>
      <c r="BE4522" s="314"/>
      <c r="BF4522" s="314"/>
      <c r="BG4522" s="314"/>
      <c r="BH4522" s="314"/>
      <c r="BI4522" s="314"/>
      <c r="BJ4522" s="314"/>
      <c r="BK4522" s="40"/>
      <c r="BL4522" s="40"/>
      <c r="BM4522" s="40"/>
      <c r="BN4522" s="40"/>
      <c r="BO4522" s="40"/>
      <c r="BP4522" s="155"/>
      <c r="BQ4522" s="314"/>
      <c r="BR4522" s="314"/>
      <c r="BS4522" s="314"/>
      <c r="BT4522" s="314"/>
      <c r="BU4522" s="314"/>
      <c r="BV4522" s="314"/>
      <c r="BW4522" s="314"/>
      <c r="BX4522" s="155"/>
    </row>
    <row r="4523" spans="1:76" ht="15.75" customHeight="1">
      <c r="A4523" s="25"/>
      <c r="B4523" s="39"/>
      <c r="C4523" s="155"/>
      <c r="D4523" s="155"/>
      <c r="E4523" s="40"/>
      <c r="F4523" s="314"/>
      <c r="H4523" s="315"/>
      <c r="I4523" s="315"/>
      <c r="BA4523" s="30"/>
      <c r="BB4523" s="155"/>
      <c r="BC4523" s="314"/>
      <c r="BD4523" s="314"/>
      <c r="BE4523" s="314"/>
      <c r="BF4523" s="314"/>
      <c r="BG4523" s="314"/>
      <c r="BH4523" s="314"/>
      <c r="BI4523" s="314"/>
      <c r="BJ4523" s="314"/>
      <c r="BK4523" s="40"/>
      <c r="BL4523" s="40"/>
      <c r="BM4523" s="40"/>
      <c r="BN4523" s="40"/>
      <c r="BO4523" s="40"/>
      <c r="BP4523" s="155"/>
      <c r="BQ4523" s="314"/>
      <c r="BR4523" s="314"/>
      <c r="BS4523" s="314"/>
      <c r="BT4523" s="314"/>
      <c r="BU4523" s="314"/>
      <c r="BV4523" s="314"/>
      <c r="BW4523" s="314"/>
      <c r="BX4523" s="155"/>
    </row>
    <row r="4524" spans="1:76" ht="15.75" customHeight="1">
      <c r="A4524" s="25"/>
      <c r="B4524" s="39"/>
      <c r="C4524" s="155"/>
      <c r="D4524" s="155"/>
      <c r="E4524" s="40"/>
      <c r="F4524" s="314"/>
      <c r="H4524" s="315"/>
      <c r="I4524" s="315"/>
      <c r="BA4524" s="30"/>
      <c r="BB4524" s="155"/>
      <c r="BC4524" s="314"/>
      <c r="BD4524" s="314"/>
      <c r="BE4524" s="314"/>
      <c r="BF4524" s="314"/>
      <c r="BG4524" s="314"/>
      <c r="BH4524" s="314"/>
      <c r="BI4524" s="314"/>
      <c r="BJ4524" s="314"/>
      <c r="BK4524" s="40"/>
      <c r="BL4524" s="40"/>
      <c r="BM4524" s="40"/>
      <c r="BN4524" s="40"/>
      <c r="BO4524" s="40"/>
      <c r="BP4524" s="155"/>
      <c r="BQ4524" s="314"/>
      <c r="BR4524" s="314"/>
      <c r="BS4524" s="314"/>
      <c r="BT4524" s="314"/>
      <c r="BU4524" s="314"/>
      <c r="BV4524" s="314"/>
      <c r="BW4524" s="314"/>
      <c r="BX4524" s="155"/>
    </row>
    <row r="4525" spans="1:76" ht="15.75" customHeight="1">
      <c r="A4525" s="25"/>
      <c r="B4525" s="39"/>
      <c r="C4525" s="155"/>
      <c r="D4525" s="155"/>
      <c r="E4525" s="40"/>
      <c r="F4525" s="314"/>
      <c r="H4525" s="315"/>
      <c r="I4525" s="315"/>
      <c r="BA4525" s="30"/>
      <c r="BB4525" s="155"/>
      <c r="BC4525" s="314"/>
      <c r="BD4525" s="314"/>
      <c r="BE4525" s="314"/>
      <c r="BF4525" s="314"/>
      <c r="BG4525" s="314"/>
      <c r="BH4525" s="314"/>
      <c r="BI4525" s="314"/>
      <c r="BJ4525" s="314"/>
      <c r="BK4525" s="40"/>
      <c r="BL4525" s="40"/>
      <c r="BM4525" s="40"/>
      <c r="BN4525" s="40"/>
      <c r="BO4525" s="40"/>
      <c r="BP4525" s="155"/>
      <c r="BQ4525" s="314"/>
      <c r="BR4525" s="314"/>
      <c r="BS4525" s="314"/>
      <c r="BT4525" s="314"/>
      <c r="BU4525" s="314"/>
      <c r="BV4525" s="314"/>
      <c r="BW4525" s="314"/>
      <c r="BX4525" s="155"/>
    </row>
    <row r="4526" spans="1:76" ht="15.75" customHeight="1">
      <c r="A4526" s="25"/>
      <c r="B4526" s="39"/>
      <c r="C4526" s="155"/>
      <c r="D4526" s="155"/>
      <c r="E4526" s="40"/>
      <c r="F4526" s="314"/>
      <c r="H4526" s="315"/>
      <c r="I4526" s="315"/>
      <c r="BA4526" s="30"/>
      <c r="BB4526" s="155"/>
      <c r="BC4526" s="314"/>
      <c r="BD4526" s="314"/>
      <c r="BE4526" s="314"/>
      <c r="BF4526" s="314"/>
      <c r="BG4526" s="314"/>
      <c r="BH4526" s="314"/>
      <c r="BI4526" s="314"/>
      <c r="BJ4526" s="314"/>
      <c r="BK4526" s="40"/>
      <c r="BL4526" s="40"/>
      <c r="BM4526" s="40"/>
      <c r="BN4526" s="40"/>
      <c r="BO4526" s="40"/>
      <c r="BP4526" s="155"/>
      <c r="BQ4526" s="314"/>
      <c r="BR4526" s="314"/>
      <c r="BS4526" s="314"/>
      <c r="BT4526" s="314"/>
      <c r="BU4526" s="314"/>
      <c r="BV4526" s="314"/>
      <c r="BW4526" s="314"/>
      <c r="BX4526" s="155"/>
    </row>
    <row r="4527" spans="1:76" ht="15.75" customHeight="1">
      <c r="A4527" s="25"/>
      <c r="B4527" s="39"/>
      <c r="C4527" s="155"/>
      <c r="D4527" s="155"/>
      <c r="E4527" s="40"/>
      <c r="F4527" s="314"/>
      <c r="H4527" s="315"/>
      <c r="I4527" s="315"/>
      <c r="BA4527" s="30"/>
      <c r="BB4527" s="155"/>
      <c r="BC4527" s="314"/>
      <c r="BD4527" s="314"/>
      <c r="BE4527" s="314"/>
      <c r="BF4527" s="314"/>
      <c r="BG4527" s="314"/>
      <c r="BH4527" s="314"/>
      <c r="BI4527" s="314"/>
      <c r="BJ4527" s="314"/>
      <c r="BK4527" s="40"/>
      <c r="BL4527" s="40"/>
      <c r="BM4527" s="40"/>
      <c r="BN4527" s="40"/>
      <c r="BO4527" s="40"/>
      <c r="BP4527" s="155"/>
      <c r="BQ4527" s="314"/>
      <c r="BR4527" s="314"/>
      <c r="BS4527" s="314"/>
      <c r="BT4527" s="314"/>
      <c r="BU4527" s="314"/>
      <c r="BV4527" s="314"/>
      <c r="BW4527" s="314"/>
      <c r="BX4527" s="155"/>
    </row>
    <row r="4528" spans="1:76" ht="15.75" customHeight="1">
      <c r="A4528" s="25"/>
      <c r="B4528" s="39"/>
      <c r="C4528" s="155"/>
      <c r="D4528" s="155"/>
      <c r="E4528" s="40"/>
      <c r="F4528" s="314"/>
      <c r="H4528" s="315"/>
      <c r="I4528" s="315"/>
      <c r="BA4528" s="30"/>
      <c r="BB4528" s="155"/>
      <c r="BC4528" s="322"/>
      <c r="BD4528" s="322"/>
      <c r="BE4528" s="322"/>
      <c r="BF4528" s="322"/>
      <c r="BG4528" s="322"/>
      <c r="BH4528" s="322"/>
      <c r="BI4528" s="322"/>
      <c r="BJ4528" s="322"/>
      <c r="BK4528" s="341"/>
      <c r="BL4528" s="40"/>
      <c r="BM4528" s="40"/>
      <c r="BN4528" s="40"/>
      <c r="BO4528" s="40"/>
      <c r="BP4528" s="155"/>
      <c r="BQ4528" s="314"/>
      <c r="BR4528" s="314"/>
      <c r="BS4528" s="314"/>
      <c r="BT4528" s="314"/>
      <c r="BU4528" s="314"/>
      <c r="BV4528" s="314"/>
      <c r="BW4528" s="314"/>
      <c r="BX4528" s="155"/>
    </row>
    <row r="4529" spans="1:76" ht="15.75" customHeight="1">
      <c r="A4529" s="25"/>
      <c r="B4529" s="39"/>
      <c r="C4529" s="155"/>
      <c r="D4529" s="155"/>
      <c r="E4529" s="40"/>
      <c r="F4529" s="314"/>
      <c r="H4529" s="315"/>
      <c r="I4529" s="315"/>
      <c r="BA4529" s="30"/>
      <c r="BB4529" s="155"/>
      <c r="BC4529" s="314"/>
      <c r="BD4529" s="314"/>
      <c r="BE4529" s="314"/>
      <c r="BF4529" s="314"/>
      <c r="BG4529" s="314"/>
      <c r="BH4529" s="314"/>
      <c r="BI4529" s="314"/>
      <c r="BJ4529" s="314"/>
      <c r="BK4529" s="40"/>
      <c r="BL4529" s="40"/>
      <c r="BM4529" s="40"/>
      <c r="BN4529" s="40"/>
      <c r="BO4529" s="40"/>
      <c r="BP4529" s="155"/>
      <c r="BQ4529" s="314"/>
      <c r="BR4529" s="314"/>
      <c r="BS4529" s="314"/>
      <c r="BT4529" s="314"/>
      <c r="BU4529" s="314"/>
      <c r="BV4529" s="314"/>
      <c r="BW4529" s="314"/>
      <c r="BX4529" s="155"/>
    </row>
    <row r="4530" spans="1:76" ht="15.75" customHeight="1">
      <c r="A4530" s="25"/>
      <c r="B4530" s="39"/>
      <c r="C4530" s="155"/>
      <c r="D4530" s="155"/>
      <c r="E4530" s="40"/>
      <c r="F4530" s="314"/>
      <c r="H4530" s="315"/>
      <c r="I4530" s="315"/>
      <c r="BA4530" s="30"/>
      <c r="BB4530" s="155"/>
      <c r="BC4530" s="314"/>
      <c r="BD4530" s="314"/>
      <c r="BE4530" s="314"/>
      <c r="BF4530" s="314"/>
      <c r="BG4530" s="314"/>
      <c r="BH4530" s="314"/>
      <c r="BI4530" s="314"/>
      <c r="BJ4530" s="314"/>
      <c r="BK4530" s="40"/>
      <c r="BL4530" s="40"/>
      <c r="BM4530" s="40"/>
      <c r="BN4530" s="40"/>
      <c r="BO4530" s="40"/>
      <c r="BP4530" s="155"/>
      <c r="BQ4530" s="314"/>
      <c r="BR4530" s="314"/>
      <c r="BS4530" s="314"/>
      <c r="BT4530" s="314"/>
      <c r="BU4530" s="314"/>
      <c r="BV4530" s="314"/>
      <c r="BW4530" s="314"/>
      <c r="BX4530" s="155"/>
    </row>
    <row r="4531" spans="1:76" ht="15.75" customHeight="1">
      <c r="A4531" s="25"/>
      <c r="B4531" s="39"/>
      <c r="C4531" s="155"/>
      <c r="D4531" s="155"/>
      <c r="E4531" s="40"/>
      <c r="F4531" s="314"/>
      <c r="H4531" s="315"/>
      <c r="I4531" s="315"/>
      <c r="BA4531" s="30"/>
      <c r="BB4531" s="155"/>
      <c r="BC4531" s="314"/>
      <c r="BD4531" s="314"/>
      <c r="BE4531" s="314"/>
      <c r="BF4531" s="314"/>
      <c r="BG4531" s="314"/>
      <c r="BH4531" s="314"/>
      <c r="BI4531" s="314"/>
      <c r="BJ4531" s="314"/>
      <c r="BK4531" s="40"/>
      <c r="BL4531" s="40"/>
      <c r="BM4531" s="40"/>
      <c r="BN4531" s="40"/>
      <c r="BO4531" s="40"/>
      <c r="BP4531" s="155"/>
      <c r="BQ4531" s="314"/>
      <c r="BR4531" s="314"/>
      <c r="BS4531" s="314"/>
      <c r="BT4531" s="314"/>
      <c r="BU4531" s="314"/>
      <c r="BV4531" s="314"/>
      <c r="BW4531" s="314"/>
      <c r="BX4531" s="155"/>
    </row>
    <row r="4532" spans="1:76" ht="15.75" customHeight="1">
      <c r="A4532" s="25"/>
      <c r="B4532" s="39"/>
      <c r="C4532" s="155"/>
      <c r="D4532" s="155"/>
      <c r="E4532" s="40"/>
      <c r="F4532" s="314"/>
      <c r="H4532" s="315"/>
      <c r="I4532" s="315"/>
      <c r="BA4532" s="30"/>
      <c r="BB4532" s="155"/>
      <c r="BC4532" s="314"/>
      <c r="BD4532" s="314"/>
      <c r="BE4532" s="314"/>
      <c r="BF4532" s="314"/>
      <c r="BG4532" s="314"/>
      <c r="BH4532" s="314"/>
      <c r="BI4532" s="314"/>
      <c r="BJ4532" s="314"/>
      <c r="BK4532" s="40"/>
      <c r="BL4532" s="40"/>
      <c r="BM4532" s="40"/>
      <c r="BN4532" s="40"/>
      <c r="BO4532" s="40"/>
      <c r="BP4532" s="155"/>
      <c r="BQ4532" s="314"/>
      <c r="BR4532" s="314"/>
      <c r="BS4532" s="314"/>
      <c r="BT4532" s="314"/>
      <c r="BU4532" s="314"/>
      <c r="BV4532" s="314"/>
      <c r="BW4532" s="314"/>
      <c r="BX4532" s="155"/>
    </row>
    <row r="4533" spans="1:76" ht="15.75" customHeight="1">
      <c r="A4533" s="25"/>
      <c r="B4533" s="39"/>
      <c r="C4533" s="155"/>
      <c r="D4533" s="155"/>
      <c r="E4533" s="40"/>
      <c r="F4533" s="314"/>
      <c r="H4533" s="315"/>
      <c r="I4533" s="315"/>
      <c r="BA4533" s="30"/>
      <c r="BB4533" s="155"/>
      <c r="BC4533" s="314"/>
      <c r="BD4533" s="314"/>
      <c r="BE4533" s="314"/>
      <c r="BF4533" s="314"/>
      <c r="BG4533" s="314"/>
      <c r="BH4533" s="314"/>
      <c r="BI4533" s="314"/>
      <c r="BJ4533" s="314"/>
      <c r="BK4533" s="40"/>
      <c r="BL4533" s="40"/>
      <c r="BM4533" s="40"/>
      <c r="BN4533" s="40"/>
      <c r="BO4533" s="40"/>
      <c r="BP4533" s="155"/>
      <c r="BQ4533" s="314"/>
      <c r="BR4533" s="314"/>
      <c r="BS4533" s="314"/>
      <c r="BT4533" s="314"/>
      <c r="BU4533" s="314"/>
      <c r="BV4533" s="314"/>
      <c r="BW4533" s="314"/>
      <c r="BX4533" s="155"/>
    </row>
    <row r="4534" spans="1:76" ht="15.75" customHeight="1">
      <c r="A4534" s="25"/>
      <c r="B4534" s="39"/>
      <c r="C4534" s="155"/>
      <c r="D4534" s="155"/>
      <c r="E4534" s="40"/>
      <c r="F4534" s="314"/>
      <c r="H4534" s="315"/>
      <c r="I4534" s="315"/>
      <c r="BA4534" s="30"/>
      <c r="BB4534" s="155"/>
      <c r="BC4534" s="314"/>
      <c r="BD4534" s="314"/>
      <c r="BE4534" s="314"/>
      <c r="BF4534" s="314"/>
      <c r="BG4534" s="314"/>
      <c r="BH4534" s="314"/>
      <c r="BI4534" s="314"/>
      <c r="BJ4534" s="314"/>
      <c r="BK4534" s="40"/>
      <c r="BL4534" s="40"/>
      <c r="BM4534" s="40"/>
      <c r="BN4534" s="40"/>
      <c r="BO4534" s="40"/>
      <c r="BP4534" s="155"/>
      <c r="BQ4534" s="314"/>
      <c r="BR4534" s="314"/>
      <c r="BS4534" s="314"/>
      <c r="BT4534" s="314"/>
      <c r="BU4534" s="314"/>
      <c r="BV4534" s="314"/>
      <c r="BW4534" s="314"/>
      <c r="BX4534" s="155"/>
    </row>
    <row r="4535" spans="1:76" ht="15.75" customHeight="1">
      <c r="A4535" s="25"/>
      <c r="B4535" s="39"/>
      <c r="C4535" s="155"/>
      <c r="D4535" s="155"/>
      <c r="E4535" s="40"/>
      <c r="F4535" s="314"/>
      <c r="H4535" s="315"/>
      <c r="I4535" s="315"/>
      <c r="BA4535" s="30"/>
      <c r="BB4535" s="155"/>
      <c r="BC4535" s="314"/>
      <c r="BD4535" s="314"/>
      <c r="BE4535" s="314"/>
      <c r="BF4535" s="314"/>
      <c r="BG4535" s="314"/>
      <c r="BH4535" s="314"/>
      <c r="BI4535" s="314"/>
      <c r="BJ4535" s="314"/>
      <c r="BK4535" s="40"/>
      <c r="BL4535" s="40"/>
      <c r="BM4535" s="40"/>
      <c r="BN4535" s="40"/>
      <c r="BO4535" s="40"/>
      <c r="BP4535" s="155"/>
      <c r="BQ4535" s="314"/>
      <c r="BR4535" s="314"/>
      <c r="BS4535" s="314"/>
      <c r="BT4535" s="314"/>
      <c r="BU4535" s="314"/>
      <c r="BV4535" s="314"/>
      <c r="BW4535" s="314"/>
      <c r="BX4535" s="155"/>
    </row>
    <row r="4536" spans="1:76" ht="15.75" customHeight="1">
      <c r="A4536" s="25"/>
      <c r="B4536" s="39"/>
      <c r="C4536" s="155"/>
      <c r="D4536" s="155"/>
      <c r="E4536" s="40"/>
      <c r="F4536" s="314"/>
      <c r="H4536" s="315"/>
      <c r="I4536" s="315"/>
      <c r="BA4536" s="30"/>
      <c r="BB4536" s="155"/>
      <c r="BC4536" s="314"/>
      <c r="BD4536" s="314"/>
      <c r="BE4536" s="314"/>
      <c r="BF4536" s="314"/>
      <c r="BG4536" s="314"/>
      <c r="BH4536" s="314"/>
      <c r="BI4536" s="314"/>
      <c r="BJ4536" s="314"/>
      <c r="BK4536" s="40"/>
      <c r="BL4536" s="40"/>
      <c r="BM4536" s="40"/>
      <c r="BN4536" s="40"/>
      <c r="BO4536" s="40"/>
      <c r="BP4536" s="155"/>
      <c r="BQ4536" s="314"/>
      <c r="BR4536" s="314"/>
      <c r="BS4536" s="314"/>
      <c r="BT4536" s="314"/>
      <c r="BU4536" s="314"/>
      <c r="BV4536" s="314"/>
      <c r="BW4536" s="314"/>
      <c r="BX4536" s="155"/>
    </row>
    <row r="4537" spans="1:76" ht="15.75" customHeight="1">
      <c r="A4537" s="25"/>
      <c r="B4537" s="39"/>
      <c r="C4537" s="155"/>
      <c r="D4537" s="155"/>
      <c r="E4537" s="40"/>
      <c r="F4537" s="314"/>
      <c r="H4537" s="315"/>
      <c r="I4537" s="315"/>
      <c r="BA4537" s="30"/>
      <c r="BB4537" s="155"/>
      <c r="BC4537" s="314"/>
      <c r="BD4537" s="314"/>
      <c r="BE4537" s="314"/>
      <c r="BF4537" s="314"/>
      <c r="BG4537" s="314"/>
      <c r="BH4537" s="314"/>
      <c r="BI4537" s="314"/>
      <c r="BJ4537" s="314"/>
      <c r="BK4537" s="40"/>
      <c r="BL4537" s="40"/>
      <c r="BM4537" s="40"/>
      <c r="BN4537" s="40"/>
      <c r="BO4537" s="40"/>
      <c r="BP4537" s="155"/>
      <c r="BQ4537" s="314"/>
      <c r="BR4537" s="314"/>
      <c r="BS4537" s="314"/>
      <c r="BT4537" s="314"/>
      <c r="BU4537" s="314"/>
      <c r="BV4537" s="314"/>
      <c r="BW4537" s="314"/>
      <c r="BX4537" s="155"/>
    </row>
    <row r="4538" spans="1:76" ht="15.75" customHeight="1">
      <c r="A4538" s="25"/>
      <c r="B4538" s="39"/>
      <c r="C4538" s="155"/>
      <c r="D4538" s="155"/>
      <c r="E4538" s="40"/>
      <c r="F4538" s="314"/>
      <c r="H4538" s="315"/>
      <c r="I4538" s="315"/>
      <c r="BA4538" s="30"/>
      <c r="BB4538" s="155"/>
      <c r="BC4538" s="314"/>
      <c r="BD4538" s="314"/>
      <c r="BE4538" s="314"/>
      <c r="BF4538" s="314"/>
      <c r="BG4538" s="314"/>
      <c r="BH4538" s="314"/>
      <c r="BI4538" s="314"/>
      <c r="BJ4538" s="314"/>
      <c r="BK4538" s="40"/>
      <c r="BL4538" s="40"/>
      <c r="BM4538" s="40"/>
      <c r="BN4538" s="40"/>
      <c r="BO4538" s="40"/>
      <c r="BP4538" s="155"/>
      <c r="BQ4538" s="314"/>
      <c r="BR4538" s="314"/>
      <c r="BS4538" s="314"/>
      <c r="BT4538" s="314"/>
      <c r="BU4538" s="314"/>
      <c r="BV4538" s="314"/>
      <c r="BW4538" s="314"/>
      <c r="BX4538" s="155"/>
    </row>
    <row r="4539" spans="1:76" ht="15.75" customHeight="1">
      <c r="A4539" s="25"/>
      <c r="B4539" s="39"/>
      <c r="C4539" s="155"/>
      <c r="D4539" s="155"/>
      <c r="E4539" s="40"/>
      <c r="F4539" s="314"/>
      <c r="H4539" s="315"/>
      <c r="I4539" s="315"/>
      <c r="BA4539" s="30"/>
      <c r="BB4539" s="155"/>
      <c r="BC4539" s="314"/>
      <c r="BD4539" s="314"/>
      <c r="BE4539" s="314"/>
      <c r="BF4539" s="314"/>
      <c r="BG4539" s="314"/>
      <c r="BH4539" s="314"/>
      <c r="BI4539" s="314"/>
      <c r="BJ4539" s="314"/>
      <c r="BK4539" s="40"/>
      <c r="BL4539" s="40"/>
      <c r="BM4539" s="40"/>
      <c r="BN4539" s="40"/>
      <c r="BO4539" s="40"/>
      <c r="BP4539" s="155"/>
      <c r="BQ4539" s="314"/>
      <c r="BR4539" s="314"/>
      <c r="BS4539" s="314"/>
      <c r="BT4539" s="314"/>
      <c r="BU4539" s="314"/>
      <c r="BV4539" s="314"/>
      <c r="BW4539" s="314"/>
      <c r="BX4539" s="155"/>
    </row>
    <row r="4540" spans="1:76" ht="15.75" customHeight="1">
      <c r="A4540" s="25"/>
      <c r="B4540" s="39"/>
      <c r="C4540" s="155"/>
      <c r="D4540" s="155"/>
      <c r="E4540" s="40"/>
      <c r="F4540" s="314"/>
      <c r="H4540" s="315"/>
      <c r="I4540" s="315"/>
      <c r="BA4540" s="30"/>
      <c r="BB4540" s="155"/>
      <c r="BC4540" s="314"/>
      <c r="BD4540" s="314"/>
      <c r="BE4540" s="314"/>
      <c r="BF4540" s="314"/>
      <c r="BG4540" s="314"/>
      <c r="BH4540" s="314"/>
      <c r="BI4540" s="314"/>
      <c r="BJ4540" s="314"/>
      <c r="BK4540" s="40"/>
      <c r="BL4540" s="40"/>
      <c r="BM4540" s="40"/>
      <c r="BN4540" s="40"/>
      <c r="BO4540" s="40"/>
      <c r="BP4540" s="155"/>
      <c r="BQ4540" s="314"/>
      <c r="BR4540" s="314"/>
      <c r="BS4540" s="314"/>
      <c r="BT4540" s="314"/>
      <c r="BU4540" s="314"/>
      <c r="BV4540" s="314"/>
      <c r="BW4540" s="314"/>
      <c r="BX4540" s="155"/>
    </row>
    <row r="4541" spans="1:76" ht="15.75" customHeight="1">
      <c r="A4541" s="25"/>
      <c r="B4541" s="39"/>
      <c r="C4541" s="155"/>
      <c r="D4541" s="155"/>
      <c r="E4541" s="40"/>
      <c r="F4541" s="314"/>
      <c r="H4541" s="315"/>
      <c r="I4541" s="315"/>
      <c r="BA4541" s="30"/>
      <c r="BB4541" s="155"/>
      <c r="BC4541" s="314"/>
      <c r="BD4541" s="314"/>
      <c r="BE4541" s="314"/>
      <c r="BF4541" s="314"/>
      <c r="BG4541" s="314"/>
      <c r="BH4541" s="314"/>
      <c r="BI4541" s="314"/>
      <c r="BJ4541" s="314"/>
      <c r="BK4541" s="40"/>
      <c r="BL4541" s="40"/>
      <c r="BM4541" s="40"/>
      <c r="BN4541" s="40"/>
      <c r="BO4541" s="40"/>
      <c r="BP4541" s="155"/>
      <c r="BQ4541" s="314"/>
      <c r="BR4541" s="314"/>
      <c r="BS4541" s="314"/>
      <c r="BT4541" s="314"/>
      <c r="BU4541" s="314"/>
      <c r="BV4541" s="314"/>
      <c r="BW4541" s="314"/>
      <c r="BX4541" s="155"/>
    </row>
    <row r="4542" spans="1:76" ht="15.75" customHeight="1">
      <c r="A4542" s="25"/>
      <c r="B4542" s="39"/>
      <c r="C4542" s="155"/>
      <c r="D4542" s="155"/>
      <c r="E4542" s="40"/>
      <c r="F4542" s="314"/>
      <c r="H4542" s="315"/>
      <c r="I4542" s="315"/>
      <c r="BA4542" s="30"/>
      <c r="BB4542" s="155"/>
      <c r="BC4542" s="314"/>
      <c r="BD4542" s="314"/>
      <c r="BE4542" s="314"/>
      <c r="BF4542" s="314"/>
      <c r="BG4542" s="314"/>
      <c r="BH4542" s="314"/>
      <c r="BI4542" s="314"/>
      <c r="BJ4542" s="314"/>
      <c r="BK4542" s="40"/>
      <c r="BL4542" s="40"/>
      <c r="BM4542" s="40"/>
      <c r="BN4542" s="40"/>
      <c r="BO4542" s="40"/>
      <c r="BP4542" s="155"/>
      <c r="BQ4542" s="314"/>
      <c r="BR4542" s="314"/>
      <c r="BS4542" s="314"/>
      <c r="BT4542" s="314"/>
      <c r="BU4542" s="314"/>
      <c r="BV4542" s="314"/>
      <c r="BW4542" s="314"/>
      <c r="BX4542" s="155"/>
    </row>
    <row r="4543" spans="1:76" ht="15.75" customHeight="1">
      <c r="A4543" s="25"/>
      <c r="B4543" s="39"/>
      <c r="C4543" s="155"/>
      <c r="D4543" s="155"/>
      <c r="E4543" s="40"/>
      <c r="F4543" s="314"/>
      <c r="H4543" s="315"/>
      <c r="I4543" s="315"/>
      <c r="BA4543" s="30"/>
      <c r="BB4543" s="155"/>
      <c r="BC4543" s="314"/>
      <c r="BD4543" s="314"/>
      <c r="BE4543" s="314"/>
      <c r="BF4543" s="314"/>
      <c r="BG4543" s="314"/>
      <c r="BH4543" s="314"/>
      <c r="BI4543" s="314"/>
      <c r="BJ4543" s="314"/>
      <c r="BK4543" s="40"/>
      <c r="BL4543" s="40"/>
      <c r="BM4543" s="40"/>
      <c r="BN4543" s="40"/>
      <c r="BO4543" s="40"/>
      <c r="BP4543" s="155"/>
      <c r="BQ4543" s="314"/>
      <c r="BR4543" s="314"/>
      <c r="BS4543" s="314"/>
      <c r="BT4543" s="314"/>
      <c r="BU4543" s="314"/>
      <c r="BV4543" s="314"/>
      <c r="BW4543" s="314"/>
      <c r="BX4543" s="155"/>
    </row>
    <row r="4544" spans="1:76" ht="15.75" customHeight="1">
      <c r="A4544" s="25"/>
      <c r="B4544" s="39"/>
      <c r="C4544" s="155"/>
      <c r="D4544" s="155"/>
      <c r="E4544" s="40"/>
      <c r="F4544" s="314"/>
      <c r="H4544" s="315"/>
      <c r="I4544" s="315"/>
      <c r="BA4544" s="30"/>
      <c r="BB4544" s="155"/>
      <c r="BC4544" s="314"/>
      <c r="BD4544" s="314"/>
      <c r="BE4544" s="314"/>
      <c r="BF4544" s="314"/>
      <c r="BG4544" s="314"/>
      <c r="BH4544" s="314"/>
      <c r="BI4544" s="314"/>
      <c r="BJ4544" s="314"/>
      <c r="BK4544" s="40"/>
      <c r="BL4544" s="40"/>
      <c r="BM4544" s="40"/>
      <c r="BN4544" s="40"/>
      <c r="BO4544" s="40"/>
      <c r="BP4544" s="155"/>
      <c r="BQ4544" s="314"/>
      <c r="BR4544" s="314"/>
      <c r="BS4544" s="314"/>
      <c r="BT4544" s="314"/>
      <c r="BU4544" s="314"/>
      <c r="BV4544" s="314"/>
      <c r="BW4544" s="314"/>
      <c r="BX4544" s="155"/>
    </row>
    <row r="4545" spans="1:76" ht="15.75" customHeight="1">
      <c r="A4545" s="25"/>
      <c r="B4545" s="39"/>
      <c r="C4545" s="155"/>
      <c r="D4545" s="155"/>
      <c r="E4545" s="40"/>
      <c r="F4545" s="314"/>
      <c r="H4545" s="315"/>
      <c r="I4545" s="315"/>
      <c r="BA4545" s="30"/>
      <c r="BB4545" s="155"/>
      <c r="BC4545" s="314"/>
      <c r="BD4545" s="314"/>
      <c r="BE4545" s="314"/>
      <c r="BF4545" s="314"/>
      <c r="BG4545" s="314"/>
      <c r="BH4545" s="314"/>
      <c r="BI4545" s="314"/>
      <c r="BJ4545" s="314"/>
      <c r="BK4545" s="40"/>
      <c r="BL4545" s="40"/>
      <c r="BM4545" s="40"/>
      <c r="BN4545" s="40"/>
      <c r="BO4545" s="40"/>
      <c r="BP4545" s="155"/>
      <c r="BQ4545" s="314"/>
      <c r="BR4545" s="314"/>
      <c r="BS4545" s="314"/>
      <c r="BT4545" s="314"/>
      <c r="BU4545" s="314"/>
      <c r="BV4545" s="314"/>
      <c r="BW4545" s="314"/>
      <c r="BX4545" s="155"/>
    </row>
    <row r="4546" spans="1:76" ht="15.75" customHeight="1">
      <c r="A4546" s="25"/>
      <c r="B4546" s="39"/>
      <c r="C4546" s="155"/>
      <c r="D4546" s="155"/>
      <c r="E4546" s="40"/>
      <c r="F4546" s="314"/>
      <c r="H4546" s="315"/>
      <c r="I4546" s="315"/>
      <c r="BA4546" s="30"/>
      <c r="BB4546" s="155"/>
      <c r="BC4546" s="322"/>
      <c r="BD4546" s="322"/>
      <c r="BE4546" s="322"/>
      <c r="BF4546" s="322"/>
      <c r="BG4546" s="322"/>
      <c r="BH4546" s="322"/>
      <c r="BI4546" s="322"/>
      <c r="BJ4546" s="322"/>
      <c r="BK4546" s="341"/>
      <c r="BL4546" s="40"/>
      <c r="BM4546" s="40"/>
      <c r="BN4546" s="40"/>
      <c r="BO4546" s="40"/>
      <c r="BP4546" s="155"/>
      <c r="BQ4546" s="314"/>
      <c r="BR4546" s="314"/>
      <c r="BS4546" s="314"/>
      <c r="BT4546" s="314"/>
      <c r="BU4546" s="314"/>
      <c r="BV4546" s="314"/>
      <c r="BW4546" s="314"/>
      <c r="BX4546" s="155"/>
    </row>
    <row r="4547" spans="1:76" ht="15.75" customHeight="1">
      <c r="A4547" s="25"/>
      <c r="B4547" s="39"/>
      <c r="C4547" s="155"/>
      <c r="D4547" s="155"/>
      <c r="E4547" s="40"/>
      <c r="F4547" s="314"/>
      <c r="H4547" s="315"/>
      <c r="I4547" s="315"/>
      <c r="BA4547" s="30"/>
      <c r="BB4547" s="155"/>
      <c r="BC4547" s="314"/>
      <c r="BD4547" s="314"/>
      <c r="BE4547" s="314"/>
      <c r="BF4547" s="314"/>
      <c r="BG4547" s="314"/>
      <c r="BH4547" s="314"/>
      <c r="BI4547" s="314"/>
      <c r="BJ4547" s="314"/>
      <c r="BK4547" s="40"/>
      <c r="BL4547" s="40"/>
      <c r="BM4547" s="40"/>
      <c r="BN4547" s="40"/>
      <c r="BO4547" s="40"/>
      <c r="BP4547" s="155"/>
      <c r="BQ4547" s="314"/>
      <c r="BR4547" s="314"/>
      <c r="BS4547" s="314"/>
      <c r="BT4547" s="314"/>
      <c r="BU4547" s="314"/>
      <c r="BV4547" s="314"/>
      <c r="BW4547" s="314"/>
      <c r="BX4547" s="155"/>
    </row>
    <row r="4548" spans="1:76" ht="15.75" customHeight="1">
      <c r="A4548" s="25"/>
      <c r="B4548" s="39"/>
      <c r="C4548" s="155"/>
      <c r="D4548" s="155"/>
      <c r="E4548" s="40"/>
      <c r="F4548" s="314"/>
      <c r="H4548" s="315"/>
      <c r="I4548" s="315"/>
      <c r="BA4548" s="30"/>
      <c r="BB4548" s="155"/>
      <c r="BC4548" s="314"/>
      <c r="BD4548" s="314"/>
      <c r="BE4548" s="314"/>
      <c r="BF4548" s="314"/>
      <c r="BG4548" s="314"/>
      <c r="BH4548" s="314"/>
      <c r="BI4548" s="314"/>
      <c r="BJ4548" s="314"/>
      <c r="BK4548" s="40"/>
      <c r="BL4548" s="40"/>
      <c r="BM4548" s="40"/>
      <c r="BN4548" s="40"/>
      <c r="BO4548" s="40"/>
      <c r="BP4548" s="155"/>
      <c r="BQ4548" s="314"/>
      <c r="BR4548" s="314"/>
      <c r="BS4548" s="314"/>
      <c r="BT4548" s="314"/>
      <c r="BU4548" s="314"/>
      <c r="BV4548" s="314"/>
      <c r="BW4548" s="314"/>
      <c r="BX4548" s="155"/>
    </row>
    <row r="4549" spans="1:76" ht="15.75" customHeight="1">
      <c r="A4549" s="25"/>
      <c r="B4549" s="39"/>
      <c r="C4549" s="155"/>
      <c r="D4549" s="155"/>
      <c r="E4549" s="40"/>
      <c r="F4549" s="314"/>
      <c r="H4549" s="315"/>
      <c r="I4549" s="315"/>
      <c r="BA4549" s="30"/>
      <c r="BB4549" s="155"/>
      <c r="BC4549" s="314"/>
      <c r="BD4549" s="314"/>
      <c r="BE4549" s="314"/>
      <c r="BF4549" s="314"/>
      <c r="BG4549" s="314"/>
      <c r="BH4549" s="314"/>
      <c r="BI4549" s="314"/>
      <c r="BJ4549" s="314"/>
      <c r="BK4549" s="40"/>
      <c r="BL4549" s="40"/>
      <c r="BM4549" s="40"/>
      <c r="BN4549" s="40"/>
      <c r="BO4549" s="40"/>
      <c r="BP4549" s="155"/>
      <c r="BQ4549" s="314"/>
      <c r="BR4549" s="314"/>
      <c r="BS4549" s="314"/>
      <c r="BT4549" s="314"/>
      <c r="BU4549" s="314"/>
      <c r="BV4549" s="314"/>
      <c r="BW4549" s="314"/>
      <c r="BX4549" s="155"/>
    </row>
    <row r="4550" spans="1:76" ht="15.75" customHeight="1">
      <c r="A4550" s="25"/>
      <c r="B4550" s="39"/>
      <c r="C4550" s="155"/>
      <c r="D4550" s="155"/>
      <c r="E4550" s="40"/>
      <c r="F4550" s="314"/>
      <c r="H4550" s="315"/>
      <c r="I4550" s="315"/>
      <c r="BA4550" s="30"/>
      <c r="BB4550" s="155"/>
      <c r="BC4550" s="314"/>
      <c r="BD4550" s="314"/>
      <c r="BE4550" s="314"/>
      <c r="BF4550" s="314"/>
      <c r="BG4550" s="314"/>
      <c r="BH4550" s="314"/>
      <c r="BI4550" s="314"/>
      <c r="BJ4550" s="314"/>
      <c r="BK4550" s="40"/>
      <c r="BL4550" s="40"/>
      <c r="BM4550" s="40"/>
      <c r="BN4550" s="40"/>
      <c r="BO4550" s="40"/>
      <c r="BP4550" s="155"/>
      <c r="BQ4550" s="314"/>
      <c r="BR4550" s="314"/>
      <c r="BS4550" s="314"/>
      <c r="BT4550" s="314"/>
      <c r="BU4550" s="314"/>
      <c r="BV4550" s="314"/>
      <c r="BW4550" s="314"/>
      <c r="BX4550" s="155"/>
    </row>
    <row r="4551" spans="1:76" ht="15.75" customHeight="1">
      <c r="A4551" s="25"/>
      <c r="B4551" s="39"/>
      <c r="C4551" s="155"/>
      <c r="D4551" s="155"/>
      <c r="E4551" s="40"/>
      <c r="F4551" s="314"/>
      <c r="H4551" s="315"/>
      <c r="I4551" s="315"/>
      <c r="BA4551" s="30"/>
      <c r="BB4551" s="155"/>
      <c r="BC4551" s="314"/>
      <c r="BD4551" s="314"/>
      <c r="BE4551" s="314"/>
      <c r="BF4551" s="314"/>
      <c r="BG4551" s="314"/>
      <c r="BH4551" s="314"/>
      <c r="BI4551" s="314"/>
      <c r="BJ4551" s="314"/>
      <c r="BK4551" s="40"/>
      <c r="BL4551" s="40"/>
      <c r="BM4551" s="40"/>
      <c r="BN4551" s="40"/>
      <c r="BO4551" s="40"/>
      <c r="BP4551" s="155"/>
      <c r="BQ4551" s="314"/>
      <c r="BR4551" s="314"/>
      <c r="BS4551" s="314"/>
      <c r="BT4551" s="314"/>
      <c r="BU4551" s="314"/>
      <c r="BV4551" s="314"/>
      <c r="BW4551" s="314"/>
      <c r="BX4551" s="155"/>
    </row>
    <row r="4552" spans="1:76" ht="15.75" customHeight="1">
      <c r="A4552" s="25"/>
      <c r="B4552" s="39"/>
      <c r="C4552" s="155"/>
      <c r="D4552" s="155"/>
      <c r="E4552" s="40"/>
      <c r="F4552" s="314"/>
      <c r="H4552" s="315"/>
      <c r="I4552" s="315"/>
      <c r="BA4552" s="30"/>
      <c r="BB4552" s="155"/>
      <c r="BC4552" s="314"/>
      <c r="BD4552" s="314"/>
      <c r="BE4552" s="314"/>
      <c r="BF4552" s="314"/>
      <c r="BG4552" s="314"/>
      <c r="BH4552" s="314"/>
      <c r="BI4552" s="314"/>
      <c r="BJ4552" s="314"/>
      <c r="BK4552" s="40"/>
      <c r="BL4552" s="40"/>
      <c r="BM4552" s="40"/>
      <c r="BN4552" s="40"/>
      <c r="BO4552" s="40"/>
      <c r="BP4552" s="155"/>
      <c r="BQ4552" s="314"/>
      <c r="BR4552" s="314"/>
      <c r="BS4552" s="314"/>
      <c r="BT4552" s="314"/>
      <c r="BU4552" s="314"/>
      <c r="BV4552" s="314"/>
      <c r="BW4552" s="314"/>
      <c r="BX4552" s="155"/>
    </row>
    <row r="4553" spans="1:76" ht="15.75" customHeight="1">
      <c r="A4553" s="25"/>
      <c r="B4553" s="39"/>
      <c r="C4553" s="155"/>
      <c r="D4553" s="155"/>
      <c r="E4553" s="40"/>
      <c r="F4553" s="314"/>
      <c r="H4553" s="315"/>
      <c r="I4553" s="315"/>
      <c r="BA4553" s="30"/>
      <c r="BB4553" s="155"/>
      <c r="BC4553" s="314"/>
      <c r="BD4553" s="314"/>
      <c r="BE4553" s="314"/>
      <c r="BF4553" s="314"/>
      <c r="BG4553" s="314"/>
      <c r="BH4553" s="314"/>
      <c r="BI4553" s="314"/>
      <c r="BJ4553" s="314"/>
      <c r="BK4553" s="40"/>
      <c r="BL4553" s="40"/>
      <c r="BM4553" s="40"/>
      <c r="BN4553" s="40"/>
      <c r="BO4553" s="40"/>
      <c r="BP4553" s="155"/>
      <c r="BQ4553" s="314"/>
      <c r="BR4553" s="314"/>
      <c r="BS4553" s="314"/>
      <c r="BT4553" s="314"/>
      <c r="BU4553" s="314"/>
      <c r="BV4553" s="314"/>
      <c r="BW4553" s="314"/>
      <c r="BX4553" s="155"/>
    </row>
    <row r="4554" spans="1:76" ht="15.75" customHeight="1">
      <c r="A4554" s="25"/>
      <c r="B4554" s="39"/>
      <c r="C4554" s="155"/>
      <c r="D4554" s="155"/>
      <c r="E4554" s="40"/>
      <c r="F4554" s="314"/>
      <c r="H4554" s="315"/>
      <c r="I4554" s="315"/>
      <c r="BA4554" s="30"/>
      <c r="BB4554" s="155"/>
      <c r="BC4554" s="314"/>
      <c r="BD4554" s="314"/>
      <c r="BE4554" s="314"/>
      <c r="BF4554" s="314"/>
      <c r="BG4554" s="314"/>
      <c r="BH4554" s="314"/>
      <c r="BI4554" s="314"/>
      <c r="BJ4554" s="314"/>
      <c r="BK4554" s="40"/>
      <c r="BL4554" s="40"/>
      <c r="BM4554" s="40"/>
      <c r="BN4554" s="40"/>
      <c r="BO4554" s="40"/>
      <c r="BP4554" s="155"/>
      <c r="BQ4554" s="314"/>
      <c r="BR4554" s="314"/>
      <c r="BS4554" s="314"/>
      <c r="BT4554" s="314"/>
      <c r="BU4554" s="314"/>
      <c r="BV4554" s="314"/>
      <c r="BW4554" s="314"/>
      <c r="BX4554" s="155"/>
    </row>
    <row r="4555" spans="1:76" ht="15.75" customHeight="1">
      <c r="A4555" s="25"/>
      <c r="B4555" s="39"/>
      <c r="C4555" s="155"/>
      <c r="D4555" s="155"/>
      <c r="E4555" s="40"/>
      <c r="F4555" s="314"/>
      <c r="H4555" s="315"/>
      <c r="I4555" s="315"/>
      <c r="BA4555" s="30"/>
      <c r="BB4555" s="155"/>
      <c r="BC4555" s="314"/>
      <c r="BD4555" s="314"/>
      <c r="BE4555" s="314"/>
      <c r="BF4555" s="314"/>
      <c r="BG4555" s="314"/>
      <c r="BH4555" s="314"/>
      <c r="BI4555" s="314"/>
      <c r="BJ4555" s="314"/>
      <c r="BK4555" s="40"/>
      <c r="BL4555" s="40"/>
      <c r="BM4555" s="40"/>
      <c r="BN4555" s="40"/>
      <c r="BO4555" s="40"/>
      <c r="BP4555" s="155"/>
      <c r="BQ4555" s="314"/>
      <c r="BR4555" s="314"/>
      <c r="BS4555" s="314"/>
      <c r="BT4555" s="314"/>
      <c r="BU4555" s="314"/>
      <c r="BV4555" s="314"/>
      <c r="BW4555" s="314"/>
      <c r="BX4555" s="155"/>
    </row>
    <row r="4556" spans="1:76" ht="15.75" customHeight="1">
      <c r="A4556" s="25"/>
      <c r="B4556" s="39"/>
      <c r="C4556" s="155"/>
      <c r="D4556" s="155"/>
      <c r="E4556" s="40"/>
      <c r="F4556" s="314"/>
      <c r="H4556" s="315"/>
      <c r="I4556" s="315"/>
      <c r="BA4556" s="30"/>
      <c r="BB4556" s="155"/>
      <c r="BC4556" s="314"/>
      <c r="BD4556" s="314"/>
      <c r="BE4556" s="314"/>
      <c r="BF4556" s="314"/>
      <c r="BG4556" s="314"/>
      <c r="BH4556" s="314"/>
      <c r="BI4556" s="314"/>
      <c r="BJ4556" s="314"/>
      <c r="BK4556" s="40"/>
      <c r="BL4556" s="40"/>
      <c r="BM4556" s="40"/>
      <c r="BN4556" s="40"/>
      <c r="BO4556" s="40"/>
      <c r="BP4556" s="155"/>
      <c r="BQ4556" s="314"/>
      <c r="BR4556" s="314"/>
      <c r="BS4556" s="314"/>
      <c r="BT4556" s="314"/>
      <c r="BU4556" s="314"/>
      <c r="BV4556" s="314"/>
      <c r="BW4556" s="314"/>
      <c r="BX4556" s="155"/>
    </row>
    <row r="4557" spans="1:76" ht="15.75" customHeight="1">
      <c r="A4557" s="25"/>
      <c r="B4557" s="39"/>
      <c r="C4557" s="155"/>
      <c r="D4557" s="155"/>
      <c r="E4557" s="40"/>
      <c r="F4557" s="314"/>
      <c r="H4557" s="315"/>
      <c r="I4557" s="315"/>
      <c r="BA4557" s="30"/>
      <c r="BB4557" s="155"/>
      <c r="BC4557" s="314"/>
      <c r="BD4557" s="314"/>
      <c r="BE4557" s="314"/>
      <c r="BF4557" s="314"/>
      <c r="BG4557" s="314"/>
      <c r="BH4557" s="314"/>
      <c r="BI4557" s="314"/>
      <c r="BJ4557" s="314"/>
      <c r="BK4557" s="40"/>
      <c r="BL4557" s="40"/>
      <c r="BM4557" s="40"/>
      <c r="BN4557" s="40"/>
      <c r="BO4557" s="40"/>
      <c r="BP4557" s="155"/>
      <c r="BQ4557" s="314"/>
      <c r="BR4557" s="314"/>
      <c r="BS4557" s="314"/>
      <c r="BT4557" s="314"/>
      <c r="BU4557" s="314"/>
      <c r="BV4557" s="314"/>
      <c r="BW4557" s="314"/>
      <c r="BX4557" s="155"/>
    </row>
    <row r="4558" spans="1:76" ht="15.75" customHeight="1">
      <c r="A4558" s="25"/>
      <c r="B4558" s="39"/>
      <c r="C4558" s="155"/>
      <c r="D4558" s="155"/>
      <c r="E4558" s="40"/>
      <c r="F4558" s="314"/>
      <c r="H4558" s="315"/>
      <c r="I4558" s="315"/>
      <c r="BA4558" s="30"/>
      <c r="BB4558" s="155"/>
      <c r="BC4558" s="314"/>
      <c r="BD4558" s="314"/>
      <c r="BE4558" s="314"/>
      <c r="BF4558" s="314"/>
      <c r="BG4558" s="314"/>
      <c r="BH4558" s="314"/>
      <c r="BI4558" s="314"/>
      <c r="BJ4558" s="314"/>
      <c r="BK4558" s="40"/>
      <c r="BL4558" s="40"/>
      <c r="BM4558" s="40"/>
      <c r="BN4558" s="40"/>
      <c r="BO4558" s="40"/>
      <c r="BP4558" s="155"/>
      <c r="BQ4558" s="314"/>
      <c r="BR4558" s="314"/>
      <c r="BS4558" s="314"/>
      <c r="BT4558" s="314"/>
      <c r="BU4558" s="314"/>
      <c r="BV4558" s="314"/>
      <c r="BW4558" s="314"/>
      <c r="BX4558" s="155"/>
    </row>
    <row r="4559" spans="1:76" ht="15.75" customHeight="1">
      <c r="A4559" s="25"/>
      <c r="B4559" s="39"/>
      <c r="C4559" s="155"/>
      <c r="D4559" s="155"/>
      <c r="E4559" s="40"/>
      <c r="F4559" s="314"/>
      <c r="H4559" s="315"/>
      <c r="I4559" s="315"/>
      <c r="BA4559" s="30"/>
      <c r="BB4559" s="155"/>
      <c r="BC4559" s="314"/>
      <c r="BD4559" s="314"/>
      <c r="BE4559" s="314"/>
      <c r="BF4559" s="314"/>
      <c r="BG4559" s="314"/>
      <c r="BH4559" s="314"/>
      <c r="BI4559" s="314"/>
      <c r="BJ4559" s="314"/>
      <c r="BK4559" s="40"/>
      <c r="BL4559" s="40"/>
      <c r="BM4559" s="40"/>
      <c r="BN4559" s="40"/>
      <c r="BO4559" s="40"/>
      <c r="BP4559" s="155"/>
      <c r="BQ4559" s="314"/>
      <c r="BR4559" s="314"/>
      <c r="BS4559" s="314"/>
      <c r="BT4559" s="314"/>
      <c r="BU4559" s="314"/>
      <c r="BV4559" s="314"/>
      <c r="BW4559" s="314"/>
      <c r="BX4559" s="155"/>
    </row>
    <row r="4560" spans="1:76" ht="15.75" customHeight="1">
      <c r="A4560" s="25"/>
      <c r="B4560" s="39"/>
      <c r="C4560" s="155"/>
      <c r="D4560" s="155"/>
      <c r="E4560" s="40"/>
      <c r="F4560" s="314"/>
      <c r="H4560" s="315"/>
      <c r="I4560" s="315"/>
      <c r="BA4560" s="30"/>
      <c r="BB4560" s="155"/>
      <c r="BC4560" s="314"/>
      <c r="BD4560" s="314"/>
      <c r="BE4560" s="314"/>
      <c r="BF4560" s="314"/>
      <c r="BG4560" s="314"/>
      <c r="BH4560" s="314"/>
      <c r="BI4560" s="314"/>
      <c r="BJ4560" s="314"/>
      <c r="BK4560" s="40"/>
      <c r="BL4560" s="40"/>
      <c r="BM4560" s="40"/>
      <c r="BN4560" s="40"/>
      <c r="BO4560" s="40"/>
      <c r="BP4560" s="155"/>
      <c r="BQ4560" s="314"/>
      <c r="BR4560" s="314"/>
      <c r="BS4560" s="314"/>
      <c r="BT4560" s="314"/>
      <c r="BU4560" s="314"/>
      <c r="BV4560" s="314"/>
      <c r="BW4560" s="314"/>
      <c r="BX4560" s="155"/>
    </row>
    <row r="4561" spans="1:76" ht="15.75" customHeight="1">
      <c r="A4561" s="25"/>
      <c r="B4561" s="39"/>
      <c r="C4561" s="155"/>
      <c r="D4561" s="155"/>
      <c r="E4561" s="40"/>
      <c r="F4561" s="314"/>
      <c r="H4561" s="315"/>
      <c r="I4561" s="315"/>
      <c r="BA4561" s="30"/>
      <c r="BB4561" s="155"/>
      <c r="BC4561" s="314"/>
      <c r="BD4561" s="314"/>
      <c r="BE4561" s="314"/>
      <c r="BF4561" s="314"/>
      <c r="BG4561" s="314"/>
      <c r="BH4561" s="314"/>
      <c r="BI4561" s="314"/>
      <c r="BJ4561" s="314"/>
      <c r="BK4561" s="40"/>
      <c r="BL4561" s="40"/>
      <c r="BM4561" s="40"/>
      <c r="BN4561" s="40"/>
      <c r="BO4561" s="40"/>
      <c r="BP4561" s="155"/>
      <c r="BQ4561" s="314"/>
      <c r="BR4561" s="314"/>
      <c r="BS4561" s="314"/>
      <c r="BT4561" s="314"/>
      <c r="BU4561" s="314"/>
      <c r="BV4561" s="314"/>
      <c r="BW4561" s="314"/>
      <c r="BX4561" s="155"/>
    </row>
    <row r="4562" spans="1:76" ht="15.75" customHeight="1">
      <c r="A4562" s="25"/>
      <c r="B4562" s="39"/>
      <c r="C4562" s="155"/>
      <c r="D4562" s="155"/>
      <c r="E4562" s="40"/>
      <c r="F4562" s="314"/>
      <c r="H4562" s="315"/>
      <c r="I4562" s="315"/>
      <c r="BA4562" s="30"/>
      <c r="BB4562" s="155"/>
      <c r="BC4562" s="314"/>
      <c r="BD4562" s="314"/>
      <c r="BE4562" s="314"/>
      <c r="BF4562" s="314"/>
      <c r="BG4562" s="314"/>
      <c r="BH4562" s="314"/>
      <c r="BI4562" s="314"/>
      <c r="BJ4562" s="314"/>
      <c r="BK4562" s="40"/>
      <c r="BL4562" s="40"/>
      <c r="BM4562" s="40"/>
      <c r="BN4562" s="40"/>
      <c r="BO4562" s="40"/>
      <c r="BP4562" s="155"/>
      <c r="BQ4562" s="314"/>
      <c r="BR4562" s="314"/>
      <c r="BS4562" s="314"/>
      <c r="BT4562" s="314"/>
      <c r="BU4562" s="314"/>
      <c r="BV4562" s="314"/>
      <c r="BW4562" s="314"/>
      <c r="BX4562" s="155"/>
    </row>
    <row r="4563" spans="1:76" ht="15.75" customHeight="1">
      <c r="A4563" s="25"/>
      <c r="B4563" s="39"/>
      <c r="C4563" s="155"/>
      <c r="D4563" s="155"/>
      <c r="E4563" s="40"/>
      <c r="F4563" s="314"/>
      <c r="H4563" s="315"/>
      <c r="I4563" s="315"/>
      <c r="BA4563" s="30"/>
      <c r="BB4563" s="155"/>
      <c r="BC4563" s="314"/>
      <c r="BD4563" s="314"/>
      <c r="BE4563" s="314"/>
      <c r="BF4563" s="314"/>
      <c r="BG4563" s="314"/>
      <c r="BH4563" s="314"/>
      <c r="BI4563" s="314"/>
      <c r="BJ4563" s="314"/>
      <c r="BK4563" s="40"/>
      <c r="BL4563" s="40"/>
      <c r="BM4563" s="40"/>
      <c r="BN4563" s="40"/>
      <c r="BO4563" s="40"/>
      <c r="BP4563" s="155"/>
      <c r="BQ4563" s="314"/>
      <c r="BR4563" s="314"/>
      <c r="BS4563" s="314"/>
      <c r="BT4563" s="314"/>
      <c r="BU4563" s="314"/>
      <c r="BV4563" s="314"/>
      <c r="BW4563" s="314"/>
      <c r="BX4563" s="155"/>
    </row>
    <row r="4564" spans="1:76" ht="15.75" customHeight="1">
      <c r="A4564" s="25"/>
      <c r="B4564" s="39"/>
      <c r="C4564" s="155"/>
      <c r="D4564" s="155"/>
      <c r="E4564" s="40"/>
      <c r="F4564" s="314"/>
      <c r="H4564" s="315"/>
      <c r="I4564" s="315"/>
      <c r="BA4564" s="30"/>
      <c r="BB4564" s="155"/>
      <c r="BC4564" s="314"/>
      <c r="BD4564" s="314"/>
      <c r="BE4564" s="314"/>
      <c r="BF4564" s="314"/>
      <c r="BG4564" s="314"/>
      <c r="BH4564" s="314"/>
      <c r="BI4564" s="314"/>
      <c r="BJ4564" s="314"/>
      <c r="BK4564" s="40"/>
      <c r="BL4564" s="40"/>
      <c r="BM4564" s="40"/>
      <c r="BN4564" s="40"/>
      <c r="BO4564" s="40"/>
      <c r="BP4564" s="155"/>
      <c r="BQ4564" s="314"/>
      <c r="BR4564" s="314"/>
      <c r="BS4564" s="314"/>
      <c r="BT4564" s="314"/>
      <c r="BU4564" s="314"/>
      <c r="BV4564" s="314"/>
      <c r="BW4564" s="314"/>
      <c r="BX4564" s="155"/>
    </row>
    <row r="4565" spans="1:76" ht="15.75" customHeight="1">
      <c r="A4565" s="25"/>
      <c r="B4565" s="39"/>
      <c r="C4565" s="155"/>
      <c r="D4565" s="155"/>
      <c r="E4565" s="40"/>
      <c r="F4565" s="314"/>
      <c r="H4565" s="315"/>
      <c r="I4565" s="315"/>
      <c r="BA4565" s="30"/>
      <c r="BB4565" s="155"/>
      <c r="BC4565" s="322"/>
      <c r="BD4565" s="322"/>
      <c r="BE4565" s="322"/>
      <c r="BF4565" s="322"/>
      <c r="BG4565" s="322"/>
      <c r="BH4565" s="322"/>
      <c r="BI4565" s="322"/>
      <c r="BJ4565" s="322"/>
      <c r="BK4565" s="341"/>
      <c r="BL4565" s="40"/>
      <c r="BM4565" s="40"/>
      <c r="BN4565" s="40"/>
      <c r="BO4565" s="40"/>
      <c r="BP4565" s="155"/>
      <c r="BQ4565" s="314"/>
      <c r="BR4565" s="314"/>
      <c r="BS4565" s="314"/>
      <c r="BT4565" s="314"/>
      <c r="BU4565" s="314"/>
      <c r="BV4565" s="314"/>
      <c r="BW4565" s="314"/>
      <c r="BX4565" s="155"/>
    </row>
    <row r="4566" spans="1:76" ht="15.75" customHeight="1">
      <c r="A4566" s="25"/>
      <c r="B4566" s="39"/>
      <c r="C4566" s="155"/>
      <c r="D4566" s="155"/>
      <c r="E4566" s="40"/>
      <c r="F4566" s="314"/>
      <c r="H4566" s="315"/>
      <c r="I4566" s="315"/>
      <c r="BA4566" s="30"/>
      <c r="BB4566" s="155"/>
      <c r="BC4566" s="314"/>
      <c r="BD4566" s="314"/>
      <c r="BE4566" s="314"/>
      <c r="BF4566" s="314"/>
      <c r="BG4566" s="314"/>
      <c r="BH4566" s="314"/>
      <c r="BI4566" s="314"/>
      <c r="BJ4566" s="314"/>
      <c r="BK4566" s="40"/>
      <c r="BL4566" s="40"/>
      <c r="BM4566" s="40"/>
      <c r="BN4566" s="40"/>
      <c r="BO4566" s="40"/>
      <c r="BP4566" s="155"/>
      <c r="BQ4566" s="314"/>
      <c r="BR4566" s="314"/>
      <c r="BS4566" s="314"/>
      <c r="BT4566" s="314"/>
      <c r="BU4566" s="314"/>
      <c r="BV4566" s="314"/>
      <c r="BW4566" s="314"/>
      <c r="BX4566" s="155"/>
    </row>
    <row r="4567" spans="1:76" ht="15.75" customHeight="1">
      <c r="A4567" s="25"/>
      <c r="B4567" s="39"/>
      <c r="C4567" s="155"/>
      <c r="D4567" s="155"/>
      <c r="E4567" s="40"/>
      <c r="F4567" s="314"/>
      <c r="H4567" s="315"/>
      <c r="I4567" s="315"/>
      <c r="BA4567" s="30"/>
      <c r="BB4567" s="155"/>
      <c r="BC4567" s="314"/>
      <c r="BD4567" s="314"/>
      <c r="BE4567" s="314"/>
      <c r="BF4567" s="314"/>
      <c r="BG4567" s="314"/>
      <c r="BH4567" s="314"/>
      <c r="BI4567" s="314"/>
      <c r="BJ4567" s="314"/>
      <c r="BK4567" s="40"/>
      <c r="BL4567" s="40"/>
      <c r="BM4567" s="40"/>
      <c r="BN4567" s="40"/>
      <c r="BO4567" s="40"/>
      <c r="BP4567" s="155"/>
      <c r="BQ4567" s="314"/>
      <c r="BR4567" s="314"/>
      <c r="BS4567" s="314"/>
      <c r="BT4567" s="314"/>
      <c r="BU4567" s="314"/>
      <c r="BV4567" s="314"/>
      <c r="BW4567" s="314"/>
      <c r="BX4567" s="155"/>
    </row>
    <row r="4568" spans="1:76" ht="15.75" customHeight="1">
      <c r="A4568" s="25"/>
      <c r="B4568" s="39"/>
      <c r="C4568" s="155"/>
      <c r="D4568" s="155"/>
      <c r="E4568" s="40"/>
      <c r="F4568" s="314"/>
      <c r="H4568" s="315"/>
      <c r="I4568" s="315"/>
      <c r="BA4568" s="30"/>
      <c r="BB4568" s="155"/>
      <c r="BC4568" s="314"/>
      <c r="BD4568" s="314"/>
      <c r="BE4568" s="314"/>
      <c r="BF4568" s="314"/>
      <c r="BG4568" s="314"/>
      <c r="BH4568" s="314"/>
      <c r="BI4568" s="314"/>
      <c r="BJ4568" s="314"/>
      <c r="BK4568" s="40"/>
      <c r="BL4568" s="40"/>
      <c r="BM4568" s="40"/>
      <c r="BN4568" s="40"/>
      <c r="BO4568" s="40"/>
      <c r="BP4568" s="155"/>
      <c r="BQ4568" s="314"/>
      <c r="BR4568" s="314"/>
      <c r="BS4568" s="314"/>
      <c r="BT4568" s="314"/>
      <c r="BU4568" s="314"/>
      <c r="BV4568" s="314"/>
      <c r="BW4568" s="314"/>
      <c r="BX4568" s="155"/>
    </row>
    <row r="4569" spans="1:76" ht="15.75" customHeight="1">
      <c r="A4569" s="25"/>
      <c r="B4569" s="39"/>
      <c r="C4569" s="155"/>
      <c r="D4569" s="155"/>
      <c r="E4569" s="40"/>
      <c r="F4569" s="314"/>
      <c r="H4569" s="315"/>
      <c r="I4569" s="315"/>
      <c r="BA4569" s="30"/>
      <c r="BB4569" s="155"/>
      <c r="BC4569" s="314"/>
      <c r="BD4569" s="314"/>
      <c r="BE4569" s="314"/>
      <c r="BF4569" s="314"/>
      <c r="BG4569" s="314"/>
      <c r="BH4569" s="314"/>
      <c r="BI4569" s="314"/>
      <c r="BJ4569" s="314"/>
      <c r="BK4569" s="40"/>
      <c r="BL4569" s="40"/>
      <c r="BM4569" s="40"/>
      <c r="BN4569" s="40"/>
      <c r="BO4569" s="40"/>
      <c r="BP4569" s="155"/>
      <c r="BQ4569" s="314"/>
      <c r="BR4569" s="314"/>
      <c r="BS4569" s="314"/>
      <c r="BT4569" s="314"/>
      <c r="BU4569" s="314"/>
      <c r="BV4569" s="314"/>
      <c r="BW4569" s="314"/>
      <c r="BX4569" s="155"/>
    </row>
    <row r="4570" spans="1:76" ht="15.75" customHeight="1">
      <c r="A4570" s="25"/>
      <c r="B4570" s="39"/>
      <c r="C4570" s="155"/>
      <c r="D4570" s="155"/>
      <c r="E4570" s="40"/>
      <c r="F4570" s="314"/>
      <c r="H4570" s="315"/>
      <c r="I4570" s="315"/>
      <c r="BA4570" s="30"/>
      <c r="BB4570" s="155"/>
      <c r="BC4570" s="314"/>
      <c r="BD4570" s="314"/>
      <c r="BE4570" s="314"/>
      <c r="BF4570" s="314"/>
      <c r="BG4570" s="314"/>
      <c r="BH4570" s="314"/>
      <c r="BI4570" s="314"/>
      <c r="BJ4570" s="314"/>
      <c r="BK4570" s="40"/>
      <c r="BL4570" s="40"/>
      <c r="BM4570" s="40"/>
      <c r="BN4570" s="40"/>
      <c r="BO4570" s="40"/>
      <c r="BP4570" s="155"/>
      <c r="BQ4570" s="314"/>
      <c r="BR4570" s="314"/>
      <c r="BS4570" s="314"/>
      <c r="BT4570" s="314"/>
      <c r="BU4570" s="314"/>
      <c r="BV4570" s="314"/>
      <c r="BW4570" s="314"/>
      <c r="BX4570" s="155"/>
    </row>
    <row r="4571" spans="1:76" ht="15.75" customHeight="1">
      <c r="A4571" s="25"/>
      <c r="B4571" s="39"/>
      <c r="C4571" s="155"/>
      <c r="D4571" s="155"/>
      <c r="E4571" s="40"/>
      <c r="F4571" s="314"/>
      <c r="H4571" s="315"/>
      <c r="I4571" s="315"/>
      <c r="BA4571" s="30"/>
      <c r="BB4571" s="155"/>
      <c r="BC4571" s="314"/>
      <c r="BD4571" s="314"/>
      <c r="BE4571" s="314"/>
      <c r="BF4571" s="314"/>
      <c r="BG4571" s="314"/>
      <c r="BH4571" s="314"/>
      <c r="BI4571" s="314"/>
      <c r="BJ4571" s="314"/>
      <c r="BK4571" s="40"/>
      <c r="BL4571" s="40"/>
      <c r="BM4571" s="40"/>
      <c r="BN4571" s="40"/>
      <c r="BO4571" s="40"/>
      <c r="BP4571" s="155"/>
      <c r="BQ4571" s="314"/>
      <c r="BR4571" s="314"/>
      <c r="BS4571" s="314"/>
      <c r="BT4571" s="314"/>
      <c r="BU4571" s="314"/>
      <c r="BV4571" s="314"/>
      <c r="BW4571" s="314"/>
      <c r="BX4571" s="155"/>
    </row>
    <row r="4572" spans="1:76" ht="15.75" customHeight="1">
      <c r="A4572" s="25"/>
      <c r="B4572" s="39"/>
      <c r="C4572" s="155"/>
      <c r="D4572" s="155"/>
      <c r="E4572" s="40"/>
      <c r="F4572" s="314"/>
      <c r="H4572" s="315"/>
      <c r="I4572" s="315"/>
      <c r="BA4572" s="30"/>
      <c r="BB4572" s="155"/>
      <c r="BC4572" s="314"/>
      <c r="BD4572" s="314"/>
      <c r="BE4572" s="314"/>
      <c r="BF4572" s="314"/>
      <c r="BG4572" s="314"/>
      <c r="BH4572" s="314"/>
      <c r="BI4572" s="314"/>
      <c r="BJ4572" s="314"/>
      <c r="BK4572" s="40"/>
      <c r="BL4572" s="40"/>
      <c r="BM4572" s="40"/>
      <c r="BN4572" s="40"/>
      <c r="BO4572" s="40"/>
      <c r="BP4572" s="155"/>
      <c r="BQ4572" s="314"/>
      <c r="BR4572" s="314"/>
      <c r="BS4572" s="314"/>
      <c r="BT4572" s="314"/>
      <c r="BU4572" s="314"/>
      <c r="BV4572" s="314"/>
      <c r="BW4572" s="314"/>
      <c r="BX4572" s="155"/>
    </row>
    <row r="4573" spans="1:76" ht="15.75" customHeight="1">
      <c r="A4573" s="25"/>
      <c r="B4573" s="39"/>
      <c r="C4573" s="155"/>
      <c r="D4573" s="155"/>
      <c r="E4573" s="40"/>
      <c r="F4573" s="314"/>
      <c r="H4573" s="315"/>
      <c r="I4573" s="315"/>
      <c r="BA4573" s="30"/>
      <c r="BB4573" s="155"/>
      <c r="BC4573" s="314"/>
      <c r="BD4573" s="314"/>
      <c r="BE4573" s="314"/>
      <c r="BF4573" s="314"/>
      <c r="BG4573" s="314"/>
      <c r="BH4573" s="314"/>
      <c r="BI4573" s="314"/>
      <c r="BJ4573" s="314"/>
      <c r="BK4573" s="40"/>
      <c r="BL4573" s="40"/>
      <c r="BM4573" s="40"/>
      <c r="BN4573" s="40"/>
      <c r="BO4573" s="40"/>
      <c r="BP4573" s="155"/>
      <c r="BQ4573" s="314"/>
      <c r="BR4573" s="314"/>
      <c r="BS4573" s="314"/>
      <c r="BT4573" s="314"/>
      <c r="BU4573" s="314"/>
      <c r="BV4573" s="314"/>
      <c r="BW4573" s="314"/>
      <c r="BX4573" s="155"/>
    </row>
    <row r="4574" spans="1:76" ht="15.75" customHeight="1">
      <c r="A4574" s="25"/>
      <c r="B4574" s="39"/>
      <c r="C4574" s="155"/>
      <c r="D4574" s="155"/>
      <c r="E4574" s="40"/>
      <c r="F4574" s="314"/>
      <c r="H4574" s="315"/>
      <c r="I4574" s="315"/>
      <c r="BA4574" s="30"/>
      <c r="BB4574" s="155"/>
      <c r="BC4574" s="314"/>
      <c r="BD4574" s="314"/>
      <c r="BE4574" s="314"/>
      <c r="BF4574" s="314"/>
      <c r="BG4574" s="314"/>
      <c r="BH4574" s="314"/>
      <c r="BI4574" s="314"/>
      <c r="BJ4574" s="314"/>
      <c r="BK4574" s="40"/>
      <c r="BL4574" s="40"/>
      <c r="BM4574" s="40"/>
      <c r="BN4574" s="40"/>
      <c r="BO4574" s="40"/>
      <c r="BP4574" s="155"/>
      <c r="BQ4574" s="314"/>
      <c r="BR4574" s="314"/>
      <c r="BS4574" s="314"/>
      <c r="BT4574" s="314"/>
      <c r="BU4574" s="314"/>
      <c r="BV4574" s="314"/>
      <c r="BW4574" s="314"/>
      <c r="BX4574" s="155"/>
    </row>
    <row r="4575" spans="1:76" ht="15.75" customHeight="1">
      <c r="A4575" s="25"/>
      <c r="B4575" s="39"/>
      <c r="C4575" s="155"/>
      <c r="D4575" s="155"/>
      <c r="E4575" s="40"/>
      <c r="F4575" s="314"/>
      <c r="H4575" s="315"/>
      <c r="I4575" s="315"/>
      <c r="BA4575" s="30"/>
      <c r="BB4575" s="155"/>
      <c r="BC4575" s="314"/>
      <c r="BD4575" s="314"/>
      <c r="BE4575" s="314"/>
      <c r="BF4575" s="314"/>
      <c r="BG4575" s="314"/>
      <c r="BH4575" s="314"/>
      <c r="BI4575" s="314"/>
      <c r="BJ4575" s="314"/>
      <c r="BK4575" s="40"/>
      <c r="BL4575" s="40"/>
      <c r="BM4575" s="40"/>
      <c r="BN4575" s="40"/>
      <c r="BO4575" s="40"/>
      <c r="BP4575" s="155"/>
      <c r="BQ4575" s="314"/>
      <c r="BR4575" s="314"/>
      <c r="BS4575" s="314"/>
      <c r="BT4575" s="314"/>
      <c r="BU4575" s="314"/>
      <c r="BV4575" s="314"/>
      <c r="BW4575" s="314"/>
      <c r="BX4575" s="155"/>
    </row>
    <row r="4576" spans="1:76" ht="15.75" customHeight="1">
      <c r="A4576" s="25"/>
      <c r="B4576" s="39"/>
      <c r="C4576" s="155"/>
      <c r="D4576" s="155"/>
      <c r="E4576" s="40"/>
      <c r="F4576" s="314"/>
      <c r="H4576" s="315"/>
      <c r="I4576" s="315"/>
      <c r="BA4576" s="30"/>
      <c r="BB4576" s="155"/>
      <c r="BC4576" s="314"/>
      <c r="BD4576" s="314"/>
      <c r="BE4576" s="314"/>
      <c r="BF4576" s="314"/>
      <c r="BG4576" s="314"/>
      <c r="BH4576" s="314"/>
      <c r="BI4576" s="314"/>
      <c r="BJ4576" s="314"/>
      <c r="BK4576" s="40"/>
      <c r="BL4576" s="40"/>
      <c r="BM4576" s="40"/>
      <c r="BN4576" s="40"/>
      <c r="BO4576" s="40"/>
      <c r="BP4576" s="155"/>
      <c r="BQ4576" s="314"/>
      <c r="BR4576" s="314"/>
      <c r="BS4576" s="314"/>
      <c r="BT4576" s="314"/>
      <c r="BU4576" s="314"/>
      <c r="BV4576" s="314"/>
      <c r="BW4576" s="314"/>
      <c r="BX4576" s="155"/>
    </row>
    <row r="4577" spans="1:76" ht="15.75" customHeight="1">
      <c r="A4577" s="25"/>
      <c r="B4577" s="39"/>
      <c r="C4577" s="155"/>
      <c r="D4577" s="155"/>
      <c r="E4577" s="40"/>
      <c r="F4577" s="314"/>
      <c r="H4577" s="315"/>
      <c r="I4577" s="315"/>
      <c r="BA4577" s="30"/>
      <c r="BB4577" s="155"/>
      <c r="BC4577" s="314"/>
      <c r="BD4577" s="314"/>
      <c r="BE4577" s="314"/>
      <c r="BF4577" s="314"/>
      <c r="BG4577" s="314"/>
      <c r="BH4577" s="314"/>
      <c r="BI4577" s="314"/>
      <c r="BJ4577" s="314"/>
      <c r="BK4577" s="40"/>
      <c r="BL4577" s="40"/>
      <c r="BM4577" s="40"/>
      <c r="BN4577" s="40"/>
      <c r="BO4577" s="40"/>
      <c r="BP4577" s="155"/>
      <c r="BQ4577" s="314"/>
      <c r="BR4577" s="314"/>
      <c r="BS4577" s="314"/>
      <c r="BT4577" s="314"/>
      <c r="BU4577" s="314"/>
      <c r="BV4577" s="314"/>
      <c r="BW4577" s="314"/>
      <c r="BX4577" s="155"/>
    </row>
    <row r="4578" spans="1:76" ht="15.75" customHeight="1">
      <c r="A4578" s="25"/>
      <c r="B4578" s="39"/>
      <c r="C4578" s="155"/>
      <c r="D4578" s="155"/>
      <c r="E4578" s="40"/>
      <c r="F4578" s="314"/>
      <c r="H4578" s="315"/>
      <c r="I4578" s="315"/>
      <c r="BA4578" s="30"/>
      <c r="BB4578" s="155"/>
      <c r="BC4578" s="314"/>
      <c r="BD4578" s="314"/>
      <c r="BE4578" s="314"/>
      <c r="BF4578" s="314"/>
      <c r="BG4578" s="314"/>
      <c r="BH4578" s="314"/>
      <c r="BI4578" s="314"/>
      <c r="BJ4578" s="314"/>
      <c r="BK4578" s="40"/>
      <c r="BL4578" s="40"/>
      <c r="BM4578" s="40"/>
      <c r="BN4578" s="40"/>
      <c r="BO4578" s="40"/>
      <c r="BP4578" s="155"/>
      <c r="BQ4578" s="314"/>
      <c r="BR4578" s="314"/>
      <c r="BS4578" s="314"/>
      <c r="BT4578" s="314"/>
      <c r="BU4578" s="314"/>
      <c r="BV4578" s="314"/>
      <c r="BW4578" s="314"/>
      <c r="BX4578" s="155"/>
    </row>
    <row r="4579" spans="1:76" ht="15.75" customHeight="1">
      <c r="A4579" s="25"/>
      <c r="B4579" s="39"/>
      <c r="C4579" s="155"/>
      <c r="D4579" s="155"/>
      <c r="E4579" s="40"/>
      <c r="F4579" s="314"/>
      <c r="H4579" s="315"/>
      <c r="I4579" s="315"/>
      <c r="BA4579" s="30"/>
      <c r="BB4579" s="155"/>
      <c r="BC4579" s="314"/>
      <c r="BD4579" s="314"/>
      <c r="BE4579" s="314"/>
      <c r="BF4579" s="314"/>
      <c r="BG4579" s="314"/>
      <c r="BH4579" s="314"/>
      <c r="BI4579" s="314"/>
      <c r="BJ4579" s="314"/>
      <c r="BK4579" s="40"/>
      <c r="BL4579" s="40"/>
      <c r="BM4579" s="40"/>
      <c r="BN4579" s="40"/>
      <c r="BO4579" s="40"/>
      <c r="BP4579" s="155"/>
      <c r="BQ4579" s="314"/>
      <c r="BR4579" s="314"/>
      <c r="BS4579" s="314"/>
      <c r="BT4579" s="314"/>
      <c r="BU4579" s="314"/>
      <c r="BV4579" s="314"/>
      <c r="BW4579" s="314"/>
      <c r="BX4579" s="155"/>
    </row>
    <row r="4580" spans="1:76" ht="15.75" customHeight="1">
      <c r="A4580" s="25"/>
      <c r="B4580" s="39"/>
      <c r="C4580" s="155"/>
      <c r="D4580" s="155"/>
      <c r="E4580" s="40"/>
      <c r="F4580" s="314"/>
      <c r="H4580" s="315"/>
      <c r="I4580" s="315"/>
      <c r="BA4580" s="30"/>
      <c r="BB4580" s="155"/>
      <c r="BC4580" s="314"/>
      <c r="BD4580" s="314"/>
      <c r="BE4580" s="314"/>
      <c r="BF4580" s="314"/>
      <c r="BG4580" s="314"/>
      <c r="BH4580" s="314"/>
      <c r="BI4580" s="314"/>
      <c r="BJ4580" s="314"/>
      <c r="BK4580" s="40"/>
      <c r="BL4580" s="40"/>
      <c r="BM4580" s="40"/>
      <c r="BN4580" s="40"/>
      <c r="BO4580" s="40"/>
      <c r="BP4580" s="155"/>
      <c r="BQ4580" s="314"/>
      <c r="BR4580" s="314"/>
      <c r="BS4580" s="314"/>
      <c r="BT4580" s="314"/>
      <c r="BU4580" s="314"/>
      <c r="BV4580" s="314"/>
      <c r="BW4580" s="314"/>
      <c r="BX4580" s="155"/>
    </row>
    <row r="4581" spans="1:76" ht="15.75" customHeight="1">
      <c r="A4581" s="25"/>
      <c r="B4581" s="39"/>
      <c r="C4581" s="155"/>
      <c r="D4581" s="155"/>
      <c r="E4581" s="40"/>
      <c r="F4581" s="314"/>
      <c r="H4581" s="315"/>
      <c r="I4581" s="315"/>
      <c r="BA4581" s="30"/>
      <c r="BB4581" s="155"/>
      <c r="BC4581" s="314"/>
      <c r="BD4581" s="314"/>
      <c r="BE4581" s="314"/>
      <c r="BF4581" s="314"/>
      <c r="BG4581" s="314"/>
      <c r="BH4581" s="314"/>
      <c r="BI4581" s="314"/>
      <c r="BJ4581" s="314"/>
      <c r="BK4581" s="40"/>
      <c r="BL4581" s="40"/>
      <c r="BM4581" s="40"/>
      <c r="BN4581" s="40"/>
      <c r="BO4581" s="40"/>
      <c r="BP4581" s="155"/>
      <c r="BQ4581" s="314"/>
      <c r="BR4581" s="314"/>
      <c r="BS4581" s="314"/>
      <c r="BT4581" s="314"/>
      <c r="BU4581" s="314"/>
      <c r="BV4581" s="314"/>
      <c r="BW4581" s="314"/>
      <c r="BX4581" s="155"/>
    </row>
    <row r="4582" spans="1:76" ht="15.75" customHeight="1">
      <c r="A4582" s="25"/>
      <c r="B4582" s="39"/>
      <c r="C4582" s="155"/>
      <c r="D4582" s="155"/>
      <c r="E4582" s="40"/>
      <c r="F4582" s="314"/>
      <c r="H4582" s="315"/>
      <c r="I4582" s="315"/>
      <c r="BA4582" s="30"/>
      <c r="BB4582" s="155"/>
      <c r="BC4582" s="314"/>
      <c r="BD4582" s="314"/>
      <c r="BE4582" s="314"/>
      <c r="BF4582" s="314"/>
      <c r="BG4582" s="314"/>
      <c r="BH4582" s="314"/>
      <c r="BI4582" s="314"/>
      <c r="BJ4582" s="314"/>
      <c r="BK4582" s="40"/>
      <c r="BL4582" s="40"/>
      <c r="BM4582" s="40"/>
      <c r="BN4582" s="40"/>
      <c r="BO4582" s="40"/>
      <c r="BP4582" s="155"/>
      <c r="BQ4582" s="314"/>
      <c r="BR4582" s="314"/>
      <c r="BS4582" s="314"/>
      <c r="BT4582" s="314"/>
      <c r="BU4582" s="314"/>
      <c r="BV4582" s="314"/>
      <c r="BW4582" s="314"/>
      <c r="BX4582" s="155"/>
    </row>
    <row r="4583" spans="1:76" ht="15.75" customHeight="1">
      <c r="A4583" s="25"/>
      <c r="B4583" s="39"/>
      <c r="C4583" s="155"/>
      <c r="D4583" s="155"/>
      <c r="E4583" s="40"/>
      <c r="F4583" s="314"/>
      <c r="H4583" s="315"/>
      <c r="I4583" s="315"/>
      <c r="BA4583" s="30"/>
      <c r="BB4583" s="155"/>
      <c r="BC4583" s="314"/>
      <c r="BD4583" s="314"/>
      <c r="BE4583" s="314"/>
      <c r="BF4583" s="314"/>
      <c r="BG4583" s="314"/>
      <c r="BH4583" s="314"/>
      <c r="BI4583" s="314"/>
      <c r="BJ4583" s="314"/>
      <c r="BK4583" s="40"/>
      <c r="BL4583" s="40"/>
      <c r="BM4583" s="40"/>
      <c r="BN4583" s="40"/>
      <c r="BO4583" s="40"/>
      <c r="BP4583" s="155"/>
      <c r="BQ4583" s="314"/>
      <c r="BR4583" s="314"/>
      <c r="BS4583" s="314"/>
      <c r="BT4583" s="314"/>
      <c r="BU4583" s="314"/>
      <c r="BV4583" s="314"/>
      <c r="BW4583" s="314"/>
      <c r="BX4583" s="155"/>
    </row>
    <row r="4584" spans="1:76" ht="15.75" customHeight="1">
      <c r="A4584" s="25"/>
      <c r="B4584" s="39"/>
      <c r="C4584" s="155"/>
      <c r="D4584" s="155"/>
      <c r="E4584" s="40"/>
      <c r="F4584" s="314"/>
      <c r="H4584" s="315"/>
      <c r="I4584" s="315"/>
      <c r="BA4584" s="30"/>
      <c r="BB4584" s="155"/>
      <c r="BC4584" s="314"/>
      <c r="BD4584" s="314"/>
      <c r="BE4584" s="314"/>
      <c r="BF4584" s="314"/>
      <c r="BG4584" s="314"/>
      <c r="BH4584" s="314"/>
      <c r="BI4584" s="314"/>
      <c r="BJ4584" s="314"/>
      <c r="BK4584" s="40"/>
      <c r="BL4584" s="40"/>
      <c r="BM4584" s="40"/>
      <c r="BN4584" s="40"/>
      <c r="BO4584" s="40"/>
      <c r="BP4584" s="155"/>
      <c r="BQ4584" s="314"/>
      <c r="BR4584" s="314"/>
      <c r="BS4584" s="314"/>
      <c r="BT4584" s="314"/>
      <c r="BU4584" s="314"/>
      <c r="BV4584" s="314"/>
      <c r="BW4584" s="314"/>
      <c r="BX4584" s="155"/>
    </row>
    <row r="4585" spans="1:76" ht="15.75" customHeight="1">
      <c r="A4585" s="25"/>
      <c r="B4585" s="39"/>
      <c r="C4585" s="155"/>
      <c r="D4585" s="155"/>
      <c r="E4585" s="40"/>
      <c r="F4585" s="314"/>
      <c r="H4585" s="315"/>
      <c r="I4585" s="315"/>
      <c r="BA4585" s="30"/>
      <c r="BB4585" s="155"/>
      <c r="BC4585" s="314"/>
      <c r="BD4585" s="314"/>
      <c r="BE4585" s="314"/>
      <c r="BF4585" s="314"/>
      <c r="BG4585" s="314"/>
      <c r="BH4585" s="314"/>
      <c r="BI4585" s="314"/>
      <c r="BJ4585" s="314"/>
      <c r="BK4585" s="40"/>
      <c r="BL4585" s="40"/>
      <c r="BM4585" s="40"/>
      <c r="BN4585" s="40"/>
      <c r="BO4585" s="40"/>
      <c r="BP4585" s="155"/>
      <c r="BQ4585" s="314"/>
      <c r="BR4585" s="314"/>
      <c r="BS4585" s="314"/>
      <c r="BT4585" s="314"/>
      <c r="BU4585" s="314"/>
      <c r="BV4585" s="314"/>
      <c r="BW4585" s="314"/>
      <c r="BX4585" s="155"/>
    </row>
    <row r="4586" spans="1:76" ht="15.75" customHeight="1">
      <c r="A4586" s="25"/>
      <c r="B4586" s="39"/>
      <c r="C4586" s="155"/>
      <c r="D4586" s="155"/>
      <c r="E4586" s="40"/>
      <c r="F4586" s="314"/>
      <c r="H4586" s="315"/>
      <c r="I4586" s="315"/>
      <c r="BA4586" s="30"/>
      <c r="BB4586" s="155"/>
      <c r="BC4586" s="314"/>
      <c r="BD4586" s="314"/>
      <c r="BE4586" s="314"/>
      <c r="BF4586" s="314"/>
      <c r="BG4586" s="314"/>
      <c r="BH4586" s="314"/>
      <c r="BI4586" s="314"/>
      <c r="BJ4586" s="314"/>
      <c r="BK4586" s="40"/>
      <c r="BL4586" s="40"/>
      <c r="BM4586" s="40"/>
      <c r="BN4586" s="40"/>
      <c r="BO4586" s="40"/>
      <c r="BP4586" s="155"/>
      <c r="BQ4586" s="314"/>
      <c r="BR4586" s="314"/>
      <c r="BS4586" s="314"/>
      <c r="BT4586" s="314"/>
      <c r="BU4586" s="314"/>
      <c r="BV4586" s="314"/>
      <c r="BW4586" s="314"/>
      <c r="BX4586" s="155"/>
    </row>
    <row r="4587" spans="1:76" ht="15.75" customHeight="1">
      <c r="A4587" s="25"/>
      <c r="B4587" s="39"/>
      <c r="C4587" s="155"/>
      <c r="D4587" s="155"/>
      <c r="E4587" s="40"/>
      <c r="F4587" s="314"/>
      <c r="H4587" s="315"/>
      <c r="I4587" s="315"/>
      <c r="BA4587" s="30"/>
      <c r="BB4587" s="155"/>
      <c r="BC4587" s="314"/>
      <c r="BD4587" s="314"/>
      <c r="BE4587" s="314"/>
      <c r="BF4587" s="314"/>
      <c r="BG4587" s="314"/>
      <c r="BH4587" s="314"/>
      <c r="BI4587" s="314"/>
      <c r="BJ4587" s="314"/>
      <c r="BK4587" s="40"/>
      <c r="BL4587" s="40"/>
      <c r="BM4587" s="40"/>
      <c r="BN4587" s="40"/>
      <c r="BO4587" s="40"/>
      <c r="BP4587" s="155"/>
      <c r="BQ4587" s="314"/>
      <c r="BR4587" s="314"/>
      <c r="BS4587" s="314"/>
      <c r="BT4587" s="314"/>
      <c r="BU4587" s="314"/>
      <c r="BV4587" s="314"/>
      <c r="BW4587" s="314"/>
      <c r="BX4587" s="155"/>
    </row>
    <row r="4588" spans="1:76" ht="15.75" customHeight="1">
      <c r="A4588" s="25"/>
      <c r="B4588" s="39"/>
      <c r="C4588" s="155"/>
      <c r="D4588" s="155"/>
      <c r="E4588" s="40"/>
      <c r="F4588" s="314"/>
      <c r="H4588" s="315"/>
      <c r="I4588" s="315"/>
      <c r="BA4588" s="30"/>
      <c r="BB4588" s="155"/>
      <c r="BC4588" s="314"/>
      <c r="BD4588" s="314"/>
      <c r="BE4588" s="314"/>
      <c r="BF4588" s="314"/>
      <c r="BG4588" s="314"/>
      <c r="BH4588" s="314"/>
      <c r="BI4588" s="314"/>
      <c r="BJ4588" s="314"/>
      <c r="BK4588" s="40"/>
      <c r="BL4588" s="40"/>
      <c r="BM4588" s="40"/>
      <c r="BN4588" s="40"/>
      <c r="BO4588" s="40"/>
      <c r="BP4588" s="155"/>
      <c r="BQ4588" s="314"/>
      <c r="BR4588" s="314"/>
      <c r="BS4588" s="314"/>
      <c r="BT4588" s="314"/>
      <c r="BU4588" s="314"/>
      <c r="BV4588" s="314"/>
      <c r="BW4588" s="314"/>
      <c r="BX4588" s="155"/>
    </row>
    <row r="4589" spans="1:76" ht="15.75" customHeight="1">
      <c r="A4589" s="25"/>
      <c r="B4589" s="39"/>
      <c r="C4589" s="155"/>
      <c r="D4589" s="155"/>
      <c r="E4589" s="40"/>
      <c r="F4589" s="314"/>
      <c r="H4589" s="315"/>
      <c r="I4589" s="315"/>
      <c r="BA4589" s="30"/>
      <c r="BB4589" s="155"/>
      <c r="BC4589" s="314"/>
      <c r="BD4589" s="314"/>
      <c r="BE4589" s="314"/>
      <c r="BF4589" s="314"/>
      <c r="BG4589" s="314"/>
      <c r="BH4589" s="314"/>
      <c r="BI4589" s="314"/>
      <c r="BJ4589" s="314"/>
      <c r="BK4589" s="40"/>
      <c r="BL4589" s="40"/>
      <c r="BM4589" s="40"/>
      <c r="BN4589" s="40"/>
      <c r="BO4589" s="40"/>
      <c r="BP4589" s="155"/>
      <c r="BQ4589" s="314"/>
      <c r="BR4589" s="314"/>
      <c r="BS4589" s="314"/>
      <c r="BT4589" s="314"/>
      <c r="BU4589" s="314"/>
      <c r="BV4589" s="314"/>
      <c r="BW4589" s="314"/>
      <c r="BX4589" s="155"/>
    </row>
    <row r="4590" spans="1:76" ht="15.75" customHeight="1">
      <c r="A4590" s="25"/>
      <c r="B4590" s="39"/>
      <c r="C4590" s="155"/>
      <c r="D4590" s="155"/>
      <c r="E4590" s="40"/>
      <c r="F4590" s="314"/>
      <c r="H4590" s="315"/>
      <c r="I4590" s="315"/>
      <c r="BA4590" s="30"/>
      <c r="BB4590" s="155"/>
      <c r="BC4590" s="322"/>
      <c r="BD4590" s="322"/>
      <c r="BE4590" s="322"/>
      <c r="BF4590" s="322"/>
      <c r="BG4590" s="322"/>
      <c r="BH4590" s="322"/>
      <c r="BI4590" s="322"/>
      <c r="BJ4590" s="322"/>
      <c r="BK4590" s="341"/>
      <c r="BL4590" s="40"/>
      <c r="BM4590" s="40"/>
      <c r="BN4590" s="40"/>
      <c r="BO4590" s="40"/>
      <c r="BP4590" s="155"/>
      <c r="BQ4590" s="314"/>
      <c r="BR4590" s="314"/>
      <c r="BS4590" s="314"/>
      <c r="BT4590" s="314"/>
      <c r="BU4590" s="314"/>
      <c r="BV4590" s="314"/>
      <c r="BW4590" s="314"/>
      <c r="BX4590" s="155"/>
    </row>
    <row r="4591" spans="1:76" ht="15.75" customHeight="1">
      <c r="A4591" s="25"/>
      <c r="B4591" s="39"/>
      <c r="C4591" s="155"/>
      <c r="D4591" s="155"/>
      <c r="E4591" s="40"/>
      <c r="F4591" s="314"/>
      <c r="H4591" s="315"/>
      <c r="I4591" s="315"/>
      <c r="BA4591" s="30"/>
      <c r="BB4591" s="155"/>
      <c r="BC4591" s="314"/>
      <c r="BD4591" s="314"/>
      <c r="BE4591" s="314"/>
      <c r="BF4591" s="314"/>
      <c r="BG4591" s="314"/>
      <c r="BH4591" s="314"/>
      <c r="BI4591" s="314"/>
      <c r="BJ4591" s="314"/>
      <c r="BK4591" s="40"/>
      <c r="BL4591" s="40"/>
      <c r="BM4591" s="40"/>
      <c r="BN4591" s="40"/>
      <c r="BO4591" s="40"/>
      <c r="BP4591" s="155"/>
      <c r="BQ4591" s="314"/>
      <c r="BR4591" s="314"/>
      <c r="BS4591" s="314"/>
      <c r="BT4591" s="314"/>
      <c r="BU4591" s="314"/>
      <c r="BV4591" s="314"/>
      <c r="BW4591" s="314"/>
      <c r="BX4591" s="155"/>
    </row>
    <row r="4592" spans="1:76" ht="15.75" customHeight="1">
      <c r="A4592" s="25"/>
      <c r="B4592" s="39"/>
      <c r="C4592" s="155"/>
      <c r="D4592" s="155"/>
      <c r="E4592" s="40"/>
      <c r="F4592" s="314"/>
      <c r="H4592" s="315"/>
      <c r="I4592" s="315"/>
      <c r="BA4592" s="30"/>
      <c r="BB4592" s="155"/>
      <c r="BC4592" s="314"/>
      <c r="BD4592" s="314"/>
      <c r="BE4592" s="314"/>
      <c r="BF4592" s="314"/>
      <c r="BG4592" s="314"/>
      <c r="BH4592" s="314"/>
      <c r="BI4592" s="314"/>
      <c r="BJ4592" s="314"/>
      <c r="BK4592" s="40"/>
      <c r="BL4592" s="40"/>
      <c r="BM4592" s="40"/>
      <c r="BN4592" s="40"/>
      <c r="BO4592" s="40"/>
      <c r="BP4592" s="155"/>
      <c r="BQ4592" s="314"/>
      <c r="BR4592" s="314"/>
      <c r="BS4592" s="314"/>
      <c r="BT4592" s="314"/>
      <c r="BU4592" s="314"/>
      <c r="BV4592" s="314"/>
      <c r="BW4592" s="314"/>
      <c r="BX4592" s="155"/>
    </row>
    <row r="4593" spans="1:76" ht="15.75" customHeight="1">
      <c r="A4593" s="25"/>
      <c r="B4593" s="39"/>
      <c r="C4593" s="155"/>
      <c r="D4593" s="155"/>
      <c r="E4593" s="40"/>
      <c r="F4593" s="314"/>
      <c r="H4593" s="315"/>
      <c r="I4593" s="315"/>
      <c r="BA4593" s="30"/>
      <c r="BB4593" s="155"/>
      <c r="BC4593" s="314"/>
      <c r="BD4593" s="314"/>
      <c r="BE4593" s="314"/>
      <c r="BF4593" s="314"/>
      <c r="BG4593" s="314"/>
      <c r="BH4593" s="314"/>
      <c r="BI4593" s="314"/>
      <c r="BJ4593" s="314"/>
      <c r="BK4593" s="40"/>
      <c r="BL4593" s="40"/>
      <c r="BM4593" s="40"/>
      <c r="BN4593" s="40"/>
      <c r="BO4593" s="40"/>
      <c r="BP4593" s="155"/>
      <c r="BQ4593" s="314"/>
      <c r="BR4593" s="314"/>
      <c r="BS4593" s="314"/>
      <c r="BT4593" s="314"/>
      <c r="BU4593" s="314"/>
      <c r="BV4593" s="314"/>
      <c r="BW4593" s="314"/>
      <c r="BX4593" s="155"/>
    </row>
    <row r="4594" spans="1:76" ht="15.75" customHeight="1">
      <c r="A4594" s="25"/>
      <c r="B4594" s="39"/>
      <c r="C4594" s="155"/>
      <c r="D4594" s="155"/>
      <c r="E4594" s="40"/>
      <c r="F4594" s="314"/>
      <c r="H4594" s="315"/>
      <c r="I4594" s="315"/>
      <c r="BA4594" s="30"/>
      <c r="BB4594" s="155"/>
      <c r="BC4594" s="314"/>
      <c r="BD4594" s="314"/>
      <c r="BE4594" s="314"/>
      <c r="BF4594" s="314"/>
      <c r="BG4594" s="314"/>
      <c r="BH4594" s="314"/>
      <c r="BI4594" s="314"/>
      <c r="BJ4594" s="314"/>
      <c r="BK4594" s="40"/>
      <c r="BL4594" s="40"/>
      <c r="BM4594" s="40"/>
      <c r="BN4594" s="40"/>
      <c r="BO4594" s="40"/>
      <c r="BP4594" s="155"/>
      <c r="BQ4594" s="314"/>
      <c r="BR4594" s="314"/>
      <c r="BS4594" s="314"/>
      <c r="BT4594" s="314"/>
      <c r="BU4594" s="314"/>
      <c r="BV4594" s="314"/>
      <c r="BW4594" s="314"/>
      <c r="BX4594" s="155"/>
    </row>
    <row r="4595" spans="1:76" ht="15.75" customHeight="1">
      <c r="A4595" s="25"/>
      <c r="B4595" s="39"/>
      <c r="C4595" s="155"/>
      <c r="D4595" s="155"/>
      <c r="E4595" s="40"/>
      <c r="F4595" s="314"/>
      <c r="H4595" s="315"/>
      <c r="I4595" s="315"/>
      <c r="BA4595" s="30"/>
      <c r="BB4595" s="155"/>
      <c r="BC4595" s="314"/>
      <c r="BD4595" s="314"/>
      <c r="BE4595" s="314"/>
      <c r="BF4595" s="314"/>
      <c r="BG4595" s="314"/>
      <c r="BH4595" s="314"/>
      <c r="BI4595" s="314"/>
      <c r="BJ4595" s="314"/>
      <c r="BK4595" s="40"/>
      <c r="BL4595" s="40"/>
      <c r="BM4595" s="40"/>
      <c r="BN4595" s="40"/>
      <c r="BO4595" s="40"/>
      <c r="BP4595" s="155"/>
      <c r="BQ4595" s="314"/>
      <c r="BR4595" s="314"/>
      <c r="BS4595" s="314"/>
      <c r="BT4595" s="314"/>
      <c r="BU4595" s="314"/>
      <c r="BV4595" s="314"/>
      <c r="BW4595" s="314"/>
      <c r="BX4595" s="155"/>
    </row>
    <row r="4596" spans="1:76" ht="15.75" customHeight="1">
      <c r="A4596" s="25"/>
      <c r="B4596" s="39"/>
      <c r="C4596" s="155"/>
      <c r="D4596" s="155"/>
      <c r="E4596" s="40"/>
      <c r="F4596" s="314"/>
      <c r="H4596" s="315"/>
      <c r="I4596" s="315"/>
      <c r="BA4596" s="30"/>
      <c r="BB4596" s="155"/>
      <c r="BC4596" s="314"/>
      <c r="BD4596" s="314"/>
      <c r="BE4596" s="314"/>
      <c r="BF4596" s="314"/>
      <c r="BG4596" s="314"/>
      <c r="BH4596" s="314"/>
      <c r="BI4596" s="314"/>
      <c r="BJ4596" s="314"/>
      <c r="BK4596" s="40"/>
      <c r="BL4596" s="40"/>
      <c r="BM4596" s="40"/>
      <c r="BN4596" s="40"/>
      <c r="BO4596" s="40"/>
      <c r="BP4596" s="155"/>
      <c r="BQ4596" s="314"/>
      <c r="BR4596" s="314"/>
      <c r="BS4596" s="314"/>
      <c r="BT4596" s="314"/>
      <c r="BU4596" s="314"/>
      <c r="BV4596" s="314"/>
      <c r="BW4596" s="314"/>
      <c r="BX4596" s="155"/>
    </row>
    <row r="4597" spans="1:76" ht="15.75" customHeight="1">
      <c r="A4597" s="25"/>
      <c r="B4597" s="39"/>
      <c r="C4597" s="155"/>
      <c r="D4597" s="155"/>
      <c r="E4597" s="40"/>
      <c r="F4597" s="314"/>
      <c r="H4597" s="315"/>
      <c r="I4597" s="315"/>
      <c r="BA4597" s="30"/>
      <c r="BB4597" s="155"/>
      <c r="BC4597" s="314"/>
      <c r="BD4597" s="314"/>
      <c r="BE4597" s="314"/>
      <c r="BF4597" s="314"/>
      <c r="BG4597" s="314"/>
      <c r="BH4597" s="314"/>
      <c r="BI4597" s="314"/>
      <c r="BJ4597" s="314"/>
      <c r="BK4597" s="40"/>
      <c r="BL4597" s="40"/>
      <c r="BM4597" s="40"/>
      <c r="BN4597" s="40"/>
      <c r="BO4597" s="40"/>
      <c r="BP4597" s="155"/>
      <c r="BQ4597" s="314"/>
      <c r="BR4597" s="314"/>
      <c r="BS4597" s="314"/>
      <c r="BT4597" s="314"/>
      <c r="BU4597" s="314"/>
      <c r="BV4597" s="314"/>
      <c r="BW4597" s="314"/>
      <c r="BX4597" s="155"/>
    </row>
    <row r="4598" spans="1:76" ht="15.75" customHeight="1">
      <c r="A4598" s="25"/>
      <c r="B4598" s="39"/>
      <c r="C4598" s="155"/>
      <c r="D4598" s="155"/>
      <c r="E4598" s="40"/>
      <c r="F4598" s="314"/>
      <c r="H4598" s="315"/>
      <c r="I4598" s="315"/>
      <c r="BA4598" s="30"/>
      <c r="BB4598" s="155"/>
      <c r="BC4598" s="314"/>
      <c r="BD4598" s="314"/>
      <c r="BE4598" s="314"/>
      <c r="BF4598" s="314"/>
      <c r="BG4598" s="314"/>
      <c r="BH4598" s="314"/>
      <c r="BI4598" s="314"/>
      <c r="BJ4598" s="314"/>
      <c r="BK4598" s="40"/>
      <c r="BL4598" s="40"/>
      <c r="BM4598" s="40"/>
      <c r="BN4598" s="40"/>
      <c r="BO4598" s="40"/>
      <c r="BP4598" s="155"/>
      <c r="BQ4598" s="314"/>
      <c r="BR4598" s="314"/>
      <c r="BS4598" s="314"/>
      <c r="BT4598" s="314"/>
      <c r="BU4598" s="314"/>
      <c r="BV4598" s="314"/>
      <c r="BW4598" s="314"/>
      <c r="BX4598" s="155"/>
    </row>
    <row r="4599" spans="1:76" ht="15.75" customHeight="1">
      <c r="A4599" s="25"/>
      <c r="B4599" s="39"/>
      <c r="C4599" s="155"/>
      <c r="D4599" s="155"/>
      <c r="E4599" s="40"/>
      <c r="F4599" s="314"/>
      <c r="H4599" s="315"/>
      <c r="I4599" s="315"/>
      <c r="BA4599" s="30"/>
      <c r="BB4599" s="155"/>
      <c r="BC4599" s="314"/>
      <c r="BD4599" s="314"/>
      <c r="BE4599" s="314"/>
      <c r="BF4599" s="314"/>
      <c r="BG4599" s="314"/>
      <c r="BH4599" s="314"/>
      <c r="BI4599" s="314"/>
      <c r="BJ4599" s="314"/>
      <c r="BK4599" s="40"/>
      <c r="BL4599" s="40"/>
      <c r="BM4599" s="40"/>
      <c r="BN4599" s="40"/>
      <c r="BO4599" s="40"/>
      <c r="BP4599" s="155"/>
      <c r="BQ4599" s="314"/>
      <c r="BR4599" s="314"/>
      <c r="BS4599" s="314"/>
      <c r="BT4599" s="314"/>
      <c r="BU4599" s="314"/>
      <c r="BV4599" s="314"/>
      <c r="BW4599" s="314"/>
      <c r="BX4599" s="155"/>
    </row>
    <row r="4600" spans="1:76" ht="15.75" customHeight="1">
      <c r="A4600" s="25"/>
      <c r="B4600" s="39"/>
      <c r="C4600" s="155"/>
      <c r="D4600" s="155"/>
      <c r="E4600" s="40"/>
      <c r="F4600" s="314"/>
      <c r="H4600" s="315"/>
      <c r="I4600" s="315"/>
      <c r="BA4600" s="30"/>
      <c r="BB4600" s="155"/>
      <c r="BC4600" s="314"/>
      <c r="BD4600" s="314"/>
      <c r="BE4600" s="314"/>
      <c r="BF4600" s="314"/>
      <c r="BG4600" s="314"/>
      <c r="BH4600" s="314"/>
      <c r="BI4600" s="314"/>
      <c r="BJ4600" s="314"/>
      <c r="BK4600" s="40"/>
      <c r="BL4600" s="40"/>
      <c r="BM4600" s="40"/>
      <c r="BN4600" s="40"/>
      <c r="BO4600" s="40"/>
      <c r="BP4600" s="155"/>
      <c r="BQ4600" s="314"/>
      <c r="BR4600" s="314"/>
      <c r="BS4600" s="314"/>
      <c r="BT4600" s="314"/>
      <c r="BU4600" s="314"/>
      <c r="BV4600" s="314"/>
      <c r="BW4600" s="314"/>
      <c r="BX4600" s="155"/>
    </row>
    <row r="4601" spans="1:76" ht="15.75" customHeight="1">
      <c r="A4601" s="25"/>
      <c r="B4601" s="39"/>
      <c r="C4601" s="155"/>
      <c r="D4601" s="155"/>
      <c r="E4601" s="40"/>
      <c r="F4601" s="314"/>
      <c r="H4601" s="315"/>
      <c r="I4601" s="315"/>
      <c r="BA4601" s="30"/>
      <c r="BB4601" s="155"/>
      <c r="BC4601" s="314"/>
      <c r="BD4601" s="314"/>
      <c r="BE4601" s="314"/>
      <c r="BF4601" s="314"/>
      <c r="BG4601" s="314"/>
      <c r="BH4601" s="314"/>
      <c r="BI4601" s="314"/>
      <c r="BJ4601" s="314"/>
      <c r="BK4601" s="40"/>
      <c r="BL4601" s="40"/>
      <c r="BM4601" s="40"/>
      <c r="BN4601" s="40"/>
      <c r="BO4601" s="40"/>
      <c r="BP4601" s="155"/>
      <c r="BQ4601" s="314"/>
      <c r="BR4601" s="314"/>
      <c r="BS4601" s="314"/>
      <c r="BT4601" s="314"/>
      <c r="BU4601" s="314"/>
      <c r="BV4601" s="314"/>
      <c r="BW4601" s="314"/>
      <c r="BX4601" s="155"/>
    </row>
    <row r="4602" spans="1:76" ht="15.75" customHeight="1">
      <c r="A4602" s="25"/>
      <c r="B4602" s="39"/>
      <c r="C4602" s="155"/>
      <c r="D4602" s="155"/>
      <c r="E4602" s="40"/>
      <c r="F4602" s="314"/>
      <c r="H4602" s="315"/>
      <c r="I4602" s="315"/>
      <c r="BA4602" s="30"/>
      <c r="BB4602" s="155"/>
      <c r="BC4602" s="314"/>
      <c r="BD4602" s="314"/>
      <c r="BE4602" s="314"/>
      <c r="BF4602" s="314"/>
      <c r="BG4602" s="314"/>
      <c r="BH4602" s="314"/>
      <c r="BI4602" s="314"/>
      <c r="BJ4602" s="314"/>
      <c r="BK4602" s="40"/>
      <c r="BL4602" s="40"/>
      <c r="BM4602" s="40"/>
      <c r="BN4602" s="40"/>
      <c r="BO4602" s="40"/>
      <c r="BP4602" s="155"/>
      <c r="BQ4602" s="314"/>
      <c r="BR4602" s="314"/>
      <c r="BS4602" s="314"/>
      <c r="BT4602" s="314"/>
      <c r="BU4602" s="314"/>
      <c r="BV4602" s="314"/>
      <c r="BW4602" s="314"/>
      <c r="BX4602" s="155"/>
    </row>
    <row r="4603" spans="1:76" ht="15.75" customHeight="1">
      <c r="A4603" s="25"/>
      <c r="B4603" s="39"/>
      <c r="C4603" s="155"/>
      <c r="D4603" s="155"/>
      <c r="E4603" s="40"/>
      <c r="F4603" s="314"/>
      <c r="H4603" s="315"/>
      <c r="I4603" s="315"/>
      <c r="BA4603" s="30"/>
      <c r="BB4603" s="155"/>
      <c r="BC4603" s="314"/>
      <c r="BD4603" s="314"/>
      <c r="BE4603" s="314"/>
      <c r="BF4603" s="314"/>
      <c r="BG4603" s="314"/>
      <c r="BH4603" s="314"/>
      <c r="BI4603" s="314"/>
      <c r="BJ4603" s="314"/>
      <c r="BK4603" s="40"/>
      <c r="BL4603" s="40"/>
      <c r="BM4603" s="40"/>
      <c r="BN4603" s="40"/>
      <c r="BO4603" s="40"/>
      <c r="BP4603" s="155"/>
      <c r="BQ4603" s="314"/>
      <c r="BR4603" s="314"/>
      <c r="BS4603" s="314"/>
      <c r="BT4603" s="314"/>
      <c r="BU4603" s="314"/>
      <c r="BV4603" s="314"/>
      <c r="BW4603" s="314"/>
      <c r="BX4603" s="155"/>
    </row>
    <row r="4604" spans="1:76" ht="15.75" customHeight="1">
      <c r="A4604" s="25"/>
      <c r="B4604" s="39"/>
      <c r="C4604" s="155"/>
      <c r="D4604" s="155"/>
      <c r="E4604" s="40"/>
      <c r="F4604" s="314"/>
      <c r="H4604" s="315"/>
      <c r="I4604" s="315"/>
      <c r="BA4604" s="30"/>
      <c r="BB4604" s="155"/>
      <c r="BC4604" s="314"/>
      <c r="BD4604" s="314"/>
      <c r="BE4604" s="314"/>
      <c r="BF4604" s="314"/>
      <c r="BG4604" s="314"/>
      <c r="BH4604" s="314"/>
      <c r="BI4604" s="314"/>
      <c r="BJ4604" s="314"/>
      <c r="BK4604" s="40"/>
      <c r="BL4604" s="40"/>
      <c r="BM4604" s="40"/>
      <c r="BN4604" s="40"/>
      <c r="BO4604" s="40"/>
      <c r="BP4604" s="155"/>
      <c r="BQ4604" s="314"/>
      <c r="BR4604" s="314"/>
      <c r="BS4604" s="314"/>
      <c r="BT4604" s="314"/>
      <c r="BU4604" s="314"/>
      <c r="BV4604" s="314"/>
      <c r="BW4604" s="314"/>
      <c r="BX4604" s="155"/>
    </row>
    <row r="4605" spans="1:76" ht="15.75" customHeight="1">
      <c r="A4605" s="25"/>
      <c r="B4605" s="39"/>
      <c r="C4605" s="155"/>
      <c r="D4605" s="155"/>
      <c r="E4605" s="40"/>
      <c r="F4605" s="314"/>
      <c r="H4605" s="315"/>
      <c r="I4605" s="315"/>
      <c r="BA4605" s="30"/>
      <c r="BB4605" s="155"/>
      <c r="BC4605" s="314"/>
      <c r="BD4605" s="314"/>
      <c r="BE4605" s="314"/>
      <c r="BF4605" s="314"/>
      <c r="BG4605" s="314"/>
      <c r="BH4605" s="314"/>
      <c r="BI4605" s="314"/>
      <c r="BJ4605" s="314"/>
      <c r="BK4605" s="40"/>
      <c r="BL4605" s="40"/>
      <c r="BM4605" s="40"/>
      <c r="BN4605" s="40"/>
      <c r="BO4605" s="40"/>
      <c r="BP4605" s="155"/>
      <c r="BQ4605" s="314"/>
      <c r="BR4605" s="314"/>
      <c r="BS4605" s="314"/>
      <c r="BT4605" s="314"/>
      <c r="BU4605" s="314"/>
      <c r="BV4605" s="314"/>
      <c r="BW4605" s="314"/>
      <c r="BX4605" s="155"/>
    </row>
    <row r="4606" spans="1:76" ht="15.75" customHeight="1">
      <c r="A4606" s="25"/>
      <c r="B4606" s="39"/>
      <c r="C4606" s="155"/>
      <c r="D4606" s="155"/>
      <c r="E4606" s="40"/>
      <c r="F4606" s="314"/>
      <c r="H4606" s="315"/>
      <c r="I4606" s="315"/>
      <c r="BA4606" s="30"/>
      <c r="BB4606" s="155"/>
      <c r="BC4606" s="314"/>
      <c r="BD4606" s="314"/>
      <c r="BE4606" s="314"/>
      <c r="BF4606" s="314"/>
      <c r="BG4606" s="314"/>
      <c r="BH4606" s="314"/>
      <c r="BI4606" s="314"/>
      <c r="BJ4606" s="314"/>
      <c r="BK4606" s="40"/>
      <c r="BL4606" s="40"/>
      <c r="BM4606" s="40"/>
      <c r="BN4606" s="40"/>
      <c r="BO4606" s="40"/>
      <c r="BP4606" s="155"/>
      <c r="BQ4606" s="314"/>
      <c r="BR4606" s="314"/>
      <c r="BS4606" s="314"/>
      <c r="BT4606" s="314"/>
      <c r="BU4606" s="314"/>
      <c r="BV4606" s="314"/>
      <c r="BW4606" s="314"/>
      <c r="BX4606" s="155"/>
    </row>
    <row r="4607" spans="1:76" ht="15.75" customHeight="1">
      <c r="A4607" s="25"/>
      <c r="B4607" s="39"/>
      <c r="C4607" s="155"/>
      <c r="D4607" s="155"/>
      <c r="E4607" s="40"/>
      <c r="F4607" s="314"/>
      <c r="H4607" s="315"/>
      <c r="I4607" s="315"/>
      <c r="BA4607" s="30"/>
      <c r="BB4607" s="155"/>
      <c r="BC4607" s="314"/>
      <c r="BD4607" s="314"/>
      <c r="BE4607" s="314"/>
      <c r="BF4607" s="314"/>
      <c r="BG4607" s="314"/>
      <c r="BH4607" s="314"/>
      <c r="BI4607" s="314"/>
      <c r="BJ4607" s="314"/>
      <c r="BK4607" s="40"/>
      <c r="BL4607" s="40"/>
      <c r="BM4607" s="40"/>
      <c r="BN4607" s="40"/>
      <c r="BO4607" s="40"/>
      <c r="BP4607" s="155"/>
      <c r="BQ4607" s="314"/>
      <c r="BR4607" s="314"/>
      <c r="BS4607" s="314"/>
      <c r="BT4607" s="314"/>
      <c r="BU4607" s="314"/>
      <c r="BV4607" s="314"/>
      <c r="BW4607" s="314"/>
      <c r="BX4607" s="155"/>
    </row>
    <row r="4608" spans="1:76" ht="15.75" customHeight="1">
      <c r="A4608" s="25"/>
      <c r="B4608" s="39"/>
      <c r="C4608" s="155"/>
      <c r="D4608" s="155"/>
      <c r="E4608" s="40"/>
      <c r="F4608" s="314"/>
      <c r="H4608" s="315"/>
      <c r="I4608" s="315"/>
      <c r="BA4608" s="30"/>
      <c r="BB4608" s="155"/>
      <c r="BC4608" s="322"/>
      <c r="BD4608" s="322"/>
      <c r="BE4608" s="322"/>
      <c r="BF4608" s="322"/>
      <c r="BG4608" s="322"/>
      <c r="BH4608" s="322"/>
      <c r="BI4608" s="322"/>
      <c r="BJ4608" s="322"/>
      <c r="BK4608" s="341"/>
      <c r="BL4608" s="40"/>
      <c r="BM4608" s="40"/>
      <c r="BN4608" s="40"/>
      <c r="BO4608" s="40"/>
      <c r="BP4608" s="155"/>
      <c r="BQ4608" s="314"/>
      <c r="BR4608" s="314"/>
      <c r="BS4608" s="314"/>
      <c r="BT4608" s="314"/>
      <c r="BU4608" s="314"/>
      <c r="BV4608" s="314"/>
      <c r="BW4608" s="314"/>
      <c r="BX4608" s="155"/>
    </row>
    <row r="4609" spans="1:76" ht="15.75" customHeight="1">
      <c r="A4609" s="25"/>
      <c r="B4609" s="39"/>
      <c r="C4609" s="155"/>
      <c r="D4609" s="155"/>
      <c r="E4609" s="40"/>
      <c r="F4609" s="314"/>
      <c r="H4609" s="315"/>
      <c r="I4609" s="315"/>
      <c r="BA4609" s="30"/>
      <c r="BB4609" s="155"/>
      <c r="BC4609" s="314"/>
      <c r="BD4609" s="314"/>
      <c r="BE4609" s="314"/>
      <c r="BF4609" s="314"/>
      <c r="BG4609" s="314"/>
      <c r="BH4609" s="314"/>
      <c r="BI4609" s="314"/>
      <c r="BJ4609" s="314"/>
      <c r="BK4609" s="40"/>
      <c r="BL4609" s="40"/>
      <c r="BM4609" s="40"/>
      <c r="BN4609" s="40"/>
      <c r="BO4609" s="40"/>
      <c r="BP4609" s="155"/>
      <c r="BQ4609" s="314"/>
      <c r="BR4609" s="314"/>
      <c r="BS4609" s="314"/>
      <c r="BT4609" s="314"/>
      <c r="BU4609" s="314"/>
      <c r="BV4609" s="314"/>
      <c r="BW4609" s="314"/>
      <c r="BX4609" s="155"/>
    </row>
    <row r="4610" spans="1:76" ht="15.75" customHeight="1">
      <c r="A4610" s="25"/>
      <c r="B4610" s="39"/>
      <c r="C4610" s="155"/>
      <c r="D4610" s="155"/>
      <c r="E4610" s="40"/>
      <c r="F4610" s="314"/>
      <c r="H4610" s="315"/>
      <c r="I4610" s="315"/>
      <c r="BA4610" s="30"/>
      <c r="BB4610" s="155"/>
      <c r="BC4610" s="314"/>
      <c r="BD4610" s="314"/>
      <c r="BE4610" s="314"/>
      <c r="BF4610" s="314"/>
      <c r="BG4610" s="314"/>
      <c r="BH4610" s="314"/>
      <c r="BI4610" s="314"/>
      <c r="BJ4610" s="314"/>
      <c r="BK4610" s="40"/>
      <c r="BL4610" s="40"/>
      <c r="BM4610" s="40"/>
      <c r="BN4610" s="40"/>
      <c r="BO4610" s="40"/>
      <c r="BP4610" s="155"/>
      <c r="BQ4610" s="314"/>
      <c r="BR4610" s="314"/>
      <c r="BS4610" s="314"/>
      <c r="BT4610" s="314"/>
      <c r="BU4610" s="314"/>
      <c r="BV4610" s="314"/>
      <c r="BW4610" s="314"/>
      <c r="BX4610" s="155"/>
    </row>
    <row r="4611" spans="1:76" ht="15.75" customHeight="1">
      <c r="A4611" s="25"/>
      <c r="B4611" s="39"/>
      <c r="C4611" s="155"/>
      <c r="D4611" s="155"/>
      <c r="E4611" s="40"/>
      <c r="F4611" s="314"/>
      <c r="H4611" s="315"/>
      <c r="I4611" s="315"/>
      <c r="BA4611" s="30"/>
      <c r="BB4611" s="155"/>
      <c r="BC4611" s="314"/>
      <c r="BD4611" s="314"/>
      <c r="BE4611" s="314"/>
      <c r="BF4611" s="314"/>
      <c r="BG4611" s="314"/>
      <c r="BH4611" s="314"/>
      <c r="BI4611" s="314"/>
      <c r="BJ4611" s="314"/>
      <c r="BK4611" s="40"/>
      <c r="BL4611" s="40"/>
      <c r="BM4611" s="40"/>
      <c r="BN4611" s="40"/>
      <c r="BO4611" s="40"/>
      <c r="BP4611" s="155"/>
      <c r="BQ4611" s="314"/>
      <c r="BR4611" s="314"/>
      <c r="BS4611" s="314"/>
      <c r="BT4611" s="314"/>
      <c r="BU4611" s="314"/>
      <c r="BV4611" s="314"/>
      <c r="BW4611" s="314"/>
      <c r="BX4611" s="155"/>
    </row>
    <row r="4612" spans="1:76" ht="15.75" customHeight="1">
      <c r="A4612" s="25"/>
      <c r="B4612" s="39"/>
      <c r="C4612" s="155"/>
      <c r="D4612" s="155"/>
      <c r="E4612" s="40"/>
      <c r="F4612" s="314"/>
      <c r="H4612" s="315"/>
      <c r="I4612" s="315"/>
      <c r="BA4612" s="30"/>
      <c r="BB4612" s="155"/>
      <c r="BC4612" s="314"/>
      <c r="BD4612" s="314"/>
      <c r="BE4612" s="314"/>
      <c r="BF4612" s="314"/>
      <c r="BG4612" s="314"/>
      <c r="BH4612" s="314"/>
      <c r="BI4612" s="314"/>
      <c r="BJ4612" s="314"/>
      <c r="BK4612" s="40"/>
      <c r="BL4612" s="40"/>
      <c r="BM4612" s="40"/>
      <c r="BN4612" s="40"/>
      <c r="BO4612" s="40"/>
      <c r="BP4612" s="155"/>
      <c r="BQ4612" s="314"/>
      <c r="BR4612" s="314"/>
      <c r="BS4612" s="314"/>
      <c r="BT4612" s="314"/>
      <c r="BU4612" s="314"/>
      <c r="BV4612" s="314"/>
      <c r="BW4612" s="314"/>
      <c r="BX4612" s="155"/>
    </row>
    <row r="4613" spans="1:76" ht="15.75" customHeight="1">
      <c r="A4613" s="25"/>
      <c r="B4613" s="39"/>
      <c r="C4613" s="155"/>
      <c r="D4613" s="155"/>
      <c r="E4613" s="40"/>
      <c r="F4613" s="314"/>
      <c r="H4613" s="315"/>
      <c r="I4613" s="315"/>
      <c r="BA4613" s="30"/>
      <c r="BB4613" s="155"/>
      <c r="BC4613" s="314"/>
      <c r="BD4613" s="314"/>
      <c r="BE4613" s="314"/>
      <c r="BF4613" s="314"/>
      <c r="BG4613" s="314"/>
      <c r="BH4613" s="314"/>
      <c r="BI4613" s="314"/>
      <c r="BJ4613" s="314"/>
      <c r="BK4613" s="40"/>
      <c r="BL4613" s="40"/>
      <c r="BM4613" s="40"/>
      <c r="BN4613" s="40"/>
      <c r="BO4613" s="40"/>
      <c r="BP4613" s="155"/>
      <c r="BQ4613" s="314"/>
      <c r="BR4613" s="314"/>
      <c r="BS4613" s="314"/>
      <c r="BT4613" s="314"/>
      <c r="BU4613" s="314"/>
      <c r="BV4613" s="314"/>
      <c r="BW4613" s="314"/>
      <c r="BX4613" s="155"/>
    </row>
    <row r="4614" spans="1:76" ht="15.75" customHeight="1">
      <c r="A4614" s="25"/>
      <c r="B4614" s="39"/>
      <c r="C4614" s="155"/>
      <c r="D4614" s="155"/>
      <c r="E4614" s="40"/>
      <c r="F4614" s="314"/>
      <c r="H4614" s="315"/>
      <c r="I4614" s="315"/>
      <c r="BA4614" s="30"/>
      <c r="BB4614" s="155"/>
      <c r="BC4614" s="314"/>
      <c r="BD4614" s="314"/>
      <c r="BE4614" s="314"/>
      <c r="BF4614" s="314"/>
      <c r="BG4614" s="314"/>
      <c r="BH4614" s="314"/>
      <c r="BI4614" s="314"/>
      <c r="BJ4614" s="314"/>
      <c r="BK4614" s="40"/>
      <c r="BL4614" s="40"/>
      <c r="BM4614" s="40"/>
      <c r="BN4614" s="40"/>
      <c r="BO4614" s="40"/>
      <c r="BP4614" s="155"/>
      <c r="BQ4614" s="314"/>
      <c r="BR4614" s="314"/>
      <c r="BS4614" s="314"/>
      <c r="BT4614" s="314"/>
      <c r="BU4614" s="314"/>
      <c r="BV4614" s="314"/>
      <c r="BW4614" s="314"/>
      <c r="BX4614" s="155"/>
    </row>
    <row r="4615" spans="1:76" ht="15.75" customHeight="1">
      <c r="A4615" s="25"/>
      <c r="B4615" s="39"/>
      <c r="C4615" s="155"/>
      <c r="D4615" s="155"/>
      <c r="E4615" s="40"/>
      <c r="F4615" s="314"/>
      <c r="H4615" s="315"/>
      <c r="I4615" s="315"/>
      <c r="BA4615" s="30"/>
      <c r="BB4615" s="155"/>
      <c r="BC4615" s="314"/>
      <c r="BD4615" s="314"/>
      <c r="BE4615" s="314"/>
      <c r="BF4615" s="314"/>
      <c r="BG4615" s="314"/>
      <c r="BH4615" s="314"/>
      <c r="BI4615" s="314"/>
      <c r="BJ4615" s="314"/>
      <c r="BK4615" s="40"/>
      <c r="BL4615" s="40"/>
      <c r="BM4615" s="40"/>
      <c r="BN4615" s="40"/>
      <c r="BO4615" s="40"/>
      <c r="BP4615" s="155"/>
      <c r="BQ4615" s="314"/>
      <c r="BR4615" s="314"/>
      <c r="BS4615" s="314"/>
      <c r="BT4615" s="314"/>
      <c r="BU4615" s="314"/>
      <c r="BV4615" s="314"/>
      <c r="BW4615" s="314"/>
      <c r="BX4615" s="155"/>
    </row>
    <row r="4616" spans="1:76" ht="15.75" customHeight="1">
      <c r="A4616" s="25"/>
      <c r="B4616" s="39"/>
      <c r="C4616" s="155"/>
      <c r="D4616" s="155"/>
      <c r="E4616" s="40"/>
      <c r="F4616" s="314"/>
      <c r="H4616" s="315"/>
      <c r="I4616" s="315"/>
      <c r="BA4616" s="30"/>
      <c r="BB4616" s="155"/>
      <c r="BC4616" s="314"/>
      <c r="BD4616" s="314"/>
      <c r="BE4616" s="314"/>
      <c r="BF4616" s="314"/>
      <c r="BG4616" s="314"/>
      <c r="BH4616" s="314"/>
      <c r="BI4616" s="314"/>
      <c r="BJ4616" s="314"/>
      <c r="BK4616" s="40"/>
      <c r="BL4616" s="40"/>
      <c r="BM4616" s="40"/>
      <c r="BN4616" s="40"/>
      <c r="BO4616" s="40"/>
      <c r="BP4616" s="155"/>
      <c r="BQ4616" s="314"/>
      <c r="BR4616" s="314"/>
      <c r="BS4616" s="314"/>
      <c r="BT4616" s="314"/>
      <c r="BU4616" s="314"/>
      <c r="BV4616" s="314"/>
      <c r="BW4616" s="314"/>
      <c r="BX4616" s="155"/>
    </row>
    <row r="4617" spans="1:76" ht="15.75" customHeight="1">
      <c r="A4617" s="25"/>
      <c r="B4617" s="39"/>
      <c r="C4617" s="155"/>
      <c r="D4617" s="155"/>
      <c r="E4617" s="40"/>
      <c r="F4617" s="314"/>
      <c r="H4617" s="315"/>
      <c r="I4617" s="315"/>
      <c r="BA4617" s="30"/>
      <c r="BB4617" s="155"/>
      <c r="BC4617" s="314"/>
      <c r="BD4617" s="314"/>
      <c r="BE4617" s="314"/>
      <c r="BF4617" s="314"/>
      <c r="BG4617" s="314"/>
      <c r="BH4617" s="314"/>
      <c r="BI4617" s="314"/>
      <c r="BJ4617" s="314"/>
      <c r="BK4617" s="40"/>
      <c r="BL4617" s="40"/>
      <c r="BM4617" s="40"/>
      <c r="BN4617" s="40"/>
      <c r="BO4617" s="40"/>
      <c r="BP4617" s="155"/>
      <c r="BQ4617" s="314"/>
      <c r="BR4617" s="314"/>
      <c r="BS4617" s="314"/>
      <c r="BT4617" s="314"/>
      <c r="BU4617" s="314"/>
      <c r="BV4617" s="314"/>
      <c r="BW4617" s="314"/>
      <c r="BX4617" s="155"/>
    </row>
    <row r="4618" spans="1:76" ht="15.75" customHeight="1">
      <c r="A4618" s="25"/>
      <c r="B4618" s="39"/>
      <c r="C4618" s="155"/>
      <c r="D4618" s="155"/>
      <c r="E4618" s="40"/>
      <c r="F4618" s="314"/>
      <c r="H4618" s="315"/>
      <c r="I4618" s="315"/>
      <c r="BA4618" s="30"/>
      <c r="BB4618" s="155"/>
      <c r="BC4618" s="314"/>
      <c r="BD4618" s="314"/>
      <c r="BE4618" s="314"/>
      <c r="BF4618" s="314"/>
      <c r="BG4618" s="314"/>
      <c r="BH4618" s="314"/>
      <c r="BI4618" s="314"/>
      <c r="BJ4618" s="314"/>
      <c r="BK4618" s="40"/>
      <c r="BL4618" s="40"/>
      <c r="BM4618" s="40"/>
      <c r="BN4618" s="40"/>
      <c r="BO4618" s="40"/>
      <c r="BP4618" s="155"/>
      <c r="BQ4618" s="314"/>
      <c r="BR4618" s="314"/>
      <c r="BS4618" s="314"/>
      <c r="BT4618" s="314"/>
      <c r="BU4618" s="314"/>
      <c r="BV4618" s="314"/>
      <c r="BW4618" s="314"/>
      <c r="BX4618" s="155"/>
    </row>
    <row r="4619" spans="1:76" ht="15.75" customHeight="1">
      <c r="A4619" s="25"/>
      <c r="B4619" s="39"/>
      <c r="C4619" s="155"/>
      <c r="D4619" s="155"/>
      <c r="E4619" s="40"/>
      <c r="F4619" s="314"/>
      <c r="H4619" s="315"/>
      <c r="I4619" s="315"/>
      <c r="BA4619" s="30"/>
      <c r="BB4619" s="155"/>
      <c r="BC4619" s="314"/>
      <c r="BD4619" s="314"/>
      <c r="BE4619" s="314"/>
      <c r="BF4619" s="314"/>
      <c r="BG4619" s="314"/>
      <c r="BH4619" s="314"/>
      <c r="BI4619" s="314"/>
      <c r="BJ4619" s="314"/>
      <c r="BK4619" s="40"/>
      <c r="BL4619" s="40"/>
      <c r="BM4619" s="40"/>
      <c r="BN4619" s="40"/>
      <c r="BO4619" s="40"/>
      <c r="BP4619" s="155"/>
      <c r="BQ4619" s="314"/>
      <c r="BR4619" s="314"/>
      <c r="BS4619" s="314"/>
      <c r="BT4619" s="314"/>
      <c r="BU4619" s="314"/>
      <c r="BV4619" s="314"/>
      <c r="BW4619" s="314"/>
      <c r="BX4619" s="155"/>
    </row>
    <row r="4620" spans="1:76" ht="15.75" customHeight="1">
      <c r="A4620" s="25"/>
      <c r="B4620" s="39"/>
      <c r="C4620" s="155"/>
      <c r="D4620" s="155"/>
      <c r="E4620" s="40"/>
      <c r="F4620" s="314"/>
      <c r="H4620" s="315"/>
      <c r="I4620" s="315"/>
      <c r="BA4620" s="30"/>
      <c r="BB4620" s="155"/>
      <c r="BC4620" s="314"/>
      <c r="BD4620" s="314"/>
      <c r="BE4620" s="314"/>
      <c r="BF4620" s="314"/>
      <c r="BG4620" s="314"/>
      <c r="BH4620" s="314"/>
      <c r="BI4620" s="314"/>
      <c r="BJ4620" s="314"/>
      <c r="BK4620" s="40"/>
      <c r="BL4620" s="40"/>
      <c r="BM4620" s="40"/>
      <c r="BN4620" s="40"/>
      <c r="BO4620" s="40"/>
      <c r="BP4620" s="155"/>
      <c r="BQ4620" s="314"/>
      <c r="BR4620" s="314"/>
      <c r="BS4620" s="314"/>
      <c r="BT4620" s="314"/>
      <c r="BU4620" s="314"/>
      <c r="BV4620" s="314"/>
      <c r="BW4620" s="314"/>
      <c r="BX4620" s="155"/>
    </row>
    <row r="4621" spans="1:76" ht="15.75" customHeight="1">
      <c r="A4621" s="25"/>
      <c r="B4621" s="39"/>
      <c r="C4621" s="155"/>
      <c r="D4621" s="155"/>
      <c r="E4621" s="40"/>
      <c r="F4621" s="314"/>
      <c r="H4621" s="315"/>
      <c r="I4621" s="315"/>
      <c r="BA4621" s="30"/>
      <c r="BB4621" s="155"/>
      <c r="BC4621" s="314"/>
      <c r="BD4621" s="314"/>
      <c r="BE4621" s="314"/>
      <c r="BF4621" s="314"/>
      <c r="BG4621" s="314"/>
      <c r="BH4621" s="314"/>
      <c r="BI4621" s="314"/>
      <c r="BJ4621" s="314"/>
      <c r="BK4621" s="40"/>
      <c r="BL4621" s="40"/>
      <c r="BM4621" s="40"/>
      <c r="BN4621" s="40"/>
      <c r="BO4621" s="40"/>
      <c r="BP4621" s="155"/>
      <c r="BQ4621" s="314"/>
      <c r="BR4621" s="314"/>
      <c r="BS4621" s="314"/>
      <c r="BT4621" s="314"/>
      <c r="BU4621" s="314"/>
      <c r="BV4621" s="314"/>
      <c r="BW4621" s="314"/>
      <c r="BX4621" s="155"/>
    </row>
    <row r="4622" spans="1:76" ht="15.75" customHeight="1">
      <c r="A4622" s="25"/>
      <c r="B4622" s="39"/>
      <c r="C4622" s="155"/>
      <c r="D4622" s="155"/>
      <c r="E4622" s="40"/>
      <c r="F4622" s="314"/>
      <c r="H4622" s="315"/>
      <c r="I4622" s="315"/>
      <c r="BA4622" s="30"/>
      <c r="BB4622" s="155"/>
      <c r="BC4622" s="314"/>
      <c r="BD4622" s="314"/>
      <c r="BE4622" s="314"/>
      <c r="BF4622" s="314"/>
      <c r="BG4622" s="314"/>
      <c r="BH4622" s="314"/>
      <c r="BI4622" s="314"/>
      <c r="BJ4622" s="314"/>
      <c r="BK4622" s="40"/>
      <c r="BL4622" s="40"/>
      <c r="BM4622" s="40"/>
      <c r="BN4622" s="40"/>
      <c r="BO4622" s="40"/>
      <c r="BP4622" s="155"/>
      <c r="BQ4622" s="314"/>
      <c r="BR4622" s="314"/>
      <c r="BS4622" s="314"/>
      <c r="BT4622" s="314"/>
      <c r="BU4622" s="314"/>
      <c r="BV4622" s="314"/>
      <c r="BW4622" s="314"/>
      <c r="BX4622" s="155"/>
    </row>
    <row r="4623" spans="1:76" ht="15.75" customHeight="1">
      <c r="A4623" s="25"/>
      <c r="B4623" s="39"/>
      <c r="C4623" s="155"/>
      <c r="D4623" s="155"/>
      <c r="E4623" s="40"/>
      <c r="F4623" s="314"/>
      <c r="H4623" s="315"/>
      <c r="I4623" s="315"/>
      <c r="BA4623" s="30"/>
      <c r="BB4623" s="155"/>
      <c r="BC4623" s="314"/>
      <c r="BD4623" s="314"/>
      <c r="BE4623" s="314"/>
      <c r="BF4623" s="314"/>
      <c r="BG4623" s="314"/>
      <c r="BH4623" s="314"/>
      <c r="BI4623" s="314"/>
      <c r="BJ4623" s="314"/>
      <c r="BK4623" s="40"/>
      <c r="BL4623" s="40"/>
      <c r="BM4623" s="40"/>
      <c r="BN4623" s="40"/>
      <c r="BO4623" s="40"/>
      <c r="BP4623" s="155"/>
      <c r="BQ4623" s="314"/>
      <c r="BR4623" s="314"/>
      <c r="BS4623" s="314"/>
      <c r="BT4623" s="314"/>
      <c r="BU4623" s="314"/>
      <c r="BV4623" s="314"/>
      <c r="BW4623" s="314"/>
      <c r="BX4623" s="155"/>
    </row>
    <row r="4624" spans="1:76" ht="15.75" customHeight="1">
      <c r="A4624" s="25"/>
      <c r="B4624" s="39"/>
      <c r="C4624" s="155"/>
      <c r="D4624" s="155"/>
      <c r="E4624" s="40"/>
      <c r="F4624" s="314"/>
      <c r="H4624" s="315"/>
      <c r="I4624" s="315"/>
      <c r="BA4624" s="30"/>
      <c r="BB4624" s="155"/>
      <c r="BC4624" s="314"/>
      <c r="BD4624" s="314"/>
      <c r="BE4624" s="314"/>
      <c r="BF4624" s="314"/>
      <c r="BG4624" s="314"/>
      <c r="BH4624" s="314"/>
      <c r="BI4624" s="314"/>
      <c r="BJ4624" s="314"/>
      <c r="BK4624" s="40"/>
      <c r="BL4624" s="40"/>
      <c r="BM4624" s="40"/>
      <c r="BN4624" s="40"/>
      <c r="BO4624" s="40"/>
      <c r="BP4624" s="155"/>
      <c r="BQ4624" s="314"/>
      <c r="BR4624" s="314"/>
      <c r="BS4624" s="314"/>
      <c r="BT4624" s="314"/>
      <c r="BU4624" s="314"/>
      <c r="BV4624" s="314"/>
      <c r="BW4624" s="314"/>
      <c r="BX4624" s="155"/>
    </row>
    <row r="4625" spans="1:76" ht="15.75" customHeight="1">
      <c r="A4625" s="25"/>
      <c r="B4625" s="39"/>
      <c r="C4625" s="155"/>
      <c r="D4625" s="155"/>
      <c r="E4625" s="40"/>
      <c r="F4625" s="314"/>
      <c r="H4625" s="315"/>
      <c r="I4625" s="315"/>
      <c r="BA4625" s="30"/>
      <c r="BB4625" s="155"/>
      <c r="BC4625" s="314"/>
      <c r="BD4625" s="314"/>
      <c r="BE4625" s="314"/>
      <c r="BF4625" s="314"/>
      <c r="BG4625" s="314"/>
      <c r="BH4625" s="314"/>
      <c r="BI4625" s="314"/>
      <c r="BJ4625" s="314"/>
      <c r="BK4625" s="40"/>
      <c r="BL4625" s="40"/>
      <c r="BM4625" s="40"/>
      <c r="BN4625" s="40"/>
      <c r="BO4625" s="40"/>
      <c r="BP4625" s="155"/>
      <c r="BQ4625" s="314"/>
      <c r="BR4625" s="314"/>
      <c r="BS4625" s="314"/>
      <c r="BT4625" s="314"/>
      <c r="BU4625" s="314"/>
      <c r="BV4625" s="314"/>
      <c r="BW4625" s="314"/>
      <c r="BX4625" s="155"/>
    </row>
    <row r="4626" spans="1:76" ht="15.75" customHeight="1">
      <c r="A4626" s="25"/>
      <c r="B4626" s="39"/>
      <c r="C4626" s="155"/>
      <c r="D4626" s="155"/>
      <c r="E4626" s="40"/>
      <c r="F4626" s="314"/>
      <c r="H4626" s="315"/>
      <c r="I4626" s="315"/>
      <c r="BA4626" s="30"/>
      <c r="BB4626" s="155"/>
      <c r="BC4626" s="322"/>
      <c r="BD4626" s="322"/>
      <c r="BE4626" s="322"/>
      <c r="BF4626" s="322"/>
      <c r="BG4626" s="322"/>
      <c r="BH4626" s="322"/>
      <c r="BI4626" s="322"/>
      <c r="BJ4626" s="322"/>
      <c r="BK4626" s="341"/>
      <c r="BL4626" s="40"/>
      <c r="BM4626" s="40"/>
      <c r="BN4626" s="40"/>
      <c r="BO4626" s="40"/>
      <c r="BP4626" s="155"/>
      <c r="BQ4626" s="314"/>
      <c r="BR4626" s="314"/>
      <c r="BS4626" s="314"/>
      <c r="BT4626" s="314"/>
      <c r="BU4626" s="314"/>
      <c r="BV4626" s="314"/>
      <c r="BW4626" s="314"/>
      <c r="BX4626" s="155"/>
    </row>
    <row r="4627" spans="1:76" ht="15.75" customHeight="1">
      <c r="A4627" s="25"/>
      <c r="B4627" s="39"/>
      <c r="C4627" s="155"/>
      <c r="D4627" s="155"/>
      <c r="E4627" s="40"/>
      <c r="F4627" s="314"/>
      <c r="H4627" s="315"/>
      <c r="I4627" s="315"/>
      <c r="BA4627" s="30"/>
      <c r="BB4627" s="155"/>
      <c r="BC4627" s="314"/>
      <c r="BD4627" s="314"/>
      <c r="BE4627" s="314"/>
      <c r="BF4627" s="314"/>
      <c r="BG4627" s="314"/>
      <c r="BH4627" s="314"/>
      <c r="BI4627" s="314"/>
      <c r="BJ4627" s="314"/>
      <c r="BK4627" s="40"/>
      <c r="BL4627" s="40"/>
      <c r="BM4627" s="40"/>
      <c r="BN4627" s="40"/>
      <c r="BO4627" s="40"/>
      <c r="BP4627" s="155"/>
      <c r="BQ4627" s="314"/>
      <c r="BR4627" s="314"/>
      <c r="BS4627" s="314"/>
      <c r="BT4627" s="314"/>
      <c r="BU4627" s="314"/>
      <c r="BV4627" s="314"/>
      <c r="BW4627" s="314"/>
      <c r="BX4627" s="155"/>
    </row>
    <row r="4628" spans="1:76" ht="15.75" customHeight="1">
      <c r="A4628" s="25"/>
      <c r="B4628" s="39"/>
      <c r="C4628" s="155"/>
      <c r="D4628" s="155"/>
      <c r="E4628" s="40"/>
      <c r="F4628" s="314"/>
      <c r="H4628" s="315"/>
      <c r="I4628" s="315"/>
      <c r="BA4628" s="30"/>
      <c r="BB4628" s="155"/>
      <c r="BC4628" s="314"/>
      <c r="BD4628" s="314"/>
      <c r="BE4628" s="314"/>
      <c r="BF4628" s="314"/>
      <c r="BG4628" s="314"/>
      <c r="BH4628" s="314"/>
      <c r="BI4628" s="314"/>
      <c r="BJ4628" s="314"/>
      <c r="BK4628" s="40"/>
      <c r="BL4628" s="40"/>
      <c r="BM4628" s="40"/>
      <c r="BN4628" s="40"/>
      <c r="BO4628" s="40"/>
      <c r="BP4628" s="155"/>
      <c r="BQ4628" s="314"/>
      <c r="BR4628" s="314"/>
      <c r="BS4628" s="314"/>
      <c r="BT4628" s="314"/>
      <c r="BU4628" s="314"/>
      <c r="BV4628" s="314"/>
      <c r="BW4628" s="314"/>
      <c r="BX4628" s="155"/>
    </row>
    <row r="4629" spans="1:76" ht="15.75" customHeight="1">
      <c r="A4629" s="25"/>
      <c r="B4629" s="39"/>
      <c r="C4629" s="155"/>
      <c r="D4629" s="155"/>
      <c r="E4629" s="40"/>
      <c r="F4629" s="314"/>
      <c r="H4629" s="315"/>
      <c r="I4629" s="315"/>
      <c r="BA4629" s="30"/>
      <c r="BB4629" s="155"/>
      <c r="BC4629" s="314"/>
      <c r="BD4629" s="314"/>
      <c r="BE4629" s="314"/>
      <c r="BF4629" s="314"/>
      <c r="BG4629" s="314"/>
      <c r="BH4629" s="314"/>
      <c r="BI4629" s="314"/>
      <c r="BJ4629" s="314"/>
      <c r="BK4629" s="40"/>
      <c r="BL4629" s="40"/>
      <c r="BM4629" s="40"/>
      <c r="BN4629" s="40"/>
      <c r="BO4629" s="40"/>
      <c r="BP4629" s="155"/>
      <c r="BQ4629" s="314"/>
      <c r="BR4629" s="314"/>
      <c r="BS4629" s="314"/>
      <c r="BT4629" s="314"/>
      <c r="BU4629" s="314"/>
      <c r="BV4629" s="314"/>
      <c r="BW4629" s="314"/>
      <c r="BX4629" s="155"/>
    </row>
    <row r="4630" spans="1:76" ht="15.75" customHeight="1">
      <c r="A4630" s="25"/>
      <c r="B4630" s="39"/>
      <c r="C4630" s="155"/>
      <c r="D4630" s="155"/>
      <c r="E4630" s="40"/>
      <c r="F4630" s="314"/>
      <c r="H4630" s="315"/>
      <c r="I4630" s="315"/>
      <c r="BA4630" s="30"/>
      <c r="BB4630" s="155"/>
      <c r="BC4630" s="314"/>
      <c r="BD4630" s="314"/>
      <c r="BE4630" s="314"/>
      <c r="BF4630" s="314"/>
      <c r="BG4630" s="314"/>
      <c r="BH4630" s="314"/>
      <c r="BI4630" s="314"/>
      <c r="BJ4630" s="314"/>
      <c r="BK4630" s="40"/>
      <c r="BL4630" s="40"/>
      <c r="BM4630" s="40"/>
      <c r="BN4630" s="40"/>
      <c r="BO4630" s="40"/>
      <c r="BP4630" s="155"/>
      <c r="BQ4630" s="314"/>
      <c r="BR4630" s="314"/>
      <c r="BS4630" s="314"/>
      <c r="BT4630" s="314"/>
      <c r="BU4630" s="314"/>
      <c r="BV4630" s="314"/>
      <c r="BW4630" s="314"/>
      <c r="BX4630" s="155"/>
    </row>
    <row r="4631" spans="1:76" ht="15.75" customHeight="1">
      <c r="A4631" s="25"/>
      <c r="B4631" s="39"/>
      <c r="C4631" s="155"/>
      <c r="D4631" s="155"/>
      <c r="E4631" s="40"/>
      <c r="F4631" s="314"/>
      <c r="H4631" s="315"/>
      <c r="I4631" s="315"/>
      <c r="BA4631" s="30"/>
      <c r="BB4631" s="155"/>
      <c r="BC4631" s="314"/>
      <c r="BD4631" s="314"/>
      <c r="BE4631" s="314"/>
      <c r="BF4631" s="314"/>
      <c r="BG4631" s="314"/>
      <c r="BH4631" s="314"/>
      <c r="BI4631" s="314"/>
      <c r="BJ4631" s="314"/>
      <c r="BK4631" s="40"/>
      <c r="BL4631" s="40"/>
      <c r="BM4631" s="40"/>
      <c r="BN4631" s="40"/>
      <c r="BO4631" s="40"/>
      <c r="BP4631" s="155"/>
      <c r="BQ4631" s="314"/>
      <c r="BR4631" s="314"/>
      <c r="BS4631" s="314"/>
      <c r="BT4631" s="314"/>
      <c r="BU4631" s="314"/>
      <c r="BV4631" s="314"/>
      <c r="BW4631" s="314"/>
      <c r="BX4631" s="155"/>
    </row>
    <row r="4632" spans="1:76" ht="15.75" customHeight="1">
      <c r="A4632" s="25"/>
      <c r="B4632" s="39"/>
      <c r="C4632" s="155"/>
      <c r="D4632" s="155"/>
      <c r="E4632" s="40"/>
      <c r="F4632" s="314"/>
      <c r="H4632" s="315"/>
      <c r="I4632" s="315"/>
      <c r="BA4632" s="30"/>
      <c r="BB4632" s="155"/>
      <c r="BC4632" s="314"/>
      <c r="BD4632" s="314"/>
      <c r="BE4632" s="314"/>
      <c r="BF4632" s="314"/>
      <c r="BG4632" s="314"/>
      <c r="BH4632" s="314"/>
      <c r="BI4632" s="314"/>
      <c r="BJ4632" s="314"/>
      <c r="BK4632" s="40"/>
      <c r="BL4632" s="40"/>
      <c r="BM4632" s="40"/>
      <c r="BN4632" s="40"/>
      <c r="BO4632" s="40"/>
      <c r="BP4632" s="155"/>
      <c r="BQ4632" s="314"/>
      <c r="BR4632" s="314"/>
      <c r="BS4632" s="314"/>
      <c r="BT4632" s="314"/>
      <c r="BU4632" s="314"/>
      <c r="BV4632" s="314"/>
      <c r="BW4632" s="314"/>
      <c r="BX4632" s="155"/>
    </row>
    <row r="4633" spans="1:76" ht="15.75" customHeight="1">
      <c r="A4633" s="25"/>
      <c r="B4633" s="39"/>
      <c r="C4633" s="155"/>
      <c r="D4633" s="155"/>
      <c r="E4633" s="40"/>
      <c r="F4633" s="314"/>
      <c r="H4633" s="315"/>
      <c r="I4633" s="315"/>
      <c r="BA4633" s="30"/>
      <c r="BB4633" s="155"/>
      <c r="BC4633" s="314"/>
      <c r="BD4633" s="314"/>
      <c r="BE4633" s="314"/>
      <c r="BF4633" s="314"/>
      <c r="BG4633" s="314"/>
      <c r="BH4633" s="314"/>
      <c r="BI4633" s="314"/>
      <c r="BJ4633" s="314"/>
      <c r="BK4633" s="40"/>
      <c r="BL4633" s="40"/>
      <c r="BM4633" s="40"/>
      <c r="BN4633" s="40"/>
      <c r="BO4633" s="40"/>
      <c r="BP4633" s="155"/>
      <c r="BQ4633" s="314"/>
      <c r="BR4633" s="314"/>
      <c r="BS4633" s="314"/>
      <c r="BT4633" s="314"/>
      <c r="BU4633" s="314"/>
      <c r="BV4633" s="314"/>
      <c r="BW4633" s="314"/>
      <c r="BX4633" s="155"/>
    </row>
    <row r="4634" spans="1:76" ht="15.75" customHeight="1">
      <c r="A4634" s="25"/>
      <c r="B4634" s="39"/>
      <c r="C4634" s="155"/>
      <c r="D4634" s="155"/>
      <c r="E4634" s="40"/>
      <c r="F4634" s="314"/>
      <c r="H4634" s="315"/>
      <c r="I4634" s="315"/>
      <c r="BA4634" s="30"/>
      <c r="BB4634" s="155"/>
      <c r="BC4634" s="314"/>
      <c r="BD4634" s="314"/>
      <c r="BE4634" s="314"/>
      <c r="BF4634" s="314"/>
      <c r="BG4634" s="314"/>
      <c r="BH4634" s="314"/>
      <c r="BI4634" s="314"/>
      <c r="BJ4634" s="314"/>
      <c r="BK4634" s="40"/>
      <c r="BL4634" s="40"/>
      <c r="BM4634" s="40"/>
      <c r="BN4634" s="40"/>
      <c r="BO4634" s="40"/>
      <c r="BP4634" s="155"/>
      <c r="BQ4634" s="314"/>
      <c r="BR4634" s="314"/>
      <c r="BS4634" s="314"/>
      <c r="BT4634" s="314"/>
      <c r="BU4634" s="314"/>
      <c r="BV4634" s="314"/>
      <c r="BW4634" s="314"/>
      <c r="BX4634" s="155"/>
    </row>
    <row r="4635" spans="1:76" ht="15.75" customHeight="1">
      <c r="A4635" s="25"/>
      <c r="B4635" s="39"/>
      <c r="C4635" s="155"/>
      <c r="D4635" s="155"/>
      <c r="E4635" s="40"/>
      <c r="F4635" s="314"/>
      <c r="H4635" s="315"/>
      <c r="I4635" s="315"/>
      <c r="BA4635" s="30"/>
      <c r="BB4635" s="155"/>
      <c r="BC4635" s="314"/>
      <c r="BD4635" s="314"/>
      <c r="BE4635" s="314"/>
      <c r="BF4635" s="314"/>
      <c r="BG4635" s="314"/>
      <c r="BH4635" s="314"/>
      <c r="BI4635" s="314"/>
      <c r="BJ4635" s="314"/>
      <c r="BK4635" s="40"/>
      <c r="BL4635" s="40"/>
      <c r="BM4635" s="40"/>
      <c r="BN4635" s="40"/>
      <c r="BO4635" s="40"/>
      <c r="BP4635" s="155"/>
      <c r="BQ4635" s="314"/>
      <c r="BR4635" s="314"/>
      <c r="BS4635" s="314"/>
      <c r="BT4635" s="314"/>
      <c r="BU4635" s="314"/>
      <c r="BV4635" s="314"/>
      <c r="BW4635" s="314"/>
      <c r="BX4635" s="155"/>
    </row>
    <row r="4636" spans="1:76" ht="15.75" customHeight="1">
      <c r="A4636" s="25"/>
      <c r="B4636" s="39"/>
      <c r="C4636" s="155"/>
      <c r="D4636" s="155"/>
      <c r="E4636" s="40"/>
      <c r="F4636" s="314"/>
      <c r="H4636" s="315"/>
      <c r="I4636" s="315"/>
      <c r="BA4636" s="30"/>
      <c r="BB4636" s="155"/>
      <c r="BC4636" s="314"/>
      <c r="BD4636" s="314"/>
      <c r="BE4636" s="314"/>
      <c r="BF4636" s="314"/>
      <c r="BG4636" s="314"/>
      <c r="BH4636" s="314"/>
      <c r="BI4636" s="314"/>
      <c r="BJ4636" s="314"/>
      <c r="BK4636" s="40"/>
      <c r="BL4636" s="40"/>
      <c r="BM4636" s="40"/>
      <c r="BN4636" s="40"/>
      <c r="BO4636" s="40"/>
      <c r="BP4636" s="155"/>
      <c r="BQ4636" s="314"/>
      <c r="BR4636" s="314"/>
      <c r="BS4636" s="314"/>
      <c r="BT4636" s="314"/>
      <c r="BU4636" s="314"/>
      <c r="BV4636" s="314"/>
      <c r="BW4636" s="314"/>
      <c r="BX4636" s="155"/>
    </row>
    <row r="4637" spans="1:76" ht="15.75" customHeight="1">
      <c r="A4637" s="25"/>
      <c r="B4637" s="39"/>
      <c r="C4637" s="155"/>
      <c r="D4637" s="155"/>
      <c r="E4637" s="40"/>
      <c r="F4637" s="314"/>
      <c r="H4637" s="315"/>
      <c r="I4637" s="315"/>
      <c r="BA4637" s="30"/>
      <c r="BB4637" s="155"/>
      <c r="BC4637" s="314"/>
      <c r="BD4637" s="314"/>
      <c r="BE4637" s="314"/>
      <c r="BF4637" s="314"/>
      <c r="BG4637" s="314"/>
      <c r="BH4637" s="314"/>
      <c r="BI4637" s="314"/>
      <c r="BJ4637" s="314"/>
      <c r="BK4637" s="40"/>
      <c r="BL4637" s="40"/>
      <c r="BM4637" s="40"/>
      <c r="BN4637" s="40"/>
      <c r="BO4637" s="40"/>
      <c r="BP4637" s="155"/>
      <c r="BQ4637" s="314"/>
      <c r="BR4637" s="314"/>
      <c r="BS4637" s="314"/>
      <c r="BT4637" s="314"/>
      <c r="BU4637" s="314"/>
      <c r="BV4637" s="314"/>
      <c r="BW4637" s="314"/>
      <c r="BX4637" s="155"/>
    </row>
    <row r="4638" spans="1:76" ht="15.75" customHeight="1">
      <c r="A4638" s="25"/>
      <c r="B4638" s="39"/>
      <c r="C4638" s="155"/>
      <c r="D4638" s="155"/>
      <c r="E4638" s="40"/>
      <c r="F4638" s="314"/>
      <c r="H4638" s="315"/>
      <c r="I4638" s="315"/>
      <c r="BA4638" s="30"/>
      <c r="BB4638" s="155"/>
      <c r="BC4638" s="314"/>
      <c r="BD4638" s="314"/>
      <c r="BE4638" s="314"/>
      <c r="BF4638" s="314"/>
      <c r="BG4638" s="314"/>
      <c r="BH4638" s="314"/>
      <c r="BI4638" s="314"/>
      <c r="BJ4638" s="314"/>
      <c r="BK4638" s="40"/>
      <c r="BL4638" s="40"/>
      <c r="BM4638" s="40"/>
      <c r="BN4638" s="40"/>
      <c r="BO4638" s="40"/>
      <c r="BP4638" s="155"/>
      <c r="BQ4638" s="314"/>
      <c r="BR4638" s="314"/>
      <c r="BS4638" s="314"/>
      <c r="BT4638" s="314"/>
      <c r="BU4638" s="314"/>
      <c r="BV4638" s="314"/>
      <c r="BW4638" s="314"/>
      <c r="BX4638" s="155"/>
    </row>
    <row r="4639" spans="1:76" ht="15.75" customHeight="1">
      <c r="A4639" s="25"/>
      <c r="B4639" s="39"/>
      <c r="C4639" s="155"/>
      <c r="D4639" s="155"/>
      <c r="E4639" s="40"/>
      <c r="F4639" s="314"/>
      <c r="H4639" s="315"/>
      <c r="I4639" s="315"/>
      <c r="BA4639" s="30"/>
      <c r="BB4639" s="155"/>
      <c r="BC4639" s="314"/>
      <c r="BD4639" s="314"/>
      <c r="BE4639" s="314"/>
      <c r="BF4639" s="314"/>
      <c r="BG4639" s="314"/>
      <c r="BH4639" s="314"/>
      <c r="BI4639" s="314"/>
      <c r="BJ4639" s="314"/>
      <c r="BK4639" s="40"/>
      <c r="BL4639" s="40"/>
      <c r="BM4639" s="40"/>
      <c r="BN4639" s="40"/>
      <c r="BO4639" s="40"/>
      <c r="BP4639" s="155"/>
      <c r="BQ4639" s="314"/>
      <c r="BR4639" s="314"/>
      <c r="BS4639" s="314"/>
      <c r="BT4639" s="314"/>
      <c r="BU4639" s="314"/>
      <c r="BV4639" s="314"/>
      <c r="BW4639" s="314"/>
      <c r="BX4639" s="155"/>
    </row>
    <row r="4640" spans="1:76" ht="15.75" customHeight="1">
      <c r="A4640" s="25"/>
      <c r="B4640" s="39"/>
      <c r="C4640" s="155"/>
      <c r="D4640" s="155"/>
      <c r="E4640" s="40"/>
      <c r="F4640" s="314"/>
      <c r="H4640" s="315"/>
      <c r="I4640" s="315"/>
      <c r="BA4640" s="30"/>
      <c r="BB4640" s="155"/>
      <c r="BC4640" s="314"/>
      <c r="BD4640" s="314"/>
      <c r="BE4640" s="314"/>
      <c r="BF4640" s="314"/>
      <c r="BG4640" s="314"/>
      <c r="BH4640" s="314"/>
      <c r="BI4640" s="314"/>
      <c r="BJ4640" s="314"/>
      <c r="BK4640" s="40"/>
      <c r="BL4640" s="40"/>
      <c r="BM4640" s="40"/>
      <c r="BN4640" s="40"/>
      <c r="BO4640" s="40"/>
      <c r="BP4640" s="155"/>
      <c r="BQ4640" s="314"/>
      <c r="BR4640" s="314"/>
      <c r="BS4640" s="314"/>
      <c r="BT4640" s="314"/>
      <c r="BU4640" s="314"/>
      <c r="BV4640" s="314"/>
      <c r="BW4640" s="314"/>
      <c r="BX4640" s="155"/>
    </row>
    <row r="4641" spans="1:76" ht="15.75" customHeight="1">
      <c r="A4641" s="25"/>
      <c r="B4641" s="39"/>
      <c r="C4641" s="155"/>
      <c r="D4641" s="155"/>
      <c r="E4641" s="40"/>
      <c r="F4641" s="314"/>
      <c r="H4641" s="315"/>
      <c r="I4641" s="315"/>
      <c r="BA4641" s="30"/>
      <c r="BB4641" s="155"/>
      <c r="BC4641" s="314"/>
      <c r="BD4641" s="314"/>
      <c r="BE4641" s="314"/>
      <c r="BF4641" s="314"/>
      <c r="BG4641" s="314"/>
      <c r="BH4641" s="314"/>
      <c r="BI4641" s="314"/>
      <c r="BJ4641" s="314"/>
      <c r="BK4641" s="40"/>
      <c r="BL4641" s="40"/>
      <c r="BM4641" s="40"/>
      <c r="BN4641" s="40"/>
      <c r="BO4641" s="40"/>
      <c r="BP4641" s="155"/>
      <c r="BQ4641" s="314"/>
      <c r="BR4641" s="314"/>
      <c r="BS4641" s="314"/>
      <c r="BT4641" s="314"/>
      <c r="BU4641" s="314"/>
      <c r="BV4641" s="314"/>
      <c r="BW4641" s="314"/>
      <c r="BX4641" s="155"/>
    </row>
    <row r="4642" spans="1:76" ht="15.75" customHeight="1">
      <c r="A4642" s="25"/>
      <c r="B4642" s="39"/>
      <c r="C4642" s="155"/>
      <c r="D4642" s="155"/>
      <c r="E4642" s="40"/>
      <c r="F4642" s="314"/>
      <c r="H4642" s="315"/>
      <c r="I4642" s="315"/>
      <c r="BA4642" s="30"/>
      <c r="BB4642" s="155"/>
      <c r="BC4642" s="314"/>
      <c r="BD4642" s="314"/>
      <c r="BE4642" s="314"/>
      <c r="BF4642" s="314"/>
      <c r="BG4642" s="314"/>
      <c r="BH4642" s="314"/>
      <c r="BI4642" s="314"/>
      <c r="BJ4642" s="314"/>
      <c r="BK4642" s="40"/>
      <c r="BL4642" s="40"/>
      <c r="BM4642" s="40"/>
      <c r="BN4642" s="40"/>
      <c r="BO4642" s="40"/>
      <c r="BP4642" s="155"/>
      <c r="BQ4642" s="314"/>
      <c r="BR4642" s="314"/>
      <c r="BS4642" s="314"/>
      <c r="BT4642" s="314"/>
      <c r="BU4642" s="314"/>
      <c r="BV4642" s="314"/>
      <c r="BW4642" s="314"/>
      <c r="BX4642" s="155"/>
    </row>
    <row r="4643" spans="1:76" ht="15.75" customHeight="1">
      <c r="A4643" s="25"/>
      <c r="B4643" s="39"/>
      <c r="C4643" s="155"/>
      <c r="D4643" s="155"/>
      <c r="E4643" s="40"/>
      <c r="F4643" s="314"/>
      <c r="H4643" s="315"/>
      <c r="I4643" s="315"/>
      <c r="BA4643" s="30"/>
      <c r="BB4643" s="155"/>
      <c r="BC4643" s="314"/>
      <c r="BD4643" s="314"/>
      <c r="BE4643" s="314"/>
      <c r="BF4643" s="314"/>
      <c r="BG4643" s="314"/>
      <c r="BH4643" s="314"/>
      <c r="BI4643" s="314"/>
      <c r="BJ4643" s="314"/>
      <c r="BK4643" s="40"/>
      <c r="BL4643" s="40"/>
      <c r="BM4643" s="40"/>
      <c r="BN4643" s="40"/>
      <c r="BO4643" s="40"/>
      <c r="BP4643" s="155"/>
      <c r="BQ4643" s="314"/>
      <c r="BR4643" s="314"/>
      <c r="BS4643" s="314"/>
      <c r="BT4643" s="314"/>
      <c r="BU4643" s="314"/>
      <c r="BV4643" s="314"/>
      <c r="BW4643" s="314"/>
      <c r="BX4643" s="155"/>
    </row>
    <row r="4644" spans="1:76" ht="15.75" customHeight="1">
      <c r="A4644" s="25"/>
      <c r="B4644" s="39"/>
      <c r="C4644" s="155"/>
      <c r="D4644" s="155"/>
      <c r="E4644" s="40"/>
      <c r="F4644" s="314"/>
      <c r="H4644" s="315"/>
      <c r="I4644" s="315"/>
      <c r="BA4644" s="30"/>
      <c r="BB4644" s="155"/>
      <c r="BC4644" s="314"/>
      <c r="BD4644" s="314"/>
      <c r="BE4644" s="314"/>
      <c r="BF4644" s="314"/>
      <c r="BG4644" s="314"/>
      <c r="BH4644" s="314"/>
      <c r="BI4644" s="314"/>
      <c r="BJ4644" s="314"/>
      <c r="BK4644" s="40"/>
      <c r="BL4644" s="40"/>
      <c r="BM4644" s="40"/>
      <c r="BN4644" s="40"/>
      <c r="BO4644" s="40"/>
      <c r="BP4644" s="155"/>
      <c r="BQ4644" s="314"/>
      <c r="BR4644" s="314"/>
      <c r="BS4644" s="314"/>
      <c r="BT4644" s="314"/>
      <c r="BU4644" s="314"/>
      <c r="BV4644" s="314"/>
      <c r="BW4644" s="314"/>
      <c r="BX4644" s="155"/>
    </row>
    <row r="4645" spans="1:76" ht="15.75" customHeight="1">
      <c r="A4645" s="25"/>
      <c r="B4645" s="39"/>
      <c r="C4645" s="155"/>
      <c r="D4645" s="155"/>
      <c r="E4645" s="40"/>
      <c r="F4645" s="314"/>
      <c r="H4645" s="315"/>
      <c r="I4645" s="315"/>
      <c r="BA4645" s="30"/>
      <c r="BB4645" s="155"/>
      <c r="BC4645" s="314"/>
      <c r="BD4645" s="314"/>
      <c r="BE4645" s="314"/>
      <c r="BF4645" s="314"/>
      <c r="BG4645" s="314"/>
      <c r="BH4645" s="314"/>
      <c r="BI4645" s="314"/>
      <c r="BJ4645" s="314"/>
      <c r="BK4645" s="40"/>
      <c r="BL4645" s="40"/>
      <c r="BM4645" s="40"/>
      <c r="BN4645" s="40"/>
      <c r="BO4645" s="40"/>
      <c r="BP4645" s="155"/>
      <c r="BQ4645" s="314"/>
      <c r="BR4645" s="314"/>
      <c r="BS4645" s="314"/>
      <c r="BT4645" s="314"/>
      <c r="BU4645" s="314"/>
      <c r="BV4645" s="314"/>
      <c r="BW4645" s="314"/>
      <c r="BX4645" s="155"/>
    </row>
    <row r="4646" spans="1:76" ht="15.75" customHeight="1">
      <c r="A4646" s="25"/>
      <c r="B4646" s="39"/>
      <c r="C4646" s="155"/>
      <c r="D4646" s="155"/>
      <c r="E4646" s="40"/>
      <c r="F4646" s="314"/>
      <c r="H4646" s="315"/>
      <c r="I4646" s="315"/>
      <c r="BA4646" s="30"/>
      <c r="BB4646" s="155"/>
      <c r="BC4646" s="314"/>
      <c r="BD4646" s="314"/>
      <c r="BE4646" s="314"/>
      <c r="BF4646" s="314"/>
      <c r="BG4646" s="314"/>
      <c r="BH4646" s="314"/>
      <c r="BI4646" s="314"/>
      <c r="BJ4646" s="314"/>
      <c r="BK4646" s="40"/>
      <c r="BL4646" s="40"/>
      <c r="BM4646" s="40"/>
      <c r="BN4646" s="40"/>
      <c r="BO4646" s="40"/>
      <c r="BP4646" s="155"/>
      <c r="BQ4646" s="314"/>
      <c r="BR4646" s="314"/>
      <c r="BS4646" s="314"/>
      <c r="BT4646" s="314"/>
      <c r="BU4646" s="314"/>
      <c r="BV4646" s="314"/>
      <c r="BW4646" s="314"/>
      <c r="BX4646" s="155"/>
    </row>
    <row r="4647" spans="1:76" ht="15.75" customHeight="1">
      <c r="A4647" s="25"/>
      <c r="B4647" s="39"/>
      <c r="C4647" s="155"/>
      <c r="D4647" s="155"/>
      <c r="E4647" s="40"/>
      <c r="F4647" s="314"/>
      <c r="H4647" s="315"/>
      <c r="I4647" s="315"/>
      <c r="BA4647" s="30"/>
      <c r="BB4647" s="155"/>
      <c r="BC4647" s="314"/>
      <c r="BD4647" s="314"/>
      <c r="BE4647" s="314"/>
      <c r="BF4647" s="314"/>
      <c r="BG4647" s="314"/>
      <c r="BH4647" s="314"/>
      <c r="BI4647" s="314"/>
      <c r="BJ4647" s="314"/>
      <c r="BK4647" s="40"/>
      <c r="BL4647" s="40"/>
      <c r="BM4647" s="40"/>
      <c r="BN4647" s="40"/>
      <c r="BO4647" s="40"/>
      <c r="BP4647" s="155"/>
      <c r="BQ4647" s="314"/>
      <c r="BR4647" s="314"/>
      <c r="BS4647" s="314"/>
      <c r="BT4647" s="314"/>
      <c r="BU4647" s="314"/>
      <c r="BV4647" s="314"/>
      <c r="BW4647" s="314"/>
      <c r="BX4647" s="155"/>
    </row>
    <row r="4648" spans="1:76" ht="15.75" customHeight="1">
      <c r="A4648" s="25"/>
      <c r="B4648" s="39"/>
      <c r="C4648" s="155"/>
      <c r="D4648" s="155"/>
      <c r="E4648" s="40"/>
      <c r="F4648" s="314"/>
      <c r="H4648" s="315"/>
      <c r="I4648" s="315"/>
      <c r="BA4648" s="30"/>
      <c r="BB4648" s="155"/>
      <c r="BC4648" s="314"/>
      <c r="BD4648" s="314"/>
      <c r="BE4648" s="314"/>
      <c r="BF4648" s="314"/>
      <c r="BG4648" s="314"/>
      <c r="BH4648" s="314"/>
      <c r="BI4648" s="314"/>
      <c r="BJ4648" s="314"/>
      <c r="BK4648" s="40"/>
      <c r="BL4648" s="40"/>
      <c r="BM4648" s="40"/>
      <c r="BN4648" s="40"/>
      <c r="BO4648" s="40"/>
      <c r="BP4648" s="155"/>
      <c r="BQ4648" s="314"/>
      <c r="BR4648" s="314"/>
      <c r="BS4648" s="314"/>
      <c r="BT4648" s="314"/>
      <c r="BU4648" s="314"/>
      <c r="BV4648" s="314"/>
      <c r="BW4648" s="314"/>
      <c r="BX4648" s="155"/>
    </row>
    <row r="4649" spans="1:76" ht="15.75" customHeight="1">
      <c r="A4649" s="25"/>
      <c r="B4649" s="39"/>
      <c r="C4649" s="155"/>
      <c r="D4649" s="155"/>
      <c r="E4649" s="40"/>
      <c r="F4649" s="314"/>
      <c r="H4649" s="315"/>
      <c r="I4649" s="315"/>
      <c r="BA4649" s="30"/>
      <c r="BB4649" s="155"/>
      <c r="BC4649" s="314"/>
      <c r="BD4649" s="314"/>
      <c r="BE4649" s="314"/>
      <c r="BF4649" s="314"/>
      <c r="BG4649" s="314"/>
      <c r="BH4649" s="314"/>
      <c r="BI4649" s="314"/>
      <c r="BJ4649" s="314"/>
      <c r="BK4649" s="40"/>
      <c r="BL4649" s="40"/>
      <c r="BM4649" s="40"/>
      <c r="BN4649" s="40"/>
      <c r="BO4649" s="40"/>
      <c r="BP4649" s="155"/>
      <c r="BQ4649" s="314"/>
      <c r="BR4649" s="314"/>
      <c r="BS4649" s="314"/>
      <c r="BT4649" s="314"/>
      <c r="BU4649" s="314"/>
      <c r="BV4649" s="314"/>
      <c r="BW4649" s="314"/>
      <c r="BX4649" s="155"/>
    </row>
    <row r="4650" spans="1:76" ht="15.75" customHeight="1">
      <c r="A4650" s="25"/>
      <c r="B4650" s="39"/>
      <c r="C4650" s="155"/>
      <c r="D4650" s="155"/>
      <c r="E4650" s="40"/>
      <c r="F4650" s="314"/>
      <c r="H4650" s="315"/>
      <c r="I4650" s="315"/>
      <c r="BA4650" s="30"/>
      <c r="BB4650" s="155"/>
      <c r="BC4650" s="314"/>
      <c r="BD4650" s="314"/>
      <c r="BE4650" s="314"/>
      <c r="BF4650" s="314"/>
      <c r="BG4650" s="314"/>
      <c r="BH4650" s="314"/>
      <c r="BI4650" s="314"/>
      <c r="BJ4650" s="314"/>
      <c r="BK4650" s="40"/>
      <c r="BL4650" s="40"/>
      <c r="BM4650" s="40"/>
      <c r="BN4650" s="40"/>
      <c r="BO4650" s="40"/>
      <c r="BP4650" s="155"/>
      <c r="BQ4650" s="314"/>
      <c r="BR4650" s="314"/>
      <c r="BS4650" s="314"/>
      <c r="BT4650" s="314"/>
      <c r="BU4650" s="314"/>
      <c r="BV4650" s="314"/>
      <c r="BW4650" s="314"/>
      <c r="BX4650" s="155"/>
    </row>
    <row r="4651" spans="1:76" ht="15.75" customHeight="1">
      <c r="A4651" s="25"/>
      <c r="B4651" s="39"/>
      <c r="C4651" s="155"/>
      <c r="D4651" s="155"/>
      <c r="E4651" s="40"/>
      <c r="F4651" s="314"/>
      <c r="H4651" s="315"/>
      <c r="I4651" s="315"/>
      <c r="BA4651" s="30"/>
      <c r="BB4651" s="155"/>
      <c r="BC4651" s="314"/>
      <c r="BD4651" s="314"/>
      <c r="BE4651" s="314"/>
      <c r="BF4651" s="314"/>
      <c r="BG4651" s="314"/>
      <c r="BH4651" s="314"/>
      <c r="BI4651" s="314"/>
      <c r="BJ4651" s="314"/>
      <c r="BK4651" s="40"/>
      <c r="BL4651" s="40"/>
      <c r="BM4651" s="40"/>
      <c r="BN4651" s="40"/>
      <c r="BO4651" s="40"/>
      <c r="BP4651" s="155"/>
      <c r="BQ4651" s="314"/>
      <c r="BR4651" s="314"/>
      <c r="BS4651" s="314"/>
      <c r="BT4651" s="314"/>
      <c r="BU4651" s="314"/>
      <c r="BV4651" s="314"/>
      <c r="BW4651" s="314"/>
      <c r="BX4651" s="155"/>
    </row>
    <row r="4652" spans="1:76" ht="15.75" customHeight="1">
      <c r="A4652" s="25"/>
      <c r="B4652" s="39"/>
      <c r="C4652" s="155"/>
      <c r="D4652" s="155"/>
      <c r="E4652" s="40"/>
      <c r="F4652" s="314"/>
      <c r="H4652" s="315"/>
      <c r="I4652" s="315"/>
      <c r="BA4652" s="30"/>
      <c r="BB4652" s="155"/>
      <c r="BC4652" s="314"/>
      <c r="BD4652" s="314"/>
      <c r="BE4652" s="314"/>
      <c r="BF4652" s="314"/>
      <c r="BG4652" s="314"/>
      <c r="BH4652" s="314"/>
      <c r="BI4652" s="314"/>
      <c r="BJ4652" s="314"/>
      <c r="BK4652" s="40"/>
      <c r="BL4652" s="40"/>
      <c r="BM4652" s="40"/>
      <c r="BN4652" s="40"/>
      <c r="BO4652" s="40"/>
      <c r="BP4652" s="155"/>
      <c r="BQ4652" s="314"/>
      <c r="BR4652" s="314"/>
      <c r="BS4652" s="314"/>
      <c r="BT4652" s="314"/>
      <c r="BU4652" s="314"/>
      <c r="BV4652" s="314"/>
      <c r="BW4652" s="314"/>
      <c r="BX4652" s="155"/>
    </row>
    <row r="4653" spans="1:76" ht="15.75" customHeight="1">
      <c r="A4653" s="25"/>
      <c r="B4653" s="39"/>
      <c r="C4653" s="155"/>
      <c r="D4653" s="155"/>
      <c r="E4653" s="40"/>
      <c r="F4653" s="314"/>
      <c r="H4653" s="315"/>
      <c r="I4653" s="315"/>
      <c r="BA4653" s="30"/>
      <c r="BB4653" s="155"/>
      <c r="BC4653" s="314"/>
      <c r="BD4653" s="314"/>
      <c r="BE4653" s="314"/>
      <c r="BF4653" s="314"/>
      <c r="BG4653" s="314"/>
      <c r="BH4653" s="314"/>
      <c r="BI4653" s="314"/>
      <c r="BJ4653" s="314"/>
      <c r="BK4653" s="40"/>
      <c r="BL4653" s="40"/>
      <c r="BM4653" s="40"/>
      <c r="BN4653" s="40"/>
      <c r="BO4653" s="40"/>
      <c r="BP4653" s="155"/>
      <c r="BQ4653" s="314"/>
      <c r="BR4653" s="314"/>
      <c r="BS4653" s="314"/>
      <c r="BT4653" s="314"/>
      <c r="BU4653" s="314"/>
      <c r="BV4653" s="314"/>
      <c r="BW4653" s="314"/>
      <c r="BX4653" s="155"/>
    </row>
    <row r="4654" spans="1:76" ht="15.75" customHeight="1">
      <c r="A4654" s="25"/>
      <c r="B4654" s="39"/>
      <c r="C4654" s="155"/>
      <c r="D4654" s="155"/>
      <c r="E4654" s="40"/>
      <c r="F4654" s="314"/>
      <c r="H4654" s="315"/>
      <c r="I4654" s="315"/>
      <c r="BA4654" s="30"/>
      <c r="BB4654" s="155"/>
      <c r="BC4654" s="314"/>
      <c r="BD4654" s="314"/>
      <c r="BE4654" s="314"/>
      <c r="BF4654" s="314"/>
      <c r="BG4654" s="314"/>
      <c r="BH4654" s="314"/>
      <c r="BI4654" s="314"/>
      <c r="BJ4654" s="314"/>
      <c r="BK4654" s="40"/>
      <c r="BL4654" s="40"/>
      <c r="BM4654" s="40"/>
      <c r="BN4654" s="40"/>
      <c r="BO4654" s="40"/>
      <c r="BP4654" s="155"/>
      <c r="BQ4654" s="314"/>
      <c r="BR4654" s="314"/>
      <c r="BS4654" s="314"/>
      <c r="BT4654" s="314"/>
      <c r="BU4654" s="314"/>
      <c r="BV4654" s="314"/>
      <c r="BW4654" s="314"/>
      <c r="BX4654" s="155"/>
    </row>
    <row r="4655" spans="1:76" ht="15.75" customHeight="1">
      <c r="A4655" s="25"/>
      <c r="B4655" s="39"/>
      <c r="C4655" s="155"/>
      <c r="D4655" s="155"/>
      <c r="E4655" s="40"/>
      <c r="F4655" s="314"/>
      <c r="H4655" s="315"/>
      <c r="I4655" s="315"/>
      <c r="BA4655" s="30"/>
      <c r="BB4655" s="155"/>
      <c r="BC4655" s="314"/>
      <c r="BD4655" s="314"/>
      <c r="BE4655" s="314"/>
      <c r="BF4655" s="314"/>
      <c r="BG4655" s="314"/>
      <c r="BH4655" s="314"/>
      <c r="BI4655" s="314"/>
      <c r="BJ4655" s="314"/>
      <c r="BK4655" s="40"/>
      <c r="BL4655" s="40"/>
      <c r="BM4655" s="40"/>
      <c r="BN4655" s="40"/>
      <c r="BO4655" s="40"/>
      <c r="BP4655" s="155"/>
      <c r="BQ4655" s="314"/>
      <c r="BR4655" s="314"/>
      <c r="BS4655" s="314"/>
      <c r="BT4655" s="314"/>
      <c r="BU4655" s="314"/>
      <c r="BV4655" s="314"/>
      <c r="BW4655" s="314"/>
      <c r="BX4655" s="155"/>
    </row>
    <row r="4656" spans="1:76" ht="15.75" customHeight="1">
      <c r="A4656" s="25"/>
      <c r="B4656" s="39"/>
      <c r="C4656" s="155"/>
      <c r="D4656" s="155"/>
      <c r="E4656" s="40"/>
      <c r="F4656" s="314"/>
      <c r="H4656" s="315"/>
      <c r="I4656" s="315"/>
      <c r="BA4656" s="30"/>
      <c r="BB4656" s="155"/>
      <c r="BC4656" s="314"/>
      <c r="BD4656" s="314"/>
      <c r="BE4656" s="314"/>
      <c r="BF4656" s="314"/>
      <c r="BG4656" s="314"/>
      <c r="BH4656" s="314"/>
      <c r="BI4656" s="314"/>
      <c r="BJ4656" s="314"/>
      <c r="BK4656" s="40"/>
      <c r="BL4656" s="40"/>
      <c r="BM4656" s="40"/>
      <c r="BN4656" s="40"/>
      <c r="BO4656" s="40"/>
      <c r="BP4656" s="155"/>
      <c r="BQ4656" s="314"/>
      <c r="BR4656" s="314"/>
      <c r="BS4656" s="314"/>
      <c r="BT4656" s="314"/>
      <c r="BU4656" s="314"/>
      <c r="BV4656" s="314"/>
      <c r="BW4656" s="314"/>
      <c r="BX4656" s="155"/>
    </row>
    <row r="4657" spans="1:76" ht="15.75" customHeight="1">
      <c r="A4657" s="25"/>
      <c r="B4657" s="39"/>
      <c r="C4657" s="155"/>
      <c r="D4657" s="155"/>
      <c r="E4657" s="40"/>
      <c r="F4657" s="314"/>
      <c r="H4657" s="315"/>
      <c r="I4657" s="315"/>
      <c r="BA4657" s="30"/>
      <c r="BB4657" s="155"/>
      <c r="BC4657" s="314"/>
      <c r="BD4657" s="314"/>
      <c r="BE4657" s="314"/>
      <c r="BF4657" s="314"/>
      <c r="BG4657" s="314"/>
      <c r="BH4657" s="314"/>
      <c r="BI4657" s="314"/>
      <c r="BJ4657" s="314"/>
      <c r="BK4657" s="40"/>
      <c r="BL4657" s="40"/>
      <c r="BM4657" s="40"/>
      <c r="BN4657" s="40"/>
      <c r="BO4657" s="40"/>
      <c r="BP4657" s="155"/>
      <c r="BQ4657" s="314"/>
      <c r="BR4657" s="314"/>
      <c r="BS4657" s="314"/>
      <c r="BT4657" s="314"/>
      <c r="BU4657" s="314"/>
      <c r="BV4657" s="314"/>
      <c r="BW4657" s="314"/>
      <c r="BX4657" s="155"/>
    </row>
    <row r="4658" spans="1:76" ht="15.75" customHeight="1">
      <c r="A4658" s="25"/>
      <c r="B4658" s="39"/>
      <c r="C4658" s="155"/>
      <c r="D4658" s="155"/>
      <c r="E4658" s="40"/>
      <c r="F4658" s="314"/>
      <c r="H4658" s="315"/>
      <c r="I4658" s="315"/>
      <c r="BA4658" s="30"/>
      <c r="BB4658" s="155"/>
      <c r="BC4658" s="322"/>
      <c r="BD4658" s="322"/>
      <c r="BE4658" s="322"/>
      <c r="BF4658" s="322"/>
      <c r="BG4658" s="322"/>
      <c r="BH4658" s="322"/>
      <c r="BI4658" s="322"/>
      <c r="BJ4658" s="322"/>
      <c r="BK4658" s="341"/>
      <c r="BL4658" s="40"/>
      <c r="BM4658" s="40"/>
      <c r="BN4658" s="40"/>
      <c r="BO4658" s="40"/>
      <c r="BP4658" s="155"/>
      <c r="BQ4658" s="314"/>
      <c r="BR4658" s="314"/>
      <c r="BS4658" s="314"/>
      <c r="BT4658" s="314"/>
      <c r="BU4658" s="314"/>
      <c r="BV4658" s="314"/>
      <c r="BW4658" s="314"/>
      <c r="BX4658" s="155"/>
    </row>
    <row r="4659" spans="1:76" ht="15.75" customHeight="1">
      <c r="A4659" s="25"/>
      <c r="B4659" s="39"/>
      <c r="C4659" s="155"/>
      <c r="D4659" s="155"/>
      <c r="E4659" s="40"/>
      <c r="F4659" s="314"/>
      <c r="H4659" s="315"/>
      <c r="I4659" s="315"/>
      <c r="BA4659" s="30"/>
      <c r="BB4659" s="155"/>
      <c r="BC4659" s="314"/>
      <c r="BD4659" s="314"/>
      <c r="BE4659" s="314"/>
      <c r="BF4659" s="314"/>
      <c r="BG4659" s="314"/>
      <c r="BH4659" s="314"/>
      <c r="BI4659" s="314"/>
      <c r="BJ4659" s="314"/>
      <c r="BK4659" s="40"/>
      <c r="BL4659" s="40"/>
      <c r="BM4659" s="40"/>
      <c r="BN4659" s="40"/>
      <c r="BO4659" s="40"/>
      <c r="BP4659" s="155"/>
      <c r="BQ4659" s="314"/>
      <c r="BR4659" s="314"/>
      <c r="BS4659" s="314"/>
      <c r="BT4659" s="314"/>
      <c r="BU4659" s="314"/>
      <c r="BV4659" s="314"/>
      <c r="BW4659" s="314"/>
      <c r="BX4659" s="155"/>
    </row>
    <row r="4660" spans="1:76" ht="15.75" customHeight="1">
      <c r="A4660" s="25"/>
      <c r="B4660" s="39"/>
      <c r="C4660" s="155"/>
      <c r="D4660" s="155"/>
      <c r="E4660" s="40"/>
      <c r="F4660" s="314"/>
      <c r="H4660" s="315"/>
      <c r="I4660" s="315"/>
      <c r="BA4660" s="30"/>
      <c r="BB4660" s="155"/>
      <c r="BC4660" s="314"/>
      <c r="BD4660" s="314"/>
      <c r="BE4660" s="314"/>
      <c r="BF4660" s="314"/>
      <c r="BG4660" s="314"/>
      <c r="BH4660" s="314"/>
      <c r="BI4660" s="314"/>
      <c r="BJ4660" s="314"/>
      <c r="BK4660" s="40"/>
      <c r="BL4660" s="40"/>
      <c r="BM4660" s="40"/>
      <c r="BN4660" s="40"/>
      <c r="BO4660" s="40"/>
      <c r="BP4660" s="155"/>
      <c r="BQ4660" s="314"/>
      <c r="BR4660" s="314"/>
      <c r="BS4660" s="314"/>
      <c r="BT4660" s="314"/>
      <c r="BU4660" s="314"/>
      <c r="BV4660" s="314"/>
      <c r="BW4660" s="314"/>
      <c r="BX4660" s="155"/>
    </row>
    <row r="4661" spans="1:76" ht="15.75" customHeight="1">
      <c r="A4661" s="25"/>
      <c r="B4661" s="39"/>
      <c r="C4661" s="155"/>
      <c r="D4661" s="155"/>
      <c r="E4661" s="40"/>
      <c r="F4661" s="314"/>
      <c r="H4661" s="315"/>
      <c r="I4661" s="315"/>
      <c r="BA4661" s="30"/>
      <c r="BB4661" s="155"/>
      <c r="BC4661" s="314"/>
      <c r="BD4661" s="314"/>
      <c r="BE4661" s="314"/>
      <c r="BF4661" s="314"/>
      <c r="BG4661" s="314"/>
      <c r="BH4661" s="314"/>
      <c r="BI4661" s="314"/>
      <c r="BJ4661" s="314"/>
      <c r="BK4661" s="40"/>
      <c r="BL4661" s="40"/>
      <c r="BM4661" s="40"/>
      <c r="BN4661" s="40"/>
      <c r="BO4661" s="40"/>
      <c r="BP4661" s="155"/>
      <c r="BQ4661" s="314"/>
      <c r="BR4661" s="314"/>
      <c r="BS4661" s="314"/>
      <c r="BT4661" s="314"/>
      <c r="BU4661" s="314"/>
      <c r="BV4661" s="314"/>
      <c r="BW4661" s="314"/>
      <c r="BX4661" s="155"/>
    </row>
    <row r="4662" spans="1:76" ht="15.75" customHeight="1">
      <c r="A4662" s="25"/>
      <c r="B4662" s="39"/>
      <c r="C4662" s="155"/>
      <c r="D4662" s="155"/>
      <c r="E4662" s="40"/>
      <c r="F4662" s="314"/>
      <c r="H4662" s="315"/>
      <c r="I4662" s="315"/>
      <c r="BA4662" s="30"/>
      <c r="BB4662" s="155"/>
      <c r="BC4662" s="314"/>
      <c r="BD4662" s="314"/>
      <c r="BE4662" s="314"/>
      <c r="BF4662" s="314"/>
      <c r="BG4662" s="314"/>
      <c r="BH4662" s="314"/>
      <c r="BI4662" s="314"/>
      <c r="BJ4662" s="314"/>
      <c r="BK4662" s="40"/>
      <c r="BL4662" s="40"/>
      <c r="BM4662" s="40"/>
      <c r="BN4662" s="40"/>
      <c r="BO4662" s="40"/>
      <c r="BP4662" s="155"/>
      <c r="BQ4662" s="314"/>
      <c r="BR4662" s="314"/>
      <c r="BS4662" s="314"/>
      <c r="BT4662" s="314"/>
      <c r="BU4662" s="314"/>
      <c r="BV4662" s="314"/>
      <c r="BW4662" s="314"/>
      <c r="BX4662" s="155"/>
    </row>
    <row r="4663" spans="1:76" ht="15.75" customHeight="1">
      <c r="A4663" s="25"/>
      <c r="B4663" s="39"/>
      <c r="C4663" s="155"/>
      <c r="D4663" s="155"/>
      <c r="E4663" s="40"/>
      <c r="F4663" s="314"/>
      <c r="H4663" s="315"/>
      <c r="I4663" s="315"/>
      <c r="BA4663" s="30"/>
      <c r="BB4663" s="155"/>
      <c r="BC4663" s="314"/>
      <c r="BD4663" s="314"/>
      <c r="BE4663" s="314"/>
      <c r="BF4663" s="314"/>
      <c r="BG4663" s="314"/>
      <c r="BH4663" s="314"/>
      <c r="BI4663" s="314"/>
      <c r="BJ4663" s="314"/>
      <c r="BK4663" s="40"/>
      <c r="BL4663" s="40"/>
      <c r="BM4663" s="40"/>
      <c r="BN4663" s="40"/>
      <c r="BO4663" s="40"/>
      <c r="BP4663" s="155"/>
      <c r="BQ4663" s="314"/>
      <c r="BR4663" s="314"/>
      <c r="BS4663" s="314"/>
      <c r="BT4663" s="314"/>
      <c r="BU4663" s="314"/>
      <c r="BV4663" s="314"/>
      <c r="BW4663" s="314"/>
      <c r="BX4663" s="155"/>
    </row>
    <row r="4664" spans="1:76" ht="15.75" customHeight="1">
      <c r="A4664" s="25"/>
      <c r="B4664" s="39"/>
      <c r="C4664" s="155"/>
      <c r="D4664" s="155"/>
      <c r="E4664" s="40"/>
      <c r="F4664" s="314"/>
      <c r="H4664" s="315"/>
      <c r="I4664" s="315"/>
      <c r="BA4664" s="30"/>
      <c r="BB4664" s="155"/>
      <c r="BC4664" s="314"/>
      <c r="BD4664" s="314"/>
      <c r="BE4664" s="314"/>
      <c r="BF4664" s="314"/>
      <c r="BG4664" s="314"/>
      <c r="BH4664" s="314"/>
      <c r="BI4664" s="314"/>
      <c r="BJ4664" s="314"/>
      <c r="BK4664" s="40"/>
      <c r="BL4664" s="40"/>
      <c r="BM4664" s="40"/>
      <c r="BN4664" s="40"/>
      <c r="BO4664" s="40"/>
      <c r="BP4664" s="155"/>
      <c r="BQ4664" s="314"/>
      <c r="BR4664" s="314"/>
      <c r="BS4664" s="314"/>
      <c r="BT4664" s="314"/>
      <c r="BU4664" s="314"/>
      <c r="BV4664" s="314"/>
      <c r="BW4664" s="314"/>
      <c r="BX4664" s="155"/>
    </row>
    <row r="4665" spans="1:76" ht="15.75" customHeight="1">
      <c r="A4665" s="25"/>
      <c r="B4665" s="39"/>
      <c r="C4665" s="155"/>
      <c r="D4665" s="155"/>
      <c r="E4665" s="40"/>
      <c r="F4665" s="314"/>
      <c r="H4665" s="315"/>
      <c r="I4665" s="315"/>
      <c r="BA4665" s="30"/>
      <c r="BB4665" s="155"/>
      <c r="BC4665" s="314"/>
      <c r="BD4665" s="314"/>
      <c r="BE4665" s="314"/>
      <c r="BF4665" s="314"/>
      <c r="BG4665" s="314"/>
      <c r="BH4665" s="314"/>
      <c r="BI4665" s="314"/>
      <c r="BJ4665" s="314"/>
      <c r="BK4665" s="40"/>
      <c r="BL4665" s="40"/>
      <c r="BM4665" s="40"/>
      <c r="BN4665" s="40"/>
      <c r="BO4665" s="40"/>
      <c r="BP4665" s="155"/>
      <c r="BQ4665" s="314"/>
      <c r="BR4665" s="314"/>
      <c r="BS4665" s="314"/>
      <c r="BT4665" s="314"/>
      <c r="BU4665" s="314"/>
      <c r="BV4665" s="314"/>
      <c r="BW4665" s="314"/>
      <c r="BX4665" s="155"/>
    </row>
    <row r="4666" spans="1:76" ht="15.75" customHeight="1">
      <c r="A4666" s="25"/>
      <c r="B4666" s="39"/>
      <c r="C4666" s="155"/>
      <c r="D4666" s="155"/>
      <c r="E4666" s="40"/>
      <c r="F4666" s="314"/>
      <c r="H4666" s="315"/>
      <c r="I4666" s="315"/>
      <c r="BA4666" s="30"/>
      <c r="BB4666" s="155"/>
      <c r="BC4666" s="314"/>
      <c r="BD4666" s="314"/>
      <c r="BE4666" s="314"/>
      <c r="BF4666" s="314"/>
      <c r="BG4666" s="314"/>
      <c r="BH4666" s="314"/>
      <c r="BI4666" s="314"/>
      <c r="BJ4666" s="314"/>
      <c r="BK4666" s="40"/>
      <c r="BL4666" s="40"/>
      <c r="BM4666" s="40"/>
      <c r="BN4666" s="40"/>
      <c r="BO4666" s="40"/>
      <c r="BP4666" s="155"/>
      <c r="BQ4666" s="314"/>
      <c r="BR4666" s="314"/>
      <c r="BS4666" s="314"/>
      <c r="BT4666" s="314"/>
      <c r="BU4666" s="314"/>
      <c r="BV4666" s="314"/>
      <c r="BW4666" s="314"/>
      <c r="BX4666" s="155"/>
    </row>
    <row r="4667" spans="1:76" ht="15.75" customHeight="1">
      <c r="A4667" s="25"/>
      <c r="B4667" s="39"/>
      <c r="C4667" s="155"/>
      <c r="D4667" s="155"/>
      <c r="E4667" s="40"/>
      <c r="F4667" s="314"/>
      <c r="H4667" s="315"/>
      <c r="I4667" s="315"/>
      <c r="BA4667" s="30"/>
      <c r="BB4667" s="155"/>
      <c r="BC4667" s="314"/>
      <c r="BD4667" s="314"/>
      <c r="BE4667" s="314"/>
      <c r="BF4667" s="314"/>
      <c r="BG4667" s="314"/>
      <c r="BH4667" s="314"/>
      <c r="BI4667" s="314"/>
      <c r="BJ4667" s="314"/>
      <c r="BK4667" s="40"/>
      <c r="BL4667" s="40"/>
      <c r="BM4667" s="40"/>
      <c r="BN4667" s="40"/>
      <c r="BO4667" s="40"/>
      <c r="BP4667" s="155"/>
      <c r="BQ4667" s="314"/>
      <c r="BR4667" s="314"/>
      <c r="BS4667" s="314"/>
      <c r="BT4667" s="314"/>
      <c r="BU4667" s="314"/>
      <c r="BV4667" s="314"/>
      <c r="BW4667" s="314"/>
      <c r="BX4667" s="155"/>
    </row>
    <row r="4668" spans="1:76" ht="15.75" customHeight="1">
      <c r="A4668" s="25"/>
      <c r="B4668" s="39"/>
      <c r="C4668" s="155"/>
      <c r="D4668" s="155"/>
      <c r="E4668" s="40"/>
      <c r="F4668" s="314"/>
      <c r="H4668" s="315"/>
      <c r="I4668" s="315"/>
      <c r="BA4668" s="30"/>
      <c r="BB4668" s="155"/>
      <c r="BC4668" s="314"/>
      <c r="BD4668" s="314"/>
      <c r="BE4668" s="314"/>
      <c r="BF4668" s="314"/>
      <c r="BG4668" s="314"/>
      <c r="BH4668" s="314"/>
      <c r="BI4668" s="314"/>
      <c r="BJ4668" s="314"/>
      <c r="BK4668" s="40"/>
      <c r="BL4668" s="40"/>
      <c r="BM4668" s="40"/>
      <c r="BN4668" s="40"/>
      <c r="BO4668" s="40"/>
      <c r="BP4668" s="155"/>
      <c r="BQ4668" s="314"/>
      <c r="BR4668" s="314"/>
      <c r="BS4668" s="314"/>
      <c r="BT4668" s="314"/>
      <c r="BU4668" s="314"/>
      <c r="BV4668" s="314"/>
      <c r="BW4668" s="314"/>
      <c r="BX4668" s="155"/>
    </row>
    <row r="4669" spans="1:76" ht="15.75" customHeight="1">
      <c r="A4669" s="25"/>
      <c r="B4669" s="39"/>
      <c r="C4669" s="155"/>
      <c r="D4669" s="155"/>
      <c r="E4669" s="40"/>
      <c r="F4669" s="314"/>
      <c r="H4669" s="315"/>
      <c r="I4669" s="315"/>
      <c r="BA4669" s="30"/>
      <c r="BB4669" s="155"/>
      <c r="BC4669" s="314"/>
      <c r="BD4669" s="314"/>
      <c r="BE4669" s="314"/>
      <c r="BF4669" s="314"/>
      <c r="BG4669" s="314"/>
      <c r="BH4669" s="314"/>
      <c r="BI4669" s="314"/>
      <c r="BJ4669" s="314"/>
      <c r="BK4669" s="40"/>
      <c r="BL4669" s="40"/>
      <c r="BM4669" s="40"/>
      <c r="BN4669" s="40"/>
      <c r="BO4669" s="40"/>
      <c r="BP4669" s="155"/>
      <c r="BQ4669" s="314"/>
      <c r="BR4669" s="314"/>
      <c r="BS4669" s="314"/>
      <c r="BT4669" s="314"/>
      <c r="BU4669" s="314"/>
      <c r="BV4669" s="314"/>
      <c r="BW4669" s="314"/>
      <c r="BX4669" s="155"/>
    </row>
    <row r="4670" spans="1:76" ht="15.75" customHeight="1">
      <c r="A4670" s="25"/>
      <c r="B4670" s="39"/>
      <c r="C4670" s="155"/>
      <c r="D4670" s="155"/>
      <c r="E4670" s="40"/>
      <c r="F4670" s="314"/>
      <c r="H4670" s="315"/>
      <c r="I4670" s="315"/>
      <c r="BA4670" s="30"/>
      <c r="BB4670" s="155"/>
      <c r="BC4670" s="314"/>
      <c r="BD4670" s="314"/>
      <c r="BE4670" s="314"/>
      <c r="BF4670" s="314"/>
      <c r="BG4670" s="314"/>
      <c r="BH4670" s="314"/>
      <c r="BI4670" s="314"/>
      <c r="BJ4670" s="314"/>
      <c r="BK4670" s="40"/>
      <c r="BL4670" s="40"/>
      <c r="BM4670" s="40"/>
      <c r="BN4670" s="40"/>
      <c r="BO4670" s="40"/>
      <c r="BP4670" s="155"/>
      <c r="BQ4670" s="314"/>
      <c r="BR4670" s="314"/>
      <c r="BS4670" s="314"/>
      <c r="BT4670" s="314"/>
      <c r="BU4670" s="314"/>
      <c r="BV4670" s="314"/>
      <c r="BW4670" s="314"/>
      <c r="BX4670" s="155"/>
    </row>
    <row r="4671" spans="1:76" ht="15.75" customHeight="1">
      <c r="A4671" s="25"/>
      <c r="B4671" s="39"/>
      <c r="C4671" s="155"/>
      <c r="D4671" s="155"/>
      <c r="E4671" s="40"/>
      <c r="F4671" s="314"/>
      <c r="H4671" s="315"/>
      <c r="I4671" s="315"/>
      <c r="BA4671" s="30"/>
      <c r="BB4671" s="155"/>
      <c r="BC4671" s="314"/>
      <c r="BD4671" s="314"/>
      <c r="BE4671" s="314"/>
      <c r="BF4671" s="314"/>
      <c r="BG4671" s="314"/>
      <c r="BH4671" s="314"/>
      <c r="BI4671" s="314"/>
      <c r="BJ4671" s="314"/>
      <c r="BK4671" s="40"/>
      <c r="BL4671" s="40"/>
      <c r="BM4671" s="40"/>
      <c r="BN4671" s="40"/>
      <c r="BO4671" s="40"/>
      <c r="BP4671" s="155"/>
      <c r="BQ4671" s="314"/>
      <c r="BR4671" s="314"/>
      <c r="BS4671" s="314"/>
      <c r="BT4671" s="314"/>
      <c r="BU4671" s="314"/>
      <c r="BV4671" s="314"/>
      <c r="BW4671" s="314"/>
      <c r="BX4671" s="155"/>
    </row>
    <row r="4672" spans="1:76" ht="15.75" customHeight="1">
      <c r="A4672" s="25"/>
      <c r="B4672" s="39"/>
      <c r="C4672" s="155"/>
      <c r="D4672" s="155"/>
      <c r="E4672" s="40"/>
      <c r="F4672" s="314"/>
      <c r="H4672" s="315"/>
      <c r="I4672" s="315"/>
      <c r="BA4672" s="30"/>
      <c r="BB4672" s="155"/>
      <c r="BC4672" s="314"/>
      <c r="BD4672" s="314"/>
      <c r="BE4672" s="314"/>
      <c r="BF4672" s="314"/>
      <c r="BG4672" s="314"/>
      <c r="BH4672" s="314"/>
      <c r="BI4672" s="314"/>
      <c r="BJ4672" s="314"/>
      <c r="BK4672" s="40"/>
      <c r="BL4672" s="40"/>
      <c r="BM4672" s="40"/>
      <c r="BN4672" s="40"/>
      <c r="BO4672" s="40"/>
      <c r="BP4672" s="155"/>
      <c r="BQ4672" s="314"/>
      <c r="BR4672" s="314"/>
      <c r="BS4672" s="314"/>
      <c r="BT4672" s="314"/>
      <c r="BU4672" s="314"/>
      <c r="BV4672" s="314"/>
      <c r="BW4672" s="314"/>
      <c r="BX4672" s="155"/>
    </row>
    <row r="4673" spans="1:76" ht="15.75" customHeight="1">
      <c r="A4673" s="25"/>
      <c r="B4673" s="39"/>
      <c r="C4673" s="155"/>
      <c r="D4673" s="155"/>
      <c r="E4673" s="40"/>
      <c r="F4673" s="314"/>
      <c r="H4673" s="315"/>
      <c r="I4673" s="315"/>
      <c r="BA4673" s="30"/>
      <c r="BB4673" s="155"/>
      <c r="BC4673" s="314"/>
      <c r="BD4673" s="314"/>
      <c r="BE4673" s="314"/>
      <c r="BF4673" s="314"/>
      <c r="BG4673" s="314"/>
      <c r="BH4673" s="314"/>
      <c r="BI4673" s="314"/>
      <c r="BJ4673" s="314"/>
      <c r="BK4673" s="40"/>
      <c r="BL4673" s="40"/>
      <c r="BM4673" s="40"/>
      <c r="BN4673" s="40"/>
      <c r="BO4673" s="40"/>
      <c r="BP4673" s="155"/>
      <c r="BQ4673" s="314"/>
      <c r="BR4673" s="314"/>
      <c r="BS4673" s="314"/>
      <c r="BT4673" s="314"/>
      <c r="BU4673" s="314"/>
      <c r="BV4673" s="314"/>
      <c r="BW4673" s="314"/>
      <c r="BX4673" s="155"/>
    </row>
    <row r="4674" spans="1:76" ht="15.75" customHeight="1">
      <c r="A4674" s="25"/>
      <c r="B4674" s="39"/>
      <c r="C4674" s="155"/>
      <c r="D4674" s="155"/>
      <c r="E4674" s="40"/>
      <c r="F4674" s="314"/>
      <c r="H4674" s="315"/>
      <c r="I4674" s="315"/>
      <c r="BA4674" s="30"/>
      <c r="BB4674" s="155"/>
      <c r="BC4674" s="314"/>
      <c r="BD4674" s="314"/>
      <c r="BE4674" s="314"/>
      <c r="BF4674" s="314"/>
      <c r="BG4674" s="314"/>
      <c r="BH4674" s="314"/>
      <c r="BI4674" s="314"/>
      <c r="BJ4674" s="314"/>
      <c r="BK4674" s="40"/>
      <c r="BL4674" s="40"/>
      <c r="BM4674" s="40"/>
      <c r="BN4674" s="40"/>
      <c r="BO4674" s="40"/>
      <c r="BP4674" s="155"/>
      <c r="BQ4674" s="314"/>
      <c r="BR4674" s="314"/>
      <c r="BS4674" s="314"/>
      <c r="BT4674" s="314"/>
      <c r="BU4674" s="314"/>
      <c r="BV4674" s="314"/>
      <c r="BW4674" s="314"/>
      <c r="BX4674" s="155"/>
    </row>
    <row r="4675" spans="1:76" ht="15.75" customHeight="1">
      <c r="A4675" s="25"/>
      <c r="B4675" s="39"/>
      <c r="C4675" s="155"/>
      <c r="D4675" s="155"/>
      <c r="E4675" s="40"/>
      <c r="F4675" s="314"/>
      <c r="H4675" s="315"/>
      <c r="I4675" s="315"/>
      <c r="BA4675" s="30"/>
      <c r="BB4675" s="155"/>
      <c r="BC4675" s="314"/>
      <c r="BD4675" s="314"/>
      <c r="BE4675" s="314"/>
      <c r="BF4675" s="314"/>
      <c r="BG4675" s="314"/>
      <c r="BH4675" s="314"/>
      <c r="BI4675" s="314"/>
      <c r="BJ4675" s="314"/>
      <c r="BK4675" s="40"/>
      <c r="BL4675" s="40"/>
      <c r="BM4675" s="40"/>
      <c r="BN4675" s="40"/>
      <c r="BO4675" s="40"/>
      <c r="BP4675" s="155"/>
      <c r="BQ4675" s="314"/>
      <c r="BR4675" s="314"/>
      <c r="BS4675" s="314"/>
      <c r="BT4675" s="314"/>
      <c r="BU4675" s="314"/>
      <c r="BV4675" s="314"/>
      <c r="BW4675" s="314"/>
      <c r="BX4675" s="155"/>
    </row>
    <row r="4676" spans="1:76" ht="15.75" customHeight="1">
      <c r="A4676" s="25"/>
      <c r="B4676" s="39"/>
      <c r="C4676" s="155"/>
      <c r="D4676" s="155"/>
      <c r="E4676" s="40"/>
      <c r="F4676" s="314"/>
      <c r="H4676" s="315"/>
      <c r="I4676" s="315"/>
      <c r="BA4676" s="30"/>
      <c r="BB4676" s="155"/>
      <c r="BC4676" s="322"/>
      <c r="BD4676" s="322"/>
      <c r="BE4676" s="322"/>
      <c r="BF4676" s="322"/>
      <c r="BG4676" s="322"/>
      <c r="BH4676" s="322"/>
      <c r="BI4676" s="322"/>
      <c r="BJ4676" s="322"/>
      <c r="BK4676" s="341"/>
      <c r="BL4676" s="40"/>
      <c r="BM4676" s="40"/>
      <c r="BN4676" s="40"/>
      <c r="BO4676" s="40"/>
      <c r="BP4676" s="155"/>
      <c r="BQ4676" s="314"/>
      <c r="BR4676" s="314"/>
      <c r="BS4676" s="314"/>
      <c r="BT4676" s="314"/>
      <c r="BU4676" s="314"/>
      <c r="BV4676" s="314"/>
      <c r="BW4676" s="314"/>
      <c r="BX4676" s="155"/>
    </row>
    <row r="4677" spans="1:76" ht="15.75" customHeight="1">
      <c r="A4677" s="25"/>
      <c r="B4677" s="39"/>
      <c r="C4677" s="155"/>
      <c r="D4677" s="155"/>
      <c r="E4677" s="40"/>
      <c r="F4677" s="314"/>
      <c r="H4677" s="315"/>
      <c r="I4677" s="315"/>
      <c r="BA4677" s="30"/>
      <c r="BB4677" s="155"/>
      <c r="BC4677" s="314"/>
      <c r="BD4677" s="314"/>
      <c r="BE4677" s="314"/>
      <c r="BF4677" s="314"/>
      <c r="BG4677" s="314"/>
      <c r="BH4677" s="314"/>
      <c r="BI4677" s="314"/>
      <c r="BJ4677" s="314"/>
      <c r="BK4677" s="40"/>
      <c r="BL4677" s="40"/>
      <c r="BM4677" s="40"/>
      <c r="BN4677" s="40"/>
      <c r="BO4677" s="40"/>
      <c r="BP4677" s="155"/>
      <c r="BQ4677" s="314"/>
      <c r="BR4677" s="314"/>
      <c r="BS4677" s="314"/>
      <c r="BT4677" s="314"/>
      <c r="BU4677" s="314"/>
      <c r="BV4677" s="314"/>
      <c r="BW4677" s="314"/>
      <c r="BX4677" s="155"/>
    </row>
    <row r="4678" spans="1:76" ht="15.75" customHeight="1">
      <c r="A4678" s="25"/>
      <c r="B4678" s="39"/>
      <c r="C4678" s="155"/>
      <c r="D4678" s="155"/>
      <c r="E4678" s="40"/>
      <c r="F4678" s="314"/>
      <c r="H4678" s="315"/>
      <c r="I4678" s="315"/>
      <c r="BA4678" s="30"/>
      <c r="BB4678" s="155"/>
      <c r="BC4678" s="314"/>
      <c r="BD4678" s="314"/>
      <c r="BE4678" s="314"/>
      <c r="BF4678" s="314"/>
      <c r="BG4678" s="314"/>
      <c r="BH4678" s="314"/>
      <c r="BI4678" s="314"/>
      <c r="BJ4678" s="314"/>
      <c r="BK4678" s="40"/>
      <c r="BL4678" s="40"/>
      <c r="BM4678" s="40"/>
      <c r="BN4678" s="40"/>
      <c r="BO4678" s="40"/>
      <c r="BP4678" s="155"/>
      <c r="BQ4678" s="314"/>
      <c r="BR4678" s="314"/>
      <c r="BS4678" s="314"/>
      <c r="BT4678" s="314"/>
      <c r="BU4678" s="314"/>
      <c r="BV4678" s="314"/>
      <c r="BW4678" s="314"/>
      <c r="BX4678" s="155"/>
    </row>
    <row r="4679" spans="1:76" ht="15.75" customHeight="1">
      <c r="A4679" s="25"/>
      <c r="B4679" s="39"/>
      <c r="C4679" s="155"/>
      <c r="D4679" s="155"/>
      <c r="E4679" s="40"/>
      <c r="F4679" s="314"/>
      <c r="H4679" s="315"/>
      <c r="I4679" s="315"/>
      <c r="BA4679" s="30"/>
      <c r="BB4679" s="155"/>
      <c r="BC4679" s="314"/>
      <c r="BD4679" s="314"/>
      <c r="BE4679" s="314"/>
      <c r="BF4679" s="314"/>
      <c r="BG4679" s="314"/>
      <c r="BH4679" s="314"/>
      <c r="BI4679" s="314"/>
      <c r="BJ4679" s="314"/>
      <c r="BK4679" s="40"/>
      <c r="BL4679" s="40"/>
      <c r="BM4679" s="40"/>
      <c r="BN4679" s="40"/>
      <c r="BO4679" s="40"/>
      <c r="BP4679" s="155"/>
      <c r="BQ4679" s="314"/>
      <c r="BR4679" s="314"/>
      <c r="BS4679" s="314"/>
      <c r="BT4679" s="314"/>
      <c r="BU4679" s="314"/>
      <c r="BV4679" s="314"/>
      <c r="BW4679" s="314"/>
      <c r="BX4679" s="155"/>
    </row>
    <row r="4680" spans="1:76" ht="15.75" customHeight="1">
      <c r="A4680" s="25"/>
      <c r="B4680" s="39"/>
      <c r="C4680" s="155"/>
      <c r="D4680" s="155"/>
      <c r="E4680" s="40"/>
      <c r="F4680" s="314"/>
      <c r="H4680" s="315"/>
      <c r="I4680" s="315"/>
      <c r="BA4680" s="30"/>
      <c r="BB4680" s="155"/>
      <c r="BC4680" s="314"/>
      <c r="BD4680" s="314"/>
      <c r="BE4680" s="314"/>
      <c r="BF4680" s="314"/>
      <c r="BG4680" s="314"/>
      <c r="BH4680" s="314"/>
      <c r="BI4680" s="314"/>
      <c r="BJ4680" s="314"/>
      <c r="BK4680" s="40"/>
      <c r="BL4680" s="40"/>
      <c r="BM4680" s="40"/>
      <c r="BN4680" s="40"/>
      <c r="BO4680" s="40"/>
      <c r="BP4680" s="155"/>
      <c r="BQ4680" s="314"/>
      <c r="BR4680" s="314"/>
      <c r="BS4680" s="314"/>
      <c r="BT4680" s="314"/>
      <c r="BU4680" s="314"/>
      <c r="BV4680" s="314"/>
      <c r="BW4680" s="314"/>
      <c r="BX4680" s="155"/>
    </row>
    <row r="4681" spans="1:76" ht="15.75" customHeight="1">
      <c r="A4681" s="25"/>
      <c r="B4681" s="39"/>
      <c r="C4681" s="155"/>
      <c r="D4681" s="155"/>
      <c r="E4681" s="40"/>
      <c r="F4681" s="314"/>
      <c r="H4681" s="315"/>
      <c r="I4681" s="315"/>
      <c r="BA4681" s="30"/>
      <c r="BB4681" s="155"/>
      <c r="BC4681" s="314"/>
      <c r="BD4681" s="314"/>
      <c r="BE4681" s="314"/>
      <c r="BF4681" s="314"/>
      <c r="BG4681" s="314"/>
      <c r="BH4681" s="314"/>
      <c r="BI4681" s="314"/>
      <c r="BJ4681" s="314"/>
      <c r="BK4681" s="40"/>
      <c r="BL4681" s="40"/>
      <c r="BM4681" s="40"/>
      <c r="BN4681" s="40"/>
      <c r="BO4681" s="40"/>
      <c r="BP4681" s="155"/>
      <c r="BQ4681" s="314"/>
      <c r="BR4681" s="314"/>
      <c r="BS4681" s="314"/>
      <c r="BT4681" s="314"/>
      <c r="BU4681" s="314"/>
      <c r="BV4681" s="314"/>
      <c r="BW4681" s="314"/>
      <c r="BX4681" s="155"/>
    </row>
    <row r="4682" spans="1:76" ht="15.75" customHeight="1">
      <c r="A4682" s="25"/>
      <c r="B4682" s="39"/>
      <c r="C4682" s="155"/>
      <c r="D4682" s="155"/>
      <c r="E4682" s="40"/>
      <c r="F4682" s="314"/>
      <c r="H4682" s="315"/>
      <c r="I4682" s="315"/>
      <c r="BA4682" s="30"/>
      <c r="BB4682" s="155"/>
      <c r="BC4682" s="314"/>
      <c r="BD4682" s="314"/>
      <c r="BE4682" s="314"/>
      <c r="BF4682" s="314"/>
      <c r="BG4682" s="314"/>
      <c r="BH4682" s="314"/>
      <c r="BI4682" s="314"/>
      <c r="BJ4682" s="314"/>
      <c r="BK4682" s="40"/>
      <c r="BL4682" s="40"/>
      <c r="BM4682" s="40"/>
      <c r="BN4682" s="40"/>
      <c r="BO4682" s="40"/>
      <c r="BP4682" s="155"/>
      <c r="BQ4682" s="314"/>
      <c r="BR4682" s="314"/>
      <c r="BS4682" s="314"/>
      <c r="BT4682" s="314"/>
      <c r="BU4682" s="314"/>
      <c r="BV4682" s="314"/>
      <c r="BW4682" s="314"/>
      <c r="BX4682" s="155"/>
    </row>
    <row r="4683" spans="1:76" ht="15.75" customHeight="1">
      <c r="A4683" s="25"/>
      <c r="B4683" s="39"/>
      <c r="C4683" s="155"/>
      <c r="D4683" s="155"/>
      <c r="E4683" s="40"/>
      <c r="F4683" s="314"/>
      <c r="H4683" s="315"/>
      <c r="I4683" s="315"/>
      <c r="BA4683" s="30"/>
      <c r="BB4683" s="155"/>
      <c r="BC4683" s="314"/>
      <c r="BD4683" s="314"/>
      <c r="BE4683" s="314"/>
      <c r="BF4683" s="314"/>
      <c r="BG4683" s="314"/>
      <c r="BH4683" s="314"/>
      <c r="BI4683" s="314"/>
      <c r="BJ4683" s="314"/>
      <c r="BK4683" s="40"/>
      <c r="BL4683" s="40"/>
      <c r="BM4683" s="40"/>
      <c r="BN4683" s="40"/>
      <c r="BO4683" s="40"/>
      <c r="BP4683" s="155"/>
      <c r="BQ4683" s="314"/>
      <c r="BR4683" s="314"/>
      <c r="BS4683" s="314"/>
      <c r="BT4683" s="314"/>
      <c r="BU4683" s="314"/>
      <c r="BV4683" s="314"/>
      <c r="BW4683" s="314"/>
      <c r="BX4683" s="155"/>
    </row>
    <row r="4684" spans="1:76" ht="15.75" customHeight="1">
      <c r="A4684" s="25"/>
      <c r="B4684" s="39"/>
      <c r="C4684" s="155"/>
      <c r="D4684" s="155"/>
      <c r="E4684" s="40"/>
      <c r="F4684" s="314"/>
      <c r="H4684" s="315"/>
      <c r="I4684" s="315"/>
      <c r="BA4684" s="30"/>
      <c r="BB4684" s="155"/>
      <c r="BC4684" s="314"/>
      <c r="BD4684" s="314"/>
      <c r="BE4684" s="314"/>
      <c r="BF4684" s="314"/>
      <c r="BG4684" s="314"/>
      <c r="BH4684" s="314"/>
      <c r="BI4684" s="314"/>
      <c r="BJ4684" s="314"/>
      <c r="BK4684" s="40"/>
      <c r="BL4684" s="40"/>
      <c r="BM4684" s="40"/>
      <c r="BN4684" s="40"/>
      <c r="BO4684" s="40"/>
      <c r="BP4684" s="155"/>
      <c r="BQ4684" s="314"/>
      <c r="BR4684" s="314"/>
      <c r="BS4684" s="314"/>
      <c r="BT4684" s="314"/>
      <c r="BU4684" s="314"/>
      <c r="BV4684" s="314"/>
      <c r="BW4684" s="314"/>
      <c r="BX4684" s="155"/>
    </row>
    <row r="4685" spans="1:76" ht="15.75" customHeight="1">
      <c r="A4685" s="25"/>
      <c r="B4685" s="39"/>
      <c r="C4685" s="155"/>
      <c r="D4685" s="155"/>
      <c r="E4685" s="40"/>
      <c r="F4685" s="314"/>
      <c r="H4685" s="315"/>
      <c r="I4685" s="315"/>
      <c r="BA4685" s="30"/>
      <c r="BB4685" s="155"/>
      <c r="BC4685" s="314"/>
      <c r="BD4685" s="314"/>
      <c r="BE4685" s="314"/>
      <c r="BF4685" s="314"/>
      <c r="BG4685" s="314"/>
      <c r="BH4685" s="314"/>
      <c r="BI4685" s="314"/>
      <c r="BJ4685" s="314"/>
      <c r="BK4685" s="40"/>
      <c r="BL4685" s="40"/>
      <c r="BM4685" s="40"/>
      <c r="BN4685" s="40"/>
      <c r="BO4685" s="40"/>
      <c r="BP4685" s="155"/>
      <c r="BQ4685" s="314"/>
      <c r="BR4685" s="314"/>
      <c r="BS4685" s="314"/>
      <c r="BT4685" s="314"/>
      <c r="BU4685" s="314"/>
      <c r="BV4685" s="314"/>
      <c r="BW4685" s="314"/>
      <c r="BX4685" s="155"/>
    </row>
    <row r="4686" spans="1:76" ht="15.75" customHeight="1">
      <c r="A4686" s="25"/>
      <c r="B4686" s="39"/>
      <c r="C4686" s="155"/>
      <c r="D4686" s="155"/>
      <c r="E4686" s="40"/>
      <c r="F4686" s="314"/>
      <c r="H4686" s="315"/>
      <c r="I4686" s="315"/>
      <c r="BA4686" s="30"/>
      <c r="BB4686" s="155"/>
      <c r="BC4686" s="314"/>
      <c r="BD4686" s="314"/>
      <c r="BE4686" s="314"/>
      <c r="BF4686" s="314"/>
      <c r="BG4686" s="314"/>
      <c r="BH4686" s="314"/>
      <c r="BI4686" s="314"/>
      <c r="BJ4686" s="314"/>
      <c r="BK4686" s="40"/>
      <c r="BL4686" s="40"/>
      <c r="BM4686" s="40"/>
      <c r="BN4686" s="40"/>
      <c r="BO4686" s="40"/>
      <c r="BP4686" s="155"/>
      <c r="BQ4686" s="314"/>
      <c r="BR4686" s="314"/>
      <c r="BS4686" s="314"/>
      <c r="BT4686" s="314"/>
      <c r="BU4686" s="314"/>
      <c r="BV4686" s="314"/>
      <c r="BW4686" s="314"/>
      <c r="BX4686" s="155"/>
    </row>
    <row r="4687" spans="1:76" ht="15.75" customHeight="1">
      <c r="A4687" s="25"/>
      <c r="B4687" s="39"/>
      <c r="C4687" s="155"/>
      <c r="D4687" s="155"/>
      <c r="E4687" s="40"/>
      <c r="F4687" s="314"/>
      <c r="H4687" s="315"/>
      <c r="I4687" s="315"/>
      <c r="BA4687" s="30"/>
      <c r="BB4687" s="155"/>
      <c r="BC4687" s="314"/>
      <c r="BD4687" s="314"/>
      <c r="BE4687" s="314"/>
      <c r="BF4687" s="314"/>
      <c r="BG4687" s="314"/>
      <c r="BH4687" s="314"/>
      <c r="BI4687" s="314"/>
      <c r="BJ4687" s="314"/>
      <c r="BK4687" s="40"/>
      <c r="BL4687" s="40"/>
      <c r="BM4687" s="40"/>
      <c r="BN4687" s="40"/>
      <c r="BO4687" s="40"/>
      <c r="BP4687" s="155"/>
      <c r="BQ4687" s="314"/>
      <c r="BR4687" s="314"/>
      <c r="BS4687" s="314"/>
      <c r="BT4687" s="314"/>
      <c r="BU4687" s="314"/>
      <c r="BV4687" s="314"/>
      <c r="BW4687" s="314"/>
      <c r="BX4687" s="155"/>
    </row>
    <row r="4688" spans="1:76" ht="15.75" customHeight="1">
      <c r="A4688" s="25"/>
      <c r="B4688" s="39"/>
      <c r="C4688" s="155"/>
      <c r="D4688" s="155"/>
      <c r="E4688" s="40"/>
      <c r="F4688" s="314"/>
      <c r="H4688" s="315"/>
      <c r="I4688" s="315"/>
      <c r="BA4688" s="30"/>
      <c r="BB4688" s="155"/>
      <c r="BC4688" s="314"/>
      <c r="BD4688" s="314"/>
      <c r="BE4688" s="314"/>
      <c r="BF4688" s="314"/>
      <c r="BG4688" s="314"/>
      <c r="BH4688" s="314"/>
      <c r="BI4688" s="314"/>
      <c r="BJ4688" s="314"/>
      <c r="BK4688" s="40"/>
      <c r="BL4688" s="40"/>
      <c r="BM4688" s="40"/>
      <c r="BN4688" s="40"/>
      <c r="BO4688" s="40"/>
      <c r="BP4688" s="155"/>
      <c r="BQ4688" s="314"/>
      <c r="BR4688" s="314"/>
      <c r="BS4688" s="314"/>
      <c r="BT4688" s="314"/>
      <c r="BU4688" s="314"/>
      <c r="BV4688" s="314"/>
      <c r="BW4688" s="314"/>
      <c r="BX4688" s="155"/>
    </row>
    <row r="4689" spans="1:76" ht="15.75" customHeight="1">
      <c r="A4689" s="25"/>
      <c r="B4689" s="39"/>
      <c r="C4689" s="155"/>
      <c r="D4689" s="155"/>
      <c r="E4689" s="40"/>
      <c r="F4689" s="314"/>
      <c r="H4689" s="315"/>
      <c r="I4689" s="315"/>
      <c r="BA4689" s="30"/>
      <c r="BB4689" s="155"/>
      <c r="BC4689" s="314"/>
      <c r="BD4689" s="314"/>
      <c r="BE4689" s="314"/>
      <c r="BF4689" s="314"/>
      <c r="BG4689" s="314"/>
      <c r="BH4689" s="314"/>
      <c r="BI4689" s="314"/>
      <c r="BJ4689" s="314"/>
      <c r="BK4689" s="40"/>
      <c r="BL4689" s="40"/>
      <c r="BM4689" s="40"/>
      <c r="BN4689" s="40"/>
      <c r="BO4689" s="40"/>
      <c r="BP4689" s="155"/>
      <c r="BQ4689" s="314"/>
      <c r="BR4689" s="314"/>
      <c r="BS4689" s="314"/>
      <c r="BT4689" s="314"/>
      <c r="BU4689" s="314"/>
      <c r="BV4689" s="314"/>
      <c r="BW4689" s="314"/>
      <c r="BX4689" s="155"/>
    </row>
    <row r="4690" spans="1:76" ht="15.75" customHeight="1">
      <c r="A4690" s="25"/>
      <c r="B4690" s="39"/>
      <c r="C4690" s="155"/>
      <c r="D4690" s="155"/>
      <c r="E4690" s="40"/>
      <c r="F4690" s="314"/>
      <c r="H4690" s="315"/>
      <c r="I4690" s="315"/>
      <c r="BA4690" s="30"/>
      <c r="BB4690" s="155"/>
      <c r="BC4690" s="314"/>
      <c r="BD4690" s="314"/>
      <c r="BE4690" s="314"/>
      <c r="BF4690" s="314"/>
      <c r="BG4690" s="314"/>
      <c r="BH4690" s="314"/>
      <c r="BI4690" s="314"/>
      <c r="BJ4690" s="314"/>
      <c r="BK4690" s="40"/>
      <c r="BL4690" s="40"/>
      <c r="BM4690" s="40"/>
      <c r="BN4690" s="40"/>
      <c r="BO4690" s="40"/>
      <c r="BP4690" s="155"/>
      <c r="BQ4690" s="314"/>
      <c r="BR4690" s="314"/>
      <c r="BS4690" s="314"/>
      <c r="BT4690" s="314"/>
      <c r="BU4690" s="314"/>
      <c r="BV4690" s="314"/>
      <c r="BW4690" s="314"/>
      <c r="BX4690" s="155"/>
    </row>
    <row r="4691" spans="1:76" ht="15.75" customHeight="1">
      <c r="A4691" s="25"/>
      <c r="B4691" s="39"/>
      <c r="C4691" s="155"/>
      <c r="D4691" s="155"/>
      <c r="E4691" s="40"/>
      <c r="F4691" s="314"/>
      <c r="H4691" s="315"/>
      <c r="I4691" s="315"/>
      <c r="BA4691" s="30"/>
      <c r="BB4691" s="155"/>
      <c r="BC4691" s="314"/>
      <c r="BD4691" s="314"/>
      <c r="BE4691" s="314"/>
      <c r="BF4691" s="314"/>
      <c r="BG4691" s="314"/>
      <c r="BH4691" s="314"/>
      <c r="BI4691" s="314"/>
      <c r="BJ4691" s="314"/>
      <c r="BK4691" s="40"/>
      <c r="BL4691" s="40"/>
      <c r="BM4691" s="40"/>
      <c r="BN4691" s="40"/>
      <c r="BO4691" s="40"/>
      <c r="BP4691" s="155"/>
      <c r="BQ4691" s="314"/>
      <c r="BR4691" s="314"/>
      <c r="BS4691" s="314"/>
      <c r="BT4691" s="314"/>
      <c r="BU4691" s="314"/>
      <c r="BV4691" s="314"/>
      <c r="BW4691" s="314"/>
      <c r="BX4691" s="155"/>
    </row>
    <row r="4692" spans="1:76" ht="15.75" customHeight="1">
      <c r="A4692" s="25"/>
      <c r="B4692" s="39"/>
      <c r="C4692" s="155"/>
      <c r="D4692" s="155"/>
      <c r="E4692" s="40"/>
      <c r="F4692" s="314"/>
      <c r="H4692" s="315"/>
      <c r="I4692" s="315"/>
      <c r="BA4692" s="30"/>
      <c r="BB4692" s="155"/>
      <c r="BC4692" s="314"/>
      <c r="BD4692" s="314"/>
      <c r="BE4692" s="314"/>
      <c r="BF4692" s="314"/>
      <c r="BG4692" s="314"/>
      <c r="BH4692" s="314"/>
      <c r="BI4692" s="314"/>
      <c r="BJ4692" s="314"/>
      <c r="BK4692" s="40"/>
      <c r="BL4692" s="40"/>
      <c r="BM4692" s="40"/>
      <c r="BN4692" s="40"/>
      <c r="BO4692" s="40"/>
      <c r="BP4692" s="155"/>
      <c r="BQ4692" s="314"/>
      <c r="BR4692" s="314"/>
      <c r="BS4692" s="314"/>
      <c r="BT4692" s="314"/>
      <c r="BU4692" s="314"/>
      <c r="BV4692" s="314"/>
      <c r="BW4692" s="314"/>
      <c r="BX4692" s="155"/>
    </row>
    <row r="4693" spans="1:76" ht="15.75" customHeight="1">
      <c r="A4693" s="25"/>
      <c r="B4693" s="39"/>
      <c r="C4693" s="155"/>
      <c r="D4693" s="155"/>
      <c r="E4693" s="40"/>
      <c r="F4693" s="314"/>
      <c r="H4693" s="315"/>
      <c r="I4693" s="315"/>
      <c r="BA4693" s="30"/>
      <c r="BB4693" s="155"/>
      <c r="BC4693" s="314"/>
      <c r="BD4693" s="314"/>
      <c r="BE4693" s="314"/>
      <c r="BF4693" s="314"/>
      <c r="BG4693" s="314"/>
      <c r="BH4693" s="314"/>
      <c r="BI4693" s="314"/>
      <c r="BJ4693" s="314"/>
      <c r="BK4693" s="40"/>
      <c r="BL4693" s="40"/>
      <c r="BM4693" s="40"/>
      <c r="BN4693" s="40"/>
      <c r="BO4693" s="40"/>
      <c r="BP4693" s="155"/>
      <c r="BQ4693" s="314"/>
      <c r="BR4693" s="314"/>
      <c r="BS4693" s="314"/>
      <c r="BT4693" s="314"/>
      <c r="BU4693" s="314"/>
      <c r="BV4693" s="314"/>
      <c r="BW4693" s="314"/>
      <c r="BX4693" s="155"/>
    </row>
    <row r="4694" spans="1:76" ht="15.75" customHeight="1">
      <c r="A4694" s="25"/>
      <c r="B4694" s="39"/>
      <c r="C4694" s="155"/>
      <c r="D4694" s="155"/>
      <c r="E4694" s="40"/>
      <c r="F4694" s="314"/>
      <c r="H4694" s="315"/>
      <c r="I4694" s="315"/>
      <c r="BA4694" s="30"/>
      <c r="BB4694" s="155"/>
      <c r="BC4694" s="322"/>
      <c r="BD4694" s="322"/>
      <c r="BE4694" s="322"/>
      <c r="BF4694" s="322"/>
      <c r="BG4694" s="322"/>
      <c r="BH4694" s="322"/>
      <c r="BI4694" s="322"/>
      <c r="BJ4694" s="322"/>
      <c r="BK4694" s="341"/>
      <c r="BL4694" s="40"/>
      <c r="BM4694" s="40"/>
      <c r="BN4694" s="40"/>
      <c r="BO4694" s="40"/>
      <c r="BP4694" s="155"/>
      <c r="BQ4694" s="314"/>
      <c r="BR4694" s="314"/>
      <c r="BS4694" s="314"/>
      <c r="BT4694" s="314"/>
      <c r="BU4694" s="314"/>
      <c r="BV4694" s="314"/>
      <c r="BW4694" s="314"/>
      <c r="BX4694" s="155"/>
    </row>
    <row r="4695" spans="1:76" ht="15.75" customHeight="1">
      <c r="A4695" s="25"/>
      <c r="B4695" s="39"/>
      <c r="C4695" s="155"/>
      <c r="D4695" s="155"/>
      <c r="E4695" s="40"/>
      <c r="F4695" s="314"/>
      <c r="H4695" s="315"/>
      <c r="I4695" s="315"/>
      <c r="BA4695" s="30"/>
      <c r="BB4695" s="155"/>
      <c r="BC4695" s="314"/>
      <c r="BD4695" s="314"/>
      <c r="BE4695" s="314"/>
      <c r="BF4695" s="314"/>
      <c r="BG4695" s="314"/>
      <c r="BH4695" s="314"/>
      <c r="BI4695" s="314"/>
      <c r="BJ4695" s="314"/>
      <c r="BK4695" s="40"/>
      <c r="BL4695" s="40"/>
      <c r="BM4695" s="40"/>
      <c r="BN4695" s="40"/>
      <c r="BO4695" s="40"/>
      <c r="BP4695" s="155"/>
      <c r="BQ4695" s="314"/>
      <c r="BR4695" s="314"/>
      <c r="BS4695" s="314"/>
      <c r="BT4695" s="314"/>
      <c r="BU4695" s="314"/>
      <c r="BV4695" s="314"/>
      <c r="BW4695" s="314"/>
      <c r="BX4695" s="155"/>
    </row>
    <row r="4696" spans="1:76" ht="15.75" customHeight="1">
      <c r="A4696" s="25"/>
      <c r="B4696" s="39"/>
      <c r="C4696" s="155"/>
      <c r="D4696" s="155"/>
      <c r="E4696" s="40"/>
      <c r="F4696" s="314"/>
      <c r="H4696" s="315"/>
      <c r="I4696" s="315"/>
      <c r="BA4696" s="30"/>
      <c r="BB4696" s="155"/>
      <c r="BC4696" s="314"/>
      <c r="BD4696" s="314"/>
      <c r="BE4696" s="314"/>
      <c r="BF4696" s="314"/>
      <c r="BG4696" s="314"/>
      <c r="BH4696" s="314"/>
      <c r="BI4696" s="314"/>
      <c r="BJ4696" s="314"/>
      <c r="BK4696" s="40"/>
      <c r="BL4696" s="40"/>
      <c r="BM4696" s="40"/>
      <c r="BN4696" s="40"/>
      <c r="BO4696" s="40"/>
      <c r="BP4696" s="155"/>
      <c r="BQ4696" s="314"/>
      <c r="BR4696" s="314"/>
      <c r="BS4696" s="314"/>
      <c r="BT4696" s="314"/>
      <c r="BU4696" s="314"/>
      <c r="BV4696" s="314"/>
      <c r="BW4696" s="314"/>
      <c r="BX4696" s="155"/>
    </row>
    <row r="4697" spans="1:76" ht="15.75" customHeight="1">
      <c r="A4697" s="25"/>
      <c r="B4697" s="39"/>
      <c r="C4697" s="155"/>
      <c r="D4697" s="155"/>
      <c r="E4697" s="40"/>
      <c r="F4697" s="314"/>
      <c r="H4697" s="315"/>
      <c r="I4697" s="315"/>
      <c r="BA4697" s="30"/>
      <c r="BB4697" s="155"/>
      <c r="BC4697" s="314"/>
      <c r="BD4697" s="314"/>
      <c r="BE4697" s="314"/>
      <c r="BF4697" s="314"/>
      <c r="BG4697" s="314"/>
      <c r="BH4697" s="314"/>
      <c r="BI4697" s="314"/>
      <c r="BJ4697" s="314"/>
      <c r="BK4697" s="40"/>
      <c r="BL4697" s="40"/>
      <c r="BM4697" s="40"/>
      <c r="BN4697" s="40"/>
      <c r="BO4697" s="40"/>
      <c r="BP4697" s="155"/>
      <c r="BQ4697" s="314"/>
      <c r="BR4697" s="314"/>
      <c r="BS4697" s="314"/>
      <c r="BT4697" s="314"/>
      <c r="BU4697" s="314"/>
      <c r="BV4697" s="314"/>
      <c r="BW4697" s="314"/>
      <c r="BX4697" s="155"/>
    </row>
    <row r="4698" spans="1:76" ht="15.75" customHeight="1">
      <c r="A4698" s="25"/>
      <c r="B4698" s="39"/>
      <c r="C4698" s="155"/>
      <c r="D4698" s="155"/>
      <c r="E4698" s="40"/>
      <c r="F4698" s="314"/>
      <c r="H4698" s="315"/>
      <c r="I4698" s="315"/>
      <c r="BA4698" s="30"/>
      <c r="BB4698" s="155"/>
      <c r="BC4698" s="314"/>
      <c r="BD4698" s="314"/>
      <c r="BE4698" s="314"/>
      <c r="BF4698" s="314"/>
      <c r="BG4698" s="314"/>
      <c r="BH4698" s="314"/>
      <c r="BI4698" s="314"/>
      <c r="BJ4698" s="314"/>
      <c r="BK4698" s="40"/>
      <c r="BL4698" s="40"/>
      <c r="BM4698" s="40"/>
      <c r="BN4698" s="40"/>
      <c r="BO4698" s="40"/>
      <c r="BP4698" s="155"/>
      <c r="BQ4698" s="314"/>
      <c r="BR4698" s="314"/>
      <c r="BS4698" s="314"/>
      <c r="BT4698" s="314"/>
      <c r="BU4698" s="314"/>
      <c r="BV4698" s="314"/>
      <c r="BW4698" s="314"/>
      <c r="BX4698" s="155"/>
    </row>
    <row r="4699" spans="1:76" ht="15.75" customHeight="1">
      <c r="A4699" s="25"/>
      <c r="B4699" s="39"/>
      <c r="C4699" s="155"/>
      <c r="D4699" s="155"/>
      <c r="E4699" s="40"/>
      <c r="F4699" s="314"/>
      <c r="H4699" s="315"/>
      <c r="I4699" s="315"/>
      <c r="BA4699" s="30"/>
      <c r="BB4699" s="155"/>
      <c r="BC4699" s="314"/>
      <c r="BD4699" s="314"/>
      <c r="BE4699" s="314"/>
      <c r="BF4699" s="314"/>
      <c r="BG4699" s="314"/>
      <c r="BH4699" s="314"/>
      <c r="BI4699" s="314"/>
      <c r="BJ4699" s="314"/>
      <c r="BK4699" s="40"/>
      <c r="BL4699" s="40"/>
      <c r="BM4699" s="40"/>
      <c r="BN4699" s="40"/>
      <c r="BO4699" s="40"/>
      <c r="BP4699" s="155"/>
      <c r="BQ4699" s="314"/>
      <c r="BR4699" s="314"/>
      <c r="BS4699" s="314"/>
      <c r="BT4699" s="314"/>
      <c r="BU4699" s="314"/>
      <c r="BV4699" s="314"/>
      <c r="BW4699" s="314"/>
      <c r="BX4699" s="155"/>
    </row>
    <row r="4700" spans="1:76" ht="15.75" customHeight="1">
      <c r="A4700" s="25"/>
      <c r="B4700" s="39"/>
      <c r="C4700" s="155"/>
      <c r="D4700" s="155"/>
      <c r="E4700" s="40"/>
      <c r="F4700" s="314"/>
      <c r="H4700" s="315"/>
      <c r="I4700" s="315"/>
      <c r="BA4700" s="30"/>
      <c r="BB4700" s="155"/>
      <c r="BC4700" s="314"/>
      <c r="BD4700" s="314"/>
      <c r="BE4700" s="314"/>
      <c r="BF4700" s="314"/>
      <c r="BG4700" s="314"/>
      <c r="BH4700" s="314"/>
      <c r="BI4700" s="314"/>
      <c r="BJ4700" s="314"/>
      <c r="BK4700" s="40"/>
      <c r="BL4700" s="40"/>
      <c r="BM4700" s="40"/>
      <c r="BN4700" s="40"/>
      <c r="BO4700" s="40"/>
      <c r="BP4700" s="155"/>
      <c r="BQ4700" s="314"/>
      <c r="BR4700" s="314"/>
      <c r="BS4700" s="314"/>
      <c r="BT4700" s="314"/>
      <c r="BU4700" s="314"/>
      <c r="BV4700" s="314"/>
      <c r="BW4700" s="314"/>
      <c r="BX4700" s="155"/>
    </row>
    <row r="4701" spans="1:76" ht="15.75" customHeight="1">
      <c r="A4701" s="25"/>
      <c r="B4701" s="39"/>
      <c r="C4701" s="155"/>
      <c r="D4701" s="155"/>
      <c r="E4701" s="40"/>
      <c r="F4701" s="314"/>
      <c r="H4701" s="315"/>
      <c r="I4701" s="315"/>
      <c r="BA4701" s="30"/>
      <c r="BB4701" s="155"/>
      <c r="BC4701" s="314"/>
      <c r="BD4701" s="314"/>
      <c r="BE4701" s="314"/>
      <c r="BF4701" s="314"/>
      <c r="BG4701" s="314"/>
      <c r="BH4701" s="314"/>
      <c r="BI4701" s="314"/>
      <c r="BJ4701" s="314"/>
      <c r="BK4701" s="40"/>
      <c r="BL4701" s="40"/>
      <c r="BM4701" s="40"/>
      <c r="BN4701" s="40"/>
      <c r="BO4701" s="40"/>
      <c r="BP4701" s="155"/>
      <c r="BQ4701" s="314"/>
      <c r="BR4701" s="314"/>
      <c r="BS4701" s="314"/>
      <c r="BT4701" s="314"/>
      <c r="BU4701" s="314"/>
      <c r="BV4701" s="314"/>
      <c r="BW4701" s="314"/>
      <c r="BX4701" s="155"/>
    </row>
    <row r="4702" spans="1:76" ht="15.75" customHeight="1">
      <c r="A4702" s="25"/>
      <c r="B4702" s="39"/>
      <c r="C4702" s="155"/>
      <c r="D4702" s="155"/>
      <c r="E4702" s="40"/>
      <c r="F4702" s="314"/>
      <c r="H4702" s="315"/>
      <c r="I4702" s="315"/>
      <c r="BA4702" s="30"/>
      <c r="BB4702" s="155"/>
      <c r="BC4702" s="314"/>
      <c r="BD4702" s="314"/>
      <c r="BE4702" s="314"/>
      <c r="BF4702" s="314"/>
      <c r="BG4702" s="314"/>
      <c r="BH4702" s="314"/>
      <c r="BI4702" s="314"/>
      <c r="BJ4702" s="314"/>
      <c r="BK4702" s="40"/>
      <c r="BL4702" s="40"/>
      <c r="BM4702" s="40"/>
      <c r="BN4702" s="40"/>
      <c r="BO4702" s="40"/>
      <c r="BP4702" s="155"/>
      <c r="BQ4702" s="314"/>
      <c r="BR4702" s="314"/>
      <c r="BS4702" s="314"/>
      <c r="BT4702" s="314"/>
      <c r="BU4702" s="314"/>
      <c r="BV4702" s="314"/>
      <c r="BW4702" s="314"/>
      <c r="BX4702" s="155"/>
    </row>
    <row r="4703" spans="1:76" ht="15.75" customHeight="1">
      <c r="A4703" s="25"/>
      <c r="B4703" s="39"/>
      <c r="C4703" s="155"/>
      <c r="D4703" s="155"/>
      <c r="E4703" s="40"/>
      <c r="F4703" s="314"/>
      <c r="H4703" s="315"/>
      <c r="I4703" s="315"/>
      <c r="BA4703" s="30"/>
      <c r="BB4703" s="155"/>
      <c r="BC4703" s="314"/>
      <c r="BD4703" s="314"/>
      <c r="BE4703" s="314"/>
      <c r="BF4703" s="314"/>
      <c r="BG4703" s="314"/>
      <c r="BH4703" s="314"/>
      <c r="BI4703" s="314"/>
      <c r="BJ4703" s="314"/>
      <c r="BK4703" s="40"/>
      <c r="BL4703" s="40"/>
      <c r="BM4703" s="40"/>
      <c r="BN4703" s="40"/>
      <c r="BO4703" s="40"/>
      <c r="BP4703" s="155"/>
      <c r="BQ4703" s="314"/>
      <c r="BR4703" s="314"/>
      <c r="BS4703" s="314"/>
      <c r="BT4703" s="314"/>
      <c r="BU4703" s="314"/>
      <c r="BV4703" s="314"/>
      <c r="BW4703" s="314"/>
      <c r="BX4703" s="155"/>
    </row>
    <row r="4704" spans="1:76" ht="15.75" customHeight="1">
      <c r="A4704" s="25"/>
      <c r="B4704" s="39"/>
      <c r="C4704" s="155"/>
      <c r="D4704" s="155"/>
      <c r="E4704" s="40"/>
      <c r="F4704" s="314"/>
      <c r="H4704" s="315"/>
      <c r="I4704" s="315"/>
      <c r="BA4704" s="30"/>
      <c r="BB4704" s="155"/>
      <c r="BC4704" s="314"/>
      <c r="BD4704" s="314"/>
      <c r="BE4704" s="314"/>
      <c r="BF4704" s="314"/>
      <c r="BG4704" s="314"/>
      <c r="BH4704" s="314"/>
      <c r="BI4704" s="314"/>
      <c r="BJ4704" s="314"/>
      <c r="BK4704" s="40"/>
      <c r="BL4704" s="40"/>
      <c r="BM4704" s="40"/>
      <c r="BN4704" s="40"/>
      <c r="BO4704" s="40"/>
      <c r="BP4704" s="155"/>
      <c r="BQ4704" s="314"/>
      <c r="BR4704" s="314"/>
      <c r="BS4704" s="314"/>
      <c r="BT4704" s="314"/>
      <c r="BU4704" s="314"/>
      <c r="BV4704" s="314"/>
      <c r="BW4704" s="314"/>
      <c r="BX4704" s="155"/>
    </row>
    <row r="4705" spans="1:76" ht="15.75" customHeight="1">
      <c r="A4705" s="25"/>
      <c r="B4705" s="39"/>
      <c r="C4705" s="155"/>
      <c r="D4705" s="155"/>
      <c r="E4705" s="40"/>
      <c r="F4705" s="314"/>
      <c r="H4705" s="315"/>
      <c r="I4705" s="315"/>
      <c r="BA4705" s="30"/>
      <c r="BB4705" s="155"/>
      <c r="BC4705" s="314"/>
      <c r="BD4705" s="314"/>
      <c r="BE4705" s="314"/>
      <c r="BF4705" s="314"/>
      <c r="BG4705" s="314"/>
      <c r="BH4705" s="314"/>
      <c r="BI4705" s="314"/>
      <c r="BJ4705" s="314"/>
      <c r="BK4705" s="40"/>
      <c r="BL4705" s="40"/>
      <c r="BM4705" s="40"/>
      <c r="BN4705" s="40"/>
      <c r="BO4705" s="40"/>
      <c r="BP4705" s="155"/>
      <c r="BQ4705" s="314"/>
      <c r="BR4705" s="314"/>
      <c r="BS4705" s="314"/>
      <c r="BT4705" s="314"/>
      <c r="BU4705" s="314"/>
      <c r="BV4705" s="314"/>
      <c r="BW4705" s="314"/>
      <c r="BX4705" s="155"/>
    </row>
    <row r="4706" spans="1:76" ht="15.75" customHeight="1">
      <c r="A4706" s="25"/>
      <c r="B4706" s="39"/>
      <c r="C4706" s="155"/>
      <c r="D4706" s="155"/>
      <c r="E4706" s="40"/>
      <c r="F4706" s="314"/>
      <c r="H4706" s="315"/>
      <c r="I4706" s="315"/>
      <c r="BA4706" s="30"/>
      <c r="BB4706" s="155"/>
      <c r="BC4706" s="314"/>
      <c r="BD4706" s="314"/>
      <c r="BE4706" s="314"/>
      <c r="BF4706" s="314"/>
      <c r="BG4706" s="314"/>
      <c r="BH4706" s="314"/>
      <c r="BI4706" s="314"/>
      <c r="BJ4706" s="314"/>
      <c r="BK4706" s="40"/>
      <c r="BL4706" s="40"/>
      <c r="BM4706" s="40"/>
      <c r="BN4706" s="40"/>
      <c r="BO4706" s="40"/>
      <c r="BP4706" s="155"/>
      <c r="BQ4706" s="314"/>
      <c r="BR4706" s="314"/>
      <c r="BS4706" s="314"/>
      <c r="BT4706" s="314"/>
      <c r="BU4706" s="314"/>
      <c r="BV4706" s="314"/>
      <c r="BW4706" s="314"/>
      <c r="BX4706" s="155"/>
    </row>
    <row r="4707" spans="1:76" ht="15.75" customHeight="1">
      <c r="A4707" s="25"/>
      <c r="B4707" s="39"/>
      <c r="C4707" s="155"/>
      <c r="D4707" s="155"/>
      <c r="E4707" s="40"/>
      <c r="F4707" s="314"/>
      <c r="H4707" s="315"/>
      <c r="I4707" s="315"/>
      <c r="BA4707" s="30"/>
      <c r="BB4707" s="155"/>
      <c r="BC4707" s="314"/>
      <c r="BD4707" s="314"/>
      <c r="BE4707" s="314"/>
      <c r="BF4707" s="314"/>
      <c r="BG4707" s="314"/>
      <c r="BH4707" s="314"/>
      <c r="BI4707" s="314"/>
      <c r="BJ4707" s="314"/>
      <c r="BK4707" s="40"/>
      <c r="BL4707" s="40"/>
      <c r="BM4707" s="40"/>
      <c r="BN4707" s="40"/>
      <c r="BO4707" s="40"/>
      <c r="BP4707" s="155"/>
      <c r="BQ4707" s="314"/>
      <c r="BR4707" s="314"/>
      <c r="BS4707" s="314"/>
      <c r="BT4707" s="314"/>
      <c r="BU4707" s="314"/>
      <c r="BV4707" s="314"/>
      <c r="BW4707" s="314"/>
      <c r="BX4707" s="155"/>
    </row>
    <row r="4708" spans="1:76" ht="15.75" customHeight="1">
      <c r="A4708" s="25"/>
      <c r="B4708" s="39"/>
      <c r="C4708" s="155"/>
      <c r="D4708" s="155"/>
      <c r="E4708" s="40"/>
      <c r="F4708" s="314"/>
      <c r="H4708" s="315"/>
      <c r="I4708" s="315"/>
      <c r="BA4708" s="30"/>
      <c r="BB4708" s="155"/>
      <c r="BC4708" s="314"/>
      <c r="BD4708" s="314"/>
      <c r="BE4708" s="314"/>
      <c r="BF4708" s="314"/>
      <c r="BG4708" s="314"/>
      <c r="BH4708" s="314"/>
      <c r="BI4708" s="314"/>
      <c r="BJ4708" s="314"/>
      <c r="BK4708" s="40"/>
      <c r="BL4708" s="40"/>
      <c r="BM4708" s="40"/>
      <c r="BN4708" s="40"/>
      <c r="BO4708" s="40"/>
      <c r="BP4708" s="155"/>
      <c r="BQ4708" s="314"/>
      <c r="BR4708" s="314"/>
      <c r="BS4708" s="314"/>
      <c r="BT4708" s="314"/>
      <c r="BU4708" s="314"/>
      <c r="BV4708" s="314"/>
      <c r="BW4708" s="314"/>
      <c r="BX4708" s="155"/>
    </row>
    <row r="4709" spans="1:76" ht="15.75" customHeight="1">
      <c r="A4709" s="25"/>
      <c r="B4709" s="39"/>
      <c r="C4709" s="155"/>
      <c r="D4709" s="155"/>
      <c r="E4709" s="40"/>
      <c r="F4709" s="314"/>
      <c r="H4709" s="315"/>
      <c r="I4709" s="315"/>
      <c r="BA4709" s="30"/>
      <c r="BB4709" s="155"/>
      <c r="BC4709" s="314"/>
      <c r="BD4709" s="314"/>
      <c r="BE4709" s="314"/>
      <c r="BF4709" s="314"/>
      <c r="BG4709" s="314"/>
      <c r="BH4709" s="314"/>
      <c r="BI4709" s="314"/>
      <c r="BJ4709" s="314"/>
      <c r="BK4709" s="40"/>
      <c r="BL4709" s="40"/>
      <c r="BM4709" s="40"/>
      <c r="BN4709" s="40"/>
      <c r="BO4709" s="40"/>
      <c r="BP4709" s="155"/>
      <c r="BQ4709" s="314"/>
      <c r="BR4709" s="314"/>
      <c r="BS4709" s="314"/>
      <c r="BT4709" s="314"/>
      <c r="BU4709" s="314"/>
      <c r="BV4709" s="314"/>
      <c r="BW4709" s="314"/>
      <c r="BX4709" s="155"/>
    </row>
    <row r="4710" spans="1:76" ht="15.75" customHeight="1">
      <c r="A4710" s="25"/>
      <c r="B4710" s="39"/>
      <c r="C4710" s="155"/>
      <c r="D4710" s="155"/>
      <c r="E4710" s="40"/>
      <c r="F4710" s="314"/>
      <c r="H4710" s="315"/>
      <c r="I4710" s="315"/>
      <c r="BA4710" s="30"/>
      <c r="BB4710" s="155"/>
      <c r="BC4710" s="314"/>
      <c r="BD4710" s="314"/>
      <c r="BE4710" s="314"/>
      <c r="BF4710" s="314"/>
      <c r="BG4710" s="314"/>
      <c r="BH4710" s="314"/>
      <c r="BI4710" s="314"/>
      <c r="BJ4710" s="314"/>
      <c r="BK4710" s="40"/>
      <c r="BL4710" s="40"/>
      <c r="BM4710" s="40"/>
      <c r="BN4710" s="40"/>
      <c r="BO4710" s="40"/>
      <c r="BP4710" s="155"/>
      <c r="BQ4710" s="314"/>
      <c r="BR4710" s="314"/>
      <c r="BS4710" s="314"/>
      <c r="BT4710" s="314"/>
      <c r="BU4710" s="314"/>
      <c r="BV4710" s="314"/>
      <c r="BW4710" s="314"/>
      <c r="BX4710" s="155"/>
    </row>
    <row r="4711" spans="1:76" ht="15.75" customHeight="1">
      <c r="A4711" s="25"/>
      <c r="B4711" s="39"/>
      <c r="C4711" s="155"/>
      <c r="D4711" s="155"/>
      <c r="E4711" s="40"/>
      <c r="F4711" s="314"/>
      <c r="H4711" s="315"/>
      <c r="I4711" s="315"/>
      <c r="BA4711" s="30"/>
      <c r="BB4711" s="155"/>
      <c r="BC4711" s="314"/>
      <c r="BD4711" s="314"/>
      <c r="BE4711" s="314"/>
      <c r="BF4711" s="314"/>
      <c r="BG4711" s="314"/>
      <c r="BH4711" s="314"/>
      <c r="BI4711" s="314"/>
      <c r="BJ4711" s="314"/>
      <c r="BK4711" s="40"/>
      <c r="BL4711" s="40"/>
      <c r="BM4711" s="40"/>
      <c r="BN4711" s="40"/>
      <c r="BO4711" s="40"/>
      <c r="BP4711" s="155"/>
      <c r="BQ4711" s="314"/>
      <c r="BR4711" s="314"/>
      <c r="BS4711" s="314"/>
      <c r="BT4711" s="314"/>
      <c r="BU4711" s="314"/>
      <c r="BV4711" s="314"/>
      <c r="BW4711" s="314"/>
      <c r="BX4711" s="155"/>
    </row>
    <row r="4712" spans="1:76" ht="15.75" customHeight="1">
      <c r="A4712" s="25"/>
      <c r="B4712" s="39"/>
      <c r="C4712" s="155"/>
      <c r="D4712" s="155"/>
      <c r="E4712" s="40"/>
      <c r="F4712" s="314"/>
      <c r="H4712" s="315"/>
      <c r="I4712" s="315"/>
      <c r="BA4712" s="30"/>
      <c r="BB4712" s="155"/>
      <c r="BC4712" s="314"/>
      <c r="BD4712" s="314"/>
      <c r="BE4712" s="314"/>
      <c r="BF4712" s="314"/>
      <c r="BG4712" s="314"/>
      <c r="BH4712" s="314"/>
      <c r="BI4712" s="314"/>
      <c r="BJ4712" s="314"/>
      <c r="BK4712" s="40"/>
      <c r="BL4712" s="40"/>
      <c r="BM4712" s="40"/>
      <c r="BN4712" s="40"/>
      <c r="BO4712" s="40"/>
      <c r="BP4712" s="155"/>
      <c r="BQ4712" s="314"/>
      <c r="BR4712" s="314"/>
      <c r="BS4712" s="314"/>
      <c r="BT4712" s="314"/>
      <c r="BU4712" s="314"/>
      <c r="BV4712" s="314"/>
      <c r="BW4712" s="314"/>
      <c r="BX4712" s="155"/>
    </row>
    <row r="4713" spans="1:76" ht="15.75" customHeight="1">
      <c r="A4713" s="25"/>
      <c r="B4713" s="39"/>
      <c r="C4713" s="155"/>
      <c r="D4713" s="155"/>
      <c r="E4713" s="40"/>
      <c r="F4713" s="314"/>
      <c r="H4713" s="315"/>
      <c r="I4713" s="315"/>
      <c r="BA4713" s="30"/>
      <c r="BB4713" s="155"/>
      <c r="BC4713" s="314"/>
      <c r="BD4713" s="314"/>
      <c r="BE4713" s="314"/>
      <c r="BF4713" s="314"/>
      <c r="BG4713" s="314"/>
      <c r="BH4713" s="314"/>
      <c r="BI4713" s="314"/>
      <c r="BJ4713" s="314"/>
      <c r="BK4713" s="40"/>
      <c r="BL4713" s="40"/>
      <c r="BM4713" s="40"/>
      <c r="BN4713" s="40"/>
      <c r="BO4713" s="40"/>
      <c r="BP4713" s="155"/>
      <c r="BQ4713" s="314"/>
      <c r="BR4713" s="314"/>
      <c r="BS4713" s="314"/>
      <c r="BT4713" s="314"/>
      <c r="BU4713" s="314"/>
      <c r="BV4713" s="314"/>
      <c r="BW4713" s="314"/>
      <c r="BX4713" s="155"/>
    </row>
    <row r="4714" spans="1:76" ht="15.75" customHeight="1">
      <c r="A4714" s="25"/>
      <c r="B4714" s="39"/>
      <c r="C4714" s="155"/>
      <c r="D4714" s="155"/>
      <c r="E4714" s="40"/>
      <c r="F4714" s="314"/>
      <c r="H4714" s="315"/>
      <c r="I4714" s="315"/>
      <c r="BA4714" s="30"/>
      <c r="BB4714" s="155"/>
      <c r="BC4714" s="322"/>
      <c r="BD4714" s="322"/>
      <c r="BE4714" s="322"/>
      <c r="BF4714" s="322"/>
      <c r="BG4714" s="322"/>
      <c r="BH4714" s="322"/>
      <c r="BI4714" s="322"/>
      <c r="BJ4714" s="322"/>
      <c r="BK4714" s="341"/>
      <c r="BL4714" s="40"/>
      <c r="BM4714" s="40"/>
      <c r="BN4714" s="40"/>
      <c r="BO4714" s="40"/>
      <c r="BP4714" s="155"/>
      <c r="BQ4714" s="314"/>
      <c r="BR4714" s="314"/>
      <c r="BS4714" s="314"/>
      <c r="BT4714" s="314"/>
      <c r="BU4714" s="314"/>
      <c r="BV4714" s="314"/>
      <c r="BW4714" s="314"/>
      <c r="BX4714" s="155"/>
    </row>
    <row r="4715" spans="1:76" ht="15.75" customHeight="1">
      <c r="A4715" s="25"/>
      <c r="B4715" s="39"/>
      <c r="C4715" s="155"/>
      <c r="D4715" s="155"/>
      <c r="E4715" s="40"/>
      <c r="F4715" s="314"/>
      <c r="H4715" s="315"/>
      <c r="I4715" s="315"/>
      <c r="BA4715" s="30"/>
      <c r="BB4715" s="155"/>
      <c r="BC4715" s="314"/>
      <c r="BD4715" s="314"/>
      <c r="BE4715" s="314"/>
      <c r="BF4715" s="314"/>
      <c r="BG4715" s="314"/>
      <c r="BH4715" s="314"/>
      <c r="BI4715" s="314"/>
      <c r="BJ4715" s="314"/>
      <c r="BK4715" s="40"/>
      <c r="BL4715" s="40"/>
      <c r="BM4715" s="40"/>
      <c r="BN4715" s="40"/>
      <c r="BO4715" s="40"/>
      <c r="BP4715" s="155"/>
      <c r="BQ4715" s="314"/>
      <c r="BR4715" s="314"/>
      <c r="BS4715" s="314"/>
      <c r="BT4715" s="314"/>
      <c r="BU4715" s="314"/>
      <c r="BV4715" s="314"/>
      <c r="BW4715" s="314"/>
      <c r="BX4715" s="155"/>
    </row>
    <row r="4716" spans="1:76" ht="15.75" customHeight="1">
      <c r="A4716" s="25"/>
      <c r="B4716" s="39"/>
      <c r="C4716" s="155"/>
      <c r="D4716" s="155"/>
      <c r="E4716" s="40"/>
      <c r="F4716" s="314"/>
      <c r="H4716" s="315"/>
      <c r="I4716" s="315"/>
      <c r="BA4716" s="30"/>
      <c r="BB4716" s="155"/>
      <c r="BC4716" s="314"/>
      <c r="BD4716" s="314"/>
      <c r="BE4716" s="314"/>
      <c r="BF4716" s="314"/>
      <c r="BG4716" s="314"/>
      <c r="BH4716" s="314"/>
      <c r="BI4716" s="314"/>
      <c r="BJ4716" s="314"/>
      <c r="BK4716" s="40"/>
      <c r="BL4716" s="40"/>
      <c r="BM4716" s="40"/>
      <c r="BN4716" s="40"/>
      <c r="BO4716" s="40"/>
      <c r="BP4716" s="155"/>
      <c r="BQ4716" s="314"/>
      <c r="BR4716" s="314"/>
      <c r="BS4716" s="314"/>
      <c r="BT4716" s="314"/>
      <c r="BU4716" s="314"/>
      <c r="BV4716" s="314"/>
      <c r="BW4716" s="314"/>
      <c r="BX4716" s="155"/>
    </row>
    <row r="4717" spans="1:76" ht="15.75" customHeight="1">
      <c r="A4717" s="25"/>
      <c r="B4717" s="39"/>
      <c r="C4717" s="155"/>
      <c r="D4717" s="155"/>
      <c r="E4717" s="40"/>
      <c r="F4717" s="314"/>
      <c r="H4717" s="315"/>
      <c r="I4717" s="315"/>
      <c r="BA4717" s="30"/>
      <c r="BB4717" s="155"/>
      <c r="BC4717" s="314"/>
      <c r="BD4717" s="314"/>
      <c r="BE4717" s="314"/>
      <c r="BF4717" s="314"/>
      <c r="BG4717" s="314"/>
      <c r="BH4717" s="314"/>
      <c r="BI4717" s="314"/>
      <c r="BJ4717" s="314"/>
      <c r="BK4717" s="40"/>
      <c r="BL4717" s="40"/>
      <c r="BM4717" s="40"/>
      <c r="BN4717" s="40"/>
      <c r="BO4717" s="40"/>
      <c r="BP4717" s="155"/>
      <c r="BQ4717" s="314"/>
      <c r="BR4717" s="314"/>
      <c r="BS4717" s="314"/>
      <c r="BT4717" s="314"/>
      <c r="BU4717" s="314"/>
      <c r="BV4717" s="314"/>
      <c r="BW4717" s="314"/>
      <c r="BX4717" s="155"/>
    </row>
    <row r="4718" spans="1:76" ht="15.75" customHeight="1">
      <c r="A4718" s="25"/>
      <c r="B4718" s="39"/>
      <c r="C4718" s="155"/>
      <c r="D4718" s="155"/>
      <c r="E4718" s="40"/>
      <c r="F4718" s="314"/>
      <c r="H4718" s="315"/>
      <c r="I4718" s="315"/>
      <c r="BA4718" s="30"/>
      <c r="BB4718" s="155"/>
      <c r="BC4718" s="314"/>
      <c r="BD4718" s="314"/>
      <c r="BE4718" s="314"/>
      <c r="BF4718" s="314"/>
      <c r="BG4718" s="314"/>
      <c r="BH4718" s="314"/>
      <c r="BI4718" s="314"/>
      <c r="BJ4718" s="314"/>
      <c r="BK4718" s="40"/>
      <c r="BL4718" s="40"/>
      <c r="BM4718" s="40"/>
      <c r="BN4718" s="40"/>
      <c r="BO4718" s="40"/>
      <c r="BP4718" s="155"/>
      <c r="BQ4718" s="314"/>
      <c r="BR4718" s="314"/>
      <c r="BS4718" s="314"/>
      <c r="BT4718" s="314"/>
      <c r="BU4718" s="314"/>
      <c r="BV4718" s="314"/>
      <c r="BW4718" s="314"/>
      <c r="BX4718" s="155"/>
    </row>
    <row r="4719" spans="1:76" ht="15.75" customHeight="1">
      <c r="A4719" s="25"/>
      <c r="B4719" s="39"/>
      <c r="C4719" s="155"/>
      <c r="D4719" s="155"/>
      <c r="E4719" s="40"/>
      <c r="F4719" s="314"/>
      <c r="H4719" s="315"/>
      <c r="I4719" s="315"/>
      <c r="BA4719" s="30"/>
      <c r="BB4719" s="155"/>
      <c r="BC4719" s="314"/>
      <c r="BD4719" s="314"/>
      <c r="BE4719" s="314"/>
      <c r="BF4719" s="314"/>
      <c r="BG4719" s="314"/>
      <c r="BH4719" s="314"/>
      <c r="BI4719" s="314"/>
      <c r="BJ4719" s="314"/>
      <c r="BK4719" s="40"/>
      <c r="BL4719" s="40"/>
      <c r="BM4719" s="40"/>
      <c r="BN4719" s="40"/>
      <c r="BO4719" s="40"/>
      <c r="BP4719" s="155"/>
      <c r="BQ4719" s="314"/>
      <c r="BR4719" s="314"/>
      <c r="BS4719" s="314"/>
      <c r="BT4719" s="314"/>
      <c r="BU4719" s="314"/>
      <c r="BV4719" s="314"/>
      <c r="BW4719" s="314"/>
      <c r="BX4719" s="155"/>
    </row>
    <row r="4720" spans="1:76" ht="15.75" customHeight="1">
      <c r="A4720" s="25"/>
      <c r="B4720" s="39"/>
      <c r="C4720" s="155"/>
      <c r="D4720" s="155"/>
      <c r="E4720" s="40"/>
      <c r="F4720" s="314"/>
      <c r="H4720" s="315"/>
      <c r="I4720" s="315"/>
      <c r="BA4720" s="30"/>
      <c r="BB4720" s="155"/>
      <c r="BC4720" s="314"/>
      <c r="BD4720" s="314"/>
      <c r="BE4720" s="314"/>
      <c r="BF4720" s="314"/>
      <c r="BG4720" s="314"/>
      <c r="BH4720" s="314"/>
      <c r="BI4720" s="314"/>
      <c r="BJ4720" s="314"/>
      <c r="BK4720" s="40"/>
      <c r="BL4720" s="40"/>
      <c r="BM4720" s="40"/>
      <c r="BN4720" s="40"/>
      <c r="BO4720" s="40"/>
      <c r="BP4720" s="155"/>
      <c r="BQ4720" s="314"/>
      <c r="BR4720" s="314"/>
      <c r="BS4720" s="314"/>
      <c r="BT4720" s="314"/>
      <c r="BU4720" s="314"/>
      <c r="BV4720" s="314"/>
      <c r="BW4720" s="314"/>
      <c r="BX4720" s="155"/>
    </row>
    <row r="4721" spans="1:76" ht="15.75" customHeight="1">
      <c r="A4721" s="25"/>
      <c r="B4721" s="39"/>
      <c r="C4721" s="155"/>
      <c r="D4721" s="155"/>
      <c r="E4721" s="40"/>
      <c r="F4721" s="314"/>
      <c r="H4721" s="315"/>
      <c r="I4721" s="315"/>
      <c r="BA4721" s="30"/>
      <c r="BB4721" s="155"/>
      <c r="BC4721" s="314"/>
      <c r="BD4721" s="314"/>
      <c r="BE4721" s="314"/>
      <c r="BF4721" s="314"/>
      <c r="BG4721" s="314"/>
      <c r="BH4721" s="314"/>
      <c r="BI4721" s="314"/>
      <c r="BJ4721" s="314"/>
      <c r="BK4721" s="40"/>
      <c r="BL4721" s="40"/>
      <c r="BM4721" s="40"/>
      <c r="BN4721" s="40"/>
      <c r="BO4721" s="40"/>
      <c r="BP4721" s="155"/>
      <c r="BQ4721" s="314"/>
      <c r="BR4721" s="314"/>
      <c r="BS4721" s="314"/>
      <c r="BT4721" s="314"/>
      <c r="BU4721" s="314"/>
      <c r="BV4721" s="314"/>
      <c r="BW4721" s="314"/>
      <c r="BX4721" s="155"/>
    </row>
    <row r="4722" spans="1:76" ht="15.75" customHeight="1">
      <c r="A4722" s="25"/>
      <c r="B4722" s="39"/>
      <c r="C4722" s="155"/>
      <c r="D4722" s="155"/>
      <c r="E4722" s="40"/>
      <c r="F4722" s="314"/>
      <c r="H4722" s="315"/>
      <c r="I4722" s="315"/>
      <c r="BA4722" s="30"/>
      <c r="BB4722" s="155"/>
      <c r="BC4722" s="314"/>
      <c r="BD4722" s="314"/>
      <c r="BE4722" s="314"/>
      <c r="BF4722" s="314"/>
      <c r="BG4722" s="314"/>
      <c r="BH4722" s="314"/>
      <c r="BI4722" s="314"/>
      <c r="BJ4722" s="314"/>
      <c r="BK4722" s="40"/>
      <c r="BL4722" s="40"/>
      <c r="BM4722" s="40"/>
      <c r="BN4722" s="40"/>
      <c r="BO4722" s="40"/>
      <c r="BP4722" s="155"/>
      <c r="BQ4722" s="314"/>
      <c r="BR4722" s="314"/>
      <c r="BS4722" s="314"/>
      <c r="BT4722" s="314"/>
      <c r="BU4722" s="314"/>
      <c r="BV4722" s="314"/>
      <c r="BW4722" s="314"/>
      <c r="BX4722" s="155"/>
    </row>
    <row r="4723" spans="1:76" ht="15.75" customHeight="1">
      <c r="A4723" s="25"/>
      <c r="B4723" s="39"/>
      <c r="C4723" s="155"/>
      <c r="D4723" s="155"/>
      <c r="E4723" s="40"/>
      <c r="F4723" s="314"/>
      <c r="H4723" s="315"/>
      <c r="I4723" s="315"/>
      <c r="BA4723" s="30"/>
      <c r="BB4723" s="155"/>
      <c r="BC4723" s="314"/>
      <c r="BD4723" s="314"/>
      <c r="BE4723" s="314"/>
      <c r="BF4723" s="314"/>
      <c r="BG4723" s="314"/>
      <c r="BH4723" s="314"/>
      <c r="BI4723" s="314"/>
      <c r="BJ4723" s="314"/>
      <c r="BK4723" s="40"/>
      <c r="BL4723" s="40"/>
      <c r="BM4723" s="40"/>
      <c r="BN4723" s="40"/>
      <c r="BO4723" s="40"/>
      <c r="BP4723" s="155"/>
      <c r="BQ4723" s="314"/>
      <c r="BR4723" s="314"/>
      <c r="BS4723" s="314"/>
      <c r="BT4723" s="314"/>
      <c r="BU4723" s="314"/>
      <c r="BV4723" s="314"/>
      <c r="BW4723" s="314"/>
      <c r="BX4723" s="155"/>
    </row>
    <row r="4724" spans="1:76" ht="15.75" customHeight="1">
      <c r="A4724" s="25"/>
      <c r="B4724" s="39"/>
      <c r="C4724" s="155"/>
      <c r="D4724" s="155"/>
      <c r="E4724" s="40"/>
      <c r="F4724" s="314"/>
      <c r="H4724" s="315"/>
      <c r="I4724" s="315"/>
      <c r="BA4724" s="30"/>
      <c r="BB4724" s="155"/>
      <c r="BC4724" s="314"/>
      <c r="BD4724" s="314"/>
      <c r="BE4724" s="314"/>
      <c r="BF4724" s="314"/>
      <c r="BG4724" s="314"/>
      <c r="BH4724" s="314"/>
      <c r="BI4724" s="314"/>
      <c r="BJ4724" s="314"/>
      <c r="BK4724" s="40"/>
      <c r="BL4724" s="40"/>
      <c r="BM4724" s="40"/>
      <c r="BN4724" s="40"/>
      <c r="BO4724" s="40"/>
      <c r="BP4724" s="155"/>
      <c r="BQ4724" s="314"/>
      <c r="BR4724" s="314"/>
      <c r="BS4724" s="314"/>
      <c r="BT4724" s="314"/>
      <c r="BU4724" s="314"/>
      <c r="BV4724" s="314"/>
      <c r="BW4724" s="314"/>
      <c r="BX4724" s="155"/>
    </row>
    <row r="4725" spans="1:76" ht="15.75" customHeight="1">
      <c r="A4725" s="25"/>
      <c r="B4725" s="39"/>
      <c r="C4725" s="155"/>
      <c r="D4725" s="155"/>
      <c r="E4725" s="40"/>
      <c r="F4725" s="314"/>
      <c r="H4725" s="315"/>
      <c r="I4725" s="315"/>
      <c r="BA4725" s="30"/>
      <c r="BB4725" s="155"/>
      <c r="BC4725" s="314"/>
      <c r="BD4725" s="314"/>
      <c r="BE4725" s="314"/>
      <c r="BF4725" s="314"/>
      <c r="BG4725" s="314"/>
      <c r="BH4725" s="314"/>
      <c r="BI4725" s="314"/>
      <c r="BJ4725" s="314"/>
      <c r="BK4725" s="40"/>
      <c r="BL4725" s="40"/>
      <c r="BM4725" s="40"/>
      <c r="BN4725" s="40"/>
      <c r="BO4725" s="40"/>
      <c r="BP4725" s="155"/>
      <c r="BQ4725" s="314"/>
      <c r="BR4725" s="314"/>
      <c r="BS4725" s="314"/>
      <c r="BT4725" s="314"/>
      <c r="BU4725" s="314"/>
      <c r="BV4725" s="314"/>
      <c r="BW4725" s="314"/>
      <c r="BX4725" s="155"/>
    </row>
    <row r="4726" spans="1:76" ht="15.75" customHeight="1">
      <c r="A4726" s="25"/>
      <c r="B4726" s="39"/>
      <c r="C4726" s="155"/>
      <c r="D4726" s="155"/>
      <c r="E4726" s="40"/>
      <c r="F4726" s="314"/>
      <c r="H4726" s="315"/>
      <c r="I4726" s="315"/>
      <c r="BA4726" s="30"/>
      <c r="BB4726" s="155"/>
      <c r="BC4726" s="314"/>
      <c r="BD4726" s="314"/>
      <c r="BE4726" s="314"/>
      <c r="BF4726" s="314"/>
      <c r="BG4726" s="314"/>
      <c r="BH4726" s="314"/>
      <c r="BI4726" s="314"/>
      <c r="BJ4726" s="314"/>
      <c r="BK4726" s="40"/>
      <c r="BL4726" s="40"/>
      <c r="BM4726" s="40"/>
      <c r="BN4726" s="40"/>
      <c r="BO4726" s="40"/>
      <c r="BP4726" s="155"/>
      <c r="BQ4726" s="314"/>
      <c r="BR4726" s="314"/>
      <c r="BS4726" s="314"/>
      <c r="BT4726" s="314"/>
      <c r="BU4726" s="314"/>
      <c r="BV4726" s="314"/>
      <c r="BW4726" s="314"/>
      <c r="BX4726" s="155"/>
    </row>
    <row r="4727" spans="1:76" ht="15.75" customHeight="1">
      <c r="A4727" s="25"/>
      <c r="B4727" s="39"/>
      <c r="C4727" s="155"/>
      <c r="D4727" s="155"/>
      <c r="E4727" s="40"/>
      <c r="F4727" s="314"/>
      <c r="H4727" s="315"/>
      <c r="I4727" s="315"/>
      <c r="BA4727" s="30"/>
      <c r="BB4727" s="155"/>
      <c r="BC4727" s="314"/>
      <c r="BD4727" s="314"/>
      <c r="BE4727" s="314"/>
      <c r="BF4727" s="314"/>
      <c r="BG4727" s="314"/>
      <c r="BH4727" s="314"/>
      <c r="BI4727" s="314"/>
      <c r="BJ4727" s="314"/>
      <c r="BK4727" s="40"/>
      <c r="BL4727" s="40"/>
      <c r="BM4727" s="40"/>
      <c r="BN4727" s="40"/>
      <c r="BO4727" s="40"/>
      <c r="BP4727" s="155"/>
      <c r="BQ4727" s="314"/>
      <c r="BR4727" s="314"/>
      <c r="BS4727" s="314"/>
      <c r="BT4727" s="314"/>
      <c r="BU4727" s="314"/>
      <c r="BV4727" s="314"/>
      <c r="BW4727" s="314"/>
      <c r="BX4727" s="155"/>
    </row>
    <row r="4728" spans="1:76" ht="15.75" customHeight="1">
      <c r="A4728" s="25"/>
      <c r="B4728" s="39"/>
      <c r="C4728" s="155"/>
      <c r="D4728" s="155"/>
      <c r="E4728" s="40"/>
      <c r="F4728" s="314"/>
      <c r="H4728" s="315"/>
      <c r="I4728" s="315"/>
      <c r="BA4728" s="30"/>
      <c r="BB4728" s="155"/>
      <c r="BC4728" s="314"/>
      <c r="BD4728" s="314"/>
      <c r="BE4728" s="314"/>
      <c r="BF4728" s="314"/>
      <c r="BG4728" s="314"/>
      <c r="BH4728" s="314"/>
      <c r="BI4728" s="314"/>
      <c r="BJ4728" s="314"/>
      <c r="BK4728" s="40"/>
      <c r="BL4728" s="40"/>
      <c r="BM4728" s="40"/>
      <c r="BN4728" s="40"/>
      <c r="BO4728" s="40"/>
      <c r="BP4728" s="155"/>
      <c r="BQ4728" s="314"/>
      <c r="BR4728" s="314"/>
      <c r="BS4728" s="314"/>
      <c r="BT4728" s="314"/>
      <c r="BU4728" s="314"/>
      <c r="BV4728" s="314"/>
      <c r="BW4728" s="314"/>
      <c r="BX4728" s="155"/>
    </row>
    <row r="4729" spans="1:76" ht="15.75" customHeight="1">
      <c r="A4729" s="25"/>
      <c r="B4729" s="39"/>
      <c r="C4729" s="155"/>
      <c r="D4729" s="155"/>
      <c r="E4729" s="40"/>
      <c r="F4729" s="314"/>
      <c r="H4729" s="315"/>
      <c r="I4729" s="315"/>
      <c r="BA4729" s="30"/>
      <c r="BB4729" s="155"/>
      <c r="BC4729" s="314"/>
      <c r="BD4729" s="314"/>
      <c r="BE4729" s="314"/>
      <c r="BF4729" s="314"/>
      <c r="BG4729" s="314"/>
      <c r="BH4729" s="314"/>
      <c r="BI4729" s="314"/>
      <c r="BJ4729" s="314"/>
      <c r="BK4729" s="40"/>
      <c r="BL4729" s="40"/>
      <c r="BM4729" s="40"/>
      <c r="BN4729" s="40"/>
      <c r="BO4729" s="40"/>
      <c r="BP4729" s="155"/>
      <c r="BQ4729" s="314"/>
      <c r="BR4729" s="314"/>
      <c r="BS4729" s="314"/>
      <c r="BT4729" s="314"/>
      <c r="BU4729" s="314"/>
      <c r="BV4729" s="314"/>
      <c r="BW4729" s="314"/>
      <c r="BX4729" s="155"/>
    </row>
    <row r="4730" spans="1:76" ht="15.75" customHeight="1">
      <c r="A4730" s="25"/>
      <c r="B4730" s="39"/>
      <c r="C4730" s="155"/>
      <c r="D4730" s="155"/>
      <c r="E4730" s="40"/>
      <c r="F4730" s="314"/>
      <c r="H4730" s="315"/>
      <c r="I4730" s="315"/>
      <c r="BA4730" s="30"/>
      <c r="BB4730" s="155"/>
      <c r="BC4730" s="314"/>
      <c r="BD4730" s="314"/>
      <c r="BE4730" s="314"/>
      <c r="BF4730" s="314"/>
      <c r="BG4730" s="314"/>
      <c r="BH4730" s="314"/>
      <c r="BI4730" s="314"/>
      <c r="BJ4730" s="314"/>
      <c r="BK4730" s="40"/>
      <c r="BL4730" s="40"/>
      <c r="BM4730" s="40"/>
      <c r="BN4730" s="40"/>
      <c r="BO4730" s="40"/>
      <c r="BP4730" s="155"/>
      <c r="BQ4730" s="314"/>
      <c r="BR4730" s="314"/>
      <c r="BS4730" s="314"/>
      <c r="BT4730" s="314"/>
      <c r="BU4730" s="314"/>
      <c r="BV4730" s="314"/>
      <c r="BW4730" s="314"/>
      <c r="BX4730" s="155"/>
    </row>
    <row r="4731" spans="1:76" ht="15.75" customHeight="1">
      <c r="A4731" s="25"/>
      <c r="B4731" s="39"/>
      <c r="C4731" s="155"/>
      <c r="D4731" s="155"/>
      <c r="E4731" s="40"/>
      <c r="F4731" s="314"/>
      <c r="H4731" s="315"/>
      <c r="I4731" s="315"/>
      <c r="BA4731" s="30"/>
      <c r="BB4731" s="155"/>
      <c r="BC4731" s="314"/>
      <c r="BD4731" s="314"/>
      <c r="BE4731" s="314"/>
      <c r="BF4731" s="314"/>
      <c r="BG4731" s="314"/>
      <c r="BH4731" s="314"/>
      <c r="BI4731" s="314"/>
      <c r="BJ4731" s="314"/>
      <c r="BK4731" s="40"/>
      <c r="BL4731" s="40"/>
      <c r="BM4731" s="40"/>
      <c r="BN4731" s="40"/>
      <c r="BO4731" s="40"/>
      <c r="BP4731" s="155"/>
      <c r="BQ4731" s="314"/>
      <c r="BR4731" s="314"/>
      <c r="BS4731" s="314"/>
      <c r="BT4731" s="314"/>
      <c r="BU4731" s="314"/>
      <c r="BV4731" s="314"/>
      <c r="BW4731" s="314"/>
      <c r="BX4731" s="155"/>
    </row>
    <row r="4732" spans="1:76" ht="15.75" customHeight="1">
      <c r="A4732" s="25"/>
      <c r="B4732" s="39"/>
      <c r="C4732" s="155"/>
      <c r="D4732" s="155"/>
      <c r="E4732" s="40"/>
      <c r="F4732" s="314"/>
      <c r="H4732" s="315"/>
      <c r="I4732" s="315"/>
      <c r="BA4732" s="30"/>
      <c r="BB4732" s="155"/>
      <c r="BC4732" s="322"/>
      <c r="BD4732" s="322"/>
      <c r="BE4732" s="322"/>
      <c r="BF4732" s="322"/>
      <c r="BG4732" s="322"/>
      <c r="BH4732" s="322"/>
      <c r="BI4732" s="322"/>
      <c r="BJ4732" s="322"/>
      <c r="BK4732" s="341"/>
      <c r="BL4732" s="40"/>
      <c r="BM4732" s="40"/>
      <c r="BN4732" s="40"/>
      <c r="BO4732" s="40"/>
      <c r="BP4732" s="155"/>
      <c r="BQ4732" s="314"/>
      <c r="BR4732" s="314"/>
      <c r="BS4732" s="314"/>
      <c r="BT4732" s="314"/>
      <c r="BU4732" s="314"/>
      <c r="BV4732" s="314"/>
      <c r="BW4732" s="314"/>
      <c r="BX4732" s="155"/>
    </row>
    <row r="4733" spans="1:76" ht="15.75" customHeight="1">
      <c r="A4733" s="25"/>
      <c r="B4733" s="39"/>
      <c r="C4733" s="155"/>
      <c r="D4733" s="155"/>
      <c r="E4733" s="40"/>
      <c r="F4733" s="314"/>
      <c r="H4733" s="315"/>
      <c r="I4733" s="315"/>
      <c r="BA4733" s="30"/>
      <c r="BB4733" s="155"/>
      <c r="BC4733" s="314"/>
      <c r="BD4733" s="314"/>
      <c r="BE4733" s="314"/>
      <c r="BF4733" s="314"/>
      <c r="BG4733" s="314"/>
      <c r="BH4733" s="314"/>
      <c r="BI4733" s="314"/>
      <c r="BJ4733" s="314"/>
      <c r="BK4733" s="40"/>
      <c r="BL4733" s="40"/>
      <c r="BM4733" s="40"/>
      <c r="BN4733" s="40"/>
      <c r="BO4733" s="40"/>
      <c r="BP4733" s="155"/>
      <c r="BQ4733" s="314"/>
      <c r="BR4733" s="314"/>
      <c r="BS4733" s="314"/>
      <c r="BT4733" s="314"/>
      <c r="BU4733" s="314"/>
      <c r="BV4733" s="314"/>
      <c r="BW4733" s="314"/>
      <c r="BX4733" s="155"/>
    </row>
    <row r="4734" spans="1:76" ht="15.75" customHeight="1">
      <c r="A4734" s="25"/>
      <c r="B4734" s="39"/>
      <c r="C4734" s="155"/>
      <c r="D4734" s="155"/>
      <c r="E4734" s="40"/>
      <c r="F4734" s="314"/>
      <c r="H4734" s="315"/>
      <c r="I4734" s="315"/>
      <c r="BA4734" s="30"/>
      <c r="BB4734" s="155"/>
      <c r="BC4734" s="314"/>
      <c r="BD4734" s="314"/>
      <c r="BE4734" s="314"/>
      <c r="BF4734" s="314"/>
      <c r="BG4734" s="314"/>
      <c r="BH4734" s="314"/>
      <c r="BI4734" s="314"/>
      <c r="BJ4734" s="314"/>
      <c r="BK4734" s="40"/>
      <c r="BL4734" s="40"/>
      <c r="BM4734" s="40"/>
      <c r="BN4734" s="40"/>
      <c r="BO4734" s="40"/>
      <c r="BP4734" s="155"/>
      <c r="BQ4734" s="314"/>
      <c r="BR4734" s="314"/>
      <c r="BS4734" s="314"/>
      <c r="BT4734" s="314"/>
      <c r="BU4734" s="314"/>
      <c r="BV4734" s="314"/>
      <c r="BW4734" s="314"/>
      <c r="BX4734" s="155"/>
    </row>
    <row r="4735" spans="1:76" ht="15.75" customHeight="1">
      <c r="A4735" s="25"/>
      <c r="B4735" s="39"/>
      <c r="C4735" s="155"/>
      <c r="D4735" s="155"/>
      <c r="E4735" s="40"/>
      <c r="F4735" s="314"/>
      <c r="H4735" s="315"/>
      <c r="I4735" s="315"/>
      <c r="BA4735" s="30"/>
      <c r="BB4735" s="155"/>
      <c r="BC4735" s="314"/>
      <c r="BD4735" s="314"/>
      <c r="BE4735" s="314"/>
      <c r="BF4735" s="314"/>
      <c r="BG4735" s="314"/>
      <c r="BH4735" s="314"/>
      <c r="BI4735" s="314"/>
      <c r="BJ4735" s="314"/>
      <c r="BK4735" s="40"/>
      <c r="BL4735" s="40"/>
      <c r="BM4735" s="40"/>
      <c r="BN4735" s="40"/>
      <c r="BO4735" s="40"/>
      <c r="BP4735" s="155"/>
      <c r="BQ4735" s="314"/>
      <c r="BR4735" s="314"/>
      <c r="BS4735" s="314"/>
      <c r="BT4735" s="314"/>
      <c r="BU4735" s="314"/>
      <c r="BV4735" s="314"/>
      <c r="BW4735" s="314"/>
      <c r="BX4735" s="155"/>
    </row>
    <row r="4736" spans="1:76" ht="15.75" customHeight="1">
      <c r="A4736" s="25"/>
      <c r="B4736" s="39"/>
      <c r="C4736" s="155"/>
      <c r="D4736" s="155"/>
      <c r="E4736" s="40"/>
      <c r="F4736" s="314"/>
      <c r="H4736" s="315"/>
      <c r="I4736" s="315"/>
      <c r="BA4736" s="30"/>
      <c r="BB4736" s="155"/>
      <c r="BC4736" s="314"/>
      <c r="BD4736" s="314"/>
      <c r="BE4736" s="314"/>
      <c r="BF4736" s="314"/>
      <c r="BG4736" s="314"/>
      <c r="BH4736" s="314"/>
      <c r="BI4736" s="314"/>
      <c r="BJ4736" s="314"/>
      <c r="BK4736" s="40"/>
      <c r="BL4736" s="40"/>
      <c r="BM4736" s="40"/>
      <c r="BN4736" s="40"/>
      <c r="BO4736" s="40"/>
      <c r="BP4736" s="155"/>
      <c r="BQ4736" s="314"/>
      <c r="BR4736" s="314"/>
      <c r="BS4736" s="314"/>
      <c r="BT4736" s="314"/>
      <c r="BU4736" s="314"/>
      <c r="BV4736" s="314"/>
      <c r="BW4736" s="314"/>
      <c r="BX4736" s="155"/>
    </row>
    <row r="4737" spans="1:76" ht="15.75" customHeight="1">
      <c r="A4737" s="25"/>
      <c r="B4737" s="39"/>
      <c r="C4737" s="155"/>
      <c r="D4737" s="155"/>
      <c r="E4737" s="40"/>
      <c r="F4737" s="314"/>
      <c r="H4737" s="315"/>
      <c r="I4737" s="315"/>
      <c r="BA4737" s="30"/>
      <c r="BB4737" s="155"/>
      <c r="BC4737" s="314"/>
      <c r="BD4737" s="314"/>
      <c r="BE4737" s="314"/>
      <c r="BF4737" s="314"/>
      <c r="BG4737" s="314"/>
      <c r="BH4737" s="314"/>
      <c r="BI4737" s="314"/>
      <c r="BJ4737" s="314"/>
      <c r="BK4737" s="40"/>
      <c r="BL4737" s="40"/>
      <c r="BM4737" s="40"/>
      <c r="BN4737" s="40"/>
      <c r="BO4737" s="40"/>
      <c r="BP4737" s="155"/>
      <c r="BQ4737" s="314"/>
      <c r="BR4737" s="314"/>
      <c r="BS4737" s="314"/>
      <c r="BT4737" s="314"/>
      <c r="BU4737" s="314"/>
      <c r="BV4737" s="314"/>
      <c r="BW4737" s="314"/>
      <c r="BX4737" s="155"/>
    </row>
    <row r="4738" spans="1:76" ht="15.75" customHeight="1">
      <c r="A4738" s="25"/>
      <c r="B4738" s="39"/>
      <c r="C4738" s="155"/>
      <c r="D4738" s="155"/>
      <c r="E4738" s="40"/>
      <c r="F4738" s="314"/>
      <c r="H4738" s="315"/>
      <c r="I4738" s="315"/>
      <c r="BA4738" s="30"/>
      <c r="BB4738" s="155"/>
      <c r="BC4738" s="314"/>
      <c r="BD4738" s="314"/>
      <c r="BE4738" s="314"/>
      <c r="BF4738" s="314"/>
      <c r="BG4738" s="314"/>
      <c r="BH4738" s="314"/>
      <c r="BI4738" s="314"/>
      <c r="BJ4738" s="314"/>
      <c r="BK4738" s="40"/>
      <c r="BL4738" s="40"/>
      <c r="BM4738" s="40"/>
      <c r="BN4738" s="40"/>
      <c r="BO4738" s="40"/>
      <c r="BP4738" s="155"/>
      <c r="BQ4738" s="314"/>
      <c r="BR4738" s="314"/>
      <c r="BS4738" s="314"/>
      <c r="BT4738" s="314"/>
      <c r="BU4738" s="314"/>
      <c r="BV4738" s="314"/>
      <c r="BW4738" s="314"/>
      <c r="BX4738" s="155"/>
    </row>
    <row r="4739" spans="1:76" ht="15.75" customHeight="1">
      <c r="A4739" s="25"/>
      <c r="B4739" s="39"/>
      <c r="C4739" s="155"/>
      <c r="D4739" s="155"/>
      <c r="E4739" s="40"/>
      <c r="F4739" s="314"/>
      <c r="H4739" s="315"/>
      <c r="I4739" s="315"/>
      <c r="BA4739" s="30"/>
      <c r="BB4739" s="155"/>
      <c r="BC4739" s="314"/>
      <c r="BD4739" s="314"/>
      <c r="BE4739" s="314"/>
      <c r="BF4739" s="314"/>
      <c r="BG4739" s="314"/>
      <c r="BH4739" s="314"/>
      <c r="BI4739" s="314"/>
      <c r="BJ4739" s="314"/>
      <c r="BK4739" s="40"/>
      <c r="BL4739" s="40"/>
      <c r="BM4739" s="40"/>
      <c r="BN4739" s="40"/>
      <c r="BO4739" s="40"/>
      <c r="BP4739" s="155"/>
      <c r="BQ4739" s="314"/>
      <c r="BR4739" s="314"/>
      <c r="BS4739" s="314"/>
      <c r="BT4739" s="314"/>
      <c r="BU4739" s="314"/>
      <c r="BV4739" s="314"/>
      <c r="BW4739" s="314"/>
      <c r="BX4739" s="155"/>
    </row>
    <row r="4740" spans="1:76" ht="15.75" customHeight="1">
      <c r="A4740" s="25"/>
      <c r="B4740" s="39"/>
      <c r="C4740" s="155"/>
      <c r="D4740" s="155"/>
      <c r="E4740" s="40"/>
      <c r="F4740" s="314"/>
      <c r="H4740" s="315"/>
      <c r="I4740" s="315"/>
      <c r="BA4740" s="30"/>
      <c r="BB4740" s="155"/>
      <c r="BC4740" s="314"/>
      <c r="BD4740" s="314"/>
      <c r="BE4740" s="314"/>
      <c r="BF4740" s="314"/>
      <c r="BG4740" s="314"/>
      <c r="BH4740" s="314"/>
      <c r="BI4740" s="314"/>
      <c r="BJ4740" s="314"/>
      <c r="BK4740" s="40"/>
      <c r="BL4740" s="40"/>
      <c r="BM4740" s="40"/>
      <c r="BN4740" s="40"/>
      <c r="BO4740" s="40"/>
      <c r="BP4740" s="155"/>
      <c r="BQ4740" s="314"/>
      <c r="BR4740" s="314"/>
      <c r="BS4740" s="314"/>
      <c r="BT4740" s="314"/>
      <c r="BU4740" s="314"/>
      <c r="BV4740" s="314"/>
      <c r="BW4740" s="314"/>
      <c r="BX4740" s="155"/>
    </row>
    <row r="4741" spans="1:76" ht="15.75" customHeight="1">
      <c r="A4741" s="25"/>
      <c r="B4741" s="39"/>
      <c r="C4741" s="155"/>
      <c r="D4741" s="155"/>
      <c r="E4741" s="40"/>
      <c r="F4741" s="314"/>
      <c r="H4741" s="315"/>
      <c r="I4741" s="315"/>
      <c r="BA4741" s="30"/>
      <c r="BB4741" s="155"/>
      <c r="BC4741" s="314"/>
      <c r="BD4741" s="314"/>
      <c r="BE4741" s="314"/>
      <c r="BF4741" s="314"/>
      <c r="BG4741" s="314"/>
      <c r="BH4741" s="314"/>
      <c r="BI4741" s="314"/>
      <c r="BJ4741" s="314"/>
      <c r="BK4741" s="40"/>
      <c r="BL4741" s="40"/>
      <c r="BM4741" s="40"/>
      <c r="BN4741" s="40"/>
      <c r="BO4741" s="40"/>
      <c r="BP4741" s="155"/>
      <c r="BQ4741" s="314"/>
      <c r="BR4741" s="314"/>
      <c r="BS4741" s="314"/>
      <c r="BT4741" s="314"/>
      <c r="BU4741" s="314"/>
      <c r="BV4741" s="314"/>
      <c r="BW4741" s="314"/>
      <c r="BX4741" s="155"/>
    </row>
    <row r="4742" spans="1:76" ht="15.75" customHeight="1">
      <c r="A4742" s="25"/>
      <c r="B4742" s="39"/>
      <c r="C4742" s="155"/>
      <c r="D4742" s="155"/>
      <c r="E4742" s="40"/>
      <c r="F4742" s="314"/>
      <c r="H4742" s="315"/>
      <c r="I4742" s="315"/>
      <c r="BA4742" s="30"/>
      <c r="BB4742" s="155"/>
      <c r="BC4742" s="314"/>
      <c r="BD4742" s="314"/>
      <c r="BE4742" s="314"/>
      <c r="BF4742" s="314"/>
      <c r="BG4742" s="314"/>
      <c r="BH4742" s="314"/>
      <c r="BI4742" s="314"/>
      <c r="BJ4742" s="314"/>
      <c r="BK4742" s="40"/>
      <c r="BL4742" s="40"/>
      <c r="BM4742" s="40"/>
      <c r="BN4742" s="40"/>
      <c r="BO4742" s="40"/>
      <c r="BP4742" s="155"/>
      <c r="BQ4742" s="314"/>
      <c r="BR4742" s="314"/>
      <c r="BS4742" s="314"/>
      <c r="BT4742" s="314"/>
      <c r="BU4742" s="314"/>
      <c r="BV4742" s="314"/>
      <c r="BW4742" s="314"/>
      <c r="BX4742" s="155"/>
    </row>
    <row r="4743" spans="1:76" ht="15.75" customHeight="1">
      <c r="A4743" s="25"/>
      <c r="B4743" s="39"/>
      <c r="C4743" s="155"/>
      <c r="D4743" s="155"/>
      <c r="E4743" s="40"/>
      <c r="F4743" s="314"/>
      <c r="H4743" s="315"/>
      <c r="I4743" s="315"/>
      <c r="BA4743" s="30"/>
      <c r="BB4743" s="155"/>
      <c r="BC4743" s="314"/>
      <c r="BD4743" s="314"/>
      <c r="BE4743" s="314"/>
      <c r="BF4743" s="314"/>
      <c r="BG4743" s="314"/>
      <c r="BH4743" s="314"/>
      <c r="BI4743" s="314"/>
      <c r="BJ4743" s="314"/>
      <c r="BK4743" s="40"/>
      <c r="BL4743" s="40"/>
      <c r="BM4743" s="40"/>
      <c r="BN4743" s="40"/>
      <c r="BO4743" s="40"/>
      <c r="BP4743" s="155"/>
      <c r="BQ4743" s="314"/>
      <c r="BR4743" s="314"/>
      <c r="BS4743" s="314"/>
      <c r="BT4743" s="314"/>
      <c r="BU4743" s="314"/>
      <c r="BV4743" s="314"/>
      <c r="BW4743" s="314"/>
      <c r="BX4743" s="155"/>
    </row>
    <row r="4744" spans="1:76" ht="15.75" customHeight="1">
      <c r="A4744" s="25"/>
      <c r="B4744" s="39"/>
      <c r="C4744" s="155"/>
      <c r="D4744" s="155"/>
      <c r="E4744" s="40"/>
      <c r="F4744" s="314"/>
      <c r="H4744" s="315"/>
      <c r="I4744" s="315"/>
      <c r="BA4744" s="30"/>
      <c r="BB4744" s="155"/>
      <c r="BC4744" s="314"/>
      <c r="BD4744" s="314"/>
      <c r="BE4744" s="314"/>
      <c r="BF4744" s="314"/>
      <c r="BG4744" s="314"/>
      <c r="BH4744" s="314"/>
      <c r="BI4744" s="314"/>
      <c r="BJ4744" s="314"/>
      <c r="BK4744" s="40"/>
      <c r="BL4744" s="40"/>
      <c r="BM4744" s="40"/>
      <c r="BN4744" s="40"/>
      <c r="BO4744" s="40"/>
      <c r="BP4744" s="155"/>
      <c r="BQ4744" s="314"/>
      <c r="BR4744" s="314"/>
      <c r="BS4744" s="314"/>
      <c r="BT4744" s="314"/>
      <c r="BU4744" s="314"/>
      <c r="BV4744" s="314"/>
      <c r="BW4744" s="314"/>
      <c r="BX4744" s="155"/>
    </row>
    <row r="4745" spans="1:76" ht="15.75" customHeight="1">
      <c r="A4745" s="25"/>
      <c r="B4745" s="39"/>
      <c r="C4745" s="155"/>
      <c r="D4745" s="155"/>
      <c r="E4745" s="40"/>
      <c r="F4745" s="314"/>
      <c r="H4745" s="315"/>
      <c r="I4745" s="315"/>
      <c r="BA4745" s="30"/>
      <c r="BB4745" s="155"/>
      <c r="BC4745" s="314"/>
      <c r="BD4745" s="314"/>
      <c r="BE4745" s="314"/>
      <c r="BF4745" s="314"/>
      <c r="BG4745" s="314"/>
      <c r="BH4745" s="314"/>
      <c r="BI4745" s="314"/>
      <c r="BJ4745" s="314"/>
      <c r="BK4745" s="40"/>
      <c r="BL4745" s="40"/>
      <c r="BM4745" s="40"/>
      <c r="BN4745" s="40"/>
      <c r="BO4745" s="40"/>
      <c r="BP4745" s="155"/>
      <c r="BQ4745" s="314"/>
      <c r="BR4745" s="314"/>
      <c r="BS4745" s="314"/>
      <c r="BT4745" s="314"/>
      <c r="BU4745" s="314"/>
      <c r="BV4745" s="314"/>
      <c r="BW4745" s="314"/>
      <c r="BX4745" s="155"/>
    </row>
    <row r="4746" spans="1:76" ht="15.75" customHeight="1">
      <c r="A4746" s="25"/>
      <c r="B4746" s="39"/>
      <c r="C4746" s="155"/>
      <c r="D4746" s="155"/>
      <c r="E4746" s="40"/>
      <c r="F4746" s="314"/>
      <c r="H4746" s="315"/>
      <c r="I4746" s="315"/>
      <c r="BA4746" s="30"/>
      <c r="BB4746" s="155"/>
      <c r="BC4746" s="314"/>
      <c r="BD4746" s="314"/>
      <c r="BE4746" s="314"/>
      <c r="BF4746" s="314"/>
      <c r="BG4746" s="314"/>
      <c r="BH4746" s="314"/>
      <c r="BI4746" s="314"/>
      <c r="BJ4746" s="314"/>
      <c r="BK4746" s="40"/>
      <c r="BL4746" s="40"/>
      <c r="BM4746" s="40"/>
      <c r="BN4746" s="40"/>
      <c r="BO4746" s="40"/>
      <c r="BP4746" s="155"/>
      <c r="BQ4746" s="314"/>
      <c r="BR4746" s="314"/>
      <c r="BS4746" s="314"/>
      <c r="BT4746" s="314"/>
      <c r="BU4746" s="314"/>
      <c r="BV4746" s="314"/>
      <c r="BW4746" s="314"/>
      <c r="BX4746" s="155"/>
    </row>
    <row r="4747" spans="1:76" ht="15.75" customHeight="1">
      <c r="A4747" s="25"/>
      <c r="B4747" s="39"/>
      <c r="C4747" s="155"/>
      <c r="D4747" s="155"/>
      <c r="E4747" s="40"/>
      <c r="F4747" s="314"/>
      <c r="H4747" s="315"/>
      <c r="I4747" s="315"/>
      <c r="BA4747" s="30"/>
      <c r="BB4747" s="155"/>
      <c r="BC4747" s="314"/>
      <c r="BD4747" s="314"/>
      <c r="BE4747" s="314"/>
      <c r="BF4747" s="314"/>
      <c r="BG4747" s="314"/>
      <c r="BH4747" s="314"/>
      <c r="BI4747" s="314"/>
      <c r="BJ4747" s="314"/>
      <c r="BK4747" s="40"/>
      <c r="BL4747" s="40"/>
      <c r="BM4747" s="40"/>
      <c r="BN4747" s="40"/>
      <c r="BO4747" s="40"/>
      <c r="BP4747" s="155"/>
      <c r="BQ4747" s="314"/>
      <c r="BR4747" s="314"/>
      <c r="BS4747" s="314"/>
      <c r="BT4747" s="314"/>
      <c r="BU4747" s="314"/>
      <c r="BV4747" s="314"/>
      <c r="BW4747" s="314"/>
      <c r="BX4747" s="155"/>
    </row>
    <row r="4748" spans="1:76" ht="15.75" customHeight="1">
      <c r="A4748" s="25"/>
      <c r="B4748" s="39"/>
      <c r="C4748" s="155"/>
      <c r="D4748" s="155"/>
      <c r="E4748" s="40"/>
      <c r="F4748" s="314"/>
      <c r="H4748" s="315"/>
      <c r="I4748" s="315"/>
      <c r="BA4748" s="30"/>
      <c r="BB4748" s="155"/>
      <c r="BC4748" s="314"/>
      <c r="BD4748" s="314"/>
      <c r="BE4748" s="314"/>
      <c r="BF4748" s="314"/>
      <c r="BG4748" s="314"/>
      <c r="BH4748" s="314"/>
      <c r="BI4748" s="314"/>
      <c r="BJ4748" s="314"/>
      <c r="BK4748" s="40"/>
      <c r="BL4748" s="40"/>
      <c r="BM4748" s="40"/>
      <c r="BN4748" s="40"/>
      <c r="BO4748" s="40"/>
      <c r="BP4748" s="155"/>
      <c r="BQ4748" s="314"/>
      <c r="BR4748" s="314"/>
      <c r="BS4748" s="314"/>
      <c r="BT4748" s="314"/>
      <c r="BU4748" s="314"/>
      <c r="BV4748" s="314"/>
      <c r="BW4748" s="314"/>
      <c r="BX4748" s="155"/>
    </row>
    <row r="4749" spans="1:76" ht="15.75" customHeight="1">
      <c r="A4749" s="25"/>
      <c r="B4749" s="39"/>
      <c r="C4749" s="155"/>
      <c r="D4749" s="155"/>
      <c r="E4749" s="40"/>
      <c r="F4749" s="314"/>
      <c r="H4749" s="315"/>
      <c r="I4749" s="315"/>
      <c r="BA4749" s="30"/>
      <c r="BB4749" s="155"/>
      <c r="BC4749" s="314"/>
      <c r="BD4749" s="314"/>
      <c r="BE4749" s="314"/>
      <c r="BF4749" s="314"/>
      <c r="BG4749" s="314"/>
      <c r="BH4749" s="314"/>
      <c r="BI4749" s="314"/>
      <c r="BJ4749" s="314"/>
      <c r="BK4749" s="40"/>
      <c r="BL4749" s="40"/>
      <c r="BM4749" s="40"/>
      <c r="BN4749" s="40"/>
      <c r="BO4749" s="40"/>
      <c r="BP4749" s="155"/>
      <c r="BQ4749" s="314"/>
      <c r="BR4749" s="314"/>
      <c r="BS4749" s="314"/>
      <c r="BT4749" s="314"/>
      <c r="BU4749" s="314"/>
      <c r="BV4749" s="314"/>
      <c r="BW4749" s="314"/>
      <c r="BX4749" s="155"/>
    </row>
    <row r="4750" spans="1:76" ht="15.75" customHeight="1">
      <c r="A4750" s="25"/>
      <c r="B4750" s="39"/>
      <c r="C4750" s="155"/>
      <c r="D4750" s="155"/>
      <c r="E4750" s="40"/>
      <c r="F4750" s="314"/>
      <c r="H4750" s="315"/>
      <c r="I4750" s="315"/>
      <c r="BA4750" s="30"/>
      <c r="BB4750" s="155"/>
      <c r="BC4750" s="322"/>
      <c r="BD4750" s="322"/>
      <c r="BE4750" s="322"/>
      <c r="BF4750" s="322"/>
      <c r="BG4750" s="322"/>
      <c r="BH4750" s="322"/>
      <c r="BI4750" s="322"/>
      <c r="BJ4750" s="322"/>
      <c r="BK4750" s="341"/>
      <c r="BL4750" s="40"/>
      <c r="BM4750" s="40"/>
      <c r="BN4750" s="40"/>
      <c r="BO4750" s="40"/>
      <c r="BP4750" s="155"/>
      <c r="BQ4750" s="314"/>
      <c r="BR4750" s="314"/>
      <c r="BS4750" s="314"/>
      <c r="BT4750" s="314"/>
      <c r="BU4750" s="314"/>
      <c r="BV4750" s="314"/>
      <c r="BW4750" s="314"/>
      <c r="BX4750" s="155"/>
    </row>
    <row r="4751" spans="1:76" ht="15.75" customHeight="1">
      <c r="A4751" s="25"/>
      <c r="B4751" s="39"/>
      <c r="C4751" s="155"/>
      <c r="D4751" s="155"/>
      <c r="E4751" s="40"/>
      <c r="F4751" s="314"/>
      <c r="H4751" s="315"/>
      <c r="I4751" s="315"/>
      <c r="BA4751" s="30"/>
      <c r="BB4751" s="155"/>
      <c r="BC4751" s="314"/>
      <c r="BD4751" s="314"/>
      <c r="BE4751" s="314"/>
      <c r="BF4751" s="314"/>
      <c r="BG4751" s="314"/>
      <c r="BH4751" s="314"/>
      <c r="BI4751" s="314"/>
      <c r="BJ4751" s="314"/>
      <c r="BK4751" s="40"/>
      <c r="BL4751" s="40"/>
      <c r="BM4751" s="40"/>
      <c r="BN4751" s="40"/>
      <c r="BO4751" s="40"/>
      <c r="BP4751" s="155"/>
      <c r="BQ4751" s="314"/>
      <c r="BR4751" s="314"/>
      <c r="BS4751" s="314"/>
      <c r="BT4751" s="314"/>
      <c r="BU4751" s="314"/>
      <c r="BV4751" s="314"/>
      <c r="BW4751" s="314"/>
      <c r="BX4751" s="155"/>
    </row>
    <row r="4752" spans="1:76" ht="15.75" customHeight="1">
      <c r="A4752" s="25"/>
      <c r="B4752" s="39"/>
      <c r="C4752" s="155"/>
      <c r="D4752" s="155"/>
      <c r="E4752" s="40"/>
      <c r="F4752" s="314"/>
      <c r="H4752" s="315"/>
      <c r="I4752" s="315"/>
      <c r="BA4752" s="30"/>
      <c r="BB4752" s="155"/>
      <c r="BC4752" s="314"/>
      <c r="BD4752" s="314"/>
      <c r="BE4752" s="314"/>
      <c r="BF4752" s="314"/>
      <c r="BG4752" s="314"/>
      <c r="BH4752" s="314"/>
      <c r="BI4752" s="314"/>
      <c r="BJ4752" s="314"/>
      <c r="BK4752" s="40"/>
      <c r="BL4752" s="40"/>
      <c r="BM4752" s="40"/>
      <c r="BN4752" s="40"/>
      <c r="BO4752" s="40"/>
      <c r="BP4752" s="155"/>
      <c r="BQ4752" s="314"/>
      <c r="BR4752" s="314"/>
      <c r="BS4752" s="314"/>
      <c r="BT4752" s="314"/>
      <c r="BU4752" s="314"/>
      <c r="BV4752" s="314"/>
      <c r="BW4752" s="314"/>
      <c r="BX4752" s="155"/>
    </row>
    <row r="4753" spans="1:76" ht="15.75" customHeight="1">
      <c r="A4753" s="25"/>
      <c r="B4753" s="39"/>
      <c r="C4753" s="155"/>
      <c r="D4753" s="155"/>
      <c r="E4753" s="40"/>
      <c r="F4753" s="314"/>
      <c r="H4753" s="315"/>
      <c r="I4753" s="315"/>
      <c r="BA4753" s="30"/>
      <c r="BB4753" s="155"/>
      <c r="BC4753" s="314"/>
      <c r="BD4753" s="314"/>
      <c r="BE4753" s="314"/>
      <c r="BF4753" s="314"/>
      <c r="BG4753" s="314"/>
      <c r="BH4753" s="314"/>
      <c r="BI4753" s="314"/>
      <c r="BJ4753" s="314"/>
      <c r="BK4753" s="40"/>
      <c r="BL4753" s="40"/>
      <c r="BM4753" s="40"/>
      <c r="BN4753" s="40"/>
      <c r="BO4753" s="40"/>
      <c r="BP4753" s="155"/>
      <c r="BQ4753" s="314"/>
      <c r="BR4753" s="314"/>
      <c r="BS4753" s="314"/>
      <c r="BT4753" s="314"/>
      <c r="BU4753" s="314"/>
      <c r="BV4753" s="314"/>
      <c r="BW4753" s="314"/>
      <c r="BX4753" s="155"/>
    </row>
    <row r="4754" spans="1:76" ht="15.75" customHeight="1">
      <c r="A4754" s="25"/>
      <c r="B4754" s="39"/>
      <c r="C4754" s="155"/>
      <c r="D4754" s="155"/>
      <c r="E4754" s="40"/>
      <c r="F4754" s="314"/>
      <c r="H4754" s="315"/>
      <c r="I4754" s="315"/>
      <c r="BA4754" s="30"/>
      <c r="BB4754" s="155"/>
      <c r="BC4754" s="314"/>
      <c r="BD4754" s="314"/>
      <c r="BE4754" s="314"/>
      <c r="BF4754" s="314"/>
      <c r="BG4754" s="314"/>
      <c r="BH4754" s="314"/>
      <c r="BI4754" s="314"/>
      <c r="BJ4754" s="314"/>
      <c r="BK4754" s="40"/>
      <c r="BL4754" s="40"/>
      <c r="BM4754" s="40"/>
      <c r="BN4754" s="40"/>
      <c r="BO4754" s="40"/>
      <c r="BP4754" s="155"/>
      <c r="BQ4754" s="314"/>
      <c r="BR4754" s="314"/>
      <c r="BS4754" s="314"/>
      <c r="BT4754" s="314"/>
      <c r="BU4754" s="314"/>
      <c r="BV4754" s="314"/>
      <c r="BW4754" s="314"/>
      <c r="BX4754" s="155"/>
    </row>
    <row r="4755" spans="1:76" ht="15.75" customHeight="1">
      <c r="A4755" s="25"/>
      <c r="B4755" s="39"/>
      <c r="C4755" s="155"/>
      <c r="D4755" s="155"/>
      <c r="E4755" s="40"/>
      <c r="F4755" s="314"/>
      <c r="H4755" s="315"/>
      <c r="I4755" s="315"/>
      <c r="BA4755" s="30"/>
      <c r="BB4755" s="155"/>
      <c r="BC4755" s="314"/>
      <c r="BD4755" s="314"/>
      <c r="BE4755" s="314"/>
      <c r="BF4755" s="314"/>
      <c r="BG4755" s="314"/>
      <c r="BH4755" s="314"/>
      <c r="BI4755" s="314"/>
      <c r="BJ4755" s="314"/>
      <c r="BK4755" s="40"/>
      <c r="BL4755" s="40"/>
      <c r="BM4755" s="40"/>
      <c r="BN4755" s="40"/>
      <c r="BO4755" s="40"/>
      <c r="BP4755" s="155"/>
      <c r="BQ4755" s="314"/>
      <c r="BR4755" s="314"/>
      <c r="BS4755" s="314"/>
      <c r="BT4755" s="314"/>
      <c r="BU4755" s="314"/>
      <c r="BV4755" s="314"/>
      <c r="BW4755" s="314"/>
      <c r="BX4755" s="155"/>
    </row>
    <row r="4756" spans="1:76" ht="15.75" customHeight="1">
      <c r="A4756" s="25"/>
      <c r="B4756" s="39"/>
      <c r="C4756" s="155"/>
      <c r="D4756" s="155"/>
      <c r="E4756" s="40"/>
      <c r="F4756" s="314"/>
      <c r="H4756" s="315"/>
      <c r="I4756" s="315"/>
      <c r="BA4756" s="30"/>
      <c r="BB4756" s="155"/>
      <c r="BC4756" s="314"/>
      <c r="BD4756" s="314"/>
      <c r="BE4756" s="314"/>
      <c r="BF4756" s="314"/>
      <c r="BG4756" s="314"/>
      <c r="BH4756" s="314"/>
      <c r="BI4756" s="314"/>
      <c r="BJ4756" s="314"/>
      <c r="BK4756" s="40"/>
      <c r="BL4756" s="40"/>
      <c r="BM4756" s="40"/>
      <c r="BN4756" s="40"/>
      <c r="BO4756" s="40"/>
      <c r="BP4756" s="155"/>
      <c r="BQ4756" s="314"/>
      <c r="BR4756" s="314"/>
      <c r="BS4756" s="314"/>
      <c r="BT4756" s="314"/>
      <c r="BU4756" s="314"/>
      <c r="BV4756" s="314"/>
      <c r="BW4756" s="314"/>
      <c r="BX4756" s="155"/>
    </row>
    <row r="4757" spans="1:76" ht="15.75" customHeight="1">
      <c r="A4757" s="25"/>
      <c r="B4757" s="39"/>
      <c r="C4757" s="155"/>
      <c r="D4757" s="155"/>
      <c r="E4757" s="40"/>
      <c r="F4757" s="314"/>
      <c r="H4757" s="315"/>
      <c r="I4757" s="315"/>
      <c r="BA4757" s="30"/>
      <c r="BB4757" s="155"/>
      <c r="BC4757" s="314"/>
      <c r="BD4757" s="314"/>
      <c r="BE4757" s="314"/>
      <c r="BF4757" s="314"/>
      <c r="BG4757" s="314"/>
      <c r="BH4757" s="314"/>
      <c r="BI4757" s="314"/>
      <c r="BJ4757" s="314"/>
      <c r="BK4757" s="40"/>
      <c r="BL4757" s="40"/>
      <c r="BM4757" s="40"/>
      <c r="BN4757" s="40"/>
      <c r="BO4757" s="40"/>
      <c r="BP4757" s="155"/>
      <c r="BQ4757" s="314"/>
      <c r="BR4757" s="314"/>
      <c r="BS4757" s="314"/>
      <c r="BT4757" s="314"/>
      <c r="BU4757" s="314"/>
      <c r="BV4757" s="314"/>
      <c r="BW4757" s="314"/>
      <c r="BX4757" s="155"/>
    </row>
    <row r="4758" spans="1:76" ht="15.75" customHeight="1">
      <c r="A4758" s="25"/>
      <c r="B4758" s="39"/>
      <c r="C4758" s="155"/>
      <c r="D4758" s="155"/>
      <c r="E4758" s="40"/>
      <c r="F4758" s="314"/>
      <c r="H4758" s="315"/>
      <c r="I4758" s="315"/>
      <c r="BA4758" s="30"/>
      <c r="BB4758" s="155"/>
      <c r="BC4758" s="314"/>
      <c r="BD4758" s="314"/>
      <c r="BE4758" s="314"/>
      <c r="BF4758" s="314"/>
      <c r="BG4758" s="314"/>
      <c r="BH4758" s="314"/>
      <c r="BI4758" s="314"/>
      <c r="BJ4758" s="314"/>
      <c r="BK4758" s="40"/>
      <c r="BL4758" s="40"/>
      <c r="BM4758" s="40"/>
      <c r="BN4758" s="40"/>
      <c r="BO4758" s="40"/>
      <c r="BP4758" s="155"/>
      <c r="BQ4758" s="314"/>
      <c r="BR4758" s="314"/>
      <c r="BS4758" s="314"/>
      <c r="BT4758" s="314"/>
      <c r="BU4758" s="314"/>
      <c r="BV4758" s="314"/>
      <c r="BW4758" s="314"/>
      <c r="BX4758" s="155"/>
    </row>
    <row r="4759" spans="1:76" ht="15.75" customHeight="1">
      <c r="A4759" s="25"/>
      <c r="B4759" s="39"/>
      <c r="C4759" s="155"/>
      <c r="D4759" s="155"/>
      <c r="E4759" s="40"/>
      <c r="F4759" s="314"/>
      <c r="H4759" s="315"/>
      <c r="I4759" s="315"/>
      <c r="BA4759" s="30"/>
      <c r="BB4759" s="155"/>
      <c r="BC4759" s="314"/>
      <c r="BD4759" s="314"/>
      <c r="BE4759" s="314"/>
      <c r="BF4759" s="314"/>
      <c r="BG4759" s="314"/>
      <c r="BH4759" s="314"/>
      <c r="BI4759" s="314"/>
      <c r="BJ4759" s="314"/>
      <c r="BK4759" s="40"/>
      <c r="BL4759" s="40"/>
      <c r="BM4759" s="40"/>
      <c r="BN4759" s="40"/>
      <c r="BO4759" s="40"/>
      <c r="BP4759" s="155"/>
      <c r="BQ4759" s="314"/>
      <c r="BR4759" s="314"/>
      <c r="BS4759" s="314"/>
      <c r="BT4759" s="314"/>
      <c r="BU4759" s="314"/>
      <c r="BV4759" s="314"/>
      <c r="BW4759" s="314"/>
      <c r="BX4759" s="155"/>
    </row>
    <row r="4760" spans="1:76" ht="15.75" customHeight="1">
      <c r="A4760" s="25"/>
      <c r="B4760" s="39"/>
      <c r="C4760" s="155"/>
      <c r="D4760" s="155"/>
      <c r="E4760" s="40"/>
      <c r="F4760" s="314"/>
      <c r="H4760" s="315"/>
      <c r="I4760" s="315"/>
      <c r="BA4760" s="30"/>
      <c r="BB4760" s="155"/>
      <c r="BC4760" s="314"/>
      <c r="BD4760" s="314"/>
      <c r="BE4760" s="314"/>
      <c r="BF4760" s="314"/>
      <c r="BG4760" s="314"/>
      <c r="BH4760" s="314"/>
      <c r="BI4760" s="314"/>
      <c r="BJ4760" s="314"/>
      <c r="BK4760" s="40"/>
      <c r="BL4760" s="40"/>
      <c r="BM4760" s="40"/>
      <c r="BN4760" s="40"/>
      <c r="BO4760" s="40"/>
      <c r="BP4760" s="155"/>
      <c r="BQ4760" s="314"/>
      <c r="BR4760" s="314"/>
      <c r="BS4760" s="314"/>
      <c r="BT4760" s="314"/>
      <c r="BU4760" s="314"/>
      <c r="BV4760" s="314"/>
      <c r="BW4760" s="314"/>
      <c r="BX4760" s="155"/>
    </row>
    <row r="4761" spans="1:76" ht="15.75" customHeight="1">
      <c r="A4761" s="25"/>
      <c r="B4761" s="39"/>
      <c r="C4761" s="155"/>
      <c r="D4761" s="155"/>
      <c r="E4761" s="40"/>
      <c r="F4761" s="314"/>
      <c r="H4761" s="315"/>
      <c r="I4761" s="315"/>
      <c r="BA4761" s="30"/>
      <c r="BB4761" s="155"/>
      <c r="BC4761" s="314"/>
      <c r="BD4761" s="314"/>
      <c r="BE4761" s="314"/>
      <c r="BF4761" s="314"/>
      <c r="BG4761" s="314"/>
      <c r="BH4761" s="314"/>
      <c r="BI4761" s="314"/>
      <c r="BJ4761" s="314"/>
      <c r="BK4761" s="40"/>
      <c r="BL4761" s="40"/>
      <c r="BM4761" s="40"/>
      <c r="BN4761" s="40"/>
      <c r="BO4761" s="40"/>
      <c r="BP4761" s="155"/>
      <c r="BQ4761" s="314"/>
      <c r="BR4761" s="314"/>
      <c r="BS4761" s="314"/>
      <c r="BT4761" s="314"/>
      <c r="BU4761" s="314"/>
      <c r="BV4761" s="314"/>
      <c r="BW4761" s="314"/>
      <c r="BX4761" s="155"/>
    </row>
    <row r="4762" spans="1:76" ht="15.75" customHeight="1">
      <c r="A4762" s="25"/>
      <c r="B4762" s="39"/>
      <c r="C4762" s="155"/>
      <c r="D4762" s="155"/>
      <c r="E4762" s="40"/>
      <c r="F4762" s="314"/>
      <c r="H4762" s="315"/>
      <c r="I4762" s="315"/>
      <c r="BA4762" s="30"/>
      <c r="BB4762" s="155"/>
      <c r="BC4762" s="314"/>
      <c r="BD4762" s="314"/>
      <c r="BE4762" s="314"/>
      <c r="BF4762" s="314"/>
      <c r="BG4762" s="314"/>
      <c r="BH4762" s="314"/>
      <c r="BI4762" s="314"/>
      <c r="BJ4762" s="314"/>
      <c r="BK4762" s="40"/>
      <c r="BL4762" s="40"/>
      <c r="BM4762" s="40"/>
      <c r="BN4762" s="40"/>
      <c r="BO4762" s="40"/>
      <c r="BP4762" s="155"/>
      <c r="BQ4762" s="314"/>
      <c r="BR4762" s="314"/>
      <c r="BS4762" s="314"/>
      <c r="BT4762" s="314"/>
      <c r="BU4762" s="314"/>
      <c r="BV4762" s="314"/>
      <c r="BW4762" s="314"/>
      <c r="BX4762" s="155"/>
    </row>
    <row r="4763" spans="1:76" ht="15.75" customHeight="1">
      <c r="A4763" s="25"/>
      <c r="B4763" s="39"/>
      <c r="C4763" s="155"/>
      <c r="D4763" s="155"/>
      <c r="E4763" s="40"/>
      <c r="F4763" s="314"/>
      <c r="H4763" s="315"/>
      <c r="I4763" s="315"/>
      <c r="BA4763" s="30"/>
      <c r="BB4763" s="155"/>
      <c r="BC4763" s="314"/>
      <c r="BD4763" s="314"/>
      <c r="BE4763" s="314"/>
      <c r="BF4763" s="314"/>
      <c r="BG4763" s="314"/>
      <c r="BH4763" s="314"/>
      <c r="BI4763" s="314"/>
      <c r="BJ4763" s="314"/>
      <c r="BK4763" s="40"/>
      <c r="BL4763" s="40"/>
      <c r="BM4763" s="40"/>
      <c r="BN4763" s="40"/>
      <c r="BO4763" s="40"/>
      <c r="BP4763" s="155"/>
      <c r="BQ4763" s="314"/>
      <c r="BR4763" s="314"/>
      <c r="BS4763" s="314"/>
      <c r="BT4763" s="314"/>
      <c r="BU4763" s="314"/>
      <c r="BV4763" s="314"/>
      <c r="BW4763" s="314"/>
      <c r="BX4763" s="155"/>
    </row>
    <row r="4764" spans="1:76" ht="15.75" customHeight="1">
      <c r="A4764" s="25"/>
      <c r="B4764" s="39"/>
      <c r="C4764" s="155"/>
      <c r="D4764" s="155"/>
      <c r="E4764" s="40"/>
      <c r="F4764" s="314"/>
      <c r="H4764" s="315"/>
      <c r="I4764" s="315"/>
      <c r="BA4764" s="30"/>
      <c r="BB4764" s="155"/>
      <c r="BC4764" s="314"/>
      <c r="BD4764" s="314"/>
      <c r="BE4764" s="314"/>
      <c r="BF4764" s="314"/>
      <c r="BG4764" s="314"/>
      <c r="BH4764" s="314"/>
      <c r="BI4764" s="314"/>
      <c r="BJ4764" s="314"/>
      <c r="BK4764" s="40"/>
      <c r="BL4764" s="40"/>
      <c r="BM4764" s="40"/>
      <c r="BN4764" s="40"/>
      <c r="BO4764" s="40"/>
      <c r="BP4764" s="155"/>
      <c r="BQ4764" s="314"/>
      <c r="BR4764" s="314"/>
      <c r="BS4764" s="314"/>
      <c r="BT4764" s="314"/>
      <c r="BU4764" s="314"/>
      <c r="BV4764" s="314"/>
      <c r="BW4764" s="314"/>
      <c r="BX4764" s="155"/>
    </row>
    <row r="4765" spans="1:76" ht="15.75" customHeight="1">
      <c r="A4765" s="25"/>
      <c r="B4765" s="39"/>
      <c r="C4765" s="155"/>
      <c r="D4765" s="155"/>
      <c r="E4765" s="40"/>
      <c r="F4765" s="314"/>
      <c r="H4765" s="315"/>
      <c r="I4765" s="315"/>
      <c r="BA4765" s="30"/>
      <c r="BB4765" s="155"/>
      <c r="BC4765" s="314"/>
      <c r="BD4765" s="314"/>
      <c r="BE4765" s="314"/>
      <c r="BF4765" s="314"/>
      <c r="BG4765" s="314"/>
      <c r="BH4765" s="314"/>
      <c r="BI4765" s="314"/>
      <c r="BJ4765" s="314"/>
      <c r="BK4765" s="40"/>
      <c r="BL4765" s="40"/>
      <c r="BM4765" s="40"/>
      <c r="BN4765" s="40"/>
      <c r="BO4765" s="40"/>
      <c r="BP4765" s="155"/>
      <c r="BQ4765" s="314"/>
      <c r="BR4765" s="314"/>
      <c r="BS4765" s="314"/>
      <c r="BT4765" s="314"/>
      <c r="BU4765" s="314"/>
      <c r="BV4765" s="314"/>
      <c r="BW4765" s="314"/>
      <c r="BX4765" s="155"/>
    </row>
    <row r="4766" spans="1:76" ht="15.75" customHeight="1">
      <c r="A4766" s="25"/>
      <c r="B4766" s="39"/>
      <c r="C4766" s="155"/>
      <c r="D4766" s="155"/>
      <c r="E4766" s="40"/>
      <c r="F4766" s="314"/>
      <c r="H4766" s="315"/>
      <c r="I4766" s="315"/>
      <c r="BA4766" s="30"/>
      <c r="BB4766" s="155"/>
      <c r="BC4766" s="314"/>
      <c r="BD4766" s="314"/>
      <c r="BE4766" s="314"/>
      <c r="BF4766" s="314"/>
      <c r="BG4766" s="314"/>
      <c r="BH4766" s="314"/>
      <c r="BI4766" s="314"/>
      <c r="BJ4766" s="314"/>
      <c r="BK4766" s="40"/>
      <c r="BL4766" s="40"/>
      <c r="BM4766" s="40"/>
      <c r="BN4766" s="40"/>
      <c r="BO4766" s="40"/>
      <c r="BP4766" s="155"/>
      <c r="BQ4766" s="314"/>
      <c r="BR4766" s="314"/>
      <c r="BS4766" s="314"/>
      <c r="BT4766" s="314"/>
      <c r="BU4766" s="314"/>
      <c r="BV4766" s="314"/>
      <c r="BW4766" s="314"/>
      <c r="BX4766" s="155"/>
    </row>
    <row r="4767" spans="1:76" ht="15.75" customHeight="1">
      <c r="A4767" s="25"/>
      <c r="B4767" s="39"/>
      <c r="C4767" s="155"/>
      <c r="D4767" s="155"/>
      <c r="E4767" s="40"/>
      <c r="F4767" s="314"/>
      <c r="H4767" s="315"/>
      <c r="I4767" s="315"/>
      <c r="BA4767" s="30"/>
      <c r="BB4767" s="155"/>
      <c r="BC4767" s="314"/>
      <c r="BD4767" s="314"/>
      <c r="BE4767" s="314"/>
      <c r="BF4767" s="314"/>
      <c r="BG4767" s="314"/>
      <c r="BH4767" s="314"/>
      <c r="BI4767" s="314"/>
      <c r="BJ4767" s="314"/>
      <c r="BK4767" s="40"/>
      <c r="BL4767" s="40"/>
      <c r="BM4767" s="40"/>
      <c r="BN4767" s="40"/>
      <c r="BO4767" s="40"/>
      <c r="BP4767" s="155"/>
      <c r="BQ4767" s="314"/>
      <c r="BR4767" s="314"/>
      <c r="BS4767" s="314"/>
      <c r="BT4767" s="314"/>
      <c r="BU4767" s="314"/>
      <c r="BV4767" s="314"/>
      <c r="BW4767" s="314"/>
      <c r="BX4767" s="155"/>
    </row>
    <row r="4768" spans="1:76" ht="15.75" customHeight="1">
      <c r="A4768" s="25"/>
      <c r="B4768" s="39"/>
      <c r="C4768" s="155"/>
      <c r="D4768" s="155"/>
      <c r="E4768" s="40"/>
      <c r="F4768" s="314"/>
      <c r="H4768" s="315"/>
      <c r="I4768" s="315"/>
      <c r="BA4768" s="30"/>
      <c r="BB4768" s="155"/>
      <c r="BC4768" s="314"/>
      <c r="BD4768" s="314"/>
      <c r="BE4768" s="314"/>
      <c r="BF4768" s="314"/>
      <c r="BG4768" s="314"/>
      <c r="BH4768" s="314"/>
      <c r="BI4768" s="314"/>
      <c r="BJ4768" s="314"/>
      <c r="BK4768" s="40"/>
      <c r="BL4768" s="40"/>
      <c r="BM4768" s="40"/>
      <c r="BN4768" s="40"/>
      <c r="BO4768" s="40"/>
      <c r="BP4768" s="155"/>
      <c r="BQ4768" s="314"/>
      <c r="BR4768" s="314"/>
      <c r="BS4768" s="314"/>
      <c r="BT4768" s="314"/>
      <c r="BU4768" s="314"/>
      <c r="BV4768" s="314"/>
      <c r="BW4768" s="314"/>
      <c r="BX4768" s="155"/>
    </row>
    <row r="4769" spans="1:76" ht="15.75" customHeight="1">
      <c r="A4769" s="25"/>
      <c r="B4769" s="39"/>
      <c r="C4769" s="155"/>
      <c r="D4769" s="155"/>
      <c r="E4769" s="40"/>
      <c r="F4769" s="314"/>
      <c r="H4769" s="315"/>
      <c r="I4769" s="315"/>
      <c r="BA4769" s="30"/>
      <c r="BB4769" s="155"/>
      <c r="BC4769" s="322"/>
      <c r="BD4769" s="322"/>
      <c r="BE4769" s="322"/>
      <c r="BF4769" s="322"/>
      <c r="BG4769" s="322"/>
      <c r="BH4769" s="322"/>
      <c r="BI4769" s="322"/>
      <c r="BJ4769" s="322"/>
      <c r="BK4769" s="341"/>
      <c r="BL4769" s="40"/>
      <c r="BM4769" s="40"/>
      <c r="BN4769" s="40"/>
      <c r="BO4769" s="40"/>
      <c r="BP4769" s="155"/>
      <c r="BQ4769" s="314"/>
      <c r="BR4769" s="314"/>
      <c r="BS4769" s="314"/>
      <c r="BT4769" s="314"/>
      <c r="BU4769" s="314"/>
      <c r="BV4769" s="314"/>
      <c r="BW4769" s="314"/>
      <c r="BX4769" s="155"/>
    </row>
    <row r="4770" spans="1:76" ht="15.75" customHeight="1">
      <c r="A4770" s="25"/>
      <c r="B4770" s="39"/>
      <c r="C4770" s="155"/>
      <c r="D4770" s="155"/>
      <c r="E4770" s="40"/>
      <c r="F4770" s="314"/>
      <c r="H4770" s="315"/>
      <c r="I4770" s="315"/>
      <c r="BA4770" s="30"/>
      <c r="BB4770" s="155"/>
      <c r="BC4770" s="314"/>
      <c r="BD4770" s="314"/>
      <c r="BE4770" s="314"/>
      <c r="BF4770" s="314"/>
      <c r="BG4770" s="314"/>
      <c r="BH4770" s="314"/>
      <c r="BI4770" s="314"/>
      <c r="BJ4770" s="314"/>
      <c r="BK4770" s="40"/>
      <c r="BL4770" s="40"/>
      <c r="BM4770" s="40"/>
      <c r="BN4770" s="40"/>
      <c r="BO4770" s="40"/>
      <c r="BP4770" s="155"/>
      <c r="BQ4770" s="314"/>
      <c r="BR4770" s="314"/>
      <c r="BS4770" s="314"/>
      <c r="BT4770" s="314"/>
      <c r="BU4770" s="314"/>
      <c r="BV4770" s="314"/>
      <c r="BW4770" s="314"/>
      <c r="BX4770" s="155"/>
    </row>
    <row r="4771" spans="1:76" ht="15.75" customHeight="1">
      <c r="A4771" s="25"/>
      <c r="B4771" s="39"/>
      <c r="C4771" s="155"/>
      <c r="D4771" s="155"/>
      <c r="E4771" s="40"/>
      <c r="F4771" s="314"/>
      <c r="H4771" s="315"/>
      <c r="I4771" s="315"/>
      <c r="BA4771" s="30"/>
      <c r="BB4771" s="155"/>
      <c r="BC4771" s="314"/>
      <c r="BD4771" s="314"/>
      <c r="BE4771" s="314"/>
      <c r="BF4771" s="314"/>
      <c r="BG4771" s="314"/>
      <c r="BH4771" s="314"/>
      <c r="BI4771" s="314"/>
      <c r="BJ4771" s="314"/>
      <c r="BK4771" s="40"/>
      <c r="BL4771" s="40"/>
      <c r="BM4771" s="40"/>
      <c r="BN4771" s="40"/>
      <c r="BO4771" s="40"/>
      <c r="BP4771" s="155"/>
      <c r="BQ4771" s="314"/>
      <c r="BR4771" s="314"/>
      <c r="BS4771" s="314"/>
      <c r="BT4771" s="314"/>
      <c r="BU4771" s="314"/>
      <c r="BV4771" s="314"/>
      <c r="BW4771" s="314"/>
      <c r="BX4771" s="155"/>
    </row>
    <row r="4772" spans="1:76" ht="15.75" customHeight="1">
      <c r="A4772" s="25"/>
      <c r="B4772" s="39"/>
      <c r="C4772" s="155"/>
      <c r="D4772" s="155"/>
      <c r="E4772" s="40"/>
      <c r="F4772" s="314"/>
      <c r="H4772" s="315"/>
      <c r="I4772" s="315"/>
      <c r="BA4772" s="30"/>
      <c r="BB4772" s="155"/>
      <c r="BC4772" s="314"/>
      <c r="BD4772" s="314"/>
      <c r="BE4772" s="314"/>
      <c r="BF4772" s="314"/>
      <c r="BG4772" s="314"/>
      <c r="BH4772" s="314"/>
      <c r="BI4772" s="314"/>
      <c r="BJ4772" s="314"/>
      <c r="BK4772" s="40"/>
      <c r="BL4772" s="40"/>
      <c r="BM4772" s="40"/>
      <c r="BN4772" s="40"/>
      <c r="BO4772" s="40"/>
      <c r="BP4772" s="155"/>
      <c r="BQ4772" s="314"/>
      <c r="BR4772" s="314"/>
      <c r="BS4772" s="314"/>
      <c r="BT4772" s="314"/>
      <c r="BU4772" s="314"/>
      <c r="BV4772" s="314"/>
      <c r="BW4772" s="314"/>
      <c r="BX4772" s="155"/>
    </row>
    <row r="4773" spans="1:76" ht="15.75" customHeight="1">
      <c r="A4773" s="25"/>
      <c r="B4773" s="39"/>
      <c r="C4773" s="155"/>
      <c r="D4773" s="155"/>
      <c r="E4773" s="40"/>
      <c r="F4773" s="314"/>
      <c r="H4773" s="315"/>
      <c r="I4773" s="315"/>
      <c r="BA4773" s="30"/>
      <c r="BB4773" s="155"/>
      <c r="BC4773" s="314"/>
      <c r="BD4773" s="314"/>
      <c r="BE4773" s="314"/>
      <c r="BF4773" s="314"/>
      <c r="BG4773" s="314"/>
      <c r="BH4773" s="314"/>
      <c r="BI4773" s="314"/>
      <c r="BJ4773" s="314"/>
      <c r="BK4773" s="40"/>
      <c r="BL4773" s="40"/>
      <c r="BM4773" s="40"/>
      <c r="BN4773" s="40"/>
      <c r="BO4773" s="40"/>
      <c r="BP4773" s="155"/>
      <c r="BQ4773" s="314"/>
      <c r="BR4773" s="314"/>
      <c r="BS4773" s="314"/>
      <c r="BT4773" s="314"/>
      <c r="BU4773" s="314"/>
      <c r="BV4773" s="314"/>
      <c r="BW4773" s="314"/>
      <c r="BX4773" s="155"/>
    </row>
    <row r="4774" spans="1:76" ht="15.75" customHeight="1">
      <c r="A4774" s="25"/>
      <c r="B4774" s="39"/>
      <c r="C4774" s="155"/>
      <c r="D4774" s="155"/>
      <c r="E4774" s="40"/>
      <c r="F4774" s="314"/>
      <c r="H4774" s="315"/>
      <c r="I4774" s="315"/>
      <c r="BA4774" s="30"/>
      <c r="BB4774" s="155"/>
      <c r="BC4774" s="314"/>
      <c r="BD4774" s="314"/>
      <c r="BE4774" s="314"/>
      <c r="BF4774" s="314"/>
      <c r="BG4774" s="314"/>
      <c r="BH4774" s="314"/>
      <c r="BI4774" s="314"/>
      <c r="BJ4774" s="314"/>
      <c r="BK4774" s="40"/>
      <c r="BL4774" s="40"/>
      <c r="BM4774" s="40"/>
      <c r="BN4774" s="40"/>
      <c r="BO4774" s="40"/>
      <c r="BP4774" s="155"/>
      <c r="BQ4774" s="314"/>
      <c r="BR4774" s="314"/>
      <c r="BS4774" s="314"/>
      <c r="BT4774" s="314"/>
      <c r="BU4774" s="314"/>
      <c r="BV4774" s="314"/>
      <c r="BW4774" s="314"/>
      <c r="BX4774" s="155"/>
    </row>
    <row r="4775" spans="1:76" ht="15.75" customHeight="1">
      <c r="A4775" s="25"/>
      <c r="B4775" s="39"/>
      <c r="C4775" s="155"/>
      <c r="D4775" s="155"/>
      <c r="E4775" s="40"/>
      <c r="F4775" s="314"/>
      <c r="H4775" s="315"/>
      <c r="I4775" s="315"/>
      <c r="BA4775" s="30"/>
      <c r="BB4775" s="155"/>
      <c r="BC4775" s="314"/>
      <c r="BD4775" s="314"/>
      <c r="BE4775" s="314"/>
      <c r="BF4775" s="314"/>
      <c r="BG4775" s="314"/>
      <c r="BH4775" s="314"/>
      <c r="BI4775" s="314"/>
      <c r="BJ4775" s="314"/>
      <c r="BK4775" s="40"/>
      <c r="BL4775" s="40"/>
      <c r="BM4775" s="40"/>
      <c r="BN4775" s="40"/>
      <c r="BO4775" s="40"/>
      <c r="BP4775" s="155"/>
      <c r="BQ4775" s="314"/>
      <c r="BR4775" s="314"/>
      <c r="BS4775" s="314"/>
      <c r="BT4775" s="314"/>
      <c r="BU4775" s="314"/>
      <c r="BV4775" s="314"/>
      <c r="BW4775" s="314"/>
      <c r="BX4775" s="155"/>
    </row>
    <row r="4776" spans="1:76" ht="15.75" customHeight="1">
      <c r="A4776" s="25"/>
      <c r="B4776" s="39"/>
      <c r="C4776" s="155"/>
      <c r="D4776" s="155"/>
      <c r="E4776" s="40"/>
      <c r="F4776" s="314"/>
      <c r="H4776" s="315"/>
      <c r="I4776" s="315"/>
      <c r="BA4776" s="30"/>
      <c r="BB4776" s="155"/>
      <c r="BC4776" s="314"/>
      <c r="BD4776" s="314"/>
      <c r="BE4776" s="314"/>
      <c r="BF4776" s="314"/>
      <c r="BG4776" s="314"/>
      <c r="BH4776" s="314"/>
      <c r="BI4776" s="314"/>
      <c r="BJ4776" s="314"/>
      <c r="BK4776" s="40"/>
      <c r="BL4776" s="40"/>
      <c r="BM4776" s="40"/>
      <c r="BN4776" s="40"/>
      <c r="BO4776" s="40"/>
      <c r="BP4776" s="155"/>
      <c r="BQ4776" s="314"/>
      <c r="BR4776" s="314"/>
      <c r="BS4776" s="314"/>
      <c r="BT4776" s="314"/>
      <c r="BU4776" s="314"/>
      <c r="BV4776" s="314"/>
      <c r="BW4776" s="314"/>
      <c r="BX4776" s="155"/>
    </row>
    <row r="4777" spans="1:76" ht="15.75" customHeight="1">
      <c r="A4777" s="25"/>
      <c r="B4777" s="39"/>
      <c r="C4777" s="155"/>
      <c r="D4777" s="155"/>
      <c r="E4777" s="40"/>
      <c r="F4777" s="314"/>
      <c r="H4777" s="315"/>
      <c r="I4777" s="315"/>
      <c r="BA4777" s="30"/>
      <c r="BB4777" s="155"/>
      <c r="BC4777" s="314"/>
      <c r="BD4777" s="314"/>
      <c r="BE4777" s="314"/>
      <c r="BF4777" s="314"/>
      <c r="BG4777" s="314"/>
      <c r="BH4777" s="314"/>
      <c r="BI4777" s="314"/>
      <c r="BJ4777" s="314"/>
      <c r="BK4777" s="40"/>
      <c r="BL4777" s="40"/>
      <c r="BM4777" s="40"/>
      <c r="BN4777" s="40"/>
      <c r="BO4777" s="40"/>
      <c r="BP4777" s="155"/>
      <c r="BQ4777" s="314"/>
      <c r="BR4777" s="314"/>
      <c r="BS4777" s="314"/>
      <c r="BT4777" s="314"/>
      <c r="BU4777" s="314"/>
      <c r="BV4777" s="314"/>
      <c r="BW4777" s="314"/>
      <c r="BX4777" s="155"/>
    </row>
    <row r="4778" spans="1:76" ht="15.75" customHeight="1">
      <c r="A4778" s="25"/>
      <c r="B4778" s="39"/>
      <c r="C4778" s="155"/>
      <c r="D4778" s="155"/>
      <c r="E4778" s="40"/>
      <c r="F4778" s="314"/>
      <c r="H4778" s="315"/>
      <c r="I4778" s="315"/>
      <c r="BA4778" s="30"/>
      <c r="BB4778" s="155"/>
      <c r="BC4778" s="314"/>
      <c r="BD4778" s="314"/>
      <c r="BE4778" s="314"/>
      <c r="BF4778" s="314"/>
      <c r="BG4778" s="314"/>
      <c r="BH4778" s="314"/>
      <c r="BI4778" s="314"/>
      <c r="BJ4778" s="314"/>
      <c r="BK4778" s="40"/>
      <c r="BL4778" s="40"/>
      <c r="BM4778" s="40"/>
      <c r="BN4778" s="40"/>
      <c r="BO4778" s="40"/>
      <c r="BP4778" s="155"/>
      <c r="BQ4778" s="314"/>
      <c r="BR4778" s="314"/>
      <c r="BS4778" s="314"/>
      <c r="BT4778" s="314"/>
      <c r="BU4778" s="314"/>
      <c r="BV4778" s="314"/>
      <c r="BW4778" s="314"/>
      <c r="BX4778" s="155"/>
    </row>
    <row r="4779" spans="1:76" ht="15.75" customHeight="1">
      <c r="A4779" s="25"/>
      <c r="B4779" s="39"/>
      <c r="C4779" s="155"/>
      <c r="D4779" s="155"/>
      <c r="E4779" s="40"/>
      <c r="F4779" s="314"/>
      <c r="H4779" s="315"/>
      <c r="I4779" s="315"/>
      <c r="BA4779" s="30"/>
      <c r="BB4779" s="155"/>
      <c r="BC4779" s="314"/>
      <c r="BD4779" s="314"/>
      <c r="BE4779" s="314"/>
      <c r="BF4779" s="314"/>
      <c r="BG4779" s="314"/>
      <c r="BH4779" s="314"/>
      <c r="BI4779" s="314"/>
      <c r="BJ4779" s="314"/>
      <c r="BK4779" s="40"/>
      <c r="BL4779" s="40"/>
      <c r="BM4779" s="40"/>
      <c r="BN4779" s="40"/>
      <c r="BO4779" s="40"/>
      <c r="BP4779" s="155"/>
      <c r="BQ4779" s="314"/>
      <c r="BR4779" s="314"/>
      <c r="BS4779" s="314"/>
      <c r="BT4779" s="314"/>
      <c r="BU4779" s="314"/>
      <c r="BV4779" s="314"/>
      <c r="BW4779" s="314"/>
      <c r="BX4779" s="155"/>
    </row>
    <row r="4780" spans="1:76" ht="15.75" customHeight="1">
      <c r="A4780" s="25"/>
      <c r="B4780" s="39"/>
      <c r="C4780" s="155"/>
      <c r="D4780" s="155"/>
      <c r="E4780" s="40"/>
      <c r="F4780" s="314"/>
      <c r="H4780" s="315"/>
      <c r="I4780" s="315"/>
      <c r="BA4780" s="30"/>
      <c r="BB4780" s="155"/>
      <c r="BC4780" s="314"/>
      <c r="BD4780" s="314"/>
      <c r="BE4780" s="314"/>
      <c r="BF4780" s="314"/>
      <c r="BG4780" s="314"/>
      <c r="BH4780" s="314"/>
      <c r="BI4780" s="314"/>
      <c r="BJ4780" s="314"/>
      <c r="BK4780" s="40"/>
      <c r="BL4780" s="40"/>
      <c r="BM4780" s="40"/>
      <c r="BN4780" s="40"/>
      <c r="BO4780" s="40"/>
      <c r="BP4780" s="155"/>
      <c r="BQ4780" s="314"/>
      <c r="BR4780" s="314"/>
      <c r="BS4780" s="314"/>
      <c r="BT4780" s="314"/>
      <c r="BU4780" s="314"/>
      <c r="BV4780" s="314"/>
      <c r="BW4780" s="314"/>
      <c r="BX4780" s="155"/>
    </row>
    <row r="4781" spans="1:76" ht="15.75" customHeight="1">
      <c r="A4781" s="25"/>
      <c r="B4781" s="39"/>
      <c r="C4781" s="155"/>
      <c r="D4781" s="155"/>
      <c r="E4781" s="40"/>
      <c r="F4781" s="314"/>
      <c r="H4781" s="315"/>
      <c r="I4781" s="315"/>
      <c r="BA4781" s="30"/>
      <c r="BB4781" s="155"/>
      <c r="BC4781" s="314"/>
      <c r="BD4781" s="314"/>
      <c r="BE4781" s="314"/>
      <c r="BF4781" s="314"/>
      <c r="BG4781" s="314"/>
      <c r="BH4781" s="314"/>
      <c r="BI4781" s="314"/>
      <c r="BJ4781" s="314"/>
      <c r="BK4781" s="40"/>
      <c r="BL4781" s="40"/>
      <c r="BM4781" s="40"/>
      <c r="BN4781" s="40"/>
      <c r="BO4781" s="40"/>
      <c r="BP4781" s="155"/>
      <c r="BQ4781" s="314"/>
      <c r="BR4781" s="314"/>
      <c r="BS4781" s="314"/>
      <c r="BT4781" s="314"/>
      <c r="BU4781" s="314"/>
      <c r="BV4781" s="314"/>
      <c r="BW4781" s="314"/>
      <c r="BX4781" s="155"/>
    </row>
    <row r="4782" spans="1:76" ht="15.75" customHeight="1">
      <c r="A4782" s="25"/>
      <c r="B4782" s="39"/>
      <c r="C4782" s="155"/>
      <c r="D4782" s="155"/>
      <c r="E4782" s="40"/>
      <c r="F4782" s="314"/>
      <c r="H4782" s="315"/>
      <c r="I4782" s="315"/>
      <c r="BA4782" s="30"/>
      <c r="BB4782" s="155"/>
      <c r="BC4782" s="314"/>
      <c r="BD4782" s="314"/>
      <c r="BE4782" s="314"/>
      <c r="BF4782" s="314"/>
      <c r="BG4782" s="314"/>
      <c r="BH4782" s="314"/>
      <c r="BI4782" s="314"/>
      <c r="BJ4782" s="314"/>
      <c r="BK4782" s="40"/>
      <c r="BL4782" s="40"/>
      <c r="BM4782" s="40"/>
      <c r="BN4782" s="40"/>
      <c r="BO4782" s="40"/>
      <c r="BP4782" s="155"/>
      <c r="BQ4782" s="314"/>
      <c r="BR4782" s="314"/>
      <c r="BS4782" s="314"/>
      <c r="BT4782" s="314"/>
      <c r="BU4782" s="314"/>
      <c r="BV4782" s="314"/>
      <c r="BW4782" s="314"/>
      <c r="BX4782" s="155"/>
    </row>
    <row r="4783" spans="1:76" ht="15.75" customHeight="1">
      <c r="A4783" s="25"/>
      <c r="B4783" s="39"/>
      <c r="C4783" s="155"/>
      <c r="D4783" s="155"/>
      <c r="E4783" s="40"/>
      <c r="F4783" s="314"/>
      <c r="H4783" s="315"/>
      <c r="I4783" s="315"/>
      <c r="BA4783" s="30"/>
      <c r="BB4783" s="155"/>
      <c r="BC4783" s="314"/>
      <c r="BD4783" s="314"/>
      <c r="BE4783" s="314"/>
      <c r="BF4783" s="314"/>
      <c r="BG4783" s="314"/>
      <c r="BH4783" s="314"/>
      <c r="BI4783" s="314"/>
      <c r="BJ4783" s="314"/>
      <c r="BK4783" s="40"/>
      <c r="BL4783" s="40"/>
      <c r="BM4783" s="40"/>
      <c r="BN4783" s="40"/>
      <c r="BO4783" s="40"/>
      <c r="BP4783" s="155"/>
      <c r="BQ4783" s="314"/>
      <c r="BR4783" s="314"/>
      <c r="BS4783" s="314"/>
      <c r="BT4783" s="314"/>
      <c r="BU4783" s="314"/>
      <c r="BV4783" s="314"/>
      <c r="BW4783" s="314"/>
      <c r="BX4783" s="155"/>
    </row>
    <row r="4784" spans="1:76" ht="15.75" customHeight="1">
      <c r="A4784" s="25"/>
      <c r="B4784" s="39"/>
      <c r="C4784" s="155"/>
      <c r="D4784" s="155"/>
      <c r="E4784" s="40"/>
      <c r="F4784" s="314"/>
      <c r="H4784" s="315"/>
      <c r="I4784" s="315"/>
      <c r="BA4784" s="30"/>
      <c r="BB4784" s="155"/>
      <c r="BC4784" s="314"/>
      <c r="BD4784" s="314"/>
      <c r="BE4784" s="314"/>
      <c r="BF4784" s="314"/>
      <c r="BG4784" s="314"/>
      <c r="BH4784" s="314"/>
      <c r="BI4784" s="314"/>
      <c r="BJ4784" s="314"/>
      <c r="BK4784" s="40"/>
      <c r="BL4784" s="40"/>
      <c r="BM4784" s="40"/>
      <c r="BN4784" s="40"/>
      <c r="BO4784" s="40"/>
      <c r="BP4784" s="155"/>
      <c r="BQ4784" s="314"/>
      <c r="BR4784" s="314"/>
      <c r="BS4784" s="314"/>
      <c r="BT4784" s="314"/>
      <c r="BU4784" s="314"/>
      <c r="BV4784" s="314"/>
      <c r="BW4784" s="314"/>
      <c r="BX4784" s="155"/>
    </row>
    <row r="4785" spans="1:76" ht="15.75" customHeight="1">
      <c r="A4785" s="25"/>
      <c r="B4785" s="39"/>
      <c r="C4785" s="155"/>
      <c r="D4785" s="155"/>
      <c r="E4785" s="40"/>
      <c r="F4785" s="314"/>
      <c r="H4785" s="315"/>
      <c r="I4785" s="315"/>
      <c r="BA4785" s="30"/>
      <c r="BB4785" s="155"/>
      <c r="BC4785" s="314"/>
      <c r="BD4785" s="314"/>
      <c r="BE4785" s="314"/>
      <c r="BF4785" s="314"/>
      <c r="BG4785" s="314"/>
      <c r="BH4785" s="314"/>
      <c r="BI4785" s="314"/>
      <c r="BJ4785" s="314"/>
      <c r="BK4785" s="40"/>
      <c r="BL4785" s="40"/>
      <c r="BM4785" s="40"/>
      <c r="BN4785" s="40"/>
      <c r="BO4785" s="40"/>
      <c r="BP4785" s="155"/>
      <c r="BQ4785" s="314"/>
      <c r="BR4785" s="314"/>
      <c r="BS4785" s="314"/>
      <c r="BT4785" s="314"/>
      <c r="BU4785" s="314"/>
      <c r="BV4785" s="314"/>
      <c r="BW4785" s="314"/>
      <c r="BX4785" s="155"/>
    </row>
    <row r="4786" spans="1:76" ht="15.75" customHeight="1">
      <c r="A4786" s="25"/>
      <c r="B4786" s="39"/>
      <c r="C4786" s="155"/>
      <c r="D4786" s="155"/>
      <c r="E4786" s="40"/>
      <c r="F4786" s="314"/>
      <c r="H4786" s="315"/>
      <c r="I4786" s="315"/>
      <c r="BA4786" s="30"/>
      <c r="BB4786" s="155"/>
      <c r="BC4786" s="314"/>
      <c r="BD4786" s="314"/>
      <c r="BE4786" s="314"/>
      <c r="BF4786" s="314"/>
      <c r="BG4786" s="314"/>
      <c r="BH4786" s="314"/>
      <c r="BI4786" s="314"/>
      <c r="BJ4786" s="314"/>
      <c r="BK4786" s="40"/>
      <c r="BL4786" s="40"/>
      <c r="BM4786" s="40"/>
      <c r="BN4786" s="40"/>
      <c r="BO4786" s="40"/>
      <c r="BP4786" s="155"/>
      <c r="BQ4786" s="314"/>
      <c r="BR4786" s="314"/>
      <c r="BS4786" s="314"/>
      <c r="BT4786" s="314"/>
      <c r="BU4786" s="314"/>
      <c r="BV4786" s="314"/>
      <c r="BW4786" s="314"/>
      <c r="BX4786" s="155"/>
    </row>
    <row r="4787" spans="1:76" ht="15.75" customHeight="1">
      <c r="A4787" s="25"/>
      <c r="B4787" s="39"/>
      <c r="C4787" s="155"/>
      <c r="D4787" s="155"/>
      <c r="E4787" s="40"/>
      <c r="F4787" s="314"/>
      <c r="H4787" s="315"/>
      <c r="I4787" s="315"/>
      <c r="BA4787" s="30"/>
      <c r="BB4787" s="155"/>
      <c r="BC4787" s="314"/>
      <c r="BD4787" s="314"/>
      <c r="BE4787" s="314"/>
      <c r="BF4787" s="314"/>
      <c r="BG4787" s="314"/>
      <c r="BH4787" s="314"/>
      <c r="BI4787" s="314"/>
      <c r="BJ4787" s="314"/>
      <c r="BK4787" s="40"/>
      <c r="BL4787" s="40"/>
      <c r="BM4787" s="40"/>
      <c r="BN4787" s="40"/>
      <c r="BO4787" s="40"/>
      <c r="BP4787" s="155"/>
      <c r="BQ4787" s="314"/>
      <c r="BR4787" s="314"/>
      <c r="BS4787" s="314"/>
      <c r="BT4787" s="314"/>
      <c r="BU4787" s="314"/>
      <c r="BV4787" s="314"/>
      <c r="BW4787" s="314"/>
      <c r="BX4787" s="155"/>
    </row>
    <row r="4788" spans="1:76" ht="15.75" customHeight="1">
      <c r="A4788" s="25"/>
      <c r="B4788" s="39"/>
      <c r="C4788" s="155"/>
      <c r="D4788" s="155"/>
      <c r="E4788" s="40"/>
      <c r="F4788" s="314"/>
      <c r="H4788" s="315"/>
      <c r="I4788" s="315"/>
      <c r="BA4788" s="30"/>
      <c r="BB4788" s="155"/>
      <c r="BC4788" s="322"/>
      <c r="BD4788" s="322"/>
      <c r="BE4788" s="322"/>
      <c r="BF4788" s="322"/>
      <c r="BG4788" s="322"/>
      <c r="BH4788" s="322"/>
      <c r="BI4788" s="322"/>
      <c r="BJ4788" s="322"/>
      <c r="BK4788" s="341"/>
      <c r="BL4788" s="40"/>
      <c r="BM4788" s="40"/>
      <c r="BN4788" s="40"/>
      <c r="BO4788" s="40"/>
      <c r="BP4788" s="155"/>
      <c r="BQ4788" s="314"/>
      <c r="BR4788" s="314"/>
      <c r="BS4788" s="314"/>
      <c r="BT4788" s="314"/>
      <c r="BU4788" s="314"/>
      <c r="BV4788" s="314"/>
      <c r="BW4788" s="314"/>
      <c r="BX4788" s="155"/>
    </row>
    <row r="4789" spans="1:76" ht="15.75" customHeight="1">
      <c r="A4789" s="25"/>
      <c r="B4789" s="39"/>
      <c r="C4789" s="155"/>
      <c r="D4789" s="155"/>
      <c r="E4789" s="40"/>
      <c r="F4789" s="314"/>
      <c r="H4789" s="315"/>
      <c r="I4789" s="315"/>
      <c r="BA4789" s="30"/>
      <c r="BB4789" s="155"/>
      <c r="BC4789" s="314"/>
      <c r="BD4789" s="314"/>
      <c r="BE4789" s="314"/>
      <c r="BF4789" s="314"/>
      <c r="BG4789" s="314"/>
      <c r="BH4789" s="314"/>
      <c r="BI4789" s="314"/>
      <c r="BJ4789" s="314"/>
      <c r="BK4789" s="40"/>
      <c r="BL4789" s="40"/>
      <c r="BM4789" s="40"/>
      <c r="BN4789" s="40"/>
      <c r="BO4789" s="40"/>
      <c r="BP4789" s="155"/>
      <c r="BQ4789" s="314"/>
      <c r="BR4789" s="314"/>
      <c r="BS4789" s="314"/>
      <c r="BT4789" s="314"/>
      <c r="BU4789" s="314"/>
      <c r="BV4789" s="314"/>
      <c r="BW4789" s="314"/>
      <c r="BX4789" s="155"/>
    </row>
    <row r="4790" spans="1:76" ht="15.75" customHeight="1">
      <c r="A4790" s="25"/>
      <c r="B4790" s="39"/>
      <c r="C4790" s="155"/>
      <c r="D4790" s="155"/>
      <c r="E4790" s="40"/>
      <c r="F4790" s="314"/>
      <c r="H4790" s="315"/>
      <c r="I4790" s="315"/>
      <c r="BA4790" s="30"/>
      <c r="BB4790" s="155"/>
      <c r="BC4790" s="314"/>
      <c r="BD4790" s="314"/>
      <c r="BE4790" s="314"/>
      <c r="BF4790" s="314"/>
      <c r="BG4790" s="314"/>
      <c r="BH4790" s="314"/>
      <c r="BI4790" s="314"/>
      <c r="BJ4790" s="314"/>
      <c r="BK4790" s="40"/>
      <c r="BL4790" s="40"/>
      <c r="BM4790" s="40"/>
      <c r="BN4790" s="40"/>
      <c r="BO4790" s="40"/>
      <c r="BP4790" s="155"/>
      <c r="BQ4790" s="314"/>
      <c r="BR4790" s="314"/>
      <c r="BS4790" s="314"/>
      <c r="BT4790" s="314"/>
      <c r="BU4790" s="314"/>
      <c r="BV4790" s="314"/>
      <c r="BW4790" s="314"/>
      <c r="BX4790" s="155"/>
    </row>
    <row r="4791" spans="1:76" ht="15.75" customHeight="1">
      <c r="A4791" s="25"/>
      <c r="B4791" s="39"/>
      <c r="C4791" s="155"/>
      <c r="D4791" s="155"/>
      <c r="E4791" s="40"/>
      <c r="F4791" s="314"/>
      <c r="H4791" s="315"/>
      <c r="I4791" s="315"/>
      <c r="BA4791" s="30"/>
      <c r="BB4791" s="155"/>
      <c r="BC4791" s="314"/>
      <c r="BD4791" s="314"/>
      <c r="BE4791" s="314"/>
      <c r="BF4791" s="314"/>
      <c r="BG4791" s="314"/>
      <c r="BH4791" s="314"/>
      <c r="BI4791" s="314"/>
      <c r="BJ4791" s="314"/>
      <c r="BK4791" s="40"/>
      <c r="BL4791" s="40"/>
      <c r="BM4791" s="40"/>
      <c r="BN4791" s="40"/>
      <c r="BO4791" s="40"/>
      <c r="BP4791" s="155"/>
      <c r="BQ4791" s="314"/>
      <c r="BR4791" s="314"/>
      <c r="BS4791" s="314"/>
      <c r="BT4791" s="314"/>
      <c r="BU4791" s="314"/>
      <c r="BV4791" s="314"/>
      <c r="BW4791" s="314"/>
      <c r="BX4791" s="155"/>
    </row>
    <row r="4792" spans="1:76" ht="15.75" customHeight="1">
      <c r="A4792" s="25"/>
      <c r="B4792" s="39"/>
      <c r="C4792" s="155"/>
      <c r="D4792" s="155"/>
      <c r="E4792" s="40"/>
      <c r="F4792" s="314"/>
      <c r="H4792" s="315"/>
      <c r="I4792" s="315"/>
      <c r="BA4792" s="30"/>
      <c r="BB4792" s="155"/>
      <c r="BC4792" s="314"/>
      <c r="BD4792" s="314"/>
      <c r="BE4792" s="314"/>
      <c r="BF4792" s="314"/>
      <c r="BG4792" s="314"/>
      <c r="BH4792" s="314"/>
      <c r="BI4792" s="314"/>
      <c r="BJ4792" s="314"/>
      <c r="BK4792" s="40"/>
      <c r="BL4792" s="40"/>
      <c r="BM4792" s="40"/>
      <c r="BN4792" s="40"/>
      <c r="BO4792" s="40"/>
      <c r="BP4792" s="155"/>
      <c r="BQ4792" s="314"/>
      <c r="BR4792" s="314"/>
      <c r="BS4792" s="314"/>
      <c r="BT4792" s="314"/>
      <c r="BU4792" s="314"/>
      <c r="BV4792" s="314"/>
      <c r="BW4792" s="314"/>
      <c r="BX4792" s="155"/>
    </row>
    <row r="4793" spans="1:76" ht="15.75" customHeight="1">
      <c r="A4793" s="25"/>
      <c r="B4793" s="39"/>
      <c r="C4793" s="155"/>
      <c r="D4793" s="155"/>
      <c r="E4793" s="40"/>
      <c r="F4793" s="314"/>
      <c r="H4793" s="315"/>
      <c r="I4793" s="315"/>
      <c r="BA4793" s="30"/>
      <c r="BB4793" s="155"/>
      <c r="BC4793" s="314"/>
      <c r="BD4793" s="314"/>
      <c r="BE4793" s="314"/>
      <c r="BF4793" s="314"/>
      <c r="BG4793" s="314"/>
      <c r="BH4793" s="314"/>
      <c r="BI4793" s="314"/>
      <c r="BJ4793" s="314"/>
      <c r="BK4793" s="40"/>
      <c r="BL4793" s="40"/>
      <c r="BM4793" s="40"/>
      <c r="BN4793" s="40"/>
      <c r="BO4793" s="40"/>
      <c r="BP4793" s="155"/>
      <c r="BQ4793" s="314"/>
      <c r="BR4793" s="314"/>
      <c r="BS4793" s="314"/>
      <c r="BT4793" s="314"/>
      <c r="BU4793" s="314"/>
      <c r="BV4793" s="314"/>
      <c r="BW4793" s="314"/>
      <c r="BX4793" s="155"/>
    </row>
    <row r="4794" spans="1:76" ht="15.75" customHeight="1">
      <c r="A4794" s="25"/>
      <c r="B4794" s="39"/>
      <c r="C4794" s="155"/>
      <c r="D4794" s="155"/>
      <c r="E4794" s="40"/>
      <c r="F4794" s="314"/>
      <c r="H4794" s="315"/>
      <c r="I4794" s="315"/>
      <c r="BA4794" s="30"/>
      <c r="BB4794" s="155"/>
      <c r="BC4794" s="314"/>
      <c r="BD4794" s="314"/>
      <c r="BE4794" s="314"/>
      <c r="BF4794" s="314"/>
      <c r="BG4794" s="314"/>
      <c r="BH4794" s="314"/>
      <c r="BI4794" s="314"/>
      <c r="BJ4794" s="314"/>
      <c r="BK4794" s="40"/>
      <c r="BL4794" s="40"/>
      <c r="BM4794" s="40"/>
      <c r="BN4794" s="40"/>
      <c r="BO4794" s="40"/>
      <c r="BP4794" s="155"/>
      <c r="BQ4794" s="314"/>
      <c r="BR4794" s="314"/>
      <c r="BS4794" s="314"/>
      <c r="BT4794" s="314"/>
      <c r="BU4794" s="314"/>
      <c r="BV4794" s="314"/>
      <c r="BW4794" s="314"/>
      <c r="BX4794" s="155"/>
    </row>
    <row r="4795" spans="1:76" ht="15.75" customHeight="1">
      <c r="A4795" s="25"/>
      <c r="B4795" s="39"/>
      <c r="C4795" s="155"/>
      <c r="D4795" s="155"/>
      <c r="E4795" s="40"/>
      <c r="F4795" s="314"/>
      <c r="H4795" s="315"/>
      <c r="I4795" s="315"/>
      <c r="BA4795" s="30"/>
      <c r="BB4795" s="155"/>
      <c r="BC4795" s="314"/>
      <c r="BD4795" s="314"/>
      <c r="BE4795" s="314"/>
      <c r="BF4795" s="314"/>
      <c r="BG4795" s="314"/>
      <c r="BH4795" s="314"/>
      <c r="BI4795" s="314"/>
      <c r="BJ4795" s="314"/>
      <c r="BK4795" s="40"/>
      <c r="BL4795" s="40"/>
      <c r="BM4795" s="40"/>
      <c r="BN4795" s="40"/>
      <c r="BO4795" s="40"/>
      <c r="BP4795" s="155"/>
      <c r="BQ4795" s="314"/>
      <c r="BR4795" s="314"/>
      <c r="BS4795" s="314"/>
      <c r="BT4795" s="314"/>
      <c r="BU4795" s="314"/>
      <c r="BV4795" s="314"/>
      <c r="BW4795" s="314"/>
      <c r="BX4795" s="155"/>
    </row>
    <row r="4796" spans="1:76" ht="15.75" customHeight="1">
      <c r="A4796" s="25"/>
      <c r="B4796" s="39"/>
      <c r="C4796" s="155"/>
      <c r="D4796" s="155"/>
      <c r="E4796" s="40"/>
      <c r="F4796" s="314"/>
      <c r="H4796" s="315"/>
      <c r="I4796" s="315"/>
      <c r="BA4796" s="30"/>
      <c r="BB4796" s="155"/>
      <c r="BC4796" s="314"/>
      <c r="BD4796" s="314"/>
      <c r="BE4796" s="314"/>
      <c r="BF4796" s="314"/>
      <c r="BG4796" s="314"/>
      <c r="BH4796" s="314"/>
      <c r="BI4796" s="314"/>
      <c r="BJ4796" s="314"/>
      <c r="BK4796" s="40"/>
      <c r="BL4796" s="40"/>
      <c r="BM4796" s="40"/>
      <c r="BN4796" s="40"/>
      <c r="BO4796" s="40"/>
      <c r="BP4796" s="155"/>
      <c r="BQ4796" s="314"/>
      <c r="BR4796" s="314"/>
      <c r="BS4796" s="314"/>
      <c r="BT4796" s="314"/>
      <c r="BU4796" s="314"/>
      <c r="BV4796" s="314"/>
      <c r="BW4796" s="314"/>
      <c r="BX4796" s="155"/>
    </row>
    <row r="4797" spans="1:76" ht="15.75" customHeight="1">
      <c r="A4797" s="25"/>
      <c r="B4797" s="39"/>
      <c r="C4797" s="155"/>
      <c r="D4797" s="155"/>
      <c r="E4797" s="40"/>
      <c r="F4797" s="314"/>
      <c r="H4797" s="315"/>
      <c r="I4797" s="315"/>
      <c r="BA4797" s="30"/>
      <c r="BB4797" s="155"/>
      <c r="BC4797" s="314"/>
      <c r="BD4797" s="314"/>
      <c r="BE4797" s="314"/>
      <c r="BF4797" s="314"/>
      <c r="BG4797" s="314"/>
      <c r="BH4797" s="314"/>
      <c r="BI4797" s="314"/>
      <c r="BJ4797" s="314"/>
      <c r="BK4797" s="40"/>
      <c r="BL4797" s="40"/>
      <c r="BM4797" s="40"/>
      <c r="BN4797" s="40"/>
      <c r="BO4797" s="40"/>
      <c r="BP4797" s="155"/>
      <c r="BQ4797" s="314"/>
      <c r="BR4797" s="314"/>
      <c r="BS4797" s="314"/>
      <c r="BT4797" s="314"/>
      <c r="BU4797" s="314"/>
      <c r="BV4797" s="314"/>
      <c r="BW4797" s="314"/>
      <c r="BX4797" s="155"/>
    </row>
    <row r="4798" spans="1:76" ht="15.75" customHeight="1">
      <c r="A4798" s="25"/>
      <c r="B4798" s="39"/>
      <c r="C4798" s="155"/>
      <c r="D4798" s="155"/>
      <c r="E4798" s="40"/>
      <c r="F4798" s="314"/>
      <c r="H4798" s="315"/>
      <c r="I4798" s="315"/>
      <c r="BA4798" s="30"/>
      <c r="BB4798" s="155"/>
      <c r="BC4798" s="314"/>
      <c r="BD4798" s="314"/>
      <c r="BE4798" s="314"/>
      <c r="BF4798" s="314"/>
      <c r="BG4798" s="314"/>
      <c r="BH4798" s="314"/>
      <c r="BI4798" s="314"/>
      <c r="BJ4798" s="314"/>
      <c r="BK4798" s="40"/>
      <c r="BL4798" s="40"/>
      <c r="BM4798" s="40"/>
      <c r="BN4798" s="40"/>
      <c r="BO4798" s="40"/>
      <c r="BP4798" s="155"/>
      <c r="BQ4798" s="314"/>
      <c r="BR4798" s="314"/>
      <c r="BS4798" s="314"/>
      <c r="BT4798" s="314"/>
      <c r="BU4798" s="314"/>
      <c r="BV4798" s="314"/>
      <c r="BW4798" s="314"/>
      <c r="BX4798" s="155"/>
    </row>
    <row r="4799" spans="1:76" ht="15.75" customHeight="1">
      <c r="A4799" s="25"/>
      <c r="B4799" s="39"/>
      <c r="C4799" s="155"/>
      <c r="D4799" s="155"/>
      <c r="E4799" s="40"/>
      <c r="F4799" s="314"/>
      <c r="H4799" s="315"/>
      <c r="I4799" s="315"/>
      <c r="BA4799" s="30"/>
      <c r="BB4799" s="155"/>
      <c r="BC4799" s="314"/>
      <c r="BD4799" s="314"/>
      <c r="BE4799" s="314"/>
      <c r="BF4799" s="314"/>
      <c r="BG4799" s="314"/>
      <c r="BH4799" s="314"/>
      <c r="BI4799" s="314"/>
      <c r="BJ4799" s="314"/>
      <c r="BK4799" s="40"/>
      <c r="BL4799" s="40"/>
      <c r="BM4799" s="40"/>
      <c r="BN4799" s="40"/>
      <c r="BO4799" s="40"/>
      <c r="BP4799" s="155"/>
      <c r="BQ4799" s="314"/>
      <c r="BR4799" s="314"/>
      <c r="BS4799" s="314"/>
      <c r="BT4799" s="314"/>
      <c r="BU4799" s="314"/>
      <c r="BV4799" s="314"/>
      <c r="BW4799" s="314"/>
      <c r="BX4799" s="155"/>
    </row>
    <row r="4800" spans="1:76" ht="15.75" customHeight="1">
      <c r="A4800" s="25"/>
      <c r="B4800" s="39"/>
      <c r="C4800" s="155"/>
      <c r="D4800" s="155"/>
      <c r="E4800" s="40"/>
      <c r="F4800" s="314"/>
      <c r="H4800" s="315"/>
      <c r="I4800" s="315"/>
      <c r="BA4800" s="30"/>
      <c r="BB4800" s="155"/>
      <c r="BC4800" s="314"/>
      <c r="BD4800" s="314"/>
      <c r="BE4800" s="314"/>
      <c r="BF4800" s="314"/>
      <c r="BG4800" s="314"/>
      <c r="BH4800" s="314"/>
      <c r="BI4800" s="314"/>
      <c r="BJ4800" s="314"/>
      <c r="BK4800" s="40"/>
      <c r="BL4800" s="40"/>
      <c r="BM4800" s="40"/>
      <c r="BN4800" s="40"/>
      <c r="BO4800" s="40"/>
      <c r="BP4800" s="155"/>
      <c r="BQ4800" s="314"/>
      <c r="BR4800" s="314"/>
      <c r="BS4800" s="314"/>
      <c r="BT4800" s="314"/>
      <c r="BU4800" s="314"/>
      <c r="BV4800" s="314"/>
      <c r="BW4800" s="314"/>
      <c r="BX4800" s="155"/>
    </row>
    <row r="4801" spans="1:76" ht="15.75" customHeight="1">
      <c r="A4801" s="25"/>
      <c r="B4801" s="39"/>
      <c r="C4801" s="155"/>
      <c r="D4801" s="155"/>
      <c r="E4801" s="40"/>
      <c r="F4801" s="314"/>
      <c r="H4801" s="315"/>
      <c r="I4801" s="315"/>
      <c r="BA4801" s="30"/>
      <c r="BB4801" s="155"/>
      <c r="BC4801" s="314"/>
      <c r="BD4801" s="314"/>
      <c r="BE4801" s="314"/>
      <c r="BF4801" s="314"/>
      <c r="BG4801" s="314"/>
      <c r="BH4801" s="314"/>
      <c r="BI4801" s="314"/>
      <c r="BJ4801" s="314"/>
      <c r="BK4801" s="40"/>
      <c r="BL4801" s="40"/>
      <c r="BM4801" s="40"/>
      <c r="BN4801" s="40"/>
      <c r="BO4801" s="40"/>
      <c r="BP4801" s="155"/>
      <c r="BQ4801" s="314"/>
      <c r="BR4801" s="314"/>
      <c r="BS4801" s="314"/>
      <c r="BT4801" s="314"/>
      <c r="BU4801" s="314"/>
      <c r="BV4801" s="314"/>
      <c r="BW4801" s="314"/>
      <c r="BX4801" s="155"/>
    </row>
    <row r="4802" spans="1:76" ht="15.75" customHeight="1">
      <c r="A4802" s="25"/>
      <c r="B4802" s="39"/>
      <c r="C4802" s="155"/>
      <c r="D4802" s="155"/>
      <c r="E4802" s="40"/>
      <c r="F4802" s="314"/>
      <c r="H4802" s="315"/>
      <c r="I4802" s="315"/>
      <c r="BA4802" s="30"/>
      <c r="BB4802" s="155"/>
      <c r="BC4802" s="314"/>
      <c r="BD4802" s="314"/>
      <c r="BE4802" s="314"/>
      <c r="BF4802" s="314"/>
      <c r="BG4802" s="314"/>
      <c r="BH4802" s="314"/>
      <c r="BI4802" s="314"/>
      <c r="BJ4802" s="314"/>
      <c r="BK4802" s="40"/>
      <c r="BL4802" s="40"/>
      <c r="BM4802" s="40"/>
      <c r="BN4802" s="40"/>
      <c r="BO4802" s="40"/>
      <c r="BP4802" s="155"/>
      <c r="BQ4802" s="314"/>
      <c r="BR4802" s="314"/>
      <c r="BS4802" s="314"/>
      <c r="BT4802" s="314"/>
      <c r="BU4802" s="314"/>
      <c r="BV4802" s="314"/>
      <c r="BW4802" s="314"/>
      <c r="BX4802" s="155"/>
    </row>
    <row r="4803" spans="1:76" ht="15.75" customHeight="1">
      <c r="A4803" s="25"/>
      <c r="B4803" s="39"/>
      <c r="C4803" s="155"/>
      <c r="D4803" s="155"/>
      <c r="E4803" s="40"/>
      <c r="F4803" s="314"/>
      <c r="H4803" s="315"/>
      <c r="I4803" s="315"/>
      <c r="BA4803" s="30"/>
      <c r="BB4803" s="155"/>
      <c r="BC4803" s="314"/>
      <c r="BD4803" s="314"/>
      <c r="BE4803" s="314"/>
      <c r="BF4803" s="314"/>
      <c r="BG4803" s="314"/>
      <c r="BH4803" s="314"/>
      <c r="BI4803" s="314"/>
      <c r="BJ4803" s="314"/>
      <c r="BK4803" s="40"/>
      <c r="BL4803" s="40"/>
      <c r="BM4803" s="40"/>
      <c r="BN4803" s="40"/>
      <c r="BO4803" s="40"/>
      <c r="BP4803" s="155"/>
      <c r="BQ4803" s="314"/>
      <c r="BR4803" s="314"/>
      <c r="BS4803" s="314"/>
      <c r="BT4803" s="314"/>
      <c r="BU4803" s="314"/>
      <c r="BV4803" s="314"/>
      <c r="BW4803" s="314"/>
      <c r="BX4803" s="155"/>
    </row>
    <row r="4804" spans="1:76" ht="15.75" customHeight="1">
      <c r="A4804" s="25"/>
      <c r="B4804" s="39"/>
      <c r="C4804" s="155"/>
      <c r="D4804" s="155"/>
      <c r="E4804" s="40"/>
      <c r="F4804" s="314"/>
      <c r="H4804" s="315"/>
      <c r="I4804" s="315"/>
      <c r="BA4804" s="30"/>
      <c r="BB4804" s="155"/>
      <c r="BC4804" s="314"/>
      <c r="BD4804" s="314"/>
      <c r="BE4804" s="314"/>
      <c r="BF4804" s="314"/>
      <c r="BG4804" s="314"/>
      <c r="BH4804" s="314"/>
      <c r="BI4804" s="314"/>
      <c r="BJ4804" s="314"/>
      <c r="BK4804" s="40"/>
      <c r="BL4804" s="40"/>
      <c r="BM4804" s="40"/>
      <c r="BN4804" s="40"/>
      <c r="BO4804" s="40"/>
      <c r="BP4804" s="155"/>
      <c r="BQ4804" s="314"/>
      <c r="BR4804" s="314"/>
      <c r="BS4804" s="314"/>
      <c r="BT4804" s="314"/>
      <c r="BU4804" s="314"/>
      <c r="BV4804" s="314"/>
      <c r="BW4804" s="314"/>
      <c r="BX4804" s="155"/>
    </row>
    <row r="4805" spans="1:76" ht="15.75" customHeight="1">
      <c r="A4805" s="25"/>
      <c r="B4805" s="39"/>
      <c r="C4805" s="155"/>
      <c r="D4805" s="155"/>
      <c r="E4805" s="40"/>
      <c r="F4805" s="314"/>
      <c r="H4805" s="315"/>
      <c r="I4805" s="315"/>
      <c r="BA4805" s="30"/>
      <c r="BB4805" s="155"/>
      <c r="BC4805" s="314"/>
      <c r="BD4805" s="314"/>
      <c r="BE4805" s="314"/>
      <c r="BF4805" s="314"/>
      <c r="BG4805" s="314"/>
      <c r="BH4805" s="314"/>
      <c r="BI4805" s="314"/>
      <c r="BJ4805" s="314"/>
      <c r="BK4805" s="40"/>
      <c r="BL4805" s="40"/>
      <c r="BM4805" s="40"/>
      <c r="BN4805" s="40"/>
      <c r="BO4805" s="40"/>
      <c r="BP4805" s="155"/>
      <c r="BQ4805" s="314"/>
      <c r="BR4805" s="314"/>
      <c r="BS4805" s="314"/>
      <c r="BT4805" s="314"/>
      <c r="BU4805" s="314"/>
      <c r="BV4805" s="314"/>
      <c r="BW4805" s="314"/>
      <c r="BX4805" s="155"/>
    </row>
    <row r="4806" spans="1:76" ht="15.75" customHeight="1">
      <c r="A4806" s="25"/>
      <c r="B4806" s="39"/>
      <c r="C4806" s="155"/>
      <c r="D4806" s="155"/>
      <c r="E4806" s="40"/>
      <c r="F4806" s="314"/>
      <c r="H4806" s="315"/>
      <c r="I4806" s="315"/>
      <c r="BA4806" s="30"/>
      <c r="BB4806" s="155"/>
      <c r="BC4806" s="322"/>
      <c r="BD4806" s="322"/>
      <c r="BE4806" s="322"/>
      <c r="BF4806" s="322"/>
      <c r="BG4806" s="322"/>
      <c r="BH4806" s="322"/>
      <c r="BI4806" s="322"/>
      <c r="BJ4806" s="322"/>
      <c r="BK4806" s="341"/>
      <c r="BL4806" s="40"/>
      <c r="BM4806" s="40"/>
      <c r="BN4806" s="40"/>
      <c r="BO4806" s="40"/>
      <c r="BP4806" s="155"/>
      <c r="BQ4806" s="314"/>
      <c r="BR4806" s="314"/>
      <c r="BS4806" s="314"/>
      <c r="BT4806" s="314"/>
      <c r="BU4806" s="314"/>
      <c r="BV4806" s="314"/>
      <c r="BW4806" s="314"/>
      <c r="BX4806" s="155"/>
    </row>
    <row r="4807" spans="1:76" ht="15.75" customHeight="1">
      <c r="A4807" s="25"/>
      <c r="B4807" s="39"/>
      <c r="C4807" s="155"/>
      <c r="D4807" s="155"/>
      <c r="E4807" s="40"/>
      <c r="F4807" s="314"/>
      <c r="H4807" s="315"/>
      <c r="I4807" s="315"/>
      <c r="BA4807" s="30"/>
      <c r="BB4807" s="155"/>
      <c r="BC4807" s="314"/>
      <c r="BD4807" s="314"/>
      <c r="BE4807" s="314"/>
      <c r="BF4807" s="314"/>
      <c r="BG4807" s="314"/>
      <c r="BH4807" s="314"/>
      <c r="BI4807" s="314"/>
      <c r="BJ4807" s="314"/>
      <c r="BK4807" s="40"/>
      <c r="BL4807" s="40"/>
      <c r="BM4807" s="40"/>
      <c r="BN4807" s="40"/>
      <c r="BO4807" s="40"/>
      <c r="BP4807" s="155"/>
      <c r="BQ4807" s="314"/>
      <c r="BR4807" s="314"/>
      <c r="BS4807" s="314"/>
      <c r="BT4807" s="314"/>
      <c r="BU4807" s="314"/>
      <c r="BV4807" s="314"/>
      <c r="BW4807" s="314"/>
      <c r="BX4807" s="155"/>
    </row>
    <row r="4808" spans="1:76" ht="15.75" customHeight="1">
      <c r="A4808" s="25"/>
      <c r="B4808" s="39"/>
      <c r="C4808" s="155"/>
      <c r="D4808" s="155"/>
      <c r="E4808" s="40"/>
      <c r="F4808" s="314"/>
      <c r="H4808" s="315"/>
      <c r="I4808" s="315"/>
      <c r="BA4808" s="30"/>
      <c r="BB4808" s="155"/>
      <c r="BC4808" s="314"/>
      <c r="BD4808" s="314"/>
      <c r="BE4808" s="314"/>
      <c r="BF4808" s="314"/>
      <c r="BG4808" s="314"/>
      <c r="BH4808" s="314"/>
      <c r="BI4808" s="314"/>
      <c r="BJ4808" s="314"/>
      <c r="BK4808" s="40"/>
      <c r="BL4808" s="40"/>
      <c r="BM4808" s="40"/>
      <c r="BN4808" s="40"/>
      <c r="BO4808" s="40"/>
      <c r="BP4808" s="155"/>
      <c r="BQ4808" s="314"/>
      <c r="BR4808" s="314"/>
      <c r="BS4808" s="314"/>
      <c r="BT4808" s="314"/>
      <c r="BU4808" s="314"/>
      <c r="BV4808" s="314"/>
      <c r="BW4808" s="314"/>
      <c r="BX4808" s="155"/>
    </row>
    <row r="4809" spans="1:76" ht="15.75" customHeight="1">
      <c r="A4809" s="25"/>
      <c r="B4809" s="39"/>
      <c r="C4809" s="155"/>
      <c r="D4809" s="155"/>
      <c r="E4809" s="40"/>
      <c r="F4809" s="314"/>
      <c r="H4809" s="315"/>
      <c r="I4809" s="315"/>
      <c r="BA4809" s="30"/>
      <c r="BB4809" s="155"/>
      <c r="BC4809" s="314"/>
      <c r="BD4809" s="314"/>
      <c r="BE4809" s="314"/>
      <c r="BF4809" s="314"/>
      <c r="BG4809" s="314"/>
      <c r="BH4809" s="314"/>
      <c r="BI4809" s="314"/>
      <c r="BJ4809" s="314"/>
      <c r="BK4809" s="40"/>
      <c r="BL4809" s="40"/>
      <c r="BM4809" s="40"/>
      <c r="BN4809" s="40"/>
      <c r="BO4809" s="40"/>
      <c r="BP4809" s="155"/>
      <c r="BQ4809" s="314"/>
      <c r="BR4809" s="314"/>
      <c r="BS4809" s="314"/>
      <c r="BT4809" s="314"/>
      <c r="BU4809" s="314"/>
      <c r="BV4809" s="314"/>
      <c r="BW4809" s="314"/>
      <c r="BX4809" s="155"/>
    </row>
    <row r="4810" spans="1:76" ht="15.75" customHeight="1">
      <c r="A4810" s="25"/>
      <c r="B4810" s="39"/>
      <c r="C4810" s="155"/>
      <c r="D4810" s="155"/>
      <c r="E4810" s="40"/>
      <c r="F4810" s="314"/>
      <c r="H4810" s="315"/>
      <c r="I4810" s="315"/>
      <c r="BA4810" s="30"/>
      <c r="BB4810" s="155"/>
      <c r="BC4810" s="314"/>
      <c r="BD4810" s="314"/>
      <c r="BE4810" s="314"/>
      <c r="BF4810" s="314"/>
      <c r="BG4810" s="314"/>
      <c r="BH4810" s="314"/>
      <c r="BI4810" s="314"/>
      <c r="BJ4810" s="314"/>
      <c r="BK4810" s="40"/>
      <c r="BL4810" s="40"/>
      <c r="BM4810" s="40"/>
      <c r="BN4810" s="40"/>
      <c r="BO4810" s="40"/>
      <c r="BP4810" s="155"/>
      <c r="BQ4810" s="314"/>
      <c r="BR4810" s="314"/>
      <c r="BS4810" s="314"/>
      <c r="BT4810" s="314"/>
      <c r="BU4810" s="314"/>
      <c r="BV4810" s="314"/>
      <c r="BW4810" s="314"/>
      <c r="BX4810" s="155"/>
    </row>
    <row r="4811" spans="1:76" ht="15.75" customHeight="1">
      <c r="A4811" s="25"/>
      <c r="B4811" s="39"/>
      <c r="C4811" s="155"/>
      <c r="D4811" s="155"/>
      <c r="E4811" s="40"/>
      <c r="F4811" s="314"/>
      <c r="H4811" s="315"/>
      <c r="I4811" s="315"/>
      <c r="BA4811" s="30"/>
      <c r="BB4811" s="155"/>
      <c r="BC4811" s="314"/>
      <c r="BD4811" s="314"/>
      <c r="BE4811" s="314"/>
      <c r="BF4811" s="314"/>
      <c r="BG4811" s="314"/>
      <c r="BH4811" s="314"/>
      <c r="BI4811" s="314"/>
      <c r="BJ4811" s="314"/>
      <c r="BK4811" s="40"/>
      <c r="BL4811" s="40"/>
      <c r="BM4811" s="40"/>
      <c r="BN4811" s="40"/>
      <c r="BO4811" s="40"/>
      <c r="BP4811" s="155"/>
      <c r="BQ4811" s="314"/>
      <c r="BR4811" s="314"/>
      <c r="BS4811" s="314"/>
      <c r="BT4811" s="314"/>
      <c r="BU4811" s="314"/>
      <c r="BV4811" s="314"/>
      <c r="BW4811" s="314"/>
      <c r="BX4811" s="155"/>
    </row>
    <row r="4812" spans="1:76" ht="15.75" customHeight="1">
      <c r="A4812" s="25"/>
      <c r="B4812" s="39"/>
      <c r="C4812" s="155"/>
      <c r="D4812" s="155"/>
      <c r="E4812" s="40"/>
      <c r="F4812" s="314"/>
      <c r="H4812" s="315"/>
      <c r="I4812" s="315"/>
      <c r="BA4812" s="30"/>
      <c r="BB4812" s="155"/>
      <c r="BC4812" s="314"/>
      <c r="BD4812" s="314"/>
      <c r="BE4812" s="314"/>
      <c r="BF4812" s="314"/>
      <c r="BG4812" s="314"/>
      <c r="BH4812" s="314"/>
      <c r="BI4812" s="314"/>
      <c r="BJ4812" s="314"/>
      <c r="BK4812" s="40"/>
      <c r="BL4812" s="40"/>
      <c r="BM4812" s="40"/>
      <c r="BN4812" s="40"/>
      <c r="BO4812" s="40"/>
      <c r="BP4812" s="155"/>
      <c r="BQ4812" s="314"/>
      <c r="BR4812" s="314"/>
      <c r="BS4812" s="314"/>
      <c r="BT4812" s="314"/>
      <c r="BU4812" s="314"/>
      <c r="BV4812" s="314"/>
      <c r="BW4812" s="314"/>
      <c r="BX4812" s="155"/>
    </row>
    <row r="4813" spans="1:76" ht="15.75" customHeight="1">
      <c r="A4813" s="25"/>
      <c r="B4813" s="39"/>
      <c r="C4813" s="155"/>
      <c r="D4813" s="155"/>
      <c r="E4813" s="40"/>
      <c r="F4813" s="314"/>
      <c r="H4813" s="315"/>
      <c r="I4813" s="315"/>
      <c r="BA4813" s="30"/>
      <c r="BB4813" s="155"/>
      <c r="BC4813" s="314"/>
      <c r="BD4813" s="314"/>
      <c r="BE4813" s="314"/>
      <c r="BF4813" s="314"/>
      <c r="BG4813" s="314"/>
      <c r="BH4813" s="314"/>
      <c r="BI4813" s="314"/>
      <c r="BJ4813" s="314"/>
      <c r="BK4813" s="40"/>
      <c r="BL4813" s="40"/>
      <c r="BM4813" s="40"/>
      <c r="BN4813" s="40"/>
      <c r="BO4813" s="40"/>
      <c r="BP4813" s="155"/>
      <c r="BQ4813" s="314"/>
      <c r="BR4813" s="314"/>
      <c r="BS4813" s="314"/>
      <c r="BT4813" s="314"/>
      <c r="BU4813" s="314"/>
      <c r="BV4813" s="314"/>
      <c r="BW4813" s="314"/>
      <c r="BX4813" s="155"/>
    </row>
    <row r="4814" spans="1:76" ht="15.75" customHeight="1">
      <c r="A4814" s="25"/>
      <c r="B4814" s="39"/>
      <c r="C4814" s="155"/>
      <c r="D4814" s="155"/>
      <c r="E4814" s="40"/>
      <c r="F4814" s="314"/>
      <c r="H4814" s="315"/>
      <c r="I4814" s="315"/>
      <c r="BA4814" s="30"/>
      <c r="BB4814" s="155"/>
      <c r="BC4814" s="314"/>
      <c r="BD4814" s="314"/>
      <c r="BE4814" s="314"/>
      <c r="BF4814" s="314"/>
      <c r="BG4814" s="314"/>
      <c r="BH4814" s="314"/>
      <c r="BI4814" s="314"/>
      <c r="BJ4814" s="314"/>
      <c r="BK4814" s="40"/>
      <c r="BL4814" s="40"/>
      <c r="BM4814" s="40"/>
      <c r="BN4814" s="40"/>
      <c r="BO4814" s="40"/>
      <c r="BP4814" s="155"/>
      <c r="BQ4814" s="314"/>
      <c r="BR4814" s="314"/>
      <c r="BS4814" s="314"/>
      <c r="BT4814" s="314"/>
      <c r="BU4814" s="314"/>
      <c r="BV4814" s="314"/>
      <c r="BW4814" s="314"/>
      <c r="BX4814" s="155"/>
    </row>
    <row r="4815" spans="1:76" ht="15.75" customHeight="1">
      <c r="A4815" s="25"/>
      <c r="B4815" s="39"/>
      <c r="C4815" s="155"/>
      <c r="D4815" s="155"/>
      <c r="E4815" s="40"/>
      <c r="F4815" s="314"/>
      <c r="H4815" s="315"/>
      <c r="I4815" s="315"/>
      <c r="BA4815" s="30"/>
      <c r="BB4815" s="155"/>
      <c r="BC4815" s="314"/>
      <c r="BD4815" s="314"/>
      <c r="BE4815" s="314"/>
      <c r="BF4815" s="314"/>
      <c r="BG4815" s="314"/>
      <c r="BH4815" s="314"/>
      <c r="BI4815" s="314"/>
      <c r="BJ4815" s="314"/>
      <c r="BK4815" s="40"/>
      <c r="BL4815" s="40"/>
      <c r="BM4815" s="40"/>
      <c r="BN4815" s="40"/>
      <c r="BO4815" s="40"/>
      <c r="BP4815" s="155"/>
      <c r="BQ4815" s="314"/>
      <c r="BR4815" s="314"/>
      <c r="BS4815" s="314"/>
      <c r="BT4815" s="314"/>
      <c r="BU4815" s="314"/>
      <c r="BV4815" s="314"/>
      <c r="BW4815" s="314"/>
      <c r="BX4815" s="155"/>
    </row>
    <row r="4816" spans="1:76" ht="15.75" customHeight="1">
      <c r="A4816" s="25"/>
      <c r="B4816" s="39"/>
      <c r="C4816" s="155"/>
      <c r="D4816" s="155"/>
      <c r="E4816" s="40"/>
      <c r="F4816" s="314"/>
      <c r="H4816" s="315"/>
      <c r="I4816" s="315"/>
      <c r="BA4816" s="30"/>
      <c r="BB4816" s="155"/>
      <c r="BC4816" s="314"/>
      <c r="BD4816" s="314"/>
      <c r="BE4816" s="314"/>
      <c r="BF4816" s="314"/>
      <c r="BG4816" s="314"/>
      <c r="BH4816" s="314"/>
      <c r="BI4816" s="314"/>
      <c r="BJ4816" s="314"/>
      <c r="BK4816" s="40"/>
      <c r="BL4816" s="40"/>
      <c r="BM4816" s="40"/>
      <c r="BN4816" s="40"/>
      <c r="BO4816" s="40"/>
      <c r="BP4816" s="155"/>
      <c r="BQ4816" s="314"/>
      <c r="BR4816" s="314"/>
      <c r="BS4816" s="314"/>
      <c r="BT4816" s="314"/>
      <c r="BU4816" s="314"/>
      <c r="BV4816" s="314"/>
      <c r="BW4816" s="314"/>
      <c r="BX4816" s="155"/>
    </row>
    <row r="4817" spans="1:76" ht="15.75" customHeight="1">
      <c r="A4817" s="25"/>
      <c r="B4817" s="39"/>
      <c r="C4817" s="155"/>
      <c r="D4817" s="155"/>
      <c r="E4817" s="40"/>
      <c r="F4817" s="314"/>
      <c r="H4817" s="315"/>
      <c r="I4817" s="315"/>
      <c r="BA4817" s="30"/>
      <c r="BB4817" s="155"/>
      <c r="BC4817" s="314"/>
      <c r="BD4817" s="314"/>
      <c r="BE4817" s="314"/>
      <c r="BF4817" s="314"/>
      <c r="BG4817" s="314"/>
      <c r="BH4817" s="314"/>
      <c r="BI4817" s="314"/>
      <c r="BJ4817" s="314"/>
      <c r="BK4817" s="40"/>
      <c r="BL4817" s="40"/>
      <c r="BM4817" s="40"/>
      <c r="BN4817" s="40"/>
      <c r="BO4817" s="40"/>
      <c r="BP4817" s="155"/>
      <c r="BQ4817" s="314"/>
      <c r="BR4817" s="314"/>
      <c r="BS4817" s="314"/>
      <c r="BT4817" s="314"/>
      <c r="BU4817" s="314"/>
      <c r="BV4817" s="314"/>
      <c r="BW4817" s="314"/>
      <c r="BX4817" s="155"/>
    </row>
    <row r="4818" spans="1:76" ht="15.75" customHeight="1">
      <c r="A4818" s="25"/>
      <c r="B4818" s="39"/>
      <c r="C4818" s="155"/>
      <c r="D4818" s="155"/>
      <c r="E4818" s="40"/>
      <c r="F4818" s="314"/>
      <c r="H4818" s="315"/>
      <c r="I4818" s="315"/>
      <c r="BA4818" s="30"/>
      <c r="BB4818" s="155"/>
      <c r="BC4818" s="314"/>
      <c r="BD4818" s="314"/>
      <c r="BE4818" s="314"/>
      <c r="BF4818" s="314"/>
      <c r="BG4818" s="314"/>
      <c r="BH4818" s="314"/>
      <c r="BI4818" s="314"/>
      <c r="BJ4818" s="314"/>
      <c r="BK4818" s="40"/>
      <c r="BL4818" s="40"/>
      <c r="BM4818" s="40"/>
      <c r="BN4818" s="40"/>
      <c r="BO4818" s="40"/>
      <c r="BP4818" s="155"/>
      <c r="BQ4818" s="314"/>
      <c r="BR4818" s="314"/>
      <c r="BS4818" s="314"/>
      <c r="BT4818" s="314"/>
      <c r="BU4818" s="314"/>
      <c r="BV4818" s="314"/>
      <c r="BW4818" s="314"/>
      <c r="BX4818" s="155"/>
    </row>
    <row r="4819" spans="1:76" ht="15.75" customHeight="1">
      <c r="A4819" s="25"/>
      <c r="B4819" s="39"/>
      <c r="C4819" s="155"/>
      <c r="D4819" s="155"/>
      <c r="E4819" s="40"/>
      <c r="F4819" s="314"/>
      <c r="H4819" s="315"/>
      <c r="I4819" s="315"/>
      <c r="BA4819" s="30"/>
      <c r="BB4819" s="155"/>
      <c r="BC4819" s="314"/>
      <c r="BD4819" s="314"/>
      <c r="BE4819" s="314"/>
      <c r="BF4819" s="314"/>
      <c r="BG4819" s="314"/>
      <c r="BH4819" s="314"/>
      <c r="BI4819" s="314"/>
      <c r="BJ4819" s="314"/>
      <c r="BK4819" s="40"/>
      <c r="BL4819" s="40"/>
      <c r="BM4819" s="40"/>
      <c r="BN4819" s="40"/>
      <c r="BO4819" s="40"/>
      <c r="BP4819" s="155"/>
      <c r="BQ4819" s="314"/>
      <c r="BR4819" s="314"/>
      <c r="BS4819" s="314"/>
      <c r="BT4819" s="314"/>
      <c r="BU4819" s="314"/>
      <c r="BV4819" s="314"/>
      <c r="BW4819" s="314"/>
      <c r="BX4819" s="155"/>
    </row>
    <row r="4820" spans="1:76" ht="15.75" customHeight="1">
      <c r="A4820" s="25"/>
      <c r="B4820" s="39"/>
      <c r="C4820" s="155"/>
      <c r="D4820" s="155"/>
      <c r="E4820" s="40"/>
      <c r="F4820" s="314"/>
      <c r="H4820" s="315"/>
      <c r="I4820" s="315"/>
      <c r="BA4820" s="30"/>
      <c r="BB4820" s="155"/>
      <c r="BC4820" s="314"/>
      <c r="BD4820" s="314"/>
      <c r="BE4820" s="314"/>
      <c r="BF4820" s="314"/>
      <c r="BG4820" s="314"/>
      <c r="BH4820" s="314"/>
      <c r="BI4820" s="314"/>
      <c r="BJ4820" s="314"/>
      <c r="BK4820" s="40"/>
      <c r="BL4820" s="40"/>
      <c r="BM4820" s="40"/>
      <c r="BN4820" s="40"/>
      <c r="BO4820" s="40"/>
      <c r="BP4820" s="155"/>
      <c r="BQ4820" s="314"/>
      <c r="BR4820" s="314"/>
      <c r="BS4820" s="314"/>
      <c r="BT4820" s="314"/>
      <c r="BU4820" s="314"/>
      <c r="BV4820" s="314"/>
      <c r="BW4820" s="314"/>
      <c r="BX4820" s="155"/>
    </row>
    <row r="4821" spans="1:76" ht="15.75" customHeight="1">
      <c r="A4821" s="25"/>
      <c r="B4821" s="39"/>
      <c r="C4821" s="155"/>
      <c r="D4821" s="155"/>
      <c r="E4821" s="40"/>
      <c r="F4821" s="314"/>
      <c r="H4821" s="315"/>
      <c r="I4821" s="315"/>
      <c r="BA4821" s="30"/>
      <c r="BB4821" s="155"/>
      <c r="BC4821" s="314"/>
      <c r="BD4821" s="314"/>
      <c r="BE4821" s="314"/>
      <c r="BF4821" s="314"/>
      <c r="BG4821" s="314"/>
      <c r="BH4821" s="314"/>
      <c r="BI4821" s="314"/>
      <c r="BJ4821" s="314"/>
      <c r="BK4821" s="40"/>
      <c r="BL4821" s="40"/>
      <c r="BM4821" s="40"/>
      <c r="BN4821" s="40"/>
      <c r="BO4821" s="40"/>
      <c r="BP4821" s="155"/>
      <c r="BQ4821" s="314"/>
      <c r="BR4821" s="314"/>
      <c r="BS4821" s="314"/>
      <c r="BT4821" s="314"/>
      <c r="BU4821" s="314"/>
      <c r="BV4821" s="314"/>
      <c r="BW4821" s="314"/>
      <c r="BX4821" s="155"/>
    </row>
    <row r="4822" spans="1:76" ht="15.75" customHeight="1">
      <c r="A4822" s="25"/>
      <c r="B4822" s="39"/>
      <c r="C4822" s="155"/>
      <c r="D4822" s="155"/>
      <c r="E4822" s="40"/>
      <c r="F4822" s="314"/>
      <c r="H4822" s="315"/>
      <c r="I4822" s="315"/>
      <c r="BA4822" s="30"/>
      <c r="BB4822" s="155"/>
      <c r="BC4822" s="314"/>
      <c r="BD4822" s="314"/>
      <c r="BE4822" s="314"/>
      <c r="BF4822" s="314"/>
      <c r="BG4822" s="314"/>
      <c r="BH4822" s="314"/>
      <c r="BI4822" s="314"/>
      <c r="BJ4822" s="314"/>
      <c r="BK4822" s="40"/>
      <c r="BL4822" s="40"/>
      <c r="BM4822" s="40"/>
      <c r="BN4822" s="40"/>
      <c r="BO4822" s="40"/>
      <c r="BP4822" s="155"/>
      <c r="BQ4822" s="314"/>
      <c r="BR4822" s="314"/>
      <c r="BS4822" s="314"/>
      <c r="BT4822" s="314"/>
      <c r="BU4822" s="314"/>
      <c r="BV4822" s="314"/>
      <c r="BW4822" s="314"/>
      <c r="BX4822" s="155"/>
    </row>
    <row r="4823" spans="1:76" ht="15.75" customHeight="1">
      <c r="A4823" s="25"/>
      <c r="B4823" s="39"/>
      <c r="C4823" s="155"/>
      <c r="D4823" s="155"/>
      <c r="E4823" s="40"/>
      <c r="F4823" s="314"/>
      <c r="H4823" s="315"/>
      <c r="I4823" s="315"/>
      <c r="BA4823" s="30"/>
      <c r="BB4823" s="155"/>
      <c r="BC4823" s="314"/>
      <c r="BD4823" s="314"/>
      <c r="BE4823" s="314"/>
      <c r="BF4823" s="314"/>
      <c r="BG4823" s="314"/>
      <c r="BH4823" s="314"/>
      <c r="BI4823" s="314"/>
      <c r="BJ4823" s="314"/>
      <c r="BK4823" s="40"/>
      <c r="BL4823" s="40"/>
      <c r="BM4823" s="40"/>
      <c r="BN4823" s="40"/>
      <c r="BO4823" s="40"/>
      <c r="BP4823" s="155"/>
      <c r="BQ4823" s="314"/>
      <c r="BR4823" s="314"/>
      <c r="BS4823" s="314"/>
      <c r="BT4823" s="314"/>
      <c r="BU4823" s="314"/>
      <c r="BV4823" s="314"/>
      <c r="BW4823" s="314"/>
      <c r="BX4823" s="155"/>
    </row>
    <row r="4824" spans="1:76" ht="15.75" customHeight="1">
      <c r="A4824" s="25"/>
      <c r="B4824" s="39"/>
      <c r="C4824" s="155"/>
      <c r="D4824" s="155"/>
      <c r="E4824" s="40"/>
      <c r="F4824" s="314"/>
      <c r="H4824" s="315"/>
      <c r="I4824" s="315"/>
      <c r="BA4824" s="30"/>
      <c r="BB4824" s="155"/>
      <c r="BC4824" s="314"/>
      <c r="BD4824" s="314"/>
      <c r="BE4824" s="314"/>
      <c r="BF4824" s="314"/>
      <c r="BG4824" s="314"/>
      <c r="BH4824" s="314"/>
      <c r="BI4824" s="314"/>
      <c r="BJ4824" s="314"/>
      <c r="BK4824" s="40"/>
      <c r="BL4824" s="40"/>
      <c r="BM4824" s="40"/>
      <c r="BN4824" s="40"/>
      <c r="BO4824" s="40"/>
      <c r="BP4824" s="155"/>
      <c r="BQ4824" s="314"/>
      <c r="BR4824" s="314"/>
      <c r="BS4824" s="314"/>
      <c r="BT4824" s="314"/>
      <c r="BU4824" s="314"/>
      <c r="BV4824" s="314"/>
      <c r="BW4824" s="314"/>
      <c r="BX4824" s="155"/>
    </row>
    <row r="4825" spans="1:76" ht="15.75" customHeight="1">
      <c r="A4825" s="25"/>
      <c r="B4825" s="39"/>
      <c r="C4825" s="155"/>
      <c r="D4825" s="155"/>
      <c r="E4825" s="40"/>
      <c r="F4825" s="314"/>
      <c r="H4825" s="315"/>
      <c r="I4825" s="315"/>
      <c r="BA4825" s="30"/>
      <c r="BB4825" s="155"/>
      <c r="BC4825" s="314"/>
      <c r="BD4825" s="314"/>
      <c r="BE4825" s="314"/>
      <c r="BF4825" s="314"/>
      <c r="BG4825" s="314"/>
      <c r="BH4825" s="314"/>
      <c r="BI4825" s="314"/>
      <c r="BJ4825" s="314"/>
      <c r="BK4825" s="40"/>
      <c r="BL4825" s="40"/>
      <c r="BM4825" s="40"/>
      <c r="BN4825" s="40"/>
      <c r="BO4825" s="40"/>
      <c r="BP4825" s="155"/>
      <c r="BQ4825" s="314"/>
      <c r="BR4825" s="314"/>
      <c r="BS4825" s="314"/>
      <c r="BT4825" s="314"/>
      <c r="BU4825" s="314"/>
      <c r="BV4825" s="314"/>
      <c r="BW4825" s="314"/>
      <c r="BX4825" s="155"/>
    </row>
    <row r="4826" spans="1:76" ht="15.75" customHeight="1">
      <c r="A4826" s="25"/>
      <c r="B4826" s="39"/>
      <c r="C4826" s="155"/>
      <c r="D4826" s="155"/>
      <c r="E4826" s="40"/>
      <c r="F4826" s="314"/>
      <c r="H4826" s="315"/>
      <c r="I4826" s="315"/>
      <c r="BA4826" s="30"/>
      <c r="BB4826" s="155"/>
      <c r="BC4826" s="314"/>
      <c r="BD4826" s="314"/>
      <c r="BE4826" s="314"/>
      <c r="BF4826" s="314"/>
      <c r="BG4826" s="314"/>
      <c r="BH4826" s="314"/>
      <c r="BI4826" s="314"/>
      <c r="BJ4826" s="314"/>
      <c r="BK4826" s="40"/>
      <c r="BL4826" s="40"/>
      <c r="BM4826" s="40"/>
      <c r="BN4826" s="40"/>
      <c r="BO4826" s="40"/>
      <c r="BP4826" s="155"/>
      <c r="BQ4826" s="314"/>
      <c r="BR4826" s="314"/>
      <c r="BS4826" s="314"/>
      <c r="BT4826" s="314"/>
      <c r="BU4826" s="314"/>
      <c r="BV4826" s="314"/>
      <c r="BW4826" s="314"/>
      <c r="BX4826" s="155"/>
    </row>
    <row r="4827" spans="1:76" ht="15.75" customHeight="1">
      <c r="A4827" s="25"/>
      <c r="B4827" s="39"/>
      <c r="C4827" s="155"/>
      <c r="D4827" s="155"/>
      <c r="E4827" s="40"/>
      <c r="F4827" s="314"/>
      <c r="H4827" s="315"/>
      <c r="I4827" s="315"/>
      <c r="BA4827" s="30"/>
      <c r="BB4827" s="155"/>
      <c r="BC4827" s="314"/>
      <c r="BD4827" s="314"/>
      <c r="BE4827" s="314"/>
      <c r="BF4827" s="314"/>
      <c r="BG4827" s="314"/>
      <c r="BH4827" s="314"/>
      <c r="BI4827" s="314"/>
      <c r="BJ4827" s="314"/>
      <c r="BK4827" s="40"/>
      <c r="BL4827" s="40"/>
      <c r="BM4827" s="40"/>
      <c r="BN4827" s="40"/>
      <c r="BO4827" s="40"/>
      <c r="BP4827" s="155"/>
      <c r="BQ4827" s="314"/>
      <c r="BR4827" s="314"/>
      <c r="BS4827" s="314"/>
      <c r="BT4827" s="314"/>
      <c r="BU4827" s="314"/>
      <c r="BV4827" s="314"/>
      <c r="BW4827" s="314"/>
      <c r="BX4827" s="155"/>
    </row>
    <row r="4828" spans="1:76" ht="15.75" customHeight="1">
      <c r="A4828" s="25"/>
      <c r="B4828" s="39"/>
      <c r="C4828" s="155"/>
      <c r="D4828" s="155"/>
      <c r="E4828" s="40"/>
      <c r="F4828" s="314"/>
      <c r="H4828" s="315"/>
      <c r="I4828" s="315"/>
      <c r="BA4828" s="30"/>
      <c r="BB4828" s="155"/>
      <c r="BC4828" s="314"/>
      <c r="BD4828" s="314"/>
      <c r="BE4828" s="314"/>
      <c r="BF4828" s="314"/>
      <c r="BG4828" s="314"/>
      <c r="BH4828" s="314"/>
      <c r="BI4828" s="314"/>
      <c r="BJ4828" s="314"/>
      <c r="BK4828" s="40"/>
      <c r="BL4828" s="40"/>
      <c r="BM4828" s="40"/>
      <c r="BN4828" s="40"/>
      <c r="BO4828" s="40"/>
      <c r="BP4828" s="155"/>
      <c r="BQ4828" s="314"/>
      <c r="BR4828" s="314"/>
      <c r="BS4828" s="314"/>
      <c r="BT4828" s="314"/>
      <c r="BU4828" s="314"/>
      <c r="BV4828" s="314"/>
      <c r="BW4828" s="314"/>
      <c r="BX4828" s="155"/>
    </row>
    <row r="4829" spans="1:76" ht="15.75" customHeight="1">
      <c r="A4829" s="25"/>
      <c r="B4829" s="39"/>
      <c r="C4829" s="155"/>
      <c r="D4829" s="155"/>
      <c r="E4829" s="40"/>
      <c r="F4829" s="314"/>
      <c r="H4829" s="315"/>
      <c r="I4829" s="315"/>
      <c r="BA4829" s="30"/>
      <c r="BB4829" s="155"/>
      <c r="BC4829" s="314"/>
      <c r="BD4829" s="314"/>
      <c r="BE4829" s="314"/>
      <c r="BF4829" s="314"/>
      <c r="BG4829" s="314"/>
      <c r="BH4829" s="314"/>
      <c r="BI4829" s="314"/>
      <c r="BJ4829" s="314"/>
      <c r="BK4829" s="40"/>
      <c r="BL4829" s="40"/>
      <c r="BM4829" s="40"/>
      <c r="BN4829" s="40"/>
      <c r="BO4829" s="40"/>
      <c r="BP4829" s="155"/>
      <c r="BQ4829" s="314"/>
      <c r="BR4829" s="314"/>
      <c r="BS4829" s="314"/>
      <c r="BT4829" s="314"/>
      <c r="BU4829" s="314"/>
      <c r="BV4829" s="314"/>
      <c r="BW4829" s="314"/>
      <c r="BX4829" s="155"/>
    </row>
    <row r="4830" spans="1:76" ht="15.75" customHeight="1">
      <c r="A4830" s="25"/>
      <c r="B4830" s="39"/>
      <c r="C4830" s="155"/>
      <c r="D4830" s="155"/>
      <c r="E4830" s="40"/>
      <c r="F4830" s="314"/>
      <c r="H4830" s="315"/>
      <c r="I4830" s="315"/>
      <c r="BA4830" s="30"/>
      <c r="BB4830" s="155"/>
      <c r="BC4830" s="322"/>
      <c r="BD4830" s="322"/>
      <c r="BE4830" s="322"/>
      <c r="BF4830" s="322"/>
      <c r="BG4830" s="322"/>
      <c r="BH4830" s="322"/>
      <c r="BI4830" s="322"/>
      <c r="BJ4830" s="322"/>
      <c r="BK4830" s="341"/>
      <c r="BL4830" s="40"/>
      <c r="BM4830" s="40"/>
      <c r="BN4830" s="40"/>
      <c r="BO4830" s="40"/>
      <c r="BP4830" s="155"/>
      <c r="BQ4830" s="314"/>
      <c r="BR4830" s="314"/>
      <c r="BS4830" s="314"/>
      <c r="BT4830" s="314"/>
      <c r="BU4830" s="314"/>
      <c r="BV4830" s="314"/>
      <c r="BW4830" s="314"/>
      <c r="BX4830" s="155"/>
    </row>
    <row r="4831" spans="1:76" ht="15.75" customHeight="1">
      <c r="A4831" s="25"/>
      <c r="B4831" s="39"/>
      <c r="C4831" s="155"/>
      <c r="D4831" s="155"/>
      <c r="E4831" s="40"/>
      <c r="F4831" s="314"/>
      <c r="H4831" s="315"/>
      <c r="I4831" s="315"/>
      <c r="BA4831" s="30"/>
      <c r="BB4831" s="155"/>
      <c r="BC4831" s="314"/>
      <c r="BD4831" s="314"/>
      <c r="BE4831" s="314"/>
      <c r="BF4831" s="314"/>
      <c r="BG4831" s="314"/>
      <c r="BH4831" s="314"/>
      <c r="BI4831" s="314"/>
      <c r="BJ4831" s="314"/>
      <c r="BK4831" s="40"/>
      <c r="BL4831" s="40"/>
      <c r="BM4831" s="40"/>
      <c r="BN4831" s="40"/>
      <c r="BO4831" s="40"/>
      <c r="BP4831" s="155"/>
      <c r="BQ4831" s="314"/>
      <c r="BR4831" s="314"/>
      <c r="BS4831" s="314"/>
      <c r="BT4831" s="314"/>
      <c r="BU4831" s="314"/>
      <c r="BV4831" s="314"/>
      <c r="BW4831" s="314"/>
      <c r="BX4831" s="155"/>
    </row>
    <row r="4832" spans="1:76" ht="15.75" customHeight="1">
      <c r="A4832" s="25"/>
      <c r="B4832" s="39"/>
      <c r="C4832" s="155"/>
      <c r="D4832" s="155"/>
      <c r="E4832" s="40"/>
      <c r="F4832" s="314"/>
      <c r="H4832" s="315"/>
      <c r="I4832" s="315"/>
      <c r="BA4832" s="30"/>
      <c r="BB4832" s="155"/>
      <c r="BC4832" s="314"/>
      <c r="BD4832" s="314"/>
      <c r="BE4832" s="314"/>
      <c r="BF4832" s="314"/>
      <c r="BG4832" s="314"/>
      <c r="BH4832" s="314"/>
      <c r="BI4832" s="314"/>
      <c r="BJ4832" s="314"/>
      <c r="BK4832" s="40"/>
      <c r="BL4832" s="40"/>
      <c r="BM4832" s="40"/>
      <c r="BN4832" s="40"/>
      <c r="BO4832" s="40"/>
      <c r="BP4832" s="155"/>
      <c r="BQ4832" s="314"/>
      <c r="BR4832" s="314"/>
      <c r="BS4832" s="314"/>
      <c r="BT4832" s="314"/>
      <c r="BU4832" s="314"/>
      <c r="BV4832" s="314"/>
      <c r="BW4832" s="314"/>
      <c r="BX4832" s="155"/>
    </row>
    <row r="4833" spans="1:76" ht="15.75" customHeight="1">
      <c r="A4833" s="25"/>
      <c r="B4833" s="39"/>
      <c r="C4833" s="155"/>
      <c r="D4833" s="155"/>
      <c r="E4833" s="40"/>
      <c r="F4833" s="314"/>
      <c r="H4833" s="315"/>
      <c r="I4833" s="315"/>
      <c r="BA4833" s="30"/>
      <c r="BB4833" s="155"/>
      <c r="BC4833" s="314"/>
      <c r="BD4833" s="314"/>
      <c r="BE4833" s="314"/>
      <c r="BF4833" s="314"/>
      <c r="BG4833" s="314"/>
      <c r="BH4833" s="314"/>
      <c r="BI4833" s="314"/>
      <c r="BJ4833" s="314"/>
      <c r="BK4833" s="40"/>
      <c r="BL4833" s="40"/>
      <c r="BM4833" s="40"/>
      <c r="BN4833" s="40"/>
      <c r="BO4833" s="40"/>
      <c r="BP4833" s="155"/>
      <c r="BQ4833" s="314"/>
      <c r="BR4833" s="314"/>
      <c r="BS4833" s="314"/>
      <c r="BT4833" s="314"/>
      <c r="BU4833" s="314"/>
      <c r="BV4833" s="314"/>
      <c r="BW4833" s="314"/>
      <c r="BX4833" s="155"/>
    </row>
    <row r="4834" spans="1:76" ht="15.75" customHeight="1">
      <c r="A4834" s="25"/>
      <c r="B4834" s="39"/>
      <c r="C4834" s="155"/>
      <c r="D4834" s="155"/>
      <c r="E4834" s="40"/>
      <c r="F4834" s="314"/>
      <c r="H4834" s="315"/>
      <c r="I4834" s="315"/>
      <c r="BA4834" s="30"/>
      <c r="BB4834" s="155"/>
      <c r="BC4834" s="314"/>
      <c r="BD4834" s="314"/>
      <c r="BE4834" s="314"/>
      <c r="BF4834" s="314"/>
      <c r="BG4834" s="314"/>
      <c r="BH4834" s="314"/>
      <c r="BI4834" s="314"/>
      <c r="BJ4834" s="314"/>
      <c r="BK4834" s="40"/>
      <c r="BL4834" s="40"/>
      <c r="BM4834" s="40"/>
      <c r="BN4834" s="40"/>
      <c r="BO4834" s="40"/>
      <c r="BP4834" s="155"/>
      <c r="BQ4834" s="314"/>
      <c r="BR4834" s="314"/>
      <c r="BS4834" s="314"/>
      <c r="BT4834" s="314"/>
      <c r="BU4834" s="314"/>
      <c r="BV4834" s="314"/>
      <c r="BW4834" s="314"/>
      <c r="BX4834" s="155"/>
    </row>
    <row r="4835" spans="1:76" ht="15.75" customHeight="1">
      <c r="A4835" s="25"/>
      <c r="B4835" s="39"/>
      <c r="C4835" s="155"/>
      <c r="D4835" s="155"/>
      <c r="E4835" s="40"/>
      <c r="F4835" s="314"/>
      <c r="H4835" s="315"/>
      <c r="I4835" s="315"/>
      <c r="BA4835" s="30"/>
      <c r="BB4835" s="155"/>
      <c r="BC4835" s="314"/>
      <c r="BD4835" s="314"/>
      <c r="BE4835" s="314"/>
      <c r="BF4835" s="314"/>
      <c r="BG4835" s="314"/>
      <c r="BH4835" s="314"/>
      <c r="BI4835" s="314"/>
      <c r="BJ4835" s="314"/>
      <c r="BK4835" s="40"/>
      <c r="BL4835" s="40"/>
      <c r="BM4835" s="40"/>
      <c r="BN4835" s="40"/>
      <c r="BO4835" s="40"/>
      <c r="BP4835" s="155"/>
      <c r="BQ4835" s="314"/>
      <c r="BR4835" s="314"/>
      <c r="BS4835" s="314"/>
      <c r="BT4835" s="314"/>
      <c r="BU4835" s="314"/>
      <c r="BV4835" s="314"/>
      <c r="BW4835" s="314"/>
      <c r="BX4835" s="155"/>
    </row>
    <row r="4836" spans="1:76" ht="15.75" customHeight="1">
      <c r="A4836" s="25"/>
      <c r="B4836" s="39"/>
      <c r="C4836" s="155"/>
      <c r="D4836" s="155"/>
      <c r="E4836" s="40"/>
      <c r="F4836" s="314"/>
      <c r="H4836" s="315"/>
      <c r="I4836" s="315"/>
      <c r="BA4836" s="30"/>
      <c r="BB4836" s="155"/>
      <c r="BC4836" s="314"/>
      <c r="BD4836" s="314"/>
      <c r="BE4836" s="314"/>
      <c r="BF4836" s="314"/>
      <c r="BG4836" s="314"/>
      <c r="BH4836" s="314"/>
      <c r="BI4836" s="314"/>
      <c r="BJ4836" s="314"/>
      <c r="BK4836" s="40"/>
      <c r="BL4836" s="40"/>
      <c r="BM4836" s="40"/>
      <c r="BN4836" s="40"/>
      <c r="BO4836" s="40"/>
      <c r="BP4836" s="155"/>
      <c r="BQ4836" s="314"/>
      <c r="BR4836" s="314"/>
      <c r="BS4836" s="314"/>
      <c r="BT4836" s="314"/>
      <c r="BU4836" s="314"/>
      <c r="BV4836" s="314"/>
      <c r="BW4836" s="314"/>
      <c r="BX4836" s="155"/>
    </row>
    <row r="4837" spans="1:76" ht="15.75" customHeight="1">
      <c r="A4837" s="25"/>
      <c r="B4837" s="39"/>
      <c r="C4837" s="155"/>
      <c r="D4837" s="155"/>
      <c r="E4837" s="40"/>
      <c r="F4837" s="314"/>
      <c r="H4837" s="315"/>
      <c r="I4837" s="315"/>
      <c r="BA4837" s="30"/>
      <c r="BB4837" s="155"/>
      <c r="BC4837" s="314"/>
      <c r="BD4837" s="314"/>
      <c r="BE4837" s="314"/>
      <c r="BF4837" s="314"/>
      <c r="BG4837" s="314"/>
      <c r="BH4837" s="314"/>
      <c r="BI4837" s="314"/>
      <c r="BJ4837" s="314"/>
      <c r="BK4837" s="40"/>
      <c r="BL4837" s="40"/>
      <c r="BM4837" s="40"/>
      <c r="BN4837" s="40"/>
      <c r="BO4837" s="40"/>
      <c r="BP4837" s="155"/>
      <c r="BQ4837" s="314"/>
      <c r="BR4837" s="314"/>
      <c r="BS4837" s="314"/>
      <c r="BT4837" s="314"/>
      <c r="BU4837" s="314"/>
      <c r="BV4837" s="314"/>
      <c r="BW4837" s="314"/>
      <c r="BX4837" s="155"/>
    </row>
    <row r="4838" spans="1:76" ht="15.75" customHeight="1">
      <c r="A4838" s="25"/>
      <c r="B4838" s="39"/>
      <c r="C4838" s="155"/>
      <c r="D4838" s="155"/>
      <c r="E4838" s="40"/>
      <c r="F4838" s="314"/>
      <c r="H4838" s="315"/>
      <c r="I4838" s="315"/>
      <c r="BA4838" s="30"/>
      <c r="BB4838" s="155"/>
      <c r="BC4838" s="314"/>
      <c r="BD4838" s="314"/>
      <c r="BE4838" s="314"/>
      <c r="BF4838" s="314"/>
      <c r="BG4838" s="314"/>
      <c r="BH4838" s="314"/>
      <c r="BI4838" s="314"/>
      <c r="BJ4838" s="314"/>
      <c r="BK4838" s="40"/>
      <c r="BL4838" s="40"/>
      <c r="BM4838" s="40"/>
      <c r="BN4838" s="40"/>
      <c r="BO4838" s="40"/>
      <c r="BP4838" s="155"/>
      <c r="BQ4838" s="314"/>
      <c r="BR4838" s="314"/>
      <c r="BS4838" s="314"/>
      <c r="BT4838" s="314"/>
      <c r="BU4838" s="314"/>
      <c r="BV4838" s="314"/>
      <c r="BW4838" s="314"/>
      <c r="BX4838" s="155"/>
    </row>
    <row r="4839" spans="1:76" ht="15.75" customHeight="1">
      <c r="A4839" s="25"/>
      <c r="B4839" s="39"/>
      <c r="C4839" s="155"/>
      <c r="D4839" s="155"/>
      <c r="E4839" s="40"/>
      <c r="F4839" s="314"/>
      <c r="H4839" s="315"/>
      <c r="I4839" s="315"/>
      <c r="BA4839" s="30"/>
      <c r="BB4839" s="155"/>
      <c r="BC4839" s="314"/>
      <c r="BD4839" s="314"/>
      <c r="BE4839" s="314"/>
      <c r="BF4839" s="314"/>
      <c r="BG4839" s="314"/>
      <c r="BH4839" s="314"/>
      <c r="BI4839" s="314"/>
      <c r="BJ4839" s="314"/>
      <c r="BK4839" s="40"/>
      <c r="BL4839" s="40"/>
      <c r="BM4839" s="40"/>
      <c r="BN4839" s="40"/>
      <c r="BO4839" s="40"/>
      <c r="BP4839" s="155"/>
      <c r="BQ4839" s="314"/>
      <c r="BR4839" s="314"/>
      <c r="BS4839" s="314"/>
      <c r="BT4839" s="314"/>
      <c r="BU4839" s="314"/>
      <c r="BV4839" s="314"/>
      <c r="BW4839" s="314"/>
      <c r="BX4839" s="155"/>
    </row>
    <row r="4840" spans="1:76" ht="15.75" customHeight="1">
      <c r="A4840" s="25"/>
      <c r="B4840" s="39"/>
      <c r="C4840" s="155"/>
      <c r="D4840" s="155"/>
      <c r="E4840" s="40"/>
      <c r="F4840" s="314"/>
      <c r="H4840" s="315"/>
      <c r="I4840" s="315"/>
      <c r="BA4840" s="30"/>
      <c r="BB4840" s="155"/>
      <c r="BC4840" s="314"/>
      <c r="BD4840" s="314"/>
      <c r="BE4840" s="314"/>
      <c r="BF4840" s="314"/>
      <c r="BG4840" s="314"/>
      <c r="BH4840" s="314"/>
      <c r="BI4840" s="314"/>
      <c r="BJ4840" s="314"/>
      <c r="BK4840" s="40"/>
      <c r="BL4840" s="40"/>
      <c r="BM4840" s="40"/>
      <c r="BN4840" s="40"/>
      <c r="BO4840" s="40"/>
      <c r="BP4840" s="155"/>
      <c r="BQ4840" s="314"/>
      <c r="BR4840" s="314"/>
      <c r="BS4840" s="314"/>
      <c r="BT4840" s="314"/>
      <c r="BU4840" s="314"/>
      <c r="BV4840" s="314"/>
      <c r="BW4840" s="314"/>
      <c r="BX4840" s="155"/>
    </row>
    <row r="4841" spans="1:76" ht="15.75" customHeight="1">
      <c r="A4841" s="25"/>
      <c r="B4841" s="39"/>
      <c r="C4841" s="155"/>
      <c r="D4841" s="155"/>
      <c r="E4841" s="40"/>
      <c r="F4841" s="314"/>
      <c r="H4841" s="315"/>
      <c r="I4841" s="315"/>
      <c r="BA4841" s="30"/>
      <c r="BB4841" s="155"/>
      <c r="BC4841" s="314"/>
      <c r="BD4841" s="314"/>
      <c r="BE4841" s="314"/>
      <c r="BF4841" s="314"/>
      <c r="BG4841" s="314"/>
      <c r="BH4841" s="314"/>
      <c r="BI4841" s="314"/>
      <c r="BJ4841" s="314"/>
      <c r="BK4841" s="40"/>
      <c r="BL4841" s="40"/>
      <c r="BM4841" s="40"/>
      <c r="BN4841" s="40"/>
      <c r="BO4841" s="40"/>
      <c r="BP4841" s="155"/>
      <c r="BQ4841" s="314"/>
      <c r="BR4841" s="314"/>
      <c r="BS4841" s="314"/>
      <c r="BT4841" s="314"/>
      <c r="BU4841" s="314"/>
      <c r="BV4841" s="314"/>
      <c r="BW4841" s="314"/>
      <c r="BX4841" s="155"/>
    </row>
    <row r="4842" spans="1:76" ht="15.75" customHeight="1">
      <c r="A4842" s="25"/>
      <c r="B4842" s="39"/>
      <c r="C4842" s="155"/>
      <c r="D4842" s="155"/>
      <c r="E4842" s="40"/>
      <c r="F4842" s="314"/>
      <c r="H4842" s="315"/>
      <c r="I4842" s="315"/>
      <c r="BA4842" s="30"/>
      <c r="BB4842" s="155"/>
      <c r="BC4842" s="314"/>
      <c r="BD4842" s="314"/>
      <c r="BE4842" s="314"/>
      <c r="BF4842" s="314"/>
      <c r="BG4842" s="314"/>
      <c r="BH4842" s="314"/>
      <c r="BI4842" s="314"/>
      <c r="BJ4842" s="314"/>
      <c r="BK4842" s="40"/>
      <c r="BL4842" s="40"/>
      <c r="BM4842" s="40"/>
      <c r="BN4842" s="40"/>
      <c r="BO4842" s="40"/>
      <c r="BP4842" s="155"/>
      <c r="BQ4842" s="314"/>
      <c r="BR4842" s="314"/>
      <c r="BS4842" s="314"/>
      <c r="BT4842" s="314"/>
      <c r="BU4842" s="314"/>
      <c r="BV4842" s="314"/>
      <c r="BW4842" s="314"/>
      <c r="BX4842" s="155"/>
    </row>
    <row r="4843" spans="1:76" ht="15.75" customHeight="1">
      <c r="A4843" s="25"/>
      <c r="B4843" s="39"/>
      <c r="C4843" s="155"/>
      <c r="D4843" s="155"/>
      <c r="E4843" s="40"/>
      <c r="F4843" s="314"/>
      <c r="H4843" s="315"/>
      <c r="I4843" s="315"/>
      <c r="BA4843" s="30"/>
      <c r="BB4843" s="155"/>
      <c r="BC4843" s="314"/>
      <c r="BD4843" s="314"/>
      <c r="BE4843" s="314"/>
      <c r="BF4843" s="314"/>
      <c r="BG4843" s="314"/>
      <c r="BH4843" s="314"/>
      <c r="BI4843" s="314"/>
      <c r="BJ4843" s="314"/>
      <c r="BK4843" s="40"/>
      <c r="BL4843" s="40"/>
      <c r="BM4843" s="40"/>
      <c r="BN4843" s="40"/>
      <c r="BO4843" s="40"/>
      <c r="BP4843" s="155"/>
      <c r="BQ4843" s="314"/>
      <c r="BR4843" s="314"/>
      <c r="BS4843" s="314"/>
      <c r="BT4843" s="314"/>
      <c r="BU4843" s="314"/>
      <c r="BV4843" s="314"/>
      <c r="BW4843" s="314"/>
      <c r="BX4843" s="155"/>
    </row>
    <row r="4844" spans="1:76" ht="15.75" customHeight="1">
      <c r="A4844" s="25"/>
      <c r="B4844" s="39"/>
      <c r="C4844" s="155"/>
      <c r="D4844" s="155"/>
      <c r="E4844" s="40"/>
      <c r="F4844" s="314"/>
      <c r="H4844" s="315"/>
      <c r="I4844" s="315"/>
      <c r="BA4844" s="30"/>
      <c r="BB4844" s="155"/>
      <c r="BC4844" s="314"/>
      <c r="BD4844" s="314"/>
      <c r="BE4844" s="314"/>
      <c r="BF4844" s="314"/>
      <c r="BG4844" s="314"/>
      <c r="BH4844" s="314"/>
      <c r="BI4844" s="314"/>
      <c r="BJ4844" s="314"/>
      <c r="BK4844" s="40"/>
      <c r="BL4844" s="40"/>
      <c r="BM4844" s="40"/>
      <c r="BN4844" s="40"/>
      <c r="BO4844" s="40"/>
      <c r="BP4844" s="155"/>
      <c r="BQ4844" s="314"/>
      <c r="BR4844" s="314"/>
      <c r="BS4844" s="314"/>
      <c r="BT4844" s="314"/>
      <c r="BU4844" s="314"/>
      <c r="BV4844" s="314"/>
      <c r="BW4844" s="314"/>
      <c r="BX4844" s="155"/>
    </row>
    <row r="4845" spans="1:76" ht="15.75" customHeight="1">
      <c r="A4845" s="25"/>
      <c r="B4845" s="39"/>
      <c r="C4845" s="155"/>
      <c r="D4845" s="155"/>
      <c r="E4845" s="40"/>
      <c r="F4845" s="314"/>
      <c r="H4845" s="315"/>
      <c r="I4845" s="315"/>
      <c r="BA4845" s="30"/>
      <c r="BB4845" s="155"/>
      <c r="BC4845" s="314"/>
      <c r="BD4845" s="314"/>
      <c r="BE4845" s="314"/>
      <c r="BF4845" s="314"/>
      <c r="BG4845" s="314"/>
      <c r="BH4845" s="314"/>
      <c r="BI4845" s="314"/>
      <c r="BJ4845" s="314"/>
      <c r="BK4845" s="40"/>
      <c r="BL4845" s="40"/>
      <c r="BM4845" s="40"/>
      <c r="BN4845" s="40"/>
      <c r="BO4845" s="40"/>
      <c r="BP4845" s="155"/>
      <c r="BQ4845" s="314"/>
      <c r="BR4845" s="314"/>
      <c r="BS4845" s="314"/>
      <c r="BT4845" s="314"/>
      <c r="BU4845" s="314"/>
      <c r="BV4845" s="314"/>
      <c r="BW4845" s="314"/>
      <c r="BX4845" s="155"/>
    </row>
    <row r="4846" spans="1:76" ht="15.75" customHeight="1">
      <c r="A4846" s="25"/>
      <c r="B4846" s="39"/>
      <c r="C4846" s="155"/>
      <c r="D4846" s="155"/>
      <c r="E4846" s="40"/>
      <c r="F4846" s="314"/>
      <c r="H4846" s="315"/>
      <c r="I4846" s="315"/>
      <c r="BA4846" s="30"/>
      <c r="BB4846" s="155"/>
      <c r="BC4846" s="314"/>
      <c r="BD4846" s="314"/>
      <c r="BE4846" s="314"/>
      <c r="BF4846" s="314"/>
      <c r="BG4846" s="314"/>
      <c r="BH4846" s="314"/>
      <c r="BI4846" s="314"/>
      <c r="BJ4846" s="314"/>
      <c r="BK4846" s="40"/>
      <c r="BL4846" s="40"/>
      <c r="BM4846" s="40"/>
      <c r="BN4846" s="40"/>
      <c r="BO4846" s="40"/>
      <c r="BP4846" s="155"/>
      <c r="BQ4846" s="314"/>
      <c r="BR4846" s="314"/>
      <c r="BS4846" s="314"/>
      <c r="BT4846" s="314"/>
      <c r="BU4846" s="314"/>
      <c r="BV4846" s="314"/>
      <c r="BW4846" s="314"/>
      <c r="BX4846" s="155"/>
    </row>
    <row r="4847" spans="1:76" ht="15.75" customHeight="1">
      <c r="A4847" s="25"/>
      <c r="B4847" s="39"/>
      <c r="C4847" s="155"/>
      <c r="D4847" s="155"/>
      <c r="E4847" s="40"/>
      <c r="F4847" s="314"/>
      <c r="H4847" s="315"/>
      <c r="I4847" s="315"/>
      <c r="BA4847" s="30"/>
      <c r="BB4847" s="155"/>
      <c r="BC4847" s="314"/>
      <c r="BD4847" s="314"/>
      <c r="BE4847" s="314"/>
      <c r="BF4847" s="314"/>
      <c r="BG4847" s="314"/>
      <c r="BH4847" s="314"/>
      <c r="BI4847" s="314"/>
      <c r="BJ4847" s="314"/>
      <c r="BK4847" s="40"/>
      <c r="BL4847" s="40"/>
      <c r="BM4847" s="40"/>
      <c r="BN4847" s="40"/>
      <c r="BO4847" s="40"/>
      <c r="BP4847" s="155"/>
      <c r="BQ4847" s="314"/>
      <c r="BR4847" s="314"/>
      <c r="BS4847" s="314"/>
      <c r="BT4847" s="314"/>
      <c r="BU4847" s="314"/>
      <c r="BV4847" s="314"/>
      <c r="BW4847" s="314"/>
      <c r="BX4847" s="155"/>
    </row>
    <row r="4848" spans="1:76" ht="15.75" customHeight="1">
      <c r="A4848" s="25"/>
      <c r="B4848" s="39"/>
      <c r="C4848" s="155"/>
      <c r="D4848" s="155"/>
      <c r="E4848" s="40"/>
      <c r="F4848" s="314"/>
      <c r="H4848" s="315"/>
      <c r="I4848" s="315"/>
      <c r="BA4848" s="30"/>
      <c r="BB4848" s="155"/>
      <c r="BC4848" s="314"/>
      <c r="BD4848" s="314"/>
      <c r="BE4848" s="314"/>
      <c r="BF4848" s="314"/>
      <c r="BG4848" s="314"/>
      <c r="BH4848" s="314"/>
      <c r="BI4848" s="314"/>
      <c r="BJ4848" s="314"/>
      <c r="BK4848" s="40"/>
      <c r="BL4848" s="40"/>
      <c r="BM4848" s="40"/>
      <c r="BN4848" s="40"/>
      <c r="BO4848" s="40"/>
      <c r="BP4848" s="155"/>
      <c r="BQ4848" s="314"/>
      <c r="BR4848" s="314"/>
      <c r="BS4848" s="314"/>
      <c r="BT4848" s="314"/>
      <c r="BU4848" s="314"/>
      <c r="BV4848" s="314"/>
      <c r="BW4848" s="314"/>
      <c r="BX4848" s="155"/>
    </row>
    <row r="4849" spans="1:76" ht="15.75" customHeight="1">
      <c r="A4849" s="25"/>
      <c r="B4849" s="39"/>
      <c r="C4849" s="155"/>
      <c r="D4849" s="155"/>
      <c r="E4849" s="40"/>
      <c r="F4849" s="314"/>
      <c r="H4849" s="315"/>
      <c r="I4849" s="315"/>
      <c r="BA4849" s="30"/>
      <c r="BB4849" s="155"/>
      <c r="BC4849" s="322"/>
      <c r="BD4849" s="322"/>
      <c r="BE4849" s="322"/>
      <c r="BF4849" s="322"/>
      <c r="BG4849" s="322"/>
      <c r="BH4849" s="322"/>
      <c r="BI4849" s="322"/>
      <c r="BJ4849" s="322"/>
      <c r="BK4849" s="341"/>
      <c r="BL4849" s="40"/>
      <c r="BM4849" s="40"/>
      <c r="BN4849" s="40"/>
      <c r="BO4849" s="40"/>
      <c r="BP4849" s="155"/>
      <c r="BQ4849" s="314"/>
      <c r="BR4849" s="314"/>
      <c r="BS4849" s="314"/>
      <c r="BT4849" s="314"/>
      <c r="BU4849" s="314"/>
      <c r="BV4849" s="314"/>
      <c r="BW4849" s="314"/>
      <c r="BX4849" s="155"/>
    </row>
    <row r="4850" spans="1:76" ht="15.75" customHeight="1">
      <c r="A4850" s="25"/>
      <c r="B4850" s="39"/>
      <c r="C4850" s="155"/>
      <c r="D4850" s="155"/>
      <c r="E4850" s="40"/>
      <c r="F4850" s="314"/>
      <c r="H4850" s="315"/>
      <c r="I4850" s="315"/>
      <c r="BA4850" s="30"/>
      <c r="BB4850" s="155"/>
      <c r="BC4850" s="314"/>
      <c r="BD4850" s="314"/>
      <c r="BE4850" s="314"/>
      <c r="BF4850" s="314"/>
      <c r="BG4850" s="314"/>
      <c r="BH4850" s="314"/>
      <c r="BI4850" s="314"/>
      <c r="BJ4850" s="314"/>
      <c r="BK4850" s="40"/>
      <c r="BL4850" s="40"/>
      <c r="BM4850" s="40"/>
      <c r="BN4850" s="40"/>
      <c r="BO4850" s="40"/>
      <c r="BP4850" s="155"/>
      <c r="BQ4850" s="314"/>
      <c r="BR4850" s="314"/>
      <c r="BS4850" s="314"/>
      <c r="BT4850" s="314"/>
      <c r="BU4850" s="314"/>
      <c r="BV4850" s="314"/>
      <c r="BW4850" s="314"/>
      <c r="BX4850" s="155"/>
    </row>
    <row r="4851" spans="1:76" ht="15.75" customHeight="1">
      <c r="A4851" s="25"/>
      <c r="B4851" s="39"/>
      <c r="C4851" s="155"/>
      <c r="D4851" s="155"/>
      <c r="E4851" s="40"/>
      <c r="F4851" s="314"/>
      <c r="H4851" s="315"/>
      <c r="I4851" s="315"/>
      <c r="BA4851" s="30"/>
      <c r="BB4851" s="155"/>
      <c r="BC4851" s="314"/>
      <c r="BD4851" s="314"/>
      <c r="BE4851" s="314"/>
      <c r="BF4851" s="314"/>
      <c r="BG4851" s="314"/>
      <c r="BH4851" s="314"/>
      <c r="BI4851" s="314"/>
      <c r="BJ4851" s="314"/>
      <c r="BK4851" s="40"/>
      <c r="BL4851" s="40"/>
      <c r="BM4851" s="40"/>
      <c r="BN4851" s="40"/>
      <c r="BO4851" s="40"/>
      <c r="BP4851" s="155"/>
      <c r="BQ4851" s="314"/>
      <c r="BR4851" s="314"/>
      <c r="BS4851" s="314"/>
      <c r="BT4851" s="314"/>
      <c r="BU4851" s="314"/>
      <c r="BV4851" s="314"/>
      <c r="BW4851" s="314"/>
      <c r="BX4851" s="155"/>
    </row>
    <row r="4852" spans="1:76" ht="15.75" customHeight="1">
      <c r="A4852" s="25"/>
      <c r="B4852" s="39"/>
      <c r="C4852" s="155"/>
      <c r="D4852" s="155"/>
      <c r="E4852" s="40"/>
      <c r="F4852" s="314"/>
      <c r="H4852" s="315"/>
      <c r="I4852" s="315"/>
      <c r="BA4852" s="30"/>
      <c r="BB4852" s="155"/>
      <c r="BC4852" s="314"/>
      <c r="BD4852" s="314"/>
      <c r="BE4852" s="314"/>
      <c r="BF4852" s="314"/>
      <c r="BG4852" s="314"/>
      <c r="BH4852" s="314"/>
      <c r="BI4852" s="314"/>
      <c r="BJ4852" s="314"/>
      <c r="BK4852" s="40"/>
      <c r="BL4852" s="40"/>
      <c r="BM4852" s="40"/>
      <c r="BN4852" s="40"/>
      <c r="BO4852" s="40"/>
      <c r="BP4852" s="155"/>
      <c r="BQ4852" s="314"/>
      <c r="BR4852" s="314"/>
      <c r="BS4852" s="314"/>
      <c r="BT4852" s="314"/>
      <c r="BU4852" s="314"/>
      <c r="BV4852" s="314"/>
      <c r="BW4852" s="314"/>
      <c r="BX4852" s="155"/>
    </row>
    <row r="4853" spans="1:76" ht="15.75" customHeight="1">
      <c r="A4853" s="25"/>
      <c r="B4853" s="39"/>
      <c r="C4853" s="155"/>
      <c r="D4853" s="155"/>
      <c r="E4853" s="40"/>
      <c r="F4853" s="314"/>
      <c r="H4853" s="315"/>
      <c r="I4853" s="315"/>
      <c r="BA4853" s="30"/>
      <c r="BB4853" s="155"/>
      <c r="BC4853" s="314"/>
      <c r="BD4853" s="314"/>
      <c r="BE4853" s="314"/>
      <c r="BF4853" s="314"/>
      <c r="BG4853" s="314"/>
      <c r="BH4853" s="314"/>
      <c r="BI4853" s="314"/>
      <c r="BJ4853" s="314"/>
      <c r="BK4853" s="40"/>
      <c r="BL4853" s="40"/>
      <c r="BM4853" s="40"/>
      <c r="BN4853" s="40"/>
      <c r="BO4853" s="40"/>
      <c r="BP4853" s="155"/>
      <c r="BQ4853" s="314"/>
      <c r="BR4853" s="314"/>
      <c r="BS4853" s="314"/>
      <c r="BT4853" s="314"/>
      <c r="BU4853" s="314"/>
      <c r="BV4853" s="314"/>
      <c r="BW4853" s="314"/>
      <c r="BX4853" s="155"/>
    </row>
    <row r="4854" spans="1:76" ht="15.75" customHeight="1">
      <c r="A4854" s="25"/>
      <c r="B4854" s="39"/>
      <c r="C4854" s="155"/>
      <c r="D4854" s="155"/>
      <c r="E4854" s="40"/>
      <c r="F4854" s="314"/>
      <c r="H4854" s="315"/>
      <c r="I4854" s="315"/>
      <c r="BA4854" s="30"/>
      <c r="BB4854" s="155"/>
      <c r="BC4854" s="314"/>
      <c r="BD4854" s="314"/>
      <c r="BE4854" s="314"/>
      <c r="BF4854" s="314"/>
      <c r="BG4854" s="314"/>
      <c r="BH4854" s="314"/>
      <c r="BI4854" s="314"/>
      <c r="BJ4854" s="314"/>
      <c r="BK4854" s="40"/>
      <c r="BL4854" s="40"/>
      <c r="BM4854" s="40"/>
      <c r="BN4854" s="40"/>
      <c r="BO4854" s="40"/>
      <c r="BP4854" s="155"/>
      <c r="BQ4854" s="314"/>
      <c r="BR4854" s="314"/>
      <c r="BS4854" s="314"/>
      <c r="BT4854" s="314"/>
      <c r="BU4854" s="314"/>
      <c r="BV4854" s="314"/>
      <c r="BW4854" s="314"/>
      <c r="BX4854" s="155"/>
    </row>
    <row r="4855" spans="1:76" ht="15.75" customHeight="1">
      <c r="A4855" s="25"/>
      <c r="B4855" s="39"/>
      <c r="C4855" s="155"/>
      <c r="D4855" s="155"/>
      <c r="E4855" s="40"/>
      <c r="F4855" s="314"/>
      <c r="H4855" s="315"/>
      <c r="I4855" s="315"/>
      <c r="BA4855" s="30"/>
      <c r="BB4855" s="155"/>
      <c r="BC4855" s="314"/>
      <c r="BD4855" s="314"/>
      <c r="BE4855" s="314"/>
      <c r="BF4855" s="314"/>
      <c r="BG4855" s="314"/>
      <c r="BH4855" s="314"/>
      <c r="BI4855" s="314"/>
      <c r="BJ4855" s="314"/>
      <c r="BK4855" s="40"/>
      <c r="BL4855" s="40"/>
      <c r="BM4855" s="40"/>
      <c r="BN4855" s="40"/>
      <c r="BO4855" s="40"/>
      <c r="BP4855" s="155"/>
      <c r="BQ4855" s="314"/>
      <c r="BR4855" s="314"/>
      <c r="BS4855" s="314"/>
      <c r="BT4855" s="314"/>
      <c r="BU4855" s="314"/>
      <c r="BV4855" s="314"/>
      <c r="BW4855" s="314"/>
      <c r="BX4855" s="155"/>
    </row>
    <row r="4856" spans="1:76" ht="15.75" customHeight="1">
      <c r="A4856" s="25"/>
      <c r="B4856" s="39"/>
      <c r="C4856" s="155"/>
      <c r="D4856" s="155"/>
      <c r="E4856" s="40"/>
      <c r="F4856" s="314"/>
      <c r="H4856" s="315"/>
      <c r="I4856" s="315"/>
      <c r="BA4856" s="30"/>
      <c r="BB4856" s="155"/>
      <c r="BC4856" s="314"/>
      <c r="BD4856" s="314"/>
      <c r="BE4856" s="314"/>
      <c r="BF4856" s="314"/>
      <c r="BG4856" s="314"/>
      <c r="BH4856" s="314"/>
      <c r="BI4856" s="314"/>
      <c r="BJ4856" s="314"/>
      <c r="BK4856" s="40"/>
      <c r="BL4856" s="40"/>
      <c r="BM4856" s="40"/>
      <c r="BN4856" s="40"/>
      <c r="BO4856" s="40"/>
      <c r="BP4856" s="155"/>
      <c r="BQ4856" s="314"/>
      <c r="BR4856" s="314"/>
      <c r="BS4856" s="314"/>
      <c r="BT4856" s="314"/>
      <c r="BU4856" s="314"/>
      <c r="BV4856" s="314"/>
      <c r="BW4856" s="314"/>
      <c r="BX4856" s="155"/>
    </row>
    <row r="4857" spans="1:76" ht="15.75" customHeight="1">
      <c r="A4857" s="25"/>
      <c r="B4857" s="39"/>
      <c r="C4857" s="155"/>
      <c r="D4857" s="155"/>
      <c r="E4857" s="40"/>
      <c r="F4857" s="314"/>
      <c r="H4857" s="315"/>
      <c r="I4857" s="315"/>
      <c r="BA4857" s="30"/>
      <c r="BB4857" s="155"/>
      <c r="BC4857" s="314"/>
      <c r="BD4857" s="314"/>
      <c r="BE4857" s="314"/>
      <c r="BF4857" s="314"/>
      <c r="BG4857" s="314"/>
      <c r="BH4857" s="314"/>
      <c r="BI4857" s="314"/>
      <c r="BJ4857" s="314"/>
      <c r="BK4857" s="40"/>
      <c r="BL4857" s="40"/>
      <c r="BM4857" s="40"/>
      <c r="BN4857" s="40"/>
      <c r="BO4857" s="40"/>
      <c r="BP4857" s="155"/>
      <c r="BQ4857" s="314"/>
      <c r="BR4857" s="314"/>
      <c r="BS4857" s="314"/>
      <c r="BT4857" s="314"/>
      <c r="BU4857" s="314"/>
      <c r="BV4857" s="314"/>
      <c r="BW4857" s="314"/>
      <c r="BX4857" s="155"/>
    </row>
    <row r="4858" spans="1:76" ht="15.75" customHeight="1">
      <c r="A4858" s="25"/>
      <c r="B4858" s="39"/>
      <c r="C4858" s="155"/>
      <c r="D4858" s="155"/>
      <c r="E4858" s="40"/>
      <c r="F4858" s="314"/>
      <c r="H4858" s="315"/>
      <c r="I4858" s="315"/>
      <c r="BA4858" s="30"/>
      <c r="BB4858" s="155"/>
      <c r="BC4858" s="314"/>
      <c r="BD4858" s="314"/>
      <c r="BE4858" s="314"/>
      <c r="BF4858" s="314"/>
      <c r="BG4858" s="314"/>
      <c r="BH4858" s="314"/>
      <c r="BI4858" s="314"/>
      <c r="BJ4858" s="314"/>
      <c r="BK4858" s="40"/>
      <c r="BL4858" s="40"/>
      <c r="BM4858" s="40"/>
      <c r="BN4858" s="40"/>
      <c r="BO4858" s="40"/>
      <c r="BP4858" s="155"/>
      <c r="BQ4858" s="314"/>
      <c r="BR4858" s="314"/>
      <c r="BS4858" s="314"/>
      <c r="BT4858" s="314"/>
      <c r="BU4858" s="314"/>
      <c r="BV4858" s="314"/>
      <c r="BW4858" s="314"/>
      <c r="BX4858" s="155"/>
    </row>
    <row r="4859" spans="1:76" ht="15.75" customHeight="1">
      <c r="A4859" s="25"/>
      <c r="B4859" s="39"/>
      <c r="C4859" s="155"/>
      <c r="D4859" s="155"/>
      <c r="E4859" s="40"/>
      <c r="F4859" s="314"/>
      <c r="H4859" s="315"/>
      <c r="I4859" s="315"/>
      <c r="BA4859" s="30"/>
      <c r="BB4859" s="155"/>
      <c r="BC4859" s="314"/>
      <c r="BD4859" s="314"/>
      <c r="BE4859" s="314"/>
      <c r="BF4859" s="314"/>
      <c r="BG4859" s="314"/>
      <c r="BH4859" s="314"/>
      <c r="BI4859" s="314"/>
      <c r="BJ4859" s="314"/>
      <c r="BK4859" s="40"/>
      <c r="BL4859" s="40"/>
      <c r="BM4859" s="40"/>
      <c r="BN4859" s="40"/>
      <c r="BO4859" s="40"/>
      <c r="BP4859" s="155"/>
      <c r="BQ4859" s="314"/>
      <c r="BR4859" s="314"/>
      <c r="BS4859" s="314"/>
      <c r="BT4859" s="314"/>
      <c r="BU4859" s="314"/>
      <c r="BV4859" s="314"/>
      <c r="BW4859" s="314"/>
      <c r="BX4859" s="155"/>
    </row>
    <row r="4860" spans="1:76" ht="15.75" customHeight="1">
      <c r="A4860" s="25"/>
      <c r="B4860" s="39"/>
      <c r="C4860" s="155"/>
      <c r="D4860" s="155"/>
      <c r="E4860" s="40"/>
      <c r="F4860" s="314"/>
      <c r="H4860" s="315"/>
      <c r="I4860" s="315"/>
      <c r="BA4860" s="30"/>
      <c r="BB4860" s="155"/>
      <c r="BC4860" s="314"/>
      <c r="BD4860" s="314"/>
      <c r="BE4860" s="314"/>
      <c r="BF4860" s="314"/>
      <c r="BG4860" s="314"/>
      <c r="BH4860" s="314"/>
      <c r="BI4860" s="314"/>
      <c r="BJ4860" s="314"/>
      <c r="BK4860" s="40"/>
      <c r="BL4860" s="40"/>
      <c r="BM4860" s="40"/>
      <c r="BN4860" s="40"/>
      <c r="BO4860" s="40"/>
      <c r="BP4860" s="155"/>
      <c r="BQ4860" s="314"/>
      <c r="BR4860" s="314"/>
      <c r="BS4860" s="314"/>
      <c r="BT4860" s="314"/>
      <c r="BU4860" s="314"/>
      <c r="BV4860" s="314"/>
      <c r="BW4860" s="314"/>
      <c r="BX4860" s="155"/>
    </row>
    <row r="4861" spans="1:76" ht="15.75" customHeight="1">
      <c r="A4861" s="25"/>
      <c r="B4861" s="39"/>
      <c r="C4861" s="155"/>
      <c r="D4861" s="155"/>
      <c r="E4861" s="40"/>
      <c r="F4861" s="314"/>
      <c r="H4861" s="315"/>
      <c r="I4861" s="315"/>
      <c r="BA4861" s="30"/>
      <c r="BB4861" s="155"/>
      <c r="BC4861" s="314"/>
      <c r="BD4861" s="314"/>
      <c r="BE4861" s="314"/>
      <c r="BF4861" s="314"/>
      <c r="BG4861" s="314"/>
      <c r="BH4861" s="314"/>
      <c r="BI4861" s="314"/>
      <c r="BJ4861" s="314"/>
      <c r="BK4861" s="40"/>
      <c r="BL4861" s="40"/>
      <c r="BM4861" s="40"/>
      <c r="BN4861" s="40"/>
      <c r="BO4861" s="40"/>
      <c r="BP4861" s="155"/>
      <c r="BQ4861" s="314"/>
      <c r="BR4861" s="314"/>
      <c r="BS4861" s="314"/>
      <c r="BT4861" s="314"/>
      <c r="BU4861" s="314"/>
      <c r="BV4861" s="314"/>
      <c r="BW4861" s="314"/>
      <c r="BX4861" s="155"/>
    </row>
    <row r="4862" spans="1:76" ht="15.75" customHeight="1">
      <c r="A4862" s="25"/>
      <c r="B4862" s="39"/>
      <c r="C4862" s="155"/>
      <c r="D4862" s="155"/>
      <c r="E4862" s="40"/>
      <c r="F4862" s="314"/>
      <c r="H4862" s="315"/>
      <c r="I4862" s="315"/>
      <c r="BA4862" s="30"/>
      <c r="BB4862" s="155"/>
      <c r="BC4862" s="314"/>
      <c r="BD4862" s="314"/>
      <c r="BE4862" s="314"/>
      <c r="BF4862" s="314"/>
      <c r="BG4862" s="314"/>
      <c r="BH4862" s="314"/>
      <c r="BI4862" s="314"/>
      <c r="BJ4862" s="314"/>
      <c r="BK4862" s="40"/>
      <c r="BL4862" s="40"/>
      <c r="BM4862" s="40"/>
      <c r="BN4862" s="40"/>
      <c r="BO4862" s="40"/>
      <c r="BP4862" s="155"/>
      <c r="BQ4862" s="314"/>
      <c r="BR4862" s="314"/>
      <c r="BS4862" s="314"/>
      <c r="BT4862" s="314"/>
      <c r="BU4862" s="314"/>
      <c r="BV4862" s="314"/>
      <c r="BW4862" s="314"/>
      <c r="BX4862" s="155"/>
    </row>
    <row r="4863" spans="1:76" ht="15.75" customHeight="1">
      <c r="A4863" s="25"/>
      <c r="B4863" s="39"/>
      <c r="C4863" s="155"/>
      <c r="D4863" s="155"/>
      <c r="E4863" s="40"/>
      <c r="F4863" s="314"/>
      <c r="H4863" s="315"/>
      <c r="I4863" s="315"/>
      <c r="BA4863" s="30"/>
      <c r="BB4863" s="155"/>
      <c r="BC4863" s="314"/>
      <c r="BD4863" s="314"/>
      <c r="BE4863" s="314"/>
      <c r="BF4863" s="314"/>
      <c r="BG4863" s="314"/>
      <c r="BH4863" s="314"/>
      <c r="BI4863" s="314"/>
      <c r="BJ4863" s="314"/>
      <c r="BK4863" s="40"/>
      <c r="BL4863" s="40"/>
      <c r="BM4863" s="40"/>
      <c r="BN4863" s="40"/>
      <c r="BO4863" s="40"/>
      <c r="BP4863" s="155"/>
      <c r="BQ4863" s="314"/>
      <c r="BR4863" s="314"/>
      <c r="BS4863" s="314"/>
      <c r="BT4863" s="314"/>
      <c r="BU4863" s="314"/>
      <c r="BV4863" s="314"/>
      <c r="BW4863" s="314"/>
      <c r="BX4863" s="155"/>
    </row>
    <row r="4864" spans="1:76" ht="15.75" customHeight="1">
      <c r="A4864" s="25"/>
      <c r="B4864" s="39"/>
      <c r="C4864" s="155"/>
      <c r="D4864" s="155"/>
      <c r="E4864" s="40"/>
      <c r="F4864" s="314"/>
      <c r="H4864" s="315"/>
      <c r="I4864" s="315"/>
      <c r="BA4864" s="30"/>
      <c r="BB4864" s="155"/>
      <c r="BC4864" s="314"/>
      <c r="BD4864" s="314"/>
      <c r="BE4864" s="314"/>
      <c r="BF4864" s="314"/>
      <c r="BG4864" s="314"/>
      <c r="BH4864" s="314"/>
      <c r="BI4864" s="314"/>
      <c r="BJ4864" s="314"/>
      <c r="BK4864" s="40"/>
      <c r="BL4864" s="40"/>
      <c r="BM4864" s="40"/>
      <c r="BN4864" s="40"/>
      <c r="BO4864" s="40"/>
      <c r="BP4864" s="155"/>
      <c r="BQ4864" s="314"/>
      <c r="BR4864" s="314"/>
      <c r="BS4864" s="314"/>
      <c r="BT4864" s="314"/>
      <c r="BU4864" s="314"/>
      <c r="BV4864" s="314"/>
      <c r="BW4864" s="314"/>
      <c r="BX4864" s="155"/>
    </row>
    <row r="4865" spans="1:76" ht="15.75" customHeight="1">
      <c r="A4865" s="25"/>
      <c r="B4865" s="39"/>
      <c r="C4865" s="155"/>
      <c r="D4865" s="155"/>
      <c r="E4865" s="40"/>
      <c r="F4865" s="314"/>
      <c r="H4865" s="315"/>
      <c r="I4865" s="315"/>
      <c r="BA4865" s="30"/>
      <c r="BB4865" s="155"/>
      <c r="BC4865" s="314"/>
      <c r="BD4865" s="314"/>
      <c r="BE4865" s="314"/>
      <c r="BF4865" s="314"/>
      <c r="BG4865" s="314"/>
      <c r="BH4865" s="314"/>
      <c r="BI4865" s="314"/>
      <c r="BJ4865" s="314"/>
      <c r="BK4865" s="40"/>
      <c r="BL4865" s="40"/>
      <c r="BM4865" s="40"/>
      <c r="BN4865" s="40"/>
      <c r="BO4865" s="40"/>
      <c r="BP4865" s="155"/>
      <c r="BQ4865" s="314"/>
      <c r="BR4865" s="314"/>
      <c r="BS4865" s="314"/>
      <c r="BT4865" s="314"/>
      <c r="BU4865" s="314"/>
      <c r="BV4865" s="314"/>
      <c r="BW4865" s="314"/>
      <c r="BX4865" s="155"/>
    </row>
    <row r="4866" spans="1:76" ht="15.75" customHeight="1">
      <c r="A4866" s="25"/>
      <c r="B4866" s="39"/>
      <c r="C4866" s="155"/>
      <c r="D4866" s="155"/>
      <c r="E4866" s="40"/>
      <c r="F4866" s="314"/>
      <c r="H4866" s="315"/>
      <c r="I4866" s="315"/>
      <c r="BA4866" s="30"/>
      <c r="BB4866" s="155"/>
      <c r="BC4866" s="314"/>
      <c r="BD4866" s="314"/>
      <c r="BE4866" s="314"/>
      <c r="BF4866" s="314"/>
      <c r="BG4866" s="314"/>
      <c r="BH4866" s="314"/>
      <c r="BI4866" s="314"/>
      <c r="BJ4866" s="314"/>
      <c r="BK4866" s="40"/>
      <c r="BL4866" s="40"/>
      <c r="BM4866" s="40"/>
      <c r="BN4866" s="40"/>
      <c r="BO4866" s="40"/>
      <c r="BP4866" s="155"/>
      <c r="BQ4866" s="314"/>
      <c r="BR4866" s="314"/>
      <c r="BS4866" s="314"/>
      <c r="BT4866" s="314"/>
      <c r="BU4866" s="314"/>
      <c r="BV4866" s="314"/>
      <c r="BW4866" s="314"/>
      <c r="BX4866" s="155"/>
    </row>
    <row r="4867" spans="1:76" ht="15.75" customHeight="1">
      <c r="A4867" s="25"/>
      <c r="B4867" s="39"/>
      <c r="C4867" s="155"/>
      <c r="D4867" s="155"/>
      <c r="E4867" s="40"/>
      <c r="F4867" s="314"/>
      <c r="H4867" s="315"/>
      <c r="I4867" s="315"/>
      <c r="BA4867" s="30"/>
      <c r="BB4867" s="155"/>
      <c r="BC4867" s="314"/>
      <c r="BD4867" s="314"/>
      <c r="BE4867" s="314"/>
      <c r="BF4867" s="314"/>
      <c r="BG4867" s="314"/>
      <c r="BH4867" s="314"/>
      <c r="BI4867" s="314"/>
      <c r="BJ4867" s="314"/>
      <c r="BK4867" s="40"/>
      <c r="BL4867" s="40"/>
      <c r="BM4867" s="40"/>
      <c r="BN4867" s="40"/>
      <c r="BO4867" s="40"/>
      <c r="BP4867" s="155"/>
      <c r="BQ4867" s="314"/>
      <c r="BR4867" s="314"/>
      <c r="BS4867" s="314"/>
      <c r="BT4867" s="314"/>
      <c r="BU4867" s="314"/>
      <c r="BV4867" s="314"/>
      <c r="BW4867" s="314"/>
      <c r="BX4867" s="155"/>
    </row>
    <row r="4868" spans="1:76" ht="15.75" customHeight="1">
      <c r="A4868" s="25"/>
      <c r="B4868" s="39"/>
      <c r="C4868" s="155"/>
      <c r="D4868" s="155"/>
      <c r="E4868" s="40"/>
      <c r="F4868" s="314"/>
      <c r="H4868" s="315"/>
      <c r="I4868" s="315"/>
      <c r="BA4868" s="30"/>
      <c r="BB4868" s="155"/>
      <c r="BC4868" s="314"/>
      <c r="BD4868" s="314"/>
      <c r="BE4868" s="314"/>
      <c r="BF4868" s="314"/>
      <c r="BG4868" s="314"/>
      <c r="BH4868" s="314"/>
      <c r="BI4868" s="314"/>
      <c r="BJ4868" s="314"/>
      <c r="BK4868" s="40"/>
      <c r="BL4868" s="40"/>
      <c r="BM4868" s="40"/>
      <c r="BN4868" s="40"/>
      <c r="BO4868" s="40"/>
      <c r="BP4868" s="155"/>
      <c r="BQ4868" s="314"/>
      <c r="BR4868" s="314"/>
      <c r="BS4868" s="314"/>
      <c r="BT4868" s="314"/>
      <c r="BU4868" s="314"/>
      <c r="BV4868" s="314"/>
      <c r="BW4868" s="314"/>
      <c r="BX4868" s="155"/>
    </row>
    <row r="4869" spans="1:76" ht="15.75" customHeight="1">
      <c r="A4869" s="25"/>
      <c r="B4869" s="39"/>
      <c r="C4869" s="155"/>
      <c r="D4869" s="155"/>
      <c r="E4869" s="40"/>
      <c r="F4869" s="314"/>
      <c r="H4869" s="315"/>
      <c r="I4869" s="315"/>
      <c r="BA4869" s="30"/>
      <c r="BB4869" s="155"/>
      <c r="BC4869" s="314"/>
      <c r="BD4869" s="314"/>
      <c r="BE4869" s="314"/>
      <c r="BF4869" s="314"/>
      <c r="BG4869" s="314"/>
      <c r="BH4869" s="314"/>
      <c r="BI4869" s="314"/>
      <c r="BJ4869" s="314"/>
      <c r="BK4869" s="40"/>
      <c r="BL4869" s="40"/>
      <c r="BM4869" s="40"/>
      <c r="BN4869" s="40"/>
      <c r="BO4869" s="40"/>
      <c r="BP4869" s="155"/>
      <c r="BQ4869" s="314"/>
      <c r="BR4869" s="314"/>
      <c r="BS4869" s="314"/>
      <c r="BT4869" s="314"/>
      <c r="BU4869" s="314"/>
      <c r="BV4869" s="314"/>
      <c r="BW4869" s="314"/>
      <c r="BX4869" s="155"/>
    </row>
    <row r="4870" spans="1:76" ht="15.75" customHeight="1">
      <c r="A4870" s="25"/>
      <c r="B4870" s="39"/>
      <c r="C4870" s="155"/>
      <c r="D4870" s="155"/>
      <c r="E4870" s="40"/>
      <c r="F4870" s="314"/>
      <c r="H4870" s="315"/>
      <c r="I4870" s="315"/>
      <c r="BA4870" s="30"/>
      <c r="BB4870" s="155"/>
      <c r="BC4870" s="314"/>
      <c r="BD4870" s="314"/>
      <c r="BE4870" s="314"/>
      <c r="BF4870" s="314"/>
      <c r="BG4870" s="314"/>
      <c r="BH4870" s="314"/>
      <c r="BI4870" s="314"/>
      <c r="BJ4870" s="314"/>
      <c r="BK4870" s="40"/>
      <c r="BL4870" s="40"/>
      <c r="BM4870" s="40"/>
      <c r="BN4870" s="40"/>
      <c r="BO4870" s="40"/>
      <c r="BP4870" s="155"/>
      <c r="BQ4870" s="314"/>
      <c r="BR4870" s="314"/>
      <c r="BS4870" s="314"/>
      <c r="BT4870" s="314"/>
      <c r="BU4870" s="314"/>
      <c r="BV4870" s="314"/>
      <c r="BW4870" s="314"/>
      <c r="BX4870" s="155"/>
    </row>
    <row r="4871" spans="1:76" ht="15.75" customHeight="1">
      <c r="A4871" s="25"/>
      <c r="B4871" s="39"/>
      <c r="C4871" s="155"/>
      <c r="D4871" s="155"/>
      <c r="E4871" s="40"/>
      <c r="F4871" s="314"/>
      <c r="H4871" s="315"/>
      <c r="I4871" s="315"/>
      <c r="BA4871" s="30"/>
      <c r="BB4871" s="155"/>
      <c r="BC4871" s="314"/>
      <c r="BD4871" s="314"/>
      <c r="BE4871" s="314"/>
      <c r="BF4871" s="314"/>
      <c r="BG4871" s="314"/>
      <c r="BH4871" s="314"/>
      <c r="BI4871" s="314"/>
      <c r="BJ4871" s="314"/>
      <c r="BK4871" s="40"/>
      <c r="BL4871" s="40"/>
      <c r="BM4871" s="40"/>
      <c r="BN4871" s="40"/>
      <c r="BO4871" s="40"/>
      <c r="BP4871" s="155"/>
      <c r="BQ4871" s="314"/>
      <c r="BR4871" s="314"/>
      <c r="BS4871" s="314"/>
      <c r="BT4871" s="314"/>
      <c r="BU4871" s="314"/>
      <c r="BV4871" s="314"/>
      <c r="BW4871" s="314"/>
      <c r="BX4871" s="155"/>
    </row>
    <row r="4872" spans="1:76" ht="15.75" customHeight="1">
      <c r="A4872" s="25"/>
      <c r="B4872" s="39"/>
      <c r="C4872" s="155"/>
      <c r="D4872" s="155"/>
      <c r="E4872" s="40"/>
      <c r="F4872" s="314"/>
      <c r="H4872" s="315"/>
      <c r="I4872" s="315"/>
      <c r="BA4872" s="30"/>
      <c r="BB4872" s="155"/>
      <c r="BC4872" s="314"/>
      <c r="BD4872" s="314"/>
      <c r="BE4872" s="314"/>
      <c r="BF4872" s="314"/>
      <c r="BG4872" s="314"/>
      <c r="BH4872" s="314"/>
      <c r="BI4872" s="314"/>
      <c r="BJ4872" s="314"/>
      <c r="BK4872" s="40"/>
      <c r="BL4872" s="40"/>
      <c r="BM4872" s="40"/>
      <c r="BN4872" s="40"/>
      <c r="BO4872" s="40"/>
      <c r="BP4872" s="155"/>
      <c r="BQ4872" s="314"/>
      <c r="BR4872" s="314"/>
      <c r="BS4872" s="314"/>
      <c r="BT4872" s="314"/>
      <c r="BU4872" s="314"/>
      <c r="BV4872" s="314"/>
      <c r="BW4872" s="314"/>
      <c r="BX4872" s="155"/>
    </row>
    <row r="4873" spans="1:76" ht="15.75" customHeight="1">
      <c r="A4873" s="25"/>
      <c r="B4873" s="39"/>
      <c r="C4873" s="155"/>
      <c r="D4873" s="155"/>
      <c r="E4873" s="40"/>
      <c r="F4873" s="314"/>
      <c r="H4873" s="315"/>
      <c r="I4873" s="315"/>
      <c r="BA4873" s="30"/>
      <c r="BB4873" s="155"/>
      <c r="BC4873" s="314"/>
      <c r="BD4873" s="314"/>
      <c r="BE4873" s="314"/>
      <c r="BF4873" s="314"/>
      <c r="BG4873" s="314"/>
      <c r="BH4873" s="314"/>
      <c r="BI4873" s="314"/>
      <c r="BJ4873" s="314"/>
      <c r="BK4873" s="40"/>
      <c r="BL4873" s="40"/>
      <c r="BM4873" s="40"/>
      <c r="BN4873" s="40"/>
      <c r="BO4873" s="40"/>
      <c r="BP4873" s="155"/>
      <c r="BQ4873" s="314"/>
      <c r="BR4873" s="314"/>
      <c r="BS4873" s="314"/>
      <c r="BT4873" s="314"/>
      <c r="BU4873" s="314"/>
      <c r="BV4873" s="314"/>
      <c r="BW4873" s="314"/>
      <c r="BX4873" s="155"/>
    </row>
    <row r="4874" spans="1:76" ht="15.75" customHeight="1">
      <c r="A4874" s="25"/>
      <c r="B4874" s="39"/>
      <c r="C4874" s="155"/>
      <c r="D4874" s="155"/>
      <c r="E4874" s="40"/>
      <c r="F4874" s="314"/>
      <c r="H4874" s="315"/>
      <c r="I4874" s="315"/>
      <c r="BA4874" s="30"/>
      <c r="BB4874" s="155"/>
      <c r="BC4874" s="314"/>
      <c r="BD4874" s="314"/>
      <c r="BE4874" s="314"/>
      <c r="BF4874" s="314"/>
      <c r="BG4874" s="314"/>
      <c r="BH4874" s="314"/>
      <c r="BI4874" s="314"/>
      <c r="BJ4874" s="314"/>
      <c r="BK4874" s="40"/>
      <c r="BL4874" s="40"/>
      <c r="BM4874" s="40"/>
      <c r="BN4874" s="40"/>
      <c r="BO4874" s="40"/>
      <c r="BP4874" s="155"/>
      <c r="BQ4874" s="314"/>
      <c r="BR4874" s="314"/>
      <c r="BS4874" s="314"/>
      <c r="BT4874" s="314"/>
      <c r="BU4874" s="314"/>
      <c r="BV4874" s="314"/>
      <c r="BW4874" s="314"/>
      <c r="BX4874" s="155"/>
    </row>
    <row r="4875" spans="1:76" ht="15.75" customHeight="1">
      <c r="A4875" s="25"/>
      <c r="B4875" s="39"/>
      <c r="C4875" s="155"/>
      <c r="D4875" s="155"/>
      <c r="E4875" s="40"/>
      <c r="F4875" s="314"/>
      <c r="H4875" s="315"/>
      <c r="I4875" s="315"/>
      <c r="BA4875" s="30"/>
      <c r="BB4875" s="155"/>
      <c r="BC4875" s="314"/>
      <c r="BD4875" s="314"/>
      <c r="BE4875" s="314"/>
      <c r="BF4875" s="314"/>
      <c r="BG4875" s="314"/>
      <c r="BH4875" s="314"/>
      <c r="BI4875" s="314"/>
      <c r="BJ4875" s="314"/>
      <c r="BK4875" s="40"/>
      <c r="BL4875" s="40"/>
      <c r="BM4875" s="40"/>
      <c r="BN4875" s="40"/>
      <c r="BO4875" s="40"/>
      <c r="BP4875" s="155"/>
      <c r="BQ4875" s="314"/>
      <c r="BR4875" s="314"/>
      <c r="BS4875" s="314"/>
      <c r="BT4875" s="314"/>
      <c r="BU4875" s="314"/>
      <c r="BV4875" s="314"/>
      <c r="BW4875" s="314"/>
      <c r="BX4875" s="155"/>
    </row>
    <row r="4876" spans="1:76" ht="15.75" customHeight="1">
      <c r="A4876" s="25"/>
      <c r="B4876" s="39"/>
      <c r="C4876" s="155"/>
      <c r="D4876" s="155"/>
      <c r="E4876" s="40"/>
      <c r="F4876" s="314"/>
      <c r="H4876" s="315"/>
      <c r="I4876" s="315"/>
      <c r="BA4876" s="30"/>
      <c r="BB4876" s="155"/>
      <c r="BC4876" s="314"/>
      <c r="BD4876" s="314"/>
      <c r="BE4876" s="314"/>
      <c r="BF4876" s="314"/>
      <c r="BG4876" s="314"/>
      <c r="BH4876" s="314"/>
      <c r="BI4876" s="314"/>
      <c r="BJ4876" s="314"/>
      <c r="BK4876" s="40"/>
      <c r="BL4876" s="40"/>
      <c r="BM4876" s="40"/>
      <c r="BN4876" s="40"/>
      <c r="BO4876" s="40"/>
      <c r="BP4876" s="155"/>
      <c r="BQ4876" s="314"/>
      <c r="BR4876" s="314"/>
      <c r="BS4876" s="314"/>
      <c r="BT4876" s="314"/>
      <c r="BU4876" s="314"/>
      <c r="BV4876" s="314"/>
      <c r="BW4876" s="314"/>
      <c r="BX4876" s="155"/>
    </row>
    <row r="4877" spans="1:76" ht="15.75" customHeight="1">
      <c r="A4877" s="25"/>
      <c r="B4877" s="39"/>
      <c r="C4877" s="155"/>
      <c r="D4877" s="155"/>
      <c r="E4877" s="40"/>
      <c r="F4877" s="314"/>
      <c r="H4877" s="315"/>
      <c r="I4877" s="315"/>
      <c r="BA4877" s="30"/>
      <c r="BB4877" s="155"/>
      <c r="BC4877" s="314"/>
      <c r="BD4877" s="314"/>
      <c r="BE4877" s="314"/>
      <c r="BF4877" s="314"/>
      <c r="BG4877" s="314"/>
      <c r="BH4877" s="314"/>
      <c r="BI4877" s="314"/>
      <c r="BJ4877" s="314"/>
      <c r="BK4877" s="40"/>
      <c r="BL4877" s="40"/>
      <c r="BM4877" s="40"/>
      <c r="BN4877" s="40"/>
      <c r="BO4877" s="40"/>
      <c r="BP4877" s="155"/>
      <c r="BQ4877" s="314"/>
      <c r="BR4877" s="314"/>
      <c r="BS4877" s="314"/>
      <c r="BT4877" s="314"/>
      <c r="BU4877" s="314"/>
      <c r="BV4877" s="314"/>
      <c r="BW4877" s="314"/>
      <c r="BX4877" s="155"/>
    </row>
    <row r="4878" spans="1:76" ht="15.75" customHeight="1">
      <c r="A4878" s="25"/>
      <c r="B4878" s="39"/>
      <c r="C4878" s="155"/>
      <c r="D4878" s="155"/>
      <c r="E4878" s="40"/>
      <c r="F4878" s="314"/>
      <c r="H4878" s="315"/>
      <c r="I4878" s="315"/>
      <c r="BA4878" s="30"/>
      <c r="BB4878" s="155"/>
      <c r="BC4878" s="314"/>
      <c r="BD4878" s="314"/>
      <c r="BE4878" s="314"/>
      <c r="BF4878" s="314"/>
      <c r="BG4878" s="314"/>
      <c r="BH4878" s="314"/>
      <c r="BI4878" s="314"/>
      <c r="BJ4878" s="314"/>
      <c r="BK4878" s="40"/>
      <c r="BL4878" s="40"/>
      <c r="BM4878" s="40"/>
      <c r="BN4878" s="40"/>
      <c r="BO4878" s="40"/>
      <c r="BP4878" s="155"/>
      <c r="BQ4878" s="314"/>
      <c r="BR4878" s="314"/>
      <c r="BS4878" s="314"/>
      <c r="BT4878" s="314"/>
      <c r="BU4878" s="314"/>
      <c r="BV4878" s="314"/>
      <c r="BW4878" s="314"/>
      <c r="BX4878" s="155"/>
    </row>
    <row r="4879" spans="1:76" ht="15.75" customHeight="1">
      <c r="A4879" s="25"/>
      <c r="B4879" s="39"/>
      <c r="C4879" s="155"/>
      <c r="D4879" s="155"/>
      <c r="E4879" s="40"/>
      <c r="F4879" s="314"/>
      <c r="H4879" s="315"/>
      <c r="I4879" s="315"/>
      <c r="BA4879" s="30"/>
      <c r="BB4879" s="155"/>
      <c r="BC4879" s="314"/>
      <c r="BD4879" s="314"/>
      <c r="BE4879" s="314"/>
      <c r="BF4879" s="314"/>
      <c r="BG4879" s="314"/>
      <c r="BH4879" s="314"/>
      <c r="BI4879" s="314"/>
      <c r="BJ4879" s="314"/>
      <c r="BK4879" s="40"/>
      <c r="BL4879" s="40"/>
      <c r="BM4879" s="40"/>
      <c r="BN4879" s="40"/>
      <c r="BO4879" s="40"/>
      <c r="BP4879" s="155"/>
      <c r="BQ4879" s="314"/>
      <c r="BR4879" s="314"/>
      <c r="BS4879" s="314"/>
      <c r="BT4879" s="314"/>
      <c r="BU4879" s="314"/>
      <c r="BV4879" s="314"/>
      <c r="BW4879" s="314"/>
      <c r="BX4879" s="155"/>
    </row>
    <row r="4880" spans="1:76" ht="15.75" customHeight="1">
      <c r="A4880" s="25"/>
      <c r="B4880" s="39"/>
      <c r="C4880" s="155"/>
      <c r="D4880" s="155"/>
      <c r="E4880" s="40"/>
      <c r="F4880" s="314"/>
      <c r="H4880" s="315"/>
      <c r="I4880" s="315"/>
      <c r="BA4880" s="30"/>
      <c r="BB4880" s="155"/>
      <c r="BC4880" s="314"/>
      <c r="BD4880" s="314"/>
      <c r="BE4880" s="314"/>
      <c r="BF4880" s="314"/>
      <c r="BG4880" s="314"/>
      <c r="BH4880" s="314"/>
      <c r="BI4880" s="314"/>
      <c r="BJ4880" s="314"/>
      <c r="BK4880" s="40"/>
      <c r="BL4880" s="40"/>
      <c r="BM4880" s="40"/>
      <c r="BN4880" s="40"/>
      <c r="BO4880" s="40"/>
      <c r="BP4880" s="155"/>
      <c r="BQ4880" s="314"/>
      <c r="BR4880" s="314"/>
      <c r="BS4880" s="314"/>
      <c r="BT4880" s="314"/>
      <c r="BU4880" s="314"/>
      <c r="BV4880" s="314"/>
      <c r="BW4880" s="314"/>
      <c r="BX4880" s="155"/>
    </row>
    <row r="4881" spans="1:76" ht="15.75" customHeight="1">
      <c r="A4881" s="25"/>
      <c r="B4881" s="39"/>
      <c r="C4881" s="155"/>
      <c r="D4881" s="155"/>
      <c r="E4881" s="40"/>
      <c r="F4881" s="314"/>
      <c r="H4881" s="315"/>
      <c r="I4881" s="315"/>
      <c r="BA4881" s="30"/>
      <c r="BB4881" s="155"/>
      <c r="BC4881" s="314"/>
      <c r="BD4881" s="314"/>
      <c r="BE4881" s="314"/>
      <c r="BF4881" s="314"/>
      <c r="BG4881" s="314"/>
      <c r="BH4881" s="314"/>
      <c r="BI4881" s="314"/>
      <c r="BJ4881" s="314"/>
      <c r="BK4881" s="40"/>
      <c r="BL4881" s="40"/>
      <c r="BM4881" s="40"/>
      <c r="BN4881" s="40"/>
      <c r="BO4881" s="40"/>
      <c r="BP4881" s="155"/>
      <c r="BQ4881" s="314"/>
      <c r="BR4881" s="314"/>
      <c r="BS4881" s="314"/>
      <c r="BT4881" s="314"/>
      <c r="BU4881" s="314"/>
      <c r="BV4881" s="314"/>
      <c r="BW4881" s="314"/>
      <c r="BX4881" s="155"/>
    </row>
    <row r="4882" spans="1:76" ht="15.75" customHeight="1">
      <c r="A4882" s="25"/>
      <c r="B4882" s="39"/>
      <c r="C4882" s="155"/>
      <c r="D4882" s="155"/>
      <c r="E4882" s="40"/>
      <c r="F4882" s="314"/>
      <c r="H4882" s="315"/>
      <c r="I4882" s="315"/>
      <c r="BA4882" s="30"/>
      <c r="BB4882" s="155"/>
      <c r="BC4882" s="314"/>
      <c r="BD4882" s="314"/>
      <c r="BE4882" s="314"/>
      <c r="BF4882" s="314"/>
      <c r="BG4882" s="314"/>
      <c r="BH4882" s="314"/>
      <c r="BI4882" s="314"/>
      <c r="BJ4882" s="314"/>
      <c r="BK4882" s="40"/>
      <c r="BL4882" s="40"/>
      <c r="BM4882" s="40"/>
      <c r="BN4882" s="40"/>
      <c r="BO4882" s="40"/>
      <c r="BP4882" s="155"/>
      <c r="BQ4882" s="314"/>
      <c r="BR4882" s="314"/>
      <c r="BS4882" s="314"/>
      <c r="BT4882" s="314"/>
      <c r="BU4882" s="314"/>
      <c r="BV4882" s="314"/>
      <c r="BW4882" s="314"/>
      <c r="BX4882" s="155"/>
    </row>
    <row r="4883" spans="1:76" ht="15.75" customHeight="1">
      <c r="A4883" s="25"/>
      <c r="B4883" s="39"/>
      <c r="C4883" s="155"/>
      <c r="D4883" s="155"/>
      <c r="E4883" s="40"/>
      <c r="F4883" s="314"/>
      <c r="H4883" s="315"/>
      <c r="I4883" s="315"/>
      <c r="BA4883" s="30"/>
      <c r="BB4883" s="155"/>
      <c r="BC4883" s="314"/>
      <c r="BD4883" s="314"/>
      <c r="BE4883" s="314"/>
      <c r="BF4883" s="314"/>
      <c r="BG4883" s="314"/>
      <c r="BH4883" s="314"/>
      <c r="BI4883" s="314"/>
      <c r="BJ4883" s="314"/>
      <c r="BK4883" s="40"/>
      <c r="BL4883" s="40"/>
      <c r="BM4883" s="40"/>
      <c r="BN4883" s="40"/>
      <c r="BO4883" s="40"/>
      <c r="BP4883" s="155"/>
      <c r="BQ4883" s="314"/>
      <c r="BR4883" s="314"/>
      <c r="BS4883" s="314"/>
      <c r="BT4883" s="314"/>
      <c r="BU4883" s="314"/>
      <c r="BV4883" s="314"/>
      <c r="BW4883" s="314"/>
      <c r="BX4883" s="155"/>
    </row>
    <row r="4884" spans="1:76" ht="15.75" customHeight="1">
      <c r="A4884" s="25"/>
      <c r="B4884" s="39"/>
      <c r="C4884" s="155"/>
      <c r="D4884" s="155"/>
      <c r="E4884" s="40"/>
      <c r="F4884" s="314"/>
      <c r="H4884" s="315"/>
      <c r="I4884" s="315"/>
      <c r="BA4884" s="30"/>
      <c r="BB4884" s="155"/>
      <c r="BC4884" s="314"/>
      <c r="BD4884" s="314"/>
      <c r="BE4884" s="314"/>
      <c r="BF4884" s="314"/>
      <c r="BG4884" s="314"/>
      <c r="BH4884" s="314"/>
      <c r="BI4884" s="314"/>
      <c r="BJ4884" s="314"/>
      <c r="BK4884" s="40"/>
      <c r="BL4884" s="40"/>
      <c r="BM4884" s="40"/>
      <c r="BN4884" s="40"/>
      <c r="BO4884" s="40"/>
      <c r="BP4884" s="155"/>
      <c r="BQ4884" s="314"/>
      <c r="BR4884" s="314"/>
      <c r="BS4884" s="314"/>
      <c r="BT4884" s="314"/>
      <c r="BU4884" s="314"/>
      <c r="BV4884" s="314"/>
      <c r="BW4884" s="314"/>
      <c r="BX4884" s="155"/>
    </row>
    <row r="4885" spans="1:76" ht="15.75" customHeight="1">
      <c r="A4885" s="25"/>
      <c r="B4885" s="39"/>
      <c r="C4885" s="155"/>
      <c r="D4885" s="155"/>
      <c r="E4885" s="40"/>
      <c r="F4885" s="314"/>
      <c r="H4885" s="315"/>
      <c r="I4885" s="315"/>
      <c r="BA4885" s="30"/>
      <c r="BB4885" s="155"/>
      <c r="BC4885" s="314"/>
      <c r="BD4885" s="314"/>
      <c r="BE4885" s="314"/>
      <c r="BF4885" s="314"/>
      <c r="BG4885" s="314"/>
      <c r="BH4885" s="314"/>
      <c r="BI4885" s="314"/>
      <c r="BJ4885" s="314"/>
      <c r="BK4885" s="40"/>
      <c r="BL4885" s="40"/>
      <c r="BM4885" s="40"/>
      <c r="BN4885" s="40"/>
      <c r="BO4885" s="40"/>
      <c r="BP4885" s="155"/>
      <c r="BQ4885" s="314"/>
      <c r="BR4885" s="314"/>
      <c r="BS4885" s="314"/>
      <c r="BT4885" s="314"/>
      <c r="BU4885" s="314"/>
      <c r="BV4885" s="314"/>
      <c r="BW4885" s="314"/>
      <c r="BX4885" s="155"/>
    </row>
    <row r="4886" spans="1:76" ht="15.75" customHeight="1">
      <c r="A4886" s="25"/>
      <c r="B4886" s="39"/>
      <c r="C4886" s="155"/>
      <c r="D4886" s="155"/>
      <c r="E4886" s="40"/>
      <c r="F4886" s="314"/>
      <c r="H4886" s="315"/>
      <c r="I4886" s="315"/>
      <c r="BA4886" s="30"/>
      <c r="BB4886" s="155"/>
      <c r="BC4886" s="314"/>
      <c r="BD4886" s="314"/>
      <c r="BE4886" s="314"/>
      <c r="BF4886" s="314"/>
      <c r="BG4886" s="314"/>
      <c r="BH4886" s="314"/>
      <c r="BI4886" s="314"/>
      <c r="BJ4886" s="314"/>
      <c r="BK4886" s="40"/>
      <c r="BL4886" s="40"/>
      <c r="BM4886" s="40"/>
      <c r="BN4886" s="40"/>
      <c r="BO4886" s="40"/>
      <c r="BP4886" s="155"/>
      <c r="BQ4886" s="314"/>
      <c r="BR4886" s="314"/>
      <c r="BS4886" s="314"/>
      <c r="BT4886" s="314"/>
      <c r="BU4886" s="314"/>
      <c r="BV4886" s="314"/>
      <c r="BW4886" s="314"/>
      <c r="BX4886" s="155"/>
    </row>
    <row r="4887" spans="1:76" ht="15.75" customHeight="1">
      <c r="A4887" s="25"/>
      <c r="B4887" s="39"/>
      <c r="C4887" s="155"/>
      <c r="D4887" s="155"/>
      <c r="E4887" s="40"/>
      <c r="F4887" s="314"/>
      <c r="H4887" s="315"/>
      <c r="I4887" s="315"/>
      <c r="BA4887" s="30"/>
      <c r="BB4887" s="155"/>
      <c r="BC4887" s="314"/>
      <c r="BD4887" s="314"/>
      <c r="BE4887" s="314"/>
      <c r="BF4887" s="314"/>
      <c r="BG4887" s="314"/>
      <c r="BH4887" s="314"/>
      <c r="BI4887" s="314"/>
      <c r="BJ4887" s="314"/>
      <c r="BK4887" s="40"/>
      <c r="BL4887" s="40"/>
      <c r="BM4887" s="40"/>
      <c r="BN4887" s="40"/>
      <c r="BO4887" s="40"/>
      <c r="BP4887" s="155"/>
      <c r="BQ4887" s="314"/>
      <c r="BR4887" s="314"/>
      <c r="BS4887" s="314"/>
      <c r="BT4887" s="314"/>
      <c r="BU4887" s="314"/>
      <c r="BV4887" s="314"/>
      <c r="BW4887" s="314"/>
      <c r="BX4887" s="155"/>
    </row>
    <row r="4888" spans="1:76" ht="15.75" customHeight="1">
      <c r="A4888" s="25"/>
      <c r="B4888" s="39"/>
      <c r="C4888" s="155"/>
      <c r="D4888" s="155"/>
      <c r="E4888" s="40"/>
      <c r="F4888" s="314"/>
      <c r="H4888" s="315"/>
      <c r="I4888" s="315"/>
      <c r="BA4888" s="30"/>
      <c r="BB4888" s="155"/>
      <c r="BC4888" s="314"/>
      <c r="BD4888" s="314"/>
      <c r="BE4888" s="314"/>
      <c r="BF4888" s="314"/>
      <c r="BG4888" s="314"/>
      <c r="BH4888" s="314"/>
      <c r="BI4888" s="314"/>
      <c r="BJ4888" s="314"/>
      <c r="BK4888" s="40"/>
      <c r="BL4888" s="40"/>
      <c r="BM4888" s="40"/>
      <c r="BN4888" s="40"/>
      <c r="BO4888" s="40"/>
      <c r="BP4888" s="155"/>
      <c r="BQ4888" s="314"/>
      <c r="BR4888" s="314"/>
      <c r="BS4888" s="314"/>
      <c r="BT4888" s="314"/>
      <c r="BU4888" s="314"/>
      <c r="BV4888" s="314"/>
      <c r="BW4888" s="314"/>
      <c r="BX4888" s="155"/>
    </row>
    <row r="4889" spans="1:76" ht="15.75" customHeight="1">
      <c r="A4889" s="25"/>
      <c r="B4889" s="39"/>
      <c r="C4889" s="155"/>
      <c r="D4889" s="155"/>
      <c r="E4889" s="40"/>
      <c r="F4889" s="314"/>
      <c r="H4889" s="315"/>
      <c r="I4889" s="315"/>
      <c r="BA4889" s="30"/>
      <c r="BB4889" s="155"/>
      <c r="BC4889" s="314"/>
      <c r="BD4889" s="314"/>
      <c r="BE4889" s="314"/>
      <c r="BF4889" s="314"/>
      <c r="BG4889" s="314"/>
      <c r="BH4889" s="314"/>
      <c r="BI4889" s="314"/>
      <c r="BJ4889" s="314"/>
      <c r="BK4889" s="40"/>
      <c r="BL4889" s="40"/>
      <c r="BM4889" s="40"/>
      <c r="BN4889" s="40"/>
      <c r="BO4889" s="40"/>
      <c r="BP4889" s="155"/>
      <c r="BQ4889" s="314"/>
      <c r="BR4889" s="314"/>
      <c r="BS4889" s="314"/>
      <c r="BT4889" s="314"/>
      <c r="BU4889" s="314"/>
      <c r="BV4889" s="314"/>
      <c r="BW4889" s="314"/>
      <c r="BX4889" s="155"/>
    </row>
    <row r="4890" spans="1:76" ht="15.75" customHeight="1">
      <c r="A4890" s="25"/>
      <c r="B4890" s="39"/>
      <c r="C4890" s="155"/>
      <c r="D4890" s="155"/>
      <c r="E4890" s="40"/>
      <c r="F4890" s="314"/>
      <c r="H4890" s="315"/>
      <c r="I4890" s="315"/>
      <c r="BA4890" s="30"/>
      <c r="BB4890" s="155"/>
      <c r="BC4890" s="314"/>
      <c r="BD4890" s="314"/>
      <c r="BE4890" s="314"/>
      <c r="BF4890" s="314"/>
      <c r="BG4890" s="314"/>
      <c r="BH4890" s="314"/>
      <c r="BI4890" s="314"/>
      <c r="BJ4890" s="314"/>
      <c r="BK4890" s="40"/>
      <c r="BL4890" s="40"/>
      <c r="BM4890" s="40"/>
      <c r="BN4890" s="40"/>
      <c r="BO4890" s="40"/>
      <c r="BP4890" s="155"/>
      <c r="BQ4890" s="314"/>
      <c r="BR4890" s="314"/>
      <c r="BS4890" s="314"/>
      <c r="BT4890" s="314"/>
      <c r="BU4890" s="314"/>
      <c r="BV4890" s="314"/>
      <c r="BW4890" s="314"/>
      <c r="BX4890" s="155"/>
    </row>
    <row r="4891" spans="1:76" ht="15.75" customHeight="1">
      <c r="A4891" s="25"/>
      <c r="B4891" s="39"/>
      <c r="C4891" s="155"/>
      <c r="D4891" s="155"/>
      <c r="E4891" s="40"/>
      <c r="F4891" s="314"/>
      <c r="H4891" s="315"/>
      <c r="I4891" s="315"/>
      <c r="BA4891" s="30"/>
      <c r="BB4891" s="155"/>
      <c r="BC4891" s="314"/>
      <c r="BD4891" s="314"/>
      <c r="BE4891" s="314"/>
      <c r="BF4891" s="314"/>
      <c r="BG4891" s="314"/>
      <c r="BH4891" s="314"/>
      <c r="BI4891" s="314"/>
      <c r="BJ4891" s="314"/>
      <c r="BK4891" s="40"/>
      <c r="BL4891" s="40"/>
      <c r="BM4891" s="40"/>
      <c r="BN4891" s="40"/>
      <c r="BO4891" s="40"/>
      <c r="BP4891" s="155"/>
      <c r="BQ4891" s="314"/>
      <c r="BR4891" s="314"/>
      <c r="BS4891" s="314"/>
      <c r="BT4891" s="314"/>
      <c r="BU4891" s="314"/>
      <c r="BV4891" s="314"/>
      <c r="BW4891" s="314"/>
      <c r="BX4891" s="155"/>
    </row>
    <row r="4892" spans="1:76" ht="15.75" customHeight="1">
      <c r="A4892" s="25"/>
      <c r="B4892" s="39"/>
      <c r="C4892" s="155"/>
      <c r="D4892" s="155"/>
      <c r="E4892" s="40"/>
      <c r="F4892" s="314"/>
      <c r="H4892" s="315"/>
      <c r="I4892" s="315"/>
      <c r="BA4892" s="30"/>
      <c r="BB4892" s="155"/>
      <c r="BC4892" s="322"/>
      <c r="BD4892" s="322"/>
      <c r="BE4892" s="322"/>
      <c r="BF4892" s="322"/>
      <c r="BG4892" s="322"/>
      <c r="BH4892" s="322"/>
      <c r="BI4892" s="322"/>
      <c r="BJ4892" s="322"/>
      <c r="BK4892" s="341"/>
      <c r="BL4892" s="40"/>
      <c r="BM4892" s="40"/>
      <c r="BN4892" s="40"/>
      <c r="BO4892" s="40"/>
      <c r="BP4892" s="155"/>
      <c r="BQ4892" s="314"/>
      <c r="BR4892" s="314"/>
      <c r="BS4892" s="314"/>
      <c r="BT4892" s="314"/>
      <c r="BU4892" s="314"/>
      <c r="BV4892" s="314"/>
      <c r="BW4892" s="314"/>
      <c r="BX4892" s="155"/>
    </row>
    <row r="4893" spans="1:76" ht="15.75" customHeight="1">
      <c r="A4893" s="25"/>
      <c r="B4893" s="39"/>
      <c r="C4893" s="155"/>
      <c r="D4893" s="155"/>
      <c r="E4893" s="40"/>
      <c r="F4893" s="314"/>
      <c r="H4893" s="315"/>
      <c r="I4893" s="315"/>
      <c r="BA4893" s="30"/>
      <c r="BB4893" s="155"/>
      <c r="BC4893" s="314"/>
      <c r="BD4893" s="314"/>
      <c r="BE4893" s="314"/>
      <c r="BF4893" s="314"/>
      <c r="BG4893" s="314"/>
      <c r="BH4893" s="314"/>
      <c r="BI4893" s="314"/>
      <c r="BJ4893" s="314"/>
      <c r="BK4893" s="40"/>
      <c r="BL4893" s="40"/>
      <c r="BM4893" s="40"/>
      <c r="BN4893" s="40"/>
      <c r="BO4893" s="40"/>
      <c r="BP4893" s="155"/>
      <c r="BQ4893" s="314"/>
      <c r="BR4893" s="314"/>
      <c r="BS4893" s="314"/>
      <c r="BT4893" s="314"/>
      <c r="BU4893" s="314"/>
      <c r="BV4893" s="314"/>
      <c r="BW4893" s="314"/>
      <c r="BX4893" s="155"/>
    </row>
    <row r="4894" spans="1:76" ht="15.75" customHeight="1">
      <c r="A4894" s="25"/>
      <c r="B4894" s="39"/>
      <c r="C4894" s="155"/>
      <c r="D4894" s="155"/>
      <c r="E4894" s="40"/>
      <c r="F4894" s="314"/>
      <c r="H4894" s="315"/>
      <c r="I4894" s="315"/>
      <c r="BA4894" s="30"/>
      <c r="BB4894" s="155"/>
      <c r="BC4894" s="314"/>
      <c r="BD4894" s="314"/>
      <c r="BE4894" s="314"/>
      <c r="BF4894" s="314"/>
      <c r="BG4894" s="314"/>
      <c r="BH4894" s="314"/>
      <c r="BI4894" s="314"/>
      <c r="BJ4894" s="314"/>
      <c r="BK4894" s="40"/>
      <c r="BL4894" s="40"/>
      <c r="BM4894" s="40"/>
      <c r="BN4894" s="40"/>
      <c r="BO4894" s="40"/>
      <c r="BP4894" s="155"/>
      <c r="BQ4894" s="314"/>
      <c r="BR4894" s="314"/>
      <c r="BS4894" s="314"/>
      <c r="BT4894" s="314"/>
      <c r="BU4894" s="314"/>
      <c r="BV4894" s="314"/>
      <c r="BW4894" s="314"/>
      <c r="BX4894" s="155"/>
    </row>
    <row r="4895" spans="1:76" ht="15.75" customHeight="1">
      <c r="A4895" s="25"/>
      <c r="B4895" s="39"/>
      <c r="C4895" s="155"/>
      <c r="D4895" s="155"/>
      <c r="E4895" s="40"/>
      <c r="F4895" s="314"/>
      <c r="H4895" s="315"/>
      <c r="I4895" s="315"/>
      <c r="BA4895" s="30"/>
      <c r="BB4895" s="155"/>
      <c r="BC4895" s="314"/>
      <c r="BD4895" s="314"/>
      <c r="BE4895" s="314"/>
      <c r="BF4895" s="314"/>
      <c r="BG4895" s="314"/>
      <c r="BH4895" s="314"/>
      <c r="BI4895" s="314"/>
      <c r="BJ4895" s="314"/>
      <c r="BK4895" s="40"/>
      <c r="BL4895" s="40"/>
      <c r="BM4895" s="40"/>
      <c r="BN4895" s="40"/>
      <c r="BO4895" s="40"/>
      <c r="BP4895" s="155"/>
      <c r="BQ4895" s="314"/>
      <c r="BR4895" s="314"/>
      <c r="BS4895" s="314"/>
      <c r="BT4895" s="314"/>
      <c r="BU4895" s="314"/>
      <c r="BV4895" s="314"/>
      <c r="BW4895" s="314"/>
      <c r="BX4895" s="155"/>
    </row>
    <row r="4896" spans="1:76" ht="15.75" customHeight="1">
      <c r="A4896" s="25"/>
      <c r="B4896" s="39"/>
      <c r="C4896" s="155"/>
      <c r="D4896" s="155"/>
      <c r="E4896" s="40"/>
      <c r="F4896" s="314"/>
      <c r="H4896" s="315"/>
      <c r="I4896" s="315"/>
      <c r="BA4896" s="30"/>
      <c r="BB4896" s="155"/>
      <c r="BC4896" s="314"/>
      <c r="BD4896" s="314"/>
      <c r="BE4896" s="314"/>
      <c r="BF4896" s="314"/>
      <c r="BG4896" s="314"/>
      <c r="BH4896" s="314"/>
      <c r="BI4896" s="314"/>
      <c r="BJ4896" s="314"/>
      <c r="BK4896" s="40"/>
      <c r="BL4896" s="40"/>
      <c r="BM4896" s="40"/>
      <c r="BN4896" s="40"/>
      <c r="BO4896" s="40"/>
      <c r="BP4896" s="155"/>
      <c r="BQ4896" s="314"/>
      <c r="BR4896" s="314"/>
      <c r="BS4896" s="314"/>
      <c r="BT4896" s="314"/>
      <c r="BU4896" s="314"/>
      <c r="BV4896" s="314"/>
      <c r="BW4896" s="314"/>
      <c r="BX4896" s="155"/>
    </row>
    <row r="4897" spans="1:76" ht="15.75" customHeight="1">
      <c r="A4897" s="25"/>
      <c r="B4897" s="39"/>
      <c r="C4897" s="155"/>
      <c r="D4897" s="155"/>
      <c r="E4897" s="40"/>
      <c r="F4897" s="314"/>
      <c r="H4897" s="315"/>
      <c r="I4897" s="315"/>
      <c r="BA4897" s="30"/>
      <c r="BB4897" s="155"/>
      <c r="BC4897" s="314"/>
      <c r="BD4897" s="314"/>
      <c r="BE4897" s="314"/>
      <c r="BF4897" s="314"/>
      <c r="BG4897" s="314"/>
      <c r="BH4897" s="314"/>
      <c r="BI4897" s="314"/>
      <c r="BJ4897" s="314"/>
      <c r="BK4897" s="40"/>
      <c r="BL4897" s="40"/>
      <c r="BM4897" s="40"/>
      <c r="BN4897" s="40"/>
      <c r="BO4897" s="40"/>
      <c r="BP4897" s="155"/>
      <c r="BQ4897" s="314"/>
      <c r="BR4897" s="314"/>
      <c r="BS4897" s="314"/>
      <c r="BT4897" s="314"/>
      <c r="BU4897" s="314"/>
      <c r="BV4897" s="314"/>
      <c r="BW4897" s="314"/>
      <c r="BX4897" s="155"/>
    </row>
    <row r="4898" spans="1:76" ht="15.75" customHeight="1">
      <c r="A4898" s="25"/>
      <c r="B4898" s="39"/>
      <c r="C4898" s="155"/>
      <c r="D4898" s="155"/>
      <c r="E4898" s="40"/>
      <c r="F4898" s="314"/>
      <c r="H4898" s="315"/>
      <c r="I4898" s="315"/>
      <c r="BA4898" s="30"/>
      <c r="BB4898" s="155"/>
      <c r="BC4898" s="314"/>
      <c r="BD4898" s="314"/>
      <c r="BE4898" s="314"/>
      <c r="BF4898" s="314"/>
      <c r="BG4898" s="314"/>
      <c r="BH4898" s="314"/>
      <c r="BI4898" s="314"/>
      <c r="BJ4898" s="314"/>
      <c r="BK4898" s="40"/>
      <c r="BL4898" s="40"/>
      <c r="BM4898" s="40"/>
      <c r="BN4898" s="40"/>
      <c r="BO4898" s="40"/>
      <c r="BP4898" s="155"/>
      <c r="BQ4898" s="314"/>
      <c r="BR4898" s="314"/>
      <c r="BS4898" s="314"/>
      <c r="BT4898" s="314"/>
      <c r="BU4898" s="314"/>
      <c r="BV4898" s="314"/>
      <c r="BW4898" s="314"/>
      <c r="BX4898" s="155"/>
    </row>
    <row r="4899" spans="1:76" ht="15.75" customHeight="1">
      <c r="A4899" s="25"/>
      <c r="B4899" s="39"/>
      <c r="C4899" s="155"/>
      <c r="D4899" s="155"/>
      <c r="E4899" s="40"/>
      <c r="F4899" s="314"/>
      <c r="H4899" s="315"/>
      <c r="I4899" s="315"/>
      <c r="BA4899" s="30"/>
      <c r="BB4899" s="155"/>
      <c r="BC4899" s="314"/>
      <c r="BD4899" s="314"/>
      <c r="BE4899" s="314"/>
      <c r="BF4899" s="314"/>
      <c r="BG4899" s="314"/>
      <c r="BH4899" s="314"/>
      <c r="BI4899" s="314"/>
      <c r="BJ4899" s="314"/>
      <c r="BK4899" s="40"/>
      <c r="BL4899" s="40"/>
      <c r="BM4899" s="40"/>
      <c r="BN4899" s="40"/>
      <c r="BO4899" s="40"/>
      <c r="BP4899" s="155"/>
      <c r="BQ4899" s="314"/>
      <c r="BR4899" s="314"/>
      <c r="BS4899" s="314"/>
      <c r="BT4899" s="314"/>
      <c r="BU4899" s="314"/>
      <c r="BV4899" s="314"/>
      <c r="BW4899" s="314"/>
      <c r="BX4899" s="155"/>
    </row>
    <row r="4900" spans="1:76" ht="15.75" customHeight="1">
      <c r="A4900" s="25"/>
      <c r="B4900" s="39"/>
      <c r="C4900" s="155"/>
      <c r="D4900" s="155"/>
      <c r="E4900" s="40"/>
      <c r="F4900" s="314"/>
      <c r="H4900" s="315"/>
      <c r="I4900" s="315"/>
      <c r="BA4900" s="30"/>
      <c r="BB4900" s="155"/>
      <c r="BC4900" s="314"/>
      <c r="BD4900" s="314"/>
      <c r="BE4900" s="314"/>
      <c r="BF4900" s="314"/>
      <c r="BG4900" s="314"/>
      <c r="BH4900" s="314"/>
      <c r="BI4900" s="314"/>
      <c r="BJ4900" s="314"/>
      <c r="BK4900" s="40"/>
      <c r="BL4900" s="40"/>
      <c r="BM4900" s="40"/>
      <c r="BN4900" s="40"/>
      <c r="BO4900" s="40"/>
      <c r="BP4900" s="155"/>
      <c r="BQ4900" s="314"/>
      <c r="BR4900" s="314"/>
      <c r="BS4900" s="314"/>
      <c r="BT4900" s="314"/>
      <c r="BU4900" s="314"/>
      <c r="BV4900" s="314"/>
      <c r="BW4900" s="314"/>
      <c r="BX4900" s="155"/>
    </row>
    <row r="4901" spans="1:76" ht="15.75" customHeight="1">
      <c r="A4901" s="25"/>
      <c r="B4901" s="39"/>
      <c r="C4901" s="155"/>
      <c r="D4901" s="155"/>
      <c r="E4901" s="40"/>
      <c r="F4901" s="314"/>
      <c r="H4901" s="315"/>
      <c r="I4901" s="315"/>
      <c r="BA4901" s="30"/>
      <c r="BB4901" s="155"/>
      <c r="BC4901" s="314"/>
      <c r="BD4901" s="314"/>
      <c r="BE4901" s="314"/>
      <c r="BF4901" s="314"/>
      <c r="BG4901" s="314"/>
      <c r="BH4901" s="314"/>
      <c r="BI4901" s="314"/>
      <c r="BJ4901" s="314"/>
      <c r="BK4901" s="40"/>
      <c r="BL4901" s="40"/>
      <c r="BM4901" s="40"/>
      <c r="BN4901" s="40"/>
      <c r="BO4901" s="40"/>
      <c r="BP4901" s="155"/>
      <c r="BQ4901" s="314"/>
      <c r="BR4901" s="314"/>
      <c r="BS4901" s="314"/>
      <c r="BT4901" s="314"/>
      <c r="BU4901" s="314"/>
      <c r="BV4901" s="314"/>
      <c r="BW4901" s="314"/>
      <c r="BX4901" s="155"/>
    </row>
    <row r="4902" spans="1:76" ht="15.75" customHeight="1">
      <c r="A4902" s="25"/>
      <c r="B4902" s="39"/>
      <c r="C4902" s="155"/>
      <c r="D4902" s="155"/>
      <c r="E4902" s="40"/>
      <c r="F4902" s="314"/>
      <c r="H4902" s="315"/>
      <c r="I4902" s="315"/>
      <c r="BA4902" s="30"/>
      <c r="BB4902" s="155"/>
      <c r="BC4902" s="314"/>
      <c r="BD4902" s="314"/>
      <c r="BE4902" s="314"/>
      <c r="BF4902" s="314"/>
      <c r="BG4902" s="314"/>
      <c r="BH4902" s="314"/>
      <c r="BI4902" s="314"/>
      <c r="BJ4902" s="314"/>
      <c r="BK4902" s="40"/>
      <c r="BL4902" s="40"/>
      <c r="BM4902" s="40"/>
      <c r="BN4902" s="40"/>
      <c r="BO4902" s="40"/>
      <c r="BP4902" s="155"/>
      <c r="BQ4902" s="314"/>
      <c r="BR4902" s="314"/>
      <c r="BS4902" s="314"/>
      <c r="BT4902" s="314"/>
      <c r="BU4902" s="314"/>
      <c r="BV4902" s="314"/>
      <c r="BW4902" s="314"/>
      <c r="BX4902" s="155"/>
    </row>
    <row r="4903" spans="1:76" ht="15.75" customHeight="1">
      <c r="A4903" s="25"/>
      <c r="B4903" s="39"/>
      <c r="C4903" s="155"/>
      <c r="D4903" s="155"/>
      <c r="E4903" s="40"/>
      <c r="F4903" s="314"/>
      <c r="H4903" s="315"/>
      <c r="I4903" s="315"/>
      <c r="BA4903" s="30"/>
      <c r="BB4903" s="155"/>
      <c r="BC4903" s="314"/>
      <c r="BD4903" s="314"/>
      <c r="BE4903" s="314"/>
      <c r="BF4903" s="314"/>
      <c r="BG4903" s="314"/>
      <c r="BH4903" s="314"/>
      <c r="BI4903" s="314"/>
      <c r="BJ4903" s="314"/>
      <c r="BK4903" s="40"/>
      <c r="BL4903" s="40"/>
      <c r="BM4903" s="40"/>
      <c r="BN4903" s="40"/>
      <c r="BO4903" s="40"/>
      <c r="BP4903" s="155"/>
      <c r="BQ4903" s="314"/>
      <c r="BR4903" s="314"/>
      <c r="BS4903" s="314"/>
      <c r="BT4903" s="314"/>
      <c r="BU4903" s="314"/>
      <c r="BV4903" s="314"/>
      <c r="BW4903" s="314"/>
      <c r="BX4903" s="155"/>
    </row>
    <row r="4904" spans="1:76" ht="15.75" customHeight="1">
      <c r="A4904" s="25"/>
      <c r="B4904" s="39"/>
      <c r="C4904" s="155"/>
      <c r="D4904" s="155"/>
      <c r="E4904" s="40"/>
      <c r="F4904" s="314"/>
      <c r="H4904" s="315"/>
      <c r="I4904" s="315"/>
      <c r="BA4904" s="30"/>
      <c r="BB4904" s="155"/>
      <c r="BC4904" s="314"/>
      <c r="BD4904" s="314"/>
      <c r="BE4904" s="314"/>
      <c r="BF4904" s="314"/>
      <c r="BG4904" s="314"/>
      <c r="BH4904" s="314"/>
      <c r="BI4904" s="314"/>
      <c r="BJ4904" s="314"/>
      <c r="BK4904" s="40"/>
      <c r="BL4904" s="40"/>
      <c r="BM4904" s="40"/>
      <c r="BN4904" s="40"/>
      <c r="BO4904" s="40"/>
      <c r="BP4904" s="155"/>
      <c r="BQ4904" s="314"/>
      <c r="BR4904" s="314"/>
      <c r="BS4904" s="314"/>
      <c r="BT4904" s="314"/>
      <c r="BU4904" s="314"/>
      <c r="BV4904" s="314"/>
      <c r="BW4904" s="314"/>
      <c r="BX4904" s="155"/>
    </row>
    <row r="4905" spans="1:76" ht="15.75" customHeight="1">
      <c r="A4905" s="25"/>
      <c r="B4905" s="39"/>
      <c r="C4905" s="155"/>
      <c r="D4905" s="155"/>
      <c r="E4905" s="40"/>
      <c r="F4905" s="314"/>
      <c r="H4905" s="315"/>
      <c r="I4905" s="315"/>
      <c r="BA4905" s="30"/>
      <c r="BB4905" s="155"/>
      <c r="BC4905" s="314"/>
      <c r="BD4905" s="314"/>
      <c r="BE4905" s="314"/>
      <c r="BF4905" s="314"/>
      <c r="BG4905" s="314"/>
      <c r="BH4905" s="314"/>
      <c r="BI4905" s="314"/>
      <c r="BJ4905" s="314"/>
      <c r="BK4905" s="40"/>
      <c r="BL4905" s="40"/>
      <c r="BM4905" s="40"/>
      <c r="BN4905" s="40"/>
      <c r="BO4905" s="40"/>
      <c r="BP4905" s="155"/>
      <c r="BQ4905" s="314"/>
      <c r="BR4905" s="314"/>
      <c r="BS4905" s="314"/>
      <c r="BT4905" s="314"/>
      <c r="BU4905" s="314"/>
      <c r="BV4905" s="314"/>
      <c r="BW4905" s="314"/>
      <c r="BX4905" s="155"/>
    </row>
    <row r="4906" spans="1:76" ht="15.75" customHeight="1">
      <c r="A4906" s="25"/>
      <c r="B4906" s="39"/>
      <c r="C4906" s="155"/>
      <c r="D4906" s="155"/>
      <c r="E4906" s="40"/>
      <c r="F4906" s="314"/>
      <c r="H4906" s="315"/>
      <c r="I4906" s="315"/>
      <c r="BA4906" s="30"/>
      <c r="BB4906" s="155"/>
      <c r="BC4906" s="314"/>
      <c r="BD4906" s="314"/>
      <c r="BE4906" s="314"/>
      <c r="BF4906" s="314"/>
      <c r="BG4906" s="314"/>
      <c r="BH4906" s="314"/>
      <c r="BI4906" s="314"/>
      <c r="BJ4906" s="314"/>
      <c r="BK4906" s="40"/>
      <c r="BL4906" s="40"/>
      <c r="BM4906" s="40"/>
      <c r="BN4906" s="40"/>
      <c r="BO4906" s="40"/>
      <c r="BP4906" s="155"/>
      <c r="BQ4906" s="314"/>
      <c r="BR4906" s="314"/>
      <c r="BS4906" s="314"/>
      <c r="BT4906" s="314"/>
      <c r="BU4906" s="314"/>
      <c r="BV4906" s="314"/>
      <c r="BW4906" s="314"/>
      <c r="BX4906" s="155"/>
    </row>
    <row r="4907" spans="1:76" ht="15.75" customHeight="1">
      <c r="A4907" s="25"/>
      <c r="B4907" s="39"/>
      <c r="C4907" s="155"/>
      <c r="D4907" s="155"/>
      <c r="E4907" s="40"/>
      <c r="F4907" s="314"/>
      <c r="H4907" s="315"/>
      <c r="I4907" s="315"/>
      <c r="BA4907" s="30"/>
      <c r="BB4907" s="155"/>
      <c r="BC4907" s="314"/>
      <c r="BD4907" s="314"/>
      <c r="BE4907" s="314"/>
      <c r="BF4907" s="314"/>
      <c r="BG4907" s="314"/>
      <c r="BH4907" s="314"/>
      <c r="BI4907" s="314"/>
      <c r="BJ4907" s="314"/>
      <c r="BK4907" s="40"/>
      <c r="BL4907" s="40"/>
      <c r="BM4907" s="40"/>
      <c r="BN4907" s="40"/>
      <c r="BO4907" s="40"/>
      <c r="BP4907" s="155"/>
      <c r="BQ4907" s="314"/>
      <c r="BR4907" s="314"/>
      <c r="BS4907" s="314"/>
      <c r="BT4907" s="314"/>
      <c r="BU4907" s="314"/>
      <c r="BV4907" s="314"/>
      <c r="BW4907" s="314"/>
      <c r="BX4907" s="155"/>
    </row>
    <row r="4908" spans="1:76" ht="15.75" customHeight="1">
      <c r="A4908" s="25"/>
      <c r="B4908" s="39"/>
      <c r="C4908" s="155"/>
      <c r="D4908" s="155"/>
      <c r="E4908" s="40"/>
      <c r="F4908" s="314"/>
      <c r="H4908" s="315"/>
      <c r="I4908" s="315"/>
      <c r="BA4908" s="30"/>
      <c r="BB4908" s="155"/>
      <c r="BC4908" s="314"/>
      <c r="BD4908" s="314"/>
      <c r="BE4908" s="314"/>
      <c r="BF4908" s="314"/>
      <c r="BG4908" s="314"/>
      <c r="BH4908" s="314"/>
      <c r="BI4908" s="314"/>
      <c r="BJ4908" s="314"/>
      <c r="BK4908" s="40"/>
      <c r="BL4908" s="40"/>
      <c r="BM4908" s="40"/>
      <c r="BN4908" s="40"/>
      <c r="BO4908" s="40"/>
      <c r="BP4908" s="155"/>
      <c r="BQ4908" s="314"/>
      <c r="BR4908" s="314"/>
      <c r="BS4908" s="314"/>
      <c r="BT4908" s="314"/>
      <c r="BU4908" s="314"/>
      <c r="BV4908" s="314"/>
      <c r="BW4908" s="314"/>
      <c r="BX4908" s="155"/>
    </row>
    <row r="4909" spans="1:76" ht="15.75" customHeight="1">
      <c r="A4909" s="25"/>
      <c r="B4909" s="39"/>
      <c r="C4909" s="155"/>
      <c r="D4909" s="155"/>
      <c r="E4909" s="40"/>
      <c r="F4909" s="314"/>
      <c r="H4909" s="315"/>
      <c r="I4909" s="315"/>
      <c r="BA4909" s="30"/>
      <c r="BB4909" s="155"/>
      <c r="BC4909" s="314"/>
      <c r="BD4909" s="314"/>
      <c r="BE4909" s="314"/>
      <c r="BF4909" s="314"/>
      <c r="BG4909" s="314"/>
      <c r="BH4909" s="314"/>
      <c r="BI4909" s="314"/>
      <c r="BJ4909" s="314"/>
      <c r="BK4909" s="40"/>
      <c r="BL4909" s="40"/>
      <c r="BM4909" s="40"/>
      <c r="BN4909" s="40"/>
      <c r="BO4909" s="40"/>
      <c r="BP4909" s="155"/>
      <c r="BQ4909" s="314"/>
      <c r="BR4909" s="314"/>
      <c r="BS4909" s="314"/>
      <c r="BT4909" s="314"/>
      <c r="BU4909" s="314"/>
      <c r="BV4909" s="314"/>
      <c r="BW4909" s="314"/>
      <c r="BX4909" s="155"/>
    </row>
    <row r="4910" spans="1:76" ht="15.75" customHeight="1">
      <c r="A4910" s="25"/>
      <c r="B4910" s="39"/>
      <c r="C4910" s="155"/>
      <c r="D4910" s="155"/>
      <c r="E4910" s="40"/>
      <c r="F4910" s="314"/>
      <c r="H4910" s="315"/>
      <c r="I4910" s="315"/>
      <c r="BA4910" s="30"/>
      <c r="BB4910" s="155"/>
      <c r="BC4910" s="322"/>
      <c r="BD4910" s="322"/>
      <c r="BE4910" s="322"/>
      <c r="BF4910" s="322"/>
      <c r="BG4910" s="322"/>
      <c r="BH4910" s="322"/>
      <c r="BI4910" s="322"/>
      <c r="BJ4910" s="322"/>
      <c r="BK4910" s="341"/>
      <c r="BL4910" s="40"/>
      <c r="BM4910" s="40"/>
      <c r="BN4910" s="40"/>
      <c r="BO4910" s="40"/>
      <c r="BP4910" s="155"/>
      <c r="BQ4910" s="314"/>
      <c r="BR4910" s="314"/>
      <c r="BS4910" s="314"/>
      <c r="BT4910" s="314"/>
      <c r="BU4910" s="314"/>
      <c r="BV4910" s="314"/>
      <c r="BW4910" s="314"/>
      <c r="BX4910" s="155"/>
    </row>
    <row r="4911" spans="1:76" ht="15.75" customHeight="1">
      <c r="A4911" s="25"/>
      <c r="B4911" s="39"/>
      <c r="C4911" s="155"/>
      <c r="D4911" s="155"/>
      <c r="E4911" s="40"/>
      <c r="F4911" s="314"/>
      <c r="H4911" s="315"/>
      <c r="I4911" s="315"/>
      <c r="BA4911" s="30"/>
      <c r="BB4911" s="155"/>
      <c r="BC4911" s="314"/>
      <c r="BD4911" s="314"/>
      <c r="BE4911" s="314"/>
      <c r="BF4911" s="314"/>
      <c r="BG4911" s="314"/>
      <c r="BH4911" s="314"/>
      <c r="BI4911" s="314"/>
      <c r="BJ4911" s="314"/>
      <c r="BK4911" s="40"/>
      <c r="BL4911" s="40"/>
      <c r="BM4911" s="40"/>
      <c r="BN4911" s="40"/>
      <c r="BO4911" s="40"/>
      <c r="BP4911" s="155"/>
      <c r="BQ4911" s="314"/>
      <c r="BR4911" s="314"/>
      <c r="BS4911" s="314"/>
      <c r="BT4911" s="314"/>
      <c r="BU4911" s="314"/>
      <c r="BV4911" s="314"/>
      <c r="BW4911" s="314"/>
      <c r="BX4911" s="155"/>
    </row>
    <row r="4912" spans="1:76" ht="15.75" customHeight="1">
      <c r="A4912" s="25"/>
      <c r="B4912" s="39"/>
      <c r="C4912" s="155"/>
      <c r="D4912" s="155"/>
      <c r="E4912" s="40"/>
      <c r="F4912" s="314"/>
      <c r="H4912" s="315"/>
      <c r="I4912" s="315"/>
      <c r="BA4912" s="30"/>
      <c r="BB4912" s="155"/>
      <c r="BC4912" s="314"/>
      <c r="BD4912" s="314"/>
      <c r="BE4912" s="314"/>
      <c r="BF4912" s="314"/>
      <c r="BG4912" s="314"/>
      <c r="BH4912" s="314"/>
      <c r="BI4912" s="314"/>
      <c r="BJ4912" s="314"/>
      <c r="BK4912" s="40"/>
      <c r="BL4912" s="40"/>
      <c r="BM4912" s="40"/>
      <c r="BN4912" s="40"/>
      <c r="BO4912" s="40"/>
      <c r="BP4912" s="155"/>
      <c r="BQ4912" s="314"/>
      <c r="BR4912" s="314"/>
      <c r="BS4912" s="314"/>
      <c r="BT4912" s="314"/>
      <c r="BU4912" s="314"/>
      <c r="BV4912" s="314"/>
      <c r="BW4912" s="314"/>
      <c r="BX4912" s="155"/>
    </row>
    <row r="4913" spans="1:76" ht="15.75" customHeight="1">
      <c r="A4913" s="25"/>
      <c r="B4913" s="39"/>
      <c r="C4913" s="155"/>
      <c r="D4913" s="155"/>
      <c r="E4913" s="40"/>
      <c r="F4913" s="314"/>
      <c r="H4913" s="315"/>
      <c r="I4913" s="315"/>
      <c r="BA4913" s="30"/>
      <c r="BB4913" s="155"/>
      <c r="BC4913" s="314"/>
      <c r="BD4913" s="314"/>
      <c r="BE4913" s="314"/>
      <c r="BF4913" s="314"/>
      <c r="BG4913" s="314"/>
      <c r="BH4913" s="314"/>
      <c r="BI4913" s="314"/>
      <c r="BJ4913" s="314"/>
      <c r="BK4913" s="40"/>
      <c r="BL4913" s="40"/>
      <c r="BM4913" s="40"/>
      <c r="BN4913" s="40"/>
      <c r="BO4913" s="40"/>
      <c r="BP4913" s="155"/>
      <c r="BQ4913" s="314"/>
      <c r="BR4913" s="314"/>
      <c r="BS4913" s="314"/>
      <c r="BT4913" s="314"/>
      <c r="BU4913" s="314"/>
      <c r="BV4913" s="314"/>
      <c r="BW4913" s="314"/>
      <c r="BX4913" s="155"/>
    </row>
    <row r="4914" spans="1:76" ht="15.75" customHeight="1">
      <c r="A4914" s="25"/>
      <c r="B4914" s="39"/>
      <c r="C4914" s="155"/>
      <c r="D4914" s="155"/>
      <c r="E4914" s="40"/>
      <c r="F4914" s="314"/>
      <c r="H4914" s="315"/>
      <c r="I4914" s="315"/>
      <c r="BA4914" s="30"/>
      <c r="BB4914" s="155"/>
      <c r="BC4914" s="314"/>
      <c r="BD4914" s="314"/>
      <c r="BE4914" s="314"/>
      <c r="BF4914" s="314"/>
      <c r="BG4914" s="314"/>
      <c r="BH4914" s="314"/>
      <c r="BI4914" s="314"/>
      <c r="BJ4914" s="314"/>
      <c r="BK4914" s="40"/>
      <c r="BL4914" s="40"/>
      <c r="BM4914" s="40"/>
      <c r="BN4914" s="40"/>
      <c r="BO4914" s="40"/>
      <c r="BP4914" s="155"/>
      <c r="BQ4914" s="314"/>
      <c r="BR4914" s="314"/>
      <c r="BS4914" s="314"/>
      <c r="BT4914" s="314"/>
      <c r="BU4914" s="314"/>
      <c r="BV4914" s="314"/>
      <c r="BW4914" s="314"/>
      <c r="BX4914" s="155"/>
    </row>
    <row r="4915" spans="1:76" ht="15.75" customHeight="1">
      <c r="A4915" s="25"/>
      <c r="B4915" s="39"/>
      <c r="C4915" s="155"/>
      <c r="D4915" s="155"/>
      <c r="E4915" s="40"/>
      <c r="F4915" s="314"/>
      <c r="H4915" s="315"/>
      <c r="I4915" s="315"/>
      <c r="BA4915" s="30"/>
      <c r="BB4915" s="155"/>
      <c r="BC4915" s="314"/>
      <c r="BD4915" s="314"/>
      <c r="BE4915" s="314"/>
      <c r="BF4915" s="314"/>
      <c r="BG4915" s="314"/>
      <c r="BH4915" s="314"/>
      <c r="BI4915" s="314"/>
      <c r="BJ4915" s="314"/>
      <c r="BK4915" s="40"/>
      <c r="BL4915" s="40"/>
      <c r="BM4915" s="40"/>
      <c r="BN4915" s="40"/>
      <c r="BO4915" s="40"/>
      <c r="BP4915" s="155"/>
      <c r="BQ4915" s="314"/>
      <c r="BR4915" s="314"/>
      <c r="BS4915" s="314"/>
      <c r="BT4915" s="314"/>
      <c r="BU4915" s="314"/>
      <c r="BV4915" s="314"/>
      <c r="BW4915" s="314"/>
      <c r="BX4915" s="155"/>
    </row>
    <row r="4916" spans="1:76" ht="15.75" customHeight="1">
      <c r="A4916" s="25"/>
      <c r="B4916" s="39"/>
      <c r="C4916" s="155"/>
      <c r="D4916" s="155"/>
      <c r="E4916" s="40"/>
      <c r="F4916" s="314"/>
      <c r="H4916" s="315"/>
      <c r="I4916" s="315"/>
      <c r="BA4916" s="30"/>
      <c r="BB4916" s="155"/>
      <c r="BC4916" s="314"/>
      <c r="BD4916" s="314"/>
      <c r="BE4916" s="314"/>
      <c r="BF4916" s="314"/>
      <c r="BG4916" s="314"/>
      <c r="BH4916" s="314"/>
      <c r="BI4916" s="314"/>
      <c r="BJ4916" s="314"/>
      <c r="BK4916" s="40"/>
      <c r="BL4916" s="40"/>
      <c r="BM4916" s="40"/>
      <c r="BN4916" s="40"/>
      <c r="BO4916" s="40"/>
      <c r="BP4916" s="155"/>
      <c r="BQ4916" s="314"/>
      <c r="BR4916" s="314"/>
      <c r="BS4916" s="314"/>
      <c r="BT4916" s="314"/>
      <c r="BU4916" s="314"/>
      <c r="BV4916" s="314"/>
      <c r="BW4916" s="314"/>
      <c r="BX4916" s="155"/>
    </row>
    <row r="4917" spans="1:76" ht="15.75" customHeight="1">
      <c r="A4917" s="25"/>
      <c r="B4917" s="39"/>
      <c r="C4917" s="155"/>
      <c r="D4917" s="155"/>
      <c r="E4917" s="40"/>
      <c r="F4917" s="314"/>
      <c r="H4917" s="315"/>
      <c r="I4917" s="315"/>
      <c r="BA4917" s="30"/>
      <c r="BB4917" s="155"/>
      <c r="BC4917" s="314"/>
      <c r="BD4917" s="314"/>
      <c r="BE4917" s="314"/>
      <c r="BF4917" s="314"/>
      <c r="BG4917" s="314"/>
      <c r="BH4917" s="314"/>
      <c r="BI4917" s="314"/>
      <c r="BJ4917" s="314"/>
      <c r="BK4917" s="40"/>
      <c r="BL4917" s="40"/>
      <c r="BM4917" s="40"/>
      <c r="BN4917" s="40"/>
      <c r="BO4917" s="40"/>
      <c r="BP4917" s="155"/>
      <c r="BQ4917" s="314"/>
      <c r="BR4917" s="314"/>
      <c r="BS4917" s="314"/>
      <c r="BT4917" s="314"/>
      <c r="BU4917" s="314"/>
      <c r="BV4917" s="314"/>
      <c r="BW4917" s="314"/>
      <c r="BX4917" s="155"/>
    </row>
    <row r="4918" spans="1:76" ht="15.75" customHeight="1">
      <c r="A4918" s="25"/>
      <c r="B4918" s="39"/>
      <c r="C4918" s="155"/>
      <c r="D4918" s="155"/>
      <c r="E4918" s="40"/>
      <c r="F4918" s="314"/>
      <c r="H4918" s="315"/>
      <c r="I4918" s="315"/>
      <c r="BA4918" s="30"/>
      <c r="BB4918" s="155"/>
      <c r="BC4918" s="314"/>
      <c r="BD4918" s="314"/>
      <c r="BE4918" s="314"/>
      <c r="BF4918" s="314"/>
      <c r="BG4918" s="314"/>
      <c r="BH4918" s="314"/>
      <c r="BI4918" s="314"/>
      <c r="BJ4918" s="314"/>
      <c r="BK4918" s="40"/>
      <c r="BL4918" s="40"/>
      <c r="BM4918" s="40"/>
      <c r="BN4918" s="40"/>
      <c r="BO4918" s="40"/>
      <c r="BP4918" s="155"/>
      <c r="BQ4918" s="314"/>
      <c r="BR4918" s="314"/>
      <c r="BS4918" s="314"/>
      <c r="BT4918" s="314"/>
      <c r="BU4918" s="314"/>
      <c r="BV4918" s="314"/>
      <c r="BW4918" s="314"/>
      <c r="BX4918" s="155"/>
    </row>
    <row r="4919" spans="1:76" ht="15.75" customHeight="1">
      <c r="A4919" s="25"/>
      <c r="B4919" s="39"/>
      <c r="C4919" s="155"/>
      <c r="D4919" s="155"/>
      <c r="E4919" s="40"/>
      <c r="F4919" s="314"/>
      <c r="H4919" s="315"/>
      <c r="I4919" s="315"/>
      <c r="BA4919" s="30"/>
      <c r="BB4919" s="155"/>
      <c r="BC4919" s="314"/>
      <c r="BD4919" s="314"/>
      <c r="BE4919" s="314"/>
      <c r="BF4919" s="314"/>
      <c r="BG4919" s="314"/>
      <c r="BH4919" s="314"/>
      <c r="BI4919" s="314"/>
      <c r="BJ4919" s="314"/>
      <c r="BK4919" s="40"/>
      <c r="BL4919" s="40"/>
      <c r="BM4919" s="40"/>
      <c r="BN4919" s="40"/>
      <c r="BO4919" s="40"/>
      <c r="BP4919" s="155"/>
      <c r="BQ4919" s="314"/>
      <c r="BR4919" s="314"/>
      <c r="BS4919" s="314"/>
      <c r="BT4919" s="314"/>
      <c r="BU4919" s="314"/>
      <c r="BV4919" s="314"/>
      <c r="BW4919" s="314"/>
      <c r="BX4919" s="155"/>
    </row>
    <row r="4920" spans="1:76" ht="15.75" customHeight="1">
      <c r="A4920" s="25"/>
      <c r="B4920" s="39"/>
      <c r="C4920" s="155"/>
      <c r="D4920" s="155"/>
      <c r="E4920" s="40"/>
      <c r="F4920" s="314"/>
      <c r="H4920" s="315"/>
      <c r="I4920" s="315"/>
      <c r="BA4920" s="30"/>
      <c r="BB4920" s="155"/>
      <c r="BC4920" s="314"/>
      <c r="BD4920" s="314"/>
      <c r="BE4920" s="314"/>
      <c r="BF4920" s="314"/>
      <c r="BG4920" s="314"/>
      <c r="BH4920" s="314"/>
      <c r="BI4920" s="314"/>
      <c r="BJ4920" s="314"/>
      <c r="BK4920" s="40"/>
      <c r="BL4920" s="40"/>
      <c r="BM4920" s="40"/>
      <c r="BN4920" s="40"/>
      <c r="BO4920" s="40"/>
      <c r="BP4920" s="155"/>
      <c r="BQ4920" s="314"/>
      <c r="BR4920" s="314"/>
      <c r="BS4920" s="314"/>
      <c r="BT4920" s="314"/>
      <c r="BU4920" s="314"/>
      <c r="BV4920" s="314"/>
      <c r="BW4920" s="314"/>
      <c r="BX4920" s="155"/>
    </row>
    <row r="4921" spans="1:76" ht="15.75" customHeight="1">
      <c r="A4921" s="25"/>
      <c r="B4921" s="39"/>
      <c r="C4921" s="155"/>
      <c r="D4921" s="155"/>
      <c r="E4921" s="40"/>
      <c r="F4921" s="314"/>
      <c r="H4921" s="315"/>
      <c r="I4921" s="315"/>
      <c r="BA4921" s="30"/>
      <c r="BB4921" s="155"/>
      <c r="BC4921" s="314"/>
      <c r="BD4921" s="314"/>
      <c r="BE4921" s="314"/>
      <c r="BF4921" s="314"/>
      <c r="BG4921" s="314"/>
      <c r="BH4921" s="314"/>
      <c r="BI4921" s="314"/>
      <c r="BJ4921" s="314"/>
      <c r="BK4921" s="40"/>
      <c r="BL4921" s="40"/>
      <c r="BM4921" s="40"/>
      <c r="BN4921" s="40"/>
      <c r="BO4921" s="40"/>
      <c r="BP4921" s="155"/>
      <c r="BQ4921" s="314"/>
      <c r="BR4921" s="314"/>
      <c r="BS4921" s="314"/>
      <c r="BT4921" s="314"/>
      <c r="BU4921" s="314"/>
      <c r="BV4921" s="314"/>
      <c r="BW4921" s="314"/>
      <c r="BX4921" s="155"/>
    </row>
    <row r="4922" spans="1:76" ht="15.75" customHeight="1">
      <c r="A4922" s="25"/>
      <c r="B4922" s="39"/>
      <c r="C4922" s="155"/>
      <c r="D4922" s="155"/>
      <c r="E4922" s="40"/>
      <c r="F4922" s="314"/>
      <c r="H4922" s="315"/>
      <c r="I4922" s="315"/>
      <c r="BA4922" s="30"/>
      <c r="BB4922" s="155"/>
      <c r="BC4922" s="314"/>
      <c r="BD4922" s="314"/>
      <c r="BE4922" s="314"/>
      <c r="BF4922" s="314"/>
      <c r="BG4922" s="314"/>
      <c r="BH4922" s="314"/>
      <c r="BI4922" s="314"/>
      <c r="BJ4922" s="314"/>
      <c r="BK4922" s="40"/>
      <c r="BL4922" s="40"/>
      <c r="BM4922" s="40"/>
      <c r="BN4922" s="40"/>
      <c r="BO4922" s="40"/>
      <c r="BP4922" s="155"/>
      <c r="BQ4922" s="314"/>
      <c r="BR4922" s="314"/>
      <c r="BS4922" s="314"/>
      <c r="BT4922" s="314"/>
      <c r="BU4922" s="314"/>
      <c r="BV4922" s="314"/>
      <c r="BW4922" s="314"/>
      <c r="BX4922" s="155"/>
    </row>
    <row r="4923" spans="1:76" ht="15.75" customHeight="1">
      <c r="A4923" s="25"/>
      <c r="B4923" s="39"/>
      <c r="C4923" s="155"/>
      <c r="D4923" s="155"/>
      <c r="E4923" s="40"/>
      <c r="F4923" s="314"/>
      <c r="H4923" s="315"/>
      <c r="I4923" s="315"/>
      <c r="BA4923" s="30"/>
      <c r="BB4923" s="155"/>
      <c r="BC4923" s="314"/>
      <c r="BD4923" s="314"/>
      <c r="BE4923" s="314"/>
      <c r="BF4923" s="314"/>
      <c r="BG4923" s="314"/>
      <c r="BH4923" s="314"/>
      <c r="BI4923" s="314"/>
      <c r="BJ4923" s="314"/>
      <c r="BK4923" s="40"/>
      <c r="BL4923" s="40"/>
      <c r="BM4923" s="40"/>
      <c r="BN4923" s="40"/>
      <c r="BO4923" s="40"/>
      <c r="BP4923" s="155"/>
      <c r="BQ4923" s="314"/>
      <c r="BR4923" s="314"/>
      <c r="BS4923" s="314"/>
      <c r="BT4923" s="314"/>
      <c r="BU4923" s="314"/>
      <c r="BV4923" s="314"/>
      <c r="BW4923" s="314"/>
      <c r="BX4923" s="155"/>
    </row>
    <row r="4924" spans="1:76" ht="15.75" customHeight="1">
      <c r="A4924" s="25"/>
      <c r="B4924" s="39"/>
      <c r="C4924" s="155"/>
      <c r="D4924" s="155"/>
      <c r="E4924" s="40"/>
      <c r="F4924" s="314"/>
      <c r="H4924" s="315"/>
      <c r="I4924" s="315"/>
      <c r="BA4924" s="30"/>
      <c r="BB4924" s="155"/>
      <c r="BC4924" s="314"/>
      <c r="BD4924" s="314"/>
      <c r="BE4924" s="314"/>
      <c r="BF4924" s="314"/>
      <c r="BG4924" s="314"/>
      <c r="BH4924" s="314"/>
      <c r="BI4924" s="314"/>
      <c r="BJ4924" s="314"/>
      <c r="BK4924" s="40"/>
      <c r="BL4924" s="40"/>
      <c r="BM4924" s="40"/>
      <c r="BN4924" s="40"/>
      <c r="BO4924" s="40"/>
      <c r="BP4924" s="155"/>
      <c r="BQ4924" s="314"/>
      <c r="BR4924" s="314"/>
      <c r="BS4924" s="314"/>
      <c r="BT4924" s="314"/>
      <c r="BU4924" s="314"/>
      <c r="BV4924" s="314"/>
      <c r="BW4924" s="314"/>
      <c r="BX4924" s="155"/>
    </row>
    <row r="4925" spans="1:76" ht="15.75" customHeight="1">
      <c r="A4925" s="25"/>
      <c r="B4925" s="39"/>
      <c r="C4925" s="155"/>
      <c r="D4925" s="155"/>
      <c r="E4925" s="40"/>
      <c r="F4925" s="314"/>
      <c r="H4925" s="315"/>
      <c r="I4925" s="315"/>
      <c r="BA4925" s="30"/>
      <c r="BB4925" s="155"/>
      <c r="BC4925" s="314"/>
      <c r="BD4925" s="314"/>
      <c r="BE4925" s="314"/>
      <c r="BF4925" s="314"/>
      <c r="BG4925" s="314"/>
      <c r="BH4925" s="314"/>
      <c r="BI4925" s="314"/>
      <c r="BJ4925" s="314"/>
      <c r="BK4925" s="40"/>
      <c r="BL4925" s="40"/>
      <c r="BM4925" s="40"/>
      <c r="BN4925" s="40"/>
      <c r="BO4925" s="40"/>
      <c r="BP4925" s="155"/>
      <c r="BQ4925" s="314"/>
      <c r="BR4925" s="314"/>
      <c r="BS4925" s="314"/>
      <c r="BT4925" s="314"/>
      <c r="BU4925" s="314"/>
      <c r="BV4925" s="314"/>
      <c r="BW4925" s="314"/>
      <c r="BX4925" s="155"/>
    </row>
    <row r="4926" spans="1:76" ht="15.75" customHeight="1">
      <c r="A4926" s="25"/>
      <c r="B4926" s="39"/>
      <c r="C4926" s="155"/>
      <c r="D4926" s="155"/>
      <c r="E4926" s="40"/>
      <c r="F4926" s="314"/>
      <c r="H4926" s="315"/>
      <c r="I4926" s="315"/>
      <c r="BA4926" s="30"/>
      <c r="BB4926" s="155"/>
      <c r="BC4926" s="314"/>
      <c r="BD4926" s="314"/>
      <c r="BE4926" s="314"/>
      <c r="BF4926" s="314"/>
      <c r="BG4926" s="314"/>
      <c r="BH4926" s="314"/>
      <c r="BI4926" s="314"/>
      <c r="BJ4926" s="314"/>
      <c r="BK4926" s="40"/>
      <c r="BL4926" s="40"/>
      <c r="BM4926" s="40"/>
      <c r="BN4926" s="40"/>
      <c r="BO4926" s="40"/>
      <c r="BP4926" s="155"/>
      <c r="BQ4926" s="314"/>
      <c r="BR4926" s="314"/>
      <c r="BS4926" s="314"/>
      <c r="BT4926" s="314"/>
      <c r="BU4926" s="314"/>
      <c r="BV4926" s="314"/>
      <c r="BW4926" s="314"/>
      <c r="BX4926" s="155"/>
    </row>
    <row r="4927" spans="1:76" ht="15.75" customHeight="1">
      <c r="A4927" s="25"/>
      <c r="B4927" s="39"/>
      <c r="C4927" s="155"/>
      <c r="D4927" s="155"/>
      <c r="E4927" s="40"/>
      <c r="F4927" s="314"/>
      <c r="H4927" s="315"/>
      <c r="I4927" s="315"/>
      <c r="BA4927" s="30"/>
      <c r="BB4927" s="155"/>
      <c r="BC4927" s="314"/>
      <c r="BD4927" s="314"/>
      <c r="BE4927" s="314"/>
      <c r="BF4927" s="314"/>
      <c r="BG4927" s="314"/>
      <c r="BH4927" s="314"/>
      <c r="BI4927" s="314"/>
      <c r="BJ4927" s="314"/>
      <c r="BK4927" s="40"/>
      <c r="BL4927" s="40"/>
      <c r="BM4927" s="40"/>
      <c r="BN4927" s="40"/>
      <c r="BO4927" s="40"/>
      <c r="BP4927" s="155"/>
      <c r="BQ4927" s="314"/>
      <c r="BR4927" s="314"/>
      <c r="BS4927" s="314"/>
      <c r="BT4927" s="314"/>
      <c r="BU4927" s="314"/>
      <c r="BV4927" s="314"/>
      <c r="BW4927" s="314"/>
      <c r="BX4927" s="155"/>
    </row>
    <row r="4928" spans="1:76" ht="15.75" customHeight="1">
      <c r="A4928" s="25"/>
      <c r="B4928" s="39"/>
      <c r="C4928" s="155"/>
      <c r="D4928" s="155"/>
      <c r="E4928" s="40"/>
      <c r="F4928" s="314"/>
      <c r="H4928" s="315"/>
      <c r="I4928" s="315"/>
      <c r="BA4928" s="30"/>
      <c r="BB4928" s="155"/>
      <c r="BC4928" s="314"/>
      <c r="BD4928" s="314"/>
      <c r="BE4928" s="314"/>
      <c r="BF4928" s="314"/>
      <c r="BG4928" s="314"/>
      <c r="BH4928" s="314"/>
      <c r="BI4928" s="314"/>
      <c r="BJ4928" s="314"/>
      <c r="BK4928" s="40"/>
      <c r="BL4928" s="40"/>
      <c r="BM4928" s="40"/>
      <c r="BN4928" s="40"/>
      <c r="BO4928" s="40"/>
      <c r="BP4928" s="155"/>
      <c r="BQ4928" s="314"/>
      <c r="BR4928" s="314"/>
      <c r="BS4928" s="314"/>
      <c r="BT4928" s="314"/>
      <c r="BU4928" s="314"/>
      <c r="BV4928" s="314"/>
      <c r="BW4928" s="314"/>
      <c r="BX4928" s="155"/>
    </row>
    <row r="4929" spans="1:76" ht="15.75" customHeight="1">
      <c r="A4929" s="25"/>
      <c r="B4929" s="39"/>
      <c r="C4929" s="155"/>
      <c r="D4929" s="155"/>
      <c r="E4929" s="40"/>
      <c r="F4929" s="314"/>
      <c r="H4929" s="315"/>
      <c r="I4929" s="315"/>
      <c r="BA4929" s="30"/>
      <c r="BB4929" s="155"/>
      <c r="BC4929" s="314"/>
      <c r="BD4929" s="314"/>
      <c r="BE4929" s="314"/>
      <c r="BF4929" s="314"/>
      <c r="BG4929" s="314"/>
      <c r="BH4929" s="314"/>
      <c r="BI4929" s="314"/>
      <c r="BJ4929" s="314"/>
      <c r="BK4929" s="40"/>
      <c r="BL4929" s="40"/>
      <c r="BM4929" s="40"/>
      <c r="BN4929" s="40"/>
      <c r="BO4929" s="40"/>
      <c r="BP4929" s="155"/>
      <c r="BQ4929" s="314"/>
      <c r="BR4929" s="314"/>
      <c r="BS4929" s="314"/>
      <c r="BT4929" s="314"/>
      <c r="BU4929" s="314"/>
      <c r="BV4929" s="314"/>
      <c r="BW4929" s="314"/>
      <c r="BX4929" s="155"/>
    </row>
    <row r="4930" spans="1:76" ht="15.75" customHeight="1">
      <c r="A4930" s="25"/>
      <c r="B4930" s="39"/>
      <c r="C4930" s="155"/>
      <c r="D4930" s="155"/>
      <c r="E4930" s="40"/>
      <c r="F4930" s="314"/>
      <c r="H4930" s="315"/>
      <c r="I4930" s="315"/>
      <c r="BA4930" s="30"/>
      <c r="BB4930" s="155"/>
      <c r="BC4930" s="322"/>
      <c r="BD4930" s="322"/>
      <c r="BE4930" s="322"/>
      <c r="BF4930" s="322"/>
      <c r="BG4930" s="322"/>
      <c r="BH4930" s="322"/>
      <c r="BI4930" s="322"/>
      <c r="BJ4930" s="322"/>
      <c r="BK4930" s="341"/>
      <c r="BL4930" s="40"/>
      <c r="BM4930" s="40"/>
      <c r="BN4930" s="40"/>
      <c r="BO4930" s="40"/>
      <c r="BP4930" s="155"/>
      <c r="BQ4930" s="314"/>
      <c r="BR4930" s="314"/>
      <c r="BS4930" s="314"/>
      <c r="BT4930" s="314"/>
      <c r="BU4930" s="314"/>
      <c r="BV4930" s="314"/>
      <c r="BW4930" s="314"/>
      <c r="BX4930" s="155"/>
    </row>
    <row r="4931" spans="1:76" ht="15.75" customHeight="1">
      <c r="A4931" s="25"/>
      <c r="B4931" s="39"/>
      <c r="C4931" s="155"/>
      <c r="D4931" s="155"/>
      <c r="E4931" s="40"/>
      <c r="F4931" s="314"/>
      <c r="H4931" s="315"/>
      <c r="I4931" s="315"/>
      <c r="BA4931" s="30"/>
      <c r="BB4931" s="155"/>
      <c r="BC4931" s="314"/>
      <c r="BD4931" s="314"/>
      <c r="BE4931" s="314"/>
      <c r="BF4931" s="314"/>
      <c r="BG4931" s="314"/>
      <c r="BH4931" s="314"/>
      <c r="BI4931" s="314"/>
      <c r="BJ4931" s="314"/>
      <c r="BK4931" s="40"/>
      <c r="BL4931" s="40"/>
      <c r="BM4931" s="40"/>
      <c r="BN4931" s="40"/>
      <c r="BO4931" s="40"/>
      <c r="BP4931" s="155"/>
      <c r="BQ4931" s="314"/>
      <c r="BR4931" s="314"/>
      <c r="BS4931" s="314"/>
      <c r="BT4931" s="314"/>
      <c r="BU4931" s="314"/>
      <c r="BV4931" s="314"/>
      <c r="BW4931" s="314"/>
      <c r="BX4931" s="155"/>
    </row>
    <row r="4932" spans="1:76" ht="15.75" customHeight="1">
      <c r="A4932" s="25"/>
      <c r="B4932" s="39"/>
      <c r="C4932" s="155"/>
      <c r="D4932" s="155"/>
      <c r="E4932" s="40"/>
      <c r="F4932" s="314"/>
      <c r="H4932" s="315"/>
      <c r="I4932" s="315"/>
      <c r="BA4932" s="30"/>
      <c r="BB4932" s="155"/>
      <c r="BC4932" s="314"/>
      <c r="BD4932" s="314"/>
      <c r="BE4932" s="314"/>
      <c r="BF4932" s="314"/>
      <c r="BG4932" s="314"/>
      <c r="BH4932" s="314"/>
      <c r="BI4932" s="314"/>
      <c r="BJ4932" s="314"/>
      <c r="BK4932" s="40"/>
      <c r="BL4932" s="40"/>
      <c r="BM4932" s="40"/>
      <c r="BN4932" s="40"/>
      <c r="BO4932" s="40"/>
      <c r="BP4932" s="155"/>
      <c r="BQ4932" s="314"/>
      <c r="BR4932" s="314"/>
      <c r="BS4932" s="314"/>
      <c r="BT4932" s="314"/>
      <c r="BU4932" s="314"/>
      <c r="BV4932" s="314"/>
      <c r="BW4932" s="314"/>
      <c r="BX4932" s="155"/>
    </row>
    <row r="4933" spans="1:76" ht="15.75" customHeight="1">
      <c r="A4933" s="25"/>
      <c r="B4933" s="39"/>
      <c r="C4933" s="155"/>
      <c r="D4933" s="155"/>
      <c r="E4933" s="40"/>
      <c r="F4933" s="314"/>
      <c r="H4933" s="315"/>
      <c r="I4933" s="315"/>
      <c r="BA4933" s="30"/>
      <c r="BB4933" s="155"/>
      <c r="BC4933" s="314"/>
      <c r="BD4933" s="314"/>
      <c r="BE4933" s="314"/>
      <c r="BF4933" s="314"/>
      <c r="BG4933" s="314"/>
      <c r="BH4933" s="314"/>
      <c r="BI4933" s="314"/>
      <c r="BJ4933" s="314"/>
      <c r="BK4933" s="40"/>
      <c r="BL4933" s="40"/>
      <c r="BM4933" s="40"/>
      <c r="BN4933" s="40"/>
      <c r="BO4933" s="40"/>
      <c r="BP4933" s="155"/>
      <c r="BQ4933" s="314"/>
      <c r="BR4933" s="314"/>
      <c r="BS4933" s="314"/>
      <c r="BT4933" s="314"/>
      <c r="BU4933" s="314"/>
      <c r="BV4933" s="314"/>
      <c r="BW4933" s="314"/>
      <c r="BX4933" s="155"/>
    </row>
    <row r="4934" spans="1:76" ht="15.75" customHeight="1">
      <c r="A4934" s="25"/>
      <c r="B4934" s="39"/>
      <c r="C4934" s="155"/>
      <c r="D4934" s="155"/>
      <c r="E4934" s="40"/>
      <c r="F4934" s="314"/>
      <c r="H4934" s="315"/>
      <c r="I4934" s="315"/>
      <c r="BA4934" s="30"/>
      <c r="BB4934" s="155"/>
      <c r="BC4934" s="314"/>
      <c r="BD4934" s="314"/>
      <c r="BE4934" s="314"/>
      <c r="BF4934" s="314"/>
      <c r="BG4934" s="314"/>
      <c r="BH4934" s="314"/>
      <c r="BI4934" s="314"/>
      <c r="BJ4934" s="314"/>
      <c r="BK4934" s="40"/>
      <c r="BL4934" s="40"/>
      <c r="BM4934" s="40"/>
      <c r="BN4934" s="40"/>
      <c r="BO4934" s="40"/>
      <c r="BP4934" s="155"/>
      <c r="BQ4934" s="314"/>
      <c r="BR4934" s="314"/>
      <c r="BS4934" s="314"/>
      <c r="BT4934" s="314"/>
      <c r="BU4934" s="314"/>
      <c r="BV4934" s="314"/>
      <c r="BW4934" s="314"/>
      <c r="BX4934" s="155"/>
    </row>
    <row r="4935" spans="1:76" ht="15.75" customHeight="1">
      <c r="A4935" s="25"/>
      <c r="B4935" s="39"/>
      <c r="C4935" s="155"/>
      <c r="D4935" s="155"/>
      <c r="E4935" s="40"/>
      <c r="F4935" s="314"/>
      <c r="H4935" s="315"/>
      <c r="I4935" s="315"/>
      <c r="BA4935" s="30"/>
      <c r="BB4935" s="155"/>
      <c r="BC4935" s="314"/>
      <c r="BD4935" s="314"/>
      <c r="BE4935" s="314"/>
      <c r="BF4935" s="314"/>
      <c r="BG4935" s="314"/>
      <c r="BH4935" s="314"/>
      <c r="BI4935" s="314"/>
      <c r="BJ4935" s="314"/>
      <c r="BK4935" s="40"/>
      <c r="BL4935" s="40"/>
      <c r="BM4935" s="40"/>
      <c r="BN4935" s="40"/>
      <c r="BO4935" s="40"/>
      <c r="BP4935" s="155"/>
      <c r="BQ4935" s="314"/>
      <c r="BR4935" s="314"/>
      <c r="BS4935" s="314"/>
      <c r="BT4935" s="314"/>
      <c r="BU4935" s="314"/>
      <c r="BV4935" s="314"/>
      <c r="BW4935" s="314"/>
      <c r="BX4935" s="155"/>
    </row>
    <row r="4936" spans="1:76" ht="15.75" customHeight="1">
      <c r="A4936" s="25"/>
      <c r="B4936" s="39"/>
      <c r="C4936" s="155"/>
      <c r="D4936" s="155"/>
      <c r="E4936" s="40"/>
      <c r="F4936" s="314"/>
      <c r="H4936" s="315"/>
      <c r="I4936" s="315"/>
      <c r="BA4936" s="30"/>
      <c r="BB4936" s="155"/>
      <c r="BC4936" s="314"/>
      <c r="BD4936" s="314"/>
      <c r="BE4936" s="314"/>
      <c r="BF4936" s="314"/>
      <c r="BG4936" s="314"/>
      <c r="BH4936" s="314"/>
      <c r="BI4936" s="314"/>
      <c r="BJ4936" s="314"/>
      <c r="BK4936" s="40"/>
      <c r="BL4936" s="40"/>
      <c r="BM4936" s="40"/>
      <c r="BN4936" s="40"/>
      <c r="BO4936" s="40"/>
      <c r="BP4936" s="155"/>
      <c r="BQ4936" s="314"/>
      <c r="BR4936" s="314"/>
      <c r="BS4936" s="314"/>
      <c r="BT4936" s="314"/>
      <c r="BU4936" s="314"/>
      <c r="BV4936" s="314"/>
      <c r="BW4936" s="314"/>
      <c r="BX4936" s="155"/>
    </row>
    <row r="4937" spans="1:76" ht="15.75" customHeight="1">
      <c r="A4937" s="25"/>
      <c r="B4937" s="39"/>
      <c r="C4937" s="155"/>
      <c r="D4937" s="155"/>
      <c r="E4937" s="40"/>
      <c r="F4937" s="314"/>
      <c r="H4937" s="315"/>
      <c r="I4937" s="315"/>
      <c r="BA4937" s="30"/>
      <c r="BB4937" s="155"/>
      <c r="BC4937" s="314"/>
      <c r="BD4937" s="314"/>
      <c r="BE4937" s="314"/>
      <c r="BF4937" s="314"/>
      <c r="BG4937" s="314"/>
      <c r="BH4937" s="314"/>
      <c r="BI4937" s="314"/>
      <c r="BJ4937" s="314"/>
      <c r="BK4937" s="40"/>
      <c r="BL4937" s="40"/>
      <c r="BM4937" s="40"/>
      <c r="BN4937" s="40"/>
      <c r="BO4937" s="40"/>
      <c r="BP4937" s="155"/>
      <c r="BQ4937" s="314"/>
      <c r="BR4937" s="314"/>
      <c r="BS4937" s="314"/>
      <c r="BT4937" s="314"/>
      <c r="BU4937" s="314"/>
      <c r="BV4937" s="314"/>
      <c r="BW4937" s="314"/>
      <c r="BX4937" s="155"/>
    </row>
    <row r="4938" spans="1:76" ht="15.75" customHeight="1">
      <c r="A4938" s="25"/>
      <c r="B4938" s="39"/>
      <c r="C4938" s="155"/>
      <c r="D4938" s="155"/>
      <c r="E4938" s="40"/>
      <c r="F4938" s="314"/>
      <c r="H4938" s="315"/>
      <c r="I4938" s="315"/>
      <c r="BA4938" s="30"/>
      <c r="BB4938" s="155"/>
      <c r="BC4938" s="314"/>
      <c r="BD4938" s="314"/>
      <c r="BE4938" s="314"/>
      <c r="BF4938" s="314"/>
      <c r="BG4938" s="314"/>
      <c r="BH4938" s="314"/>
      <c r="BI4938" s="314"/>
      <c r="BJ4938" s="314"/>
      <c r="BK4938" s="40"/>
      <c r="BL4938" s="40"/>
      <c r="BM4938" s="40"/>
      <c r="BN4938" s="40"/>
      <c r="BO4938" s="40"/>
      <c r="BP4938" s="155"/>
      <c r="BQ4938" s="314"/>
      <c r="BR4938" s="314"/>
      <c r="BS4938" s="314"/>
      <c r="BT4938" s="314"/>
      <c r="BU4938" s="314"/>
      <c r="BV4938" s="314"/>
      <c r="BW4938" s="314"/>
      <c r="BX4938" s="155"/>
    </row>
    <row r="4939" spans="1:76" ht="15.75" customHeight="1">
      <c r="A4939" s="25"/>
      <c r="B4939" s="39"/>
      <c r="C4939" s="155"/>
      <c r="D4939" s="155"/>
      <c r="E4939" s="40"/>
      <c r="F4939" s="314"/>
      <c r="H4939" s="315"/>
      <c r="I4939" s="315"/>
      <c r="BA4939" s="30"/>
      <c r="BB4939" s="155"/>
      <c r="BC4939" s="314"/>
      <c r="BD4939" s="314"/>
      <c r="BE4939" s="314"/>
      <c r="BF4939" s="314"/>
      <c r="BG4939" s="314"/>
      <c r="BH4939" s="314"/>
      <c r="BI4939" s="314"/>
      <c r="BJ4939" s="314"/>
      <c r="BK4939" s="40"/>
      <c r="BL4939" s="40"/>
      <c r="BM4939" s="40"/>
      <c r="BN4939" s="40"/>
      <c r="BO4939" s="40"/>
      <c r="BP4939" s="155"/>
      <c r="BQ4939" s="314"/>
      <c r="BR4939" s="314"/>
      <c r="BS4939" s="314"/>
      <c r="BT4939" s="314"/>
      <c r="BU4939" s="314"/>
      <c r="BV4939" s="314"/>
      <c r="BW4939" s="314"/>
      <c r="BX4939" s="155"/>
    </row>
    <row r="4940" spans="1:76" ht="15.75" customHeight="1">
      <c r="A4940" s="25"/>
      <c r="B4940" s="39"/>
      <c r="C4940" s="155"/>
      <c r="D4940" s="155"/>
      <c r="E4940" s="40"/>
      <c r="F4940" s="314"/>
      <c r="H4940" s="315"/>
      <c r="I4940" s="315"/>
      <c r="BA4940" s="30"/>
      <c r="BB4940" s="155"/>
      <c r="BC4940" s="314"/>
      <c r="BD4940" s="314"/>
      <c r="BE4940" s="314"/>
      <c r="BF4940" s="314"/>
      <c r="BG4940" s="314"/>
      <c r="BH4940" s="314"/>
      <c r="BI4940" s="314"/>
      <c r="BJ4940" s="314"/>
      <c r="BK4940" s="40"/>
      <c r="BL4940" s="40"/>
      <c r="BM4940" s="40"/>
      <c r="BN4940" s="40"/>
      <c r="BO4940" s="40"/>
      <c r="BP4940" s="155"/>
      <c r="BQ4940" s="314"/>
      <c r="BR4940" s="314"/>
      <c r="BS4940" s="314"/>
      <c r="BT4940" s="314"/>
      <c r="BU4940" s="314"/>
      <c r="BV4940" s="314"/>
      <c r="BW4940" s="314"/>
      <c r="BX4940" s="155"/>
    </row>
    <row r="4941" spans="1:76" ht="15.75" customHeight="1">
      <c r="A4941" s="25"/>
      <c r="B4941" s="39"/>
      <c r="C4941" s="155"/>
      <c r="D4941" s="155"/>
      <c r="E4941" s="40"/>
      <c r="F4941" s="314"/>
      <c r="H4941" s="315"/>
      <c r="I4941" s="315"/>
      <c r="BA4941" s="30"/>
      <c r="BB4941" s="155"/>
      <c r="BC4941" s="314"/>
      <c r="BD4941" s="314"/>
      <c r="BE4941" s="314"/>
      <c r="BF4941" s="314"/>
      <c r="BG4941" s="314"/>
      <c r="BH4941" s="314"/>
      <c r="BI4941" s="314"/>
      <c r="BJ4941" s="314"/>
      <c r="BK4941" s="40"/>
      <c r="BL4941" s="40"/>
      <c r="BM4941" s="40"/>
      <c r="BN4941" s="40"/>
      <c r="BO4941" s="40"/>
      <c r="BP4941" s="155"/>
      <c r="BQ4941" s="314"/>
      <c r="BR4941" s="314"/>
      <c r="BS4941" s="314"/>
      <c r="BT4941" s="314"/>
      <c r="BU4941" s="314"/>
      <c r="BV4941" s="314"/>
      <c r="BW4941" s="314"/>
      <c r="BX4941" s="155"/>
    </row>
    <row r="4942" spans="1:76" ht="15.75" customHeight="1">
      <c r="A4942" s="25"/>
      <c r="B4942" s="39"/>
      <c r="C4942" s="155"/>
      <c r="D4942" s="155"/>
      <c r="E4942" s="40"/>
      <c r="F4942" s="314"/>
      <c r="H4942" s="315"/>
      <c r="I4942" s="315"/>
      <c r="BA4942" s="30"/>
      <c r="BB4942" s="155"/>
      <c r="BC4942" s="314"/>
      <c r="BD4942" s="314"/>
      <c r="BE4942" s="314"/>
      <c r="BF4942" s="314"/>
      <c r="BG4942" s="314"/>
      <c r="BH4942" s="314"/>
      <c r="BI4942" s="314"/>
      <c r="BJ4942" s="314"/>
      <c r="BK4942" s="40"/>
      <c r="BL4942" s="40"/>
      <c r="BM4942" s="40"/>
      <c r="BN4942" s="40"/>
      <c r="BO4942" s="40"/>
      <c r="BP4942" s="155"/>
      <c r="BQ4942" s="314"/>
      <c r="BR4942" s="314"/>
      <c r="BS4942" s="314"/>
      <c r="BT4942" s="314"/>
      <c r="BU4942" s="314"/>
      <c r="BV4942" s="314"/>
      <c r="BW4942" s="314"/>
      <c r="BX4942" s="155"/>
    </row>
    <row r="4943" spans="1:76" ht="15.75" customHeight="1">
      <c r="A4943" s="25"/>
      <c r="B4943" s="39"/>
      <c r="C4943" s="155"/>
      <c r="D4943" s="155"/>
      <c r="E4943" s="40"/>
      <c r="F4943" s="314"/>
      <c r="H4943" s="315"/>
      <c r="I4943" s="315"/>
      <c r="BA4943" s="30"/>
      <c r="BB4943" s="155"/>
      <c r="BC4943" s="314"/>
      <c r="BD4943" s="314"/>
      <c r="BE4943" s="314"/>
      <c r="BF4943" s="314"/>
      <c r="BG4943" s="314"/>
      <c r="BH4943" s="314"/>
      <c r="BI4943" s="314"/>
      <c r="BJ4943" s="314"/>
      <c r="BK4943" s="40"/>
      <c r="BL4943" s="40"/>
      <c r="BM4943" s="40"/>
      <c r="BN4943" s="40"/>
      <c r="BO4943" s="40"/>
      <c r="BP4943" s="155"/>
      <c r="BQ4943" s="314"/>
      <c r="BR4943" s="314"/>
      <c r="BS4943" s="314"/>
      <c r="BT4943" s="314"/>
      <c r="BU4943" s="314"/>
      <c r="BV4943" s="314"/>
      <c r="BW4943" s="314"/>
      <c r="BX4943" s="155"/>
    </row>
    <row r="4944" spans="1:76" ht="15.75" customHeight="1">
      <c r="A4944" s="25"/>
      <c r="B4944" s="39"/>
      <c r="C4944" s="155"/>
      <c r="D4944" s="155"/>
      <c r="E4944" s="40"/>
      <c r="F4944" s="314"/>
      <c r="H4944" s="315"/>
      <c r="I4944" s="315"/>
      <c r="BA4944" s="30"/>
      <c r="BB4944" s="155"/>
      <c r="BC4944" s="314"/>
      <c r="BD4944" s="314"/>
      <c r="BE4944" s="314"/>
      <c r="BF4944" s="314"/>
      <c r="BG4944" s="314"/>
      <c r="BH4944" s="314"/>
      <c r="BI4944" s="314"/>
      <c r="BJ4944" s="314"/>
      <c r="BK4944" s="40"/>
      <c r="BL4944" s="40"/>
      <c r="BM4944" s="40"/>
      <c r="BN4944" s="40"/>
      <c r="BO4944" s="40"/>
      <c r="BP4944" s="155"/>
      <c r="BQ4944" s="314"/>
      <c r="BR4944" s="314"/>
      <c r="BS4944" s="314"/>
      <c r="BT4944" s="314"/>
      <c r="BU4944" s="314"/>
      <c r="BV4944" s="314"/>
      <c r="BW4944" s="314"/>
      <c r="BX4944" s="155"/>
    </row>
    <row r="4945" spans="1:76" ht="15.75" customHeight="1">
      <c r="A4945" s="25"/>
      <c r="B4945" s="39"/>
      <c r="C4945" s="155"/>
      <c r="D4945" s="155"/>
      <c r="E4945" s="40"/>
      <c r="F4945" s="314"/>
      <c r="H4945" s="315"/>
      <c r="I4945" s="315"/>
      <c r="BA4945" s="30"/>
      <c r="BB4945" s="155"/>
      <c r="BC4945" s="314"/>
      <c r="BD4945" s="314"/>
      <c r="BE4945" s="314"/>
      <c r="BF4945" s="314"/>
      <c r="BG4945" s="314"/>
      <c r="BH4945" s="314"/>
      <c r="BI4945" s="314"/>
      <c r="BJ4945" s="314"/>
      <c r="BK4945" s="40"/>
      <c r="BL4945" s="40"/>
      <c r="BM4945" s="40"/>
      <c r="BN4945" s="40"/>
      <c r="BO4945" s="40"/>
      <c r="BP4945" s="155"/>
      <c r="BQ4945" s="314"/>
      <c r="BR4945" s="314"/>
      <c r="BS4945" s="314"/>
      <c r="BT4945" s="314"/>
      <c r="BU4945" s="314"/>
      <c r="BV4945" s="314"/>
      <c r="BW4945" s="314"/>
      <c r="BX4945" s="155"/>
    </row>
    <row r="4946" spans="1:76" ht="15.75" customHeight="1">
      <c r="A4946" s="25"/>
      <c r="B4946" s="39"/>
      <c r="C4946" s="155"/>
      <c r="D4946" s="155"/>
      <c r="E4946" s="40"/>
      <c r="F4946" s="314"/>
      <c r="H4946" s="315"/>
      <c r="I4946" s="315"/>
      <c r="BA4946" s="30"/>
      <c r="BB4946" s="155"/>
      <c r="BC4946" s="314"/>
      <c r="BD4946" s="314"/>
      <c r="BE4946" s="314"/>
      <c r="BF4946" s="314"/>
      <c r="BG4946" s="314"/>
      <c r="BH4946" s="314"/>
      <c r="BI4946" s="314"/>
      <c r="BJ4946" s="314"/>
      <c r="BK4946" s="40"/>
      <c r="BL4946" s="40"/>
      <c r="BM4946" s="40"/>
      <c r="BN4946" s="40"/>
      <c r="BO4946" s="40"/>
      <c r="BP4946" s="155"/>
      <c r="BQ4946" s="314"/>
      <c r="BR4946" s="314"/>
      <c r="BS4946" s="314"/>
      <c r="BT4946" s="314"/>
      <c r="BU4946" s="314"/>
      <c r="BV4946" s="314"/>
      <c r="BW4946" s="314"/>
      <c r="BX4946" s="155"/>
    </row>
    <row r="4947" spans="1:76" ht="15.75" customHeight="1">
      <c r="A4947" s="25"/>
      <c r="B4947" s="39"/>
      <c r="C4947" s="155"/>
      <c r="D4947" s="155"/>
      <c r="E4947" s="40"/>
      <c r="F4947" s="314"/>
      <c r="H4947" s="315"/>
      <c r="I4947" s="315"/>
      <c r="BA4947" s="30"/>
      <c r="BB4947" s="155"/>
      <c r="BC4947" s="314"/>
      <c r="BD4947" s="314"/>
      <c r="BE4947" s="314"/>
      <c r="BF4947" s="314"/>
      <c r="BG4947" s="314"/>
      <c r="BH4947" s="314"/>
      <c r="BI4947" s="314"/>
      <c r="BJ4947" s="314"/>
      <c r="BK4947" s="40"/>
      <c r="BL4947" s="40"/>
      <c r="BM4947" s="40"/>
      <c r="BN4947" s="40"/>
      <c r="BO4947" s="40"/>
      <c r="BP4947" s="155"/>
      <c r="BQ4947" s="314"/>
      <c r="BR4947" s="314"/>
      <c r="BS4947" s="314"/>
      <c r="BT4947" s="314"/>
      <c r="BU4947" s="314"/>
      <c r="BV4947" s="314"/>
      <c r="BW4947" s="314"/>
      <c r="BX4947" s="155"/>
    </row>
    <row r="4948" spans="1:76" ht="15.75" customHeight="1">
      <c r="A4948" s="25"/>
      <c r="B4948" s="39"/>
      <c r="C4948" s="155"/>
      <c r="D4948" s="155"/>
      <c r="E4948" s="40"/>
      <c r="F4948" s="314"/>
      <c r="H4948" s="315"/>
      <c r="I4948" s="315"/>
      <c r="BA4948" s="30"/>
      <c r="BB4948" s="155"/>
      <c r="BC4948" s="314"/>
      <c r="BD4948" s="314"/>
      <c r="BE4948" s="314"/>
      <c r="BF4948" s="314"/>
      <c r="BG4948" s="314"/>
      <c r="BH4948" s="314"/>
      <c r="BI4948" s="314"/>
      <c r="BJ4948" s="314"/>
      <c r="BK4948" s="40"/>
      <c r="BL4948" s="40"/>
      <c r="BM4948" s="40"/>
      <c r="BN4948" s="40"/>
      <c r="BO4948" s="40"/>
      <c r="BP4948" s="155"/>
      <c r="BQ4948" s="314"/>
      <c r="BR4948" s="314"/>
      <c r="BS4948" s="314"/>
      <c r="BT4948" s="314"/>
      <c r="BU4948" s="314"/>
      <c r="BV4948" s="314"/>
      <c r="BW4948" s="314"/>
      <c r="BX4948" s="155"/>
    </row>
    <row r="4949" spans="1:76" ht="15.75" customHeight="1">
      <c r="A4949" s="25"/>
      <c r="B4949" s="39"/>
      <c r="C4949" s="155"/>
      <c r="D4949" s="155"/>
      <c r="E4949" s="40"/>
      <c r="F4949" s="314"/>
      <c r="H4949" s="315"/>
      <c r="I4949" s="315"/>
      <c r="BA4949" s="30"/>
      <c r="BB4949" s="155"/>
      <c r="BC4949" s="314"/>
      <c r="BD4949" s="314"/>
      <c r="BE4949" s="314"/>
      <c r="BF4949" s="314"/>
      <c r="BG4949" s="314"/>
      <c r="BH4949" s="314"/>
      <c r="BI4949" s="314"/>
      <c r="BJ4949" s="314"/>
      <c r="BK4949" s="40"/>
      <c r="BL4949" s="40"/>
      <c r="BM4949" s="40"/>
      <c r="BN4949" s="40"/>
      <c r="BO4949" s="40"/>
      <c r="BP4949" s="155"/>
      <c r="BQ4949" s="314"/>
      <c r="BR4949" s="314"/>
      <c r="BS4949" s="314"/>
      <c r="BT4949" s="314"/>
      <c r="BU4949" s="314"/>
      <c r="BV4949" s="314"/>
      <c r="BW4949" s="314"/>
      <c r="BX4949" s="155"/>
    </row>
    <row r="4950" spans="1:76" ht="15.75" customHeight="1">
      <c r="A4950" s="25"/>
      <c r="B4950" s="39"/>
      <c r="C4950" s="155"/>
      <c r="D4950" s="155"/>
      <c r="E4950" s="40"/>
      <c r="F4950" s="314"/>
      <c r="H4950" s="315"/>
      <c r="I4950" s="315"/>
      <c r="BA4950" s="30"/>
      <c r="BB4950" s="155"/>
      <c r="BC4950" s="314"/>
      <c r="BD4950" s="314"/>
      <c r="BE4950" s="314"/>
      <c r="BF4950" s="314"/>
      <c r="BG4950" s="314"/>
      <c r="BH4950" s="314"/>
      <c r="BI4950" s="314"/>
      <c r="BJ4950" s="314"/>
      <c r="BK4950" s="40"/>
      <c r="BL4950" s="40"/>
      <c r="BM4950" s="40"/>
      <c r="BN4950" s="40"/>
      <c r="BO4950" s="40"/>
      <c r="BP4950" s="155"/>
      <c r="BQ4950" s="314"/>
      <c r="BR4950" s="314"/>
      <c r="BS4950" s="314"/>
      <c r="BT4950" s="314"/>
      <c r="BU4950" s="314"/>
      <c r="BV4950" s="314"/>
      <c r="BW4950" s="314"/>
      <c r="BX4950" s="155"/>
    </row>
    <row r="4951" spans="1:76" ht="15.75" customHeight="1">
      <c r="A4951" s="25"/>
      <c r="B4951" s="39"/>
      <c r="C4951" s="155"/>
      <c r="D4951" s="155"/>
      <c r="E4951" s="40"/>
      <c r="F4951" s="314"/>
      <c r="H4951" s="315"/>
      <c r="I4951" s="315"/>
      <c r="BA4951" s="30"/>
      <c r="BB4951" s="155"/>
      <c r="BC4951" s="314"/>
      <c r="BD4951" s="314"/>
      <c r="BE4951" s="314"/>
      <c r="BF4951" s="314"/>
      <c r="BG4951" s="314"/>
      <c r="BH4951" s="314"/>
      <c r="BI4951" s="314"/>
      <c r="BJ4951" s="314"/>
      <c r="BK4951" s="40"/>
      <c r="BL4951" s="40"/>
      <c r="BM4951" s="40"/>
      <c r="BN4951" s="40"/>
      <c r="BO4951" s="40"/>
      <c r="BP4951" s="155"/>
      <c r="BQ4951" s="314"/>
      <c r="BR4951" s="314"/>
      <c r="BS4951" s="314"/>
      <c r="BT4951" s="314"/>
      <c r="BU4951" s="314"/>
      <c r="BV4951" s="314"/>
      <c r="BW4951" s="314"/>
      <c r="BX4951" s="155"/>
    </row>
    <row r="4952" spans="1:76" ht="15.75" customHeight="1">
      <c r="A4952" s="25"/>
      <c r="B4952" s="39"/>
      <c r="C4952" s="155"/>
      <c r="D4952" s="155"/>
      <c r="E4952" s="40"/>
      <c r="F4952" s="314"/>
      <c r="H4952" s="315"/>
      <c r="I4952" s="315"/>
      <c r="BA4952" s="30"/>
      <c r="BB4952" s="155"/>
      <c r="BC4952" s="314"/>
      <c r="BD4952" s="314"/>
      <c r="BE4952" s="314"/>
      <c r="BF4952" s="314"/>
      <c r="BG4952" s="314"/>
      <c r="BH4952" s="314"/>
      <c r="BI4952" s="314"/>
      <c r="BJ4952" s="314"/>
      <c r="BK4952" s="40"/>
      <c r="BL4952" s="40"/>
      <c r="BM4952" s="40"/>
      <c r="BN4952" s="40"/>
      <c r="BO4952" s="40"/>
      <c r="BP4952" s="155"/>
      <c r="BQ4952" s="314"/>
      <c r="BR4952" s="314"/>
      <c r="BS4952" s="314"/>
      <c r="BT4952" s="314"/>
      <c r="BU4952" s="314"/>
      <c r="BV4952" s="314"/>
      <c r="BW4952" s="314"/>
      <c r="BX4952" s="155"/>
    </row>
    <row r="4953" spans="1:76" ht="15.75" customHeight="1">
      <c r="A4953" s="25"/>
      <c r="B4953" s="39"/>
      <c r="C4953" s="155"/>
      <c r="D4953" s="155"/>
      <c r="E4953" s="40"/>
      <c r="F4953" s="314"/>
      <c r="H4953" s="315"/>
      <c r="I4953" s="315"/>
      <c r="BA4953" s="30"/>
      <c r="BB4953" s="155"/>
      <c r="BC4953" s="314"/>
      <c r="BD4953" s="314"/>
      <c r="BE4953" s="314"/>
      <c r="BF4953" s="314"/>
      <c r="BG4953" s="314"/>
      <c r="BH4953" s="314"/>
      <c r="BI4953" s="314"/>
      <c r="BJ4953" s="314"/>
      <c r="BK4953" s="40"/>
      <c r="BL4953" s="40"/>
      <c r="BM4953" s="40"/>
      <c r="BN4953" s="40"/>
      <c r="BO4953" s="40"/>
      <c r="BP4953" s="155"/>
      <c r="BQ4953" s="314"/>
      <c r="BR4953" s="314"/>
      <c r="BS4953" s="314"/>
      <c r="BT4953" s="314"/>
      <c r="BU4953" s="314"/>
      <c r="BV4953" s="314"/>
      <c r="BW4953" s="314"/>
      <c r="BX4953" s="155"/>
    </row>
    <row r="4954" spans="1:76" ht="15.75" customHeight="1">
      <c r="A4954" s="25"/>
      <c r="B4954" s="39"/>
      <c r="C4954" s="155"/>
      <c r="D4954" s="155"/>
      <c r="E4954" s="40"/>
      <c r="F4954" s="314"/>
      <c r="H4954" s="315"/>
      <c r="I4954" s="315"/>
      <c r="BA4954" s="30"/>
      <c r="BB4954" s="155"/>
      <c r="BC4954" s="314"/>
      <c r="BD4954" s="314"/>
      <c r="BE4954" s="314"/>
      <c r="BF4954" s="314"/>
      <c r="BG4954" s="314"/>
      <c r="BH4954" s="314"/>
      <c r="BI4954" s="314"/>
      <c r="BJ4954" s="314"/>
      <c r="BK4954" s="40"/>
      <c r="BL4954" s="40"/>
      <c r="BM4954" s="40"/>
      <c r="BN4954" s="40"/>
      <c r="BO4954" s="40"/>
      <c r="BP4954" s="155"/>
      <c r="BQ4954" s="314"/>
      <c r="BR4954" s="314"/>
      <c r="BS4954" s="314"/>
      <c r="BT4954" s="314"/>
      <c r="BU4954" s="314"/>
      <c r="BV4954" s="314"/>
      <c r="BW4954" s="314"/>
      <c r="BX4954" s="155"/>
    </row>
    <row r="4955" spans="1:76" ht="15.75" customHeight="1">
      <c r="A4955" s="25"/>
      <c r="B4955" s="39"/>
      <c r="C4955" s="155"/>
      <c r="D4955" s="155"/>
      <c r="E4955" s="40"/>
      <c r="F4955" s="314"/>
      <c r="H4955" s="315"/>
      <c r="I4955" s="315"/>
      <c r="BA4955" s="30"/>
      <c r="BB4955" s="155"/>
      <c r="BC4955" s="314"/>
      <c r="BD4955" s="314"/>
      <c r="BE4955" s="314"/>
      <c r="BF4955" s="314"/>
      <c r="BG4955" s="314"/>
      <c r="BH4955" s="314"/>
      <c r="BI4955" s="314"/>
      <c r="BJ4955" s="314"/>
      <c r="BK4955" s="40"/>
      <c r="BL4955" s="40"/>
      <c r="BM4955" s="40"/>
      <c r="BN4955" s="40"/>
      <c r="BO4955" s="40"/>
      <c r="BP4955" s="155"/>
      <c r="BQ4955" s="314"/>
      <c r="BR4955" s="314"/>
      <c r="BS4955" s="314"/>
      <c r="BT4955" s="314"/>
      <c r="BU4955" s="314"/>
      <c r="BV4955" s="314"/>
      <c r="BW4955" s="314"/>
      <c r="BX4955" s="155"/>
    </row>
    <row r="4956" spans="1:76" ht="15.75" customHeight="1">
      <c r="A4956" s="25"/>
      <c r="B4956" s="39"/>
      <c r="C4956" s="155"/>
      <c r="D4956" s="155"/>
      <c r="E4956" s="40"/>
      <c r="F4956" s="314"/>
      <c r="H4956" s="315"/>
      <c r="I4956" s="315"/>
      <c r="BA4956" s="30"/>
      <c r="BB4956" s="155"/>
      <c r="BC4956" s="314"/>
      <c r="BD4956" s="314"/>
      <c r="BE4956" s="314"/>
      <c r="BF4956" s="314"/>
      <c r="BG4956" s="314"/>
      <c r="BH4956" s="314"/>
      <c r="BI4956" s="314"/>
      <c r="BJ4956" s="314"/>
      <c r="BK4956" s="40"/>
      <c r="BL4956" s="40"/>
      <c r="BM4956" s="40"/>
      <c r="BN4956" s="40"/>
      <c r="BO4956" s="40"/>
      <c r="BP4956" s="155"/>
      <c r="BQ4956" s="314"/>
      <c r="BR4956" s="314"/>
      <c r="BS4956" s="314"/>
      <c r="BT4956" s="314"/>
      <c r="BU4956" s="314"/>
      <c r="BV4956" s="314"/>
      <c r="BW4956" s="314"/>
      <c r="BX4956" s="155"/>
    </row>
    <row r="4957" spans="1:76" ht="15.75" customHeight="1">
      <c r="A4957" s="25"/>
      <c r="B4957" s="39"/>
      <c r="C4957" s="155"/>
      <c r="D4957" s="155"/>
      <c r="E4957" s="40"/>
      <c r="F4957" s="314"/>
      <c r="H4957" s="315"/>
      <c r="I4957" s="315"/>
      <c r="BA4957" s="30"/>
      <c r="BB4957" s="155"/>
      <c r="BC4957" s="314"/>
      <c r="BD4957" s="314"/>
      <c r="BE4957" s="314"/>
      <c r="BF4957" s="314"/>
      <c r="BG4957" s="314"/>
      <c r="BH4957" s="314"/>
      <c r="BI4957" s="314"/>
      <c r="BJ4957" s="314"/>
      <c r="BK4957" s="40"/>
      <c r="BL4957" s="40"/>
      <c r="BM4957" s="40"/>
      <c r="BN4957" s="40"/>
      <c r="BO4957" s="40"/>
      <c r="BP4957" s="155"/>
      <c r="BQ4957" s="314"/>
      <c r="BR4957" s="314"/>
      <c r="BS4957" s="314"/>
      <c r="BT4957" s="314"/>
      <c r="BU4957" s="314"/>
      <c r="BV4957" s="314"/>
      <c r="BW4957" s="314"/>
      <c r="BX4957" s="155"/>
    </row>
    <row r="4958" spans="1:76" ht="15.75" customHeight="1">
      <c r="A4958" s="25"/>
      <c r="B4958" s="39"/>
      <c r="C4958" s="155"/>
      <c r="D4958" s="155"/>
      <c r="E4958" s="40"/>
      <c r="F4958" s="314"/>
      <c r="H4958" s="315"/>
      <c r="I4958" s="315"/>
      <c r="BA4958" s="30"/>
      <c r="BB4958" s="155"/>
      <c r="BC4958" s="314"/>
      <c r="BD4958" s="314"/>
      <c r="BE4958" s="314"/>
      <c r="BF4958" s="314"/>
      <c r="BG4958" s="314"/>
      <c r="BH4958" s="314"/>
      <c r="BI4958" s="314"/>
      <c r="BJ4958" s="314"/>
      <c r="BK4958" s="40"/>
      <c r="BL4958" s="40"/>
      <c r="BM4958" s="40"/>
      <c r="BN4958" s="40"/>
      <c r="BO4958" s="40"/>
      <c r="BP4958" s="155"/>
      <c r="BQ4958" s="314"/>
      <c r="BR4958" s="314"/>
      <c r="BS4958" s="314"/>
      <c r="BT4958" s="314"/>
      <c r="BU4958" s="314"/>
      <c r="BV4958" s="314"/>
      <c r="BW4958" s="314"/>
      <c r="BX4958" s="155"/>
    </row>
    <row r="4959" spans="1:76" ht="15.75" customHeight="1">
      <c r="A4959" s="25"/>
      <c r="B4959" s="39"/>
      <c r="C4959" s="155"/>
      <c r="D4959" s="155"/>
      <c r="E4959" s="40"/>
      <c r="F4959" s="314"/>
      <c r="H4959" s="315"/>
      <c r="I4959" s="315"/>
      <c r="BA4959" s="30"/>
      <c r="BB4959" s="155"/>
      <c r="BC4959" s="314"/>
      <c r="BD4959" s="314"/>
      <c r="BE4959" s="314"/>
      <c r="BF4959" s="314"/>
      <c r="BG4959" s="314"/>
      <c r="BH4959" s="314"/>
      <c r="BI4959" s="314"/>
      <c r="BJ4959" s="314"/>
      <c r="BK4959" s="40"/>
      <c r="BL4959" s="40"/>
      <c r="BM4959" s="40"/>
      <c r="BN4959" s="40"/>
      <c r="BO4959" s="40"/>
      <c r="BP4959" s="155"/>
      <c r="BQ4959" s="314"/>
      <c r="BR4959" s="314"/>
      <c r="BS4959" s="314"/>
      <c r="BT4959" s="314"/>
      <c r="BU4959" s="314"/>
      <c r="BV4959" s="314"/>
      <c r="BW4959" s="314"/>
      <c r="BX4959" s="155"/>
    </row>
    <row r="4960" spans="1:76" ht="15.75" customHeight="1">
      <c r="A4960" s="25"/>
      <c r="B4960" s="39"/>
      <c r="C4960" s="155"/>
      <c r="D4960" s="155"/>
      <c r="E4960" s="40"/>
      <c r="F4960" s="314"/>
      <c r="H4960" s="315"/>
      <c r="I4960" s="315"/>
      <c r="BA4960" s="30"/>
      <c r="BB4960" s="155"/>
      <c r="BC4960" s="314"/>
      <c r="BD4960" s="314"/>
      <c r="BE4960" s="314"/>
      <c r="BF4960" s="314"/>
      <c r="BG4960" s="314"/>
      <c r="BH4960" s="314"/>
      <c r="BI4960" s="314"/>
      <c r="BJ4960" s="314"/>
      <c r="BK4960" s="40"/>
      <c r="BL4960" s="40"/>
      <c r="BM4960" s="40"/>
      <c r="BN4960" s="40"/>
      <c r="BO4960" s="40"/>
      <c r="BP4960" s="155"/>
      <c r="BQ4960" s="314"/>
      <c r="BR4960" s="314"/>
      <c r="BS4960" s="314"/>
      <c r="BT4960" s="314"/>
      <c r="BU4960" s="314"/>
      <c r="BV4960" s="314"/>
      <c r="BW4960" s="314"/>
      <c r="BX4960" s="155"/>
    </row>
    <row r="4961" spans="1:76" ht="15.75" customHeight="1">
      <c r="A4961" s="25"/>
      <c r="B4961" s="39"/>
      <c r="C4961" s="155"/>
      <c r="D4961" s="155"/>
      <c r="E4961" s="40"/>
      <c r="F4961" s="314"/>
      <c r="H4961" s="315"/>
      <c r="I4961" s="315"/>
      <c r="BA4961" s="30"/>
      <c r="BB4961" s="155"/>
      <c r="BC4961" s="314"/>
      <c r="BD4961" s="314"/>
      <c r="BE4961" s="314"/>
      <c r="BF4961" s="314"/>
      <c r="BG4961" s="314"/>
      <c r="BH4961" s="314"/>
      <c r="BI4961" s="314"/>
      <c r="BJ4961" s="314"/>
      <c r="BK4961" s="40"/>
      <c r="BL4961" s="40"/>
      <c r="BM4961" s="40"/>
      <c r="BN4961" s="40"/>
      <c r="BO4961" s="40"/>
      <c r="BP4961" s="155"/>
      <c r="BQ4961" s="314"/>
      <c r="BR4961" s="314"/>
      <c r="BS4961" s="314"/>
      <c r="BT4961" s="314"/>
      <c r="BU4961" s="314"/>
      <c r="BV4961" s="314"/>
      <c r="BW4961" s="314"/>
      <c r="BX4961" s="155"/>
    </row>
    <row r="4962" spans="1:76" ht="15.75" customHeight="1">
      <c r="A4962" s="25"/>
      <c r="B4962" s="39"/>
      <c r="C4962" s="155"/>
      <c r="D4962" s="155"/>
      <c r="E4962" s="40"/>
      <c r="F4962" s="314"/>
      <c r="H4962" s="315"/>
      <c r="I4962" s="315"/>
      <c r="BA4962" s="30"/>
      <c r="BB4962" s="155"/>
      <c r="BC4962" s="314"/>
      <c r="BD4962" s="314"/>
      <c r="BE4962" s="314"/>
      <c r="BF4962" s="314"/>
      <c r="BG4962" s="314"/>
      <c r="BH4962" s="314"/>
      <c r="BI4962" s="314"/>
      <c r="BJ4962" s="314"/>
      <c r="BK4962" s="40"/>
      <c r="BL4962" s="40"/>
      <c r="BM4962" s="40"/>
      <c r="BN4962" s="40"/>
      <c r="BO4962" s="40"/>
      <c r="BP4962" s="155"/>
      <c r="BQ4962" s="314"/>
      <c r="BR4962" s="314"/>
      <c r="BS4962" s="314"/>
      <c r="BT4962" s="314"/>
      <c r="BU4962" s="314"/>
      <c r="BV4962" s="314"/>
      <c r="BW4962" s="314"/>
      <c r="BX4962" s="155"/>
    </row>
    <row r="4963" spans="1:76" ht="15.75" customHeight="1">
      <c r="A4963" s="25"/>
      <c r="B4963" s="39"/>
      <c r="C4963" s="155"/>
      <c r="D4963" s="155"/>
      <c r="E4963" s="40"/>
      <c r="F4963" s="314"/>
      <c r="H4963" s="315"/>
      <c r="I4963" s="315"/>
      <c r="BA4963" s="30"/>
      <c r="BB4963" s="155"/>
      <c r="BC4963" s="322"/>
      <c r="BD4963" s="322"/>
      <c r="BE4963" s="322"/>
      <c r="BF4963" s="322"/>
      <c r="BG4963" s="322"/>
      <c r="BH4963" s="322"/>
      <c r="BI4963" s="322"/>
      <c r="BJ4963" s="322"/>
      <c r="BK4963" s="341"/>
      <c r="BL4963" s="40"/>
      <c r="BM4963" s="40"/>
      <c r="BN4963" s="40"/>
      <c r="BO4963" s="40"/>
      <c r="BP4963" s="155"/>
      <c r="BQ4963" s="314"/>
      <c r="BR4963" s="314"/>
      <c r="BS4963" s="314"/>
      <c r="BT4963" s="314"/>
      <c r="BU4963" s="314"/>
      <c r="BV4963" s="314"/>
      <c r="BW4963" s="314"/>
      <c r="BX4963" s="155"/>
    </row>
    <row r="4964" spans="1:76" ht="15.75" customHeight="1">
      <c r="A4964" s="25"/>
      <c r="B4964" s="39"/>
      <c r="C4964" s="155"/>
      <c r="D4964" s="155"/>
      <c r="E4964" s="40"/>
      <c r="F4964" s="314"/>
      <c r="H4964" s="315"/>
      <c r="I4964" s="315"/>
      <c r="BA4964" s="30"/>
      <c r="BB4964" s="155"/>
      <c r="BC4964" s="314"/>
      <c r="BD4964" s="314"/>
      <c r="BE4964" s="314"/>
      <c r="BF4964" s="314"/>
      <c r="BG4964" s="314"/>
      <c r="BH4964" s="314"/>
      <c r="BI4964" s="314"/>
      <c r="BJ4964" s="314"/>
      <c r="BK4964" s="40"/>
      <c r="BL4964" s="40"/>
      <c r="BM4964" s="40"/>
      <c r="BN4964" s="40"/>
      <c r="BO4964" s="40"/>
      <c r="BP4964" s="155"/>
      <c r="BQ4964" s="314"/>
      <c r="BR4964" s="314"/>
      <c r="BS4964" s="314"/>
      <c r="BT4964" s="314"/>
      <c r="BU4964" s="314"/>
      <c r="BV4964" s="314"/>
      <c r="BW4964" s="314"/>
      <c r="BX4964" s="155"/>
    </row>
    <row r="4965" spans="1:76" ht="15.75" customHeight="1">
      <c r="A4965" s="25"/>
      <c r="B4965" s="39"/>
      <c r="C4965" s="155"/>
      <c r="D4965" s="155"/>
      <c r="E4965" s="40"/>
      <c r="F4965" s="314"/>
      <c r="H4965" s="315"/>
      <c r="I4965" s="315"/>
      <c r="BA4965" s="30"/>
      <c r="BB4965" s="155"/>
      <c r="BC4965" s="314"/>
      <c r="BD4965" s="314"/>
      <c r="BE4965" s="314"/>
      <c r="BF4965" s="314"/>
      <c r="BG4965" s="314"/>
      <c r="BH4965" s="314"/>
      <c r="BI4965" s="314"/>
      <c r="BJ4965" s="314"/>
      <c r="BK4965" s="40"/>
      <c r="BL4965" s="40"/>
      <c r="BM4965" s="40"/>
      <c r="BN4965" s="40"/>
      <c r="BO4965" s="40"/>
      <c r="BP4965" s="155"/>
      <c r="BQ4965" s="314"/>
      <c r="BR4965" s="314"/>
      <c r="BS4965" s="314"/>
      <c r="BT4965" s="314"/>
      <c r="BU4965" s="314"/>
      <c r="BV4965" s="314"/>
      <c r="BW4965" s="314"/>
      <c r="BX4965" s="155"/>
    </row>
    <row r="4966" spans="1:76" ht="15.75" customHeight="1">
      <c r="A4966" s="25"/>
      <c r="B4966" s="39"/>
      <c r="C4966" s="155"/>
      <c r="D4966" s="155"/>
      <c r="E4966" s="40"/>
      <c r="F4966" s="314"/>
      <c r="H4966" s="315"/>
      <c r="I4966" s="315"/>
      <c r="BA4966" s="30"/>
      <c r="BB4966" s="155"/>
      <c r="BC4966" s="314"/>
      <c r="BD4966" s="314"/>
      <c r="BE4966" s="314"/>
      <c r="BF4966" s="314"/>
      <c r="BG4966" s="314"/>
      <c r="BH4966" s="314"/>
      <c r="BI4966" s="314"/>
      <c r="BJ4966" s="314"/>
      <c r="BK4966" s="40"/>
      <c r="BL4966" s="40"/>
      <c r="BM4966" s="40"/>
      <c r="BN4966" s="40"/>
      <c r="BO4966" s="40"/>
      <c r="BP4966" s="155"/>
      <c r="BQ4966" s="314"/>
      <c r="BR4966" s="314"/>
      <c r="BS4966" s="314"/>
      <c r="BT4966" s="314"/>
      <c r="BU4966" s="314"/>
      <c r="BV4966" s="314"/>
      <c r="BW4966" s="314"/>
      <c r="BX4966" s="155"/>
    </row>
    <row r="4967" spans="1:76" ht="15.75" customHeight="1">
      <c r="A4967" s="25"/>
      <c r="B4967" s="39"/>
      <c r="C4967" s="155"/>
      <c r="D4967" s="155"/>
      <c r="E4967" s="40"/>
      <c r="F4967" s="314"/>
      <c r="H4967" s="315"/>
      <c r="I4967" s="315"/>
      <c r="BA4967" s="30"/>
      <c r="BB4967" s="155"/>
      <c r="BC4967" s="314"/>
      <c r="BD4967" s="314"/>
      <c r="BE4967" s="314"/>
      <c r="BF4967" s="314"/>
      <c r="BG4967" s="314"/>
      <c r="BH4967" s="314"/>
      <c r="BI4967" s="314"/>
      <c r="BJ4967" s="314"/>
      <c r="BK4967" s="40"/>
      <c r="BL4967" s="40"/>
      <c r="BM4967" s="40"/>
      <c r="BN4967" s="40"/>
      <c r="BO4967" s="40"/>
      <c r="BP4967" s="155"/>
      <c r="BQ4967" s="314"/>
      <c r="BR4967" s="314"/>
      <c r="BS4967" s="314"/>
      <c r="BT4967" s="314"/>
      <c r="BU4967" s="314"/>
      <c r="BV4967" s="314"/>
      <c r="BW4967" s="314"/>
      <c r="BX4967" s="155"/>
    </row>
    <row r="4968" spans="1:76" ht="15.75" customHeight="1">
      <c r="A4968" s="25"/>
      <c r="B4968" s="39"/>
      <c r="C4968" s="155"/>
      <c r="D4968" s="155"/>
      <c r="E4968" s="40"/>
      <c r="F4968" s="314"/>
      <c r="H4968" s="315"/>
      <c r="I4968" s="315"/>
      <c r="BA4968" s="30"/>
      <c r="BB4968" s="155"/>
      <c r="BC4968" s="314"/>
      <c r="BD4968" s="314"/>
      <c r="BE4968" s="314"/>
      <c r="BF4968" s="314"/>
      <c r="BG4968" s="314"/>
      <c r="BH4968" s="314"/>
      <c r="BI4968" s="314"/>
      <c r="BJ4968" s="314"/>
      <c r="BK4968" s="40"/>
      <c r="BL4968" s="40"/>
      <c r="BM4968" s="40"/>
      <c r="BN4968" s="40"/>
      <c r="BO4968" s="40"/>
      <c r="BP4968" s="155"/>
      <c r="BQ4968" s="314"/>
      <c r="BR4968" s="314"/>
      <c r="BS4968" s="314"/>
      <c r="BT4968" s="314"/>
      <c r="BU4968" s="314"/>
      <c r="BV4968" s="314"/>
      <c r="BW4968" s="314"/>
      <c r="BX4968" s="155"/>
    </row>
    <row r="4969" spans="1:76" ht="15.75" customHeight="1">
      <c r="A4969" s="25"/>
      <c r="B4969" s="39"/>
      <c r="C4969" s="155"/>
      <c r="D4969" s="155"/>
      <c r="E4969" s="40"/>
      <c r="F4969" s="314"/>
      <c r="H4969" s="315"/>
      <c r="I4969" s="315"/>
      <c r="BA4969" s="30"/>
      <c r="BB4969" s="155"/>
      <c r="BC4969" s="314"/>
      <c r="BD4969" s="314"/>
      <c r="BE4969" s="314"/>
      <c r="BF4969" s="314"/>
      <c r="BG4969" s="314"/>
      <c r="BH4969" s="314"/>
      <c r="BI4969" s="314"/>
      <c r="BJ4969" s="314"/>
      <c r="BK4969" s="40"/>
      <c r="BL4969" s="40"/>
      <c r="BM4969" s="40"/>
      <c r="BN4969" s="40"/>
      <c r="BO4969" s="40"/>
      <c r="BP4969" s="155"/>
      <c r="BQ4969" s="314"/>
      <c r="BR4969" s="314"/>
      <c r="BS4969" s="314"/>
      <c r="BT4969" s="314"/>
      <c r="BU4969" s="314"/>
      <c r="BV4969" s="314"/>
      <c r="BW4969" s="314"/>
      <c r="BX4969" s="155"/>
    </row>
    <row r="4970" spans="1:76" ht="15.75" customHeight="1">
      <c r="A4970" s="25"/>
      <c r="B4970" s="39"/>
      <c r="C4970" s="155"/>
      <c r="D4970" s="155"/>
      <c r="E4970" s="40"/>
      <c r="F4970" s="314"/>
      <c r="H4970" s="315"/>
      <c r="I4970" s="315"/>
      <c r="BA4970" s="30"/>
      <c r="BB4970" s="155"/>
      <c r="BC4970" s="314"/>
      <c r="BD4970" s="314"/>
      <c r="BE4970" s="314"/>
      <c r="BF4970" s="314"/>
      <c r="BG4970" s="314"/>
      <c r="BH4970" s="314"/>
      <c r="BI4970" s="314"/>
      <c r="BJ4970" s="314"/>
      <c r="BK4970" s="40"/>
      <c r="BL4970" s="40"/>
      <c r="BM4970" s="40"/>
      <c r="BN4970" s="40"/>
      <c r="BO4970" s="40"/>
      <c r="BP4970" s="155"/>
      <c r="BQ4970" s="314"/>
      <c r="BR4970" s="314"/>
      <c r="BS4970" s="314"/>
      <c r="BT4970" s="314"/>
      <c r="BU4970" s="314"/>
      <c r="BV4970" s="314"/>
      <c r="BW4970" s="314"/>
      <c r="BX4970" s="155"/>
    </row>
    <row r="4971" spans="1:76" ht="15.75" customHeight="1">
      <c r="A4971" s="25"/>
      <c r="B4971" s="39"/>
      <c r="C4971" s="155"/>
      <c r="D4971" s="155"/>
      <c r="E4971" s="40"/>
      <c r="F4971" s="314"/>
      <c r="H4971" s="315"/>
      <c r="I4971" s="315"/>
      <c r="BA4971" s="30"/>
      <c r="BB4971" s="155"/>
      <c r="BC4971" s="314"/>
      <c r="BD4971" s="314"/>
      <c r="BE4971" s="314"/>
      <c r="BF4971" s="314"/>
      <c r="BG4971" s="314"/>
      <c r="BH4971" s="314"/>
      <c r="BI4971" s="314"/>
      <c r="BJ4971" s="314"/>
      <c r="BK4971" s="40"/>
      <c r="BL4971" s="40"/>
      <c r="BM4971" s="40"/>
      <c r="BN4971" s="40"/>
      <c r="BO4971" s="40"/>
      <c r="BP4971" s="155"/>
      <c r="BQ4971" s="314"/>
      <c r="BR4971" s="314"/>
      <c r="BS4971" s="314"/>
      <c r="BT4971" s="314"/>
      <c r="BU4971" s="314"/>
      <c r="BV4971" s="314"/>
      <c r="BW4971" s="314"/>
      <c r="BX4971" s="155"/>
    </row>
    <row r="4972" spans="1:76" ht="15.75" customHeight="1">
      <c r="A4972" s="25"/>
      <c r="B4972" s="39"/>
      <c r="C4972" s="155"/>
      <c r="D4972" s="155"/>
      <c r="E4972" s="40"/>
      <c r="F4972" s="314"/>
      <c r="H4972" s="315"/>
      <c r="I4972" s="315"/>
      <c r="BA4972" s="30"/>
      <c r="BB4972" s="155"/>
      <c r="BC4972" s="314"/>
      <c r="BD4972" s="314"/>
      <c r="BE4972" s="314"/>
      <c r="BF4972" s="314"/>
      <c r="BG4972" s="314"/>
      <c r="BH4972" s="314"/>
      <c r="BI4972" s="314"/>
      <c r="BJ4972" s="314"/>
      <c r="BK4972" s="40"/>
      <c r="BL4972" s="40"/>
      <c r="BM4972" s="40"/>
      <c r="BN4972" s="40"/>
      <c r="BO4972" s="40"/>
      <c r="BP4972" s="155"/>
      <c r="BQ4972" s="314"/>
      <c r="BR4972" s="314"/>
      <c r="BS4972" s="314"/>
      <c r="BT4972" s="314"/>
      <c r="BU4972" s="314"/>
      <c r="BV4972" s="314"/>
      <c r="BW4972" s="314"/>
      <c r="BX4972" s="155"/>
    </row>
    <row r="4973" spans="1:76" ht="15.75" customHeight="1">
      <c r="A4973" s="25"/>
      <c r="B4973" s="39"/>
      <c r="C4973" s="155"/>
      <c r="D4973" s="155"/>
      <c r="E4973" s="40"/>
      <c r="F4973" s="314"/>
      <c r="H4973" s="315"/>
      <c r="I4973" s="315"/>
      <c r="BA4973" s="30"/>
      <c r="BB4973" s="155"/>
      <c r="BC4973" s="314"/>
      <c r="BD4973" s="314"/>
      <c r="BE4973" s="314"/>
      <c r="BF4973" s="314"/>
      <c r="BG4973" s="314"/>
      <c r="BH4973" s="314"/>
      <c r="BI4973" s="314"/>
      <c r="BJ4973" s="314"/>
      <c r="BK4973" s="40"/>
      <c r="BL4973" s="40"/>
      <c r="BM4973" s="40"/>
      <c r="BN4973" s="40"/>
      <c r="BO4973" s="40"/>
      <c r="BP4973" s="155"/>
      <c r="BQ4973" s="314"/>
      <c r="BR4973" s="314"/>
      <c r="BS4973" s="314"/>
      <c r="BT4973" s="314"/>
      <c r="BU4973" s="314"/>
      <c r="BV4973" s="314"/>
      <c r="BW4973" s="314"/>
      <c r="BX4973" s="155"/>
    </row>
    <row r="4974" spans="1:76" ht="15.75" customHeight="1">
      <c r="A4974" s="25"/>
      <c r="B4974" s="39"/>
      <c r="C4974" s="155"/>
      <c r="D4974" s="155"/>
      <c r="E4974" s="40"/>
      <c r="F4974" s="314"/>
      <c r="H4974" s="315"/>
      <c r="I4974" s="315"/>
      <c r="BA4974" s="30"/>
      <c r="BB4974" s="155"/>
      <c r="BC4974" s="314"/>
      <c r="BD4974" s="314"/>
      <c r="BE4974" s="314"/>
      <c r="BF4974" s="314"/>
      <c r="BG4974" s="314"/>
      <c r="BH4974" s="314"/>
      <c r="BI4974" s="314"/>
      <c r="BJ4974" s="314"/>
      <c r="BK4974" s="40"/>
      <c r="BL4974" s="40"/>
      <c r="BM4974" s="40"/>
      <c r="BN4974" s="40"/>
      <c r="BO4974" s="40"/>
      <c r="BP4974" s="155"/>
      <c r="BQ4974" s="314"/>
      <c r="BR4974" s="314"/>
      <c r="BS4974" s="314"/>
      <c r="BT4974" s="314"/>
      <c r="BU4974" s="314"/>
      <c r="BV4974" s="314"/>
      <c r="BW4974" s="314"/>
      <c r="BX4974" s="155"/>
    </row>
    <row r="4975" spans="1:76" ht="15.75" customHeight="1">
      <c r="A4975" s="25"/>
      <c r="B4975" s="39"/>
      <c r="C4975" s="155"/>
      <c r="D4975" s="155"/>
      <c r="E4975" s="40"/>
      <c r="F4975" s="314"/>
      <c r="H4975" s="315"/>
      <c r="I4975" s="315"/>
      <c r="BA4975" s="30"/>
      <c r="BB4975" s="155"/>
      <c r="BC4975" s="314"/>
      <c r="BD4975" s="314"/>
      <c r="BE4975" s="314"/>
      <c r="BF4975" s="314"/>
      <c r="BG4975" s="314"/>
      <c r="BH4975" s="314"/>
      <c r="BI4975" s="314"/>
      <c r="BJ4975" s="314"/>
      <c r="BK4975" s="40"/>
      <c r="BL4975" s="40"/>
      <c r="BM4975" s="40"/>
      <c r="BN4975" s="40"/>
      <c r="BO4975" s="40"/>
      <c r="BP4975" s="155"/>
      <c r="BQ4975" s="314"/>
      <c r="BR4975" s="314"/>
      <c r="BS4975" s="314"/>
      <c r="BT4975" s="314"/>
      <c r="BU4975" s="314"/>
      <c r="BV4975" s="314"/>
      <c r="BW4975" s="314"/>
      <c r="BX4975" s="155"/>
    </row>
    <row r="4976" spans="1:76" ht="15.75" customHeight="1">
      <c r="A4976" s="25"/>
      <c r="B4976" s="39"/>
      <c r="C4976" s="155"/>
      <c r="D4976" s="155"/>
      <c r="E4976" s="40"/>
      <c r="F4976" s="314"/>
      <c r="H4976" s="315"/>
      <c r="I4976" s="315"/>
      <c r="BA4976" s="30"/>
      <c r="BB4976" s="155"/>
      <c r="BC4976" s="314"/>
      <c r="BD4976" s="314"/>
      <c r="BE4976" s="314"/>
      <c r="BF4976" s="314"/>
      <c r="BG4976" s="314"/>
      <c r="BH4976" s="314"/>
      <c r="BI4976" s="314"/>
      <c r="BJ4976" s="314"/>
      <c r="BK4976" s="40"/>
      <c r="BL4976" s="40"/>
      <c r="BM4976" s="40"/>
      <c r="BN4976" s="40"/>
      <c r="BO4976" s="40"/>
      <c r="BP4976" s="155"/>
      <c r="BQ4976" s="314"/>
      <c r="BR4976" s="314"/>
      <c r="BS4976" s="314"/>
      <c r="BT4976" s="314"/>
      <c r="BU4976" s="314"/>
      <c r="BV4976" s="314"/>
      <c r="BW4976" s="314"/>
      <c r="BX4976" s="155"/>
    </row>
    <row r="4977" spans="1:76" ht="15.75" customHeight="1">
      <c r="A4977" s="25"/>
      <c r="B4977" s="39"/>
      <c r="C4977" s="155"/>
      <c r="D4977" s="155"/>
      <c r="E4977" s="40"/>
      <c r="F4977" s="314"/>
      <c r="H4977" s="315"/>
      <c r="I4977" s="315"/>
      <c r="BA4977" s="30"/>
      <c r="BB4977" s="155"/>
      <c r="BC4977" s="314"/>
      <c r="BD4977" s="314"/>
      <c r="BE4977" s="314"/>
      <c r="BF4977" s="314"/>
      <c r="BG4977" s="314"/>
      <c r="BH4977" s="314"/>
      <c r="BI4977" s="314"/>
      <c r="BJ4977" s="314"/>
      <c r="BK4977" s="40"/>
      <c r="BL4977" s="40"/>
      <c r="BM4977" s="40"/>
      <c r="BN4977" s="40"/>
      <c r="BO4977" s="40"/>
      <c r="BP4977" s="155"/>
      <c r="BQ4977" s="314"/>
      <c r="BR4977" s="314"/>
      <c r="BS4977" s="314"/>
      <c r="BT4977" s="314"/>
      <c r="BU4977" s="314"/>
      <c r="BV4977" s="314"/>
      <c r="BW4977" s="314"/>
      <c r="BX4977" s="155"/>
    </row>
    <row r="4978" spans="1:76" ht="15.75" customHeight="1">
      <c r="A4978" s="25"/>
      <c r="B4978" s="39"/>
      <c r="C4978" s="155"/>
      <c r="D4978" s="155"/>
      <c r="E4978" s="40"/>
      <c r="F4978" s="314"/>
      <c r="H4978" s="315"/>
      <c r="I4978" s="315"/>
      <c r="BA4978" s="30"/>
      <c r="BB4978" s="155"/>
      <c r="BC4978" s="314"/>
      <c r="BD4978" s="314"/>
      <c r="BE4978" s="314"/>
      <c r="BF4978" s="314"/>
      <c r="BG4978" s="314"/>
      <c r="BH4978" s="314"/>
      <c r="BI4978" s="314"/>
      <c r="BJ4978" s="314"/>
      <c r="BK4978" s="40"/>
      <c r="BL4978" s="40"/>
      <c r="BM4978" s="40"/>
      <c r="BN4978" s="40"/>
      <c r="BO4978" s="40"/>
      <c r="BP4978" s="155"/>
      <c r="BQ4978" s="314"/>
      <c r="BR4978" s="314"/>
      <c r="BS4978" s="314"/>
      <c r="BT4978" s="314"/>
      <c r="BU4978" s="314"/>
      <c r="BV4978" s="314"/>
      <c r="BW4978" s="314"/>
      <c r="BX4978" s="155"/>
    </row>
    <row r="4979" spans="1:76" ht="15.75" customHeight="1">
      <c r="A4979" s="25"/>
      <c r="B4979" s="39"/>
      <c r="C4979" s="155"/>
      <c r="D4979" s="155"/>
      <c r="E4979" s="40"/>
      <c r="F4979" s="314"/>
      <c r="H4979" s="315"/>
      <c r="I4979" s="315"/>
      <c r="BA4979" s="30"/>
      <c r="BB4979" s="155"/>
      <c r="BC4979" s="314"/>
      <c r="BD4979" s="314"/>
      <c r="BE4979" s="314"/>
      <c r="BF4979" s="314"/>
      <c r="BG4979" s="314"/>
      <c r="BH4979" s="314"/>
      <c r="BI4979" s="314"/>
      <c r="BJ4979" s="314"/>
      <c r="BK4979" s="40"/>
      <c r="BL4979" s="40"/>
      <c r="BM4979" s="40"/>
      <c r="BN4979" s="40"/>
      <c r="BO4979" s="40"/>
      <c r="BP4979" s="155"/>
      <c r="BQ4979" s="314"/>
      <c r="BR4979" s="314"/>
      <c r="BS4979" s="314"/>
      <c r="BT4979" s="314"/>
      <c r="BU4979" s="314"/>
      <c r="BV4979" s="314"/>
      <c r="BW4979" s="314"/>
      <c r="BX4979" s="155"/>
    </row>
    <row r="4980" spans="1:76" ht="15.75" customHeight="1">
      <c r="A4980" s="25"/>
      <c r="B4980" s="39"/>
      <c r="C4980" s="155"/>
      <c r="D4980" s="155"/>
      <c r="E4980" s="40"/>
      <c r="F4980" s="314"/>
      <c r="H4980" s="315"/>
      <c r="I4980" s="315"/>
      <c r="BA4980" s="30"/>
      <c r="BB4980" s="155"/>
      <c r="BC4980" s="314"/>
      <c r="BD4980" s="314"/>
      <c r="BE4980" s="314"/>
      <c r="BF4980" s="314"/>
      <c r="BG4980" s="314"/>
      <c r="BH4980" s="314"/>
      <c r="BI4980" s="314"/>
      <c r="BJ4980" s="314"/>
      <c r="BK4980" s="40"/>
      <c r="BL4980" s="40"/>
      <c r="BM4980" s="40"/>
      <c r="BN4980" s="40"/>
      <c r="BO4980" s="40"/>
      <c r="BP4980" s="155"/>
      <c r="BQ4980" s="314"/>
      <c r="BR4980" s="314"/>
      <c r="BS4980" s="314"/>
      <c r="BT4980" s="314"/>
      <c r="BU4980" s="314"/>
      <c r="BV4980" s="314"/>
      <c r="BW4980" s="314"/>
      <c r="BX4980" s="155"/>
    </row>
    <row r="4981" spans="1:76" ht="15.75" customHeight="1">
      <c r="A4981" s="25"/>
      <c r="B4981" s="39"/>
      <c r="C4981" s="155"/>
      <c r="D4981" s="155"/>
      <c r="E4981" s="40"/>
      <c r="F4981" s="314"/>
      <c r="H4981" s="315"/>
      <c r="I4981" s="315"/>
      <c r="BA4981" s="30"/>
      <c r="BB4981" s="155"/>
      <c r="BC4981" s="322"/>
      <c r="BD4981" s="322"/>
      <c r="BE4981" s="322"/>
      <c r="BF4981" s="322"/>
      <c r="BG4981" s="322"/>
      <c r="BH4981" s="322"/>
      <c r="BI4981" s="322"/>
      <c r="BJ4981" s="322"/>
      <c r="BK4981" s="341"/>
      <c r="BL4981" s="40"/>
      <c r="BM4981" s="40"/>
      <c r="BN4981" s="40"/>
      <c r="BO4981" s="40"/>
      <c r="BP4981" s="155"/>
      <c r="BQ4981" s="314"/>
      <c r="BR4981" s="314"/>
      <c r="BS4981" s="314"/>
      <c r="BT4981" s="314"/>
      <c r="BU4981" s="314"/>
      <c r="BV4981" s="314"/>
      <c r="BW4981" s="314"/>
      <c r="BX4981" s="155"/>
    </row>
    <row r="4982" spans="1:76" ht="15.75" customHeight="1">
      <c r="A4982" s="25"/>
      <c r="B4982" s="39"/>
      <c r="C4982" s="155"/>
      <c r="D4982" s="155"/>
      <c r="E4982" s="40"/>
      <c r="F4982" s="314"/>
      <c r="H4982" s="315"/>
      <c r="I4982" s="315"/>
      <c r="BA4982" s="30"/>
      <c r="BB4982" s="155"/>
      <c r="BC4982" s="314"/>
      <c r="BD4982" s="314"/>
      <c r="BE4982" s="314"/>
      <c r="BF4982" s="314"/>
      <c r="BG4982" s="314"/>
      <c r="BH4982" s="314"/>
      <c r="BI4982" s="314"/>
      <c r="BJ4982" s="314"/>
      <c r="BK4982" s="40"/>
      <c r="BL4982" s="40"/>
      <c r="BM4982" s="40"/>
      <c r="BN4982" s="40"/>
      <c r="BO4982" s="40"/>
      <c r="BP4982" s="155"/>
      <c r="BQ4982" s="314"/>
      <c r="BR4982" s="314"/>
      <c r="BS4982" s="314"/>
      <c r="BT4982" s="314"/>
      <c r="BU4982" s="314"/>
      <c r="BV4982" s="314"/>
      <c r="BW4982" s="314"/>
      <c r="BX4982" s="155"/>
    </row>
    <row r="4983" spans="1:76" ht="15.75" customHeight="1">
      <c r="A4983" s="25"/>
      <c r="B4983" s="39"/>
      <c r="C4983" s="155"/>
      <c r="D4983" s="155"/>
      <c r="E4983" s="40"/>
      <c r="F4983" s="314"/>
      <c r="H4983" s="315"/>
      <c r="I4983" s="315"/>
      <c r="BA4983" s="30"/>
      <c r="BB4983" s="155"/>
      <c r="BC4983" s="314"/>
      <c r="BD4983" s="314"/>
      <c r="BE4983" s="314"/>
      <c r="BF4983" s="314"/>
      <c r="BG4983" s="314"/>
      <c r="BH4983" s="314"/>
      <c r="BI4983" s="314"/>
      <c r="BJ4983" s="314"/>
      <c r="BK4983" s="40"/>
      <c r="BL4983" s="40"/>
      <c r="BM4983" s="40"/>
      <c r="BN4983" s="40"/>
      <c r="BO4983" s="40"/>
      <c r="BP4983" s="155"/>
      <c r="BQ4983" s="314"/>
      <c r="BR4983" s="314"/>
      <c r="BS4983" s="314"/>
      <c r="BT4983" s="314"/>
      <c r="BU4983" s="314"/>
      <c r="BV4983" s="314"/>
      <c r="BW4983" s="314"/>
      <c r="BX4983" s="155"/>
    </row>
    <row r="4984" spans="1:76" ht="15.75" customHeight="1">
      <c r="A4984" s="25"/>
      <c r="B4984" s="39"/>
      <c r="C4984" s="155"/>
      <c r="D4984" s="155"/>
      <c r="E4984" s="40"/>
      <c r="F4984" s="314"/>
      <c r="H4984" s="315"/>
      <c r="I4984" s="315"/>
      <c r="BA4984" s="30"/>
      <c r="BB4984" s="155"/>
      <c r="BC4984" s="314"/>
      <c r="BD4984" s="314"/>
      <c r="BE4984" s="314"/>
      <c r="BF4984" s="314"/>
      <c r="BG4984" s="314"/>
      <c r="BH4984" s="314"/>
      <c r="BI4984" s="314"/>
      <c r="BJ4984" s="314"/>
      <c r="BK4984" s="40"/>
      <c r="BL4984" s="40"/>
      <c r="BM4984" s="40"/>
      <c r="BN4984" s="40"/>
      <c r="BO4984" s="40"/>
      <c r="BP4984" s="155"/>
      <c r="BQ4984" s="314"/>
      <c r="BR4984" s="314"/>
      <c r="BS4984" s="314"/>
      <c r="BT4984" s="314"/>
      <c r="BU4984" s="314"/>
      <c r="BV4984" s="314"/>
      <c r="BW4984" s="314"/>
      <c r="BX4984" s="155"/>
    </row>
    <row r="4985" spans="1:76" ht="15.75" customHeight="1">
      <c r="A4985" s="25"/>
      <c r="B4985" s="39"/>
      <c r="C4985" s="155"/>
      <c r="D4985" s="155"/>
      <c r="E4985" s="40"/>
      <c r="F4985" s="314"/>
      <c r="H4985" s="315"/>
      <c r="I4985" s="315"/>
      <c r="BA4985" s="30"/>
      <c r="BB4985" s="155"/>
      <c r="BC4985" s="314"/>
      <c r="BD4985" s="314"/>
      <c r="BE4985" s="314"/>
      <c r="BF4985" s="314"/>
      <c r="BG4985" s="314"/>
      <c r="BH4985" s="314"/>
      <c r="BI4985" s="314"/>
      <c r="BJ4985" s="314"/>
      <c r="BK4985" s="40"/>
      <c r="BL4985" s="40"/>
      <c r="BM4985" s="40"/>
      <c r="BN4985" s="40"/>
      <c r="BO4985" s="40"/>
      <c r="BP4985" s="155"/>
      <c r="BQ4985" s="314"/>
      <c r="BR4985" s="314"/>
      <c r="BS4985" s="314"/>
      <c r="BT4985" s="314"/>
      <c r="BU4985" s="314"/>
      <c r="BV4985" s="314"/>
      <c r="BW4985" s="314"/>
      <c r="BX4985" s="155"/>
    </row>
    <row r="4986" spans="1:76" ht="15.75" customHeight="1">
      <c r="A4986" s="25"/>
      <c r="B4986" s="39"/>
      <c r="C4986" s="155"/>
      <c r="D4986" s="155"/>
      <c r="E4986" s="40"/>
      <c r="F4986" s="314"/>
      <c r="H4986" s="315"/>
      <c r="I4986" s="315"/>
      <c r="BA4986" s="30"/>
      <c r="BB4986" s="155"/>
      <c r="BC4986" s="314"/>
      <c r="BD4986" s="314"/>
      <c r="BE4986" s="314"/>
      <c r="BF4986" s="314"/>
      <c r="BG4986" s="314"/>
      <c r="BH4986" s="314"/>
      <c r="BI4986" s="314"/>
      <c r="BJ4986" s="314"/>
      <c r="BK4986" s="40"/>
      <c r="BL4986" s="40"/>
      <c r="BM4986" s="40"/>
      <c r="BN4986" s="40"/>
      <c r="BO4986" s="40"/>
      <c r="BP4986" s="155"/>
      <c r="BQ4986" s="314"/>
      <c r="BR4986" s="314"/>
      <c r="BS4986" s="314"/>
      <c r="BT4986" s="314"/>
      <c r="BU4986" s="314"/>
      <c r="BV4986" s="314"/>
      <c r="BW4986" s="314"/>
      <c r="BX4986" s="155"/>
    </row>
    <row r="4987" spans="1:76" ht="15.75" customHeight="1">
      <c r="A4987" s="25"/>
      <c r="B4987" s="39"/>
      <c r="C4987" s="155"/>
      <c r="D4987" s="155"/>
      <c r="E4987" s="40"/>
      <c r="F4987" s="314"/>
      <c r="H4987" s="315"/>
      <c r="I4987" s="315"/>
      <c r="BA4987" s="30"/>
      <c r="BB4987" s="155"/>
      <c r="BC4987" s="314"/>
      <c r="BD4987" s="314"/>
      <c r="BE4987" s="314"/>
      <c r="BF4987" s="314"/>
      <c r="BG4987" s="314"/>
      <c r="BH4987" s="314"/>
      <c r="BI4987" s="314"/>
      <c r="BJ4987" s="314"/>
      <c r="BK4987" s="40"/>
      <c r="BL4987" s="40"/>
      <c r="BM4987" s="40"/>
      <c r="BN4987" s="40"/>
      <c r="BO4987" s="40"/>
      <c r="BP4987" s="155"/>
      <c r="BQ4987" s="314"/>
      <c r="BR4987" s="314"/>
      <c r="BS4987" s="314"/>
      <c r="BT4987" s="314"/>
      <c r="BU4987" s="314"/>
      <c r="BV4987" s="314"/>
      <c r="BW4987" s="314"/>
      <c r="BX4987" s="155"/>
    </row>
    <row r="4988" spans="1:76" ht="15.75" customHeight="1">
      <c r="A4988" s="25"/>
      <c r="B4988" s="39"/>
      <c r="C4988" s="155"/>
      <c r="D4988" s="155"/>
      <c r="E4988" s="40"/>
      <c r="F4988" s="314"/>
      <c r="H4988" s="315"/>
      <c r="I4988" s="315"/>
      <c r="BA4988" s="30"/>
      <c r="BB4988" s="155"/>
      <c r="BC4988" s="314"/>
      <c r="BD4988" s="314"/>
      <c r="BE4988" s="314"/>
      <c r="BF4988" s="314"/>
      <c r="BG4988" s="314"/>
      <c r="BH4988" s="314"/>
      <c r="BI4988" s="314"/>
      <c r="BJ4988" s="314"/>
      <c r="BK4988" s="40"/>
      <c r="BL4988" s="40"/>
      <c r="BM4988" s="40"/>
      <c r="BN4988" s="40"/>
      <c r="BO4988" s="40"/>
      <c r="BP4988" s="155"/>
      <c r="BQ4988" s="314"/>
      <c r="BR4988" s="314"/>
      <c r="BS4988" s="314"/>
      <c r="BT4988" s="314"/>
      <c r="BU4988" s="314"/>
      <c r="BV4988" s="314"/>
      <c r="BW4988" s="314"/>
      <c r="BX4988" s="155"/>
    </row>
    <row r="4989" spans="1:76" ht="15.75" customHeight="1">
      <c r="A4989" s="25"/>
      <c r="B4989" s="39"/>
      <c r="C4989" s="155"/>
      <c r="D4989" s="155"/>
      <c r="E4989" s="40"/>
      <c r="F4989" s="314"/>
      <c r="H4989" s="315"/>
      <c r="I4989" s="315"/>
      <c r="BA4989" s="30"/>
      <c r="BB4989" s="155"/>
      <c r="BC4989" s="314"/>
      <c r="BD4989" s="314"/>
      <c r="BE4989" s="314"/>
      <c r="BF4989" s="314"/>
      <c r="BG4989" s="314"/>
      <c r="BH4989" s="314"/>
      <c r="BI4989" s="314"/>
      <c r="BJ4989" s="314"/>
      <c r="BK4989" s="40"/>
      <c r="BL4989" s="40"/>
      <c r="BM4989" s="40"/>
      <c r="BN4989" s="40"/>
      <c r="BO4989" s="40"/>
      <c r="BP4989" s="155"/>
      <c r="BQ4989" s="314"/>
      <c r="BR4989" s="314"/>
      <c r="BS4989" s="314"/>
      <c r="BT4989" s="314"/>
      <c r="BU4989" s="314"/>
      <c r="BV4989" s="314"/>
      <c r="BW4989" s="314"/>
      <c r="BX4989" s="155"/>
    </row>
    <row r="4990" spans="1:76" ht="15.75" customHeight="1">
      <c r="A4990" s="25"/>
      <c r="B4990" s="39"/>
      <c r="C4990" s="155"/>
      <c r="D4990" s="155"/>
      <c r="E4990" s="40"/>
      <c r="F4990" s="314"/>
      <c r="H4990" s="315"/>
      <c r="I4990" s="315"/>
      <c r="BA4990" s="30"/>
      <c r="BB4990" s="155"/>
      <c r="BC4990" s="314"/>
      <c r="BD4990" s="314"/>
      <c r="BE4990" s="314"/>
      <c r="BF4990" s="314"/>
      <c r="BG4990" s="314"/>
      <c r="BH4990" s="314"/>
      <c r="BI4990" s="314"/>
      <c r="BJ4990" s="314"/>
      <c r="BK4990" s="40"/>
      <c r="BL4990" s="40"/>
      <c r="BM4990" s="40"/>
      <c r="BN4990" s="40"/>
      <c r="BO4990" s="40"/>
      <c r="BP4990" s="155"/>
      <c r="BQ4990" s="314"/>
      <c r="BR4990" s="314"/>
      <c r="BS4990" s="314"/>
      <c r="BT4990" s="314"/>
      <c r="BU4990" s="314"/>
      <c r="BV4990" s="314"/>
      <c r="BW4990" s="314"/>
      <c r="BX4990" s="155"/>
    </row>
    <row r="4991" spans="1:76" ht="15.75" customHeight="1">
      <c r="A4991" s="25"/>
      <c r="B4991" s="39"/>
      <c r="C4991" s="155"/>
      <c r="D4991" s="155"/>
      <c r="E4991" s="40"/>
      <c r="F4991" s="314"/>
      <c r="H4991" s="315"/>
      <c r="I4991" s="315"/>
      <c r="BA4991" s="30"/>
      <c r="BB4991" s="155"/>
      <c r="BC4991" s="314"/>
      <c r="BD4991" s="314"/>
      <c r="BE4991" s="314"/>
      <c r="BF4991" s="314"/>
      <c r="BG4991" s="314"/>
      <c r="BH4991" s="314"/>
      <c r="BI4991" s="314"/>
      <c r="BJ4991" s="314"/>
      <c r="BK4991" s="40"/>
      <c r="BL4991" s="40"/>
      <c r="BM4991" s="40"/>
      <c r="BN4991" s="40"/>
      <c r="BO4991" s="40"/>
      <c r="BP4991" s="155"/>
      <c r="BQ4991" s="314"/>
      <c r="BR4991" s="314"/>
      <c r="BS4991" s="314"/>
      <c r="BT4991" s="314"/>
      <c r="BU4991" s="314"/>
      <c r="BV4991" s="314"/>
      <c r="BW4991" s="314"/>
      <c r="BX4991" s="155"/>
    </row>
    <row r="4992" spans="1:76" ht="15.75" customHeight="1">
      <c r="A4992" s="25"/>
      <c r="B4992" s="39"/>
      <c r="C4992" s="155"/>
      <c r="D4992" s="155"/>
      <c r="E4992" s="40"/>
      <c r="F4992" s="314"/>
      <c r="H4992" s="315"/>
      <c r="I4992" s="315"/>
      <c r="BA4992" s="30"/>
      <c r="BB4992" s="155"/>
      <c r="BC4992" s="314"/>
      <c r="BD4992" s="314"/>
      <c r="BE4992" s="314"/>
      <c r="BF4992" s="314"/>
      <c r="BG4992" s="314"/>
      <c r="BH4992" s="314"/>
      <c r="BI4992" s="314"/>
      <c r="BJ4992" s="314"/>
      <c r="BK4992" s="40"/>
      <c r="BL4992" s="40"/>
      <c r="BM4992" s="40"/>
      <c r="BN4992" s="40"/>
      <c r="BO4992" s="40"/>
      <c r="BP4992" s="155"/>
      <c r="BQ4992" s="314"/>
      <c r="BR4992" s="314"/>
      <c r="BS4992" s="314"/>
      <c r="BT4992" s="314"/>
      <c r="BU4992" s="314"/>
      <c r="BV4992" s="314"/>
      <c r="BW4992" s="314"/>
      <c r="BX4992" s="155"/>
    </row>
    <row r="4993" spans="1:76" ht="15.75" customHeight="1">
      <c r="A4993" s="25"/>
      <c r="B4993" s="39"/>
      <c r="C4993" s="155"/>
      <c r="D4993" s="155"/>
      <c r="E4993" s="40"/>
      <c r="F4993" s="314"/>
      <c r="H4993" s="315"/>
      <c r="I4993" s="315"/>
      <c r="BA4993" s="30"/>
      <c r="BB4993" s="155"/>
      <c r="BC4993" s="314"/>
      <c r="BD4993" s="314"/>
      <c r="BE4993" s="314"/>
      <c r="BF4993" s="314"/>
      <c r="BG4993" s="314"/>
      <c r="BH4993" s="314"/>
      <c r="BI4993" s="314"/>
      <c r="BJ4993" s="314"/>
      <c r="BK4993" s="40"/>
      <c r="BL4993" s="40"/>
      <c r="BM4993" s="40"/>
      <c r="BN4993" s="40"/>
      <c r="BO4993" s="40"/>
      <c r="BP4993" s="155"/>
      <c r="BQ4993" s="314"/>
      <c r="BR4993" s="314"/>
      <c r="BS4993" s="314"/>
      <c r="BT4993" s="314"/>
      <c r="BU4993" s="314"/>
      <c r="BV4993" s="314"/>
      <c r="BW4993" s="314"/>
      <c r="BX4993" s="155"/>
    </row>
    <row r="4994" spans="1:76" ht="15.75" customHeight="1">
      <c r="A4994" s="25"/>
      <c r="B4994" s="39"/>
      <c r="C4994" s="155"/>
      <c r="D4994" s="155"/>
      <c r="E4994" s="40"/>
      <c r="F4994" s="314"/>
      <c r="H4994" s="315"/>
      <c r="I4994" s="315"/>
      <c r="BA4994" s="30"/>
      <c r="BB4994" s="155"/>
      <c r="BC4994" s="314"/>
      <c r="BD4994" s="314"/>
      <c r="BE4994" s="314"/>
      <c r="BF4994" s="314"/>
      <c r="BG4994" s="314"/>
      <c r="BH4994" s="314"/>
      <c r="BI4994" s="314"/>
      <c r="BJ4994" s="314"/>
      <c r="BK4994" s="40"/>
      <c r="BL4994" s="40"/>
      <c r="BM4994" s="40"/>
      <c r="BN4994" s="40"/>
      <c r="BO4994" s="40"/>
      <c r="BP4994" s="155"/>
      <c r="BQ4994" s="314"/>
      <c r="BR4994" s="314"/>
      <c r="BS4994" s="314"/>
      <c r="BT4994" s="314"/>
      <c r="BU4994" s="314"/>
      <c r="BV4994" s="314"/>
      <c r="BW4994" s="314"/>
      <c r="BX4994" s="155"/>
    </row>
    <row r="4995" spans="1:76" ht="15.75" customHeight="1">
      <c r="A4995" s="25"/>
      <c r="B4995" s="39"/>
      <c r="C4995" s="155"/>
      <c r="D4995" s="155"/>
      <c r="E4995" s="40"/>
      <c r="F4995" s="314"/>
      <c r="H4995" s="315"/>
      <c r="I4995" s="315"/>
      <c r="BA4995" s="30"/>
      <c r="BB4995" s="155"/>
      <c r="BC4995" s="314"/>
      <c r="BD4995" s="314"/>
      <c r="BE4995" s="314"/>
      <c r="BF4995" s="314"/>
      <c r="BG4995" s="314"/>
      <c r="BH4995" s="314"/>
      <c r="BI4995" s="314"/>
      <c r="BJ4995" s="314"/>
      <c r="BK4995" s="40"/>
      <c r="BL4995" s="40"/>
      <c r="BM4995" s="40"/>
      <c r="BN4995" s="40"/>
      <c r="BO4995" s="40"/>
      <c r="BP4995" s="155"/>
      <c r="BQ4995" s="314"/>
      <c r="BR4995" s="314"/>
      <c r="BS4995" s="314"/>
      <c r="BT4995" s="314"/>
      <c r="BU4995" s="314"/>
      <c r="BV4995" s="314"/>
      <c r="BW4995" s="314"/>
      <c r="BX4995" s="155"/>
    </row>
    <row r="4996" spans="1:76" ht="15.75" customHeight="1">
      <c r="A4996" s="25"/>
      <c r="B4996" s="39"/>
      <c r="C4996" s="155"/>
      <c r="D4996" s="155"/>
      <c r="E4996" s="40"/>
      <c r="F4996" s="314"/>
      <c r="H4996" s="315"/>
      <c r="I4996" s="315"/>
      <c r="BA4996" s="30"/>
      <c r="BB4996" s="155"/>
      <c r="BC4996" s="314"/>
      <c r="BD4996" s="314"/>
      <c r="BE4996" s="314"/>
      <c r="BF4996" s="314"/>
      <c r="BG4996" s="314"/>
      <c r="BH4996" s="314"/>
      <c r="BI4996" s="314"/>
      <c r="BJ4996" s="314"/>
      <c r="BK4996" s="40"/>
      <c r="BL4996" s="40"/>
      <c r="BM4996" s="40"/>
      <c r="BN4996" s="40"/>
      <c r="BO4996" s="40"/>
      <c r="BP4996" s="155"/>
      <c r="BQ4996" s="314"/>
      <c r="BR4996" s="314"/>
      <c r="BS4996" s="314"/>
      <c r="BT4996" s="314"/>
      <c r="BU4996" s="314"/>
      <c r="BV4996" s="314"/>
      <c r="BW4996" s="314"/>
      <c r="BX4996" s="155"/>
    </row>
    <row r="4997" spans="1:76" ht="15.75" customHeight="1">
      <c r="A4997" s="25"/>
      <c r="B4997" s="39"/>
      <c r="C4997" s="155"/>
      <c r="D4997" s="155"/>
      <c r="E4997" s="40"/>
      <c r="F4997" s="314"/>
      <c r="H4997" s="315"/>
      <c r="I4997" s="315"/>
      <c r="BA4997" s="30"/>
      <c r="BB4997" s="155"/>
      <c r="BC4997" s="314"/>
      <c r="BD4997" s="314"/>
      <c r="BE4997" s="314"/>
      <c r="BF4997" s="314"/>
      <c r="BG4997" s="314"/>
      <c r="BH4997" s="314"/>
      <c r="BI4997" s="314"/>
      <c r="BJ4997" s="314"/>
      <c r="BK4997" s="40"/>
      <c r="BL4997" s="40"/>
      <c r="BM4997" s="40"/>
      <c r="BN4997" s="40"/>
      <c r="BO4997" s="40"/>
      <c r="BP4997" s="155"/>
      <c r="BQ4997" s="314"/>
      <c r="BR4997" s="314"/>
      <c r="BS4997" s="314"/>
      <c r="BT4997" s="314"/>
      <c r="BU4997" s="314"/>
      <c r="BV4997" s="314"/>
      <c r="BW4997" s="314"/>
      <c r="BX4997" s="155"/>
    </row>
    <row r="4998" spans="1:76" ht="15.75" customHeight="1">
      <c r="A4998" s="25"/>
      <c r="B4998" s="39"/>
      <c r="C4998" s="155"/>
      <c r="D4998" s="155"/>
      <c r="E4998" s="40"/>
      <c r="F4998" s="314"/>
      <c r="H4998" s="315"/>
      <c r="I4998" s="315"/>
      <c r="BA4998" s="30"/>
      <c r="BB4998" s="155"/>
      <c r="BC4998" s="314"/>
      <c r="BD4998" s="314"/>
      <c r="BE4998" s="314"/>
      <c r="BF4998" s="314"/>
      <c r="BG4998" s="314"/>
      <c r="BH4998" s="314"/>
      <c r="BI4998" s="314"/>
      <c r="BJ4998" s="314"/>
      <c r="BK4998" s="40"/>
      <c r="BL4998" s="40"/>
      <c r="BM4998" s="40"/>
      <c r="BN4998" s="40"/>
      <c r="BO4998" s="40"/>
      <c r="BP4998" s="155"/>
      <c r="BQ4998" s="314"/>
      <c r="BR4998" s="314"/>
      <c r="BS4998" s="314"/>
      <c r="BT4998" s="314"/>
      <c r="BU4998" s="314"/>
      <c r="BV4998" s="314"/>
      <c r="BW4998" s="314"/>
      <c r="BX4998" s="155"/>
    </row>
    <row r="4999" spans="1:76" ht="15.75" customHeight="1">
      <c r="A4999" s="25"/>
      <c r="B4999" s="39"/>
      <c r="C4999" s="155"/>
      <c r="D4999" s="155"/>
      <c r="E4999" s="40"/>
      <c r="F4999" s="314"/>
      <c r="H4999" s="315"/>
      <c r="I4999" s="315"/>
      <c r="BA4999" s="30"/>
      <c r="BB4999" s="155"/>
      <c r="BC4999" s="322"/>
      <c r="BD4999" s="322"/>
      <c r="BE4999" s="322"/>
      <c r="BF4999" s="322"/>
      <c r="BG4999" s="322"/>
      <c r="BH4999" s="322"/>
      <c r="BI4999" s="322"/>
      <c r="BJ4999" s="322"/>
      <c r="BK4999" s="341"/>
      <c r="BL4999" s="40"/>
      <c r="BM4999" s="40"/>
      <c r="BN4999" s="40"/>
      <c r="BO4999" s="40"/>
      <c r="BP4999" s="155"/>
      <c r="BQ4999" s="314"/>
      <c r="BR4999" s="314"/>
      <c r="BS4999" s="314"/>
      <c r="BT4999" s="314"/>
      <c r="BU4999" s="314"/>
      <c r="BV4999" s="314"/>
      <c r="BW4999" s="314"/>
      <c r="BX4999" s="155"/>
    </row>
    <row r="5000" spans="1:76" ht="15.75" customHeight="1">
      <c r="A5000" s="25"/>
      <c r="B5000" s="39"/>
      <c r="C5000" s="155"/>
      <c r="D5000" s="155"/>
      <c r="E5000" s="40"/>
      <c r="F5000" s="314"/>
      <c r="H5000" s="315"/>
      <c r="I5000" s="315"/>
      <c r="BA5000" s="30"/>
      <c r="BB5000" s="155"/>
      <c r="BC5000" s="314"/>
      <c r="BD5000" s="314"/>
      <c r="BE5000" s="314"/>
      <c r="BF5000" s="314"/>
      <c r="BG5000" s="314"/>
      <c r="BH5000" s="314"/>
      <c r="BI5000" s="314"/>
      <c r="BJ5000" s="314"/>
      <c r="BK5000" s="40"/>
      <c r="BL5000" s="40"/>
      <c r="BM5000" s="40"/>
      <c r="BN5000" s="40"/>
      <c r="BO5000" s="40"/>
      <c r="BP5000" s="155"/>
      <c r="BQ5000" s="314"/>
      <c r="BR5000" s="314"/>
      <c r="BS5000" s="314"/>
      <c r="BT5000" s="314"/>
      <c r="BU5000" s="314"/>
      <c r="BV5000" s="314"/>
      <c r="BW5000" s="314"/>
      <c r="BX5000" s="155"/>
    </row>
    <row r="5001" spans="1:76" ht="15.75" customHeight="1">
      <c r="A5001" s="25"/>
      <c r="B5001" s="39"/>
      <c r="C5001" s="155"/>
      <c r="D5001" s="155"/>
      <c r="E5001" s="40"/>
      <c r="F5001" s="314"/>
      <c r="H5001" s="315"/>
      <c r="I5001" s="315"/>
      <c r="BA5001" s="30"/>
      <c r="BB5001" s="155"/>
      <c r="BC5001" s="314"/>
      <c r="BD5001" s="314"/>
      <c r="BE5001" s="314"/>
      <c r="BF5001" s="314"/>
      <c r="BG5001" s="314"/>
      <c r="BH5001" s="314"/>
      <c r="BI5001" s="314"/>
      <c r="BJ5001" s="314"/>
      <c r="BK5001" s="40"/>
      <c r="BL5001" s="40"/>
      <c r="BM5001" s="40"/>
      <c r="BN5001" s="40"/>
      <c r="BO5001" s="40"/>
      <c r="BP5001" s="155"/>
      <c r="BQ5001" s="314"/>
      <c r="BR5001" s="314"/>
      <c r="BS5001" s="314"/>
      <c r="BT5001" s="314"/>
      <c r="BU5001" s="314"/>
      <c r="BV5001" s="314"/>
      <c r="BW5001" s="314"/>
      <c r="BX5001" s="155"/>
    </row>
    <row r="5002" spans="1:76" ht="15.75" customHeight="1">
      <c r="A5002" s="25"/>
      <c r="B5002" s="39"/>
      <c r="C5002" s="155"/>
      <c r="D5002" s="155"/>
      <c r="E5002" s="40"/>
      <c r="F5002" s="314"/>
      <c r="H5002" s="315"/>
      <c r="I5002" s="315"/>
      <c r="BA5002" s="30"/>
      <c r="BB5002" s="155"/>
      <c r="BC5002" s="314"/>
      <c r="BD5002" s="314"/>
      <c r="BE5002" s="314"/>
      <c r="BF5002" s="314"/>
      <c r="BG5002" s="314"/>
      <c r="BH5002" s="314"/>
      <c r="BI5002" s="314"/>
      <c r="BJ5002" s="314"/>
      <c r="BK5002" s="40"/>
      <c r="BL5002" s="40"/>
      <c r="BM5002" s="40"/>
      <c r="BN5002" s="40"/>
      <c r="BO5002" s="40"/>
      <c r="BP5002" s="155"/>
      <c r="BQ5002" s="314"/>
      <c r="BR5002" s="314"/>
      <c r="BS5002" s="314"/>
      <c r="BT5002" s="314"/>
      <c r="BU5002" s="314"/>
      <c r="BV5002" s="314"/>
      <c r="BW5002" s="314"/>
      <c r="BX5002" s="155"/>
    </row>
    <row r="5003" spans="1:76" ht="15.75" customHeight="1">
      <c r="A5003" s="25"/>
      <c r="B5003" s="39"/>
      <c r="C5003" s="155"/>
      <c r="D5003" s="155"/>
      <c r="E5003" s="40"/>
      <c r="F5003" s="314"/>
      <c r="H5003" s="315"/>
      <c r="I5003" s="315"/>
      <c r="BA5003" s="30"/>
      <c r="BB5003" s="155"/>
      <c r="BC5003" s="314"/>
      <c r="BD5003" s="314"/>
      <c r="BE5003" s="314"/>
      <c r="BF5003" s="314"/>
      <c r="BG5003" s="314"/>
      <c r="BH5003" s="314"/>
      <c r="BI5003" s="314"/>
      <c r="BJ5003" s="314"/>
      <c r="BK5003" s="40"/>
      <c r="BL5003" s="40"/>
      <c r="BM5003" s="40"/>
      <c r="BN5003" s="40"/>
      <c r="BO5003" s="40"/>
      <c r="BP5003" s="155"/>
      <c r="BQ5003" s="314"/>
      <c r="BR5003" s="314"/>
      <c r="BS5003" s="314"/>
      <c r="BT5003" s="314"/>
      <c r="BU5003" s="314"/>
      <c r="BV5003" s="314"/>
      <c r="BW5003" s="314"/>
      <c r="BX5003" s="155"/>
    </row>
    <row r="5004" spans="1:76" ht="15.75" customHeight="1">
      <c r="A5004" s="25"/>
      <c r="B5004" s="39"/>
      <c r="C5004" s="155"/>
      <c r="D5004" s="155"/>
      <c r="E5004" s="40"/>
      <c r="F5004" s="314"/>
      <c r="H5004" s="315"/>
      <c r="I5004" s="315"/>
      <c r="BA5004" s="30"/>
      <c r="BB5004" s="155"/>
      <c r="BC5004" s="314"/>
      <c r="BD5004" s="314"/>
      <c r="BE5004" s="314"/>
      <c r="BF5004" s="314"/>
      <c r="BG5004" s="314"/>
      <c r="BH5004" s="314"/>
      <c r="BI5004" s="314"/>
      <c r="BJ5004" s="314"/>
      <c r="BK5004" s="40"/>
      <c r="BL5004" s="40"/>
      <c r="BM5004" s="40"/>
      <c r="BN5004" s="40"/>
      <c r="BO5004" s="40"/>
      <c r="BP5004" s="155"/>
      <c r="BQ5004" s="314"/>
      <c r="BR5004" s="314"/>
      <c r="BS5004" s="314"/>
      <c r="BT5004" s="314"/>
      <c r="BU5004" s="314"/>
      <c r="BV5004" s="314"/>
      <c r="BW5004" s="314"/>
      <c r="BX5004" s="155"/>
    </row>
    <row r="5005" spans="1:76" ht="15.75" customHeight="1">
      <c r="A5005" s="25"/>
      <c r="B5005" s="39"/>
      <c r="C5005" s="155"/>
      <c r="D5005" s="155"/>
      <c r="E5005" s="40"/>
      <c r="F5005" s="314"/>
      <c r="H5005" s="315"/>
      <c r="I5005" s="315"/>
      <c r="BA5005" s="30"/>
      <c r="BB5005" s="155"/>
      <c r="BC5005" s="314"/>
      <c r="BD5005" s="314"/>
      <c r="BE5005" s="314"/>
      <c r="BF5005" s="314"/>
      <c r="BG5005" s="314"/>
      <c r="BH5005" s="314"/>
      <c r="BI5005" s="314"/>
      <c r="BJ5005" s="314"/>
      <c r="BK5005" s="40"/>
      <c r="BL5005" s="40"/>
      <c r="BM5005" s="40"/>
      <c r="BN5005" s="40"/>
      <c r="BO5005" s="40"/>
      <c r="BP5005" s="155"/>
      <c r="BQ5005" s="314"/>
      <c r="BR5005" s="314"/>
      <c r="BS5005" s="314"/>
      <c r="BT5005" s="314"/>
      <c r="BU5005" s="314"/>
      <c r="BV5005" s="314"/>
      <c r="BW5005" s="314"/>
      <c r="BX5005" s="155"/>
    </row>
    <row r="5006" spans="1:76" ht="15.75" customHeight="1">
      <c r="A5006" s="25"/>
      <c r="B5006" s="39"/>
      <c r="C5006" s="155"/>
      <c r="D5006" s="155"/>
      <c r="E5006" s="40"/>
      <c r="F5006" s="314"/>
      <c r="H5006" s="315"/>
      <c r="I5006" s="315"/>
      <c r="BA5006" s="30"/>
      <c r="BB5006" s="155"/>
      <c r="BC5006" s="314"/>
      <c r="BD5006" s="314"/>
      <c r="BE5006" s="314"/>
      <c r="BF5006" s="314"/>
      <c r="BG5006" s="314"/>
      <c r="BH5006" s="314"/>
      <c r="BI5006" s="314"/>
      <c r="BJ5006" s="314"/>
      <c r="BK5006" s="40"/>
      <c r="BL5006" s="40"/>
      <c r="BM5006" s="40"/>
      <c r="BN5006" s="40"/>
      <c r="BO5006" s="40"/>
      <c r="BP5006" s="155"/>
      <c r="BQ5006" s="314"/>
      <c r="BR5006" s="314"/>
      <c r="BS5006" s="314"/>
      <c r="BT5006" s="314"/>
      <c r="BU5006" s="314"/>
      <c r="BV5006" s="314"/>
      <c r="BW5006" s="314"/>
      <c r="BX5006" s="155"/>
    </row>
    <row r="5007" spans="1:76" ht="15.75" customHeight="1">
      <c r="A5007" s="25"/>
      <c r="B5007" s="39"/>
      <c r="C5007" s="155"/>
      <c r="D5007" s="155"/>
      <c r="E5007" s="40"/>
      <c r="F5007" s="314"/>
      <c r="H5007" s="315"/>
      <c r="I5007" s="315"/>
      <c r="BA5007" s="30"/>
      <c r="BB5007" s="155"/>
      <c r="BC5007" s="314"/>
      <c r="BD5007" s="314"/>
      <c r="BE5007" s="314"/>
      <c r="BF5007" s="314"/>
      <c r="BG5007" s="314"/>
      <c r="BH5007" s="314"/>
      <c r="BI5007" s="314"/>
      <c r="BJ5007" s="314"/>
      <c r="BK5007" s="40"/>
      <c r="BL5007" s="40"/>
      <c r="BM5007" s="40"/>
      <c r="BN5007" s="40"/>
      <c r="BO5007" s="40"/>
      <c r="BP5007" s="155"/>
      <c r="BQ5007" s="314"/>
      <c r="BR5007" s="314"/>
      <c r="BS5007" s="314"/>
      <c r="BT5007" s="314"/>
      <c r="BU5007" s="314"/>
      <c r="BV5007" s="314"/>
      <c r="BW5007" s="314"/>
      <c r="BX5007" s="155"/>
    </row>
    <row r="5008" spans="1:76" ht="15.75" customHeight="1">
      <c r="A5008" s="25"/>
      <c r="B5008" s="39"/>
      <c r="C5008" s="155"/>
      <c r="D5008" s="155"/>
      <c r="E5008" s="40"/>
      <c r="F5008" s="314"/>
      <c r="H5008" s="315"/>
      <c r="I5008" s="315"/>
      <c r="BA5008" s="30"/>
      <c r="BB5008" s="155"/>
      <c r="BC5008" s="314"/>
      <c r="BD5008" s="314"/>
      <c r="BE5008" s="314"/>
      <c r="BF5008" s="314"/>
      <c r="BG5008" s="314"/>
      <c r="BH5008" s="314"/>
      <c r="BI5008" s="314"/>
      <c r="BJ5008" s="314"/>
      <c r="BK5008" s="40"/>
      <c r="BL5008" s="40"/>
      <c r="BM5008" s="40"/>
      <c r="BN5008" s="40"/>
      <c r="BO5008" s="40"/>
      <c r="BP5008" s="155"/>
      <c r="BQ5008" s="314"/>
      <c r="BR5008" s="314"/>
      <c r="BS5008" s="314"/>
      <c r="BT5008" s="314"/>
      <c r="BU5008" s="314"/>
      <c r="BV5008" s="314"/>
      <c r="BW5008" s="314"/>
      <c r="BX5008" s="155"/>
    </row>
    <row r="5009" spans="1:76" ht="15.75" customHeight="1">
      <c r="A5009" s="25"/>
      <c r="B5009" s="39"/>
      <c r="C5009" s="155"/>
      <c r="D5009" s="155"/>
      <c r="E5009" s="40"/>
      <c r="F5009" s="314"/>
      <c r="H5009" s="315"/>
      <c r="I5009" s="315"/>
      <c r="BA5009" s="30"/>
      <c r="BB5009" s="155"/>
      <c r="BC5009" s="314"/>
      <c r="BD5009" s="314"/>
      <c r="BE5009" s="314"/>
      <c r="BF5009" s="314"/>
      <c r="BG5009" s="314"/>
      <c r="BH5009" s="314"/>
      <c r="BI5009" s="314"/>
      <c r="BJ5009" s="314"/>
      <c r="BK5009" s="40"/>
      <c r="BL5009" s="40"/>
      <c r="BM5009" s="40"/>
      <c r="BN5009" s="40"/>
      <c r="BO5009" s="40"/>
      <c r="BP5009" s="155"/>
      <c r="BQ5009" s="314"/>
      <c r="BR5009" s="314"/>
      <c r="BS5009" s="314"/>
      <c r="BT5009" s="314"/>
      <c r="BU5009" s="314"/>
      <c r="BV5009" s="314"/>
      <c r="BW5009" s="314"/>
      <c r="BX5009" s="155"/>
    </row>
    <row r="5010" spans="1:76" ht="15.75" customHeight="1">
      <c r="A5010" s="25"/>
      <c r="B5010" s="39"/>
      <c r="C5010" s="155"/>
      <c r="D5010" s="155"/>
      <c r="E5010" s="40"/>
      <c r="F5010" s="314"/>
      <c r="H5010" s="315"/>
      <c r="I5010" s="315"/>
      <c r="BA5010" s="30"/>
      <c r="BB5010" s="155"/>
      <c r="BC5010" s="314"/>
      <c r="BD5010" s="314"/>
      <c r="BE5010" s="314"/>
      <c r="BF5010" s="314"/>
      <c r="BG5010" s="314"/>
      <c r="BH5010" s="314"/>
      <c r="BI5010" s="314"/>
      <c r="BJ5010" s="314"/>
      <c r="BK5010" s="40"/>
      <c r="BL5010" s="40"/>
      <c r="BM5010" s="40"/>
      <c r="BN5010" s="40"/>
      <c r="BO5010" s="40"/>
      <c r="BP5010" s="155"/>
      <c r="BQ5010" s="314"/>
      <c r="BR5010" s="314"/>
      <c r="BS5010" s="314"/>
      <c r="BT5010" s="314"/>
      <c r="BU5010" s="314"/>
      <c r="BV5010" s="314"/>
      <c r="BW5010" s="314"/>
      <c r="BX5010" s="155"/>
    </row>
    <row r="5011" spans="1:76" ht="15.75" customHeight="1">
      <c r="A5011" s="25"/>
      <c r="B5011" s="39"/>
      <c r="C5011" s="155"/>
      <c r="D5011" s="155"/>
      <c r="E5011" s="40"/>
      <c r="F5011" s="314"/>
      <c r="H5011" s="315"/>
      <c r="I5011" s="315"/>
      <c r="BA5011" s="30"/>
      <c r="BB5011" s="155"/>
      <c r="BC5011" s="314"/>
      <c r="BD5011" s="314"/>
      <c r="BE5011" s="314"/>
      <c r="BF5011" s="314"/>
      <c r="BG5011" s="314"/>
      <c r="BH5011" s="314"/>
      <c r="BI5011" s="314"/>
      <c r="BJ5011" s="314"/>
      <c r="BK5011" s="40"/>
      <c r="BL5011" s="40"/>
      <c r="BM5011" s="40"/>
      <c r="BN5011" s="40"/>
      <c r="BO5011" s="40"/>
      <c r="BP5011" s="155"/>
      <c r="BQ5011" s="314"/>
      <c r="BR5011" s="314"/>
      <c r="BS5011" s="314"/>
      <c r="BT5011" s="314"/>
      <c r="BU5011" s="314"/>
      <c r="BV5011" s="314"/>
      <c r="BW5011" s="314"/>
      <c r="BX5011" s="155"/>
    </row>
    <row r="5012" spans="1:76" ht="15.75" customHeight="1">
      <c r="A5012" s="25"/>
      <c r="B5012" s="39"/>
      <c r="C5012" s="155"/>
      <c r="D5012" s="155"/>
      <c r="E5012" s="40"/>
      <c r="F5012" s="314"/>
      <c r="H5012" s="315"/>
      <c r="I5012" s="315"/>
      <c r="BA5012" s="30"/>
      <c r="BB5012" s="155"/>
      <c r="BC5012" s="314"/>
      <c r="BD5012" s="314"/>
      <c r="BE5012" s="314"/>
      <c r="BF5012" s="314"/>
      <c r="BG5012" s="314"/>
      <c r="BH5012" s="314"/>
      <c r="BI5012" s="314"/>
      <c r="BJ5012" s="314"/>
      <c r="BK5012" s="40"/>
      <c r="BL5012" s="40"/>
      <c r="BM5012" s="40"/>
      <c r="BN5012" s="40"/>
      <c r="BO5012" s="40"/>
      <c r="BP5012" s="155"/>
      <c r="BQ5012" s="314"/>
      <c r="BR5012" s="314"/>
      <c r="BS5012" s="314"/>
      <c r="BT5012" s="314"/>
      <c r="BU5012" s="314"/>
      <c r="BV5012" s="314"/>
      <c r="BW5012" s="314"/>
      <c r="BX5012" s="155"/>
    </row>
    <row r="5013" spans="1:76" ht="15.75" customHeight="1">
      <c r="A5013" s="25"/>
      <c r="B5013" s="39"/>
      <c r="C5013" s="155"/>
      <c r="D5013" s="155"/>
      <c r="E5013" s="40"/>
      <c r="F5013" s="314"/>
      <c r="H5013" s="315"/>
      <c r="I5013" s="315"/>
      <c r="BA5013" s="30"/>
      <c r="BB5013" s="155"/>
      <c r="BC5013" s="314"/>
      <c r="BD5013" s="314"/>
      <c r="BE5013" s="314"/>
      <c r="BF5013" s="314"/>
      <c r="BG5013" s="314"/>
      <c r="BH5013" s="314"/>
      <c r="BI5013" s="314"/>
      <c r="BJ5013" s="314"/>
      <c r="BK5013" s="40"/>
      <c r="BL5013" s="40"/>
      <c r="BM5013" s="40"/>
      <c r="BN5013" s="40"/>
      <c r="BO5013" s="40"/>
      <c r="BP5013" s="155"/>
      <c r="BQ5013" s="314"/>
      <c r="BR5013" s="314"/>
      <c r="BS5013" s="314"/>
      <c r="BT5013" s="314"/>
      <c r="BU5013" s="314"/>
      <c r="BV5013" s="314"/>
      <c r="BW5013" s="314"/>
      <c r="BX5013" s="155"/>
    </row>
    <row r="5014" spans="1:76" ht="15.75" customHeight="1">
      <c r="A5014" s="25"/>
      <c r="B5014" s="39"/>
      <c r="C5014" s="155"/>
      <c r="D5014" s="155"/>
      <c r="E5014" s="40"/>
      <c r="F5014" s="314"/>
      <c r="H5014" s="315"/>
      <c r="I5014" s="315"/>
      <c r="BA5014" s="30"/>
      <c r="BB5014" s="155"/>
      <c r="BC5014" s="314"/>
      <c r="BD5014" s="314"/>
      <c r="BE5014" s="314"/>
      <c r="BF5014" s="314"/>
      <c r="BG5014" s="314"/>
      <c r="BH5014" s="314"/>
      <c r="BI5014" s="314"/>
      <c r="BJ5014" s="314"/>
      <c r="BK5014" s="40"/>
      <c r="BL5014" s="40"/>
      <c r="BM5014" s="40"/>
      <c r="BN5014" s="40"/>
      <c r="BO5014" s="40"/>
      <c r="BP5014" s="155"/>
      <c r="BQ5014" s="314"/>
      <c r="BR5014" s="314"/>
      <c r="BS5014" s="314"/>
      <c r="BT5014" s="314"/>
      <c r="BU5014" s="314"/>
      <c r="BV5014" s="314"/>
      <c r="BW5014" s="314"/>
      <c r="BX5014" s="155"/>
    </row>
    <row r="5015" spans="1:76" ht="15.75" customHeight="1">
      <c r="A5015" s="25"/>
      <c r="B5015" s="39"/>
      <c r="C5015" s="155"/>
      <c r="D5015" s="155"/>
      <c r="E5015" s="40"/>
      <c r="F5015" s="314"/>
      <c r="H5015" s="315"/>
      <c r="I5015" s="315"/>
      <c r="BA5015" s="30"/>
      <c r="BB5015" s="155"/>
      <c r="BC5015" s="314"/>
      <c r="BD5015" s="314"/>
      <c r="BE5015" s="314"/>
      <c r="BF5015" s="314"/>
      <c r="BG5015" s="314"/>
      <c r="BH5015" s="314"/>
      <c r="BI5015" s="314"/>
      <c r="BJ5015" s="314"/>
      <c r="BK5015" s="40"/>
      <c r="BL5015" s="40"/>
      <c r="BM5015" s="40"/>
      <c r="BN5015" s="40"/>
      <c r="BO5015" s="40"/>
      <c r="BP5015" s="155"/>
      <c r="BQ5015" s="314"/>
      <c r="BR5015" s="314"/>
      <c r="BS5015" s="314"/>
      <c r="BT5015" s="314"/>
      <c r="BU5015" s="314"/>
      <c r="BV5015" s="314"/>
      <c r="BW5015" s="314"/>
      <c r="BX5015" s="155"/>
    </row>
    <row r="5016" spans="1:76" ht="15.75" customHeight="1">
      <c r="A5016" s="25"/>
      <c r="B5016" s="39"/>
      <c r="C5016" s="155"/>
      <c r="D5016" s="155"/>
      <c r="E5016" s="40"/>
      <c r="F5016" s="314"/>
      <c r="H5016" s="315"/>
      <c r="I5016" s="315"/>
      <c r="BA5016" s="30"/>
      <c r="BB5016" s="155"/>
      <c r="BC5016" s="314"/>
      <c r="BD5016" s="314"/>
      <c r="BE5016" s="314"/>
      <c r="BF5016" s="314"/>
      <c r="BG5016" s="314"/>
      <c r="BH5016" s="314"/>
      <c r="BI5016" s="314"/>
      <c r="BJ5016" s="314"/>
      <c r="BK5016" s="40"/>
      <c r="BL5016" s="40"/>
      <c r="BM5016" s="40"/>
      <c r="BN5016" s="40"/>
      <c r="BO5016" s="40"/>
      <c r="BP5016" s="155"/>
      <c r="BQ5016" s="314"/>
      <c r="BR5016" s="314"/>
      <c r="BS5016" s="314"/>
      <c r="BT5016" s="314"/>
      <c r="BU5016" s="314"/>
      <c r="BV5016" s="314"/>
      <c r="BW5016" s="314"/>
      <c r="BX5016" s="155"/>
    </row>
    <row r="5017" spans="1:76" ht="15.75" customHeight="1">
      <c r="A5017" s="25"/>
      <c r="B5017" s="39"/>
      <c r="C5017" s="155"/>
      <c r="D5017" s="155"/>
      <c r="E5017" s="40"/>
      <c r="F5017" s="314"/>
      <c r="H5017" s="315"/>
      <c r="I5017" s="315"/>
      <c r="BA5017" s="30"/>
      <c r="BB5017" s="155"/>
      <c r="BC5017" s="314"/>
      <c r="BD5017" s="314"/>
      <c r="BE5017" s="314"/>
      <c r="BF5017" s="314"/>
      <c r="BG5017" s="314"/>
      <c r="BH5017" s="314"/>
      <c r="BI5017" s="314"/>
      <c r="BJ5017" s="314"/>
      <c r="BK5017" s="40"/>
      <c r="BL5017" s="40"/>
      <c r="BM5017" s="40"/>
      <c r="BN5017" s="40"/>
      <c r="BO5017" s="40"/>
      <c r="BP5017" s="155"/>
      <c r="BQ5017" s="314"/>
      <c r="BR5017" s="314"/>
      <c r="BS5017" s="314"/>
      <c r="BT5017" s="314"/>
      <c r="BU5017" s="314"/>
      <c r="BV5017" s="314"/>
      <c r="BW5017" s="314"/>
      <c r="BX5017" s="155"/>
    </row>
    <row r="5018" spans="1:76" ht="15.75" customHeight="1">
      <c r="A5018" s="25"/>
      <c r="B5018" s="39"/>
      <c r="C5018" s="155"/>
      <c r="D5018" s="155"/>
      <c r="E5018" s="40"/>
      <c r="F5018" s="314"/>
      <c r="H5018" s="315"/>
      <c r="I5018" s="315"/>
      <c r="BA5018" s="30"/>
      <c r="BB5018" s="155"/>
      <c r="BC5018" s="314"/>
      <c r="BD5018" s="314"/>
      <c r="BE5018" s="314"/>
      <c r="BF5018" s="314"/>
      <c r="BG5018" s="314"/>
      <c r="BH5018" s="314"/>
      <c r="BI5018" s="314"/>
      <c r="BJ5018" s="314"/>
      <c r="BK5018" s="40"/>
      <c r="BL5018" s="40"/>
      <c r="BM5018" s="40"/>
      <c r="BN5018" s="40"/>
      <c r="BO5018" s="40"/>
      <c r="BP5018" s="155"/>
      <c r="BQ5018" s="314"/>
      <c r="BR5018" s="314"/>
      <c r="BS5018" s="314"/>
      <c r="BT5018" s="314"/>
      <c r="BU5018" s="314"/>
      <c r="BV5018" s="314"/>
      <c r="BW5018" s="314"/>
      <c r="BX5018" s="155"/>
    </row>
    <row r="5019" spans="1:76" ht="15.75" customHeight="1">
      <c r="A5019" s="25"/>
      <c r="B5019" s="39"/>
      <c r="C5019" s="155"/>
      <c r="D5019" s="155"/>
      <c r="E5019" s="40"/>
      <c r="F5019" s="314"/>
      <c r="H5019" s="315"/>
      <c r="I5019" s="315"/>
      <c r="BA5019" s="30"/>
      <c r="BB5019" s="155"/>
      <c r="BC5019" s="314"/>
      <c r="BD5019" s="314"/>
      <c r="BE5019" s="314"/>
      <c r="BF5019" s="314"/>
      <c r="BG5019" s="314"/>
      <c r="BH5019" s="314"/>
      <c r="BI5019" s="314"/>
      <c r="BJ5019" s="314"/>
      <c r="BK5019" s="40"/>
      <c r="BL5019" s="40"/>
      <c r="BM5019" s="40"/>
      <c r="BN5019" s="40"/>
      <c r="BO5019" s="40"/>
      <c r="BP5019" s="155"/>
      <c r="BQ5019" s="314"/>
      <c r="BR5019" s="314"/>
      <c r="BS5019" s="314"/>
      <c r="BT5019" s="314"/>
      <c r="BU5019" s="314"/>
      <c r="BV5019" s="314"/>
      <c r="BW5019" s="314"/>
      <c r="BX5019" s="155"/>
    </row>
    <row r="5020" spans="1:76" ht="15.75" customHeight="1">
      <c r="A5020" s="25"/>
      <c r="B5020" s="39"/>
      <c r="C5020" s="155"/>
      <c r="D5020" s="155"/>
      <c r="E5020" s="40"/>
      <c r="F5020" s="314"/>
      <c r="H5020" s="315"/>
      <c r="I5020" s="315"/>
      <c r="BA5020" s="30"/>
      <c r="BB5020" s="155"/>
      <c r="BC5020" s="314"/>
      <c r="BD5020" s="314"/>
      <c r="BE5020" s="314"/>
      <c r="BF5020" s="314"/>
      <c r="BG5020" s="314"/>
      <c r="BH5020" s="314"/>
      <c r="BI5020" s="314"/>
      <c r="BJ5020" s="314"/>
      <c r="BK5020" s="40"/>
      <c r="BL5020" s="40"/>
      <c r="BM5020" s="40"/>
      <c r="BN5020" s="40"/>
      <c r="BO5020" s="40"/>
      <c r="BP5020" s="155"/>
      <c r="BQ5020" s="314"/>
      <c r="BR5020" s="314"/>
      <c r="BS5020" s="314"/>
      <c r="BT5020" s="314"/>
      <c r="BU5020" s="314"/>
      <c r="BV5020" s="314"/>
      <c r="BW5020" s="314"/>
      <c r="BX5020" s="155"/>
    </row>
    <row r="5021" spans="1:76" ht="15.75" customHeight="1">
      <c r="A5021" s="25"/>
      <c r="B5021" s="39"/>
      <c r="C5021" s="155"/>
      <c r="D5021" s="155"/>
      <c r="E5021" s="40"/>
      <c r="F5021" s="314"/>
      <c r="H5021" s="315"/>
      <c r="I5021" s="315"/>
      <c r="BA5021" s="30"/>
      <c r="BB5021" s="155"/>
      <c r="BC5021" s="314"/>
      <c r="BD5021" s="314"/>
      <c r="BE5021" s="314"/>
      <c r="BF5021" s="314"/>
      <c r="BG5021" s="314"/>
      <c r="BH5021" s="314"/>
      <c r="BI5021" s="314"/>
      <c r="BJ5021" s="314"/>
      <c r="BK5021" s="40"/>
      <c r="BL5021" s="40"/>
      <c r="BM5021" s="40"/>
      <c r="BN5021" s="40"/>
      <c r="BO5021" s="40"/>
      <c r="BP5021" s="155"/>
      <c r="BQ5021" s="314"/>
      <c r="BR5021" s="314"/>
      <c r="BS5021" s="314"/>
      <c r="BT5021" s="314"/>
      <c r="BU5021" s="314"/>
      <c r="BV5021" s="314"/>
      <c r="BW5021" s="314"/>
      <c r="BX5021" s="155"/>
    </row>
    <row r="5022" spans="1:76" ht="15.75" customHeight="1">
      <c r="A5022" s="25"/>
      <c r="B5022" s="39"/>
      <c r="C5022" s="155"/>
      <c r="D5022" s="155"/>
      <c r="E5022" s="40"/>
      <c r="F5022" s="314"/>
      <c r="H5022" s="315"/>
      <c r="I5022" s="315"/>
      <c r="BA5022" s="30"/>
      <c r="BB5022" s="155"/>
      <c r="BC5022" s="322"/>
      <c r="BD5022" s="322"/>
      <c r="BE5022" s="322"/>
      <c r="BF5022" s="322"/>
      <c r="BG5022" s="322"/>
      <c r="BH5022" s="322"/>
      <c r="BI5022" s="322"/>
      <c r="BJ5022" s="322"/>
      <c r="BK5022" s="341"/>
      <c r="BL5022" s="40"/>
      <c r="BM5022" s="40"/>
      <c r="BN5022" s="40"/>
      <c r="BO5022" s="40"/>
      <c r="BP5022" s="155"/>
      <c r="BQ5022" s="314"/>
      <c r="BR5022" s="314"/>
      <c r="BS5022" s="314"/>
      <c r="BT5022" s="314"/>
      <c r="BU5022" s="314"/>
      <c r="BV5022" s="314"/>
      <c r="BW5022" s="314"/>
      <c r="BX5022" s="155"/>
    </row>
    <row r="5023" spans="1:76" ht="15.75" customHeight="1">
      <c r="A5023" s="25"/>
      <c r="B5023" s="39"/>
      <c r="C5023" s="155"/>
      <c r="D5023" s="155"/>
      <c r="E5023" s="40"/>
      <c r="F5023" s="314"/>
      <c r="H5023" s="315"/>
      <c r="I5023" s="315"/>
      <c r="BA5023" s="30"/>
      <c r="BB5023" s="155"/>
      <c r="BC5023" s="314"/>
      <c r="BD5023" s="314"/>
      <c r="BE5023" s="314"/>
      <c r="BF5023" s="314"/>
      <c r="BG5023" s="314"/>
      <c r="BH5023" s="314"/>
      <c r="BI5023" s="314"/>
      <c r="BJ5023" s="314"/>
      <c r="BK5023" s="40"/>
      <c r="BL5023" s="40"/>
      <c r="BM5023" s="40"/>
      <c r="BN5023" s="40"/>
      <c r="BO5023" s="40"/>
      <c r="BP5023" s="155"/>
      <c r="BQ5023" s="314"/>
      <c r="BR5023" s="314"/>
      <c r="BS5023" s="314"/>
      <c r="BT5023" s="314"/>
      <c r="BU5023" s="314"/>
      <c r="BV5023" s="314"/>
      <c r="BW5023" s="314"/>
      <c r="BX5023" s="155"/>
    </row>
    <row r="5024" spans="1:76" ht="15.75" customHeight="1">
      <c r="A5024" s="25"/>
      <c r="B5024" s="39"/>
      <c r="C5024" s="155"/>
      <c r="D5024" s="155"/>
      <c r="E5024" s="40"/>
      <c r="F5024" s="314"/>
      <c r="H5024" s="315"/>
      <c r="I5024" s="315"/>
      <c r="BA5024" s="30"/>
      <c r="BB5024" s="155"/>
      <c r="BC5024" s="314"/>
      <c r="BD5024" s="314"/>
      <c r="BE5024" s="314"/>
      <c r="BF5024" s="314"/>
      <c r="BG5024" s="314"/>
      <c r="BH5024" s="314"/>
      <c r="BI5024" s="314"/>
      <c r="BJ5024" s="314"/>
      <c r="BK5024" s="40"/>
      <c r="BL5024" s="40"/>
      <c r="BM5024" s="40"/>
      <c r="BN5024" s="40"/>
      <c r="BO5024" s="40"/>
      <c r="BP5024" s="155"/>
      <c r="BQ5024" s="314"/>
      <c r="BR5024" s="314"/>
      <c r="BS5024" s="314"/>
      <c r="BT5024" s="314"/>
      <c r="BU5024" s="314"/>
      <c r="BV5024" s="314"/>
      <c r="BW5024" s="314"/>
      <c r="BX5024" s="155"/>
    </row>
    <row r="5025" spans="1:76" ht="15.75" customHeight="1">
      <c r="A5025" s="25"/>
      <c r="B5025" s="39"/>
      <c r="C5025" s="155"/>
      <c r="D5025" s="155"/>
      <c r="E5025" s="40"/>
      <c r="F5025" s="314"/>
      <c r="H5025" s="315"/>
      <c r="I5025" s="315"/>
      <c r="BA5025" s="30"/>
      <c r="BB5025" s="155"/>
      <c r="BC5025" s="314"/>
      <c r="BD5025" s="314"/>
      <c r="BE5025" s="314"/>
      <c r="BF5025" s="314"/>
      <c r="BG5025" s="314"/>
      <c r="BH5025" s="314"/>
      <c r="BI5025" s="314"/>
      <c r="BJ5025" s="314"/>
      <c r="BK5025" s="40"/>
      <c r="BL5025" s="40"/>
      <c r="BM5025" s="40"/>
      <c r="BN5025" s="40"/>
      <c r="BO5025" s="40"/>
      <c r="BP5025" s="155"/>
      <c r="BQ5025" s="314"/>
      <c r="BR5025" s="314"/>
      <c r="BS5025" s="314"/>
      <c r="BT5025" s="314"/>
      <c r="BU5025" s="314"/>
      <c r="BV5025" s="314"/>
      <c r="BW5025" s="314"/>
      <c r="BX5025" s="155"/>
    </row>
    <row r="5026" spans="1:76" ht="15.75" customHeight="1">
      <c r="A5026" s="25"/>
      <c r="B5026" s="39"/>
      <c r="C5026" s="155"/>
      <c r="D5026" s="155"/>
      <c r="E5026" s="40"/>
      <c r="F5026" s="314"/>
      <c r="H5026" s="315"/>
      <c r="I5026" s="315"/>
      <c r="BA5026" s="30"/>
      <c r="BB5026" s="155"/>
      <c r="BC5026" s="314"/>
      <c r="BD5026" s="314"/>
      <c r="BE5026" s="314"/>
      <c r="BF5026" s="314"/>
      <c r="BG5026" s="314"/>
      <c r="BH5026" s="314"/>
      <c r="BI5026" s="314"/>
      <c r="BJ5026" s="314"/>
      <c r="BK5026" s="40"/>
      <c r="BL5026" s="40"/>
      <c r="BM5026" s="40"/>
      <c r="BN5026" s="40"/>
      <c r="BO5026" s="40"/>
      <c r="BP5026" s="155"/>
      <c r="BQ5026" s="314"/>
      <c r="BR5026" s="314"/>
      <c r="BS5026" s="314"/>
      <c r="BT5026" s="314"/>
      <c r="BU5026" s="314"/>
      <c r="BV5026" s="314"/>
      <c r="BW5026" s="314"/>
      <c r="BX5026" s="155"/>
    </row>
    <row r="5027" spans="1:76" ht="15.75" customHeight="1">
      <c r="A5027" s="25"/>
      <c r="B5027" s="39"/>
      <c r="C5027" s="155"/>
      <c r="D5027" s="155"/>
      <c r="E5027" s="40"/>
      <c r="F5027" s="314"/>
      <c r="H5027" s="315"/>
      <c r="I5027" s="315"/>
      <c r="BA5027" s="30"/>
      <c r="BB5027" s="155"/>
      <c r="BC5027" s="314"/>
      <c r="BD5027" s="314"/>
      <c r="BE5027" s="314"/>
      <c r="BF5027" s="314"/>
      <c r="BG5027" s="314"/>
      <c r="BH5027" s="314"/>
      <c r="BI5027" s="314"/>
      <c r="BJ5027" s="314"/>
      <c r="BK5027" s="40"/>
      <c r="BL5027" s="40"/>
      <c r="BM5027" s="40"/>
      <c r="BN5027" s="40"/>
      <c r="BO5027" s="40"/>
      <c r="BP5027" s="155"/>
      <c r="BQ5027" s="314"/>
      <c r="BR5027" s="314"/>
      <c r="BS5027" s="314"/>
      <c r="BT5027" s="314"/>
      <c r="BU5027" s="314"/>
      <c r="BV5027" s="314"/>
      <c r="BW5027" s="314"/>
      <c r="BX5027" s="155"/>
    </row>
    <row r="5028" spans="1:76" ht="15.75" customHeight="1">
      <c r="A5028" s="25"/>
      <c r="B5028" s="39"/>
      <c r="C5028" s="155"/>
      <c r="D5028" s="155"/>
      <c r="E5028" s="40"/>
      <c r="F5028" s="314"/>
      <c r="H5028" s="315"/>
      <c r="I5028" s="315"/>
      <c r="BA5028" s="30"/>
      <c r="BB5028" s="155"/>
      <c r="BC5028" s="314"/>
      <c r="BD5028" s="314"/>
      <c r="BE5028" s="314"/>
      <c r="BF5028" s="314"/>
      <c r="BG5028" s="314"/>
      <c r="BH5028" s="314"/>
      <c r="BI5028" s="314"/>
      <c r="BJ5028" s="314"/>
      <c r="BK5028" s="40"/>
      <c r="BL5028" s="40"/>
      <c r="BM5028" s="40"/>
      <c r="BN5028" s="40"/>
      <c r="BO5028" s="40"/>
      <c r="BP5028" s="155"/>
      <c r="BQ5028" s="314"/>
      <c r="BR5028" s="314"/>
      <c r="BS5028" s="314"/>
      <c r="BT5028" s="314"/>
      <c r="BU5028" s="314"/>
      <c r="BV5028" s="314"/>
      <c r="BW5028" s="314"/>
      <c r="BX5028" s="155"/>
    </row>
    <row r="5029" spans="1:76" ht="15.75" customHeight="1">
      <c r="A5029" s="25"/>
      <c r="B5029" s="39"/>
      <c r="C5029" s="155"/>
      <c r="D5029" s="155"/>
      <c r="E5029" s="40"/>
      <c r="F5029" s="314"/>
      <c r="H5029" s="315"/>
      <c r="I5029" s="315"/>
      <c r="BA5029" s="30"/>
      <c r="BB5029" s="155"/>
      <c r="BC5029" s="314"/>
      <c r="BD5029" s="314"/>
      <c r="BE5029" s="314"/>
      <c r="BF5029" s="314"/>
      <c r="BG5029" s="314"/>
      <c r="BH5029" s="314"/>
      <c r="BI5029" s="314"/>
      <c r="BJ5029" s="314"/>
      <c r="BK5029" s="40"/>
      <c r="BL5029" s="40"/>
      <c r="BM5029" s="40"/>
      <c r="BN5029" s="40"/>
      <c r="BO5029" s="40"/>
      <c r="BP5029" s="155"/>
      <c r="BQ5029" s="314"/>
      <c r="BR5029" s="314"/>
      <c r="BS5029" s="314"/>
      <c r="BT5029" s="314"/>
      <c r="BU5029" s="314"/>
      <c r="BV5029" s="314"/>
      <c r="BW5029" s="314"/>
      <c r="BX5029" s="155"/>
    </row>
    <row r="5030" spans="1:76" ht="15.75" customHeight="1">
      <c r="A5030" s="25"/>
      <c r="B5030" s="39"/>
      <c r="C5030" s="155"/>
      <c r="D5030" s="155"/>
      <c r="E5030" s="40"/>
      <c r="F5030" s="314"/>
      <c r="H5030" s="315"/>
      <c r="I5030" s="315"/>
      <c r="BA5030" s="30"/>
      <c r="BB5030" s="155"/>
      <c r="BC5030" s="314"/>
      <c r="BD5030" s="314"/>
      <c r="BE5030" s="314"/>
      <c r="BF5030" s="314"/>
      <c r="BG5030" s="314"/>
      <c r="BH5030" s="314"/>
      <c r="BI5030" s="314"/>
      <c r="BJ5030" s="314"/>
      <c r="BK5030" s="40"/>
      <c r="BL5030" s="40"/>
      <c r="BM5030" s="40"/>
      <c r="BN5030" s="40"/>
      <c r="BO5030" s="40"/>
      <c r="BP5030" s="155"/>
      <c r="BQ5030" s="314"/>
      <c r="BR5030" s="314"/>
      <c r="BS5030" s="314"/>
      <c r="BT5030" s="314"/>
      <c r="BU5030" s="314"/>
      <c r="BV5030" s="314"/>
      <c r="BW5030" s="314"/>
      <c r="BX5030" s="155"/>
    </row>
    <row r="5031" spans="1:76" ht="15.75" customHeight="1">
      <c r="A5031" s="25"/>
      <c r="B5031" s="39"/>
      <c r="C5031" s="155"/>
      <c r="D5031" s="155"/>
      <c r="E5031" s="40"/>
      <c r="F5031" s="314"/>
      <c r="H5031" s="315"/>
      <c r="I5031" s="315"/>
      <c r="BA5031" s="30"/>
      <c r="BB5031" s="155"/>
      <c r="BC5031" s="314"/>
      <c r="BD5031" s="314"/>
      <c r="BE5031" s="314"/>
      <c r="BF5031" s="314"/>
      <c r="BG5031" s="314"/>
      <c r="BH5031" s="314"/>
      <c r="BI5031" s="314"/>
      <c r="BJ5031" s="314"/>
      <c r="BK5031" s="40"/>
      <c r="BL5031" s="40"/>
      <c r="BM5031" s="40"/>
      <c r="BN5031" s="40"/>
      <c r="BO5031" s="40"/>
      <c r="BP5031" s="155"/>
      <c r="BQ5031" s="314"/>
      <c r="BR5031" s="314"/>
      <c r="BS5031" s="314"/>
      <c r="BT5031" s="314"/>
      <c r="BU5031" s="314"/>
      <c r="BV5031" s="314"/>
      <c r="BW5031" s="314"/>
      <c r="BX5031" s="155"/>
    </row>
    <row r="5032" spans="1:76" ht="15.75" customHeight="1">
      <c r="A5032" s="25"/>
      <c r="B5032" s="39"/>
      <c r="C5032" s="155"/>
      <c r="D5032" s="155"/>
      <c r="E5032" s="40"/>
      <c r="F5032" s="314"/>
      <c r="H5032" s="315"/>
      <c r="I5032" s="315"/>
      <c r="BA5032" s="30"/>
      <c r="BB5032" s="155"/>
      <c r="BC5032" s="314"/>
      <c r="BD5032" s="314"/>
      <c r="BE5032" s="314"/>
      <c r="BF5032" s="314"/>
      <c r="BG5032" s="314"/>
      <c r="BH5032" s="314"/>
      <c r="BI5032" s="314"/>
      <c r="BJ5032" s="314"/>
      <c r="BK5032" s="40"/>
      <c r="BL5032" s="40"/>
      <c r="BM5032" s="40"/>
      <c r="BN5032" s="40"/>
      <c r="BO5032" s="40"/>
      <c r="BP5032" s="155"/>
      <c r="BQ5032" s="314"/>
      <c r="BR5032" s="314"/>
      <c r="BS5032" s="314"/>
      <c r="BT5032" s="314"/>
      <c r="BU5032" s="314"/>
      <c r="BV5032" s="314"/>
      <c r="BW5032" s="314"/>
      <c r="BX5032" s="155"/>
    </row>
    <row r="5033" spans="1:76" ht="15.75" customHeight="1">
      <c r="A5033" s="25"/>
      <c r="B5033" s="39"/>
      <c r="C5033" s="155"/>
      <c r="D5033" s="155"/>
      <c r="E5033" s="40"/>
      <c r="F5033" s="314"/>
      <c r="H5033" s="315"/>
      <c r="I5033" s="315"/>
      <c r="BA5033" s="30"/>
      <c r="BB5033" s="155"/>
      <c r="BC5033" s="314"/>
      <c r="BD5033" s="314"/>
      <c r="BE5033" s="314"/>
      <c r="BF5033" s="314"/>
      <c r="BG5033" s="314"/>
      <c r="BH5033" s="314"/>
      <c r="BI5033" s="314"/>
      <c r="BJ5033" s="314"/>
      <c r="BK5033" s="40"/>
      <c r="BL5033" s="40"/>
      <c r="BM5033" s="40"/>
      <c r="BN5033" s="40"/>
      <c r="BO5033" s="40"/>
      <c r="BP5033" s="155"/>
      <c r="BQ5033" s="314"/>
      <c r="BR5033" s="314"/>
      <c r="BS5033" s="314"/>
      <c r="BT5033" s="314"/>
      <c r="BU5033" s="314"/>
      <c r="BV5033" s="314"/>
      <c r="BW5033" s="314"/>
      <c r="BX5033" s="155"/>
    </row>
    <row r="5034" spans="1:76" ht="15.75" customHeight="1">
      <c r="A5034" s="25"/>
      <c r="B5034" s="39"/>
      <c r="C5034" s="155"/>
      <c r="D5034" s="155"/>
      <c r="E5034" s="40"/>
      <c r="F5034" s="314"/>
      <c r="H5034" s="315"/>
      <c r="I5034" s="315"/>
      <c r="BA5034" s="30"/>
      <c r="BB5034" s="155"/>
      <c r="BC5034" s="314"/>
      <c r="BD5034" s="314"/>
      <c r="BE5034" s="314"/>
      <c r="BF5034" s="314"/>
      <c r="BG5034" s="314"/>
      <c r="BH5034" s="314"/>
      <c r="BI5034" s="314"/>
      <c r="BJ5034" s="314"/>
      <c r="BK5034" s="40"/>
      <c r="BL5034" s="40"/>
      <c r="BM5034" s="40"/>
      <c r="BN5034" s="40"/>
      <c r="BO5034" s="40"/>
      <c r="BP5034" s="155"/>
      <c r="BQ5034" s="314"/>
      <c r="BR5034" s="314"/>
      <c r="BS5034" s="314"/>
      <c r="BT5034" s="314"/>
      <c r="BU5034" s="314"/>
      <c r="BV5034" s="314"/>
      <c r="BW5034" s="314"/>
      <c r="BX5034" s="155"/>
    </row>
    <row r="5035" spans="1:76" ht="15.75" customHeight="1">
      <c r="A5035" s="25"/>
      <c r="B5035" s="39"/>
      <c r="C5035" s="155"/>
      <c r="D5035" s="155"/>
      <c r="E5035" s="40"/>
      <c r="F5035" s="314"/>
      <c r="H5035" s="315"/>
      <c r="I5035" s="315"/>
      <c r="BA5035" s="30"/>
      <c r="BB5035" s="155"/>
      <c r="BC5035" s="314"/>
      <c r="BD5035" s="314"/>
      <c r="BE5035" s="314"/>
      <c r="BF5035" s="314"/>
      <c r="BG5035" s="314"/>
      <c r="BH5035" s="314"/>
      <c r="BI5035" s="314"/>
      <c r="BJ5035" s="314"/>
      <c r="BK5035" s="40"/>
      <c r="BL5035" s="40"/>
      <c r="BM5035" s="40"/>
      <c r="BN5035" s="40"/>
      <c r="BO5035" s="40"/>
      <c r="BP5035" s="155"/>
      <c r="BQ5035" s="314"/>
      <c r="BR5035" s="314"/>
      <c r="BS5035" s="314"/>
      <c r="BT5035" s="314"/>
      <c r="BU5035" s="314"/>
      <c r="BV5035" s="314"/>
      <c r="BW5035" s="314"/>
      <c r="BX5035" s="155"/>
    </row>
    <row r="5036" spans="1:76" ht="15.75" customHeight="1">
      <c r="A5036" s="25"/>
      <c r="B5036" s="39"/>
      <c r="C5036" s="155"/>
      <c r="D5036" s="155"/>
      <c r="E5036" s="40"/>
      <c r="F5036" s="314"/>
      <c r="H5036" s="315"/>
      <c r="I5036" s="315"/>
      <c r="BA5036" s="30"/>
      <c r="BB5036" s="155"/>
      <c r="BC5036" s="314"/>
      <c r="BD5036" s="314"/>
      <c r="BE5036" s="314"/>
      <c r="BF5036" s="314"/>
      <c r="BG5036" s="314"/>
      <c r="BH5036" s="314"/>
      <c r="BI5036" s="314"/>
      <c r="BJ5036" s="314"/>
      <c r="BK5036" s="40"/>
      <c r="BL5036" s="40"/>
      <c r="BM5036" s="40"/>
      <c r="BN5036" s="40"/>
      <c r="BO5036" s="40"/>
      <c r="BP5036" s="155"/>
      <c r="BQ5036" s="314"/>
      <c r="BR5036" s="314"/>
      <c r="BS5036" s="314"/>
      <c r="BT5036" s="314"/>
      <c r="BU5036" s="314"/>
      <c r="BV5036" s="314"/>
      <c r="BW5036" s="314"/>
      <c r="BX5036" s="155"/>
    </row>
    <row r="5037" spans="1:76" ht="15.75" customHeight="1">
      <c r="A5037" s="25"/>
      <c r="B5037" s="39"/>
      <c r="C5037" s="155"/>
      <c r="D5037" s="155"/>
      <c r="E5037" s="40"/>
      <c r="F5037" s="314"/>
      <c r="H5037" s="315"/>
      <c r="I5037" s="315"/>
      <c r="BA5037" s="30"/>
      <c r="BB5037" s="155"/>
      <c r="BC5037" s="314"/>
      <c r="BD5037" s="314"/>
      <c r="BE5037" s="314"/>
      <c r="BF5037" s="314"/>
      <c r="BG5037" s="314"/>
      <c r="BH5037" s="314"/>
      <c r="BI5037" s="314"/>
      <c r="BJ5037" s="314"/>
      <c r="BK5037" s="40"/>
      <c r="BL5037" s="40"/>
      <c r="BM5037" s="40"/>
      <c r="BN5037" s="40"/>
      <c r="BO5037" s="40"/>
      <c r="BP5037" s="155"/>
      <c r="BQ5037" s="314"/>
      <c r="BR5037" s="314"/>
      <c r="BS5037" s="314"/>
      <c r="BT5037" s="314"/>
      <c r="BU5037" s="314"/>
      <c r="BV5037" s="314"/>
      <c r="BW5037" s="314"/>
      <c r="BX5037" s="155"/>
    </row>
    <row r="5038" spans="1:76" ht="15.75" customHeight="1">
      <c r="A5038" s="25"/>
      <c r="B5038" s="39"/>
      <c r="C5038" s="155"/>
      <c r="D5038" s="155"/>
      <c r="E5038" s="40"/>
      <c r="F5038" s="314"/>
      <c r="H5038" s="315"/>
      <c r="I5038" s="315"/>
      <c r="BA5038" s="30"/>
      <c r="BB5038" s="155"/>
      <c r="BC5038" s="314"/>
      <c r="BD5038" s="314"/>
      <c r="BE5038" s="314"/>
      <c r="BF5038" s="314"/>
      <c r="BG5038" s="314"/>
      <c r="BH5038" s="314"/>
      <c r="BI5038" s="314"/>
      <c r="BJ5038" s="314"/>
      <c r="BK5038" s="40"/>
      <c r="BL5038" s="40"/>
      <c r="BM5038" s="40"/>
      <c r="BN5038" s="40"/>
      <c r="BO5038" s="40"/>
      <c r="BP5038" s="155"/>
      <c r="BQ5038" s="314"/>
      <c r="BR5038" s="314"/>
      <c r="BS5038" s="314"/>
      <c r="BT5038" s="314"/>
      <c r="BU5038" s="314"/>
      <c r="BV5038" s="314"/>
      <c r="BW5038" s="314"/>
      <c r="BX5038" s="155"/>
    </row>
    <row r="5039" spans="1:76" ht="15.75" customHeight="1">
      <c r="A5039" s="25"/>
      <c r="B5039" s="39"/>
      <c r="C5039" s="155"/>
      <c r="D5039" s="155"/>
      <c r="E5039" s="40"/>
      <c r="F5039" s="314"/>
      <c r="H5039" s="315"/>
      <c r="I5039" s="315"/>
      <c r="BA5039" s="30"/>
      <c r="BB5039" s="155"/>
      <c r="BC5039" s="314"/>
      <c r="BD5039" s="314"/>
      <c r="BE5039" s="314"/>
      <c r="BF5039" s="314"/>
      <c r="BG5039" s="314"/>
      <c r="BH5039" s="314"/>
      <c r="BI5039" s="314"/>
      <c r="BJ5039" s="314"/>
      <c r="BK5039" s="40"/>
      <c r="BL5039" s="40"/>
      <c r="BM5039" s="40"/>
      <c r="BN5039" s="40"/>
      <c r="BO5039" s="40"/>
      <c r="BP5039" s="155"/>
      <c r="BQ5039" s="314"/>
      <c r="BR5039" s="314"/>
      <c r="BS5039" s="314"/>
      <c r="BT5039" s="314"/>
      <c r="BU5039" s="314"/>
      <c r="BV5039" s="314"/>
      <c r="BW5039" s="314"/>
      <c r="BX5039" s="155"/>
    </row>
    <row r="5040" spans="1:76" ht="15.75" customHeight="1">
      <c r="A5040" s="25"/>
      <c r="B5040" s="39"/>
      <c r="C5040" s="155"/>
      <c r="D5040" s="155"/>
      <c r="E5040" s="40"/>
      <c r="F5040" s="314"/>
      <c r="H5040" s="315"/>
      <c r="I5040" s="315"/>
      <c r="BA5040" s="30"/>
      <c r="BB5040" s="155"/>
      <c r="BC5040" s="322"/>
      <c r="BD5040" s="322"/>
      <c r="BE5040" s="322"/>
      <c r="BF5040" s="322"/>
      <c r="BG5040" s="322"/>
      <c r="BH5040" s="322"/>
      <c r="BI5040" s="322"/>
      <c r="BJ5040" s="322"/>
      <c r="BK5040" s="341"/>
      <c r="BL5040" s="40"/>
      <c r="BM5040" s="40"/>
      <c r="BN5040" s="40"/>
      <c r="BO5040" s="40"/>
      <c r="BP5040" s="155"/>
      <c r="BQ5040" s="314"/>
      <c r="BR5040" s="314"/>
      <c r="BS5040" s="314"/>
      <c r="BT5040" s="314"/>
      <c r="BU5040" s="314"/>
      <c r="BV5040" s="314"/>
      <c r="BW5040" s="314"/>
      <c r="BX5040" s="155"/>
    </row>
    <row r="5041" spans="1:76" ht="15.75" customHeight="1">
      <c r="A5041" s="25"/>
      <c r="B5041" s="39"/>
      <c r="C5041" s="155"/>
      <c r="D5041" s="155"/>
      <c r="E5041" s="40"/>
      <c r="F5041" s="314"/>
      <c r="H5041" s="315"/>
      <c r="I5041" s="315"/>
      <c r="BA5041" s="30"/>
      <c r="BB5041" s="155"/>
      <c r="BC5041" s="314"/>
      <c r="BD5041" s="314"/>
      <c r="BE5041" s="314"/>
      <c r="BF5041" s="314"/>
      <c r="BG5041" s="314"/>
      <c r="BH5041" s="314"/>
      <c r="BI5041" s="314"/>
      <c r="BJ5041" s="314"/>
      <c r="BK5041" s="40"/>
      <c r="BL5041" s="40"/>
      <c r="BM5041" s="40"/>
      <c r="BN5041" s="40"/>
      <c r="BO5041" s="40"/>
      <c r="BP5041" s="155"/>
      <c r="BQ5041" s="314"/>
      <c r="BR5041" s="314"/>
      <c r="BS5041" s="314"/>
      <c r="BT5041" s="314"/>
      <c r="BU5041" s="314"/>
      <c r="BV5041" s="314"/>
      <c r="BW5041" s="314"/>
      <c r="BX5041" s="155"/>
    </row>
    <row r="5042" spans="1:76" ht="15.75" customHeight="1">
      <c r="A5042" s="25"/>
      <c r="B5042" s="39"/>
      <c r="C5042" s="155"/>
      <c r="D5042" s="155"/>
      <c r="E5042" s="40"/>
      <c r="F5042" s="314"/>
      <c r="H5042" s="315"/>
      <c r="I5042" s="315"/>
      <c r="BA5042" s="30"/>
      <c r="BB5042" s="155"/>
      <c r="BC5042" s="314"/>
      <c r="BD5042" s="314"/>
      <c r="BE5042" s="314"/>
      <c r="BF5042" s="314"/>
      <c r="BG5042" s="314"/>
      <c r="BH5042" s="314"/>
      <c r="BI5042" s="314"/>
      <c r="BJ5042" s="314"/>
      <c r="BK5042" s="40"/>
      <c r="BL5042" s="40"/>
      <c r="BM5042" s="40"/>
      <c r="BN5042" s="40"/>
      <c r="BO5042" s="40"/>
      <c r="BP5042" s="155"/>
      <c r="BQ5042" s="314"/>
      <c r="BR5042" s="314"/>
      <c r="BS5042" s="314"/>
      <c r="BT5042" s="314"/>
      <c r="BU5042" s="314"/>
      <c r="BV5042" s="314"/>
      <c r="BW5042" s="314"/>
      <c r="BX5042" s="155"/>
    </row>
    <row r="5043" spans="1:76" ht="15.75" customHeight="1">
      <c r="A5043" s="25"/>
      <c r="B5043" s="39"/>
      <c r="C5043" s="155"/>
      <c r="D5043" s="155"/>
      <c r="E5043" s="40"/>
      <c r="F5043" s="314"/>
      <c r="H5043" s="315"/>
      <c r="I5043" s="315"/>
      <c r="BA5043" s="30"/>
      <c r="BB5043" s="155"/>
      <c r="BC5043" s="314"/>
      <c r="BD5043" s="314"/>
      <c r="BE5043" s="314"/>
      <c r="BF5043" s="314"/>
      <c r="BG5043" s="314"/>
      <c r="BH5043" s="314"/>
      <c r="BI5043" s="314"/>
      <c r="BJ5043" s="314"/>
      <c r="BK5043" s="40"/>
      <c r="BL5043" s="40"/>
      <c r="BM5043" s="40"/>
      <c r="BN5043" s="40"/>
      <c r="BO5043" s="40"/>
      <c r="BP5043" s="155"/>
      <c r="BQ5043" s="314"/>
      <c r="BR5043" s="314"/>
      <c r="BS5043" s="314"/>
      <c r="BT5043" s="314"/>
      <c r="BU5043" s="314"/>
      <c r="BV5043" s="314"/>
      <c r="BW5043" s="314"/>
      <c r="BX5043" s="155"/>
    </row>
    <row r="5044" spans="1:76" ht="15.75" customHeight="1">
      <c r="A5044" s="25"/>
      <c r="B5044" s="39"/>
      <c r="C5044" s="155"/>
      <c r="D5044" s="155"/>
      <c r="E5044" s="40"/>
      <c r="F5044" s="314"/>
      <c r="H5044" s="315"/>
      <c r="I5044" s="315"/>
      <c r="BA5044" s="30"/>
      <c r="BB5044" s="155"/>
      <c r="BC5044" s="314"/>
      <c r="BD5044" s="314"/>
      <c r="BE5044" s="314"/>
      <c r="BF5044" s="314"/>
      <c r="BG5044" s="314"/>
      <c r="BH5044" s="314"/>
      <c r="BI5044" s="314"/>
      <c r="BJ5044" s="314"/>
      <c r="BK5044" s="40"/>
      <c r="BL5044" s="40"/>
      <c r="BM5044" s="40"/>
      <c r="BN5044" s="40"/>
      <c r="BO5044" s="40"/>
      <c r="BP5044" s="155"/>
      <c r="BQ5044" s="314"/>
      <c r="BR5044" s="314"/>
      <c r="BS5044" s="314"/>
      <c r="BT5044" s="314"/>
      <c r="BU5044" s="314"/>
      <c r="BV5044" s="314"/>
      <c r="BW5044" s="314"/>
      <c r="BX5044" s="155"/>
    </row>
    <row r="5045" spans="1:76" ht="15.75" customHeight="1">
      <c r="A5045" s="25"/>
      <c r="B5045" s="39"/>
      <c r="C5045" s="155"/>
      <c r="D5045" s="155"/>
      <c r="E5045" s="40"/>
      <c r="F5045" s="314"/>
      <c r="H5045" s="315"/>
      <c r="I5045" s="315"/>
      <c r="BA5045" s="30"/>
      <c r="BB5045" s="155"/>
      <c r="BC5045" s="314"/>
      <c r="BD5045" s="314"/>
      <c r="BE5045" s="314"/>
      <c r="BF5045" s="314"/>
      <c r="BG5045" s="314"/>
      <c r="BH5045" s="314"/>
      <c r="BI5045" s="314"/>
      <c r="BJ5045" s="314"/>
      <c r="BK5045" s="40"/>
      <c r="BL5045" s="40"/>
      <c r="BM5045" s="40"/>
      <c r="BN5045" s="40"/>
      <c r="BO5045" s="40"/>
      <c r="BP5045" s="155"/>
      <c r="BQ5045" s="314"/>
      <c r="BR5045" s="314"/>
      <c r="BS5045" s="314"/>
      <c r="BT5045" s="314"/>
      <c r="BU5045" s="314"/>
      <c r="BV5045" s="314"/>
      <c r="BW5045" s="314"/>
      <c r="BX5045" s="155"/>
    </row>
    <row r="5046" spans="1:76" ht="15.75" customHeight="1">
      <c r="A5046" s="25"/>
      <c r="B5046" s="39"/>
      <c r="C5046" s="155"/>
      <c r="D5046" s="155"/>
      <c r="E5046" s="40"/>
      <c r="F5046" s="314"/>
      <c r="H5046" s="315"/>
      <c r="I5046" s="315"/>
      <c r="BA5046" s="30"/>
      <c r="BB5046" s="155"/>
      <c r="BC5046" s="314"/>
      <c r="BD5046" s="314"/>
      <c r="BE5046" s="314"/>
      <c r="BF5046" s="314"/>
      <c r="BG5046" s="314"/>
      <c r="BH5046" s="314"/>
      <c r="BI5046" s="314"/>
      <c r="BJ5046" s="314"/>
      <c r="BK5046" s="40"/>
      <c r="BL5046" s="40"/>
      <c r="BM5046" s="40"/>
      <c r="BN5046" s="40"/>
      <c r="BO5046" s="40"/>
      <c r="BP5046" s="155"/>
      <c r="BQ5046" s="314"/>
      <c r="BR5046" s="314"/>
      <c r="BS5046" s="314"/>
      <c r="BT5046" s="314"/>
      <c r="BU5046" s="314"/>
      <c r="BV5046" s="314"/>
      <c r="BW5046" s="314"/>
      <c r="BX5046" s="155"/>
    </row>
    <row r="5047" spans="1:76" ht="15.75" customHeight="1">
      <c r="A5047" s="25"/>
      <c r="B5047" s="39"/>
      <c r="C5047" s="155"/>
      <c r="D5047" s="155"/>
      <c r="E5047" s="40"/>
      <c r="F5047" s="314"/>
      <c r="H5047" s="315"/>
      <c r="I5047" s="315"/>
      <c r="BA5047" s="30"/>
      <c r="BB5047" s="155"/>
      <c r="BC5047" s="314"/>
      <c r="BD5047" s="314"/>
      <c r="BE5047" s="314"/>
      <c r="BF5047" s="314"/>
      <c r="BG5047" s="314"/>
      <c r="BH5047" s="314"/>
      <c r="BI5047" s="314"/>
      <c r="BJ5047" s="314"/>
      <c r="BK5047" s="40"/>
      <c r="BL5047" s="40"/>
      <c r="BM5047" s="40"/>
      <c r="BN5047" s="40"/>
      <c r="BO5047" s="40"/>
      <c r="BP5047" s="155"/>
      <c r="BQ5047" s="314"/>
      <c r="BR5047" s="314"/>
      <c r="BS5047" s="314"/>
      <c r="BT5047" s="314"/>
      <c r="BU5047" s="314"/>
      <c r="BV5047" s="314"/>
      <c r="BW5047" s="314"/>
      <c r="BX5047" s="155"/>
    </row>
    <row r="5048" spans="1:76" ht="15.75" customHeight="1">
      <c r="A5048" s="25"/>
      <c r="B5048" s="39"/>
      <c r="C5048" s="155"/>
      <c r="D5048" s="155"/>
      <c r="E5048" s="40"/>
      <c r="F5048" s="314"/>
      <c r="H5048" s="315"/>
      <c r="I5048" s="315"/>
      <c r="BA5048" s="30"/>
      <c r="BB5048" s="155"/>
      <c r="BC5048" s="314"/>
      <c r="BD5048" s="314"/>
      <c r="BE5048" s="314"/>
      <c r="BF5048" s="314"/>
      <c r="BG5048" s="314"/>
      <c r="BH5048" s="314"/>
      <c r="BI5048" s="314"/>
      <c r="BJ5048" s="314"/>
      <c r="BK5048" s="40"/>
      <c r="BL5048" s="40"/>
      <c r="BM5048" s="40"/>
      <c r="BN5048" s="40"/>
      <c r="BO5048" s="40"/>
      <c r="BP5048" s="155"/>
      <c r="BQ5048" s="314"/>
      <c r="BR5048" s="314"/>
      <c r="BS5048" s="314"/>
      <c r="BT5048" s="314"/>
      <c r="BU5048" s="314"/>
      <c r="BV5048" s="314"/>
      <c r="BW5048" s="314"/>
      <c r="BX5048" s="155"/>
    </row>
    <row r="5049" spans="1:76" ht="15.75" customHeight="1">
      <c r="A5049" s="25"/>
      <c r="B5049" s="39"/>
      <c r="C5049" s="155"/>
      <c r="D5049" s="155"/>
      <c r="E5049" s="40"/>
      <c r="F5049" s="314"/>
      <c r="H5049" s="315"/>
      <c r="I5049" s="315"/>
      <c r="BA5049" s="30"/>
      <c r="BB5049" s="155"/>
      <c r="BC5049" s="314"/>
      <c r="BD5049" s="314"/>
      <c r="BE5049" s="314"/>
      <c r="BF5049" s="314"/>
      <c r="BG5049" s="314"/>
      <c r="BH5049" s="314"/>
      <c r="BI5049" s="314"/>
      <c r="BJ5049" s="314"/>
      <c r="BK5049" s="40"/>
      <c r="BL5049" s="40"/>
      <c r="BM5049" s="40"/>
      <c r="BN5049" s="40"/>
      <c r="BO5049" s="40"/>
      <c r="BP5049" s="155"/>
      <c r="BQ5049" s="314"/>
      <c r="BR5049" s="314"/>
      <c r="BS5049" s="314"/>
      <c r="BT5049" s="314"/>
      <c r="BU5049" s="314"/>
      <c r="BV5049" s="314"/>
      <c r="BW5049" s="314"/>
      <c r="BX5049" s="155"/>
    </row>
    <row r="5050" spans="1:76" ht="15.75" customHeight="1">
      <c r="A5050" s="25"/>
      <c r="B5050" s="39"/>
      <c r="C5050" s="155"/>
      <c r="D5050" s="155"/>
      <c r="E5050" s="40"/>
      <c r="F5050" s="314"/>
      <c r="H5050" s="315"/>
      <c r="I5050" s="315"/>
      <c r="BA5050" s="30"/>
      <c r="BB5050" s="155"/>
      <c r="BC5050" s="314"/>
      <c r="BD5050" s="314"/>
      <c r="BE5050" s="314"/>
      <c r="BF5050" s="314"/>
      <c r="BG5050" s="314"/>
      <c r="BH5050" s="314"/>
      <c r="BI5050" s="314"/>
      <c r="BJ5050" s="314"/>
      <c r="BK5050" s="40"/>
      <c r="BL5050" s="40"/>
      <c r="BM5050" s="40"/>
      <c r="BN5050" s="40"/>
      <c r="BO5050" s="40"/>
      <c r="BP5050" s="155"/>
      <c r="BQ5050" s="314"/>
      <c r="BR5050" s="314"/>
      <c r="BS5050" s="314"/>
      <c r="BT5050" s="314"/>
      <c r="BU5050" s="314"/>
      <c r="BV5050" s="314"/>
      <c r="BW5050" s="314"/>
      <c r="BX5050" s="155"/>
    </row>
    <row r="5051" spans="1:76" ht="15.75" customHeight="1">
      <c r="A5051" s="25"/>
      <c r="B5051" s="39"/>
      <c r="C5051" s="155"/>
      <c r="D5051" s="155"/>
      <c r="E5051" s="40"/>
      <c r="F5051" s="314"/>
      <c r="H5051" s="315"/>
      <c r="I5051" s="315"/>
      <c r="BA5051" s="30"/>
      <c r="BB5051" s="155"/>
      <c r="BC5051" s="314"/>
      <c r="BD5051" s="314"/>
      <c r="BE5051" s="314"/>
      <c r="BF5051" s="314"/>
      <c r="BG5051" s="314"/>
      <c r="BH5051" s="314"/>
      <c r="BI5051" s="314"/>
      <c r="BJ5051" s="314"/>
      <c r="BK5051" s="40"/>
      <c r="BL5051" s="40"/>
      <c r="BM5051" s="40"/>
      <c r="BN5051" s="40"/>
      <c r="BO5051" s="40"/>
      <c r="BP5051" s="155"/>
      <c r="BQ5051" s="314"/>
      <c r="BR5051" s="314"/>
      <c r="BS5051" s="314"/>
      <c r="BT5051" s="314"/>
      <c r="BU5051" s="314"/>
      <c r="BV5051" s="314"/>
      <c r="BW5051" s="314"/>
      <c r="BX5051" s="155"/>
    </row>
    <row r="5052" spans="1:76" ht="15.75" customHeight="1">
      <c r="A5052" s="25"/>
      <c r="B5052" s="39"/>
      <c r="C5052" s="155"/>
      <c r="D5052" s="155"/>
      <c r="E5052" s="40"/>
      <c r="F5052" s="314"/>
      <c r="H5052" s="315"/>
      <c r="I5052" s="315"/>
      <c r="BA5052" s="30"/>
      <c r="BB5052" s="155"/>
      <c r="BC5052" s="314"/>
      <c r="BD5052" s="314"/>
      <c r="BE5052" s="314"/>
      <c r="BF5052" s="314"/>
      <c r="BG5052" s="314"/>
      <c r="BH5052" s="314"/>
      <c r="BI5052" s="314"/>
      <c r="BJ5052" s="314"/>
      <c r="BK5052" s="40"/>
      <c r="BL5052" s="40"/>
      <c r="BM5052" s="40"/>
      <c r="BN5052" s="40"/>
      <c r="BO5052" s="40"/>
      <c r="BP5052" s="155"/>
      <c r="BQ5052" s="314"/>
      <c r="BR5052" s="314"/>
      <c r="BS5052" s="314"/>
      <c r="BT5052" s="314"/>
      <c r="BU5052" s="314"/>
      <c r="BV5052" s="314"/>
      <c r="BW5052" s="314"/>
      <c r="BX5052" s="155"/>
    </row>
    <row r="5053" spans="1:76" ht="15.75" customHeight="1">
      <c r="A5053" s="25"/>
      <c r="B5053" s="39"/>
      <c r="C5053" s="155"/>
      <c r="D5053" s="155"/>
      <c r="E5053" s="40"/>
      <c r="F5053" s="314"/>
      <c r="H5053" s="315"/>
      <c r="I5053" s="315"/>
      <c r="BA5053" s="30"/>
      <c r="BB5053" s="155"/>
      <c r="BC5053" s="314"/>
      <c r="BD5053" s="314"/>
      <c r="BE5053" s="314"/>
      <c r="BF5053" s="314"/>
      <c r="BG5053" s="314"/>
      <c r="BH5053" s="314"/>
      <c r="BI5053" s="314"/>
      <c r="BJ5053" s="314"/>
      <c r="BK5053" s="40"/>
      <c r="BL5053" s="40"/>
      <c r="BM5053" s="40"/>
      <c r="BN5053" s="40"/>
      <c r="BO5053" s="40"/>
      <c r="BP5053" s="155"/>
      <c r="BQ5053" s="314"/>
      <c r="BR5053" s="314"/>
      <c r="BS5053" s="314"/>
      <c r="BT5053" s="314"/>
      <c r="BU5053" s="314"/>
      <c r="BV5053" s="314"/>
      <c r="BW5053" s="314"/>
      <c r="BX5053" s="155"/>
    </row>
    <row r="5054" spans="1:76" ht="15.75" customHeight="1">
      <c r="A5054" s="25"/>
      <c r="B5054" s="39"/>
      <c r="C5054" s="155"/>
      <c r="D5054" s="155"/>
      <c r="E5054" s="40"/>
      <c r="F5054" s="314"/>
      <c r="H5054" s="315"/>
      <c r="I5054" s="315"/>
      <c r="BA5054" s="30"/>
      <c r="BB5054" s="155"/>
      <c r="BC5054" s="314"/>
      <c r="BD5054" s="314"/>
      <c r="BE5054" s="314"/>
      <c r="BF5054" s="314"/>
      <c r="BG5054" s="314"/>
      <c r="BH5054" s="314"/>
      <c r="BI5054" s="314"/>
      <c r="BJ5054" s="314"/>
      <c r="BK5054" s="40"/>
      <c r="BL5054" s="40"/>
      <c r="BM5054" s="40"/>
      <c r="BN5054" s="40"/>
      <c r="BO5054" s="40"/>
      <c r="BP5054" s="155"/>
      <c r="BQ5054" s="314"/>
      <c r="BR5054" s="314"/>
      <c r="BS5054" s="314"/>
      <c r="BT5054" s="314"/>
      <c r="BU5054" s="314"/>
      <c r="BV5054" s="314"/>
      <c r="BW5054" s="314"/>
      <c r="BX5054" s="155"/>
    </row>
    <row r="5055" spans="1:76" ht="15.75" customHeight="1">
      <c r="A5055" s="25"/>
      <c r="B5055" s="39"/>
      <c r="C5055" s="155"/>
      <c r="D5055" s="155"/>
      <c r="E5055" s="40"/>
      <c r="F5055" s="314"/>
      <c r="H5055" s="315"/>
      <c r="I5055" s="315"/>
      <c r="BA5055" s="30"/>
      <c r="BB5055" s="155"/>
      <c r="BC5055" s="314"/>
      <c r="BD5055" s="314"/>
      <c r="BE5055" s="314"/>
      <c r="BF5055" s="314"/>
      <c r="BG5055" s="314"/>
      <c r="BH5055" s="314"/>
      <c r="BI5055" s="314"/>
      <c r="BJ5055" s="314"/>
      <c r="BK5055" s="40"/>
      <c r="BL5055" s="40"/>
      <c r="BM5055" s="40"/>
      <c r="BN5055" s="40"/>
      <c r="BO5055" s="40"/>
      <c r="BP5055" s="155"/>
      <c r="BQ5055" s="314"/>
      <c r="BR5055" s="314"/>
      <c r="BS5055" s="314"/>
      <c r="BT5055" s="314"/>
      <c r="BU5055" s="314"/>
      <c r="BV5055" s="314"/>
      <c r="BW5055" s="314"/>
      <c r="BX5055" s="155"/>
    </row>
    <row r="5056" spans="1:76" ht="15.75" customHeight="1">
      <c r="A5056" s="25"/>
      <c r="B5056" s="39"/>
      <c r="C5056" s="155"/>
      <c r="D5056" s="155"/>
      <c r="E5056" s="40"/>
      <c r="F5056" s="314"/>
      <c r="H5056" s="315"/>
      <c r="I5056" s="315"/>
      <c r="BA5056" s="30"/>
      <c r="BB5056" s="155"/>
      <c r="BC5056" s="314"/>
      <c r="BD5056" s="314"/>
      <c r="BE5056" s="314"/>
      <c r="BF5056" s="314"/>
      <c r="BG5056" s="314"/>
      <c r="BH5056" s="314"/>
      <c r="BI5056" s="314"/>
      <c r="BJ5056" s="314"/>
      <c r="BK5056" s="40"/>
      <c r="BL5056" s="40"/>
      <c r="BM5056" s="40"/>
      <c r="BN5056" s="40"/>
      <c r="BO5056" s="40"/>
      <c r="BP5056" s="155"/>
      <c r="BQ5056" s="314"/>
      <c r="BR5056" s="314"/>
      <c r="BS5056" s="314"/>
      <c r="BT5056" s="314"/>
      <c r="BU5056" s="314"/>
      <c r="BV5056" s="314"/>
      <c r="BW5056" s="314"/>
      <c r="BX5056" s="155"/>
    </row>
    <row r="5057" spans="1:76" ht="15.75" customHeight="1">
      <c r="A5057" s="25"/>
      <c r="B5057" s="39"/>
      <c r="C5057" s="155"/>
      <c r="D5057" s="155"/>
      <c r="E5057" s="40"/>
      <c r="F5057" s="314"/>
      <c r="H5057" s="315"/>
      <c r="I5057" s="315"/>
      <c r="BA5057" s="30"/>
      <c r="BB5057" s="155"/>
      <c r="BC5057" s="314"/>
      <c r="BD5057" s="314"/>
      <c r="BE5057" s="314"/>
      <c r="BF5057" s="314"/>
      <c r="BG5057" s="314"/>
      <c r="BH5057" s="314"/>
      <c r="BI5057" s="314"/>
      <c r="BJ5057" s="314"/>
      <c r="BK5057" s="40"/>
      <c r="BL5057" s="40"/>
      <c r="BM5057" s="40"/>
      <c r="BN5057" s="40"/>
      <c r="BO5057" s="40"/>
      <c r="BP5057" s="155"/>
      <c r="BQ5057" s="314"/>
      <c r="BR5057" s="314"/>
      <c r="BS5057" s="314"/>
      <c r="BT5057" s="314"/>
      <c r="BU5057" s="314"/>
      <c r="BV5057" s="314"/>
      <c r="BW5057" s="314"/>
      <c r="BX5057" s="155"/>
    </row>
    <row r="5058" spans="1:76" ht="15.75" customHeight="1">
      <c r="A5058" s="25"/>
      <c r="B5058" s="39"/>
      <c r="C5058" s="155"/>
      <c r="D5058" s="155"/>
      <c r="E5058" s="40"/>
      <c r="F5058" s="314"/>
      <c r="H5058" s="315"/>
      <c r="I5058" s="315"/>
      <c r="BA5058" s="30"/>
      <c r="BB5058" s="155"/>
      <c r="BC5058" s="314"/>
      <c r="BD5058" s="314"/>
      <c r="BE5058" s="314"/>
      <c r="BF5058" s="314"/>
      <c r="BG5058" s="314"/>
      <c r="BH5058" s="314"/>
      <c r="BI5058" s="314"/>
      <c r="BJ5058" s="314"/>
      <c r="BK5058" s="40"/>
      <c r="BL5058" s="40"/>
      <c r="BM5058" s="40"/>
      <c r="BN5058" s="40"/>
      <c r="BO5058" s="40"/>
      <c r="BP5058" s="155"/>
      <c r="BQ5058" s="314"/>
      <c r="BR5058" s="314"/>
      <c r="BS5058" s="314"/>
      <c r="BT5058" s="314"/>
      <c r="BU5058" s="314"/>
      <c r="BV5058" s="314"/>
      <c r="BW5058" s="314"/>
      <c r="BX5058" s="155"/>
    </row>
    <row r="5059" spans="1:76" ht="15.75" customHeight="1">
      <c r="A5059" s="25"/>
      <c r="B5059" s="39"/>
      <c r="C5059" s="155"/>
      <c r="D5059" s="155"/>
      <c r="E5059" s="40"/>
      <c r="F5059" s="314"/>
      <c r="H5059" s="315"/>
      <c r="I5059" s="315"/>
      <c r="BA5059" s="30"/>
      <c r="BB5059" s="155"/>
      <c r="BC5059" s="314"/>
      <c r="BD5059" s="314"/>
      <c r="BE5059" s="314"/>
      <c r="BF5059" s="314"/>
      <c r="BG5059" s="314"/>
      <c r="BH5059" s="314"/>
      <c r="BI5059" s="314"/>
      <c r="BJ5059" s="314"/>
      <c r="BK5059" s="40"/>
      <c r="BL5059" s="40"/>
      <c r="BM5059" s="40"/>
      <c r="BN5059" s="40"/>
      <c r="BO5059" s="40"/>
      <c r="BP5059" s="155"/>
      <c r="BQ5059" s="314"/>
      <c r="BR5059" s="314"/>
      <c r="BS5059" s="314"/>
      <c r="BT5059" s="314"/>
      <c r="BU5059" s="314"/>
      <c r="BV5059" s="314"/>
      <c r="BW5059" s="314"/>
      <c r="BX5059" s="155"/>
    </row>
    <row r="5060" spans="1:76" ht="15.75" customHeight="1">
      <c r="A5060" s="25"/>
      <c r="B5060" s="39"/>
      <c r="C5060" s="155"/>
      <c r="D5060" s="155"/>
      <c r="E5060" s="40"/>
      <c r="F5060" s="314"/>
      <c r="H5060" s="315"/>
      <c r="I5060" s="315"/>
      <c r="BA5060" s="30"/>
      <c r="BB5060" s="155"/>
      <c r="BC5060" s="314"/>
      <c r="BD5060" s="314"/>
      <c r="BE5060" s="314"/>
      <c r="BF5060" s="314"/>
      <c r="BG5060" s="314"/>
      <c r="BH5060" s="314"/>
      <c r="BI5060" s="314"/>
      <c r="BJ5060" s="314"/>
      <c r="BK5060" s="40"/>
      <c r="BL5060" s="40"/>
      <c r="BM5060" s="40"/>
      <c r="BN5060" s="40"/>
      <c r="BO5060" s="40"/>
      <c r="BP5060" s="155"/>
      <c r="BQ5060" s="314"/>
      <c r="BR5060" s="314"/>
      <c r="BS5060" s="314"/>
      <c r="BT5060" s="314"/>
      <c r="BU5060" s="314"/>
      <c r="BV5060" s="314"/>
      <c r="BW5060" s="314"/>
      <c r="BX5060" s="155"/>
    </row>
    <row r="5061" spans="1:76" ht="15.75" customHeight="1">
      <c r="A5061" s="25"/>
      <c r="B5061" s="39"/>
      <c r="C5061" s="155"/>
      <c r="D5061" s="155"/>
      <c r="E5061" s="40"/>
      <c r="F5061" s="314"/>
      <c r="H5061" s="315"/>
      <c r="I5061" s="315"/>
      <c r="BA5061" s="30"/>
      <c r="BB5061" s="155"/>
      <c r="BC5061" s="314"/>
      <c r="BD5061" s="314"/>
      <c r="BE5061" s="314"/>
      <c r="BF5061" s="314"/>
      <c r="BG5061" s="314"/>
      <c r="BH5061" s="314"/>
      <c r="BI5061" s="314"/>
      <c r="BJ5061" s="314"/>
      <c r="BK5061" s="40"/>
      <c r="BL5061" s="40"/>
      <c r="BM5061" s="40"/>
      <c r="BN5061" s="40"/>
      <c r="BO5061" s="40"/>
      <c r="BP5061" s="155"/>
      <c r="BQ5061" s="314"/>
      <c r="BR5061" s="314"/>
      <c r="BS5061" s="314"/>
      <c r="BT5061" s="314"/>
      <c r="BU5061" s="314"/>
      <c r="BV5061" s="314"/>
      <c r="BW5061" s="314"/>
      <c r="BX5061" s="155"/>
    </row>
    <row r="5062" spans="1:76" ht="15.75" customHeight="1">
      <c r="A5062" s="25"/>
      <c r="B5062" s="39"/>
      <c r="C5062" s="155"/>
      <c r="D5062" s="155"/>
      <c r="E5062" s="40"/>
      <c r="F5062" s="314"/>
      <c r="H5062" s="315"/>
      <c r="I5062" s="315"/>
      <c r="BA5062" s="30"/>
      <c r="BB5062" s="155"/>
      <c r="BC5062" s="314"/>
      <c r="BD5062" s="314"/>
      <c r="BE5062" s="314"/>
      <c r="BF5062" s="314"/>
      <c r="BG5062" s="314"/>
      <c r="BH5062" s="314"/>
      <c r="BI5062" s="314"/>
      <c r="BJ5062" s="314"/>
      <c r="BK5062" s="40"/>
      <c r="BL5062" s="40"/>
      <c r="BM5062" s="40"/>
      <c r="BN5062" s="40"/>
      <c r="BO5062" s="40"/>
      <c r="BP5062" s="155"/>
      <c r="BQ5062" s="314"/>
      <c r="BR5062" s="314"/>
      <c r="BS5062" s="314"/>
      <c r="BT5062" s="314"/>
      <c r="BU5062" s="314"/>
      <c r="BV5062" s="314"/>
      <c r="BW5062" s="314"/>
      <c r="BX5062" s="155"/>
    </row>
    <row r="5063" spans="1:76" ht="15.75" customHeight="1">
      <c r="A5063" s="25"/>
      <c r="B5063" s="39"/>
      <c r="C5063" s="155"/>
      <c r="D5063" s="155"/>
      <c r="E5063" s="40"/>
      <c r="F5063" s="314"/>
      <c r="H5063" s="315"/>
      <c r="I5063" s="315"/>
      <c r="BA5063" s="30"/>
      <c r="BB5063" s="155"/>
      <c r="BC5063" s="314"/>
      <c r="BD5063" s="314"/>
      <c r="BE5063" s="314"/>
      <c r="BF5063" s="314"/>
      <c r="BG5063" s="314"/>
      <c r="BH5063" s="314"/>
      <c r="BI5063" s="314"/>
      <c r="BJ5063" s="314"/>
      <c r="BK5063" s="40"/>
      <c r="BL5063" s="40"/>
      <c r="BM5063" s="40"/>
      <c r="BN5063" s="40"/>
      <c r="BO5063" s="40"/>
      <c r="BP5063" s="155"/>
      <c r="BQ5063" s="314"/>
      <c r="BR5063" s="314"/>
      <c r="BS5063" s="314"/>
      <c r="BT5063" s="314"/>
      <c r="BU5063" s="314"/>
      <c r="BV5063" s="314"/>
      <c r="BW5063" s="314"/>
      <c r="BX5063" s="155"/>
    </row>
    <row r="5064" spans="1:76" ht="15.75" customHeight="1">
      <c r="A5064" s="25"/>
      <c r="B5064" s="39"/>
      <c r="C5064" s="155"/>
      <c r="D5064" s="155"/>
      <c r="E5064" s="40"/>
      <c r="F5064" s="314"/>
      <c r="H5064" s="315"/>
      <c r="I5064" s="315"/>
      <c r="BA5064" s="30"/>
      <c r="BB5064" s="155"/>
      <c r="BC5064" s="314"/>
      <c r="BD5064" s="314"/>
      <c r="BE5064" s="314"/>
      <c r="BF5064" s="314"/>
      <c r="BG5064" s="314"/>
      <c r="BH5064" s="314"/>
      <c r="BI5064" s="314"/>
      <c r="BJ5064" s="314"/>
      <c r="BK5064" s="40"/>
      <c r="BL5064" s="40"/>
      <c r="BM5064" s="40"/>
      <c r="BN5064" s="40"/>
      <c r="BO5064" s="40"/>
      <c r="BP5064" s="155"/>
      <c r="BQ5064" s="314"/>
      <c r="BR5064" s="314"/>
      <c r="BS5064" s="314"/>
      <c r="BT5064" s="314"/>
      <c r="BU5064" s="314"/>
      <c r="BV5064" s="314"/>
      <c r="BW5064" s="314"/>
      <c r="BX5064" s="155"/>
    </row>
    <row r="5065" spans="1:76" ht="15.75" customHeight="1">
      <c r="A5065" s="25"/>
      <c r="B5065" s="39"/>
      <c r="C5065" s="155"/>
      <c r="D5065" s="155"/>
      <c r="E5065" s="40"/>
      <c r="F5065" s="314"/>
      <c r="H5065" s="315"/>
      <c r="I5065" s="315"/>
      <c r="BA5065" s="30"/>
      <c r="BB5065" s="155"/>
      <c r="BC5065" s="314"/>
      <c r="BD5065" s="314"/>
      <c r="BE5065" s="314"/>
      <c r="BF5065" s="314"/>
      <c r="BG5065" s="314"/>
      <c r="BH5065" s="314"/>
      <c r="BI5065" s="314"/>
      <c r="BJ5065" s="314"/>
      <c r="BK5065" s="40"/>
      <c r="BL5065" s="40"/>
      <c r="BM5065" s="40"/>
      <c r="BN5065" s="40"/>
      <c r="BO5065" s="40"/>
      <c r="BP5065" s="155"/>
      <c r="BQ5065" s="314"/>
      <c r="BR5065" s="314"/>
      <c r="BS5065" s="314"/>
      <c r="BT5065" s="314"/>
      <c r="BU5065" s="314"/>
      <c r="BV5065" s="314"/>
      <c r="BW5065" s="314"/>
      <c r="BX5065" s="155"/>
    </row>
    <row r="5066" spans="1:76" ht="15.75" customHeight="1">
      <c r="A5066" s="25"/>
      <c r="B5066" s="39"/>
      <c r="C5066" s="155"/>
      <c r="D5066" s="155"/>
      <c r="E5066" s="40"/>
      <c r="F5066" s="314"/>
      <c r="H5066" s="315"/>
      <c r="I5066" s="315"/>
      <c r="BA5066" s="30"/>
      <c r="BB5066" s="155"/>
      <c r="BC5066" s="314"/>
      <c r="BD5066" s="314"/>
      <c r="BE5066" s="314"/>
      <c r="BF5066" s="314"/>
      <c r="BG5066" s="314"/>
      <c r="BH5066" s="314"/>
      <c r="BI5066" s="314"/>
      <c r="BJ5066" s="314"/>
      <c r="BK5066" s="40"/>
      <c r="BL5066" s="40"/>
      <c r="BM5066" s="40"/>
      <c r="BN5066" s="40"/>
      <c r="BO5066" s="40"/>
      <c r="BP5066" s="155"/>
      <c r="BQ5066" s="314"/>
      <c r="BR5066" s="314"/>
      <c r="BS5066" s="314"/>
      <c r="BT5066" s="314"/>
      <c r="BU5066" s="314"/>
      <c r="BV5066" s="314"/>
      <c r="BW5066" s="314"/>
      <c r="BX5066" s="155"/>
    </row>
    <row r="5067" spans="1:76" ht="15.75" customHeight="1">
      <c r="A5067" s="25"/>
      <c r="B5067" s="39"/>
      <c r="C5067" s="155"/>
      <c r="D5067" s="155"/>
      <c r="E5067" s="40"/>
      <c r="F5067" s="314"/>
      <c r="H5067" s="315"/>
      <c r="I5067" s="315"/>
      <c r="BA5067" s="30"/>
      <c r="BB5067" s="155"/>
      <c r="BC5067" s="314"/>
      <c r="BD5067" s="314"/>
      <c r="BE5067" s="314"/>
      <c r="BF5067" s="314"/>
      <c r="BG5067" s="314"/>
      <c r="BH5067" s="314"/>
      <c r="BI5067" s="314"/>
      <c r="BJ5067" s="314"/>
      <c r="BK5067" s="40"/>
      <c r="BL5067" s="40"/>
      <c r="BM5067" s="40"/>
      <c r="BN5067" s="40"/>
      <c r="BO5067" s="40"/>
      <c r="BP5067" s="155"/>
      <c r="BQ5067" s="314"/>
      <c r="BR5067" s="314"/>
      <c r="BS5067" s="314"/>
      <c r="BT5067" s="314"/>
      <c r="BU5067" s="314"/>
      <c r="BV5067" s="314"/>
      <c r="BW5067" s="314"/>
      <c r="BX5067" s="155"/>
    </row>
    <row r="5068" spans="1:76" ht="15.75" customHeight="1">
      <c r="A5068" s="25"/>
      <c r="B5068" s="39"/>
      <c r="C5068" s="155"/>
      <c r="D5068" s="155"/>
      <c r="E5068" s="40"/>
      <c r="F5068" s="314"/>
      <c r="H5068" s="315"/>
      <c r="I5068" s="315"/>
      <c r="BA5068" s="30"/>
      <c r="BB5068" s="155"/>
      <c r="BC5068" s="314"/>
      <c r="BD5068" s="314"/>
      <c r="BE5068" s="314"/>
      <c r="BF5068" s="314"/>
      <c r="BG5068" s="314"/>
      <c r="BH5068" s="314"/>
      <c r="BI5068" s="314"/>
      <c r="BJ5068" s="314"/>
      <c r="BK5068" s="40"/>
      <c r="BL5068" s="40"/>
      <c r="BM5068" s="40"/>
      <c r="BN5068" s="40"/>
      <c r="BO5068" s="40"/>
      <c r="BP5068" s="155"/>
      <c r="BQ5068" s="314"/>
      <c r="BR5068" s="314"/>
      <c r="BS5068" s="314"/>
      <c r="BT5068" s="314"/>
      <c r="BU5068" s="314"/>
      <c r="BV5068" s="314"/>
      <c r="BW5068" s="314"/>
      <c r="BX5068" s="155"/>
    </row>
    <row r="5069" spans="1:76" ht="15.75" customHeight="1">
      <c r="A5069" s="25"/>
      <c r="B5069" s="39"/>
      <c r="C5069" s="155"/>
      <c r="D5069" s="155"/>
      <c r="E5069" s="40"/>
      <c r="F5069" s="314"/>
      <c r="H5069" s="315"/>
      <c r="I5069" s="315"/>
      <c r="BA5069" s="30"/>
      <c r="BB5069" s="155"/>
      <c r="BC5069" s="314"/>
      <c r="BD5069" s="314"/>
      <c r="BE5069" s="314"/>
      <c r="BF5069" s="314"/>
      <c r="BG5069" s="314"/>
      <c r="BH5069" s="314"/>
      <c r="BI5069" s="314"/>
      <c r="BJ5069" s="314"/>
      <c r="BK5069" s="40"/>
      <c r="BL5069" s="40"/>
      <c r="BM5069" s="40"/>
      <c r="BN5069" s="40"/>
      <c r="BO5069" s="40"/>
      <c r="BP5069" s="155"/>
      <c r="BQ5069" s="314"/>
      <c r="BR5069" s="314"/>
      <c r="BS5069" s="314"/>
      <c r="BT5069" s="314"/>
      <c r="BU5069" s="314"/>
      <c r="BV5069" s="314"/>
      <c r="BW5069" s="314"/>
      <c r="BX5069" s="155"/>
    </row>
    <row r="5070" spans="1:76" ht="15.75" customHeight="1">
      <c r="A5070" s="25"/>
      <c r="B5070" s="39"/>
      <c r="C5070" s="155"/>
      <c r="D5070" s="155"/>
      <c r="E5070" s="40"/>
      <c r="F5070" s="314"/>
      <c r="H5070" s="315"/>
      <c r="I5070" s="315"/>
      <c r="BA5070" s="30"/>
      <c r="BB5070" s="155"/>
      <c r="BC5070" s="314"/>
      <c r="BD5070" s="314"/>
      <c r="BE5070" s="314"/>
      <c r="BF5070" s="314"/>
      <c r="BG5070" s="314"/>
      <c r="BH5070" s="314"/>
      <c r="BI5070" s="314"/>
      <c r="BJ5070" s="314"/>
      <c r="BK5070" s="40"/>
      <c r="BL5070" s="40"/>
      <c r="BM5070" s="40"/>
      <c r="BN5070" s="40"/>
      <c r="BO5070" s="40"/>
      <c r="BP5070" s="155"/>
      <c r="BQ5070" s="314"/>
      <c r="BR5070" s="314"/>
      <c r="BS5070" s="314"/>
      <c r="BT5070" s="314"/>
      <c r="BU5070" s="314"/>
      <c r="BV5070" s="314"/>
      <c r="BW5070" s="314"/>
      <c r="BX5070" s="155"/>
    </row>
    <row r="5071" spans="1:76" ht="15.75" customHeight="1">
      <c r="A5071" s="25"/>
      <c r="B5071" s="39"/>
      <c r="C5071" s="155"/>
      <c r="D5071" s="155"/>
      <c r="E5071" s="40"/>
      <c r="F5071" s="314"/>
      <c r="H5071" s="315"/>
      <c r="I5071" s="315"/>
      <c r="BA5071" s="30"/>
      <c r="BB5071" s="155"/>
      <c r="BC5071" s="314"/>
      <c r="BD5071" s="314"/>
      <c r="BE5071" s="314"/>
      <c r="BF5071" s="314"/>
      <c r="BG5071" s="314"/>
      <c r="BH5071" s="314"/>
      <c r="BI5071" s="314"/>
      <c r="BJ5071" s="314"/>
      <c r="BK5071" s="40"/>
      <c r="BL5071" s="40"/>
      <c r="BM5071" s="40"/>
      <c r="BN5071" s="40"/>
      <c r="BO5071" s="40"/>
      <c r="BP5071" s="155"/>
      <c r="BQ5071" s="314"/>
      <c r="BR5071" s="314"/>
      <c r="BS5071" s="314"/>
      <c r="BT5071" s="314"/>
      <c r="BU5071" s="314"/>
      <c r="BV5071" s="314"/>
      <c r="BW5071" s="314"/>
      <c r="BX5071" s="155"/>
    </row>
    <row r="5072" spans="1:76" ht="15.75" customHeight="1">
      <c r="A5072" s="25"/>
      <c r="B5072" s="39"/>
      <c r="C5072" s="155"/>
      <c r="D5072" s="155"/>
      <c r="E5072" s="40"/>
      <c r="F5072" s="314"/>
      <c r="H5072" s="315"/>
      <c r="I5072" s="315"/>
      <c r="BA5072" s="30"/>
      <c r="BB5072" s="155"/>
      <c r="BC5072" s="314"/>
      <c r="BD5072" s="314"/>
      <c r="BE5072" s="314"/>
      <c r="BF5072" s="314"/>
      <c r="BG5072" s="314"/>
      <c r="BH5072" s="314"/>
      <c r="BI5072" s="314"/>
      <c r="BJ5072" s="314"/>
      <c r="BK5072" s="40"/>
      <c r="BL5072" s="40"/>
      <c r="BM5072" s="40"/>
      <c r="BN5072" s="40"/>
      <c r="BO5072" s="40"/>
      <c r="BP5072" s="155"/>
      <c r="BQ5072" s="314"/>
      <c r="BR5072" s="314"/>
      <c r="BS5072" s="314"/>
      <c r="BT5072" s="314"/>
      <c r="BU5072" s="314"/>
      <c r="BV5072" s="314"/>
      <c r="BW5072" s="314"/>
      <c r="BX5072" s="155"/>
    </row>
    <row r="5073" spans="1:76" ht="15.75" customHeight="1">
      <c r="A5073" s="25"/>
      <c r="B5073" s="39"/>
      <c r="C5073" s="155"/>
      <c r="D5073" s="155"/>
      <c r="E5073" s="40"/>
      <c r="F5073" s="314"/>
      <c r="H5073" s="315"/>
      <c r="I5073" s="315"/>
      <c r="BA5073" s="30"/>
      <c r="BB5073" s="155"/>
      <c r="BC5073" s="314"/>
      <c r="BD5073" s="314"/>
      <c r="BE5073" s="314"/>
      <c r="BF5073" s="314"/>
      <c r="BG5073" s="314"/>
      <c r="BH5073" s="314"/>
      <c r="BI5073" s="314"/>
      <c r="BJ5073" s="314"/>
      <c r="BK5073" s="40"/>
      <c r="BL5073" s="40"/>
      <c r="BM5073" s="40"/>
      <c r="BN5073" s="40"/>
      <c r="BO5073" s="40"/>
      <c r="BP5073" s="155"/>
      <c r="BQ5073" s="314"/>
      <c r="BR5073" s="314"/>
      <c r="BS5073" s="314"/>
      <c r="BT5073" s="314"/>
      <c r="BU5073" s="314"/>
      <c r="BV5073" s="314"/>
      <c r="BW5073" s="314"/>
      <c r="BX5073" s="155"/>
    </row>
    <row r="5074" spans="1:76" ht="15.75" customHeight="1">
      <c r="A5074" s="25"/>
      <c r="B5074" s="39"/>
      <c r="C5074" s="155"/>
      <c r="D5074" s="155"/>
      <c r="E5074" s="40"/>
      <c r="F5074" s="314"/>
      <c r="H5074" s="315"/>
      <c r="I5074" s="315"/>
      <c r="BA5074" s="30"/>
      <c r="BB5074" s="155"/>
      <c r="BC5074" s="314"/>
      <c r="BD5074" s="314"/>
      <c r="BE5074" s="314"/>
      <c r="BF5074" s="314"/>
      <c r="BG5074" s="314"/>
      <c r="BH5074" s="314"/>
      <c r="BI5074" s="314"/>
      <c r="BJ5074" s="314"/>
      <c r="BK5074" s="40"/>
      <c r="BL5074" s="40"/>
      <c r="BM5074" s="40"/>
      <c r="BN5074" s="40"/>
      <c r="BO5074" s="40"/>
      <c r="BP5074" s="155"/>
      <c r="BQ5074" s="314"/>
      <c r="BR5074" s="314"/>
      <c r="BS5074" s="314"/>
      <c r="BT5074" s="314"/>
      <c r="BU5074" s="314"/>
      <c r="BV5074" s="314"/>
      <c r="BW5074" s="314"/>
      <c r="BX5074" s="155"/>
    </row>
    <row r="5075" spans="1:76" ht="15.75" customHeight="1">
      <c r="A5075" s="25"/>
      <c r="B5075" s="39"/>
      <c r="C5075" s="155"/>
      <c r="D5075" s="155"/>
      <c r="E5075" s="40"/>
      <c r="F5075" s="314"/>
      <c r="H5075" s="315"/>
      <c r="I5075" s="315"/>
      <c r="BA5075" s="30"/>
      <c r="BB5075" s="155"/>
      <c r="BC5075" s="314"/>
      <c r="BD5075" s="314"/>
      <c r="BE5075" s="314"/>
      <c r="BF5075" s="314"/>
      <c r="BG5075" s="314"/>
      <c r="BH5075" s="314"/>
      <c r="BI5075" s="314"/>
      <c r="BJ5075" s="314"/>
      <c r="BK5075" s="40"/>
      <c r="BL5075" s="40"/>
      <c r="BM5075" s="40"/>
      <c r="BN5075" s="40"/>
      <c r="BO5075" s="40"/>
      <c r="BP5075" s="155"/>
      <c r="BQ5075" s="314"/>
      <c r="BR5075" s="314"/>
      <c r="BS5075" s="314"/>
      <c r="BT5075" s="314"/>
      <c r="BU5075" s="314"/>
      <c r="BV5075" s="314"/>
      <c r="BW5075" s="314"/>
      <c r="BX5075" s="155"/>
    </row>
    <row r="5076" spans="1:76" ht="15.75" customHeight="1">
      <c r="A5076" s="25"/>
      <c r="B5076" s="39"/>
      <c r="C5076" s="155"/>
      <c r="D5076" s="155"/>
      <c r="E5076" s="40"/>
      <c r="F5076" s="314"/>
      <c r="H5076" s="315"/>
      <c r="I5076" s="315"/>
      <c r="BA5076" s="30"/>
      <c r="BB5076" s="155"/>
      <c r="BC5076" s="314"/>
      <c r="BD5076" s="314"/>
      <c r="BE5076" s="314"/>
      <c r="BF5076" s="314"/>
      <c r="BG5076" s="314"/>
      <c r="BH5076" s="314"/>
      <c r="BI5076" s="314"/>
      <c r="BJ5076" s="314"/>
      <c r="BK5076" s="40"/>
      <c r="BL5076" s="40"/>
      <c r="BM5076" s="40"/>
      <c r="BN5076" s="40"/>
      <c r="BO5076" s="40"/>
      <c r="BP5076" s="155"/>
      <c r="BQ5076" s="314"/>
      <c r="BR5076" s="314"/>
      <c r="BS5076" s="314"/>
      <c r="BT5076" s="314"/>
      <c r="BU5076" s="314"/>
      <c r="BV5076" s="314"/>
      <c r="BW5076" s="314"/>
      <c r="BX5076" s="155"/>
    </row>
    <row r="5077" spans="1:76" ht="15.75" customHeight="1">
      <c r="A5077" s="25"/>
      <c r="B5077" s="39"/>
      <c r="C5077" s="155"/>
      <c r="D5077" s="155"/>
      <c r="E5077" s="40"/>
      <c r="F5077" s="314"/>
      <c r="H5077" s="315"/>
      <c r="I5077" s="315"/>
      <c r="BA5077" s="30"/>
      <c r="BB5077" s="155"/>
      <c r="BC5077" s="314"/>
      <c r="BD5077" s="314"/>
      <c r="BE5077" s="314"/>
      <c r="BF5077" s="314"/>
      <c r="BG5077" s="314"/>
      <c r="BH5077" s="314"/>
      <c r="BI5077" s="314"/>
      <c r="BJ5077" s="314"/>
      <c r="BK5077" s="40"/>
      <c r="BL5077" s="40"/>
      <c r="BM5077" s="40"/>
      <c r="BN5077" s="40"/>
      <c r="BO5077" s="40"/>
      <c r="BP5077" s="155"/>
      <c r="BQ5077" s="314"/>
      <c r="BR5077" s="314"/>
      <c r="BS5077" s="314"/>
      <c r="BT5077" s="314"/>
      <c r="BU5077" s="314"/>
      <c r="BV5077" s="314"/>
      <c r="BW5077" s="314"/>
      <c r="BX5077" s="155"/>
    </row>
    <row r="5078" spans="1:76" ht="15.75" customHeight="1">
      <c r="A5078" s="25"/>
      <c r="B5078" s="39"/>
      <c r="C5078" s="155"/>
      <c r="D5078" s="155"/>
      <c r="E5078" s="40"/>
      <c r="F5078" s="314"/>
      <c r="H5078" s="315"/>
      <c r="I5078" s="315"/>
      <c r="BA5078" s="30"/>
      <c r="BB5078" s="155"/>
      <c r="BC5078" s="314"/>
      <c r="BD5078" s="314"/>
      <c r="BE5078" s="314"/>
      <c r="BF5078" s="314"/>
      <c r="BG5078" s="314"/>
      <c r="BH5078" s="314"/>
      <c r="BI5078" s="314"/>
      <c r="BJ5078" s="314"/>
      <c r="BK5078" s="40"/>
      <c r="BL5078" s="40"/>
      <c r="BM5078" s="40"/>
      <c r="BN5078" s="40"/>
      <c r="BO5078" s="40"/>
      <c r="BP5078" s="155"/>
      <c r="BQ5078" s="314"/>
      <c r="BR5078" s="314"/>
      <c r="BS5078" s="314"/>
      <c r="BT5078" s="314"/>
      <c r="BU5078" s="314"/>
      <c r="BV5078" s="314"/>
      <c r="BW5078" s="314"/>
      <c r="BX5078" s="155"/>
    </row>
    <row r="5079" spans="1:76" ht="15.75" customHeight="1">
      <c r="A5079" s="25"/>
      <c r="B5079" s="39"/>
      <c r="C5079" s="155"/>
      <c r="D5079" s="155"/>
      <c r="E5079" s="40"/>
      <c r="F5079" s="314"/>
      <c r="H5079" s="315"/>
      <c r="I5079" s="315"/>
      <c r="BA5079" s="30"/>
      <c r="BB5079" s="155"/>
      <c r="BC5079" s="314"/>
      <c r="BD5079" s="314"/>
      <c r="BE5079" s="314"/>
      <c r="BF5079" s="314"/>
      <c r="BG5079" s="314"/>
      <c r="BH5079" s="314"/>
      <c r="BI5079" s="314"/>
      <c r="BJ5079" s="314"/>
      <c r="BK5079" s="40"/>
      <c r="BL5079" s="40"/>
      <c r="BM5079" s="40"/>
      <c r="BN5079" s="40"/>
      <c r="BO5079" s="40"/>
      <c r="BP5079" s="155"/>
      <c r="BQ5079" s="314"/>
      <c r="BR5079" s="314"/>
      <c r="BS5079" s="314"/>
      <c r="BT5079" s="314"/>
      <c r="BU5079" s="314"/>
      <c r="BV5079" s="314"/>
      <c r="BW5079" s="314"/>
      <c r="BX5079" s="155"/>
    </row>
    <row r="5080" spans="1:76" ht="15.75" customHeight="1">
      <c r="A5080" s="25"/>
      <c r="B5080" s="39"/>
      <c r="C5080" s="155"/>
      <c r="D5080" s="155"/>
      <c r="E5080" s="40"/>
      <c r="F5080" s="314"/>
      <c r="H5080" s="315"/>
      <c r="I5080" s="315"/>
      <c r="BA5080" s="30"/>
      <c r="BB5080" s="155"/>
      <c r="BC5080" s="314"/>
      <c r="BD5080" s="314"/>
      <c r="BE5080" s="314"/>
      <c r="BF5080" s="314"/>
      <c r="BG5080" s="314"/>
      <c r="BH5080" s="314"/>
      <c r="BI5080" s="314"/>
      <c r="BJ5080" s="314"/>
      <c r="BK5080" s="40"/>
      <c r="BL5080" s="40"/>
      <c r="BM5080" s="40"/>
      <c r="BN5080" s="40"/>
      <c r="BO5080" s="40"/>
      <c r="BP5080" s="155"/>
      <c r="BQ5080" s="314"/>
      <c r="BR5080" s="314"/>
      <c r="BS5080" s="314"/>
      <c r="BT5080" s="314"/>
      <c r="BU5080" s="314"/>
      <c r="BV5080" s="314"/>
      <c r="BW5080" s="314"/>
      <c r="BX5080" s="155"/>
    </row>
    <row r="5081" spans="1:76" ht="15.75" customHeight="1">
      <c r="A5081" s="25"/>
      <c r="B5081" s="39"/>
      <c r="C5081" s="155"/>
      <c r="D5081" s="155"/>
      <c r="E5081" s="40"/>
      <c r="F5081" s="314"/>
      <c r="H5081" s="315"/>
      <c r="I5081" s="315"/>
      <c r="BA5081" s="30"/>
      <c r="BB5081" s="155"/>
      <c r="BC5081" s="314"/>
      <c r="BD5081" s="314"/>
      <c r="BE5081" s="314"/>
      <c r="BF5081" s="314"/>
      <c r="BG5081" s="314"/>
      <c r="BH5081" s="314"/>
      <c r="BI5081" s="314"/>
      <c r="BJ5081" s="314"/>
      <c r="BK5081" s="40"/>
      <c r="BL5081" s="40"/>
      <c r="BM5081" s="40"/>
      <c r="BN5081" s="40"/>
      <c r="BO5081" s="40"/>
      <c r="BP5081" s="155"/>
      <c r="BQ5081" s="314"/>
      <c r="BR5081" s="314"/>
      <c r="BS5081" s="314"/>
      <c r="BT5081" s="314"/>
      <c r="BU5081" s="314"/>
      <c r="BV5081" s="314"/>
      <c r="BW5081" s="314"/>
      <c r="BX5081" s="155"/>
    </row>
    <row r="5082" spans="1:76" ht="15.75" customHeight="1">
      <c r="A5082" s="25"/>
      <c r="B5082" s="39"/>
      <c r="C5082" s="155"/>
      <c r="D5082" s="155"/>
      <c r="E5082" s="40"/>
      <c r="F5082" s="314"/>
      <c r="H5082" s="315"/>
      <c r="I5082" s="315"/>
      <c r="BA5082" s="30"/>
      <c r="BB5082" s="155"/>
      <c r="BC5082" s="314"/>
      <c r="BD5082" s="314"/>
      <c r="BE5082" s="314"/>
      <c r="BF5082" s="314"/>
      <c r="BG5082" s="314"/>
      <c r="BH5082" s="314"/>
      <c r="BI5082" s="314"/>
      <c r="BJ5082" s="314"/>
      <c r="BK5082" s="40"/>
      <c r="BL5082" s="40"/>
      <c r="BM5082" s="40"/>
      <c r="BN5082" s="40"/>
      <c r="BO5082" s="40"/>
      <c r="BP5082" s="155"/>
      <c r="BQ5082" s="314"/>
      <c r="BR5082" s="314"/>
      <c r="BS5082" s="314"/>
      <c r="BT5082" s="314"/>
      <c r="BU5082" s="314"/>
      <c r="BV5082" s="314"/>
      <c r="BW5082" s="314"/>
      <c r="BX5082" s="155"/>
    </row>
    <row r="5083" spans="1:76" ht="15.75" customHeight="1">
      <c r="A5083" s="25"/>
      <c r="B5083" s="39"/>
      <c r="C5083" s="155"/>
      <c r="D5083" s="155"/>
      <c r="E5083" s="40"/>
      <c r="F5083" s="314"/>
      <c r="H5083" s="315"/>
      <c r="I5083" s="315"/>
      <c r="BA5083" s="30"/>
      <c r="BB5083" s="155"/>
      <c r="BC5083" s="314"/>
      <c r="BD5083" s="314"/>
      <c r="BE5083" s="314"/>
      <c r="BF5083" s="314"/>
      <c r="BG5083" s="314"/>
      <c r="BH5083" s="314"/>
      <c r="BI5083" s="314"/>
      <c r="BJ5083" s="314"/>
      <c r="BK5083" s="40"/>
      <c r="BL5083" s="40"/>
      <c r="BM5083" s="40"/>
      <c r="BN5083" s="40"/>
      <c r="BO5083" s="40"/>
      <c r="BP5083" s="155"/>
      <c r="BQ5083" s="314"/>
      <c r="BR5083" s="314"/>
      <c r="BS5083" s="314"/>
      <c r="BT5083" s="314"/>
      <c r="BU5083" s="314"/>
      <c r="BV5083" s="314"/>
      <c r="BW5083" s="314"/>
      <c r="BX5083" s="155"/>
    </row>
    <row r="5084" spans="1:76" ht="15.75" customHeight="1">
      <c r="A5084" s="25"/>
      <c r="B5084" s="39"/>
      <c r="C5084" s="155"/>
      <c r="D5084" s="155"/>
      <c r="E5084" s="40"/>
      <c r="F5084" s="314"/>
      <c r="H5084" s="315"/>
      <c r="I5084" s="315"/>
      <c r="BA5084" s="30"/>
      <c r="BB5084" s="155"/>
      <c r="BC5084" s="314"/>
      <c r="BD5084" s="314"/>
      <c r="BE5084" s="314"/>
      <c r="BF5084" s="314"/>
      <c r="BG5084" s="314"/>
      <c r="BH5084" s="314"/>
      <c r="BI5084" s="314"/>
      <c r="BJ5084" s="314"/>
      <c r="BK5084" s="40"/>
      <c r="BL5084" s="40"/>
      <c r="BM5084" s="40"/>
      <c r="BN5084" s="40"/>
      <c r="BO5084" s="40"/>
      <c r="BP5084" s="155"/>
      <c r="BQ5084" s="314"/>
      <c r="BR5084" s="314"/>
      <c r="BS5084" s="314"/>
      <c r="BT5084" s="314"/>
      <c r="BU5084" s="314"/>
      <c r="BV5084" s="314"/>
      <c r="BW5084" s="314"/>
      <c r="BX5084" s="155"/>
    </row>
    <row r="5085" spans="1:76" ht="15.75" customHeight="1">
      <c r="A5085" s="25"/>
      <c r="B5085" s="39"/>
      <c r="C5085" s="155"/>
      <c r="D5085" s="155"/>
      <c r="E5085" s="40"/>
      <c r="F5085" s="314"/>
      <c r="H5085" s="315"/>
      <c r="I5085" s="315"/>
      <c r="BA5085" s="30"/>
      <c r="BB5085" s="155"/>
      <c r="BC5085" s="314"/>
      <c r="BD5085" s="314"/>
      <c r="BE5085" s="314"/>
      <c r="BF5085" s="314"/>
      <c r="BG5085" s="314"/>
      <c r="BH5085" s="314"/>
      <c r="BI5085" s="314"/>
      <c r="BJ5085" s="314"/>
      <c r="BK5085" s="40"/>
      <c r="BL5085" s="40"/>
      <c r="BM5085" s="40"/>
      <c r="BN5085" s="40"/>
      <c r="BO5085" s="40"/>
      <c r="BP5085" s="155"/>
      <c r="BQ5085" s="314"/>
      <c r="BR5085" s="314"/>
      <c r="BS5085" s="314"/>
      <c r="BT5085" s="314"/>
      <c r="BU5085" s="314"/>
      <c r="BV5085" s="314"/>
      <c r="BW5085" s="314"/>
      <c r="BX5085" s="155"/>
    </row>
    <row r="5086" spans="1:76" ht="15.75" customHeight="1">
      <c r="A5086" s="25"/>
      <c r="B5086" s="39"/>
      <c r="C5086" s="155"/>
      <c r="D5086" s="155"/>
      <c r="E5086" s="40"/>
      <c r="F5086" s="314"/>
      <c r="H5086" s="315"/>
      <c r="I5086" s="315"/>
      <c r="BA5086" s="30"/>
      <c r="BB5086" s="155"/>
      <c r="BC5086" s="314"/>
      <c r="BD5086" s="314"/>
      <c r="BE5086" s="314"/>
      <c r="BF5086" s="314"/>
      <c r="BG5086" s="314"/>
      <c r="BH5086" s="314"/>
      <c r="BI5086" s="314"/>
      <c r="BJ5086" s="314"/>
      <c r="BK5086" s="40"/>
      <c r="BL5086" s="40"/>
      <c r="BM5086" s="40"/>
      <c r="BN5086" s="40"/>
      <c r="BO5086" s="40"/>
      <c r="BP5086" s="155"/>
      <c r="BQ5086" s="314"/>
      <c r="BR5086" s="314"/>
      <c r="BS5086" s="314"/>
      <c r="BT5086" s="314"/>
      <c r="BU5086" s="314"/>
      <c r="BV5086" s="314"/>
      <c r="BW5086" s="314"/>
      <c r="BX5086" s="155"/>
    </row>
    <row r="5087" spans="1:76" ht="15.75" customHeight="1">
      <c r="A5087" s="25"/>
      <c r="B5087" s="39"/>
      <c r="C5087" s="155"/>
      <c r="D5087" s="155"/>
      <c r="E5087" s="40"/>
      <c r="F5087" s="314"/>
      <c r="H5087" s="315"/>
      <c r="I5087" s="315"/>
      <c r="BA5087" s="30"/>
      <c r="BB5087" s="155"/>
      <c r="BC5087" s="314"/>
      <c r="BD5087" s="314"/>
      <c r="BE5087" s="314"/>
      <c r="BF5087" s="314"/>
      <c r="BG5087" s="314"/>
      <c r="BH5087" s="314"/>
      <c r="BI5087" s="314"/>
      <c r="BJ5087" s="314"/>
      <c r="BK5087" s="40"/>
      <c r="BL5087" s="40"/>
      <c r="BM5087" s="40"/>
      <c r="BN5087" s="40"/>
      <c r="BO5087" s="40"/>
      <c r="BP5087" s="155"/>
      <c r="BQ5087" s="314"/>
      <c r="BR5087" s="314"/>
      <c r="BS5087" s="314"/>
      <c r="BT5087" s="314"/>
      <c r="BU5087" s="314"/>
      <c r="BV5087" s="314"/>
      <c r="BW5087" s="314"/>
      <c r="BX5087" s="155"/>
    </row>
    <row r="5088" spans="1:76" ht="15.75" customHeight="1">
      <c r="A5088" s="25"/>
      <c r="B5088" s="39"/>
      <c r="C5088" s="155"/>
      <c r="D5088" s="155"/>
      <c r="E5088" s="40"/>
      <c r="F5088" s="314"/>
      <c r="H5088" s="315"/>
      <c r="I5088" s="315"/>
      <c r="BA5088" s="30"/>
      <c r="BB5088" s="155"/>
      <c r="BC5088" s="314"/>
      <c r="BD5088" s="314"/>
      <c r="BE5088" s="314"/>
      <c r="BF5088" s="314"/>
      <c r="BG5088" s="314"/>
      <c r="BH5088" s="314"/>
      <c r="BI5088" s="314"/>
      <c r="BJ5088" s="314"/>
      <c r="BK5088" s="40"/>
      <c r="BL5088" s="40"/>
      <c r="BM5088" s="40"/>
      <c r="BN5088" s="40"/>
      <c r="BO5088" s="40"/>
      <c r="BP5088" s="155"/>
      <c r="BQ5088" s="314"/>
      <c r="BR5088" s="314"/>
      <c r="BS5088" s="314"/>
      <c r="BT5088" s="314"/>
      <c r="BU5088" s="314"/>
      <c r="BV5088" s="314"/>
      <c r="BW5088" s="314"/>
      <c r="BX5088" s="155"/>
    </row>
    <row r="5089" spans="1:76" ht="15.75" customHeight="1">
      <c r="A5089" s="25"/>
      <c r="B5089" s="39"/>
      <c r="C5089" s="155"/>
      <c r="D5089" s="155"/>
      <c r="E5089" s="40"/>
      <c r="F5089" s="314"/>
      <c r="H5089" s="315"/>
      <c r="I5089" s="315"/>
      <c r="BA5089" s="30"/>
      <c r="BB5089" s="155"/>
      <c r="BC5089" s="314"/>
      <c r="BD5089" s="314"/>
      <c r="BE5089" s="314"/>
      <c r="BF5089" s="314"/>
      <c r="BG5089" s="314"/>
      <c r="BH5089" s="314"/>
      <c r="BI5089" s="314"/>
      <c r="BJ5089" s="314"/>
      <c r="BK5089" s="40"/>
      <c r="BL5089" s="40"/>
      <c r="BM5089" s="40"/>
      <c r="BN5089" s="40"/>
      <c r="BO5089" s="40"/>
      <c r="BP5089" s="155"/>
      <c r="BQ5089" s="314"/>
      <c r="BR5089" s="314"/>
      <c r="BS5089" s="314"/>
      <c r="BT5089" s="314"/>
      <c r="BU5089" s="314"/>
      <c r="BV5089" s="314"/>
      <c r="BW5089" s="314"/>
      <c r="BX5089" s="155"/>
    </row>
    <row r="5090" spans="1:76" ht="15.75" customHeight="1">
      <c r="A5090" s="25"/>
      <c r="B5090" s="39"/>
      <c r="C5090" s="155"/>
      <c r="D5090" s="155"/>
      <c r="E5090" s="40"/>
      <c r="F5090" s="314"/>
      <c r="H5090" s="315"/>
      <c r="I5090" s="315"/>
      <c r="BA5090" s="30"/>
      <c r="BB5090" s="155"/>
      <c r="BC5090" s="314"/>
      <c r="BD5090" s="314"/>
      <c r="BE5090" s="314"/>
      <c r="BF5090" s="314"/>
      <c r="BG5090" s="314"/>
      <c r="BH5090" s="314"/>
      <c r="BI5090" s="314"/>
      <c r="BJ5090" s="314"/>
      <c r="BK5090" s="40"/>
      <c r="BL5090" s="40"/>
      <c r="BM5090" s="40"/>
      <c r="BN5090" s="40"/>
      <c r="BO5090" s="40"/>
      <c r="BP5090" s="155"/>
      <c r="BQ5090" s="314"/>
      <c r="BR5090" s="314"/>
      <c r="BS5090" s="314"/>
      <c r="BT5090" s="314"/>
      <c r="BU5090" s="314"/>
      <c r="BV5090" s="314"/>
      <c r="BW5090" s="314"/>
      <c r="BX5090" s="155"/>
    </row>
    <row r="5091" spans="1:76" ht="15.75" customHeight="1">
      <c r="A5091" s="25"/>
      <c r="B5091" s="39"/>
      <c r="C5091" s="155"/>
      <c r="D5091" s="155"/>
      <c r="E5091" s="40"/>
      <c r="F5091" s="314"/>
      <c r="H5091" s="315"/>
      <c r="I5091" s="315"/>
      <c r="BA5091" s="30"/>
      <c r="BB5091" s="155"/>
      <c r="BC5091" s="322"/>
      <c r="BD5091" s="322"/>
      <c r="BE5091" s="322"/>
      <c r="BF5091" s="322"/>
      <c r="BG5091" s="322"/>
      <c r="BH5091" s="322"/>
      <c r="BI5091" s="322"/>
      <c r="BJ5091" s="322"/>
      <c r="BK5091" s="341"/>
      <c r="BL5091" s="40"/>
      <c r="BM5091" s="40"/>
      <c r="BN5091" s="40"/>
      <c r="BO5091" s="40"/>
      <c r="BP5091" s="155"/>
      <c r="BQ5091" s="314"/>
      <c r="BR5091" s="314"/>
      <c r="BS5091" s="314"/>
      <c r="BT5091" s="314"/>
      <c r="BU5091" s="314"/>
      <c r="BV5091" s="314"/>
      <c r="BW5091" s="314"/>
      <c r="BX5091" s="155"/>
    </row>
    <row r="5092" spans="1:76" ht="15.75" customHeight="1">
      <c r="A5092" s="25"/>
      <c r="B5092" s="39"/>
      <c r="C5092" s="155"/>
      <c r="D5092" s="155"/>
      <c r="E5092" s="40"/>
      <c r="F5092" s="314"/>
      <c r="H5092" s="315"/>
      <c r="I5092" s="315"/>
      <c r="BA5092" s="30"/>
      <c r="BB5092" s="155"/>
      <c r="BC5092" s="314"/>
      <c r="BD5092" s="314"/>
      <c r="BE5092" s="314"/>
      <c r="BF5092" s="314"/>
      <c r="BG5092" s="314"/>
      <c r="BH5092" s="314"/>
      <c r="BI5092" s="314"/>
      <c r="BJ5092" s="314"/>
      <c r="BK5092" s="40"/>
      <c r="BL5092" s="40"/>
      <c r="BM5092" s="40"/>
      <c r="BN5092" s="40"/>
      <c r="BO5092" s="40"/>
      <c r="BP5092" s="155"/>
      <c r="BQ5092" s="314"/>
      <c r="BR5092" s="314"/>
      <c r="BS5092" s="314"/>
      <c r="BT5092" s="314"/>
      <c r="BU5092" s="314"/>
      <c r="BV5092" s="314"/>
      <c r="BW5092" s="314"/>
      <c r="BX5092" s="155"/>
    </row>
    <row r="5093" spans="1:76" ht="15.75" customHeight="1">
      <c r="A5093" s="25"/>
      <c r="B5093" s="39"/>
      <c r="C5093" s="155"/>
      <c r="D5093" s="155"/>
      <c r="E5093" s="40"/>
      <c r="F5093" s="314"/>
      <c r="H5093" s="315"/>
      <c r="I5093" s="315"/>
      <c r="BA5093" s="30"/>
      <c r="BB5093" s="155"/>
      <c r="BC5093" s="314"/>
      <c r="BD5093" s="314"/>
      <c r="BE5093" s="314"/>
      <c r="BF5093" s="314"/>
      <c r="BG5093" s="314"/>
      <c r="BH5093" s="314"/>
      <c r="BI5093" s="314"/>
      <c r="BJ5093" s="314"/>
      <c r="BK5093" s="40"/>
      <c r="BL5093" s="40"/>
      <c r="BM5093" s="40"/>
      <c r="BN5093" s="40"/>
      <c r="BO5093" s="40"/>
      <c r="BP5093" s="155"/>
      <c r="BQ5093" s="314"/>
      <c r="BR5093" s="314"/>
      <c r="BS5093" s="314"/>
      <c r="BT5093" s="314"/>
      <c r="BU5093" s="314"/>
      <c r="BV5093" s="314"/>
      <c r="BW5093" s="314"/>
      <c r="BX5093" s="155"/>
    </row>
    <row r="5094" spans="1:76" ht="15.75" customHeight="1">
      <c r="A5094" s="25"/>
      <c r="B5094" s="39"/>
      <c r="C5094" s="155"/>
      <c r="D5094" s="155"/>
      <c r="E5094" s="40"/>
      <c r="F5094" s="314"/>
      <c r="H5094" s="315"/>
      <c r="I5094" s="315"/>
      <c r="BA5094" s="30"/>
      <c r="BB5094" s="155"/>
      <c r="BC5094" s="314"/>
      <c r="BD5094" s="314"/>
      <c r="BE5094" s="314"/>
      <c r="BF5094" s="314"/>
      <c r="BG5094" s="314"/>
      <c r="BH5094" s="314"/>
      <c r="BI5094" s="314"/>
      <c r="BJ5094" s="314"/>
      <c r="BK5094" s="40"/>
      <c r="BL5094" s="40"/>
      <c r="BM5094" s="40"/>
      <c r="BN5094" s="40"/>
      <c r="BO5094" s="40"/>
      <c r="BP5094" s="155"/>
      <c r="BQ5094" s="314"/>
      <c r="BR5094" s="314"/>
      <c r="BS5094" s="314"/>
      <c r="BT5094" s="314"/>
      <c r="BU5094" s="314"/>
      <c r="BV5094" s="314"/>
      <c r="BW5094" s="314"/>
      <c r="BX5094" s="155"/>
    </row>
    <row r="5095" spans="1:76" ht="15.75" customHeight="1">
      <c r="A5095" s="25"/>
      <c r="B5095" s="39"/>
      <c r="C5095" s="155"/>
      <c r="D5095" s="155"/>
      <c r="E5095" s="40"/>
      <c r="F5095" s="314"/>
      <c r="H5095" s="315"/>
      <c r="I5095" s="315"/>
      <c r="BA5095" s="30"/>
      <c r="BB5095" s="155"/>
      <c r="BC5095" s="314"/>
      <c r="BD5095" s="314"/>
      <c r="BE5095" s="314"/>
      <c r="BF5095" s="314"/>
      <c r="BG5095" s="314"/>
      <c r="BH5095" s="314"/>
      <c r="BI5095" s="314"/>
      <c r="BJ5095" s="314"/>
      <c r="BK5095" s="40"/>
      <c r="BL5095" s="40"/>
      <c r="BM5095" s="40"/>
      <c r="BN5095" s="40"/>
      <c r="BO5095" s="40"/>
      <c r="BP5095" s="155"/>
      <c r="BQ5095" s="314"/>
      <c r="BR5095" s="314"/>
      <c r="BS5095" s="314"/>
      <c r="BT5095" s="314"/>
      <c r="BU5095" s="314"/>
      <c r="BV5095" s="314"/>
      <c r="BW5095" s="314"/>
      <c r="BX5095" s="155"/>
    </row>
    <row r="5096" spans="1:76" ht="15.75" customHeight="1">
      <c r="A5096" s="25"/>
      <c r="B5096" s="39"/>
      <c r="C5096" s="155"/>
      <c r="D5096" s="155"/>
      <c r="E5096" s="40"/>
      <c r="F5096" s="314"/>
      <c r="H5096" s="315"/>
      <c r="I5096" s="315"/>
      <c r="BA5096" s="30"/>
      <c r="BB5096" s="155"/>
      <c r="BC5096" s="314"/>
      <c r="BD5096" s="314"/>
      <c r="BE5096" s="314"/>
      <c r="BF5096" s="314"/>
      <c r="BG5096" s="314"/>
      <c r="BH5096" s="314"/>
      <c r="BI5096" s="314"/>
      <c r="BJ5096" s="314"/>
      <c r="BK5096" s="40"/>
      <c r="BL5096" s="40"/>
      <c r="BM5096" s="40"/>
      <c r="BN5096" s="40"/>
      <c r="BO5096" s="40"/>
      <c r="BP5096" s="155"/>
      <c r="BQ5096" s="314"/>
      <c r="BR5096" s="314"/>
      <c r="BS5096" s="314"/>
      <c r="BT5096" s="314"/>
      <c r="BU5096" s="314"/>
      <c r="BV5096" s="314"/>
      <c r="BW5096" s="314"/>
      <c r="BX5096" s="155"/>
    </row>
    <row r="5097" spans="1:76" ht="15.75" customHeight="1">
      <c r="A5097" s="25"/>
      <c r="B5097" s="39"/>
      <c r="C5097" s="155"/>
      <c r="D5097" s="155"/>
      <c r="E5097" s="40"/>
      <c r="F5097" s="314"/>
      <c r="H5097" s="315"/>
      <c r="I5097" s="315"/>
      <c r="BA5097" s="30"/>
      <c r="BB5097" s="155"/>
      <c r="BC5097" s="314"/>
      <c r="BD5097" s="314"/>
      <c r="BE5097" s="314"/>
      <c r="BF5097" s="314"/>
      <c r="BG5097" s="314"/>
      <c r="BH5097" s="314"/>
      <c r="BI5097" s="314"/>
      <c r="BJ5097" s="314"/>
      <c r="BK5097" s="40"/>
      <c r="BL5097" s="40"/>
      <c r="BM5097" s="40"/>
      <c r="BN5097" s="40"/>
      <c r="BO5097" s="40"/>
      <c r="BP5097" s="155"/>
      <c r="BQ5097" s="314"/>
      <c r="BR5097" s="314"/>
      <c r="BS5097" s="314"/>
      <c r="BT5097" s="314"/>
      <c r="BU5097" s="314"/>
      <c r="BV5097" s="314"/>
      <c r="BW5097" s="314"/>
      <c r="BX5097" s="155"/>
    </row>
    <row r="5098" spans="1:76" ht="15.75" customHeight="1">
      <c r="A5098" s="25"/>
      <c r="B5098" s="39"/>
      <c r="C5098" s="155"/>
      <c r="D5098" s="155"/>
      <c r="E5098" s="40"/>
      <c r="F5098" s="314"/>
      <c r="H5098" s="315"/>
      <c r="I5098" s="315"/>
      <c r="BA5098" s="30"/>
      <c r="BB5098" s="155"/>
      <c r="BC5098" s="314"/>
      <c r="BD5098" s="314"/>
      <c r="BE5098" s="314"/>
      <c r="BF5098" s="314"/>
      <c r="BG5098" s="314"/>
      <c r="BH5098" s="314"/>
      <c r="BI5098" s="314"/>
      <c r="BJ5098" s="314"/>
      <c r="BK5098" s="40"/>
      <c r="BL5098" s="40"/>
      <c r="BM5098" s="40"/>
      <c r="BN5098" s="40"/>
      <c r="BO5098" s="40"/>
      <c r="BP5098" s="155"/>
      <c r="BQ5098" s="314"/>
      <c r="BR5098" s="314"/>
      <c r="BS5098" s="314"/>
      <c r="BT5098" s="314"/>
      <c r="BU5098" s="314"/>
      <c r="BV5098" s="314"/>
      <c r="BW5098" s="314"/>
      <c r="BX5098" s="155"/>
    </row>
    <row r="5099" spans="1:76" ht="15.75" customHeight="1">
      <c r="A5099" s="25"/>
      <c r="B5099" s="39"/>
      <c r="C5099" s="155"/>
      <c r="D5099" s="155"/>
      <c r="E5099" s="40"/>
      <c r="F5099" s="314"/>
      <c r="H5099" s="315"/>
      <c r="I5099" s="315"/>
      <c r="BA5099" s="30"/>
      <c r="BB5099" s="155"/>
      <c r="BC5099" s="314"/>
      <c r="BD5099" s="314"/>
      <c r="BE5099" s="314"/>
      <c r="BF5099" s="314"/>
      <c r="BG5099" s="314"/>
      <c r="BH5099" s="314"/>
      <c r="BI5099" s="314"/>
      <c r="BJ5099" s="314"/>
      <c r="BK5099" s="40"/>
      <c r="BL5099" s="40"/>
      <c r="BM5099" s="40"/>
      <c r="BN5099" s="40"/>
      <c r="BO5099" s="40"/>
      <c r="BP5099" s="155"/>
      <c r="BQ5099" s="314"/>
      <c r="BR5099" s="314"/>
      <c r="BS5099" s="314"/>
      <c r="BT5099" s="314"/>
      <c r="BU5099" s="314"/>
      <c r="BV5099" s="314"/>
      <c r="BW5099" s="314"/>
      <c r="BX5099" s="155"/>
    </row>
    <row r="5100" spans="1:76" ht="15.75" customHeight="1">
      <c r="A5100" s="25"/>
      <c r="B5100" s="39"/>
      <c r="C5100" s="155"/>
      <c r="D5100" s="155"/>
      <c r="E5100" s="40"/>
      <c r="F5100" s="314"/>
      <c r="H5100" s="315"/>
      <c r="I5100" s="315"/>
      <c r="BA5100" s="30"/>
      <c r="BB5100" s="155"/>
      <c r="BC5100" s="314"/>
      <c r="BD5100" s="314"/>
      <c r="BE5100" s="314"/>
      <c r="BF5100" s="314"/>
      <c r="BG5100" s="314"/>
      <c r="BH5100" s="314"/>
      <c r="BI5100" s="314"/>
      <c r="BJ5100" s="314"/>
      <c r="BK5100" s="40"/>
      <c r="BL5100" s="40"/>
      <c r="BM5100" s="40"/>
      <c r="BN5100" s="40"/>
      <c r="BO5100" s="40"/>
      <c r="BP5100" s="155"/>
      <c r="BQ5100" s="314"/>
      <c r="BR5100" s="314"/>
      <c r="BS5100" s="314"/>
      <c r="BT5100" s="314"/>
      <c r="BU5100" s="314"/>
      <c r="BV5100" s="314"/>
      <c r="BW5100" s="314"/>
      <c r="BX5100" s="155"/>
    </row>
    <row r="5101" spans="1:76" ht="15.75" customHeight="1">
      <c r="A5101" s="25"/>
      <c r="B5101" s="39"/>
      <c r="C5101" s="155"/>
      <c r="D5101" s="155"/>
      <c r="E5101" s="40"/>
      <c r="F5101" s="314"/>
      <c r="H5101" s="315"/>
      <c r="I5101" s="315"/>
      <c r="BA5101" s="30"/>
      <c r="BB5101" s="155"/>
      <c r="BC5101" s="314"/>
      <c r="BD5101" s="314"/>
      <c r="BE5101" s="314"/>
      <c r="BF5101" s="314"/>
      <c r="BG5101" s="314"/>
      <c r="BH5101" s="314"/>
      <c r="BI5101" s="314"/>
      <c r="BJ5101" s="314"/>
      <c r="BK5101" s="40"/>
      <c r="BL5101" s="40"/>
      <c r="BM5101" s="40"/>
      <c r="BN5101" s="40"/>
      <c r="BO5101" s="40"/>
      <c r="BP5101" s="155"/>
      <c r="BQ5101" s="314"/>
      <c r="BR5101" s="314"/>
      <c r="BS5101" s="314"/>
      <c r="BT5101" s="314"/>
      <c r="BU5101" s="314"/>
      <c r="BV5101" s="314"/>
      <c r="BW5101" s="314"/>
      <c r="BX5101" s="155"/>
    </row>
    <row r="5102" spans="1:76" ht="15.75" customHeight="1">
      <c r="A5102" s="25"/>
      <c r="B5102" s="39"/>
      <c r="C5102" s="155"/>
      <c r="D5102" s="155"/>
      <c r="E5102" s="40"/>
      <c r="F5102" s="314"/>
      <c r="H5102" s="315"/>
      <c r="I5102" s="315"/>
      <c r="BA5102" s="30"/>
      <c r="BB5102" s="155"/>
      <c r="BC5102" s="314"/>
      <c r="BD5102" s="314"/>
      <c r="BE5102" s="314"/>
      <c r="BF5102" s="314"/>
      <c r="BG5102" s="314"/>
      <c r="BH5102" s="314"/>
      <c r="BI5102" s="314"/>
      <c r="BJ5102" s="314"/>
      <c r="BK5102" s="40"/>
      <c r="BL5102" s="40"/>
      <c r="BM5102" s="40"/>
      <c r="BN5102" s="40"/>
      <c r="BO5102" s="40"/>
      <c r="BP5102" s="155"/>
      <c r="BQ5102" s="314"/>
      <c r="BR5102" s="314"/>
      <c r="BS5102" s="314"/>
      <c r="BT5102" s="314"/>
      <c r="BU5102" s="314"/>
      <c r="BV5102" s="314"/>
      <c r="BW5102" s="314"/>
      <c r="BX5102" s="155"/>
    </row>
    <row r="5103" spans="1:76" ht="15.75" customHeight="1">
      <c r="A5103" s="25"/>
      <c r="B5103" s="39"/>
      <c r="C5103" s="155"/>
      <c r="D5103" s="155"/>
      <c r="E5103" s="40"/>
      <c r="F5103" s="314"/>
      <c r="H5103" s="315"/>
      <c r="I5103" s="315"/>
      <c r="BA5103" s="30"/>
      <c r="BB5103" s="155"/>
      <c r="BC5103" s="314"/>
      <c r="BD5103" s="314"/>
      <c r="BE5103" s="314"/>
      <c r="BF5103" s="314"/>
      <c r="BG5103" s="314"/>
      <c r="BH5103" s="314"/>
      <c r="BI5103" s="314"/>
      <c r="BJ5103" s="314"/>
      <c r="BK5103" s="40"/>
      <c r="BL5103" s="40"/>
      <c r="BM5103" s="40"/>
      <c r="BN5103" s="40"/>
      <c r="BO5103" s="40"/>
      <c r="BP5103" s="155"/>
      <c r="BQ5103" s="314"/>
      <c r="BR5103" s="314"/>
      <c r="BS5103" s="314"/>
      <c r="BT5103" s="314"/>
      <c r="BU5103" s="314"/>
      <c r="BV5103" s="314"/>
      <c r="BW5103" s="314"/>
      <c r="BX5103" s="155"/>
    </row>
    <row r="5104" spans="1:76" ht="15.75" customHeight="1">
      <c r="A5104" s="25"/>
      <c r="B5104" s="39"/>
      <c r="C5104" s="155"/>
      <c r="D5104" s="155"/>
      <c r="E5104" s="40"/>
      <c r="F5104" s="314"/>
      <c r="H5104" s="315"/>
      <c r="I5104" s="315"/>
      <c r="BA5104" s="30"/>
      <c r="BB5104" s="155"/>
      <c r="BC5104" s="314"/>
      <c r="BD5104" s="314"/>
      <c r="BE5104" s="314"/>
      <c r="BF5104" s="314"/>
      <c r="BG5104" s="314"/>
      <c r="BH5104" s="314"/>
      <c r="BI5104" s="314"/>
      <c r="BJ5104" s="314"/>
      <c r="BK5104" s="40"/>
      <c r="BL5104" s="40"/>
      <c r="BM5104" s="40"/>
      <c r="BN5104" s="40"/>
      <c r="BO5104" s="40"/>
      <c r="BP5104" s="155"/>
      <c r="BQ5104" s="314"/>
      <c r="BR5104" s="314"/>
      <c r="BS5104" s="314"/>
      <c r="BT5104" s="314"/>
      <c r="BU5104" s="314"/>
      <c r="BV5104" s="314"/>
      <c r="BW5104" s="314"/>
      <c r="BX5104" s="155"/>
    </row>
    <row r="5105" spans="1:76" ht="15.75" customHeight="1">
      <c r="A5105" s="25"/>
      <c r="B5105" s="39"/>
      <c r="C5105" s="155"/>
      <c r="D5105" s="155"/>
      <c r="E5105" s="40"/>
      <c r="F5105" s="314"/>
      <c r="H5105" s="315"/>
      <c r="I5105" s="315"/>
      <c r="BA5105" s="30"/>
      <c r="BB5105" s="155"/>
      <c r="BC5105" s="314"/>
      <c r="BD5105" s="314"/>
      <c r="BE5105" s="314"/>
      <c r="BF5105" s="314"/>
      <c r="BG5105" s="314"/>
      <c r="BH5105" s="314"/>
      <c r="BI5105" s="314"/>
      <c r="BJ5105" s="314"/>
      <c r="BK5105" s="40"/>
      <c r="BL5105" s="40"/>
      <c r="BM5105" s="40"/>
      <c r="BN5105" s="40"/>
      <c r="BO5105" s="40"/>
      <c r="BP5105" s="155"/>
      <c r="BQ5105" s="314"/>
      <c r="BR5105" s="314"/>
      <c r="BS5105" s="314"/>
      <c r="BT5105" s="314"/>
      <c r="BU5105" s="314"/>
      <c r="BV5105" s="314"/>
      <c r="BW5105" s="314"/>
      <c r="BX5105" s="155"/>
    </row>
    <row r="5106" spans="1:76" ht="15.75" customHeight="1">
      <c r="A5106" s="25"/>
      <c r="B5106" s="39"/>
      <c r="C5106" s="155"/>
      <c r="D5106" s="155"/>
      <c r="E5106" s="40"/>
      <c r="F5106" s="314"/>
      <c r="H5106" s="315"/>
      <c r="I5106" s="315"/>
      <c r="BA5106" s="30"/>
      <c r="BB5106" s="155"/>
      <c r="BC5106" s="314"/>
      <c r="BD5106" s="314"/>
      <c r="BE5106" s="314"/>
      <c r="BF5106" s="314"/>
      <c r="BG5106" s="314"/>
      <c r="BH5106" s="314"/>
      <c r="BI5106" s="314"/>
      <c r="BJ5106" s="314"/>
      <c r="BK5106" s="40"/>
      <c r="BL5106" s="40"/>
      <c r="BM5106" s="40"/>
      <c r="BN5106" s="40"/>
      <c r="BO5106" s="40"/>
      <c r="BP5106" s="155"/>
      <c r="BQ5106" s="314"/>
      <c r="BR5106" s="314"/>
      <c r="BS5106" s="314"/>
      <c r="BT5106" s="314"/>
      <c r="BU5106" s="314"/>
      <c r="BV5106" s="314"/>
      <c r="BW5106" s="314"/>
      <c r="BX5106" s="155"/>
    </row>
    <row r="5107" spans="1:76" ht="15.75" customHeight="1">
      <c r="A5107" s="25"/>
      <c r="B5107" s="39"/>
      <c r="C5107" s="155"/>
      <c r="D5107" s="155"/>
      <c r="E5107" s="40"/>
      <c r="F5107" s="314"/>
      <c r="H5107" s="315"/>
      <c r="I5107" s="315"/>
      <c r="BA5107" s="30"/>
      <c r="BB5107" s="155"/>
      <c r="BC5107" s="314"/>
      <c r="BD5107" s="314"/>
      <c r="BE5107" s="314"/>
      <c r="BF5107" s="314"/>
      <c r="BG5107" s="314"/>
      <c r="BH5107" s="314"/>
      <c r="BI5107" s="314"/>
      <c r="BJ5107" s="314"/>
      <c r="BK5107" s="40"/>
      <c r="BL5107" s="40"/>
      <c r="BM5107" s="40"/>
      <c r="BN5107" s="40"/>
      <c r="BO5107" s="40"/>
      <c r="BP5107" s="155"/>
      <c r="BQ5107" s="314"/>
      <c r="BR5107" s="314"/>
      <c r="BS5107" s="314"/>
      <c r="BT5107" s="314"/>
      <c r="BU5107" s="314"/>
      <c r="BV5107" s="314"/>
      <c r="BW5107" s="314"/>
      <c r="BX5107" s="155"/>
    </row>
    <row r="5108" spans="1:76" ht="15.75" customHeight="1">
      <c r="A5108" s="25"/>
      <c r="B5108" s="39"/>
      <c r="C5108" s="155"/>
      <c r="D5108" s="155"/>
      <c r="E5108" s="40"/>
      <c r="F5108" s="314"/>
      <c r="H5108" s="315"/>
      <c r="I5108" s="315"/>
      <c r="BA5108" s="30"/>
      <c r="BB5108" s="155"/>
      <c r="BC5108" s="314"/>
      <c r="BD5108" s="314"/>
      <c r="BE5108" s="314"/>
      <c r="BF5108" s="314"/>
      <c r="BG5108" s="314"/>
      <c r="BH5108" s="314"/>
      <c r="BI5108" s="314"/>
      <c r="BJ5108" s="314"/>
      <c r="BK5108" s="40"/>
      <c r="BL5108" s="40"/>
      <c r="BM5108" s="40"/>
      <c r="BN5108" s="40"/>
      <c r="BO5108" s="40"/>
      <c r="BP5108" s="155"/>
      <c r="BQ5108" s="314"/>
      <c r="BR5108" s="314"/>
      <c r="BS5108" s="314"/>
      <c r="BT5108" s="314"/>
      <c r="BU5108" s="314"/>
      <c r="BV5108" s="314"/>
      <c r="BW5108" s="314"/>
      <c r="BX5108" s="155"/>
    </row>
    <row r="5109" spans="1:76" ht="15.75" customHeight="1">
      <c r="A5109" s="25"/>
      <c r="B5109" s="39"/>
      <c r="C5109" s="155"/>
      <c r="D5109" s="155"/>
      <c r="E5109" s="40"/>
      <c r="F5109" s="314"/>
      <c r="H5109" s="315"/>
      <c r="I5109" s="315"/>
      <c r="BA5109" s="30"/>
      <c r="BB5109" s="155"/>
      <c r="BC5109" s="322"/>
      <c r="BD5109" s="322"/>
      <c r="BE5109" s="322"/>
      <c r="BF5109" s="322"/>
      <c r="BG5109" s="322"/>
      <c r="BH5109" s="322"/>
      <c r="BI5109" s="322"/>
      <c r="BJ5109" s="322"/>
      <c r="BK5109" s="341"/>
      <c r="BL5109" s="40"/>
      <c r="BM5109" s="40"/>
      <c r="BN5109" s="40"/>
      <c r="BO5109" s="40"/>
      <c r="BP5109" s="155"/>
      <c r="BQ5109" s="314"/>
      <c r="BR5109" s="314"/>
      <c r="BS5109" s="314"/>
      <c r="BT5109" s="314"/>
      <c r="BU5109" s="314"/>
      <c r="BV5109" s="314"/>
      <c r="BW5109" s="314"/>
      <c r="BX5109" s="155"/>
    </row>
    <row r="5110" spans="1:76" ht="15.75" customHeight="1">
      <c r="A5110" s="25"/>
      <c r="B5110" s="39"/>
      <c r="C5110" s="155"/>
      <c r="D5110" s="155"/>
      <c r="E5110" s="40"/>
      <c r="F5110" s="314"/>
      <c r="H5110" s="315"/>
      <c r="I5110" s="315"/>
      <c r="BA5110" s="30"/>
      <c r="BB5110" s="155"/>
      <c r="BC5110" s="314"/>
      <c r="BD5110" s="314"/>
      <c r="BE5110" s="314"/>
      <c r="BF5110" s="314"/>
      <c r="BG5110" s="314"/>
      <c r="BH5110" s="314"/>
      <c r="BI5110" s="314"/>
      <c r="BJ5110" s="314"/>
      <c r="BK5110" s="40"/>
      <c r="BL5110" s="40"/>
      <c r="BM5110" s="40"/>
      <c r="BN5110" s="40"/>
      <c r="BO5110" s="40"/>
      <c r="BP5110" s="155"/>
      <c r="BQ5110" s="314"/>
      <c r="BR5110" s="314"/>
      <c r="BS5110" s="314"/>
      <c r="BT5110" s="314"/>
      <c r="BU5110" s="314"/>
      <c r="BV5110" s="314"/>
      <c r="BW5110" s="314"/>
      <c r="BX5110" s="155"/>
    </row>
    <row r="5111" spans="1:76" ht="15.75" customHeight="1">
      <c r="A5111" s="25"/>
      <c r="B5111" s="39"/>
      <c r="C5111" s="155"/>
      <c r="D5111" s="155"/>
      <c r="E5111" s="40"/>
      <c r="F5111" s="314"/>
      <c r="H5111" s="315"/>
      <c r="I5111" s="315"/>
      <c r="BA5111" s="30"/>
      <c r="BB5111" s="155"/>
      <c r="BC5111" s="314"/>
      <c r="BD5111" s="314"/>
      <c r="BE5111" s="314"/>
      <c r="BF5111" s="314"/>
      <c r="BG5111" s="314"/>
      <c r="BH5111" s="314"/>
      <c r="BI5111" s="314"/>
      <c r="BJ5111" s="314"/>
      <c r="BK5111" s="40"/>
      <c r="BL5111" s="40"/>
      <c r="BM5111" s="40"/>
      <c r="BN5111" s="40"/>
      <c r="BO5111" s="40"/>
      <c r="BP5111" s="155"/>
      <c r="BQ5111" s="314"/>
      <c r="BR5111" s="314"/>
      <c r="BS5111" s="314"/>
      <c r="BT5111" s="314"/>
      <c r="BU5111" s="314"/>
      <c r="BV5111" s="314"/>
      <c r="BW5111" s="314"/>
      <c r="BX5111" s="155"/>
    </row>
    <row r="5112" spans="1:76" ht="15.75" customHeight="1">
      <c r="A5112" s="25"/>
      <c r="B5112" s="39"/>
      <c r="C5112" s="155"/>
      <c r="D5112" s="155"/>
      <c r="E5112" s="40"/>
      <c r="F5112" s="314"/>
      <c r="H5112" s="315"/>
      <c r="I5112" s="315"/>
      <c r="BA5112" s="30"/>
      <c r="BB5112" s="155"/>
      <c r="BC5112" s="314"/>
      <c r="BD5112" s="314"/>
      <c r="BE5112" s="314"/>
      <c r="BF5112" s="314"/>
      <c r="BG5112" s="314"/>
      <c r="BH5112" s="314"/>
      <c r="BI5112" s="314"/>
      <c r="BJ5112" s="314"/>
      <c r="BK5112" s="40"/>
      <c r="BL5112" s="40"/>
      <c r="BM5112" s="40"/>
      <c r="BN5112" s="40"/>
      <c r="BO5112" s="40"/>
      <c r="BP5112" s="155"/>
      <c r="BQ5112" s="314"/>
      <c r="BR5112" s="314"/>
      <c r="BS5112" s="314"/>
      <c r="BT5112" s="314"/>
      <c r="BU5112" s="314"/>
      <c r="BV5112" s="314"/>
      <c r="BW5112" s="314"/>
      <c r="BX5112" s="155"/>
    </row>
    <row r="5113" spans="1:76" ht="15.75" customHeight="1">
      <c r="A5113" s="25"/>
      <c r="B5113" s="39"/>
      <c r="C5113" s="155"/>
      <c r="D5113" s="155"/>
      <c r="E5113" s="40"/>
      <c r="F5113" s="314"/>
      <c r="H5113" s="315"/>
      <c r="I5113" s="315"/>
      <c r="BA5113" s="30"/>
      <c r="BB5113" s="155"/>
      <c r="BC5113" s="314"/>
      <c r="BD5113" s="314"/>
      <c r="BE5113" s="314"/>
      <c r="BF5113" s="314"/>
      <c r="BG5113" s="314"/>
      <c r="BH5113" s="314"/>
      <c r="BI5113" s="314"/>
      <c r="BJ5113" s="314"/>
      <c r="BK5113" s="40"/>
      <c r="BL5113" s="40"/>
      <c r="BM5113" s="40"/>
      <c r="BN5113" s="40"/>
      <c r="BO5113" s="40"/>
      <c r="BP5113" s="155"/>
      <c r="BQ5113" s="314"/>
      <c r="BR5113" s="314"/>
      <c r="BS5113" s="314"/>
      <c r="BT5113" s="314"/>
      <c r="BU5113" s="314"/>
      <c r="BV5113" s="314"/>
      <c r="BW5113" s="314"/>
      <c r="BX5113" s="155"/>
    </row>
    <row r="5114" spans="1:76" ht="15.75" customHeight="1">
      <c r="A5114" s="25"/>
      <c r="B5114" s="39"/>
      <c r="C5114" s="155"/>
      <c r="D5114" s="155"/>
      <c r="E5114" s="40"/>
      <c r="F5114" s="314"/>
      <c r="H5114" s="315"/>
      <c r="I5114" s="315"/>
      <c r="BA5114" s="30"/>
      <c r="BB5114" s="155"/>
      <c r="BC5114" s="314"/>
      <c r="BD5114" s="314"/>
      <c r="BE5114" s="314"/>
      <c r="BF5114" s="314"/>
      <c r="BG5114" s="314"/>
      <c r="BH5114" s="314"/>
      <c r="BI5114" s="314"/>
      <c r="BJ5114" s="314"/>
      <c r="BK5114" s="40"/>
      <c r="BL5114" s="40"/>
      <c r="BM5114" s="40"/>
      <c r="BN5114" s="40"/>
      <c r="BO5114" s="40"/>
      <c r="BP5114" s="155"/>
      <c r="BQ5114" s="314"/>
      <c r="BR5114" s="314"/>
      <c r="BS5114" s="314"/>
      <c r="BT5114" s="314"/>
      <c r="BU5114" s="314"/>
      <c r="BV5114" s="314"/>
      <c r="BW5114" s="314"/>
      <c r="BX5114" s="155"/>
    </row>
    <row r="5115" spans="1:76" ht="15.75" customHeight="1">
      <c r="A5115" s="25"/>
      <c r="B5115" s="39"/>
      <c r="C5115" s="155"/>
      <c r="D5115" s="155"/>
      <c r="E5115" s="40"/>
      <c r="F5115" s="314"/>
      <c r="H5115" s="315"/>
      <c r="I5115" s="315"/>
      <c r="BA5115" s="30"/>
      <c r="BB5115" s="155"/>
      <c r="BC5115" s="314"/>
      <c r="BD5115" s="314"/>
      <c r="BE5115" s="314"/>
      <c r="BF5115" s="314"/>
      <c r="BG5115" s="314"/>
      <c r="BH5115" s="314"/>
      <c r="BI5115" s="314"/>
      <c r="BJ5115" s="314"/>
      <c r="BK5115" s="40"/>
      <c r="BL5115" s="40"/>
      <c r="BM5115" s="40"/>
      <c r="BN5115" s="40"/>
      <c r="BO5115" s="40"/>
      <c r="BP5115" s="155"/>
      <c r="BQ5115" s="314"/>
      <c r="BR5115" s="314"/>
      <c r="BS5115" s="314"/>
      <c r="BT5115" s="314"/>
      <c r="BU5115" s="314"/>
      <c r="BV5115" s="314"/>
      <c r="BW5115" s="314"/>
      <c r="BX5115" s="155"/>
    </row>
    <row r="5116" spans="1:76" ht="15.75" customHeight="1">
      <c r="A5116" s="25"/>
      <c r="B5116" s="39"/>
      <c r="C5116" s="155"/>
      <c r="D5116" s="155"/>
      <c r="E5116" s="40"/>
      <c r="F5116" s="314"/>
      <c r="H5116" s="315"/>
      <c r="I5116" s="315"/>
      <c r="BA5116" s="30"/>
      <c r="BB5116" s="155"/>
      <c r="BC5116" s="314"/>
      <c r="BD5116" s="314"/>
      <c r="BE5116" s="314"/>
      <c r="BF5116" s="314"/>
      <c r="BG5116" s="314"/>
      <c r="BH5116" s="314"/>
      <c r="BI5116" s="314"/>
      <c r="BJ5116" s="314"/>
      <c r="BK5116" s="40"/>
      <c r="BL5116" s="40"/>
      <c r="BM5116" s="40"/>
      <c r="BN5116" s="40"/>
      <c r="BO5116" s="40"/>
      <c r="BP5116" s="155"/>
      <c r="BQ5116" s="314"/>
      <c r="BR5116" s="314"/>
      <c r="BS5116" s="314"/>
      <c r="BT5116" s="314"/>
      <c r="BU5116" s="314"/>
      <c r="BV5116" s="314"/>
      <c r="BW5116" s="314"/>
      <c r="BX5116" s="155"/>
    </row>
    <row r="5117" spans="1:76" ht="15.75" customHeight="1">
      <c r="A5117" s="25"/>
      <c r="B5117" s="39"/>
      <c r="C5117" s="155"/>
      <c r="D5117" s="155"/>
      <c r="E5117" s="40"/>
      <c r="F5117" s="314"/>
      <c r="H5117" s="315"/>
      <c r="I5117" s="315"/>
      <c r="BA5117" s="30"/>
      <c r="BB5117" s="155"/>
      <c r="BC5117" s="314"/>
      <c r="BD5117" s="314"/>
      <c r="BE5117" s="314"/>
      <c r="BF5117" s="314"/>
      <c r="BG5117" s="314"/>
      <c r="BH5117" s="314"/>
      <c r="BI5117" s="314"/>
      <c r="BJ5117" s="314"/>
      <c r="BK5117" s="40"/>
      <c r="BL5117" s="40"/>
      <c r="BM5117" s="40"/>
      <c r="BN5117" s="40"/>
      <c r="BO5117" s="40"/>
      <c r="BP5117" s="155"/>
      <c r="BQ5117" s="314"/>
      <c r="BR5117" s="314"/>
      <c r="BS5117" s="314"/>
      <c r="BT5117" s="314"/>
      <c r="BU5117" s="314"/>
      <c r="BV5117" s="314"/>
      <c r="BW5117" s="314"/>
      <c r="BX5117" s="155"/>
    </row>
    <row r="5118" spans="1:76" ht="15.75" customHeight="1">
      <c r="A5118" s="25"/>
      <c r="B5118" s="39"/>
      <c r="C5118" s="155"/>
      <c r="D5118" s="155"/>
      <c r="E5118" s="40"/>
      <c r="F5118" s="314"/>
      <c r="H5118" s="315"/>
      <c r="I5118" s="315"/>
      <c r="BA5118" s="30"/>
      <c r="BB5118" s="155"/>
      <c r="BC5118" s="314"/>
      <c r="BD5118" s="314"/>
      <c r="BE5118" s="314"/>
      <c r="BF5118" s="314"/>
      <c r="BG5118" s="314"/>
      <c r="BH5118" s="314"/>
      <c r="BI5118" s="314"/>
      <c r="BJ5118" s="314"/>
      <c r="BK5118" s="40"/>
      <c r="BL5118" s="40"/>
      <c r="BM5118" s="40"/>
      <c r="BN5118" s="40"/>
      <c r="BO5118" s="40"/>
      <c r="BP5118" s="155"/>
      <c r="BQ5118" s="314"/>
      <c r="BR5118" s="314"/>
      <c r="BS5118" s="314"/>
      <c r="BT5118" s="314"/>
      <c r="BU5118" s="314"/>
      <c r="BV5118" s="314"/>
      <c r="BW5118" s="314"/>
      <c r="BX5118" s="155"/>
    </row>
    <row r="5119" spans="1:76" ht="15.75" customHeight="1">
      <c r="A5119" s="25"/>
      <c r="B5119" s="39"/>
      <c r="C5119" s="155"/>
      <c r="D5119" s="155"/>
      <c r="E5119" s="40"/>
      <c r="F5119" s="314"/>
      <c r="H5119" s="315"/>
      <c r="I5119" s="315"/>
      <c r="BA5119" s="30"/>
      <c r="BB5119" s="155"/>
      <c r="BC5119" s="314"/>
      <c r="BD5119" s="314"/>
      <c r="BE5119" s="314"/>
      <c r="BF5119" s="314"/>
      <c r="BG5119" s="314"/>
      <c r="BH5119" s="314"/>
      <c r="BI5119" s="314"/>
      <c r="BJ5119" s="314"/>
      <c r="BK5119" s="40"/>
      <c r="BL5119" s="40"/>
      <c r="BM5119" s="40"/>
      <c r="BN5119" s="40"/>
      <c r="BO5119" s="40"/>
      <c r="BP5119" s="155"/>
      <c r="BQ5119" s="314"/>
      <c r="BR5119" s="314"/>
      <c r="BS5119" s="314"/>
      <c r="BT5119" s="314"/>
      <c r="BU5119" s="314"/>
      <c r="BV5119" s="314"/>
      <c r="BW5119" s="314"/>
      <c r="BX5119" s="155"/>
    </row>
    <row r="5120" spans="1:76" ht="15.75" customHeight="1">
      <c r="A5120" s="25"/>
      <c r="B5120" s="39"/>
      <c r="C5120" s="155"/>
      <c r="D5120" s="155"/>
      <c r="E5120" s="40"/>
      <c r="F5120" s="314"/>
      <c r="H5120" s="315"/>
      <c r="I5120" s="315"/>
      <c r="BA5120" s="30"/>
      <c r="BB5120" s="155"/>
      <c r="BC5120" s="314"/>
      <c r="BD5120" s="314"/>
      <c r="BE5120" s="314"/>
      <c r="BF5120" s="314"/>
      <c r="BG5120" s="314"/>
      <c r="BH5120" s="314"/>
      <c r="BI5120" s="314"/>
      <c r="BJ5120" s="314"/>
      <c r="BK5120" s="40"/>
      <c r="BL5120" s="40"/>
      <c r="BM5120" s="40"/>
      <c r="BN5120" s="40"/>
      <c r="BO5120" s="40"/>
      <c r="BP5120" s="155"/>
      <c r="BQ5120" s="314"/>
      <c r="BR5120" s="314"/>
      <c r="BS5120" s="314"/>
      <c r="BT5120" s="314"/>
      <c r="BU5120" s="314"/>
      <c r="BV5120" s="314"/>
      <c r="BW5120" s="314"/>
      <c r="BX5120" s="155"/>
    </row>
    <row r="5121" spans="1:76" ht="15.75" customHeight="1">
      <c r="A5121" s="25"/>
      <c r="B5121" s="39"/>
      <c r="C5121" s="155"/>
      <c r="D5121" s="155"/>
      <c r="E5121" s="40"/>
      <c r="F5121" s="314"/>
      <c r="H5121" s="315"/>
      <c r="I5121" s="315"/>
      <c r="BA5121" s="30"/>
      <c r="BB5121" s="155"/>
      <c r="BC5121" s="314"/>
      <c r="BD5121" s="314"/>
      <c r="BE5121" s="314"/>
      <c r="BF5121" s="314"/>
      <c r="BG5121" s="314"/>
      <c r="BH5121" s="314"/>
      <c r="BI5121" s="314"/>
      <c r="BJ5121" s="314"/>
      <c r="BK5121" s="40"/>
      <c r="BL5121" s="40"/>
      <c r="BM5121" s="40"/>
      <c r="BN5121" s="40"/>
      <c r="BO5121" s="40"/>
      <c r="BP5121" s="155"/>
      <c r="BQ5121" s="314"/>
      <c r="BR5121" s="314"/>
      <c r="BS5121" s="314"/>
      <c r="BT5121" s="314"/>
      <c r="BU5121" s="314"/>
      <c r="BV5121" s="314"/>
      <c r="BW5121" s="314"/>
      <c r="BX5121" s="155"/>
    </row>
    <row r="5122" spans="1:76" ht="15.75" customHeight="1">
      <c r="A5122" s="25"/>
      <c r="B5122" s="39"/>
      <c r="C5122" s="155"/>
      <c r="D5122" s="155"/>
      <c r="E5122" s="40"/>
      <c r="F5122" s="314"/>
      <c r="H5122" s="315"/>
      <c r="I5122" s="315"/>
      <c r="BA5122" s="30"/>
      <c r="BB5122" s="155"/>
      <c r="BC5122" s="314"/>
      <c r="BD5122" s="314"/>
      <c r="BE5122" s="314"/>
      <c r="BF5122" s="314"/>
      <c r="BG5122" s="314"/>
      <c r="BH5122" s="314"/>
      <c r="BI5122" s="314"/>
      <c r="BJ5122" s="314"/>
      <c r="BK5122" s="40"/>
      <c r="BL5122" s="40"/>
      <c r="BM5122" s="40"/>
      <c r="BN5122" s="40"/>
      <c r="BO5122" s="40"/>
      <c r="BP5122" s="155"/>
      <c r="BQ5122" s="314"/>
      <c r="BR5122" s="314"/>
      <c r="BS5122" s="314"/>
      <c r="BT5122" s="314"/>
      <c r="BU5122" s="314"/>
      <c r="BV5122" s="314"/>
      <c r="BW5122" s="314"/>
      <c r="BX5122" s="155"/>
    </row>
    <row r="5123" spans="1:76" ht="15.75" customHeight="1">
      <c r="A5123" s="25"/>
      <c r="B5123" s="39"/>
      <c r="C5123" s="155"/>
      <c r="D5123" s="155"/>
      <c r="E5123" s="40"/>
      <c r="F5123" s="314"/>
      <c r="H5123" s="315"/>
      <c r="I5123" s="315"/>
      <c r="BA5123" s="30"/>
      <c r="BB5123" s="155"/>
      <c r="BC5123" s="314"/>
      <c r="BD5123" s="314"/>
      <c r="BE5123" s="314"/>
      <c r="BF5123" s="314"/>
      <c r="BG5123" s="314"/>
      <c r="BH5123" s="314"/>
      <c r="BI5123" s="314"/>
      <c r="BJ5123" s="314"/>
      <c r="BK5123" s="40"/>
      <c r="BL5123" s="40"/>
      <c r="BM5123" s="40"/>
      <c r="BN5123" s="40"/>
      <c r="BO5123" s="40"/>
      <c r="BP5123" s="155"/>
      <c r="BQ5123" s="314"/>
      <c r="BR5123" s="314"/>
      <c r="BS5123" s="314"/>
      <c r="BT5123" s="314"/>
      <c r="BU5123" s="314"/>
      <c r="BV5123" s="314"/>
      <c r="BW5123" s="314"/>
      <c r="BX5123" s="155"/>
    </row>
    <row r="5124" spans="1:76" ht="15.75" customHeight="1">
      <c r="A5124" s="25"/>
      <c r="B5124" s="39"/>
      <c r="C5124" s="155"/>
      <c r="D5124" s="155"/>
      <c r="E5124" s="40"/>
      <c r="F5124" s="314"/>
      <c r="H5124" s="315"/>
      <c r="I5124" s="315"/>
      <c r="BA5124" s="30"/>
      <c r="BB5124" s="155"/>
      <c r="BC5124" s="314"/>
      <c r="BD5124" s="314"/>
      <c r="BE5124" s="314"/>
      <c r="BF5124" s="314"/>
      <c r="BG5124" s="314"/>
      <c r="BH5124" s="314"/>
      <c r="BI5124" s="314"/>
      <c r="BJ5124" s="314"/>
      <c r="BK5124" s="40"/>
      <c r="BL5124" s="40"/>
      <c r="BM5124" s="40"/>
      <c r="BN5124" s="40"/>
      <c r="BO5124" s="40"/>
      <c r="BP5124" s="155"/>
      <c r="BQ5124" s="314"/>
      <c r="BR5124" s="314"/>
      <c r="BS5124" s="314"/>
      <c r="BT5124" s="314"/>
      <c r="BU5124" s="314"/>
      <c r="BV5124" s="314"/>
      <c r="BW5124" s="314"/>
      <c r="BX5124" s="155"/>
    </row>
    <row r="5125" spans="1:76" ht="15.75" customHeight="1">
      <c r="A5125" s="25"/>
      <c r="B5125" s="39"/>
      <c r="C5125" s="155"/>
      <c r="D5125" s="155"/>
      <c r="E5125" s="40"/>
      <c r="F5125" s="314"/>
      <c r="H5125" s="315"/>
      <c r="I5125" s="315"/>
      <c r="BA5125" s="30"/>
      <c r="BB5125" s="155"/>
      <c r="BC5125" s="314"/>
      <c r="BD5125" s="314"/>
      <c r="BE5125" s="314"/>
      <c r="BF5125" s="314"/>
      <c r="BG5125" s="314"/>
      <c r="BH5125" s="314"/>
      <c r="BI5125" s="314"/>
      <c r="BJ5125" s="314"/>
      <c r="BK5125" s="40"/>
      <c r="BL5125" s="40"/>
      <c r="BM5125" s="40"/>
      <c r="BN5125" s="40"/>
      <c r="BO5125" s="40"/>
      <c r="BP5125" s="155"/>
      <c r="BQ5125" s="314"/>
      <c r="BR5125" s="314"/>
      <c r="BS5125" s="314"/>
      <c r="BT5125" s="314"/>
      <c r="BU5125" s="314"/>
      <c r="BV5125" s="314"/>
      <c r="BW5125" s="314"/>
      <c r="BX5125" s="155"/>
    </row>
    <row r="5126" spans="1:76" ht="15.75" customHeight="1">
      <c r="A5126" s="25"/>
      <c r="B5126" s="39"/>
      <c r="C5126" s="155"/>
      <c r="D5126" s="155"/>
      <c r="E5126" s="40"/>
      <c r="F5126" s="314"/>
      <c r="H5126" s="315"/>
      <c r="I5126" s="315"/>
      <c r="BA5126" s="30"/>
      <c r="BB5126" s="155"/>
      <c r="BC5126" s="314"/>
      <c r="BD5126" s="314"/>
      <c r="BE5126" s="314"/>
      <c r="BF5126" s="314"/>
      <c r="BG5126" s="314"/>
      <c r="BH5126" s="314"/>
      <c r="BI5126" s="314"/>
      <c r="BJ5126" s="314"/>
      <c r="BK5126" s="40"/>
      <c r="BL5126" s="40"/>
      <c r="BM5126" s="40"/>
      <c r="BN5126" s="40"/>
      <c r="BO5126" s="40"/>
      <c r="BP5126" s="155"/>
      <c r="BQ5126" s="314"/>
      <c r="BR5126" s="314"/>
      <c r="BS5126" s="314"/>
      <c r="BT5126" s="314"/>
      <c r="BU5126" s="314"/>
      <c r="BV5126" s="314"/>
      <c r="BW5126" s="314"/>
      <c r="BX5126" s="155"/>
    </row>
    <row r="5127" spans="1:76" ht="15.75" customHeight="1">
      <c r="A5127" s="25"/>
      <c r="B5127" s="39"/>
      <c r="C5127" s="155"/>
      <c r="D5127" s="155"/>
      <c r="E5127" s="40"/>
      <c r="F5127" s="314"/>
      <c r="H5127" s="315"/>
      <c r="I5127" s="315"/>
      <c r="BA5127" s="30"/>
      <c r="BB5127" s="155"/>
      <c r="BC5127" s="322"/>
      <c r="BD5127" s="322"/>
      <c r="BE5127" s="322"/>
      <c r="BF5127" s="322"/>
      <c r="BG5127" s="322"/>
      <c r="BH5127" s="322"/>
      <c r="BI5127" s="322"/>
      <c r="BJ5127" s="322"/>
      <c r="BK5127" s="341"/>
      <c r="BL5127" s="40"/>
      <c r="BM5127" s="40"/>
      <c r="BN5127" s="40"/>
      <c r="BO5127" s="40"/>
      <c r="BP5127" s="155"/>
      <c r="BQ5127" s="314"/>
      <c r="BR5127" s="314"/>
      <c r="BS5127" s="314"/>
      <c r="BT5127" s="314"/>
      <c r="BU5127" s="314"/>
      <c r="BV5127" s="314"/>
      <c r="BW5127" s="314"/>
      <c r="BX5127" s="155"/>
    </row>
    <row r="5128" spans="1:76" ht="15.75" customHeight="1">
      <c r="A5128" s="25"/>
      <c r="B5128" s="39"/>
      <c r="C5128" s="155"/>
      <c r="D5128" s="155"/>
      <c r="E5128" s="40"/>
      <c r="F5128" s="314"/>
      <c r="H5128" s="315"/>
      <c r="I5128" s="315"/>
      <c r="BA5128" s="30"/>
      <c r="BB5128" s="155"/>
      <c r="BC5128" s="314"/>
      <c r="BD5128" s="314"/>
      <c r="BE5128" s="314"/>
      <c r="BF5128" s="314"/>
      <c r="BG5128" s="314"/>
      <c r="BH5128" s="314"/>
      <c r="BI5128" s="314"/>
      <c r="BJ5128" s="314"/>
      <c r="BK5128" s="40"/>
      <c r="BL5128" s="40"/>
      <c r="BM5128" s="40"/>
      <c r="BN5128" s="40"/>
      <c r="BO5128" s="40"/>
      <c r="BP5128" s="155"/>
      <c r="BQ5128" s="314"/>
      <c r="BR5128" s="314"/>
      <c r="BS5128" s="314"/>
      <c r="BT5128" s="314"/>
      <c r="BU5128" s="314"/>
      <c r="BV5128" s="314"/>
      <c r="BW5128" s="314"/>
      <c r="BX5128" s="155"/>
    </row>
    <row r="5129" spans="1:76" ht="15.75" customHeight="1">
      <c r="A5129" s="25"/>
      <c r="B5129" s="39"/>
      <c r="C5129" s="155"/>
      <c r="D5129" s="155"/>
      <c r="E5129" s="40"/>
      <c r="F5129" s="314"/>
      <c r="H5129" s="315"/>
      <c r="I5129" s="315"/>
      <c r="BA5129" s="30"/>
      <c r="BB5129" s="155"/>
      <c r="BC5129" s="314"/>
      <c r="BD5129" s="314"/>
      <c r="BE5129" s="314"/>
      <c r="BF5129" s="314"/>
      <c r="BG5129" s="314"/>
      <c r="BH5129" s="314"/>
      <c r="BI5129" s="314"/>
      <c r="BJ5129" s="314"/>
      <c r="BK5129" s="40"/>
      <c r="BL5129" s="40"/>
      <c r="BM5129" s="40"/>
      <c r="BN5129" s="40"/>
      <c r="BO5129" s="40"/>
      <c r="BP5129" s="155"/>
      <c r="BQ5129" s="314"/>
      <c r="BR5129" s="314"/>
      <c r="BS5129" s="314"/>
      <c r="BT5129" s="314"/>
      <c r="BU5129" s="314"/>
      <c r="BV5129" s="314"/>
      <c r="BW5129" s="314"/>
      <c r="BX5129" s="155"/>
    </row>
    <row r="5130" spans="1:76" ht="15.75" customHeight="1">
      <c r="A5130" s="25"/>
      <c r="B5130" s="39"/>
      <c r="C5130" s="155"/>
      <c r="D5130" s="155"/>
      <c r="E5130" s="40"/>
      <c r="F5130" s="314"/>
      <c r="H5130" s="315"/>
      <c r="I5130" s="315"/>
      <c r="BA5130" s="30"/>
      <c r="BB5130" s="155"/>
      <c r="BC5130" s="314"/>
      <c r="BD5130" s="314"/>
      <c r="BE5130" s="314"/>
      <c r="BF5130" s="314"/>
      <c r="BG5130" s="314"/>
      <c r="BH5130" s="314"/>
      <c r="BI5130" s="314"/>
      <c r="BJ5130" s="314"/>
      <c r="BK5130" s="40"/>
      <c r="BL5130" s="40"/>
      <c r="BM5130" s="40"/>
      <c r="BN5130" s="40"/>
      <c r="BO5130" s="40"/>
      <c r="BP5130" s="155"/>
      <c r="BQ5130" s="314"/>
      <c r="BR5130" s="314"/>
      <c r="BS5130" s="314"/>
      <c r="BT5130" s="314"/>
      <c r="BU5130" s="314"/>
      <c r="BV5130" s="314"/>
      <c r="BW5130" s="314"/>
      <c r="BX5130" s="155"/>
    </row>
    <row r="5131" spans="1:76" ht="15.75" customHeight="1">
      <c r="A5131" s="25"/>
      <c r="B5131" s="39"/>
      <c r="C5131" s="155"/>
      <c r="D5131" s="155"/>
      <c r="E5131" s="40"/>
      <c r="F5131" s="314"/>
      <c r="H5131" s="315"/>
      <c r="I5131" s="315"/>
      <c r="BA5131" s="30"/>
      <c r="BB5131" s="155"/>
      <c r="BC5131" s="314"/>
      <c r="BD5131" s="314"/>
      <c r="BE5131" s="314"/>
      <c r="BF5131" s="314"/>
      <c r="BG5131" s="314"/>
      <c r="BH5131" s="314"/>
      <c r="BI5131" s="314"/>
      <c r="BJ5131" s="314"/>
      <c r="BK5131" s="40"/>
      <c r="BL5131" s="40"/>
      <c r="BM5131" s="40"/>
      <c r="BN5131" s="40"/>
      <c r="BO5131" s="40"/>
      <c r="BP5131" s="155"/>
      <c r="BQ5131" s="314"/>
      <c r="BR5131" s="314"/>
      <c r="BS5131" s="314"/>
      <c r="BT5131" s="314"/>
      <c r="BU5131" s="314"/>
      <c r="BV5131" s="314"/>
      <c r="BW5131" s="314"/>
      <c r="BX5131" s="155"/>
    </row>
    <row r="5132" spans="1:76" ht="15.75" customHeight="1">
      <c r="A5132" s="25"/>
      <c r="B5132" s="39"/>
      <c r="C5132" s="155"/>
      <c r="D5132" s="155"/>
      <c r="E5132" s="40"/>
      <c r="F5132" s="314"/>
      <c r="H5132" s="315"/>
      <c r="I5132" s="315"/>
      <c r="BA5132" s="30"/>
      <c r="BB5132" s="155"/>
      <c r="BC5132" s="314"/>
      <c r="BD5132" s="314"/>
      <c r="BE5132" s="314"/>
      <c r="BF5132" s="314"/>
      <c r="BG5132" s="314"/>
      <c r="BH5132" s="314"/>
      <c r="BI5132" s="314"/>
      <c r="BJ5132" s="314"/>
      <c r="BK5132" s="40"/>
      <c r="BL5132" s="40"/>
      <c r="BM5132" s="40"/>
      <c r="BN5132" s="40"/>
      <c r="BO5132" s="40"/>
      <c r="BP5132" s="155"/>
      <c r="BQ5132" s="314"/>
      <c r="BR5132" s="314"/>
      <c r="BS5132" s="314"/>
      <c r="BT5132" s="314"/>
      <c r="BU5132" s="314"/>
      <c r="BV5132" s="314"/>
      <c r="BW5132" s="314"/>
      <c r="BX5132" s="155"/>
    </row>
    <row r="5133" spans="1:76" ht="15.75" customHeight="1">
      <c r="A5133" s="25"/>
      <c r="B5133" s="39"/>
      <c r="C5133" s="155"/>
      <c r="D5133" s="155"/>
      <c r="E5133" s="40"/>
      <c r="F5133" s="314"/>
      <c r="H5133" s="315"/>
      <c r="I5133" s="315"/>
      <c r="BA5133" s="30"/>
      <c r="BB5133" s="155"/>
      <c r="BC5133" s="314"/>
      <c r="BD5133" s="314"/>
      <c r="BE5133" s="314"/>
      <c r="BF5133" s="314"/>
      <c r="BG5133" s="314"/>
      <c r="BH5133" s="314"/>
      <c r="BI5133" s="314"/>
      <c r="BJ5133" s="314"/>
      <c r="BK5133" s="40"/>
      <c r="BL5133" s="40"/>
      <c r="BM5133" s="40"/>
      <c r="BN5133" s="40"/>
      <c r="BO5133" s="40"/>
      <c r="BP5133" s="155"/>
      <c r="BQ5133" s="314"/>
      <c r="BR5133" s="314"/>
      <c r="BS5133" s="314"/>
      <c r="BT5133" s="314"/>
      <c r="BU5133" s="314"/>
      <c r="BV5133" s="314"/>
      <c r="BW5133" s="314"/>
      <c r="BX5133" s="155"/>
    </row>
    <row r="5134" spans="1:76" ht="15.75" customHeight="1">
      <c r="A5134" s="25"/>
      <c r="B5134" s="39"/>
      <c r="C5134" s="155"/>
      <c r="D5134" s="155"/>
      <c r="E5134" s="40"/>
      <c r="F5134" s="314"/>
      <c r="H5134" s="315"/>
      <c r="I5134" s="315"/>
      <c r="BA5134" s="30"/>
      <c r="BB5134" s="155"/>
      <c r="BC5134" s="314"/>
      <c r="BD5134" s="314"/>
      <c r="BE5134" s="314"/>
      <c r="BF5134" s="314"/>
      <c r="BG5134" s="314"/>
      <c r="BH5134" s="314"/>
      <c r="BI5134" s="314"/>
      <c r="BJ5134" s="314"/>
      <c r="BK5134" s="40"/>
      <c r="BL5134" s="40"/>
      <c r="BM5134" s="40"/>
      <c r="BN5134" s="40"/>
      <c r="BO5134" s="40"/>
      <c r="BP5134" s="155"/>
      <c r="BQ5134" s="314"/>
      <c r="BR5134" s="314"/>
      <c r="BS5134" s="314"/>
      <c r="BT5134" s="314"/>
      <c r="BU5134" s="314"/>
      <c r="BV5134" s="314"/>
      <c r="BW5134" s="314"/>
      <c r="BX5134" s="155"/>
    </row>
    <row r="5135" spans="1:76" ht="15.75" customHeight="1">
      <c r="A5135" s="25"/>
      <c r="B5135" s="39"/>
      <c r="C5135" s="155"/>
      <c r="D5135" s="155"/>
      <c r="E5135" s="40"/>
      <c r="F5135" s="314"/>
      <c r="H5135" s="315"/>
      <c r="I5135" s="315"/>
      <c r="BA5135" s="30"/>
      <c r="BB5135" s="155"/>
      <c r="BC5135" s="314"/>
      <c r="BD5135" s="314"/>
      <c r="BE5135" s="314"/>
      <c r="BF5135" s="314"/>
      <c r="BG5135" s="314"/>
      <c r="BH5135" s="314"/>
      <c r="BI5135" s="314"/>
      <c r="BJ5135" s="314"/>
      <c r="BK5135" s="40"/>
      <c r="BL5135" s="40"/>
      <c r="BM5135" s="40"/>
      <c r="BN5135" s="40"/>
      <c r="BO5135" s="40"/>
      <c r="BP5135" s="155"/>
      <c r="BQ5135" s="314"/>
      <c r="BR5135" s="314"/>
      <c r="BS5135" s="314"/>
      <c r="BT5135" s="314"/>
      <c r="BU5135" s="314"/>
      <c r="BV5135" s="314"/>
      <c r="BW5135" s="314"/>
      <c r="BX5135" s="155"/>
    </row>
    <row r="5136" spans="1:76" ht="15.75" customHeight="1">
      <c r="A5136" s="25"/>
      <c r="B5136" s="39"/>
      <c r="C5136" s="155"/>
      <c r="D5136" s="155"/>
      <c r="E5136" s="40"/>
      <c r="F5136" s="314"/>
      <c r="H5136" s="315"/>
      <c r="I5136" s="315"/>
      <c r="BA5136" s="30"/>
      <c r="BB5136" s="155"/>
      <c r="BC5136" s="314"/>
      <c r="BD5136" s="314"/>
      <c r="BE5136" s="314"/>
      <c r="BF5136" s="314"/>
      <c r="BG5136" s="314"/>
      <c r="BH5136" s="314"/>
      <c r="BI5136" s="314"/>
      <c r="BJ5136" s="314"/>
      <c r="BK5136" s="40"/>
      <c r="BL5136" s="40"/>
      <c r="BM5136" s="40"/>
      <c r="BN5136" s="40"/>
      <c r="BO5136" s="40"/>
      <c r="BP5136" s="155"/>
      <c r="BQ5136" s="314"/>
      <c r="BR5136" s="314"/>
      <c r="BS5136" s="314"/>
      <c r="BT5136" s="314"/>
      <c r="BU5136" s="314"/>
      <c r="BV5136" s="314"/>
      <c r="BW5136" s="314"/>
      <c r="BX5136" s="155"/>
    </row>
    <row r="5137" spans="1:76" ht="15.75" customHeight="1">
      <c r="A5137" s="25"/>
      <c r="B5137" s="39"/>
      <c r="C5137" s="155"/>
      <c r="D5137" s="155"/>
      <c r="E5137" s="40"/>
      <c r="F5137" s="314"/>
      <c r="H5137" s="315"/>
      <c r="I5137" s="315"/>
      <c r="BA5137" s="30"/>
      <c r="BB5137" s="155"/>
      <c r="BC5137" s="314"/>
      <c r="BD5137" s="314"/>
      <c r="BE5137" s="314"/>
      <c r="BF5137" s="314"/>
      <c r="BG5137" s="314"/>
      <c r="BH5137" s="314"/>
      <c r="BI5137" s="314"/>
      <c r="BJ5137" s="314"/>
      <c r="BK5137" s="40"/>
      <c r="BL5137" s="40"/>
      <c r="BM5137" s="40"/>
      <c r="BN5137" s="40"/>
      <c r="BO5137" s="40"/>
      <c r="BP5137" s="155"/>
      <c r="BQ5137" s="314"/>
      <c r="BR5137" s="314"/>
      <c r="BS5137" s="314"/>
      <c r="BT5137" s="314"/>
      <c r="BU5137" s="314"/>
      <c r="BV5137" s="314"/>
      <c r="BW5137" s="314"/>
      <c r="BX5137" s="155"/>
    </row>
    <row r="5138" spans="1:76" ht="15.75" customHeight="1">
      <c r="A5138" s="25"/>
      <c r="B5138" s="39"/>
      <c r="C5138" s="155"/>
      <c r="D5138" s="155"/>
      <c r="E5138" s="40"/>
      <c r="F5138" s="314"/>
      <c r="H5138" s="315"/>
      <c r="I5138" s="315"/>
      <c r="BA5138" s="30"/>
      <c r="BB5138" s="155"/>
      <c r="BC5138" s="314"/>
      <c r="BD5138" s="314"/>
      <c r="BE5138" s="314"/>
      <c r="BF5138" s="314"/>
      <c r="BG5138" s="314"/>
      <c r="BH5138" s="314"/>
      <c r="BI5138" s="314"/>
      <c r="BJ5138" s="314"/>
      <c r="BK5138" s="40"/>
      <c r="BL5138" s="40"/>
      <c r="BM5138" s="40"/>
      <c r="BN5138" s="40"/>
      <c r="BO5138" s="40"/>
      <c r="BP5138" s="155"/>
      <c r="BQ5138" s="314"/>
      <c r="BR5138" s="314"/>
      <c r="BS5138" s="314"/>
      <c r="BT5138" s="314"/>
      <c r="BU5138" s="314"/>
      <c r="BV5138" s="314"/>
      <c r="BW5138" s="314"/>
      <c r="BX5138" s="155"/>
    </row>
    <row r="5139" spans="1:76" ht="15.75" customHeight="1">
      <c r="A5139" s="25"/>
      <c r="B5139" s="39"/>
      <c r="C5139" s="155"/>
      <c r="D5139" s="155"/>
      <c r="E5139" s="40"/>
      <c r="F5139" s="314"/>
      <c r="H5139" s="315"/>
      <c r="I5139" s="315"/>
      <c r="BA5139" s="30"/>
      <c r="BB5139" s="155"/>
      <c r="BC5139" s="314"/>
      <c r="BD5139" s="314"/>
      <c r="BE5139" s="314"/>
      <c r="BF5139" s="314"/>
      <c r="BG5139" s="314"/>
      <c r="BH5139" s="314"/>
      <c r="BI5139" s="314"/>
      <c r="BJ5139" s="314"/>
      <c r="BK5139" s="40"/>
      <c r="BL5139" s="40"/>
      <c r="BM5139" s="40"/>
      <c r="BN5139" s="40"/>
      <c r="BO5139" s="40"/>
      <c r="BP5139" s="155"/>
      <c r="BQ5139" s="314"/>
      <c r="BR5139" s="314"/>
      <c r="BS5139" s="314"/>
      <c r="BT5139" s="314"/>
      <c r="BU5139" s="314"/>
      <c r="BV5139" s="314"/>
      <c r="BW5139" s="314"/>
      <c r="BX5139" s="155"/>
    </row>
    <row r="5140" spans="1:76" ht="15.75" customHeight="1">
      <c r="A5140" s="25"/>
      <c r="B5140" s="39"/>
      <c r="C5140" s="155"/>
      <c r="D5140" s="155"/>
      <c r="E5140" s="40"/>
      <c r="F5140" s="314"/>
      <c r="H5140" s="315"/>
      <c r="I5140" s="315"/>
      <c r="BA5140" s="30"/>
      <c r="BB5140" s="155"/>
      <c r="BC5140" s="314"/>
      <c r="BD5140" s="314"/>
      <c r="BE5140" s="314"/>
      <c r="BF5140" s="314"/>
      <c r="BG5140" s="314"/>
      <c r="BH5140" s="314"/>
      <c r="BI5140" s="314"/>
      <c r="BJ5140" s="314"/>
      <c r="BK5140" s="40"/>
      <c r="BL5140" s="40"/>
      <c r="BM5140" s="40"/>
      <c r="BN5140" s="40"/>
      <c r="BO5140" s="40"/>
      <c r="BP5140" s="155"/>
      <c r="BQ5140" s="314"/>
      <c r="BR5140" s="314"/>
      <c r="BS5140" s="314"/>
      <c r="BT5140" s="314"/>
      <c r="BU5140" s="314"/>
      <c r="BV5140" s="314"/>
      <c r="BW5140" s="314"/>
      <c r="BX5140" s="155"/>
    </row>
    <row r="5141" spans="1:76" ht="15.75" customHeight="1">
      <c r="A5141" s="25"/>
      <c r="B5141" s="39"/>
      <c r="C5141" s="155"/>
      <c r="D5141" s="155"/>
      <c r="E5141" s="40"/>
      <c r="F5141" s="314"/>
      <c r="H5141" s="315"/>
      <c r="I5141" s="315"/>
      <c r="BA5141" s="30"/>
      <c r="BB5141" s="155"/>
      <c r="BC5141" s="314"/>
      <c r="BD5141" s="314"/>
      <c r="BE5141" s="314"/>
      <c r="BF5141" s="314"/>
      <c r="BG5141" s="314"/>
      <c r="BH5141" s="314"/>
      <c r="BI5141" s="314"/>
      <c r="BJ5141" s="314"/>
      <c r="BK5141" s="40"/>
      <c r="BL5141" s="40"/>
      <c r="BM5141" s="40"/>
      <c r="BN5141" s="40"/>
      <c r="BO5141" s="40"/>
      <c r="BP5141" s="155"/>
      <c r="BQ5141" s="314"/>
      <c r="BR5141" s="314"/>
      <c r="BS5141" s="314"/>
      <c r="BT5141" s="314"/>
      <c r="BU5141" s="314"/>
      <c r="BV5141" s="314"/>
      <c r="BW5141" s="314"/>
      <c r="BX5141" s="155"/>
    </row>
    <row r="5142" spans="1:76" ht="15.75" customHeight="1">
      <c r="A5142" s="25"/>
      <c r="B5142" s="39"/>
      <c r="C5142" s="155"/>
      <c r="D5142" s="155"/>
      <c r="E5142" s="40"/>
      <c r="F5142" s="314"/>
      <c r="H5142" s="315"/>
      <c r="I5142" s="315"/>
      <c r="BA5142" s="30"/>
      <c r="BB5142" s="155"/>
      <c r="BC5142" s="314"/>
      <c r="BD5142" s="314"/>
      <c r="BE5142" s="314"/>
      <c r="BF5142" s="314"/>
      <c r="BG5142" s="314"/>
      <c r="BH5142" s="314"/>
      <c r="BI5142" s="314"/>
      <c r="BJ5142" s="314"/>
      <c r="BK5142" s="40"/>
      <c r="BL5142" s="40"/>
      <c r="BM5142" s="40"/>
      <c r="BN5142" s="40"/>
      <c r="BO5142" s="40"/>
      <c r="BP5142" s="155"/>
      <c r="BQ5142" s="314"/>
      <c r="BR5142" s="314"/>
      <c r="BS5142" s="314"/>
      <c r="BT5142" s="314"/>
      <c r="BU5142" s="314"/>
      <c r="BV5142" s="314"/>
      <c r="BW5142" s="314"/>
      <c r="BX5142" s="155"/>
    </row>
    <row r="5143" spans="1:76" ht="15.75" customHeight="1">
      <c r="A5143" s="25"/>
      <c r="B5143" s="39"/>
      <c r="C5143" s="155"/>
      <c r="D5143" s="155"/>
      <c r="E5143" s="40"/>
      <c r="F5143" s="314"/>
      <c r="H5143" s="315"/>
      <c r="I5143" s="315"/>
      <c r="BA5143" s="30"/>
      <c r="BB5143" s="155"/>
      <c r="BC5143" s="314"/>
      <c r="BD5143" s="314"/>
      <c r="BE5143" s="314"/>
      <c r="BF5143" s="314"/>
      <c r="BG5143" s="314"/>
      <c r="BH5143" s="314"/>
      <c r="BI5143" s="314"/>
      <c r="BJ5143" s="314"/>
      <c r="BK5143" s="40"/>
      <c r="BL5143" s="40"/>
      <c r="BM5143" s="40"/>
      <c r="BN5143" s="40"/>
      <c r="BO5143" s="40"/>
      <c r="BP5143" s="155"/>
      <c r="BQ5143" s="314"/>
      <c r="BR5143" s="314"/>
      <c r="BS5143" s="314"/>
      <c r="BT5143" s="314"/>
      <c r="BU5143" s="314"/>
      <c r="BV5143" s="314"/>
      <c r="BW5143" s="314"/>
      <c r="BX5143" s="155"/>
    </row>
    <row r="5144" spans="1:76" ht="15.75" customHeight="1">
      <c r="A5144" s="25"/>
      <c r="B5144" s="39"/>
      <c r="C5144" s="155"/>
      <c r="D5144" s="155"/>
      <c r="E5144" s="40"/>
      <c r="F5144" s="314"/>
      <c r="H5144" s="315"/>
      <c r="I5144" s="315"/>
      <c r="BA5144" s="30"/>
      <c r="BB5144" s="155"/>
      <c r="BC5144" s="314"/>
      <c r="BD5144" s="314"/>
      <c r="BE5144" s="314"/>
      <c r="BF5144" s="314"/>
      <c r="BG5144" s="314"/>
      <c r="BH5144" s="314"/>
      <c r="BI5144" s="314"/>
      <c r="BJ5144" s="314"/>
      <c r="BK5144" s="40"/>
      <c r="BL5144" s="40"/>
      <c r="BM5144" s="40"/>
      <c r="BN5144" s="40"/>
      <c r="BO5144" s="40"/>
      <c r="BP5144" s="155"/>
      <c r="BQ5144" s="314"/>
      <c r="BR5144" s="314"/>
      <c r="BS5144" s="314"/>
      <c r="BT5144" s="314"/>
      <c r="BU5144" s="314"/>
      <c r="BV5144" s="314"/>
      <c r="BW5144" s="314"/>
      <c r="BX5144" s="155"/>
    </row>
    <row r="5145" spans="1:76" ht="15.75" customHeight="1">
      <c r="A5145" s="25"/>
      <c r="B5145" s="39"/>
      <c r="C5145" s="155"/>
      <c r="D5145" s="155"/>
      <c r="E5145" s="40"/>
      <c r="F5145" s="314"/>
      <c r="H5145" s="315"/>
      <c r="I5145" s="315"/>
      <c r="BA5145" s="30"/>
      <c r="BB5145" s="155"/>
      <c r="BC5145" s="322"/>
      <c r="BD5145" s="322"/>
      <c r="BE5145" s="322"/>
      <c r="BF5145" s="322"/>
      <c r="BG5145" s="322"/>
      <c r="BH5145" s="322"/>
      <c r="BI5145" s="322"/>
      <c r="BJ5145" s="322"/>
      <c r="BK5145" s="341"/>
      <c r="BL5145" s="40"/>
      <c r="BM5145" s="40"/>
      <c r="BN5145" s="40"/>
      <c r="BO5145" s="40"/>
      <c r="BP5145" s="155"/>
      <c r="BQ5145" s="314"/>
      <c r="BR5145" s="314"/>
      <c r="BS5145" s="314"/>
      <c r="BT5145" s="314"/>
      <c r="BU5145" s="314"/>
      <c r="BV5145" s="314"/>
      <c r="BW5145" s="314"/>
      <c r="BX5145" s="155"/>
    </row>
    <row r="5146" spans="1:76" ht="15.75" customHeight="1">
      <c r="A5146" s="25"/>
      <c r="B5146" s="39"/>
      <c r="C5146" s="155"/>
      <c r="D5146" s="155"/>
      <c r="E5146" s="40"/>
      <c r="F5146" s="314"/>
      <c r="H5146" s="315"/>
      <c r="I5146" s="315"/>
      <c r="BA5146" s="30"/>
      <c r="BB5146" s="155"/>
      <c r="BC5146" s="314"/>
      <c r="BD5146" s="314"/>
      <c r="BE5146" s="314"/>
      <c r="BF5146" s="314"/>
      <c r="BG5146" s="314"/>
      <c r="BH5146" s="314"/>
      <c r="BI5146" s="314"/>
      <c r="BJ5146" s="314"/>
      <c r="BK5146" s="40"/>
      <c r="BL5146" s="40"/>
      <c r="BM5146" s="40"/>
      <c r="BN5146" s="40"/>
      <c r="BO5146" s="40"/>
      <c r="BP5146" s="155"/>
      <c r="BQ5146" s="314"/>
      <c r="BR5146" s="314"/>
      <c r="BS5146" s="314"/>
      <c r="BT5146" s="314"/>
      <c r="BU5146" s="314"/>
      <c r="BV5146" s="314"/>
      <c r="BW5146" s="314"/>
      <c r="BX5146" s="155"/>
    </row>
    <row r="5147" spans="1:76" ht="15.75" customHeight="1">
      <c r="A5147" s="25"/>
      <c r="B5147" s="39"/>
      <c r="C5147" s="155"/>
      <c r="D5147" s="155"/>
      <c r="E5147" s="40"/>
      <c r="F5147" s="314"/>
      <c r="H5147" s="315"/>
      <c r="I5147" s="315"/>
      <c r="BA5147" s="30"/>
      <c r="BB5147" s="155"/>
      <c r="BC5147" s="314"/>
      <c r="BD5147" s="314"/>
      <c r="BE5147" s="314"/>
      <c r="BF5147" s="314"/>
      <c r="BG5147" s="314"/>
      <c r="BH5147" s="314"/>
      <c r="BI5147" s="314"/>
      <c r="BJ5147" s="314"/>
      <c r="BK5147" s="40"/>
      <c r="BL5147" s="40"/>
      <c r="BM5147" s="40"/>
      <c r="BN5147" s="40"/>
      <c r="BO5147" s="40"/>
      <c r="BP5147" s="155"/>
      <c r="BQ5147" s="314"/>
      <c r="BR5147" s="314"/>
      <c r="BS5147" s="314"/>
      <c r="BT5147" s="314"/>
      <c r="BU5147" s="314"/>
      <c r="BV5147" s="314"/>
      <c r="BW5147" s="314"/>
      <c r="BX5147" s="155"/>
    </row>
    <row r="5148" spans="1:76" ht="15.75" customHeight="1">
      <c r="A5148" s="25"/>
      <c r="B5148" s="39"/>
      <c r="C5148" s="155"/>
      <c r="D5148" s="155"/>
      <c r="E5148" s="40"/>
      <c r="F5148" s="314"/>
      <c r="H5148" s="315"/>
      <c r="I5148" s="315"/>
      <c r="BA5148" s="30"/>
      <c r="BB5148" s="155"/>
      <c r="BC5148" s="314"/>
      <c r="BD5148" s="314"/>
      <c r="BE5148" s="314"/>
      <c r="BF5148" s="314"/>
      <c r="BG5148" s="314"/>
      <c r="BH5148" s="314"/>
      <c r="BI5148" s="314"/>
      <c r="BJ5148" s="314"/>
      <c r="BK5148" s="40"/>
      <c r="BL5148" s="40"/>
      <c r="BM5148" s="40"/>
      <c r="BN5148" s="40"/>
      <c r="BO5148" s="40"/>
      <c r="BP5148" s="155"/>
      <c r="BQ5148" s="314"/>
      <c r="BR5148" s="314"/>
      <c r="BS5148" s="314"/>
      <c r="BT5148" s="314"/>
      <c r="BU5148" s="314"/>
      <c r="BV5148" s="314"/>
      <c r="BW5148" s="314"/>
      <c r="BX5148" s="155"/>
    </row>
    <row r="5149" spans="1:76" ht="15.75" customHeight="1">
      <c r="A5149" s="25"/>
      <c r="B5149" s="39"/>
      <c r="C5149" s="155"/>
      <c r="D5149" s="155"/>
      <c r="E5149" s="40"/>
      <c r="F5149" s="314"/>
      <c r="H5149" s="315"/>
      <c r="I5149" s="315"/>
      <c r="BA5149" s="30"/>
      <c r="BB5149" s="155"/>
      <c r="BC5149" s="314"/>
      <c r="BD5149" s="314"/>
      <c r="BE5149" s="314"/>
      <c r="BF5149" s="314"/>
      <c r="BG5149" s="314"/>
      <c r="BH5149" s="314"/>
      <c r="BI5149" s="314"/>
      <c r="BJ5149" s="314"/>
      <c r="BK5149" s="40"/>
      <c r="BL5149" s="40"/>
      <c r="BM5149" s="40"/>
      <c r="BN5149" s="40"/>
      <c r="BO5149" s="40"/>
      <c r="BP5149" s="155"/>
      <c r="BQ5149" s="314"/>
      <c r="BR5149" s="314"/>
      <c r="BS5149" s="314"/>
      <c r="BT5149" s="314"/>
      <c r="BU5149" s="314"/>
      <c r="BV5149" s="314"/>
      <c r="BW5149" s="314"/>
      <c r="BX5149" s="155"/>
    </row>
    <row r="5150" spans="1:76" ht="15.75" customHeight="1">
      <c r="A5150" s="25"/>
      <c r="B5150" s="39"/>
      <c r="C5150" s="155"/>
      <c r="D5150" s="155"/>
      <c r="E5150" s="40"/>
      <c r="F5150" s="314"/>
      <c r="H5150" s="315"/>
      <c r="I5150" s="315"/>
      <c r="BA5150" s="30"/>
      <c r="BB5150" s="155"/>
      <c r="BC5150" s="314"/>
      <c r="BD5150" s="314"/>
      <c r="BE5150" s="314"/>
      <c r="BF5150" s="314"/>
      <c r="BG5150" s="314"/>
      <c r="BH5150" s="314"/>
      <c r="BI5150" s="314"/>
      <c r="BJ5150" s="314"/>
      <c r="BK5150" s="40"/>
      <c r="BL5150" s="40"/>
      <c r="BM5150" s="40"/>
      <c r="BN5150" s="40"/>
      <c r="BO5150" s="40"/>
      <c r="BP5150" s="155"/>
      <c r="BQ5150" s="314"/>
      <c r="BR5150" s="314"/>
      <c r="BS5150" s="314"/>
      <c r="BT5150" s="314"/>
      <c r="BU5150" s="314"/>
      <c r="BV5150" s="314"/>
      <c r="BW5150" s="314"/>
      <c r="BX5150" s="155"/>
    </row>
    <row r="5151" spans="1:76" ht="15.75" customHeight="1">
      <c r="A5151" s="25"/>
      <c r="B5151" s="39"/>
      <c r="C5151" s="155"/>
      <c r="D5151" s="155"/>
      <c r="E5151" s="40"/>
      <c r="F5151" s="314"/>
      <c r="H5151" s="315"/>
      <c r="I5151" s="315"/>
      <c r="BA5151" s="30"/>
      <c r="BB5151" s="155"/>
      <c r="BC5151" s="314"/>
      <c r="BD5151" s="314"/>
      <c r="BE5151" s="314"/>
      <c r="BF5151" s="314"/>
      <c r="BG5151" s="314"/>
      <c r="BH5151" s="314"/>
      <c r="BI5151" s="314"/>
      <c r="BJ5151" s="314"/>
      <c r="BK5151" s="40"/>
      <c r="BL5151" s="40"/>
      <c r="BM5151" s="40"/>
      <c r="BN5151" s="40"/>
      <c r="BO5151" s="40"/>
      <c r="BP5151" s="155"/>
      <c r="BQ5151" s="314"/>
      <c r="BR5151" s="314"/>
      <c r="BS5151" s="314"/>
      <c r="BT5151" s="314"/>
      <c r="BU5151" s="314"/>
      <c r="BV5151" s="314"/>
      <c r="BW5151" s="314"/>
      <c r="BX5151" s="155"/>
    </row>
    <row r="5152" spans="1:76" ht="15.75" customHeight="1">
      <c r="A5152" s="25"/>
      <c r="B5152" s="39"/>
      <c r="C5152" s="155"/>
      <c r="D5152" s="155"/>
      <c r="E5152" s="40"/>
      <c r="F5152" s="314"/>
      <c r="H5152" s="315"/>
      <c r="I5152" s="315"/>
      <c r="BA5152" s="30"/>
      <c r="BB5152" s="155"/>
      <c r="BC5152" s="314"/>
      <c r="BD5152" s="314"/>
      <c r="BE5152" s="314"/>
      <c r="BF5152" s="314"/>
      <c r="BG5152" s="314"/>
      <c r="BH5152" s="314"/>
      <c r="BI5152" s="314"/>
      <c r="BJ5152" s="314"/>
      <c r="BK5152" s="40"/>
      <c r="BL5152" s="40"/>
      <c r="BM5152" s="40"/>
      <c r="BN5152" s="40"/>
      <c r="BO5152" s="40"/>
      <c r="BP5152" s="155"/>
      <c r="BQ5152" s="314"/>
      <c r="BR5152" s="314"/>
      <c r="BS5152" s="314"/>
      <c r="BT5152" s="314"/>
      <c r="BU5152" s="314"/>
      <c r="BV5152" s="314"/>
      <c r="BW5152" s="314"/>
      <c r="BX5152" s="155"/>
    </row>
    <row r="5153" spans="1:76" ht="15.75" customHeight="1">
      <c r="A5153" s="25"/>
      <c r="B5153" s="39"/>
      <c r="C5153" s="155"/>
      <c r="D5153" s="155"/>
      <c r="E5153" s="40"/>
      <c r="F5153" s="314"/>
      <c r="H5153" s="315"/>
      <c r="I5153" s="315"/>
      <c r="BA5153" s="30"/>
      <c r="BB5153" s="155"/>
      <c r="BC5153" s="314"/>
      <c r="BD5153" s="314"/>
      <c r="BE5153" s="314"/>
      <c r="BF5153" s="314"/>
      <c r="BG5153" s="314"/>
      <c r="BH5153" s="314"/>
      <c r="BI5153" s="314"/>
      <c r="BJ5153" s="314"/>
      <c r="BK5153" s="40"/>
      <c r="BL5153" s="40"/>
      <c r="BM5153" s="40"/>
      <c r="BN5153" s="40"/>
      <c r="BO5153" s="40"/>
      <c r="BP5153" s="155"/>
      <c r="BQ5153" s="314"/>
      <c r="BR5153" s="314"/>
      <c r="BS5153" s="314"/>
      <c r="BT5153" s="314"/>
      <c r="BU5153" s="314"/>
      <c r="BV5153" s="314"/>
      <c r="BW5153" s="314"/>
      <c r="BX5153" s="155"/>
    </row>
    <row r="5154" spans="1:76" ht="15.75" customHeight="1">
      <c r="A5154" s="25"/>
      <c r="B5154" s="39"/>
      <c r="C5154" s="155"/>
      <c r="D5154" s="155"/>
      <c r="E5154" s="40"/>
      <c r="F5154" s="314"/>
      <c r="H5154" s="315"/>
      <c r="I5154" s="315"/>
      <c r="BA5154" s="30"/>
      <c r="BB5154" s="155"/>
      <c r="BC5154" s="314"/>
      <c r="BD5154" s="314"/>
      <c r="BE5154" s="314"/>
      <c r="BF5154" s="314"/>
      <c r="BG5154" s="314"/>
      <c r="BH5154" s="314"/>
      <c r="BI5154" s="314"/>
      <c r="BJ5154" s="314"/>
      <c r="BK5154" s="40"/>
      <c r="BL5154" s="40"/>
      <c r="BM5154" s="40"/>
      <c r="BN5154" s="40"/>
      <c r="BO5154" s="40"/>
      <c r="BP5154" s="155"/>
      <c r="BQ5154" s="314"/>
      <c r="BR5154" s="314"/>
      <c r="BS5154" s="314"/>
      <c r="BT5154" s="314"/>
      <c r="BU5154" s="314"/>
      <c r="BV5154" s="314"/>
      <c r="BW5154" s="314"/>
      <c r="BX5154" s="155"/>
    </row>
    <row r="5155" spans="1:76" ht="15.75" customHeight="1">
      <c r="A5155" s="25"/>
      <c r="B5155" s="39"/>
      <c r="C5155" s="155"/>
      <c r="D5155" s="155"/>
      <c r="E5155" s="40"/>
      <c r="F5155" s="314"/>
      <c r="H5155" s="315"/>
      <c r="I5155" s="315"/>
      <c r="BA5155" s="30"/>
      <c r="BB5155" s="155"/>
      <c r="BC5155" s="314"/>
      <c r="BD5155" s="314"/>
      <c r="BE5155" s="314"/>
      <c r="BF5155" s="314"/>
      <c r="BG5155" s="314"/>
      <c r="BH5155" s="314"/>
      <c r="BI5155" s="314"/>
      <c r="BJ5155" s="314"/>
      <c r="BK5155" s="40"/>
      <c r="BL5155" s="40"/>
      <c r="BM5155" s="40"/>
      <c r="BN5155" s="40"/>
      <c r="BO5155" s="40"/>
      <c r="BP5155" s="155"/>
      <c r="BQ5155" s="314"/>
      <c r="BR5155" s="314"/>
      <c r="BS5155" s="314"/>
      <c r="BT5155" s="314"/>
      <c r="BU5155" s="314"/>
      <c r="BV5155" s="314"/>
      <c r="BW5155" s="314"/>
      <c r="BX5155" s="155"/>
    </row>
    <row r="5156" spans="1:76" ht="15.75" customHeight="1">
      <c r="A5156" s="25"/>
      <c r="B5156" s="39"/>
      <c r="C5156" s="155"/>
      <c r="D5156" s="155"/>
      <c r="E5156" s="40"/>
      <c r="F5156" s="314"/>
      <c r="H5156" s="315"/>
      <c r="I5156" s="315"/>
      <c r="BA5156" s="30"/>
      <c r="BB5156" s="155"/>
      <c r="BC5156" s="314"/>
      <c r="BD5156" s="314"/>
      <c r="BE5156" s="314"/>
      <c r="BF5156" s="314"/>
      <c r="BG5156" s="314"/>
      <c r="BH5156" s="314"/>
      <c r="BI5156" s="314"/>
      <c r="BJ5156" s="314"/>
      <c r="BK5156" s="40"/>
      <c r="BL5156" s="40"/>
      <c r="BM5156" s="40"/>
      <c r="BN5156" s="40"/>
      <c r="BO5156" s="40"/>
      <c r="BP5156" s="155"/>
      <c r="BQ5156" s="314"/>
      <c r="BR5156" s="314"/>
      <c r="BS5156" s="314"/>
      <c r="BT5156" s="314"/>
      <c r="BU5156" s="314"/>
      <c r="BV5156" s="314"/>
      <c r="BW5156" s="314"/>
      <c r="BX5156" s="155"/>
    </row>
    <row r="5157" spans="1:76" ht="15.75" customHeight="1">
      <c r="A5157" s="25"/>
      <c r="B5157" s="39"/>
      <c r="C5157" s="155"/>
      <c r="D5157" s="155"/>
      <c r="E5157" s="40"/>
      <c r="F5157" s="314"/>
      <c r="H5157" s="315"/>
      <c r="I5157" s="315"/>
      <c r="BA5157" s="30"/>
      <c r="BB5157" s="155"/>
      <c r="BC5157" s="314"/>
      <c r="BD5157" s="314"/>
      <c r="BE5157" s="314"/>
      <c r="BF5157" s="314"/>
      <c r="BG5157" s="314"/>
      <c r="BH5157" s="314"/>
      <c r="BI5157" s="314"/>
      <c r="BJ5157" s="314"/>
      <c r="BK5157" s="40"/>
      <c r="BL5157" s="40"/>
      <c r="BM5157" s="40"/>
      <c r="BN5157" s="40"/>
      <c r="BO5157" s="40"/>
      <c r="BP5157" s="155"/>
      <c r="BQ5157" s="314"/>
      <c r="BR5157" s="314"/>
      <c r="BS5157" s="314"/>
      <c r="BT5157" s="314"/>
      <c r="BU5157" s="314"/>
      <c r="BV5157" s="314"/>
      <c r="BW5157" s="314"/>
      <c r="BX5157" s="155"/>
    </row>
    <row r="5158" spans="1:76" ht="15.75" customHeight="1">
      <c r="A5158" s="25"/>
      <c r="B5158" s="39"/>
      <c r="C5158" s="155"/>
      <c r="D5158" s="155"/>
      <c r="E5158" s="40"/>
      <c r="F5158" s="314"/>
      <c r="H5158" s="315"/>
      <c r="I5158" s="315"/>
      <c r="BA5158" s="30"/>
      <c r="BB5158" s="155"/>
      <c r="BC5158" s="314"/>
      <c r="BD5158" s="314"/>
      <c r="BE5158" s="314"/>
      <c r="BF5158" s="314"/>
      <c r="BG5158" s="314"/>
      <c r="BH5158" s="314"/>
      <c r="BI5158" s="314"/>
      <c r="BJ5158" s="314"/>
      <c r="BK5158" s="40"/>
      <c r="BL5158" s="40"/>
      <c r="BM5158" s="40"/>
      <c r="BN5158" s="40"/>
      <c r="BO5158" s="40"/>
      <c r="BP5158" s="155"/>
      <c r="BQ5158" s="314"/>
      <c r="BR5158" s="314"/>
      <c r="BS5158" s="314"/>
      <c r="BT5158" s="314"/>
      <c r="BU5158" s="314"/>
      <c r="BV5158" s="314"/>
      <c r="BW5158" s="314"/>
      <c r="BX5158" s="155"/>
    </row>
    <row r="5159" spans="1:76" ht="15.75" customHeight="1">
      <c r="A5159" s="25"/>
      <c r="B5159" s="39"/>
      <c r="C5159" s="155"/>
      <c r="D5159" s="155"/>
      <c r="E5159" s="40"/>
      <c r="F5159" s="314"/>
      <c r="H5159" s="315"/>
      <c r="I5159" s="315"/>
      <c r="BA5159" s="30"/>
      <c r="BB5159" s="155"/>
      <c r="BC5159" s="314"/>
      <c r="BD5159" s="314"/>
      <c r="BE5159" s="314"/>
      <c r="BF5159" s="314"/>
      <c r="BG5159" s="314"/>
      <c r="BH5159" s="314"/>
      <c r="BI5159" s="314"/>
      <c r="BJ5159" s="314"/>
      <c r="BK5159" s="40"/>
      <c r="BL5159" s="40"/>
      <c r="BM5159" s="40"/>
      <c r="BN5159" s="40"/>
      <c r="BO5159" s="40"/>
      <c r="BP5159" s="155"/>
      <c r="BQ5159" s="314"/>
      <c r="BR5159" s="314"/>
      <c r="BS5159" s="314"/>
      <c r="BT5159" s="314"/>
      <c r="BU5159" s="314"/>
      <c r="BV5159" s="314"/>
      <c r="BW5159" s="314"/>
      <c r="BX5159" s="155"/>
    </row>
    <row r="5160" spans="1:76" ht="15.75" customHeight="1">
      <c r="A5160" s="25"/>
      <c r="B5160" s="39"/>
      <c r="C5160" s="155"/>
      <c r="D5160" s="155"/>
      <c r="E5160" s="40"/>
      <c r="F5160" s="314"/>
      <c r="H5160" s="315"/>
      <c r="I5160" s="315"/>
      <c r="BA5160" s="30"/>
      <c r="BB5160" s="155"/>
      <c r="BC5160" s="314"/>
      <c r="BD5160" s="314"/>
      <c r="BE5160" s="314"/>
      <c r="BF5160" s="314"/>
      <c r="BG5160" s="314"/>
      <c r="BH5160" s="314"/>
      <c r="BI5160" s="314"/>
      <c r="BJ5160" s="314"/>
      <c r="BK5160" s="40"/>
      <c r="BL5160" s="40"/>
      <c r="BM5160" s="40"/>
      <c r="BN5160" s="40"/>
      <c r="BO5160" s="40"/>
      <c r="BP5160" s="155"/>
      <c r="BQ5160" s="314"/>
      <c r="BR5160" s="314"/>
      <c r="BS5160" s="314"/>
      <c r="BT5160" s="314"/>
      <c r="BU5160" s="314"/>
      <c r="BV5160" s="314"/>
      <c r="BW5160" s="314"/>
      <c r="BX5160" s="155"/>
    </row>
    <row r="5161" spans="1:76" ht="15.75" customHeight="1">
      <c r="A5161" s="25"/>
      <c r="B5161" s="39"/>
      <c r="C5161" s="155"/>
      <c r="D5161" s="155"/>
      <c r="E5161" s="40"/>
      <c r="F5161" s="314"/>
      <c r="H5161" s="315"/>
      <c r="I5161" s="315"/>
      <c r="BA5161" s="30"/>
      <c r="BB5161" s="155"/>
      <c r="BC5161" s="314"/>
      <c r="BD5161" s="314"/>
      <c r="BE5161" s="314"/>
      <c r="BF5161" s="314"/>
      <c r="BG5161" s="314"/>
      <c r="BH5161" s="314"/>
      <c r="BI5161" s="314"/>
      <c r="BJ5161" s="314"/>
      <c r="BK5161" s="40"/>
      <c r="BL5161" s="40"/>
      <c r="BM5161" s="40"/>
      <c r="BN5161" s="40"/>
      <c r="BO5161" s="40"/>
      <c r="BP5161" s="155"/>
      <c r="BQ5161" s="314"/>
      <c r="BR5161" s="314"/>
      <c r="BS5161" s="314"/>
      <c r="BT5161" s="314"/>
      <c r="BU5161" s="314"/>
      <c r="BV5161" s="314"/>
      <c r="BW5161" s="314"/>
      <c r="BX5161" s="155"/>
    </row>
    <row r="5162" spans="1:76" ht="15.75" customHeight="1">
      <c r="A5162" s="25"/>
      <c r="B5162" s="39"/>
      <c r="C5162" s="155"/>
      <c r="D5162" s="155"/>
      <c r="E5162" s="40"/>
      <c r="F5162" s="314"/>
      <c r="H5162" s="315"/>
      <c r="I5162" s="315"/>
      <c r="BA5162" s="30"/>
      <c r="BB5162" s="155"/>
      <c r="BC5162" s="314"/>
      <c r="BD5162" s="314"/>
      <c r="BE5162" s="314"/>
      <c r="BF5162" s="314"/>
      <c r="BG5162" s="314"/>
      <c r="BH5162" s="314"/>
      <c r="BI5162" s="314"/>
      <c r="BJ5162" s="314"/>
      <c r="BK5162" s="40"/>
      <c r="BL5162" s="40"/>
      <c r="BM5162" s="40"/>
      <c r="BN5162" s="40"/>
      <c r="BO5162" s="40"/>
      <c r="BP5162" s="155"/>
      <c r="BQ5162" s="314"/>
      <c r="BR5162" s="314"/>
      <c r="BS5162" s="314"/>
      <c r="BT5162" s="314"/>
      <c r="BU5162" s="314"/>
      <c r="BV5162" s="314"/>
      <c r="BW5162" s="314"/>
      <c r="BX5162" s="155"/>
    </row>
    <row r="5163" spans="1:76" ht="15.75" customHeight="1">
      <c r="A5163" s="25"/>
      <c r="B5163" s="39"/>
      <c r="C5163" s="155"/>
      <c r="D5163" s="155"/>
      <c r="E5163" s="40"/>
      <c r="F5163" s="314"/>
      <c r="H5163" s="315"/>
      <c r="I5163" s="315"/>
      <c r="BA5163" s="30"/>
      <c r="BB5163" s="155"/>
      <c r="BC5163" s="314"/>
      <c r="BD5163" s="314"/>
      <c r="BE5163" s="314"/>
      <c r="BF5163" s="314"/>
      <c r="BG5163" s="314"/>
      <c r="BH5163" s="314"/>
      <c r="BI5163" s="314"/>
      <c r="BJ5163" s="314"/>
      <c r="BK5163" s="40"/>
      <c r="BL5163" s="40"/>
      <c r="BM5163" s="40"/>
      <c r="BN5163" s="40"/>
      <c r="BO5163" s="40"/>
      <c r="BP5163" s="155"/>
      <c r="BQ5163" s="314"/>
      <c r="BR5163" s="314"/>
      <c r="BS5163" s="314"/>
      <c r="BT5163" s="314"/>
      <c r="BU5163" s="314"/>
      <c r="BV5163" s="314"/>
      <c r="BW5163" s="314"/>
      <c r="BX5163" s="155"/>
    </row>
    <row r="5164" spans="1:76" ht="15.75" customHeight="1">
      <c r="A5164" s="25"/>
      <c r="B5164" s="39"/>
      <c r="C5164" s="155"/>
      <c r="D5164" s="155"/>
      <c r="E5164" s="40"/>
      <c r="F5164" s="314"/>
      <c r="H5164" s="315"/>
      <c r="I5164" s="315"/>
      <c r="BA5164" s="30"/>
      <c r="BB5164" s="155"/>
      <c r="BC5164" s="314"/>
      <c r="BD5164" s="314"/>
      <c r="BE5164" s="314"/>
      <c r="BF5164" s="314"/>
      <c r="BG5164" s="314"/>
      <c r="BH5164" s="314"/>
      <c r="BI5164" s="314"/>
      <c r="BJ5164" s="314"/>
      <c r="BK5164" s="40"/>
      <c r="BL5164" s="40"/>
      <c r="BM5164" s="40"/>
      <c r="BN5164" s="40"/>
      <c r="BO5164" s="40"/>
      <c r="BP5164" s="155"/>
      <c r="BQ5164" s="314"/>
      <c r="BR5164" s="314"/>
      <c r="BS5164" s="314"/>
      <c r="BT5164" s="314"/>
      <c r="BU5164" s="314"/>
      <c r="BV5164" s="314"/>
      <c r="BW5164" s="314"/>
      <c r="BX5164" s="155"/>
    </row>
    <row r="5165" spans="1:76" ht="15.75" customHeight="1">
      <c r="A5165" s="25"/>
      <c r="B5165" s="39"/>
      <c r="C5165" s="155"/>
      <c r="D5165" s="155"/>
      <c r="E5165" s="40"/>
      <c r="F5165" s="314"/>
      <c r="H5165" s="315"/>
      <c r="I5165" s="315"/>
      <c r="BA5165" s="30"/>
      <c r="BB5165" s="155"/>
      <c r="BC5165" s="314"/>
      <c r="BD5165" s="314"/>
      <c r="BE5165" s="314"/>
      <c r="BF5165" s="314"/>
      <c r="BG5165" s="314"/>
      <c r="BH5165" s="314"/>
      <c r="BI5165" s="314"/>
      <c r="BJ5165" s="314"/>
      <c r="BK5165" s="40"/>
      <c r="BL5165" s="40"/>
      <c r="BM5165" s="40"/>
      <c r="BN5165" s="40"/>
      <c r="BO5165" s="40"/>
      <c r="BP5165" s="155"/>
      <c r="BQ5165" s="314"/>
      <c r="BR5165" s="314"/>
      <c r="BS5165" s="314"/>
      <c r="BT5165" s="314"/>
      <c r="BU5165" s="314"/>
      <c r="BV5165" s="314"/>
      <c r="BW5165" s="314"/>
      <c r="BX5165" s="155"/>
    </row>
    <row r="5166" spans="1:76" ht="15.75" customHeight="1">
      <c r="A5166" s="25"/>
      <c r="B5166" s="39"/>
      <c r="C5166" s="155"/>
      <c r="D5166" s="155"/>
      <c r="E5166" s="40"/>
      <c r="F5166" s="314"/>
      <c r="H5166" s="315"/>
      <c r="I5166" s="315"/>
      <c r="BA5166" s="30"/>
      <c r="BB5166" s="155"/>
      <c r="BC5166" s="322"/>
      <c r="BD5166" s="322"/>
      <c r="BE5166" s="322"/>
      <c r="BF5166" s="322"/>
      <c r="BG5166" s="322"/>
      <c r="BH5166" s="322"/>
      <c r="BI5166" s="322"/>
      <c r="BJ5166" s="322"/>
      <c r="BK5166" s="341"/>
      <c r="BL5166" s="40"/>
      <c r="BM5166" s="40"/>
      <c r="BN5166" s="40"/>
      <c r="BO5166" s="40"/>
      <c r="BP5166" s="155"/>
      <c r="BQ5166" s="314"/>
      <c r="BR5166" s="314"/>
      <c r="BS5166" s="314"/>
      <c r="BT5166" s="314"/>
      <c r="BU5166" s="314"/>
      <c r="BV5166" s="314"/>
      <c r="BW5166" s="314"/>
      <c r="BX5166" s="155"/>
    </row>
    <row r="5167" spans="1:76" ht="15.75" customHeight="1">
      <c r="A5167" s="25"/>
      <c r="B5167" s="39"/>
      <c r="C5167" s="155"/>
      <c r="D5167" s="155"/>
      <c r="E5167" s="40"/>
      <c r="F5167" s="314"/>
      <c r="H5167" s="315"/>
      <c r="I5167" s="315"/>
      <c r="BA5167" s="30"/>
      <c r="BB5167" s="155"/>
      <c r="BC5167" s="314"/>
      <c r="BD5167" s="314"/>
      <c r="BE5167" s="314"/>
      <c r="BF5167" s="314"/>
      <c r="BG5167" s="314"/>
      <c r="BH5167" s="314"/>
      <c r="BI5167" s="314"/>
      <c r="BJ5167" s="314"/>
      <c r="BK5167" s="40"/>
      <c r="BL5167" s="40"/>
      <c r="BM5167" s="40"/>
      <c r="BN5167" s="40"/>
      <c r="BO5167" s="40"/>
      <c r="BP5167" s="155"/>
      <c r="BQ5167" s="314"/>
      <c r="BR5167" s="314"/>
      <c r="BS5167" s="314"/>
      <c r="BT5167" s="314"/>
      <c r="BU5167" s="314"/>
      <c r="BV5167" s="314"/>
      <c r="BW5167" s="314"/>
      <c r="BX5167" s="155"/>
    </row>
    <row r="5168" spans="1:76" ht="15.75" customHeight="1">
      <c r="A5168" s="25"/>
      <c r="B5168" s="39"/>
      <c r="C5168" s="155"/>
      <c r="D5168" s="155"/>
      <c r="E5168" s="40"/>
      <c r="F5168" s="314"/>
      <c r="H5168" s="315"/>
      <c r="I5168" s="315"/>
      <c r="BA5168" s="30"/>
      <c r="BB5168" s="155"/>
      <c r="BC5168" s="314"/>
      <c r="BD5168" s="314"/>
      <c r="BE5168" s="314"/>
      <c r="BF5168" s="314"/>
      <c r="BG5168" s="314"/>
      <c r="BH5168" s="314"/>
      <c r="BI5168" s="314"/>
      <c r="BJ5168" s="314"/>
      <c r="BK5168" s="40"/>
      <c r="BL5168" s="40"/>
      <c r="BM5168" s="40"/>
      <c r="BN5168" s="40"/>
      <c r="BO5168" s="40"/>
      <c r="BP5168" s="155"/>
      <c r="BQ5168" s="314"/>
      <c r="BR5168" s="314"/>
      <c r="BS5168" s="314"/>
      <c r="BT5168" s="314"/>
      <c r="BU5168" s="314"/>
      <c r="BV5168" s="314"/>
      <c r="BW5168" s="314"/>
      <c r="BX5168" s="155"/>
    </row>
    <row r="5169" spans="1:76" ht="15.75" customHeight="1">
      <c r="A5169" s="25"/>
      <c r="B5169" s="39"/>
      <c r="C5169" s="155"/>
      <c r="D5169" s="155"/>
      <c r="E5169" s="40"/>
      <c r="F5169" s="314"/>
      <c r="H5169" s="315"/>
      <c r="I5169" s="315"/>
      <c r="BA5169" s="30"/>
      <c r="BB5169" s="155"/>
      <c r="BC5169" s="314"/>
      <c r="BD5169" s="314"/>
      <c r="BE5169" s="314"/>
      <c r="BF5169" s="314"/>
      <c r="BG5169" s="314"/>
      <c r="BH5169" s="314"/>
      <c r="BI5169" s="314"/>
      <c r="BJ5169" s="314"/>
      <c r="BK5169" s="40"/>
      <c r="BL5169" s="40"/>
      <c r="BM5169" s="40"/>
      <c r="BN5169" s="40"/>
      <c r="BO5169" s="40"/>
      <c r="BP5169" s="155"/>
      <c r="BQ5169" s="314"/>
      <c r="BR5169" s="314"/>
      <c r="BS5169" s="314"/>
      <c r="BT5169" s="314"/>
      <c r="BU5169" s="314"/>
      <c r="BV5169" s="314"/>
      <c r="BW5169" s="314"/>
      <c r="BX5169" s="155"/>
    </row>
    <row r="5170" spans="1:76" ht="15.75" customHeight="1">
      <c r="A5170" s="25"/>
      <c r="B5170" s="39"/>
      <c r="C5170" s="155"/>
      <c r="D5170" s="155"/>
      <c r="E5170" s="40"/>
      <c r="F5170" s="314"/>
      <c r="H5170" s="315"/>
      <c r="I5170" s="315"/>
      <c r="BA5170" s="30"/>
      <c r="BB5170" s="155"/>
      <c r="BC5170" s="314"/>
      <c r="BD5170" s="314"/>
      <c r="BE5170" s="314"/>
      <c r="BF5170" s="314"/>
      <c r="BG5170" s="314"/>
      <c r="BH5170" s="314"/>
      <c r="BI5170" s="314"/>
      <c r="BJ5170" s="314"/>
      <c r="BK5170" s="40"/>
      <c r="BL5170" s="40"/>
      <c r="BM5170" s="40"/>
      <c r="BN5170" s="40"/>
      <c r="BO5170" s="40"/>
      <c r="BP5170" s="155"/>
      <c r="BQ5170" s="314"/>
      <c r="BR5170" s="314"/>
      <c r="BS5170" s="314"/>
      <c r="BT5170" s="314"/>
      <c r="BU5170" s="314"/>
      <c r="BV5170" s="314"/>
      <c r="BW5170" s="314"/>
      <c r="BX5170" s="155"/>
    </row>
    <row r="5171" spans="1:76" ht="15.75" customHeight="1">
      <c r="A5171" s="25"/>
      <c r="B5171" s="39"/>
      <c r="C5171" s="155"/>
      <c r="D5171" s="155"/>
      <c r="E5171" s="40"/>
      <c r="F5171" s="314"/>
      <c r="H5171" s="315"/>
      <c r="I5171" s="315"/>
      <c r="BA5171" s="30"/>
      <c r="BB5171" s="155"/>
      <c r="BC5171" s="314"/>
      <c r="BD5171" s="314"/>
      <c r="BE5171" s="314"/>
      <c r="BF5171" s="314"/>
      <c r="BG5171" s="314"/>
      <c r="BH5171" s="314"/>
      <c r="BI5171" s="314"/>
      <c r="BJ5171" s="314"/>
      <c r="BK5171" s="40"/>
      <c r="BL5171" s="40"/>
      <c r="BM5171" s="40"/>
      <c r="BN5171" s="40"/>
      <c r="BO5171" s="40"/>
      <c r="BP5171" s="155"/>
      <c r="BQ5171" s="314"/>
      <c r="BR5171" s="314"/>
      <c r="BS5171" s="314"/>
      <c r="BT5171" s="314"/>
      <c r="BU5171" s="314"/>
      <c r="BV5171" s="314"/>
      <c r="BW5171" s="314"/>
      <c r="BX5171" s="155"/>
    </row>
    <row r="5172" spans="1:76" ht="15.75" customHeight="1">
      <c r="A5172" s="25"/>
      <c r="B5172" s="39"/>
      <c r="C5172" s="155"/>
      <c r="D5172" s="155"/>
      <c r="E5172" s="40"/>
      <c r="F5172" s="314"/>
      <c r="H5172" s="315"/>
      <c r="I5172" s="315"/>
      <c r="BA5172" s="30"/>
      <c r="BB5172" s="155"/>
      <c r="BC5172" s="314"/>
      <c r="BD5172" s="314"/>
      <c r="BE5172" s="314"/>
      <c r="BF5172" s="314"/>
      <c r="BG5172" s="314"/>
      <c r="BH5172" s="314"/>
      <c r="BI5172" s="314"/>
      <c r="BJ5172" s="314"/>
      <c r="BK5172" s="40"/>
      <c r="BL5172" s="40"/>
      <c r="BM5172" s="40"/>
      <c r="BN5172" s="40"/>
      <c r="BO5172" s="40"/>
      <c r="BP5172" s="155"/>
      <c r="BQ5172" s="314"/>
      <c r="BR5172" s="314"/>
      <c r="BS5172" s="314"/>
      <c r="BT5172" s="314"/>
      <c r="BU5172" s="314"/>
      <c r="BV5172" s="314"/>
      <c r="BW5172" s="314"/>
      <c r="BX5172" s="155"/>
    </row>
    <row r="5173" spans="1:76" ht="15.75" customHeight="1">
      <c r="A5173" s="25"/>
      <c r="B5173" s="39"/>
      <c r="C5173" s="155"/>
      <c r="D5173" s="155"/>
      <c r="E5173" s="40"/>
      <c r="F5173" s="314"/>
      <c r="H5173" s="315"/>
      <c r="I5173" s="315"/>
      <c r="BA5173" s="30"/>
      <c r="BB5173" s="155"/>
      <c r="BC5173" s="314"/>
      <c r="BD5173" s="314"/>
      <c r="BE5173" s="314"/>
      <c r="BF5173" s="314"/>
      <c r="BG5173" s="314"/>
      <c r="BH5173" s="314"/>
      <c r="BI5173" s="314"/>
      <c r="BJ5173" s="314"/>
      <c r="BK5173" s="40"/>
      <c r="BL5173" s="40"/>
      <c r="BM5173" s="40"/>
      <c r="BN5173" s="40"/>
      <c r="BO5173" s="40"/>
      <c r="BP5173" s="155"/>
      <c r="BQ5173" s="314"/>
      <c r="BR5173" s="314"/>
      <c r="BS5173" s="314"/>
      <c r="BT5173" s="314"/>
      <c r="BU5173" s="314"/>
      <c r="BV5173" s="314"/>
      <c r="BW5173" s="314"/>
      <c r="BX5173" s="155"/>
    </row>
    <row r="5174" spans="1:76" ht="15.75" customHeight="1">
      <c r="A5174" s="25"/>
      <c r="B5174" s="39"/>
      <c r="C5174" s="155"/>
      <c r="D5174" s="155"/>
      <c r="E5174" s="40"/>
      <c r="F5174" s="314"/>
      <c r="H5174" s="315"/>
      <c r="I5174" s="315"/>
      <c r="BA5174" s="30"/>
      <c r="BB5174" s="155"/>
      <c r="BC5174" s="314"/>
      <c r="BD5174" s="314"/>
      <c r="BE5174" s="314"/>
      <c r="BF5174" s="314"/>
      <c r="BG5174" s="314"/>
      <c r="BH5174" s="314"/>
      <c r="BI5174" s="314"/>
      <c r="BJ5174" s="314"/>
      <c r="BK5174" s="40"/>
      <c r="BL5174" s="40"/>
      <c r="BM5174" s="40"/>
      <c r="BN5174" s="40"/>
      <c r="BO5174" s="40"/>
      <c r="BP5174" s="155"/>
      <c r="BQ5174" s="314"/>
      <c r="BR5174" s="314"/>
      <c r="BS5174" s="314"/>
      <c r="BT5174" s="314"/>
      <c r="BU5174" s="314"/>
      <c r="BV5174" s="314"/>
      <c r="BW5174" s="314"/>
      <c r="BX5174" s="155"/>
    </row>
    <row r="5175" spans="1:76" ht="15.75" customHeight="1">
      <c r="A5175" s="25"/>
      <c r="B5175" s="39"/>
      <c r="C5175" s="155"/>
      <c r="D5175" s="155"/>
      <c r="E5175" s="40"/>
      <c r="F5175" s="314"/>
      <c r="H5175" s="315"/>
      <c r="I5175" s="315"/>
      <c r="BA5175" s="30"/>
      <c r="BB5175" s="155"/>
      <c r="BC5175" s="314"/>
      <c r="BD5175" s="314"/>
      <c r="BE5175" s="314"/>
      <c r="BF5175" s="314"/>
      <c r="BG5175" s="314"/>
      <c r="BH5175" s="314"/>
      <c r="BI5175" s="314"/>
      <c r="BJ5175" s="314"/>
      <c r="BK5175" s="40"/>
      <c r="BL5175" s="40"/>
      <c r="BM5175" s="40"/>
      <c r="BN5175" s="40"/>
      <c r="BO5175" s="40"/>
      <c r="BP5175" s="155"/>
      <c r="BQ5175" s="314"/>
      <c r="BR5175" s="314"/>
      <c r="BS5175" s="314"/>
      <c r="BT5175" s="314"/>
      <c r="BU5175" s="314"/>
      <c r="BV5175" s="314"/>
      <c r="BW5175" s="314"/>
      <c r="BX5175" s="155"/>
    </row>
    <row r="5176" spans="1:76" ht="15.75" customHeight="1">
      <c r="A5176" s="25"/>
      <c r="B5176" s="39"/>
      <c r="C5176" s="155"/>
      <c r="D5176" s="155"/>
      <c r="E5176" s="40"/>
      <c r="F5176" s="314"/>
      <c r="H5176" s="315"/>
      <c r="I5176" s="315"/>
      <c r="BA5176" s="30"/>
      <c r="BB5176" s="155"/>
      <c r="BC5176" s="314"/>
      <c r="BD5176" s="314"/>
      <c r="BE5176" s="314"/>
      <c r="BF5176" s="314"/>
      <c r="BG5176" s="314"/>
      <c r="BH5176" s="314"/>
      <c r="BI5176" s="314"/>
      <c r="BJ5176" s="314"/>
      <c r="BK5176" s="40"/>
      <c r="BL5176" s="40"/>
      <c r="BM5176" s="40"/>
      <c r="BN5176" s="40"/>
      <c r="BO5176" s="40"/>
      <c r="BP5176" s="155"/>
      <c r="BQ5176" s="314"/>
      <c r="BR5176" s="314"/>
      <c r="BS5176" s="314"/>
      <c r="BT5176" s="314"/>
      <c r="BU5176" s="314"/>
      <c r="BV5176" s="314"/>
      <c r="BW5176" s="314"/>
      <c r="BX5176" s="155"/>
    </row>
    <row r="5177" spans="1:76" ht="15.75" customHeight="1">
      <c r="A5177" s="25"/>
      <c r="B5177" s="39"/>
      <c r="C5177" s="155"/>
      <c r="D5177" s="155"/>
      <c r="E5177" s="40"/>
      <c r="F5177" s="314"/>
      <c r="H5177" s="315"/>
      <c r="I5177" s="315"/>
      <c r="BA5177" s="30"/>
      <c r="BB5177" s="155"/>
      <c r="BC5177" s="314"/>
      <c r="BD5177" s="314"/>
      <c r="BE5177" s="314"/>
      <c r="BF5177" s="314"/>
      <c r="BG5177" s="314"/>
      <c r="BH5177" s="314"/>
      <c r="BI5177" s="314"/>
      <c r="BJ5177" s="314"/>
      <c r="BK5177" s="40"/>
      <c r="BL5177" s="40"/>
      <c r="BM5177" s="40"/>
      <c r="BN5177" s="40"/>
      <c r="BO5177" s="40"/>
      <c r="BP5177" s="155"/>
      <c r="BQ5177" s="314"/>
      <c r="BR5177" s="314"/>
      <c r="BS5177" s="314"/>
      <c r="BT5177" s="314"/>
      <c r="BU5177" s="314"/>
      <c r="BV5177" s="314"/>
      <c r="BW5177" s="314"/>
      <c r="BX5177" s="155"/>
    </row>
    <row r="5178" spans="1:76" ht="15.75" customHeight="1">
      <c r="A5178" s="25"/>
      <c r="B5178" s="39"/>
      <c r="C5178" s="155"/>
      <c r="D5178" s="155"/>
      <c r="E5178" s="40"/>
      <c r="F5178" s="314"/>
      <c r="H5178" s="315"/>
      <c r="I5178" s="315"/>
      <c r="BA5178" s="30"/>
      <c r="BB5178" s="155"/>
      <c r="BC5178" s="314"/>
      <c r="BD5178" s="314"/>
      <c r="BE5178" s="314"/>
      <c r="BF5178" s="314"/>
      <c r="BG5178" s="314"/>
      <c r="BH5178" s="314"/>
      <c r="BI5178" s="314"/>
      <c r="BJ5178" s="314"/>
      <c r="BK5178" s="40"/>
      <c r="BL5178" s="40"/>
      <c r="BM5178" s="40"/>
      <c r="BN5178" s="40"/>
      <c r="BO5178" s="40"/>
      <c r="BP5178" s="155"/>
      <c r="BQ5178" s="314"/>
      <c r="BR5178" s="314"/>
      <c r="BS5178" s="314"/>
      <c r="BT5178" s="314"/>
      <c r="BU5178" s="314"/>
      <c r="BV5178" s="314"/>
      <c r="BW5178" s="314"/>
      <c r="BX5178" s="155"/>
    </row>
    <row r="5179" spans="1:76" ht="15.75" customHeight="1">
      <c r="A5179" s="25"/>
      <c r="B5179" s="39"/>
      <c r="C5179" s="155"/>
      <c r="D5179" s="155"/>
      <c r="E5179" s="40"/>
      <c r="F5179" s="314"/>
      <c r="H5179" s="315"/>
      <c r="I5179" s="315"/>
      <c r="BA5179" s="30"/>
      <c r="BB5179" s="155"/>
      <c r="BC5179" s="314"/>
      <c r="BD5179" s="314"/>
      <c r="BE5179" s="314"/>
      <c r="BF5179" s="314"/>
      <c r="BG5179" s="314"/>
      <c r="BH5179" s="314"/>
      <c r="BI5179" s="314"/>
      <c r="BJ5179" s="314"/>
      <c r="BK5179" s="40"/>
      <c r="BL5179" s="40"/>
      <c r="BM5179" s="40"/>
      <c r="BN5179" s="40"/>
      <c r="BO5179" s="40"/>
      <c r="BP5179" s="155"/>
      <c r="BQ5179" s="314"/>
      <c r="BR5179" s="314"/>
      <c r="BS5179" s="314"/>
      <c r="BT5179" s="314"/>
      <c r="BU5179" s="314"/>
      <c r="BV5179" s="314"/>
      <c r="BW5179" s="314"/>
      <c r="BX5179" s="155"/>
    </row>
    <row r="5180" spans="1:76" ht="15.75" customHeight="1">
      <c r="A5180" s="25"/>
      <c r="B5180" s="39"/>
      <c r="C5180" s="155"/>
      <c r="D5180" s="155"/>
      <c r="E5180" s="40"/>
      <c r="F5180" s="314"/>
      <c r="H5180" s="315"/>
      <c r="I5180" s="315"/>
      <c r="BA5180" s="30"/>
      <c r="BB5180" s="155"/>
      <c r="BC5180" s="314"/>
      <c r="BD5180" s="314"/>
      <c r="BE5180" s="314"/>
      <c r="BF5180" s="314"/>
      <c r="BG5180" s="314"/>
      <c r="BH5180" s="314"/>
      <c r="BI5180" s="314"/>
      <c r="BJ5180" s="314"/>
      <c r="BK5180" s="40"/>
      <c r="BL5180" s="40"/>
      <c r="BM5180" s="40"/>
      <c r="BN5180" s="40"/>
      <c r="BO5180" s="40"/>
      <c r="BP5180" s="155"/>
      <c r="BQ5180" s="314"/>
      <c r="BR5180" s="314"/>
      <c r="BS5180" s="314"/>
      <c r="BT5180" s="314"/>
      <c r="BU5180" s="314"/>
      <c r="BV5180" s="314"/>
      <c r="BW5180" s="314"/>
      <c r="BX5180" s="155"/>
    </row>
    <row r="5181" spans="1:76" ht="15.75" customHeight="1">
      <c r="A5181" s="25"/>
      <c r="B5181" s="39"/>
      <c r="C5181" s="155"/>
      <c r="D5181" s="155"/>
      <c r="E5181" s="40"/>
      <c r="F5181" s="314"/>
      <c r="H5181" s="315"/>
      <c r="I5181" s="315"/>
      <c r="BA5181" s="30"/>
      <c r="BB5181" s="155"/>
      <c r="BC5181" s="314"/>
      <c r="BD5181" s="314"/>
      <c r="BE5181" s="314"/>
      <c r="BF5181" s="314"/>
      <c r="BG5181" s="314"/>
      <c r="BH5181" s="314"/>
      <c r="BI5181" s="314"/>
      <c r="BJ5181" s="314"/>
      <c r="BK5181" s="40"/>
      <c r="BL5181" s="40"/>
      <c r="BM5181" s="40"/>
      <c r="BN5181" s="40"/>
      <c r="BO5181" s="40"/>
      <c r="BP5181" s="155"/>
      <c r="BQ5181" s="314"/>
      <c r="BR5181" s="314"/>
      <c r="BS5181" s="314"/>
      <c r="BT5181" s="314"/>
      <c r="BU5181" s="314"/>
      <c r="BV5181" s="314"/>
      <c r="BW5181" s="314"/>
      <c r="BX5181" s="155"/>
    </row>
    <row r="5182" spans="1:76" ht="15.75" customHeight="1">
      <c r="A5182" s="25"/>
      <c r="B5182" s="39"/>
      <c r="C5182" s="155"/>
      <c r="D5182" s="155"/>
      <c r="E5182" s="40"/>
      <c r="F5182" s="314"/>
      <c r="H5182" s="315"/>
      <c r="I5182" s="315"/>
      <c r="BA5182" s="30"/>
      <c r="BB5182" s="155"/>
      <c r="BC5182" s="314"/>
      <c r="BD5182" s="314"/>
      <c r="BE5182" s="314"/>
      <c r="BF5182" s="314"/>
      <c r="BG5182" s="314"/>
      <c r="BH5182" s="314"/>
      <c r="BI5182" s="314"/>
      <c r="BJ5182" s="314"/>
      <c r="BK5182" s="40"/>
      <c r="BL5182" s="40"/>
      <c r="BM5182" s="40"/>
      <c r="BN5182" s="40"/>
      <c r="BO5182" s="40"/>
      <c r="BP5182" s="155"/>
      <c r="BQ5182" s="314"/>
      <c r="BR5182" s="314"/>
      <c r="BS5182" s="314"/>
      <c r="BT5182" s="314"/>
      <c r="BU5182" s="314"/>
      <c r="BV5182" s="314"/>
      <c r="BW5182" s="314"/>
      <c r="BX5182" s="155"/>
    </row>
    <row r="5183" spans="1:76" ht="15.75" customHeight="1">
      <c r="A5183" s="25"/>
      <c r="B5183" s="39"/>
      <c r="C5183" s="155"/>
      <c r="D5183" s="155"/>
      <c r="E5183" s="40"/>
      <c r="F5183" s="314"/>
      <c r="H5183" s="315"/>
      <c r="I5183" s="315"/>
      <c r="BA5183" s="30"/>
      <c r="BB5183" s="155"/>
      <c r="BC5183" s="314"/>
      <c r="BD5183" s="314"/>
      <c r="BE5183" s="314"/>
      <c r="BF5183" s="314"/>
      <c r="BG5183" s="314"/>
      <c r="BH5183" s="314"/>
      <c r="BI5183" s="314"/>
      <c r="BJ5183" s="314"/>
      <c r="BK5183" s="40"/>
      <c r="BL5183" s="40"/>
      <c r="BM5183" s="40"/>
      <c r="BN5183" s="40"/>
      <c r="BO5183" s="40"/>
      <c r="BP5183" s="155"/>
      <c r="BQ5183" s="314"/>
      <c r="BR5183" s="314"/>
      <c r="BS5183" s="314"/>
      <c r="BT5183" s="314"/>
      <c r="BU5183" s="314"/>
      <c r="BV5183" s="314"/>
      <c r="BW5183" s="314"/>
      <c r="BX5183" s="155"/>
    </row>
    <row r="5184" spans="1:76" ht="15.75" customHeight="1">
      <c r="A5184" s="25"/>
      <c r="B5184" s="39"/>
      <c r="C5184" s="155"/>
      <c r="D5184" s="155"/>
      <c r="E5184" s="40"/>
      <c r="F5184" s="314"/>
      <c r="H5184" s="315"/>
      <c r="I5184" s="315"/>
      <c r="BA5184" s="30"/>
      <c r="BB5184" s="155"/>
      <c r="BC5184" s="322"/>
      <c r="BD5184" s="322"/>
      <c r="BE5184" s="322"/>
      <c r="BF5184" s="322"/>
      <c r="BG5184" s="322"/>
      <c r="BH5184" s="322"/>
      <c r="BI5184" s="322"/>
      <c r="BJ5184" s="322"/>
      <c r="BK5184" s="341"/>
      <c r="BL5184" s="40"/>
      <c r="BM5184" s="40"/>
      <c r="BN5184" s="40"/>
      <c r="BO5184" s="40"/>
      <c r="BP5184" s="155"/>
      <c r="BQ5184" s="314"/>
      <c r="BR5184" s="314"/>
      <c r="BS5184" s="314"/>
      <c r="BT5184" s="314"/>
      <c r="BU5184" s="314"/>
      <c r="BV5184" s="314"/>
      <c r="BW5184" s="314"/>
      <c r="BX5184" s="155"/>
    </row>
    <row r="5185" spans="1:76" ht="15.75" customHeight="1">
      <c r="A5185" s="25"/>
      <c r="B5185" s="39"/>
      <c r="C5185" s="155"/>
      <c r="D5185" s="155"/>
      <c r="E5185" s="40"/>
      <c r="F5185" s="314"/>
      <c r="H5185" s="315"/>
      <c r="I5185" s="315"/>
      <c r="BA5185" s="30"/>
      <c r="BB5185" s="155"/>
      <c r="BC5185" s="314"/>
      <c r="BD5185" s="314"/>
      <c r="BE5185" s="314"/>
      <c r="BF5185" s="314"/>
      <c r="BG5185" s="314"/>
      <c r="BH5185" s="314"/>
      <c r="BI5185" s="314"/>
      <c r="BJ5185" s="314"/>
      <c r="BK5185" s="40"/>
      <c r="BL5185" s="40"/>
      <c r="BM5185" s="40"/>
      <c r="BN5185" s="40"/>
      <c r="BO5185" s="40"/>
      <c r="BP5185" s="155"/>
      <c r="BQ5185" s="314"/>
      <c r="BR5185" s="314"/>
      <c r="BS5185" s="314"/>
      <c r="BT5185" s="314"/>
      <c r="BU5185" s="314"/>
      <c r="BV5185" s="314"/>
      <c r="BW5185" s="314"/>
      <c r="BX5185" s="155"/>
    </row>
    <row r="5186" spans="1:76" ht="15.75" customHeight="1">
      <c r="A5186" s="25"/>
      <c r="B5186" s="39"/>
      <c r="C5186" s="155"/>
      <c r="D5186" s="155"/>
      <c r="E5186" s="40"/>
      <c r="F5186" s="314"/>
      <c r="H5186" s="315"/>
      <c r="I5186" s="315"/>
      <c r="BA5186" s="30"/>
      <c r="BB5186" s="155"/>
      <c r="BC5186" s="314"/>
      <c r="BD5186" s="314"/>
      <c r="BE5186" s="314"/>
      <c r="BF5186" s="314"/>
      <c r="BG5186" s="314"/>
      <c r="BH5186" s="314"/>
      <c r="BI5186" s="314"/>
      <c r="BJ5186" s="314"/>
      <c r="BK5186" s="40"/>
      <c r="BL5186" s="40"/>
      <c r="BM5186" s="40"/>
      <c r="BN5186" s="40"/>
      <c r="BO5186" s="40"/>
      <c r="BP5186" s="155"/>
      <c r="BQ5186" s="314"/>
      <c r="BR5186" s="314"/>
      <c r="BS5186" s="314"/>
      <c r="BT5186" s="314"/>
      <c r="BU5186" s="314"/>
      <c r="BV5186" s="314"/>
      <c r="BW5186" s="314"/>
      <c r="BX5186" s="155"/>
    </row>
    <row r="5187" spans="1:76" ht="15.75" customHeight="1">
      <c r="A5187" s="25"/>
      <c r="B5187" s="39"/>
      <c r="C5187" s="155"/>
      <c r="D5187" s="155"/>
      <c r="E5187" s="40"/>
      <c r="F5187" s="314"/>
      <c r="H5187" s="315"/>
      <c r="I5187" s="315"/>
      <c r="BA5187" s="30"/>
      <c r="BB5187" s="155"/>
      <c r="BC5187" s="314"/>
      <c r="BD5187" s="314"/>
      <c r="BE5187" s="314"/>
      <c r="BF5187" s="314"/>
      <c r="BG5187" s="314"/>
      <c r="BH5187" s="314"/>
      <c r="BI5187" s="314"/>
      <c r="BJ5187" s="314"/>
      <c r="BK5187" s="40"/>
      <c r="BL5187" s="40"/>
      <c r="BM5187" s="40"/>
      <c r="BN5187" s="40"/>
      <c r="BO5187" s="40"/>
      <c r="BP5187" s="155"/>
      <c r="BQ5187" s="314"/>
      <c r="BR5187" s="314"/>
      <c r="BS5187" s="314"/>
      <c r="BT5187" s="314"/>
      <c r="BU5187" s="314"/>
      <c r="BV5187" s="314"/>
      <c r="BW5187" s="314"/>
      <c r="BX5187" s="155"/>
    </row>
    <row r="5188" spans="1:76" ht="15.75" customHeight="1">
      <c r="A5188" s="25"/>
      <c r="B5188" s="39"/>
      <c r="C5188" s="155"/>
      <c r="D5188" s="155"/>
      <c r="E5188" s="40"/>
      <c r="F5188" s="314"/>
      <c r="H5188" s="315"/>
      <c r="I5188" s="315"/>
      <c r="BA5188" s="30"/>
      <c r="BB5188" s="155"/>
      <c r="BC5188" s="314"/>
      <c r="BD5188" s="314"/>
      <c r="BE5188" s="314"/>
      <c r="BF5188" s="314"/>
      <c r="BG5188" s="314"/>
      <c r="BH5188" s="314"/>
      <c r="BI5188" s="314"/>
      <c r="BJ5188" s="314"/>
      <c r="BK5188" s="40"/>
      <c r="BL5188" s="40"/>
      <c r="BM5188" s="40"/>
      <c r="BN5188" s="40"/>
      <c r="BO5188" s="40"/>
      <c r="BP5188" s="155"/>
      <c r="BQ5188" s="314"/>
      <c r="BR5188" s="314"/>
      <c r="BS5188" s="314"/>
      <c r="BT5188" s="314"/>
      <c r="BU5188" s="314"/>
      <c r="BV5188" s="314"/>
      <c r="BW5188" s="314"/>
      <c r="BX5188" s="155"/>
    </row>
    <row r="5189" spans="1:76" ht="15.75" customHeight="1">
      <c r="A5189" s="25"/>
      <c r="B5189" s="39"/>
      <c r="C5189" s="155"/>
      <c r="D5189" s="155"/>
      <c r="E5189" s="40"/>
      <c r="F5189" s="314"/>
      <c r="H5189" s="315"/>
      <c r="I5189" s="315"/>
      <c r="BA5189" s="30"/>
      <c r="BB5189" s="155"/>
      <c r="BC5189" s="314"/>
      <c r="BD5189" s="314"/>
      <c r="BE5189" s="314"/>
      <c r="BF5189" s="314"/>
      <c r="BG5189" s="314"/>
      <c r="BH5189" s="314"/>
      <c r="BI5189" s="314"/>
      <c r="BJ5189" s="314"/>
      <c r="BK5189" s="40"/>
      <c r="BL5189" s="40"/>
      <c r="BM5189" s="40"/>
      <c r="BN5189" s="40"/>
      <c r="BO5189" s="40"/>
      <c r="BP5189" s="155"/>
      <c r="BQ5189" s="314"/>
      <c r="BR5189" s="314"/>
      <c r="BS5189" s="314"/>
      <c r="BT5189" s="314"/>
      <c r="BU5189" s="314"/>
      <c r="BV5189" s="314"/>
      <c r="BW5189" s="314"/>
      <c r="BX5189" s="155"/>
    </row>
    <row r="5190" spans="1:76" ht="15.75" customHeight="1">
      <c r="A5190" s="25"/>
      <c r="B5190" s="39"/>
      <c r="C5190" s="155"/>
      <c r="D5190" s="155"/>
      <c r="E5190" s="40"/>
      <c r="F5190" s="314"/>
      <c r="H5190" s="315"/>
      <c r="I5190" s="315"/>
      <c r="BA5190" s="30"/>
      <c r="BB5190" s="155"/>
      <c r="BC5190" s="314"/>
      <c r="BD5190" s="314"/>
      <c r="BE5190" s="314"/>
      <c r="BF5190" s="314"/>
      <c r="BG5190" s="314"/>
      <c r="BH5190" s="314"/>
      <c r="BI5190" s="314"/>
      <c r="BJ5190" s="314"/>
      <c r="BK5190" s="40"/>
      <c r="BL5190" s="40"/>
      <c r="BM5190" s="40"/>
      <c r="BN5190" s="40"/>
      <c r="BO5190" s="40"/>
      <c r="BP5190" s="155"/>
      <c r="BQ5190" s="314"/>
      <c r="BR5190" s="314"/>
      <c r="BS5190" s="314"/>
      <c r="BT5190" s="314"/>
      <c r="BU5190" s="314"/>
      <c r="BV5190" s="314"/>
      <c r="BW5190" s="314"/>
      <c r="BX5190" s="155"/>
    </row>
    <row r="5191" spans="1:76" ht="15.75" customHeight="1">
      <c r="A5191" s="25"/>
      <c r="B5191" s="39"/>
      <c r="C5191" s="155"/>
      <c r="D5191" s="155"/>
      <c r="E5191" s="40"/>
      <c r="F5191" s="314"/>
      <c r="H5191" s="315"/>
      <c r="I5191" s="315"/>
      <c r="BA5191" s="30"/>
      <c r="BB5191" s="155"/>
      <c r="BC5191" s="314"/>
      <c r="BD5191" s="314"/>
      <c r="BE5191" s="314"/>
      <c r="BF5191" s="314"/>
      <c r="BG5191" s="314"/>
      <c r="BH5191" s="314"/>
      <c r="BI5191" s="314"/>
      <c r="BJ5191" s="314"/>
      <c r="BK5191" s="40"/>
      <c r="BL5191" s="40"/>
      <c r="BM5191" s="40"/>
      <c r="BN5191" s="40"/>
      <c r="BO5191" s="40"/>
      <c r="BP5191" s="155"/>
      <c r="BQ5191" s="314"/>
      <c r="BR5191" s="314"/>
      <c r="BS5191" s="314"/>
      <c r="BT5191" s="314"/>
      <c r="BU5191" s="314"/>
      <c r="BV5191" s="314"/>
      <c r="BW5191" s="314"/>
      <c r="BX5191" s="155"/>
    </row>
    <row r="5192" spans="1:76" ht="15.75" customHeight="1">
      <c r="A5192" s="25"/>
      <c r="B5192" s="39"/>
      <c r="C5192" s="155"/>
      <c r="D5192" s="155"/>
      <c r="E5192" s="40"/>
      <c r="F5192" s="314"/>
      <c r="H5192" s="315"/>
      <c r="I5192" s="315"/>
      <c r="BA5192" s="30"/>
      <c r="BB5192" s="155"/>
      <c r="BC5192" s="314"/>
      <c r="BD5192" s="314"/>
      <c r="BE5192" s="314"/>
      <c r="BF5192" s="314"/>
      <c r="BG5192" s="314"/>
      <c r="BH5192" s="314"/>
      <c r="BI5192" s="314"/>
      <c r="BJ5192" s="314"/>
      <c r="BK5192" s="40"/>
      <c r="BL5192" s="40"/>
      <c r="BM5192" s="40"/>
      <c r="BN5192" s="40"/>
      <c r="BO5192" s="40"/>
      <c r="BP5192" s="155"/>
      <c r="BQ5192" s="314"/>
      <c r="BR5192" s="314"/>
      <c r="BS5192" s="314"/>
      <c r="BT5192" s="314"/>
      <c r="BU5192" s="314"/>
      <c r="BV5192" s="314"/>
      <c r="BW5192" s="314"/>
      <c r="BX5192" s="155"/>
    </row>
    <row r="5193" spans="1:76" ht="15.75" customHeight="1">
      <c r="A5193" s="25"/>
      <c r="B5193" s="39"/>
      <c r="C5193" s="155"/>
      <c r="D5193" s="155"/>
      <c r="E5193" s="40"/>
      <c r="F5193" s="314"/>
      <c r="H5193" s="315"/>
      <c r="I5193" s="315"/>
      <c r="BA5193" s="30"/>
      <c r="BB5193" s="155"/>
      <c r="BC5193" s="314"/>
      <c r="BD5193" s="314"/>
      <c r="BE5193" s="314"/>
      <c r="BF5193" s="314"/>
      <c r="BG5193" s="314"/>
      <c r="BH5193" s="314"/>
      <c r="BI5193" s="314"/>
      <c r="BJ5193" s="314"/>
      <c r="BK5193" s="40"/>
      <c r="BL5193" s="40"/>
      <c r="BM5193" s="40"/>
      <c r="BN5193" s="40"/>
      <c r="BO5193" s="40"/>
      <c r="BP5193" s="155"/>
      <c r="BQ5193" s="314"/>
      <c r="BR5193" s="314"/>
      <c r="BS5193" s="314"/>
      <c r="BT5193" s="314"/>
      <c r="BU5193" s="314"/>
      <c r="BV5193" s="314"/>
      <c r="BW5193" s="314"/>
      <c r="BX5193" s="155"/>
    </row>
    <row r="5194" spans="1:76" ht="15.75" customHeight="1">
      <c r="A5194" s="25"/>
      <c r="B5194" s="39"/>
      <c r="C5194" s="155"/>
      <c r="D5194" s="155"/>
      <c r="E5194" s="40"/>
      <c r="F5194" s="314"/>
      <c r="H5194" s="315"/>
      <c r="I5194" s="315"/>
      <c r="BA5194" s="30"/>
      <c r="BB5194" s="155"/>
      <c r="BC5194" s="314"/>
      <c r="BD5194" s="314"/>
      <c r="BE5194" s="314"/>
      <c r="BF5194" s="314"/>
      <c r="BG5194" s="314"/>
      <c r="BH5194" s="314"/>
      <c r="BI5194" s="314"/>
      <c r="BJ5194" s="314"/>
      <c r="BK5194" s="40"/>
      <c r="BL5194" s="40"/>
      <c r="BM5194" s="40"/>
      <c r="BN5194" s="40"/>
      <c r="BO5194" s="40"/>
      <c r="BP5194" s="155"/>
      <c r="BQ5194" s="314"/>
      <c r="BR5194" s="314"/>
      <c r="BS5194" s="314"/>
      <c r="BT5194" s="314"/>
      <c r="BU5194" s="314"/>
      <c r="BV5194" s="314"/>
      <c r="BW5194" s="314"/>
      <c r="BX5194" s="155"/>
    </row>
    <row r="5195" spans="1:76" ht="15.75" customHeight="1">
      <c r="A5195" s="25"/>
      <c r="B5195" s="39"/>
      <c r="C5195" s="155"/>
      <c r="D5195" s="155"/>
      <c r="E5195" s="40"/>
      <c r="F5195" s="314"/>
      <c r="H5195" s="315"/>
      <c r="I5195" s="315"/>
      <c r="BA5195" s="30"/>
      <c r="BB5195" s="155"/>
      <c r="BC5195" s="314"/>
      <c r="BD5195" s="314"/>
      <c r="BE5195" s="314"/>
      <c r="BF5195" s="314"/>
      <c r="BG5195" s="314"/>
      <c r="BH5195" s="314"/>
      <c r="BI5195" s="314"/>
      <c r="BJ5195" s="314"/>
      <c r="BK5195" s="40"/>
      <c r="BL5195" s="40"/>
      <c r="BM5195" s="40"/>
      <c r="BN5195" s="40"/>
      <c r="BO5195" s="40"/>
      <c r="BP5195" s="155"/>
      <c r="BQ5195" s="314"/>
      <c r="BR5195" s="314"/>
      <c r="BS5195" s="314"/>
      <c r="BT5195" s="314"/>
      <c r="BU5195" s="314"/>
      <c r="BV5195" s="314"/>
      <c r="BW5195" s="314"/>
      <c r="BX5195" s="155"/>
    </row>
    <row r="5196" spans="1:76" ht="15.75" customHeight="1">
      <c r="A5196" s="25"/>
      <c r="B5196" s="39"/>
      <c r="C5196" s="155"/>
      <c r="D5196" s="155"/>
      <c r="E5196" s="40"/>
      <c r="F5196" s="314"/>
      <c r="H5196" s="315"/>
      <c r="I5196" s="315"/>
      <c r="BA5196" s="30"/>
      <c r="BB5196" s="155"/>
      <c r="BC5196" s="314"/>
      <c r="BD5196" s="314"/>
      <c r="BE5196" s="314"/>
      <c r="BF5196" s="314"/>
      <c r="BG5196" s="314"/>
      <c r="BH5196" s="314"/>
      <c r="BI5196" s="314"/>
      <c r="BJ5196" s="314"/>
      <c r="BK5196" s="40"/>
      <c r="BL5196" s="40"/>
      <c r="BM5196" s="40"/>
      <c r="BN5196" s="40"/>
      <c r="BO5196" s="40"/>
      <c r="BP5196" s="155"/>
      <c r="BQ5196" s="314"/>
      <c r="BR5196" s="314"/>
      <c r="BS5196" s="314"/>
      <c r="BT5196" s="314"/>
      <c r="BU5196" s="314"/>
      <c r="BV5196" s="314"/>
      <c r="BW5196" s="314"/>
      <c r="BX5196" s="155"/>
    </row>
    <row r="5197" spans="1:76" ht="15.75" customHeight="1">
      <c r="A5197" s="25"/>
      <c r="B5197" s="39"/>
      <c r="C5197" s="155"/>
      <c r="D5197" s="155"/>
      <c r="E5197" s="40"/>
      <c r="F5197" s="314"/>
      <c r="H5197" s="315"/>
      <c r="I5197" s="315"/>
      <c r="BA5197" s="30"/>
      <c r="BB5197" s="155"/>
      <c r="BC5197" s="314"/>
      <c r="BD5197" s="314"/>
      <c r="BE5197" s="314"/>
      <c r="BF5197" s="314"/>
      <c r="BG5197" s="314"/>
      <c r="BH5197" s="314"/>
      <c r="BI5197" s="314"/>
      <c r="BJ5197" s="314"/>
      <c r="BK5197" s="40"/>
      <c r="BL5197" s="40"/>
      <c r="BM5197" s="40"/>
      <c r="BN5197" s="40"/>
      <c r="BO5197" s="40"/>
      <c r="BP5197" s="155"/>
      <c r="BQ5197" s="314"/>
      <c r="BR5197" s="314"/>
      <c r="BS5197" s="314"/>
      <c r="BT5197" s="314"/>
      <c r="BU5197" s="314"/>
      <c r="BV5197" s="314"/>
      <c r="BW5197" s="314"/>
      <c r="BX5197" s="155"/>
    </row>
    <row r="5198" spans="1:76" ht="15.75" customHeight="1">
      <c r="A5198" s="25"/>
      <c r="B5198" s="39"/>
      <c r="C5198" s="155"/>
      <c r="D5198" s="155"/>
      <c r="E5198" s="40"/>
      <c r="F5198" s="314"/>
      <c r="H5198" s="315"/>
      <c r="I5198" s="315"/>
      <c r="BA5198" s="30"/>
      <c r="BB5198" s="155"/>
      <c r="BC5198" s="314"/>
      <c r="BD5198" s="314"/>
      <c r="BE5198" s="314"/>
      <c r="BF5198" s="314"/>
      <c r="BG5198" s="314"/>
      <c r="BH5198" s="314"/>
      <c r="BI5198" s="314"/>
      <c r="BJ5198" s="314"/>
      <c r="BK5198" s="40"/>
      <c r="BL5198" s="40"/>
      <c r="BM5198" s="40"/>
      <c r="BN5198" s="40"/>
      <c r="BO5198" s="40"/>
      <c r="BP5198" s="155"/>
      <c r="BQ5198" s="314"/>
      <c r="BR5198" s="314"/>
      <c r="BS5198" s="314"/>
      <c r="BT5198" s="314"/>
      <c r="BU5198" s="314"/>
      <c r="BV5198" s="314"/>
      <c r="BW5198" s="314"/>
      <c r="BX5198" s="155"/>
    </row>
    <row r="5199" spans="1:76" ht="15.75" customHeight="1">
      <c r="A5199" s="25"/>
      <c r="B5199" s="39"/>
      <c r="C5199" s="155"/>
      <c r="D5199" s="155"/>
      <c r="E5199" s="40"/>
      <c r="F5199" s="314"/>
      <c r="H5199" s="315"/>
      <c r="I5199" s="315"/>
      <c r="BA5199" s="30"/>
      <c r="BB5199" s="155"/>
      <c r="BC5199" s="314"/>
      <c r="BD5199" s="314"/>
      <c r="BE5199" s="314"/>
      <c r="BF5199" s="314"/>
      <c r="BG5199" s="314"/>
      <c r="BH5199" s="314"/>
      <c r="BI5199" s="314"/>
      <c r="BJ5199" s="314"/>
      <c r="BK5199" s="40"/>
      <c r="BL5199" s="40"/>
      <c r="BM5199" s="40"/>
      <c r="BN5199" s="40"/>
      <c r="BO5199" s="40"/>
      <c r="BP5199" s="155"/>
      <c r="BQ5199" s="314"/>
      <c r="BR5199" s="314"/>
      <c r="BS5199" s="314"/>
      <c r="BT5199" s="314"/>
      <c r="BU5199" s="314"/>
      <c r="BV5199" s="314"/>
      <c r="BW5199" s="314"/>
      <c r="BX5199" s="155"/>
    </row>
    <row r="5200" spans="1:76" ht="15.75" customHeight="1">
      <c r="A5200" s="25"/>
      <c r="B5200" s="39"/>
      <c r="C5200" s="155"/>
      <c r="D5200" s="155"/>
      <c r="E5200" s="40"/>
      <c r="F5200" s="314"/>
      <c r="H5200" s="315"/>
      <c r="I5200" s="315"/>
      <c r="BA5200" s="30"/>
      <c r="BB5200" s="155"/>
      <c r="BC5200" s="314"/>
      <c r="BD5200" s="314"/>
      <c r="BE5200" s="314"/>
      <c r="BF5200" s="314"/>
      <c r="BG5200" s="314"/>
      <c r="BH5200" s="314"/>
      <c r="BI5200" s="314"/>
      <c r="BJ5200" s="314"/>
      <c r="BK5200" s="40"/>
      <c r="BL5200" s="40"/>
      <c r="BM5200" s="40"/>
      <c r="BN5200" s="40"/>
      <c r="BO5200" s="40"/>
      <c r="BP5200" s="155"/>
      <c r="BQ5200" s="314"/>
      <c r="BR5200" s="314"/>
      <c r="BS5200" s="314"/>
      <c r="BT5200" s="314"/>
      <c r="BU5200" s="314"/>
      <c r="BV5200" s="314"/>
      <c r="BW5200" s="314"/>
      <c r="BX5200" s="155"/>
    </row>
    <row r="5201" spans="1:76" ht="15.75" customHeight="1">
      <c r="A5201" s="25"/>
      <c r="B5201" s="39"/>
      <c r="C5201" s="155"/>
      <c r="D5201" s="155"/>
      <c r="E5201" s="40"/>
      <c r="F5201" s="314"/>
      <c r="H5201" s="315"/>
      <c r="I5201" s="315"/>
      <c r="BA5201" s="30"/>
      <c r="BB5201" s="155"/>
      <c r="BC5201" s="314"/>
      <c r="BD5201" s="314"/>
      <c r="BE5201" s="314"/>
      <c r="BF5201" s="314"/>
      <c r="BG5201" s="314"/>
      <c r="BH5201" s="314"/>
      <c r="BI5201" s="314"/>
      <c r="BJ5201" s="314"/>
      <c r="BK5201" s="40"/>
      <c r="BL5201" s="40"/>
      <c r="BM5201" s="40"/>
      <c r="BN5201" s="40"/>
      <c r="BO5201" s="40"/>
      <c r="BP5201" s="155"/>
      <c r="BQ5201" s="314"/>
      <c r="BR5201" s="314"/>
      <c r="BS5201" s="314"/>
      <c r="BT5201" s="314"/>
      <c r="BU5201" s="314"/>
      <c r="BV5201" s="314"/>
      <c r="BW5201" s="314"/>
      <c r="BX5201" s="155"/>
    </row>
    <row r="5202" spans="1:76" ht="15.75" customHeight="1">
      <c r="A5202" s="25"/>
      <c r="B5202" s="39"/>
      <c r="C5202" s="155"/>
      <c r="D5202" s="155"/>
      <c r="E5202" s="40"/>
      <c r="F5202" s="314"/>
      <c r="H5202" s="315"/>
      <c r="I5202" s="315"/>
      <c r="BA5202" s="30"/>
      <c r="BB5202" s="155"/>
      <c r="BC5202" s="314"/>
      <c r="BD5202" s="314"/>
      <c r="BE5202" s="314"/>
      <c r="BF5202" s="314"/>
      <c r="BG5202" s="314"/>
      <c r="BH5202" s="314"/>
      <c r="BI5202" s="314"/>
      <c r="BJ5202" s="314"/>
      <c r="BK5202" s="40"/>
      <c r="BL5202" s="40"/>
      <c r="BM5202" s="40"/>
      <c r="BN5202" s="40"/>
      <c r="BO5202" s="40"/>
      <c r="BP5202" s="155"/>
      <c r="BQ5202" s="314"/>
      <c r="BR5202" s="314"/>
      <c r="BS5202" s="314"/>
      <c r="BT5202" s="314"/>
      <c r="BU5202" s="314"/>
      <c r="BV5202" s="314"/>
      <c r="BW5202" s="314"/>
      <c r="BX5202" s="155"/>
    </row>
    <row r="5203" spans="1:76" ht="15.75" customHeight="1">
      <c r="A5203" s="25"/>
      <c r="B5203" s="39"/>
      <c r="C5203" s="155"/>
      <c r="D5203" s="155"/>
      <c r="E5203" s="40"/>
      <c r="F5203" s="314"/>
      <c r="H5203" s="315"/>
      <c r="I5203" s="315"/>
      <c r="BA5203" s="30"/>
      <c r="BB5203" s="155"/>
      <c r="BC5203" s="314"/>
      <c r="BD5203" s="314"/>
      <c r="BE5203" s="314"/>
      <c r="BF5203" s="314"/>
      <c r="BG5203" s="314"/>
      <c r="BH5203" s="314"/>
      <c r="BI5203" s="314"/>
      <c r="BJ5203" s="314"/>
      <c r="BK5203" s="40"/>
      <c r="BL5203" s="40"/>
      <c r="BM5203" s="40"/>
      <c r="BN5203" s="40"/>
      <c r="BO5203" s="40"/>
      <c r="BP5203" s="155"/>
      <c r="BQ5203" s="314"/>
      <c r="BR5203" s="314"/>
      <c r="BS5203" s="314"/>
      <c r="BT5203" s="314"/>
      <c r="BU5203" s="314"/>
      <c r="BV5203" s="314"/>
      <c r="BW5203" s="314"/>
      <c r="BX5203" s="155"/>
    </row>
    <row r="5204" spans="1:76" ht="15.75" customHeight="1">
      <c r="A5204" s="25"/>
      <c r="B5204" s="39"/>
      <c r="C5204" s="155"/>
      <c r="D5204" s="155"/>
      <c r="E5204" s="40"/>
      <c r="F5204" s="314"/>
      <c r="H5204" s="315"/>
      <c r="I5204" s="315"/>
      <c r="BA5204" s="30"/>
      <c r="BB5204" s="155"/>
      <c r="BC5204" s="314"/>
      <c r="BD5204" s="314"/>
      <c r="BE5204" s="314"/>
      <c r="BF5204" s="314"/>
      <c r="BG5204" s="314"/>
      <c r="BH5204" s="314"/>
      <c r="BI5204" s="314"/>
      <c r="BJ5204" s="314"/>
      <c r="BK5204" s="40"/>
      <c r="BL5204" s="40"/>
      <c r="BM5204" s="40"/>
      <c r="BN5204" s="40"/>
      <c r="BO5204" s="40"/>
      <c r="BP5204" s="155"/>
      <c r="BQ5204" s="314"/>
      <c r="BR5204" s="314"/>
      <c r="BS5204" s="314"/>
      <c r="BT5204" s="314"/>
      <c r="BU5204" s="314"/>
      <c r="BV5204" s="314"/>
      <c r="BW5204" s="314"/>
      <c r="BX5204" s="155"/>
    </row>
    <row r="5205" spans="1:76" ht="15.75" customHeight="1">
      <c r="A5205" s="25"/>
      <c r="B5205" s="39"/>
      <c r="C5205" s="155"/>
      <c r="D5205" s="155"/>
      <c r="E5205" s="40"/>
      <c r="F5205" s="314"/>
      <c r="H5205" s="315"/>
      <c r="I5205" s="315"/>
      <c r="BA5205" s="30"/>
      <c r="BB5205" s="155"/>
      <c r="BC5205" s="314"/>
      <c r="BD5205" s="314"/>
      <c r="BE5205" s="314"/>
      <c r="BF5205" s="314"/>
      <c r="BG5205" s="314"/>
      <c r="BH5205" s="314"/>
      <c r="BI5205" s="314"/>
      <c r="BJ5205" s="314"/>
      <c r="BK5205" s="40"/>
      <c r="BL5205" s="40"/>
      <c r="BM5205" s="40"/>
      <c r="BN5205" s="40"/>
      <c r="BO5205" s="40"/>
      <c r="BP5205" s="155"/>
      <c r="BQ5205" s="314"/>
      <c r="BR5205" s="314"/>
      <c r="BS5205" s="314"/>
      <c r="BT5205" s="314"/>
      <c r="BU5205" s="314"/>
      <c r="BV5205" s="314"/>
      <c r="BW5205" s="314"/>
      <c r="BX5205" s="155"/>
    </row>
    <row r="5206" spans="1:76" ht="15.75" customHeight="1">
      <c r="A5206" s="25"/>
      <c r="B5206" s="39"/>
      <c r="C5206" s="155"/>
      <c r="D5206" s="155"/>
      <c r="E5206" s="40"/>
      <c r="F5206" s="314"/>
      <c r="H5206" s="315"/>
      <c r="I5206" s="315"/>
      <c r="BA5206" s="30"/>
      <c r="BB5206" s="155"/>
      <c r="BC5206" s="314"/>
      <c r="BD5206" s="314"/>
      <c r="BE5206" s="314"/>
      <c r="BF5206" s="314"/>
      <c r="BG5206" s="314"/>
      <c r="BH5206" s="314"/>
      <c r="BI5206" s="314"/>
      <c r="BJ5206" s="314"/>
      <c r="BK5206" s="40"/>
      <c r="BL5206" s="40"/>
      <c r="BM5206" s="40"/>
      <c r="BN5206" s="40"/>
      <c r="BO5206" s="40"/>
      <c r="BP5206" s="155"/>
      <c r="BQ5206" s="314"/>
      <c r="BR5206" s="314"/>
      <c r="BS5206" s="314"/>
      <c r="BT5206" s="314"/>
      <c r="BU5206" s="314"/>
      <c r="BV5206" s="314"/>
      <c r="BW5206" s="314"/>
      <c r="BX5206" s="155"/>
    </row>
    <row r="5207" spans="1:76" ht="15.75" customHeight="1">
      <c r="A5207" s="25"/>
      <c r="B5207" s="39"/>
      <c r="C5207" s="155"/>
      <c r="D5207" s="155"/>
      <c r="E5207" s="40"/>
      <c r="F5207" s="314"/>
      <c r="H5207" s="315"/>
      <c r="I5207" s="315"/>
      <c r="BA5207" s="30"/>
      <c r="BB5207" s="155"/>
      <c r="BC5207" s="322"/>
      <c r="BD5207" s="322"/>
      <c r="BE5207" s="322"/>
      <c r="BF5207" s="322"/>
      <c r="BG5207" s="322"/>
      <c r="BH5207" s="322"/>
      <c r="BI5207" s="322"/>
      <c r="BJ5207" s="322"/>
      <c r="BK5207" s="341"/>
      <c r="BL5207" s="40"/>
      <c r="BM5207" s="40"/>
      <c r="BN5207" s="40"/>
      <c r="BO5207" s="40"/>
      <c r="BP5207" s="155"/>
      <c r="BQ5207" s="314"/>
      <c r="BR5207" s="314"/>
      <c r="BS5207" s="314"/>
      <c r="BT5207" s="314"/>
      <c r="BU5207" s="314"/>
      <c r="BV5207" s="314"/>
      <c r="BW5207" s="314"/>
      <c r="BX5207" s="155"/>
    </row>
    <row r="5208" spans="1:76" ht="15.75" customHeight="1">
      <c r="A5208" s="25"/>
      <c r="B5208" s="39"/>
      <c r="C5208" s="155"/>
      <c r="D5208" s="155"/>
      <c r="E5208" s="40"/>
      <c r="F5208" s="314"/>
      <c r="H5208" s="315"/>
      <c r="I5208" s="315"/>
      <c r="BA5208" s="30"/>
      <c r="BB5208" s="155"/>
      <c r="BC5208" s="314"/>
      <c r="BD5208" s="314"/>
      <c r="BE5208" s="314"/>
      <c r="BF5208" s="314"/>
      <c r="BG5208" s="314"/>
      <c r="BH5208" s="314"/>
      <c r="BI5208" s="314"/>
      <c r="BJ5208" s="314"/>
      <c r="BK5208" s="40"/>
      <c r="BL5208" s="40"/>
      <c r="BM5208" s="40"/>
      <c r="BN5208" s="40"/>
      <c r="BO5208" s="40"/>
      <c r="BP5208" s="155"/>
      <c r="BQ5208" s="314"/>
      <c r="BR5208" s="314"/>
      <c r="BS5208" s="314"/>
      <c r="BT5208" s="314"/>
      <c r="BU5208" s="314"/>
      <c r="BV5208" s="314"/>
      <c r="BW5208" s="314"/>
      <c r="BX5208" s="155"/>
    </row>
    <row r="5209" spans="1:76" ht="15.75" customHeight="1">
      <c r="A5209" s="25"/>
      <c r="B5209" s="39"/>
      <c r="C5209" s="155"/>
      <c r="D5209" s="155"/>
      <c r="E5209" s="40"/>
      <c r="F5209" s="314"/>
      <c r="H5209" s="315"/>
      <c r="I5209" s="315"/>
      <c r="BA5209" s="30"/>
      <c r="BB5209" s="155"/>
      <c r="BC5209" s="314"/>
      <c r="BD5209" s="314"/>
      <c r="BE5209" s="314"/>
      <c r="BF5209" s="314"/>
      <c r="BG5209" s="314"/>
      <c r="BH5209" s="314"/>
      <c r="BI5209" s="314"/>
      <c r="BJ5209" s="314"/>
      <c r="BK5209" s="40"/>
      <c r="BL5209" s="40"/>
      <c r="BM5209" s="40"/>
      <c r="BN5209" s="40"/>
      <c r="BO5209" s="40"/>
      <c r="BP5209" s="155"/>
      <c r="BQ5209" s="314"/>
      <c r="BR5209" s="314"/>
      <c r="BS5209" s="314"/>
      <c r="BT5209" s="314"/>
      <c r="BU5209" s="314"/>
      <c r="BV5209" s="314"/>
      <c r="BW5209" s="314"/>
      <c r="BX5209" s="155"/>
    </row>
    <row r="5210" spans="1:76" ht="15.75" customHeight="1">
      <c r="A5210" s="25"/>
      <c r="B5210" s="39"/>
      <c r="C5210" s="155"/>
      <c r="D5210" s="155"/>
      <c r="E5210" s="40"/>
      <c r="F5210" s="314"/>
      <c r="H5210" s="315"/>
      <c r="I5210" s="315"/>
      <c r="BA5210" s="30"/>
      <c r="BB5210" s="155"/>
      <c r="BC5210" s="314"/>
      <c r="BD5210" s="314"/>
      <c r="BE5210" s="314"/>
      <c r="BF5210" s="314"/>
      <c r="BG5210" s="314"/>
      <c r="BH5210" s="314"/>
      <c r="BI5210" s="314"/>
      <c r="BJ5210" s="314"/>
      <c r="BK5210" s="40"/>
      <c r="BL5210" s="40"/>
      <c r="BM5210" s="40"/>
      <c r="BN5210" s="40"/>
      <c r="BO5210" s="40"/>
      <c r="BP5210" s="155"/>
      <c r="BQ5210" s="314"/>
      <c r="BR5210" s="314"/>
      <c r="BS5210" s="314"/>
      <c r="BT5210" s="314"/>
      <c r="BU5210" s="314"/>
      <c r="BV5210" s="314"/>
      <c r="BW5210" s="314"/>
      <c r="BX5210" s="155"/>
    </row>
    <row r="5211" spans="1:76" ht="15.75" customHeight="1">
      <c r="A5211" s="25"/>
      <c r="B5211" s="39"/>
      <c r="C5211" s="155"/>
      <c r="D5211" s="155"/>
      <c r="E5211" s="40"/>
      <c r="F5211" s="314"/>
      <c r="H5211" s="315"/>
      <c r="I5211" s="315"/>
      <c r="BA5211" s="30"/>
      <c r="BB5211" s="155"/>
      <c r="BC5211" s="314"/>
      <c r="BD5211" s="314"/>
      <c r="BE5211" s="314"/>
      <c r="BF5211" s="314"/>
      <c r="BG5211" s="314"/>
      <c r="BH5211" s="314"/>
      <c r="BI5211" s="314"/>
      <c r="BJ5211" s="314"/>
      <c r="BK5211" s="40"/>
      <c r="BL5211" s="40"/>
      <c r="BM5211" s="40"/>
      <c r="BN5211" s="40"/>
      <c r="BO5211" s="40"/>
      <c r="BP5211" s="155"/>
      <c r="BQ5211" s="314"/>
      <c r="BR5211" s="314"/>
      <c r="BS5211" s="314"/>
      <c r="BT5211" s="314"/>
      <c r="BU5211" s="314"/>
      <c r="BV5211" s="314"/>
      <c r="BW5211" s="314"/>
      <c r="BX5211" s="155"/>
    </row>
    <row r="5212" spans="1:76" ht="15.75" customHeight="1">
      <c r="A5212" s="25"/>
      <c r="B5212" s="39"/>
      <c r="C5212" s="155"/>
      <c r="D5212" s="155"/>
      <c r="E5212" s="40"/>
      <c r="F5212" s="314"/>
      <c r="H5212" s="315"/>
      <c r="I5212" s="315"/>
      <c r="BA5212" s="30"/>
      <c r="BB5212" s="155"/>
      <c r="BC5212" s="314"/>
      <c r="BD5212" s="314"/>
      <c r="BE5212" s="314"/>
      <c r="BF5212" s="314"/>
      <c r="BG5212" s="314"/>
      <c r="BH5212" s="314"/>
      <c r="BI5212" s="314"/>
      <c r="BJ5212" s="314"/>
      <c r="BK5212" s="40"/>
      <c r="BL5212" s="40"/>
      <c r="BM5212" s="40"/>
      <c r="BN5212" s="40"/>
      <c r="BO5212" s="40"/>
      <c r="BP5212" s="155"/>
      <c r="BQ5212" s="314"/>
      <c r="BR5212" s="314"/>
      <c r="BS5212" s="314"/>
      <c r="BT5212" s="314"/>
      <c r="BU5212" s="314"/>
      <c r="BV5212" s="314"/>
      <c r="BW5212" s="314"/>
      <c r="BX5212" s="155"/>
    </row>
    <row r="5213" spans="1:76" ht="15.75" customHeight="1">
      <c r="A5213" s="25"/>
      <c r="B5213" s="39"/>
      <c r="C5213" s="155"/>
      <c r="D5213" s="155"/>
      <c r="E5213" s="40"/>
      <c r="F5213" s="314"/>
      <c r="H5213" s="315"/>
      <c r="I5213" s="315"/>
      <c r="BA5213" s="30"/>
      <c r="BB5213" s="155"/>
      <c r="BC5213" s="314"/>
      <c r="BD5213" s="314"/>
      <c r="BE5213" s="314"/>
      <c r="BF5213" s="314"/>
      <c r="BG5213" s="314"/>
      <c r="BH5213" s="314"/>
      <c r="BI5213" s="314"/>
      <c r="BJ5213" s="314"/>
      <c r="BK5213" s="40"/>
      <c r="BL5213" s="40"/>
      <c r="BM5213" s="40"/>
      <c r="BN5213" s="40"/>
      <c r="BO5213" s="40"/>
      <c r="BP5213" s="155"/>
      <c r="BQ5213" s="314"/>
      <c r="BR5213" s="314"/>
      <c r="BS5213" s="314"/>
      <c r="BT5213" s="314"/>
      <c r="BU5213" s="314"/>
      <c r="BV5213" s="314"/>
      <c r="BW5213" s="314"/>
      <c r="BX5213" s="155"/>
    </row>
    <row r="5214" spans="1:76" ht="15.75" customHeight="1">
      <c r="A5214" s="25"/>
      <c r="B5214" s="39"/>
      <c r="C5214" s="155"/>
      <c r="D5214" s="155"/>
      <c r="E5214" s="40"/>
      <c r="F5214" s="314"/>
      <c r="H5214" s="315"/>
      <c r="I5214" s="315"/>
      <c r="BA5214" s="30"/>
      <c r="BB5214" s="155"/>
      <c r="BC5214" s="314"/>
      <c r="BD5214" s="314"/>
      <c r="BE5214" s="314"/>
      <c r="BF5214" s="314"/>
      <c r="BG5214" s="314"/>
      <c r="BH5214" s="314"/>
      <c r="BI5214" s="314"/>
      <c r="BJ5214" s="314"/>
      <c r="BK5214" s="40"/>
      <c r="BL5214" s="40"/>
      <c r="BM5214" s="40"/>
      <c r="BN5214" s="40"/>
      <c r="BO5214" s="40"/>
      <c r="BP5214" s="155"/>
      <c r="BQ5214" s="314"/>
      <c r="BR5214" s="314"/>
      <c r="BS5214" s="314"/>
      <c r="BT5214" s="314"/>
      <c r="BU5214" s="314"/>
      <c r="BV5214" s="314"/>
      <c r="BW5214" s="314"/>
      <c r="BX5214" s="155"/>
    </row>
    <row r="5215" spans="1:76" ht="15.75" customHeight="1">
      <c r="A5215" s="25"/>
      <c r="B5215" s="39"/>
      <c r="C5215" s="155"/>
      <c r="D5215" s="155"/>
      <c r="E5215" s="40"/>
      <c r="F5215" s="314"/>
      <c r="H5215" s="315"/>
      <c r="I5215" s="315"/>
      <c r="BA5215" s="30"/>
      <c r="BB5215" s="155"/>
      <c r="BC5215" s="314"/>
      <c r="BD5215" s="314"/>
      <c r="BE5215" s="314"/>
      <c r="BF5215" s="314"/>
      <c r="BG5215" s="314"/>
      <c r="BH5215" s="314"/>
      <c r="BI5215" s="314"/>
      <c r="BJ5215" s="314"/>
      <c r="BK5215" s="40"/>
      <c r="BL5215" s="40"/>
      <c r="BM5215" s="40"/>
      <c r="BN5215" s="40"/>
      <c r="BO5215" s="40"/>
      <c r="BP5215" s="155"/>
      <c r="BQ5215" s="314"/>
      <c r="BR5215" s="314"/>
      <c r="BS5215" s="314"/>
      <c r="BT5215" s="314"/>
      <c r="BU5215" s="314"/>
      <c r="BV5215" s="314"/>
      <c r="BW5215" s="314"/>
      <c r="BX5215" s="155"/>
    </row>
    <row r="5216" spans="1:76" ht="15.75" customHeight="1">
      <c r="A5216" s="25"/>
      <c r="B5216" s="39"/>
      <c r="C5216" s="155"/>
      <c r="D5216" s="155"/>
      <c r="E5216" s="40"/>
      <c r="F5216" s="314"/>
      <c r="H5216" s="315"/>
      <c r="I5216" s="315"/>
      <c r="BA5216" s="30"/>
      <c r="BB5216" s="155"/>
      <c r="BC5216" s="314"/>
      <c r="BD5216" s="314"/>
      <c r="BE5216" s="314"/>
      <c r="BF5216" s="314"/>
      <c r="BG5216" s="314"/>
      <c r="BH5216" s="314"/>
      <c r="BI5216" s="314"/>
      <c r="BJ5216" s="314"/>
      <c r="BK5216" s="40"/>
      <c r="BL5216" s="40"/>
      <c r="BM5216" s="40"/>
      <c r="BN5216" s="40"/>
      <c r="BO5216" s="40"/>
      <c r="BP5216" s="155"/>
      <c r="BQ5216" s="314"/>
      <c r="BR5216" s="314"/>
      <c r="BS5216" s="314"/>
      <c r="BT5216" s="314"/>
      <c r="BU5216" s="314"/>
      <c r="BV5216" s="314"/>
      <c r="BW5216" s="314"/>
      <c r="BX5216" s="155"/>
    </row>
    <row r="5217" spans="1:76" ht="15.75" customHeight="1">
      <c r="A5217" s="25"/>
      <c r="B5217" s="39"/>
      <c r="C5217" s="155"/>
      <c r="D5217" s="155"/>
      <c r="E5217" s="40"/>
      <c r="F5217" s="314"/>
      <c r="H5217" s="315"/>
      <c r="I5217" s="315"/>
      <c r="BA5217" s="30"/>
      <c r="BB5217" s="155"/>
      <c r="BC5217" s="314"/>
      <c r="BD5217" s="314"/>
      <c r="BE5217" s="314"/>
      <c r="BF5217" s="314"/>
      <c r="BG5217" s="314"/>
      <c r="BH5217" s="314"/>
      <c r="BI5217" s="314"/>
      <c r="BJ5217" s="314"/>
      <c r="BK5217" s="40"/>
      <c r="BL5217" s="40"/>
      <c r="BM5217" s="40"/>
      <c r="BN5217" s="40"/>
      <c r="BO5217" s="40"/>
      <c r="BP5217" s="155"/>
      <c r="BQ5217" s="314"/>
      <c r="BR5217" s="314"/>
      <c r="BS5217" s="314"/>
      <c r="BT5217" s="314"/>
      <c r="BU5217" s="314"/>
      <c r="BV5217" s="314"/>
      <c r="BW5217" s="314"/>
      <c r="BX5217" s="155"/>
    </row>
    <row r="5218" spans="1:76" ht="15.75" customHeight="1">
      <c r="A5218" s="25"/>
      <c r="B5218" s="39"/>
      <c r="C5218" s="155"/>
      <c r="D5218" s="155"/>
      <c r="E5218" s="40"/>
      <c r="F5218" s="314"/>
      <c r="H5218" s="315"/>
      <c r="I5218" s="315"/>
      <c r="BA5218" s="30"/>
      <c r="BB5218" s="155"/>
      <c r="BC5218" s="314"/>
      <c r="BD5218" s="314"/>
      <c r="BE5218" s="314"/>
      <c r="BF5218" s="314"/>
      <c r="BG5218" s="314"/>
      <c r="BH5218" s="314"/>
      <c r="BI5218" s="314"/>
      <c r="BJ5218" s="314"/>
      <c r="BK5218" s="40"/>
      <c r="BL5218" s="40"/>
      <c r="BM5218" s="40"/>
      <c r="BN5218" s="40"/>
      <c r="BO5218" s="40"/>
      <c r="BP5218" s="155"/>
      <c r="BQ5218" s="314"/>
      <c r="BR5218" s="314"/>
      <c r="BS5218" s="314"/>
      <c r="BT5218" s="314"/>
      <c r="BU5218" s="314"/>
      <c r="BV5218" s="314"/>
      <c r="BW5218" s="314"/>
      <c r="BX5218" s="155"/>
    </row>
    <row r="5219" spans="1:76" ht="15.75" customHeight="1">
      <c r="A5219" s="25"/>
      <c r="B5219" s="39"/>
      <c r="C5219" s="155"/>
      <c r="D5219" s="155"/>
      <c r="E5219" s="40"/>
      <c r="F5219" s="314"/>
      <c r="H5219" s="315"/>
      <c r="I5219" s="315"/>
      <c r="BA5219" s="30"/>
      <c r="BB5219" s="155"/>
      <c r="BC5219" s="314"/>
      <c r="BD5219" s="314"/>
      <c r="BE5219" s="314"/>
      <c r="BF5219" s="314"/>
      <c r="BG5219" s="314"/>
      <c r="BH5219" s="314"/>
      <c r="BI5219" s="314"/>
      <c r="BJ5219" s="314"/>
      <c r="BK5219" s="40"/>
      <c r="BL5219" s="40"/>
      <c r="BM5219" s="40"/>
      <c r="BN5219" s="40"/>
      <c r="BO5219" s="40"/>
      <c r="BP5219" s="155"/>
      <c r="BQ5219" s="314"/>
      <c r="BR5219" s="314"/>
      <c r="BS5219" s="314"/>
      <c r="BT5219" s="314"/>
      <c r="BU5219" s="314"/>
      <c r="BV5219" s="314"/>
      <c r="BW5219" s="314"/>
      <c r="BX5219" s="155"/>
    </row>
    <row r="5220" spans="1:76" ht="15.75" customHeight="1">
      <c r="A5220" s="25"/>
      <c r="B5220" s="39"/>
      <c r="C5220" s="155"/>
      <c r="D5220" s="155"/>
      <c r="E5220" s="40"/>
      <c r="F5220" s="314"/>
      <c r="H5220" s="315"/>
      <c r="I5220" s="315"/>
      <c r="BA5220" s="30"/>
      <c r="BB5220" s="155"/>
      <c r="BC5220" s="314"/>
      <c r="BD5220" s="314"/>
      <c r="BE5220" s="314"/>
      <c r="BF5220" s="314"/>
      <c r="BG5220" s="314"/>
      <c r="BH5220" s="314"/>
      <c r="BI5220" s="314"/>
      <c r="BJ5220" s="314"/>
      <c r="BK5220" s="40"/>
      <c r="BL5220" s="40"/>
      <c r="BM5220" s="40"/>
      <c r="BN5220" s="40"/>
      <c r="BO5220" s="40"/>
      <c r="BP5220" s="155"/>
      <c r="BQ5220" s="314"/>
      <c r="BR5220" s="314"/>
      <c r="BS5220" s="314"/>
      <c r="BT5220" s="314"/>
      <c r="BU5220" s="314"/>
      <c r="BV5220" s="314"/>
      <c r="BW5220" s="314"/>
      <c r="BX5220" s="155"/>
    </row>
    <row r="5221" spans="1:76" ht="15.75" customHeight="1">
      <c r="A5221" s="25"/>
      <c r="B5221" s="39"/>
      <c r="C5221" s="155"/>
      <c r="D5221" s="155"/>
      <c r="E5221" s="40"/>
      <c r="F5221" s="314"/>
      <c r="H5221" s="315"/>
      <c r="I5221" s="315"/>
      <c r="BA5221" s="30"/>
      <c r="BB5221" s="155"/>
      <c r="BC5221" s="314"/>
      <c r="BD5221" s="314"/>
      <c r="BE5221" s="314"/>
      <c r="BF5221" s="314"/>
      <c r="BG5221" s="314"/>
      <c r="BH5221" s="314"/>
      <c r="BI5221" s="314"/>
      <c r="BJ5221" s="314"/>
      <c r="BK5221" s="40"/>
      <c r="BL5221" s="40"/>
      <c r="BM5221" s="40"/>
      <c r="BN5221" s="40"/>
      <c r="BO5221" s="40"/>
      <c r="BP5221" s="155"/>
      <c r="BQ5221" s="314"/>
      <c r="BR5221" s="314"/>
      <c r="BS5221" s="314"/>
      <c r="BT5221" s="314"/>
      <c r="BU5221" s="314"/>
      <c r="BV5221" s="314"/>
      <c r="BW5221" s="314"/>
      <c r="BX5221" s="155"/>
    </row>
    <row r="5222" spans="1:76" ht="15.75" customHeight="1">
      <c r="A5222" s="25"/>
      <c r="B5222" s="39"/>
      <c r="C5222" s="155"/>
      <c r="D5222" s="155"/>
      <c r="E5222" s="40"/>
      <c r="F5222" s="314"/>
      <c r="H5222" s="315"/>
      <c r="I5222" s="315"/>
      <c r="BA5222" s="30"/>
      <c r="BB5222" s="155"/>
      <c r="BC5222" s="314"/>
      <c r="BD5222" s="314"/>
      <c r="BE5222" s="314"/>
      <c r="BF5222" s="314"/>
      <c r="BG5222" s="314"/>
      <c r="BH5222" s="314"/>
      <c r="BI5222" s="314"/>
      <c r="BJ5222" s="314"/>
      <c r="BK5222" s="40"/>
      <c r="BL5222" s="40"/>
      <c r="BM5222" s="40"/>
      <c r="BN5222" s="40"/>
      <c r="BO5222" s="40"/>
      <c r="BP5222" s="155"/>
      <c r="BQ5222" s="314"/>
      <c r="BR5222" s="314"/>
      <c r="BS5222" s="314"/>
      <c r="BT5222" s="314"/>
      <c r="BU5222" s="314"/>
      <c r="BV5222" s="314"/>
      <c r="BW5222" s="314"/>
      <c r="BX5222" s="155"/>
    </row>
    <row r="5223" spans="1:76" ht="15.75" customHeight="1">
      <c r="A5223" s="25"/>
      <c r="B5223" s="39"/>
      <c r="C5223" s="155"/>
      <c r="D5223" s="155"/>
      <c r="E5223" s="40"/>
      <c r="F5223" s="314"/>
      <c r="H5223" s="315"/>
      <c r="I5223" s="315"/>
      <c r="BA5223" s="30"/>
      <c r="BB5223" s="155"/>
      <c r="BC5223" s="314"/>
      <c r="BD5223" s="314"/>
      <c r="BE5223" s="314"/>
      <c r="BF5223" s="314"/>
      <c r="BG5223" s="314"/>
      <c r="BH5223" s="314"/>
      <c r="BI5223" s="314"/>
      <c r="BJ5223" s="314"/>
      <c r="BK5223" s="40"/>
      <c r="BL5223" s="40"/>
      <c r="BM5223" s="40"/>
      <c r="BN5223" s="40"/>
      <c r="BO5223" s="40"/>
      <c r="BP5223" s="155"/>
      <c r="BQ5223" s="314"/>
      <c r="BR5223" s="314"/>
      <c r="BS5223" s="314"/>
      <c r="BT5223" s="314"/>
      <c r="BU5223" s="314"/>
      <c r="BV5223" s="314"/>
      <c r="BW5223" s="314"/>
      <c r="BX5223" s="155"/>
    </row>
    <row r="5224" spans="1:76" ht="15.75" customHeight="1">
      <c r="A5224" s="25"/>
      <c r="B5224" s="39"/>
      <c r="C5224" s="155"/>
      <c r="D5224" s="155"/>
      <c r="E5224" s="40"/>
      <c r="F5224" s="314"/>
      <c r="H5224" s="315"/>
      <c r="I5224" s="315"/>
      <c r="BA5224" s="30"/>
      <c r="BB5224" s="155"/>
      <c r="BC5224" s="314"/>
      <c r="BD5224" s="314"/>
      <c r="BE5224" s="314"/>
      <c r="BF5224" s="314"/>
      <c r="BG5224" s="314"/>
      <c r="BH5224" s="314"/>
      <c r="BI5224" s="314"/>
      <c r="BJ5224" s="314"/>
      <c r="BK5224" s="40"/>
      <c r="BL5224" s="40"/>
      <c r="BM5224" s="40"/>
      <c r="BN5224" s="40"/>
      <c r="BO5224" s="40"/>
      <c r="BP5224" s="155"/>
      <c r="BQ5224" s="314"/>
      <c r="BR5224" s="314"/>
      <c r="BS5224" s="314"/>
      <c r="BT5224" s="314"/>
      <c r="BU5224" s="314"/>
      <c r="BV5224" s="314"/>
      <c r="BW5224" s="314"/>
      <c r="BX5224" s="155"/>
    </row>
    <row r="5225" spans="1:76" ht="15.75" customHeight="1">
      <c r="A5225" s="25"/>
      <c r="B5225" s="39"/>
      <c r="C5225" s="155"/>
      <c r="D5225" s="155"/>
      <c r="E5225" s="40"/>
      <c r="F5225" s="314"/>
      <c r="H5225" s="315"/>
      <c r="I5225" s="315"/>
      <c r="BA5225" s="30"/>
      <c r="BB5225" s="155"/>
      <c r="BC5225" s="322"/>
      <c r="BD5225" s="322"/>
      <c r="BE5225" s="322"/>
      <c r="BF5225" s="322"/>
      <c r="BG5225" s="322"/>
      <c r="BH5225" s="322"/>
      <c r="BI5225" s="322"/>
      <c r="BJ5225" s="322"/>
      <c r="BK5225" s="341"/>
      <c r="BL5225" s="40"/>
      <c r="BM5225" s="40"/>
      <c r="BN5225" s="40"/>
      <c r="BO5225" s="40"/>
      <c r="BP5225" s="155"/>
      <c r="BQ5225" s="314"/>
      <c r="BR5225" s="314"/>
      <c r="BS5225" s="314"/>
      <c r="BT5225" s="314"/>
      <c r="BU5225" s="314"/>
      <c r="BV5225" s="314"/>
      <c r="BW5225" s="314"/>
      <c r="BX5225" s="155"/>
    </row>
    <row r="5226" spans="1:76" ht="15.75" customHeight="1">
      <c r="A5226" s="25"/>
      <c r="B5226" s="39"/>
      <c r="C5226" s="155"/>
      <c r="D5226" s="155"/>
      <c r="E5226" s="40"/>
      <c r="F5226" s="314"/>
      <c r="H5226" s="315"/>
      <c r="I5226" s="315"/>
      <c r="BA5226" s="30"/>
      <c r="BB5226" s="155"/>
      <c r="BC5226" s="314"/>
      <c r="BD5226" s="314"/>
      <c r="BE5226" s="314"/>
      <c r="BF5226" s="314"/>
      <c r="BG5226" s="314"/>
      <c r="BH5226" s="314"/>
      <c r="BI5226" s="314"/>
      <c r="BJ5226" s="314"/>
      <c r="BK5226" s="40"/>
      <c r="BL5226" s="40"/>
      <c r="BM5226" s="40"/>
      <c r="BN5226" s="40"/>
      <c r="BO5226" s="40"/>
      <c r="BP5226" s="155"/>
      <c r="BQ5226" s="314"/>
      <c r="BR5226" s="314"/>
      <c r="BS5226" s="314"/>
      <c r="BT5226" s="314"/>
      <c r="BU5226" s="314"/>
      <c r="BV5226" s="314"/>
      <c r="BW5226" s="314"/>
      <c r="BX5226" s="155"/>
    </row>
    <row r="5227" spans="1:76" ht="15.75" customHeight="1">
      <c r="A5227" s="25"/>
      <c r="B5227" s="39"/>
      <c r="C5227" s="155"/>
      <c r="D5227" s="155"/>
      <c r="E5227" s="40"/>
      <c r="F5227" s="314"/>
      <c r="H5227" s="315"/>
      <c r="I5227" s="315"/>
      <c r="BA5227" s="30"/>
      <c r="BB5227" s="155"/>
      <c r="BC5227" s="314"/>
      <c r="BD5227" s="314"/>
      <c r="BE5227" s="314"/>
      <c r="BF5227" s="314"/>
      <c r="BG5227" s="314"/>
      <c r="BH5227" s="314"/>
      <c r="BI5227" s="314"/>
      <c r="BJ5227" s="314"/>
      <c r="BK5227" s="40"/>
      <c r="BL5227" s="40"/>
      <c r="BM5227" s="40"/>
      <c r="BN5227" s="40"/>
      <c r="BO5227" s="40"/>
      <c r="BP5227" s="155"/>
      <c r="BQ5227" s="314"/>
      <c r="BR5227" s="314"/>
      <c r="BS5227" s="314"/>
      <c r="BT5227" s="314"/>
      <c r="BU5227" s="314"/>
      <c r="BV5227" s="314"/>
      <c r="BW5227" s="314"/>
      <c r="BX5227" s="155"/>
    </row>
    <row r="5228" spans="1:76" ht="15.75" customHeight="1">
      <c r="A5228" s="25"/>
      <c r="B5228" s="39"/>
      <c r="C5228" s="155"/>
      <c r="D5228" s="155"/>
      <c r="E5228" s="40"/>
      <c r="F5228" s="314"/>
      <c r="H5228" s="315"/>
      <c r="I5228" s="315"/>
      <c r="BA5228" s="30"/>
      <c r="BB5228" s="155"/>
      <c r="BC5228" s="314"/>
      <c r="BD5228" s="314"/>
      <c r="BE5228" s="314"/>
      <c r="BF5228" s="314"/>
      <c r="BG5228" s="314"/>
      <c r="BH5228" s="314"/>
      <c r="BI5228" s="314"/>
      <c r="BJ5228" s="314"/>
      <c r="BK5228" s="40"/>
      <c r="BL5228" s="40"/>
      <c r="BM5228" s="40"/>
      <c r="BN5228" s="40"/>
      <c r="BO5228" s="40"/>
      <c r="BP5228" s="155"/>
      <c r="BQ5228" s="314"/>
      <c r="BR5228" s="314"/>
      <c r="BS5228" s="314"/>
      <c r="BT5228" s="314"/>
      <c r="BU5228" s="314"/>
      <c r="BV5228" s="314"/>
      <c r="BW5228" s="314"/>
      <c r="BX5228" s="155"/>
    </row>
    <row r="5229" spans="1:76" ht="15.75" customHeight="1">
      <c r="A5229" s="25"/>
      <c r="B5229" s="39"/>
      <c r="C5229" s="155"/>
      <c r="D5229" s="155"/>
      <c r="E5229" s="40"/>
      <c r="F5229" s="314"/>
      <c r="H5229" s="315"/>
      <c r="I5229" s="315"/>
      <c r="BA5229" s="30"/>
      <c r="BB5229" s="155"/>
      <c r="BC5229" s="314"/>
      <c r="BD5229" s="314"/>
      <c r="BE5229" s="314"/>
      <c r="BF5229" s="314"/>
      <c r="BG5229" s="314"/>
      <c r="BH5229" s="314"/>
      <c r="BI5229" s="314"/>
      <c r="BJ5229" s="314"/>
      <c r="BK5229" s="40"/>
      <c r="BL5229" s="40"/>
      <c r="BM5229" s="40"/>
      <c r="BN5229" s="40"/>
      <c r="BO5229" s="40"/>
      <c r="BP5229" s="155"/>
      <c r="BQ5229" s="314"/>
      <c r="BR5229" s="314"/>
      <c r="BS5229" s="314"/>
      <c r="BT5229" s="314"/>
      <c r="BU5229" s="314"/>
      <c r="BV5229" s="314"/>
      <c r="BW5229" s="314"/>
      <c r="BX5229" s="155"/>
    </row>
    <row r="5230" spans="1:76" ht="15.75" customHeight="1">
      <c r="A5230" s="25"/>
      <c r="B5230" s="39"/>
      <c r="C5230" s="155"/>
      <c r="D5230" s="155"/>
      <c r="E5230" s="40"/>
      <c r="F5230" s="314"/>
      <c r="H5230" s="315"/>
      <c r="I5230" s="315"/>
      <c r="BA5230" s="30"/>
      <c r="BB5230" s="155"/>
      <c r="BC5230" s="314"/>
      <c r="BD5230" s="314"/>
      <c r="BE5230" s="314"/>
      <c r="BF5230" s="314"/>
      <c r="BG5230" s="314"/>
      <c r="BH5230" s="314"/>
      <c r="BI5230" s="314"/>
      <c r="BJ5230" s="314"/>
      <c r="BK5230" s="40"/>
      <c r="BL5230" s="40"/>
      <c r="BM5230" s="40"/>
      <c r="BN5230" s="40"/>
      <c r="BO5230" s="40"/>
      <c r="BP5230" s="155"/>
      <c r="BQ5230" s="314"/>
      <c r="BR5230" s="314"/>
      <c r="BS5230" s="314"/>
      <c r="BT5230" s="314"/>
      <c r="BU5230" s="314"/>
      <c r="BV5230" s="314"/>
      <c r="BW5230" s="314"/>
      <c r="BX5230" s="155"/>
    </row>
    <row r="5231" spans="1:76" ht="15.75" customHeight="1">
      <c r="A5231" s="25"/>
      <c r="B5231" s="39"/>
      <c r="C5231" s="155"/>
      <c r="D5231" s="155"/>
      <c r="E5231" s="40"/>
      <c r="F5231" s="314"/>
      <c r="H5231" s="315"/>
      <c r="I5231" s="315"/>
      <c r="BA5231" s="30"/>
      <c r="BB5231" s="155"/>
      <c r="BC5231" s="314"/>
      <c r="BD5231" s="314"/>
      <c r="BE5231" s="314"/>
      <c r="BF5231" s="314"/>
      <c r="BG5231" s="314"/>
      <c r="BH5231" s="314"/>
      <c r="BI5231" s="314"/>
      <c r="BJ5231" s="314"/>
      <c r="BK5231" s="40"/>
      <c r="BL5231" s="40"/>
      <c r="BM5231" s="40"/>
      <c r="BN5231" s="40"/>
      <c r="BO5231" s="40"/>
      <c r="BP5231" s="155"/>
      <c r="BQ5231" s="314"/>
      <c r="BR5231" s="314"/>
      <c r="BS5231" s="314"/>
      <c r="BT5231" s="314"/>
      <c r="BU5231" s="314"/>
      <c r="BV5231" s="314"/>
      <c r="BW5231" s="314"/>
      <c r="BX5231" s="155"/>
    </row>
    <row r="5232" spans="1:76" ht="15.75" customHeight="1">
      <c r="A5232" s="25"/>
      <c r="B5232" s="39"/>
      <c r="C5232" s="155"/>
      <c r="D5232" s="155"/>
      <c r="E5232" s="40"/>
      <c r="F5232" s="314"/>
      <c r="H5232" s="315"/>
      <c r="I5232" s="315"/>
      <c r="BA5232" s="30"/>
      <c r="BB5232" s="155"/>
      <c r="BC5232" s="314"/>
      <c r="BD5232" s="314"/>
      <c r="BE5232" s="314"/>
      <c r="BF5232" s="314"/>
      <c r="BG5232" s="314"/>
      <c r="BH5232" s="314"/>
      <c r="BI5232" s="314"/>
      <c r="BJ5232" s="314"/>
      <c r="BK5232" s="40"/>
      <c r="BL5232" s="40"/>
      <c r="BM5232" s="40"/>
      <c r="BN5232" s="40"/>
      <c r="BO5232" s="40"/>
      <c r="BP5232" s="155"/>
      <c r="BQ5232" s="314"/>
      <c r="BR5232" s="314"/>
      <c r="BS5232" s="314"/>
      <c r="BT5232" s="314"/>
      <c r="BU5232" s="314"/>
      <c r="BV5232" s="314"/>
      <c r="BW5232" s="314"/>
      <c r="BX5232" s="155"/>
    </row>
    <row r="5233" spans="1:76" ht="15.75" customHeight="1">
      <c r="A5233" s="25"/>
      <c r="B5233" s="39"/>
      <c r="C5233" s="155"/>
      <c r="D5233" s="155"/>
      <c r="E5233" s="40"/>
      <c r="F5233" s="314"/>
      <c r="H5233" s="315"/>
      <c r="I5233" s="315"/>
      <c r="BA5233" s="30"/>
      <c r="BB5233" s="155"/>
      <c r="BC5233" s="314"/>
      <c r="BD5233" s="314"/>
      <c r="BE5233" s="314"/>
      <c r="BF5233" s="314"/>
      <c r="BG5233" s="314"/>
      <c r="BH5233" s="314"/>
      <c r="BI5233" s="314"/>
      <c r="BJ5233" s="314"/>
      <c r="BK5233" s="40"/>
      <c r="BL5233" s="40"/>
      <c r="BM5233" s="40"/>
      <c r="BN5233" s="40"/>
      <c r="BO5233" s="40"/>
      <c r="BP5233" s="155"/>
      <c r="BQ5233" s="314"/>
      <c r="BR5233" s="314"/>
      <c r="BS5233" s="314"/>
      <c r="BT5233" s="314"/>
      <c r="BU5233" s="314"/>
      <c r="BV5233" s="314"/>
      <c r="BW5233" s="314"/>
      <c r="BX5233" s="155"/>
    </row>
    <row r="5234" spans="1:76" ht="15.75" customHeight="1">
      <c r="A5234" s="25"/>
      <c r="B5234" s="39"/>
      <c r="C5234" s="155"/>
      <c r="D5234" s="155"/>
      <c r="E5234" s="40"/>
      <c r="F5234" s="314"/>
      <c r="H5234" s="315"/>
      <c r="I5234" s="315"/>
      <c r="BA5234" s="30"/>
      <c r="BB5234" s="155"/>
      <c r="BC5234" s="314"/>
      <c r="BD5234" s="314"/>
      <c r="BE5234" s="314"/>
      <c r="BF5234" s="314"/>
      <c r="BG5234" s="314"/>
      <c r="BH5234" s="314"/>
      <c r="BI5234" s="314"/>
      <c r="BJ5234" s="314"/>
      <c r="BK5234" s="40"/>
      <c r="BL5234" s="40"/>
      <c r="BM5234" s="40"/>
      <c r="BN5234" s="40"/>
      <c r="BO5234" s="40"/>
      <c r="BP5234" s="155"/>
      <c r="BQ5234" s="314"/>
      <c r="BR5234" s="314"/>
      <c r="BS5234" s="314"/>
      <c r="BT5234" s="314"/>
      <c r="BU5234" s="314"/>
      <c r="BV5234" s="314"/>
      <c r="BW5234" s="314"/>
      <c r="BX5234" s="155"/>
    </row>
    <row r="5235" spans="1:76" ht="15.75" customHeight="1">
      <c r="A5235" s="25"/>
      <c r="B5235" s="39"/>
      <c r="C5235" s="155"/>
      <c r="D5235" s="155"/>
      <c r="E5235" s="40"/>
      <c r="F5235" s="314"/>
      <c r="H5235" s="315"/>
      <c r="I5235" s="315"/>
      <c r="BA5235" s="30"/>
      <c r="BB5235" s="155"/>
      <c r="BC5235" s="314"/>
      <c r="BD5235" s="314"/>
      <c r="BE5235" s="314"/>
      <c r="BF5235" s="314"/>
      <c r="BG5235" s="314"/>
      <c r="BH5235" s="314"/>
      <c r="BI5235" s="314"/>
      <c r="BJ5235" s="314"/>
      <c r="BK5235" s="40"/>
      <c r="BL5235" s="40"/>
      <c r="BM5235" s="40"/>
      <c r="BN5235" s="40"/>
      <c r="BO5235" s="40"/>
      <c r="BP5235" s="155"/>
      <c r="BQ5235" s="314"/>
      <c r="BR5235" s="314"/>
      <c r="BS5235" s="314"/>
      <c r="BT5235" s="314"/>
      <c r="BU5235" s="314"/>
      <c r="BV5235" s="314"/>
      <c r="BW5235" s="314"/>
      <c r="BX5235" s="155"/>
    </row>
    <row r="5236" spans="1:76" ht="15.75" customHeight="1">
      <c r="A5236" s="25"/>
      <c r="B5236" s="39"/>
      <c r="C5236" s="155"/>
      <c r="D5236" s="155"/>
      <c r="E5236" s="40"/>
      <c r="F5236" s="314"/>
      <c r="H5236" s="315"/>
      <c r="I5236" s="315"/>
      <c r="BA5236" s="30"/>
      <c r="BB5236" s="155"/>
      <c r="BC5236" s="314"/>
      <c r="BD5236" s="314"/>
      <c r="BE5236" s="314"/>
      <c r="BF5236" s="314"/>
      <c r="BG5236" s="314"/>
      <c r="BH5236" s="314"/>
      <c r="BI5236" s="314"/>
      <c r="BJ5236" s="314"/>
      <c r="BK5236" s="40"/>
      <c r="BL5236" s="40"/>
      <c r="BM5236" s="40"/>
      <c r="BN5236" s="40"/>
      <c r="BO5236" s="40"/>
      <c r="BP5236" s="155"/>
      <c r="BQ5236" s="314"/>
      <c r="BR5236" s="314"/>
      <c r="BS5236" s="314"/>
      <c r="BT5236" s="314"/>
      <c r="BU5236" s="314"/>
      <c r="BV5236" s="314"/>
      <c r="BW5236" s="314"/>
      <c r="BX5236" s="155"/>
    </row>
    <row r="5237" spans="1:76" ht="15.75" customHeight="1">
      <c r="A5237" s="25"/>
      <c r="B5237" s="39"/>
      <c r="C5237" s="155"/>
      <c r="D5237" s="155"/>
      <c r="E5237" s="40"/>
      <c r="F5237" s="314"/>
      <c r="H5237" s="315"/>
      <c r="I5237" s="315"/>
      <c r="BA5237" s="30"/>
      <c r="BB5237" s="155"/>
      <c r="BC5237" s="314"/>
      <c r="BD5237" s="314"/>
      <c r="BE5237" s="314"/>
      <c r="BF5237" s="314"/>
      <c r="BG5237" s="314"/>
      <c r="BH5237" s="314"/>
      <c r="BI5237" s="314"/>
      <c r="BJ5237" s="314"/>
      <c r="BK5237" s="40"/>
      <c r="BL5237" s="40"/>
      <c r="BM5237" s="40"/>
      <c r="BN5237" s="40"/>
      <c r="BO5237" s="40"/>
      <c r="BP5237" s="155"/>
      <c r="BQ5237" s="314"/>
      <c r="BR5237" s="314"/>
      <c r="BS5237" s="314"/>
      <c r="BT5237" s="314"/>
      <c r="BU5237" s="314"/>
      <c r="BV5237" s="314"/>
      <c r="BW5237" s="314"/>
      <c r="BX5237" s="155"/>
    </row>
    <row r="5238" spans="1:76" ht="15.75" customHeight="1">
      <c r="A5238" s="25"/>
      <c r="B5238" s="39"/>
      <c r="C5238" s="155"/>
      <c r="D5238" s="155"/>
      <c r="E5238" s="40"/>
      <c r="F5238" s="314"/>
      <c r="H5238" s="315"/>
      <c r="I5238" s="315"/>
      <c r="BA5238" s="30"/>
      <c r="BB5238" s="155"/>
      <c r="BC5238" s="314"/>
      <c r="BD5238" s="314"/>
      <c r="BE5238" s="314"/>
      <c r="BF5238" s="314"/>
      <c r="BG5238" s="314"/>
      <c r="BH5238" s="314"/>
      <c r="BI5238" s="314"/>
      <c r="BJ5238" s="314"/>
      <c r="BK5238" s="40"/>
      <c r="BL5238" s="40"/>
      <c r="BM5238" s="40"/>
      <c r="BN5238" s="40"/>
      <c r="BO5238" s="40"/>
      <c r="BP5238" s="155"/>
      <c r="BQ5238" s="314"/>
      <c r="BR5238" s="314"/>
      <c r="BS5238" s="314"/>
      <c r="BT5238" s="314"/>
      <c r="BU5238" s="314"/>
      <c r="BV5238" s="314"/>
      <c r="BW5238" s="314"/>
      <c r="BX5238" s="155"/>
    </row>
    <row r="5239" spans="1:76" ht="15.75" customHeight="1">
      <c r="A5239" s="25"/>
      <c r="B5239" s="39"/>
      <c r="C5239" s="155"/>
      <c r="D5239" s="155"/>
      <c r="E5239" s="40"/>
      <c r="F5239" s="314"/>
      <c r="H5239" s="315"/>
      <c r="I5239" s="315"/>
      <c r="BA5239" s="30"/>
      <c r="BB5239" s="155"/>
      <c r="BC5239" s="314"/>
      <c r="BD5239" s="314"/>
      <c r="BE5239" s="314"/>
      <c r="BF5239" s="314"/>
      <c r="BG5239" s="314"/>
      <c r="BH5239" s="314"/>
      <c r="BI5239" s="314"/>
      <c r="BJ5239" s="314"/>
      <c r="BK5239" s="40"/>
      <c r="BL5239" s="40"/>
      <c r="BM5239" s="40"/>
      <c r="BN5239" s="40"/>
      <c r="BO5239" s="40"/>
      <c r="BP5239" s="155"/>
      <c r="BQ5239" s="314"/>
      <c r="BR5239" s="314"/>
      <c r="BS5239" s="314"/>
      <c r="BT5239" s="314"/>
      <c r="BU5239" s="314"/>
      <c r="BV5239" s="314"/>
      <c r="BW5239" s="314"/>
      <c r="BX5239" s="155"/>
    </row>
    <row r="5240" spans="1:76" ht="15.75" customHeight="1">
      <c r="A5240" s="25"/>
      <c r="B5240" s="39"/>
      <c r="C5240" s="155"/>
      <c r="D5240" s="155"/>
      <c r="E5240" s="40"/>
      <c r="F5240" s="314"/>
      <c r="H5240" s="315"/>
      <c r="I5240" s="315"/>
      <c r="BA5240" s="30"/>
      <c r="BB5240" s="155"/>
      <c r="BC5240" s="314"/>
      <c r="BD5240" s="314"/>
      <c r="BE5240" s="314"/>
      <c r="BF5240" s="314"/>
      <c r="BG5240" s="314"/>
      <c r="BH5240" s="314"/>
      <c r="BI5240" s="314"/>
      <c r="BJ5240" s="314"/>
      <c r="BK5240" s="40"/>
      <c r="BL5240" s="40"/>
      <c r="BM5240" s="40"/>
      <c r="BN5240" s="40"/>
      <c r="BO5240" s="40"/>
      <c r="BP5240" s="155"/>
      <c r="BQ5240" s="314"/>
      <c r="BR5240" s="314"/>
      <c r="BS5240" s="314"/>
      <c r="BT5240" s="314"/>
      <c r="BU5240" s="314"/>
      <c r="BV5240" s="314"/>
      <c r="BW5240" s="314"/>
      <c r="BX5240" s="155"/>
    </row>
    <row r="5241" spans="1:76" ht="15.75" customHeight="1">
      <c r="A5241" s="25"/>
      <c r="B5241" s="39"/>
      <c r="C5241" s="155"/>
      <c r="D5241" s="155"/>
      <c r="E5241" s="40"/>
      <c r="F5241" s="314"/>
      <c r="H5241" s="315"/>
      <c r="I5241" s="315"/>
      <c r="BA5241" s="30"/>
      <c r="BB5241" s="155"/>
      <c r="BC5241" s="314"/>
      <c r="BD5241" s="314"/>
      <c r="BE5241" s="314"/>
      <c r="BF5241" s="314"/>
      <c r="BG5241" s="314"/>
      <c r="BH5241" s="314"/>
      <c r="BI5241" s="314"/>
      <c r="BJ5241" s="314"/>
      <c r="BK5241" s="40"/>
      <c r="BL5241" s="40"/>
      <c r="BM5241" s="40"/>
      <c r="BN5241" s="40"/>
      <c r="BO5241" s="40"/>
      <c r="BP5241" s="155"/>
      <c r="BQ5241" s="314"/>
      <c r="BR5241" s="314"/>
      <c r="BS5241" s="314"/>
      <c r="BT5241" s="314"/>
      <c r="BU5241" s="314"/>
      <c r="BV5241" s="314"/>
      <c r="BW5241" s="314"/>
      <c r="BX5241" s="155"/>
    </row>
    <row r="5242" spans="1:76" ht="15.75" customHeight="1">
      <c r="A5242" s="25"/>
      <c r="B5242" s="39"/>
      <c r="C5242" s="155"/>
      <c r="D5242" s="155"/>
      <c r="E5242" s="40"/>
      <c r="F5242" s="314"/>
      <c r="H5242" s="315"/>
      <c r="I5242" s="315"/>
      <c r="BA5242" s="30"/>
      <c r="BB5242" s="155"/>
      <c r="BC5242" s="314"/>
      <c r="BD5242" s="314"/>
      <c r="BE5242" s="314"/>
      <c r="BF5242" s="314"/>
      <c r="BG5242" s="314"/>
      <c r="BH5242" s="314"/>
      <c r="BI5242" s="314"/>
      <c r="BJ5242" s="314"/>
      <c r="BK5242" s="40"/>
      <c r="BL5242" s="40"/>
      <c r="BM5242" s="40"/>
      <c r="BN5242" s="40"/>
      <c r="BO5242" s="40"/>
      <c r="BP5242" s="155"/>
      <c r="BQ5242" s="314"/>
      <c r="BR5242" s="314"/>
      <c r="BS5242" s="314"/>
      <c r="BT5242" s="314"/>
      <c r="BU5242" s="314"/>
      <c r="BV5242" s="314"/>
      <c r="BW5242" s="314"/>
      <c r="BX5242" s="155"/>
    </row>
    <row r="5243" spans="1:76" ht="15.75" customHeight="1">
      <c r="A5243" s="25"/>
      <c r="B5243" s="39"/>
      <c r="C5243" s="155"/>
      <c r="D5243" s="155"/>
      <c r="E5243" s="40"/>
      <c r="F5243" s="314"/>
      <c r="H5243" s="315"/>
      <c r="I5243" s="315"/>
      <c r="BA5243" s="30"/>
      <c r="BB5243" s="155"/>
      <c r="BC5243" s="322"/>
      <c r="BD5243" s="322"/>
      <c r="BE5243" s="322"/>
      <c r="BF5243" s="322"/>
      <c r="BG5243" s="322"/>
      <c r="BH5243" s="322"/>
      <c r="BI5243" s="322"/>
      <c r="BJ5243" s="322"/>
      <c r="BK5243" s="341"/>
      <c r="BL5243" s="40"/>
      <c r="BM5243" s="40"/>
      <c r="BN5243" s="40"/>
      <c r="BO5243" s="40"/>
      <c r="BP5243" s="155"/>
      <c r="BQ5243" s="314"/>
      <c r="BR5243" s="314"/>
      <c r="BS5243" s="314"/>
      <c r="BT5243" s="314"/>
      <c r="BU5243" s="314"/>
      <c r="BV5243" s="314"/>
      <c r="BW5243" s="314"/>
      <c r="BX5243" s="155"/>
    </row>
    <row r="5244" spans="1:76" ht="15.75" customHeight="1">
      <c r="A5244" s="25"/>
      <c r="B5244" s="39"/>
      <c r="C5244" s="155"/>
      <c r="D5244" s="155"/>
      <c r="E5244" s="40"/>
      <c r="F5244" s="314"/>
      <c r="H5244" s="315"/>
      <c r="I5244" s="315"/>
      <c r="BA5244" s="30"/>
      <c r="BB5244" s="155"/>
      <c r="BC5244" s="314"/>
      <c r="BD5244" s="314"/>
      <c r="BE5244" s="314"/>
      <c r="BF5244" s="314"/>
      <c r="BG5244" s="314"/>
      <c r="BH5244" s="314"/>
      <c r="BI5244" s="314"/>
      <c r="BJ5244" s="314"/>
      <c r="BK5244" s="40"/>
      <c r="BL5244" s="40"/>
      <c r="BM5244" s="40"/>
      <c r="BN5244" s="40"/>
      <c r="BO5244" s="40"/>
      <c r="BP5244" s="155"/>
      <c r="BQ5244" s="314"/>
      <c r="BR5244" s="314"/>
      <c r="BS5244" s="314"/>
      <c r="BT5244" s="314"/>
      <c r="BU5244" s="314"/>
      <c r="BV5244" s="314"/>
      <c r="BW5244" s="314"/>
      <c r="BX5244" s="155"/>
    </row>
    <row r="5245" spans="1:76" ht="15.75" customHeight="1">
      <c r="A5245" s="25"/>
      <c r="B5245" s="39"/>
      <c r="C5245" s="155"/>
      <c r="D5245" s="155"/>
      <c r="E5245" s="40"/>
      <c r="F5245" s="314"/>
      <c r="H5245" s="315"/>
      <c r="I5245" s="315"/>
      <c r="BA5245" s="30"/>
      <c r="BB5245" s="155"/>
      <c r="BC5245" s="314"/>
      <c r="BD5245" s="314"/>
      <c r="BE5245" s="314"/>
      <c r="BF5245" s="314"/>
      <c r="BG5245" s="314"/>
      <c r="BH5245" s="314"/>
      <c r="BI5245" s="314"/>
      <c r="BJ5245" s="314"/>
      <c r="BK5245" s="40"/>
      <c r="BL5245" s="40"/>
      <c r="BM5245" s="40"/>
      <c r="BN5245" s="40"/>
      <c r="BO5245" s="40"/>
      <c r="BP5245" s="155"/>
      <c r="BQ5245" s="314"/>
      <c r="BR5245" s="314"/>
      <c r="BS5245" s="314"/>
      <c r="BT5245" s="314"/>
      <c r="BU5245" s="314"/>
      <c r="BV5245" s="314"/>
      <c r="BW5245" s="314"/>
      <c r="BX5245" s="155"/>
    </row>
    <row r="5246" spans="1:76" ht="15.75" customHeight="1">
      <c r="A5246" s="25"/>
      <c r="B5246" s="39"/>
      <c r="C5246" s="155"/>
      <c r="D5246" s="155"/>
      <c r="E5246" s="40"/>
      <c r="F5246" s="314"/>
      <c r="H5246" s="315"/>
      <c r="I5246" s="315"/>
      <c r="BA5246" s="30"/>
      <c r="BB5246" s="155"/>
      <c r="BC5246" s="314"/>
      <c r="BD5246" s="314"/>
      <c r="BE5246" s="314"/>
      <c r="BF5246" s="314"/>
      <c r="BG5246" s="314"/>
      <c r="BH5246" s="314"/>
      <c r="BI5246" s="314"/>
      <c r="BJ5246" s="314"/>
      <c r="BK5246" s="40"/>
      <c r="BL5246" s="40"/>
      <c r="BM5246" s="40"/>
      <c r="BN5246" s="40"/>
      <c r="BO5246" s="40"/>
      <c r="BP5246" s="155"/>
      <c r="BQ5246" s="314"/>
      <c r="BR5246" s="314"/>
      <c r="BS5246" s="314"/>
      <c r="BT5246" s="314"/>
      <c r="BU5246" s="314"/>
      <c r="BV5246" s="314"/>
      <c r="BW5246" s="314"/>
      <c r="BX5246" s="155"/>
    </row>
    <row r="5247" spans="1:76" ht="15.75" customHeight="1">
      <c r="A5247" s="25"/>
      <c r="B5247" s="39"/>
      <c r="C5247" s="155"/>
      <c r="D5247" s="155"/>
      <c r="E5247" s="40"/>
      <c r="F5247" s="314"/>
      <c r="H5247" s="315"/>
      <c r="I5247" s="315"/>
      <c r="BA5247" s="30"/>
      <c r="BB5247" s="155"/>
      <c r="BC5247" s="314"/>
      <c r="BD5247" s="314"/>
      <c r="BE5247" s="314"/>
      <c r="BF5247" s="314"/>
      <c r="BG5247" s="314"/>
      <c r="BH5247" s="314"/>
      <c r="BI5247" s="314"/>
      <c r="BJ5247" s="314"/>
      <c r="BK5247" s="40"/>
      <c r="BL5247" s="40"/>
      <c r="BM5247" s="40"/>
      <c r="BN5247" s="40"/>
      <c r="BO5247" s="40"/>
      <c r="BP5247" s="155"/>
      <c r="BQ5247" s="314"/>
      <c r="BR5247" s="314"/>
      <c r="BS5247" s="314"/>
      <c r="BT5247" s="314"/>
      <c r="BU5247" s="314"/>
      <c r="BV5247" s="314"/>
      <c r="BW5247" s="314"/>
      <c r="BX5247" s="155"/>
    </row>
    <row r="5248" spans="1:76" ht="15.75" customHeight="1">
      <c r="A5248" s="25"/>
      <c r="B5248" s="39"/>
      <c r="C5248" s="155"/>
      <c r="D5248" s="155"/>
      <c r="E5248" s="40"/>
      <c r="F5248" s="314"/>
      <c r="H5248" s="315"/>
      <c r="I5248" s="315"/>
      <c r="BA5248" s="30"/>
      <c r="BB5248" s="155"/>
      <c r="BC5248" s="314"/>
      <c r="BD5248" s="314"/>
      <c r="BE5248" s="314"/>
      <c r="BF5248" s="314"/>
      <c r="BG5248" s="314"/>
      <c r="BH5248" s="314"/>
      <c r="BI5248" s="314"/>
      <c r="BJ5248" s="314"/>
      <c r="BK5248" s="40"/>
      <c r="BL5248" s="40"/>
      <c r="BM5248" s="40"/>
      <c r="BN5248" s="40"/>
      <c r="BO5248" s="40"/>
      <c r="BP5248" s="155"/>
      <c r="BQ5248" s="314"/>
      <c r="BR5248" s="314"/>
      <c r="BS5248" s="314"/>
      <c r="BT5248" s="314"/>
      <c r="BU5248" s="314"/>
      <c r="BV5248" s="314"/>
      <c r="BW5248" s="314"/>
      <c r="BX5248" s="155"/>
    </row>
    <row r="5249" spans="1:76" ht="15.75" customHeight="1">
      <c r="A5249" s="25"/>
      <c r="B5249" s="39"/>
      <c r="C5249" s="155"/>
      <c r="D5249" s="155"/>
      <c r="E5249" s="40"/>
      <c r="F5249" s="314"/>
      <c r="H5249" s="315"/>
      <c r="I5249" s="315"/>
      <c r="BA5249" s="30"/>
      <c r="BB5249" s="155"/>
      <c r="BC5249" s="314"/>
      <c r="BD5249" s="314"/>
      <c r="BE5249" s="314"/>
      <c r="BF5249" s="314"/>
      <c r="BG5249" s="314"/>
      <c r="BH5249" s="314"/>
      <c r="BI5249" s="314"/>
      <c r="BJ5249" s="314"/>
      <c r="BK5249" s="40"/>
      <c r="BL5249" s="40"/>
      <c r="BM5249" s="40"/>
      <c r="BN5249" s="40"/>
      <c r="BO5249" s="40"/>
      <c r="BP5249" s="155"/>
      <c r="BQ5249" s="314"/>
      <c r="BR5249" s="314"/>
      <c r="BS5249" s="314"/>
      <c r="BT5249" s="314"/>
      <c r="BU5249" s="314"/>
      <c r="BV5249" s="314"/>
      <c r="BW5249" s="314"/>
      <c r="BX5249" s="155"/>
    </row>
    <row r="5250" spans="1:76" ht="15.75" customHeight="1">
      <c r="A5250" s="25"/>
      <c r="B5250" s="39"/>
      <c r="C5250" s="155"/>
      <c r="D5250" s="155"/>
      <c r="E5250" s="40"/>
      <c r="F5250" s="314"/>
      <c r="H5250" s="315"/>
      <c r="I5250" s="315"/>
      <c r="BA5250" s="30"/>
      <c r="BB5250" s="155"/>
      <c r="BC5250" s="314"/>
      <c r="BD5250" s="314"/>
      <c r="BE5250" s="314"/>
      <c r="BF5250" s="314"/>
      <c r="BG5250" s="314"/>
      <c r="BH5250" s="314"/>
      <c r="BI5250" s="314"/>
      <c r="BJ5250" s="314"/>
      <c r="BK5250" s="40"/>
      <c r="BL5250" s="40"/>
      <c r="BM5250" s="40"/>
      <c r="BN5250" s="40"/>
      <c r="BO5250" s="40"/>
      <c r="BP5250" s="155"/>
      <c r="BQ5250" s="314"/>
      <c r="BR5250" s="314"/>
      <c r="BS5250" s="314"/>
      <c r="BT5250" s="314"/>
      <c r="BU5250" s="314"/>
      <c r="BV5250" s="314"/>
      <c r="BW5250" s="314"/>
      <c r="BX5250" s="155"/>
    </row>
    <row r="5251" spans="1:76" ht="15.75" customHeight="1">
      <c r="A5251" s="25"/>
      <c r="B5251" s="39"/>
      <c r="C5251" s="155"/>
      <c r="D5251" s="155"/>
      <c r="E5251" s="40"/>
      <c r="F5251" s="314"/>
      <c r="H5251" s="315"/>
      <c r="I5251" s="315"/>
      <c r="BA5251" s="30"/>
      <c r="BB5251" s="155"/>
      <c r="BC5251" s="314"/>
      <c r="BD5251" s="314"/>
      <c r="BE5251" s="314"/>
      <c r="BF5251" s="314"/>
      <c r="BG5251" s="314"/>
      <c r="BH5251" s="314"/>
      <c r="BI5251" s="314"/>
      <c r="BJ5251" s="314"/>
      <c r="BK5251" s="40"/>
      <c r="BL5251" s="40"/>
      <c r="BM5251" s="40"/>
      <c r="BN5251" s="40"/>
      <c r="BO5251" s="40"/>
      <c r="BP5251" s="155"/>
      <c r="BQ5251" s="314"/>
      <c r="BR5251" s="314"/>
      <c r="BS5251" s="314"/>
      <c r="BT5251" s="314"/>
      <c r="BU5251" s="314"/>
      <c r="BV5251" s="314"/>
      <c r="BW5251" s="314"/>
      <c r="BX5251" s="155"/>
    </row>
    <row r="5252" spans="1:76" ht="15.75" customHeight="1">
      <c r="A5252" s="25"/>
      <c r="B5252" s="39"/>
      <c r="C5252" s="155"/>
      <c r="D5252" s="155"/>
      <c r="E5252" s="40"/>
      <c r="F5252" s="314"/>
      <c r="H5252" s="315"/>
      <c r="I5252" s="315"/>
      <c r="BA5252" s="30"/>
      <c r="BB5252" s="155"/>
      <c r="BC5252" s="314"/>
      <c r="BD5252" s="314"/>
      <c r="BE5252" s="314"/>
      <c r="BF5252" s="314"/>
      <c r="BG5252" s="314"/>
      <c r="BH5252" s="314"/>
      <c r="BI5252" s="314"/>
      <c r="BJ5252" s="314"/>
      <c r="BK5252" s="40"/>
      <c r="BL5252" s="40"/>
      <c r="BM5252" s="40"/>
      <c r="BN5252" s="40"/>
      <c r="BO5252" s="40"/>
      <c r="BP5252" s="155"/>
      <c r="BQ5252" s="314"/>
      <c r="BR5252" s="314"/>
      <c r="BS5252" s="314"/>
      <c r="BT5252" s="314"/>
      <c r="BU5252" s="314"/>
      <c r="BV5252" s="314"/>
      <c r="BW5252" s="314"/>
      <c r="BX5252" s="155"/>
    </row>
    <row r="5253" spans="1:76" ht="15.75" customHeight="1">
      <c r="A5253" s="25"/>
      <c r="B5253" s="39"/>
      <c r="C5253" s="155"/>
      <c r="D5253" s="155"/>
      <c r="E5253" s="40"/>
      <c r="F5253" s="314"/>
      <c r="H5253" s="315"/>
      <c r="I5253" s="315"/>
      <c r="BA5253" s="30"/>
      <c r="BB5253" s="155"/>
      <c r="BC5253" s="314"/>
      <c r="BD5253" s="314"/>
      <c r="BE5253" s="314"/>
      <c r="BF5253" s="314"/>
      <c r="BG5253" s="314"/>
      <c r="BH5253" s="314"/>
      <c r="BI5253" s="314"/>
      <c r="BJ5253" s="314"/>
      <c r="BK5253" s="40"/>
      <c r="BL5253" s="40"/>
      <c r="BM5253" s="40"/>
      <c r="BN5253" s="40"/>
      <c r="BO5253" s="40"/>
      <c r="BP5253" s="155"/>
      <c r="BQ5253" s="314"/>
      <c r="BR5253" s="314"/>
      <c r="BS5253" s="314"/>
      <c r="BT5253" s="314"/>
      <c r="BU5253" s="314"/>
      <c r="BV5253" s="314"/>
      <c r="BW5253" s="314"/>
      <c r="BX5253" s="155"/>
    </row>
    <row r="5254" spans="1:76" ht="15.75" customHeight="1">
      <c r="A5254" s="25"/>
      <c r="B5254" s="39"/>
      <c r="C5254" s="155"/>
      <c r="D5254" s="155"/>
      <c r="E5254" s="40"/>
      <c r="F5254" s="314"/>
      <c r="H5254" s="315"/>
      <c r="I5254" s="315"/>
      <c r="BA5254" s="30"/>
      <c r="BB5254" s="155"/>
      <c r="BC5254" s="314"/>
      <c r="BD5254" s="314"/>
      <c r="BE5254" s="314"/>
      <c r="BF5254" s="314"/>
      <c r="BG5254" s="314"/>
      <c r="BH5254" s="314"/>
      <c r="BI5254" s="314"/>
      <c r="BJ5254" s="314"/>
      <c r="BK5254" s="40"/>
      <c r="BL5254" s="40"/>
      <c r="BM5254" s="40"/>
      <c r="BN5254" s="40"/>
      <c r="BO5254" s="40"/>
      <c r="BP5254" s="155"/>
      <c r="BQ5254" s="314"/>
      <c r="BR5254" s="314"/>
      <c r="BS5254" s="314"/>
      <c r="BT5254" s="314"/>
      <c r="BU5254" s="314"/>
      <c r="BV5254" s="314"/>
      <c r="BW5254" s="314"/>
      <c r="BX5254" s="155"/>
    </row>
    <row r="5255" spans="1:76" ht="15.75" customHeight="1">
      <c r="A5255" s="25"/>
      <c r="B5255" s="39"/>
      <c r="C5255" s="155"/>
      <c r="D5255" s="155"/>
      <c r="E5255" s="40"/>
      <c r="F5255" s="314"/>
      <c r="H5255" s="315"/>
      <c r="I5255" s="315"/>
      <c r="BA5255" s="30"/>
      <c r="BB5255" s="155"/>
      <c r="BC5255" s="314"/>
      <c r="BD5255" s="314"/>
      <c r="BE5255" s="314"/>
      <c r="BF5255" s="314"/>
      <c r="BG5255" s="314"/>
      <c r="BH5255" s="314"/>
      <c r="BI5255" s="314"/>
      <c r="BJ5255" s="314"/>
      <c r="BK5255" s="40"/>
      <c r="BL5255" s="40"/>
      <c r="BM5255" s="40"/>
      <c r="BN5255" s="40"/>
      <c r="BO5255" s="40"/>
      <c r="BP5255" s="155"/>
      <c r="BQ5255" s="314"/>
      <c r="BR5255" s="314"/>
      <c r="BS5255" s="314"/>
      <c r="BT5255" s="314"/>
      <c r="BU5255" s="314"/>
      <c r="BV5255" s="314"/>
      <c r="BW5255" s="314"/>
      <c r="BX5255" s="155"/>
    </row>
    <row r="5256" spans="1:76" ht="15.75" customHeight="1">
      <c r="A5256" s="25"/>
      <c r="B5256" s="39"/>
      <c r="C5256" s="155"/>
      <c r="D5256" s="155"/>
      <c r="E5256" s="40"/>
      <c r="F5256" s="314"/>
      <c r="H5256" s="315"/>
      <c r="I5256" s="315"/>
      <c r="BA5256" s="30"/>
      <c r="BB5256" s="155"/>
      <c r="BC5256" s="314"/>
      <c r="BD5256" s="314"/>
      <c r="BE5256" s="314"/>
      <c r="BF5256" s="314"/>
      <c r="BG5256" s="314"/>
      <c r="BH5256" s="314"/>
      <c r="BI5256" s="314"/>
      <c r="BJ5256" s="314"/>
      <c r="BK5256" s="40"/>
      <c r="BL5256" s="40"/>
      <c r="BM5256" s="40"/>
      <c r="BN5256" s="40"/>
      <c r="BO5256" s="40"/>
      <c r="BP5256" s="155"/>
      <c r="BQ5256" s="314"/>
      <c r="BR5256" s="314"/>
      <c r="BS5256" s="314"/>
      <c r="BT5256" s="314"/>
      <c r="BU5256" s="314"/>
      <c r="BV5256" s="314"/>
      <c r="BW5256" s="314"/>
      <c r="BX5256" s="155"/>
    </row>
    <row r="5257" spans="1:76" ht="15.75" customHeight="1">
      <c r="A5257" s="25"/>
      <c r="B5257" s="39"/>
      <c r="C5257" s="155"/>
      <c r="D5257" s="155"/>
      <c r="E5257" s="40"/>
      <c r="F5257" s="314"/>
      <c r="H5257" s="315"/>
      <c r="I5257" s="315"/>
      <c r="BA5257" s="30"/>
      <c r="BB5257" s="155"/>
      <c r="BC5257" s="314"/>
      <c r="BD5257" s="314"/>
      <c r="BE5257" s="314"/>
      <c r="BF5257" s="314"/>
      <c r="BG5257" s="314"/>
      <c r="BH5257" s="314"/>
      <c r="BI5257" s="314"/>
      <c r="BJ5257" s="314"/>
      <c r="BK5257" s="40"/>
      <c r="BL5257" s="40"/>
      <c r="BM5257" s="40"/>
      <c r="BN5257" s="40"/>
      <c r="BO5257" s="40"/>
      <c r="BP5257" s="155"/>
      <c r="BQ5257" s="314"/>
      <c r="BR5257" s="314"/>
      <c r="BS5257" s="314"/>
      <c r="BT5257" s="314"/>
      <c r="BU5257" s="314"/>
      <c r="BV5257" s="314"/>
      <c r="BW5257" s="314"/>
      <c r="BX5257" s="155"/>
    </row>
    <row r="5258" spans="1:76" ht="15.75" customHeight="1">
      <c r="A5258" s="25"/>
      <c r="B5258" s="39"/>
      <c r="C5258" s="155"/>
      <c r="D5258" s="155"/>
      <c r="E5258" s="40"/>
      <c r="F5258" s="314"/>
      <c r="H5258" s="315"/>
      <c r="I5258" s="315"/>
      <c r="BA5258" s="30"/>
      <c r="BB5258" s="155"/>
      <c r="BC5258" s="314"/>
      <c r="BD5258" s="314"/>
      <c r="BE5258" s="314"/>
      <c r="BF5258" s="314"/>
      <c r="BG5258" s="314"/>
      <c r="BH5258" s="314"/>
      <c r="BI5258" s="314"/>
      <c r="BJ5258" s="314"/>
      <c r="BK5258" s="40"/>
      <c r="BL5258" s="40"/>
      <c r="BM5258" s="40"/>
      <c r="BN5258" s="40"/>
      <c r="BO5258" s="40"/>
      <c r="BP5258" s="155"/>
      <c r="BQ5258" s="314"/>
      <c r="BR5258" s="314"/>
      <c r="BS5258" s="314"/>
      <c r="BT5258" s="314"/>
      <c r="BU5258" s="314"/>
      <c r="BV5258" s="314"/>
      <c r="BW5258" s="314"/>
      <c r="BX5258" s="155"/>
    </row>
    <row r="5259" spans="1:76" ht="15.75" customHeight="1">
      <c r="A5259" s="25"/>
      <c r="B5259" s="39"/>
      <c r="C5259" s="155"/>
      <c r="D5259" s="155"/>
      <c r="E5259" s="40"/>
      <c r="F5259" s="314"/>
      <c r="H5259" s="315"/>
      <c r="I5259" s="315"/>
      <c r="BA5259" s="30"/>
      <c r="BB5259" s="155"/>
      <c r="BC5259" s="314"/>
      <c r="BD5259" s="314"/>
      <c r="BE5259" s="314"/>
      <c r="BF5259" s="314"/>
      <c r="BG5259" s="314"/>
      <c r="BH5259" s="314"/>
      <c r="BI5259" s="314"/>
      <c r="BJ5259" s="314"/>
      <c r="BK5259" s="40"/>
      <c r="BL5259" s="40"/>
      <c r="BM5259" s="40"/>
      <c r="BN5259" s="40"/>
      <c r="BO5259" s="40"/>
      <c r="BP5259" s="155"/>
      <c r="BQ5259" s="314"/>
      <c r="BR5259" s="314"/>
      <c r="BS5259" s="314"/>
      <c r="BT5259" s="314"/>
      <c r="BU5259" s="314"/>
      <c r="BV5259" s="314"/>
      <c r="BW5259" s="314"/>
      <c r="BX5259" s="155"/>
    </row>
    <row r="5260" spans="1:76" ht="15.75" customHeight="1">
      <c r="A5260" s="25"/>
      <c r="B5260" s="39"/>
      <c r="C5260" s="155"/>
      <c r="D5260" s="155"/>
      <c r="E5260" s="40"/>
      <c r="F5260" s="314"/>
      <c r="H5260" s="315"/>
      <c r="I5260" s="315"/>
      <c r="BA5260" s="30"/>
      <c r="BB5260" s="155"/>
      <c r="BC5260" s="314"/>
      <c r="BD5260" s="314"/>
      <c r="BE5260" s="314"/>
      <c r="BF5260" s="314"/>
      <c r="BG5260" s="314"/>
      <c r="BH5260" s="314"/>
      <c r="BI5260" s="314"/>
      <c r="BJ5260" s="314"/>
      <c r="BK5260" s="40"/>
      <c r="BL5260" s="40"/>
      <c r="BM5260" s="40"/>
      <c r="BN5260" s="40"/>
      <c r="BO5260" s="40"/>
      <c r="BP5260" s="155"/>
      <c r="BQ5260" s="314"/>
      <c r="BR5260" s="314"/>
      <c r="BS5260" s="314"/>
      <c r="BT5260" s="314"/>
      <c r="BU5260" s="314"/>
      <c r="BV5260" s="314"/>
      <c r="BW5260" s="314"/>
      <c r="BX5260" s="155"/>
    </row>
    <row r="5261" spans="1:76" ht="15.75" customHeight="1">
      <c r="A5261" s="25"/>
      <c r="B5261" s="39"/>
      <c r="C5261" s="155"/>
      <c r="D5261" s="155"/>
      <c r="E5261" s="40"/>
      <c r="F5261" s="314"/>
      <c r="H5261" s="315"/>
      <c r="I5261" s="315"/>
      <c r="BA5261" s="30"/>
      <c r="BB5261" s="155"/>
      <c r="BC5261" s="322"/>
      <c r="BD5261" s="322"/>
      <c r="BE5261" s="322"/>
      <c r="BF5261" s="322"/>
      <c r="BG5261" s="322"/>
      <c r="BH5261" s="322"/>
      <c r="BI5261" s="322"/>
      <c r="BJ5261" s="322"/>
      <c r="BK5261" s="341"/>
      <c r="BL5261" s="40"/>
      <c r="BM5261" s="40"/>
      <c r="BN5261" s="40"/>
      <c r="BO5261" s="40"/>
      <c r="BP5261" s="155"/>
      <c r="BQ5261" s="314"/>
      <c r="BR5261" s="314"/>
      <c r="BS5261" s="314"/>
      <c r="BT5261" s="314"/>
      <c r="BU5261" s="314"/>
      <c r="BV5261" s="314"/>
      <c r="BW5261" s="314"/>
      <c r="BX5261" s="155"/>
    </row>
    <row r="5262" spans="1:76" ht="15.75" customHeight="1">
      <c r="A5262" s="25"/>
      <c r="B5262" s="39"/>
      <c r="C5262" s="155"/>
      <c r="D5262" s="155"/>
      <c r="E5262" s="40"/>
      <c r="F5262" s="314"/>
      <c r="H5262" s="315"/>
      <c r="I5262" s="315"/>
      <c r="BA5262" s="30"/>
      <c r="BB5262" s="155"/>
      <c r="BC5262" s="314"/>
      <c r="BD5262" s="314"/>
      <c r="BE5262" s="314"/>
      <c r="BF5262" s="314"/>
      <c r="BG5262" s="314"/>
      <c r="BH5262" s="314"/>
      <c r="BI5262" s="314"/>
      <c r="BJ5262" s="314"/>
      <c r="BK5262" s="40"/>
      <c r="BL5262" s="40"/>
      <c r="BM5262" s="40"/>
      <c r="BN5262" s="40"/>
      <c r="BO5262" s="40"/>
      <c r="BP5262" s="155"/>
      <c r="BQ5262" s="314"/>
      <c r="BR5262" s="314"/>
      <c r="BS5262" s="314"/>
      <c r="BT5262" s="314"/>
      <c r="BU5262" s="314"/>
      <c r="BV5262" s="314"/>
      <c r="BW5262" s="314"/>
      <c r="BX5262" s="155"/>
    </row>
    <row r="5263" spans="1:76" ht="15.75" customHeight="1">
      <c r="A5263" s="25"/>
      <c r="B5263" s="39"/>
      <c r="C5263" s="155"/>
      <c r="D5263" s="155"/>
      <c r="E5263" s="40"/>
      <c r="F5263" s="314"/>
      <c r="H5263" s="315"/>
      <c r="I5263" s="315"/>
      <c r="BA5263" s="30"/>
      <c r="BB5263" s="155"/>
      <c r="BC5263" s="314"/>
      <c r="BD5263" s="314"/>
      <c r="BE5263" s="314"/>
      <c r="BF5263" s="314"/>
      <c r="BG5263" s="314"/>
      <c r="BH5263" s="314"/>
      <c r="BI5263" s="314"/>
      <c r="BJ5263" s="314"/>
      <c r="BK5263" s="40"/>
      <c r="BL5263" s="40"/>
      <c r="BM5263" s="40"/>
      <c r="BN5263" s="40"/>
      <c r="BO5263" s="40"/>
      <c r="BP5263" s="155"/>
      <c r="BQ5263" s="314"/>
      <c r="BR5263" s="314"/>
      <c r="BS5263" s="314"/>
      <c r="BT5263" s="314"/>
      <c r="BU5263" s="314"/>
      <c r="BV5263" s="314"/>
      <c r="BW5263" s="314"/>
      <c r="BX5263" s="155"/>
    </row>
    <row r="5264" spans="1:76" ht="15.75" customHeight="1">
      <c r="A5264" s="25"/>
      <c r="B5264" s="39"/>
      <c r="C5264" s="155"/>
      <c r="D5264" s="155"/>
      <c r="E5264" s="40"/>
      <c r="F5264" s="314"/>
      <c r="H5264" s="315"/>
      <c r="I5264" s="315"/>
      <c r="BA5264" s="30"/>
      <c r="BB5264" s="155"/>
      <c r="BC5264" s="314"/>
      <c r="BD5264" s="314"/>
      <c r="BE5264" s="314"/>
      <c r="BF5264" s="314"/>
      <c r="BG5264" s="314"/>
      <c r="BH5264" s="314"/>
      <c r="BI5264" s="314"/>
      <c r="BJ5264" s="314"/>
      <c r="BK5264" s="40"/>
      <c r="BL5264" s="40"/>
      <c r="BM5264" s="40"/>
      <c r="BN5264" s="40"/>
      <c r="BO5264" s="40"/>
      <c r="BP5264" s="155"/>
      <c r="BQ5264" s="314"/>
      <c r="BR5264" s="314"/>
      <c r="BS5264" s="314"/>
      <c r="BT5264" s="314"/>
      <c r="BU5264" s="314"/>
      <c r="BV5264" s="314"/>
      <c r="BW5264" s="314"/>
      <c r="BX5264" s="155"/>
    </row>
    <row r="5265" spans="1:76" ht="15.75" customHeight="1">
      <c r="A5265" s="25"/>
      <c r="B5265" s="39"/>
      <c r="C5265" s="155"/>
      <c r="D5265" s="155"/>
      <c r="E5265" s="40"/>
      <c r="F5265" s="314"/>
      <c r="H5265" s="315"/>
      <c r="I5265" s="315"/>
      <c r="BA5265" s="30"/>
      <c r="BB5265" s="155"/>
      <c r="BC5265" s="314"/>
      <c r="BD5265" s="314"/>
      <c r="BE5265" s="314"/>
      <c r="BF5265" s="314"/>
      <c r="BG5265" s="314"/>
      <c r="BH5265" s="314"/>
      <c r="BI5265" s="314"/>
      <c r="BJ5265" s="314"/>
      <c r="BK5265" s="40"/>
      <c r="BL5265" s="40"/>
      <c r="BM5265" s="40"/>
      <c r="BN5265" s="40"/>
      <c r="BO5265" s="40"/>
      <c r="BP5265" s="155"/>
      <c r="BQ5265" s="314"/>
      <c r="BR5265" s="314"/>
      <c r="BS5265" s="314"/>
      <c r="BT5265" s="314"/>
      <c r="BU5265" s="314"/>
      <c r="BV5265" s="314"/>
      <c r="BW5265" s="314"/>
      <c r="BX5265" s="155"/>
    </row>
    <row r="5266" spans="1:76" ht="15.75" customHeight="1">
      <c r="A5266" s="25"/>
      <c r="B5266" s="39"/>
      <c r="C5266" s="155"/>
      <c r="D5266" s="155"/>
      <c r="E5266" s="40"/>
      <c r="F5266" s="314"/>
      <c r="H5266" s="315"/>
      <c r="I5266" s="315"/>
      <c r="BA5266" s="30"/>
      <c r="BB5266" s="155"/>
      <c r="BC5266" s="314"/>
      <c r="BD5266" s="314"/>
      <c r="BE5266" s="314"/>
      <c r="BF5266" s="314"/>
      <c r="BG5266" s="314"/>
      <c r="BH5266" s="314"/>
      <c r="BI5266" s="314"/>
      <c r="BJ5266" s="314"/>
      <c r="BK5266" s="40"/>
      <c r="BL5266" s="40"/>
      <c r="BM5266" s="40"/>
      <c r="BN5266" s="40"/>
      <c r="BO5266" s="40"/>
      <c r="BP5266" s="155"/>
      <c r="BQ5266" s="314"/>
      <c r="BR5266" s="314"/>
      <c r="BS5266" s="314"/>
      <c r="BT5266" s="314"/>
      <c r="BU5266" s="314"/>
      <c r="BV5266" s="314"/>
      <c r="BW5266" s="314"/>
      <c r="BX5266" s="155"/>
    </row>
    <row r="5267" spans="1:76" ht="15.75" customHeight="1">
      <c r="A5267" s="25"/>
      <c r="B5267" s="39"/>
      <c r="C5267" s="155"/>
      <c r="D5267" s="155"/>
      <c r="E5267" s="40"/>
      <c r="F5267" s="314"/>
      <c r="H5267" s="315"/>
      <c r="I5267" s="315"/>
      <c r="BA5267" s="30"/>
      <c r="BB5267" s="155"/>
      <c r="BC5267" s="314"/>
      <c r="BD5267" s="314"/>
      <c r="BE5267" s="314"/>
      <c r="BF5267" s="314"/>
      <c r="BG5267" s="314"/>
      <c r="BH5267" s="314"/>
      <c r="BI5267" s="314"/>
      <c r="BJ5267" s="314"/>
      <c r="BK5267" s="40"/>
      <c r="BL5267" s="40"/>
      <c r="BM5267" s="40"/>
      <c r="BN5267" s="40"/>
      <c r="BO5267" s="40"/>
      <c r="BP5267" s="155"/>
      <c r="BQ5267" s="314"/>
      <c r="BR5267" s="314"/>
      <c r="BS5267" s="314"/>
      <c r="BT5267" s="314"/>
      <c r="BU5267" s="314"/>
      <c r="BV5267" s="314"/>
      <c r="BW5267" s="314"/>
      <c r="BX5267" s="155"/>
    </row>
    <row r="5268" spans="1:76" ht="15.75" customHeight="1">
      <c r="A5268" s="25"/>
      <c r="B5268" s="39"/>
      <c r="C5268" s="155"/>
      <c r="D5268" s="155"/>
      <c r="E5268" s="40"/>
      <c r="F5268" s="314"/>
      <c r="H5268" s="315"/>
      <c r="I5268" s="315"/>
      <c r="BA5268" s="30"/>
      <c r="BB5268" s="155"/>
      <c r="BC5268" s="314"/>
      <c r="BD5268" s="314"/>
      <c r="BE5268" s="314"/>
      <c r="BF5268" s="314"/>
      <c r="BG5268" s="314"/>
      <c r="BH5268" s="314"/>
      <c r="BI5268" s="314"/>
      <c r="BJ5268" s="314"/>
      <c r="BK5268" s="40"/>
      <c r="BL5268" s="40"/>
      <c r="BM5268" s="40"/>
      <c r="BN5268" s="40"/>
      <c r="BO5268" s="40"/>
      <c r="BP5268" s="155"/>
      <c r="BQ5268" s="314"/>
      <c r="BR5268" s="314"/>
      <c r="BS5268" s="314"/>
      <c r="BT5268" s="314"/>
      <c r="BU5268" s="314"/>
      <c r="BV5268" s="314"/>
      <c r="BW5268" s="314"/>
      <c r="BX5268" s="155"/>
    </row>
    <row r="5269" spans="1:76" ht="15.75" customHeight="1">
      <c r="A5269" s="25"/>
      <c r="B5269" s="39"/>
      <c r="C5269" s="155"/>
      <c r="D5269" s="155"/>
      <c r="E5269" s="40"/>
      <c r="F5269" s="314"/>
      <c r="H5269" s="315"/>
      <c r="I5269" s="315"/>
      <c r="BA5269" s="30"/>
      <c r="BB5269" s="155"/>
      <c r="BC5269" s="314"/>
      <c r="BD5269" s="314"/>
      <c r="BE5269" s="314"/>
      <c r="BF5269" s="314"/>
      <c r="BG5269" s="314"/>
      <c r="BH5269" s="314"/>
      <c r="BI5269" s="314"/>
      <c r="BJ5269" s="314"/>
      <c r="BK5269" s="40"/>
      <c r="BL5269" s="40"/>
      <c r="BM5269" s="40"/>
      <c r="BN5269" s="40"/>
      <c r="BO5269" s="40"/>
      <c r="BP5269" s="155"/>
      <c r="BQ5269" s="314"/>
      <c r="BR5269" s="314"/>
      <c r="BS5269" s="314"/>
      <c r="BT5269" s="314"/>
      <c r="BU5269" s="314"/>
      <c r="BV5269" s="314"/>
      <c r="BW5269" s="314"/>
      <c r="BX5269" s="155"/>
    </row>
    <row r="5270" spans="1:76" ht="15.75" customHeight="1">
      <c r="A5270" s="25"/>
      <c r="B5270" s="39"/>
      <c r="C5270" s="155"/>
      <c r="D5270" s="155"/>
      <c r="E5270" s="40"/>
      <c r="F5270" s="314"/>
      <c r="H5270" s="315"/>
      <c r="I5270" s="315"/>
      <c r="BA5270" s="30"/>
      <c r="BB5270" s="155"/>
      <c r="BC5270" s="314"/>
      <c r="BD5270" s="314"/>
      <c r="BE5270" s="314"/>
      <c r="BF5270" s="314"/>
      <c r="BG5270" s="314"/>
      <c r="BH5270" s="314"/>
      <c r="BI5270" s="314"/>
      <c r="BJ5270" s="314"/>
      <c r="BK5270" s="40"/>
      <c r="BL5270" s="40"/>
      <c r="BM5270" s="40"/>
      <c r="BN5270" s="40"/>
      <c r="BO5270" s="40"/>
      <c r="BP5270" s="155"/>
      <c r="BQ5270" s="314"/>
      <c r="BR5270" s="314"/>
      <c r="BS5270" s="314"/>
      <c r="BT5270" s="314"/>
      <c r="BU5270" s="314"/>
      <c r="BV5270" s="314"/>
      <c r="BW5270" s="314"/>
      <c r="BX5270" s="155"/>
    </row>
    <row r="5271" spans="1:76" ht="15.75" customHeight="1">
      <c r="A5271" s="25"/>
      <c r="B5271" s="39"/>
      <c r="C5271" s="155"/>
      <c r="D5271" s="155"/>
      <c r="E5271" s="40"/>
      <c r="F5271" s="314"/>
      <c r="H5271" s="315"/>
      <c r="I5271" s="315"/>
      <c r="BA5271" s="30"/>
      <c r="BB5271" s="155"/>
      <c r="BC5271" s="314"/>
      <c r="BD5271" s="314"/>
      <c r="BE5271" s="314"/>
      <c r="BF5271" s="314"/>
      <c r="BG5271" s="314"/>
      <c r="BH5271" s="314"/>
      <c r="BI5271" s="314"/>
      <c r="BJ5271" s="314"/>
      <c r="BK5271" s="40"/>
      <c r="BL5271" s="40"/>
      <c r="BM5271" s="40"/>
      <c r="BN5271" s="40"/>
      <c r="BO5271" s="40"/>
      <c r="BP5271" s="155"/>
      <c r="BQ5271" s="314"/>
      <c r="BR5271" s="314"/>
      <c r="BS5271" s="314"/>
      <c r="BT5271" s="314"/>
      <c r="BU5271" s="314"/>
      <c r="BV5271" s="314"/>
      <c r="BW5271" s="314"/>
      <c r="BX5271" s="155"/>
    </row>
    <row r="5272" spans="1:76" ht="15.75" customHeight="1">
      <c r="A5272" s="25"/>
      <c r="B5272" s="39"/>
      <c r="C5272" s="155"/>
      <c r="D5272" s="155"/>
      <c r="E5272" s="40"/>
      <c r="F5272" s="314"/>
      <c r="H5272" s="315"/>
      <c r="I5272" s="315"/>
      <c r="BA5272" s="30"/>
      <c r="BB5272" s="155"/>
      <c r="BC5272" s="314"/>
      <c r="BD5272" s="314"/>
      <c r="BE5272" s="314"/>
      <c r="BF5272" s="314"/>
      <c r="BG5272" s="314"/>
      <c r="BH5272" s="314"/>
      <c r="BI5272" s="314"/>
      <c r="BJ5272" s="314"/>
      <c r="BK5272" s="40"/>
      <c r="BL5272" s="40"/>
      <c r="BM5272" s="40"/>
      <c r="BN5272" s="40"/>
      <c r="BO5272" s="40"/>
      <c r="BP5272" s="155"/>
      <c r="BQ5272" s="314"/>
      <c r="BR5272" s="314"/>
      <c r="BS5272" s="314"/>
      <c r="BT5272" s="314"/>
      <c r="BU5272" s="314"/>
      <c r="BV5272" s="314"/>
      <c r="BW5272" s="314"/>
      <c r="BX5272" s="155"/>
    </row>
    <row r="5273" spans="1:76" ht="15.75" customHeight="1">
      <c r="A5273" s="25"/>
      <c r="B5273" s="39"/>
      <c r="C5273" s="155"/>
      <c r="D5273" s="155"/>
      <c r="E5273" s="40"/>
      <c r="F5273" s="314"/>
      <c r="H5273" s="315"/>
      <c r="I5273" s="315"/>
      <c r="BA5273" s="30"/>
      <c r="BB5273" s="155"/>
      <c r="BC5273" s="314"/>
      <c r="BD5273" s="314"/>
      <c r="BE5273" s="314"/>
      <c r="BF5273" s="314"/>
      <c r="BG5273" s="314"/>
      <c r="BH5273" s="314"/>
      <c r="BI5273" s="314"/>
      <c r="BJ5273" s="314"/>
      <c r="BK5273" s="40"/>
      <c r="BL5273" s="40"/>
      <c r="BM5273" s="40"/>
      <c r="BN5273" s="40"/>
      <c r="BO5273" s="40"/>
      <c r="BP5273" s="155"/>
      <c r="BQ5273" s="314"/>
      <c r="BR5273" s="314"/>
      <c r="BS5273" s="314"/>
      <c r="BT5273" s="314"/>
      <c r="BU5273" s="314"/>
      <c r="BV5273" s="314"/>
      <c r="BW5273" s="314"/>
      <c r="BX5273" s="155"/>
    </row>
    <row r="5274" spans="1:76" ht="15.75" customHeight="1">
      <c r="A5274" s="25"/>
      <c r="B5274" s="39"/>
      <c r="C5274" s="155"/>
      <c r="D5274" s="155"/>
      <c r="E5274" s="40"/>
      <c r="F5274" s="314"/>
      <c r="H5274" s="315"/>
      <c r="I5274" s="315"/>
      <c r="BA5274" s="30"/>
      <c r="BB5274" s="155"/>
      <c r="BC5274" s="314"/>
      <c r="BD5274" s="314"/>
      <c r="BE5274" s="314"/>
      <c r="BF5274" s="314"/>
      <c r="BG5274" s="314"/>
      <c r="BH5274" s="314"/>
      <c r="BI5274" s="314"/>
      <c r="BJ5274" s="314"/>
      <c r="BK5274" s="40"/>
      <c r="BL5274" s="40"/>
      <c r="BM5274" s="40"/>
      <c r="BN5274" s="40"/>
      <c r="BO5274" s="40"/>
      <c r="BP5274" s="155"/>
      <c r="BQ5274" s="314"/>
      <c r="BR5274" s="314"/>
      <c r="BS5274" s="314"/>
      <c r="BT5274" s="314"/>
      <c r="BU5274" s="314"/>
      <c r="BV5274" s="314"/>
      <c r="BW5274" s="314"/>
      <c r="BX5274" s="155"/>
    </row>
    <row r="5275" spans="1:76" ht="15.75" customHeight="1">
      <c r="A5275" s="25"/>
      <c r="B5275" s="39"/>
      <c r="C5275" s="155"/>
      <c r="D5275" s="155"/>
      <c r="E5275" s="40"/>
      <c r="F5275" s="314"/>
      <c r="H5275" s="315"/>
      <c r="I5275" s="315"/>
      <c r="BA5275" s="30"/>
      <c r="BB5275" s="155"/>
      <c r="BC5275" s="314"/>
      <c r="BD5275" s="314"/>
      <c r="BE5275" s="314"/>
      <c r="BF5275" s="314"/>
      <c r="BG5275" s="314"/>
      <c r="BH5275" s="314"/>
      <c r="BI5275" s="314"/>
      <c r="BJ5275" s="314"/>
      <c r="BK5275" s="40"/>
      <c r="BL5275" s="40"/>
      <c r="BM5275" s="40"/>
      <c r="BN5275" s="40"/>
      <c r="BO5275" s="40"/>
      <c r="BP5275" s="155"/>
      <c r="BQ5275" s="314"/>
      <c r="BR5275" s="314"/>
      <c r="BS5275" s="314"/>
      <c r="BT5275" s="314"/>
      <c r="BU5275" s="314"/>
      <c r="BV5275" s="314"/>
      <c r="BW5275" s="314"/>
      <c r="BX5275" s="155"/>
    </row>
    <row r="5276" spans="1:76" ht="15.75" customHeight="1">
      <c r="A5276" s="25"/>
      <c r="B5276" s="39"/>
      <c r="C5276" s="155"/>
      <c r="D5276" s="155"/>
      <c r="E5276" s="40"/>
      <c r="F5276" s="314"/>
      <c r="H5276" s="315"/>
      <c r="I5276" s="315"/>
      <c r="BA5276" s="30"/>
      <c r="BB5276" s="155"/>
      <c r="BC5276" s="314"/>
      <c r="BD5276" s="314"/>
      <c r="BE5276" s="314"/>
      <c r="BF5276" s="314"/>
      <c r="BG5276" s="314"/>
      <c r="BH5276" s="314"/>
      <c r="BI5276" s="314"/>
      <c r="BJ5276" s="314"/>
      <c r="BK5276" s="40"/>
      <c r="BL5276" s="40"/>
      <c r="BM5276" s="40"/>
      <c r="BN5276" s="40"/>
      <c r="BO5276" s="40"/>
      <c r="BP5276" s="155"/>
      <c r="BQ5276" s="314"/>
      <c r="BR5276" s="314"/>
      <c r="BS5276" s="314"/>
      <c r="BT5276" s="314"/>
      <c r="BU5276" s="314"/>
      <c r="BV5276" s="314"/>
      <c r="BW5276" s="314"/>
      <c r="BX5276" s="155"/>
    </row>
    <row r="5277" spans="1:76" ht="15.75" customHeight="1">
      <c r="A5277" s="25"/>
      <c r="B5277" s="39"/>
      <c r="C5277" s="155"/>
      <c r="D5277" s="155"/>
      <c r="E5277" s="40"/>
      <c r="F5277" s="314"/>
      <c r="H5277" s="315"/>
      <c r="I5277" s="315"/>
      <c r="BA5277" s="30"/>
      <c r="BB5277" s="155"/>
      <c r="BC5277" s="314"/>
      <c r="BD5277" s="314"/>
      <c r="BE5277" s="314"/>
      <c r="BF5277" s="314"/>
      <c r="BG5277" s="314"/>
      <c r="BH5277" s="314"/>
      <c r="BI5277" s="314"/>
      <c r="BJ5277" s="314"/>
      <c r="BK5277" s="40"/>
      <c r="BL5277" s="40"/>
      <c r="BM5277" s="40"/>
      <c r="BN5277" s="40"/>
      <c r="BO5277" s="40"/>
      <c r="BP5277" s="155"/>
      <c r="BQ5277" s="314"/>
      <c r="BR5277" s="314"/>
      <c r="BS5277" s="314"/>
      <c r="BT5277" s="314"/>
      <c r="BU5277" s="314"/>
      <c r="BV5277" s="314"/>
      <c r="BW5277" s="314"/>
      <c r="BX5277" s="155"/>
    </row>
    <row r="5278" spans="1:76" ht="15.75" customHeight="1">
      <c r="A5278" s="25"/>
      <c r="B5278" s="39"/>
      <c r="C5278" s="155"/>
      <c r="D5278" s="155"/>
      <c r="E5278" s="40"/>
      <c r="F5278" s="314"/>
      <c r="H5278" s="315"/>
      <c r="I5278" s="315"/>
      <c r="BA5278" s="30"/>
      <c r="BB5278" s="155"/>
      <c r="BC5278" s="314"/>
      <c r="BD5278" s="314"/>
      <c r="BE5278" s="314"/>
      <c r="BF5278" s="314"/>
      <c r="BG5278" s="314"/>
      <c r="BH5278" s="314"/>
      <c r="BI5278" s="314"/>
      <c r="BJ5278" s="314"/>
      <c r="BK5278" s="40"/>
      <c r="BL5278" s="40"/>
      <c r="BM5278" s="40"/>
      <c r="BN5278" s="40"/>
      <c r="BO5278" s="40"/>
      <c r="BP5278" s="155"/>
      <c r="BQ5278" s="314"/>
      <c r="BR5278" s="314"/>
      <c r="BS5278" s="314"/>
      <c r="BT5278" s="314"/>
      <c r="BU5278" s="314"/>
      <c r="BV5278" s="314"/>
      <c r="BW5278" s="314"/>
      <c r="BX5278" s="155"/>
    </row>
    <row r="5279" spans="1:76" ht="15.75" customHeight="1">
      <c r="A5279" s="25"/>
      <c r="B5279" s="39"/>
      <c r="C5279" s="155"/>
      <c r="D5279" s="155"/>
      <c r="E5279" s="40"/>
      <c r="F5279" s="314"/>
      <c r="H5279" s="315"/>
      <c r="I5279" s="315"/>
      <c r="BA5279" s="30"/>
      <c r="BB5279" s="155"/>
      <c r="BC5279" s="322"/>
      <c r="BD5279" s="322"/>
      <c r="BE5279" s="322"/>
      <c r="BF5279" s="322"/>
      <c r="BG5279" s="322"/>
      <c r="BH5279" s="322"/>
      <c r="BI5279" s="322"/>
      <c r="BJ5279" s="322"/>
      <c r="BK5279" s="341"/>
      <c r="BL5279" s="40"/>
      <c r="BM5279" s="40"/>
      <c r="BN5279" s="40"/>
      <c r="BO5279" s="40"/>
      <c r="BP5279" s="155"/>
      <c r="BQ5279" s="314"/>
      <c r="BR5279" s="314"/>
      <c r="BS5279" s="314"/>
      <c r="BT5279" s="314"/>
      <c r="BU5279" s="314"/>
      <c r="BV5279" s="314"/>
      <c r="BW5279" s="314"/>
      <c r="BX5279" s="155"/>
    </row>
    <row r="5280" spans="1:76" ht="15.75" customHeight="1">
      <c r="A5280" s="25"/>
      <c r="B5280" s="39"/>
      <c r="C5280" s="155"/>
      <c r="D5280" s="155"/>
      <c r="E5280" s="40"/>
      <c r="F5280" s="314"/>
      <c r="H5280" s="315"/>
      <c r="I5280" s="315"/>
      <c r="BA5280" s="30"/>
      <c r="BB5280" s="155"/>
      <c r="BC5280" s="314"/>
      <c r="BD5280" s="314"/>
      <c r="BE5280" s="314"/>
      <c r="BF5280" s="314"/>
      <c r="BG5280" s="314"/>
      <c r="BH5280" s="314"/>
      <c r="BI5280" s="314"/>
      <c r="BJ5280" s="314"/>
      <c r="BK5280" s="40"/>
      <c r="BL5280" s="40"/>
      <c r="BM5280" s="40"/>
      <c r="BN5280" s="40"/>
      <c r="BO5280" s="40"/>
      <c r="BP5280" s="155"/>
      <c r="BQ5280" s="314"/>
      <c r="BR5280" s="314"/>
      <c r="BS5280" s="314"/>
      <c r="BT5280" s="314"/>
      <c r="BU5280" s="314"/>
      <c r="BV5280" s="314"/>
      <c r="BW5280" s="314"/>
      <c r="BX5280" s="155"/>
    </row>
    <row r="5281" spans="1:76" ht="15.75" customHeight="1">
      <c r="A5281" s="25"/>
      <c r="B5281" s="39"/>
      <c r="C5281" s="155"/>
      <c r="D5281" s="155"/>
      <c r="E5281" s="40"/>
      <c r="F5281" s="314"/>
      <c r="H5281" s="315"/>
      <c r="I5281" s="315"/>
      <c r="BA5281" s="30"/>
      <c r="BB5281" s="155"/>
      <c r="BC5281" s="314"/>
      <c r="BD5281" s="314"/>
      <c r="BE5281" s="314"/>
      <c r="BF5281" s="314"/>
      <c r="BG5281" s="314"/>
      <c r="BH5281" s="314"/>
      <c r="BI5281" s="314"/>
      <c r="BJ5281" s="314"/>
      <c r="BK5281" s="40"/>
      <c r="BL5281" s="40"/>
      <c r="BM5281" s="40"/>
      <c r="BN5281" s="40"/>
      <c r="BO5281" s="40"/>
      <c r="BP5281" s="155"/>
      <c r="BQ5281" s="314"/>
      <c r="BR5281" s="314"/>
      <c r="BS5281" s="314"/>
      <c r="BT5281" s="314"/>
      <c r="BU5281" s="314"/>
      <c r="BV5281" s="314"/>
      <c r="BW5281" s="314"/>
      <c r="BX5281" s="155"/>
    </row>
    <row r="5282" spans="1:76" ht="15.75" customHeight="1">
      <c r="A5282" s="25"/>
      <c r="B5282" s="39"/>
      <c r="C5282" s="155"/>
      <c r="D5282" s="155"/>
      <c r="E5282" s="40"/>
      <c r="F5282" s="314"/>
      <c r="H5282" s="315"/>
      <c r="I5282" s="315"/>
      <c r="BA5282" s="30"/>
      <c r="BB5282" s="155"/>
      <c r="BC5282" s="314"/>
      <c r="BD5282" s="314"/>
      <c r="BE5282" s="314"/>
      <c r="BF5282" s="314"/>
      <c r="BG5282" s="314"/>
      <c r="BH5282" s="314"/>
      <c r="BI5282" s="314"/>
      <c r="BJ5282" s="314"/>
      <c r="BK5282" s="40"/>
      <c r="BL5282" s="40"/>
      <c r="BM5282" s="40"/>
      <c r="BN5282" s="40"/>
      <c r="BO5282" s="40"/>
      <c r="BP5282" s="155"/>
      <c r="BQ5282" s="314"/>
      <c r="BR5282" s="314"/>
      <c r="BS5282" s="314"/>
      <c r="BT5282" s="314"/>
      <c r="BU5282" s="314"/>
      <c r="BV5282" s="314"/>
      <c r="BW5282" s="314"/>
      <c r="BX5282" s="155"/>
    </row>
    <row r="5283" spans="1:76" ht="15.75" customHeight="1">
      <c r="A5283" s="25"/>
      <c r="B5283" s="39"/>
      <c r="C5283" s="155"/>
      <c r="D5283" s="155"/>
      <c r="E5283" s="40"/>
      <c r="F5283" s="314"/>
      <c r="H5283" s="315"/>
      <c r="I5283" s="315"/>
      <c r="BA5283" s="30"/>
      <c r="BB5283" s="155"/>
      <c r="BC5283" s="314"/>
      <c r="BD5283" s="314"/>
      <c r="BE5283" s="314"/>
      <c r="BF5283" s="314"/>
      <c r="BG5283" s="314"/>
      <c r="BH5283" s="314"/>
      <c r="BI5283" s="314"/>
      <c r="BJ5283" s="314"/>
      <c r="BK5283" s="40"/>
      <c r="BL5283" s="40"/>
      <c r="BM5283" s="40"/>
      <c r="BN5283" s="40"/>
      <c r="BO5283" s="40"/>
      <c r="BP5283" s="155"/>
      <c r="BQ5283" s="314"/>
      <c r="BR5283" s="314"/>
      <c r="BS5283" s="314"/>
      <c r="BT5283" s="314"/>
      <c r="BU5283" s="314"/>
      <c r="BV5283" s="314"/>
      <c r="BW5283" s="314"/>
      <c r="BX5283" s="155"/>
    </row>
    <row r="5284" spans="1:76" ht="15.75" customHeight="1">
      <c r="A5284" s="25"/>
      <c r="B5284" s="39"/>
      <c r="C5284" s="155"/>
      <c r="D5284" s="155"/>
      <c r="E5284" s="40"/>
      <c r="F5284" s="314"/>
      <c r="H5284" s="315"/>
      <c r="I5284" s="315"/>
      <c r="BA5284" s="30"/>
      <c r="BB5284" s="155"/>
      <c r="BC5284" s="314"/>
      <c r="BD5284" s="314"/>
      <c r="BE5284" s="314"/>
      <c r="BF5284" s="314"/>
      <c r="BG5284" s="314"/>
      <c r="BH5284" s="314"/>
      <c r="BI5284" s="314"/>
      <c r="BJ5284" s="314"/>
      <c r="BK5284" s="40"/>
      <c r="BL5284" s="40"/>
      <c r="BM5284" s="40"/>
      <c r="BN5284" s="40"/>
      <c r="BO5284" s="40"/>
      <c r="BP5284" s="155"/>
      <c r="BQ5284" s="314"/>
      <c r="BR5284" s="314"/>
      <c r="BS5284" s="314"/>
      <c r="BT5284" s="314"/>
      <c r="BU5284" s="314"/>
      <c r="BV5284" s="314"/>
      <c r="BW5284" s="314"/>
      <c r="BX5284" s="155"/>
    </row>
    <row r="5285" spans="1:76" ht="15.75" customHeight="1">
      <c r="A5285" s="25"/>
      <c r="B5285" s="39"/>
      <c r="C5285" s="155"/>
      <c r="D5285" s="155"/>
      <c r="E5285" s="40"/>
      <c r="F5285" s="314"/>
      <c r="H5285" s="315"/>
      <c r="I5285" s="315"/>
      <c r="BA5285" s="30"/>
      <c r="BB5285" s="155"/>
      <c r="BC5285" s="314"/>
      <c r="BD5285" s="314"/>
      <c r="BE5285" s="314"/>
      <c r="BF5285" s="314"/>
      <c r="BG5285" s="314"/>
      <c r="BH5285" s="314"/>
      <c r="BI5285" s="314"/>
      <c r="BJ5285" s="314"/>
      <c r="BK5285" s="40"/>
      <c r="BL5285" s="40"/>
      <c r="BM5285" s="40"/>
      <c r="BN5285" s="40"/>
      <c r="BO5285" s="40"/>
      <c r="BP5285" s="155"/>
      <c r="BQ5285" s="314"/>
      <c r="BR5285" s="314"/>
      <c r="BS5285" s="314"/>
      <c r="BT5285" s="314"/>
      <c r="BU5285" s="314"/>
      <c r="BV5285" s="314"/>
      <c r="BW5285" s="314"/>
      <c r="BX5285" s="155"/>
    </row>
    <row r="5286" spans="1:76" ht="15.75" customHeight="1">
      <c r="A5286" s="25"/>
      <c r="B5286" s="39"/>
      <c r="C5286" s="155"/>
      <c r="D5286" s="155"/>
      <c r="E5286" s="40"/>
      <c r="F5286" s="314"/>
      <c r="H5286" s="315"/>
      <c r="I5286" s="315"/>
      <c r="BA5286" s="30"/>
      <c r="BB5286" s="155"/>
      <c r="BC5286" s="314"/>
      <c r="BD5286" s="314"/>
      <c r="BE5286" s="314"/>
      <c r="BF5286" s="314"/>
      <c r="BG5286" s="314"/>
      <c r="BH5286" s="314"/>
      <c r="BI5286" s="314"/>
      <c r="BJ5286" s="314"/>
      <c r="BK5286" s="40"/>
      <c r="BL5286" s="40"/>
      <c r="BM5286" s="40"/>
      <c r="BN5286" s="40"/>
      <c r="BO5286" s="40"/>
      <c r="BP5286" s="155"/>
      <c r="BQ5286" s="314"/>
      <c r="BR5286" s="314"/>
      <c r="BS5286" s="314"/>
      <c r="BT5286" s="314"/>
      <c r="BU5286" s="314"/>
      <c r="BV5286" s="314"/>
      <c r="BW5286" s="314"/>
      <c r="BX5286" s="155"/>
    </row>
    <row r="5287" spans="1:76" ht="15.75" customHeight="1">
      <c r="A5287" s="25"/>
      <c r="B5287" s="39"/>
      <c r="C5287" s="155"/>
      <c r="D5287" s="155"/>
      <c r="E5287" s="40"/>
      <c r="F5287" s="314"/>
      <c r="H5287" s="315"/>
      <c r="I5287" s="315"/>
      <c r="BA5287" s="30"/>
      <c r="BB5287" s="155"/>
      <c r="BC5287" s="314"/>
      <c r="BD5287" s="314"/>
      <c r="BE5287" s="314"/>
      <c r="BF5287" s="314"/>
      <c r="BG5287" s="314"/>
      <c r="BH5287" s="314"/>
      <c r="BI5287" s="314"/>
      <c r="BJ5287" s="314"/>
      <c r="BK5287" s="40"/>
      <c r="BL5287" s="40"/>
      <c r="BM5287" s="40"/>
      <c r="BN5287" s="40"/>
      <c r="BO5287" s="40"/>
      <c r="BP5287" s="155"/>
      <c r="BQ5287" s="314"/>
      <c r="BR5287" s="314"/>
      <c r="BS5287" s="314"/>
      <c r="BT5287" s="314"/>
      <c r="BU5287" s="314"/>
      <c r="BV5287" s="314"/>
      <c r="BW5287" s="314"/>
      <c r="BX5287" s="155"/>
    </row>
    <row r="5288" spans="1:76" ht="15.75" customHeight="1">
      <c r="A5288" s="25"/>
      <c r="B5288" s="39"/>
      <c r="C5288" s="155"/>
      <c r="D5288" s="155"/>
      <c r="E5288" s="40"/>
      <c r="F5288" s="314"/>
      <c r="H5288" s="315"/>
      <c r="I5288" s="315"/>
      <c r="BA5288" s="30"/>
      <c r="BB5288" s="155"/>
      <c r="BC5288" s="314"/>
      <c r="BD5288" s="314"/>
      <c r="BE5288" s="314"/>
      <c r="BF5288" s="314"/>
      <c r="BG5288" s="314"/>
      <c r="BH5288" s="314"/>
      <c r="BI5288" s="314"/>
      <c r="BJ5288" s="314"/>
      <c r="BK5288" s="40"/>
      <c r="BL5288" s="40"/>
      <c r="BM5288" s="40"/>
      <c r="BN5288" s="40"/>
      <c r="BO5288" s="40"/>
      <c r="BP5288" s="155"/>
      <c r="BQ5288" s="314"/>
      <c r="BR5288" s="314"/>
      <c r="BS5288" s="314"/>
      <c r="BT5288" s="314"/>
      <c r="BU5288" s="314"/>
      <c r="BV5288" s="314"/>
      <c r="BW5288" s="314"/>
      <c r="BX5288" s="155"/>
    </row>
    <row r="5289" spans="1:76" ht="15.75" customHeight="1">
      <c r="A5289" s="25"/>
      <c r="B5289" s="39"/>
      <c r="C5289" s="155"/>
      <c r="D5289" s="155"/>
      <c r="E5289" s="40"/>
      <c r="F5289" s="314"/>
      <c r="H5289" s="315"/>
      <c r="I5289" s="315"/>
      <c r="BA5289" s="30"/>
      <c r="BB5289" s="155"/>
      <c r="BC5289" s="314"/>
      <c r="BD5289" s="314"/>
      <c r="BE5289" s="314"/>
      <c r="BF5289" s="314"/>
      <c r="BG5289" s="314"/>
      <c r="BH5289" s="314"/>
      <c r="BI5289" s="314"/>
      <c r="BJ5289" s="314"/>
      <c r="BK5289" s="40"/>
      <c r="BL5289" s="40"/>
      <c r="BM5289" s="40"/>
      <c r="BN5289" s="40"/>
      <c r="BO5289" s="40"/>
      <c r="BP5289" s="155"/>
      <c r="BQ5289" s="314"/>
      <c r="BR5289" s="314"/>
      <c r="BS5289" s="314"/>
      <c r="BT5289" s="314"/>
      <c r="BU5289" s="314"/>
      <c r="BV5289" s="314"/>
      <c r="BW5289" s="314"/>
      <c r="BX5289" s="155"/>
    </row>
    <row r="5290" spans="1:76" ht="15.75" customHeight="1">
      <c r="A5290" s="25"/>
      <c r="B5290" s="39"/>
      <c r="C5290" s="155"/>
      <c r="D5290" s="155"/>
      <c r="E5290" s="40"/>
      <c r="F5290" s="314"/>
      <c r="H5290" s="315"/>
      <c r="I5290" s="315"/>
      <c r="BA5290" s="30"/>
      <c r="BB5290" s="155"/>
      <c r="BC5290" s="314"/>
      <c r="BD5290" s="314"/>
      <c r="BE5290" s="314"/>
      <c r="BF5290" s="314"/>
      <c r="BG5290" s="314"/>
      <c r="BH5290" s="314"/>
      <c r="BI5290" s="314"/>
      <c r="BJ5290" s="314"/>
      <c r="BK5290" s="40"/>
      <c r="BL5290" s="40"/>
      <c r="BM5290" s="40"/>
      <c r="BN5290" s="40"/>
      <c r="BO5290" s="40"/>
      <c r="BP5290" s="155"/>
      <c r="BQ5290" s="314"/>
      <c r="BR5290" s="314"/>
      <c r="BS5290" s="314"/>
      <c r="BT5290" s="314"/>
      <c r="BU5290" s="314"/>
      <c r="BV5290" s="314"/>
      <c r="BW5290" s="314"/>
      <c r="BX5290" s="155"/>
    </row>
    <row r="5291" spans="1:76" ht="15.75" customHeight="1">
      <c r="A5291" s="25"/>
      <c r="B5291" s="39"/>
      <c r="C5291" s="155"/>
      <c r="D5291" s="155"/>
      <c r="E5291" s="40"/>
      <c r="F5291" s="314"/>
      <c r="H5291" s="315"/>
      <c r="I5291" s="315"/>
      <c r="BA5291" s="30"/>
      <c r="BB5291" s="155"/>
      <c r="BC5291" s="314"/>
      <c r="BD5291" s="314"/>
      <c r="BE5291" s="314"/>
      <c r="BF5291" s="314"/>
      <c r="BG5291" s="314"/>
      <c r="BH5291" s="314"/>
      <c r="BI5291" s="314"/>
      <c r="BJ5291" s="314"/>
      <c r="BK5291" s="40"/>
      <c r="BL5291" s="40"/>
      <c r="BM5291" s="40"/>
      <c r="BN5291" s="40"/>
      <c r="BO5291" s="40"/>
      <c r="BP5291" s="155"/>
      <c r="BQ5291" s="314"/>
      <c r="BR5291" s="314"/>
      <c r="BS5291" s="314"/>
      <c r="BT5291" s="314"/>
      <c r="BU5291" s="314"/>
      <c r="BV5291" s="314"/>
      <c r="BW5291" s="314"/>
      <c r="BX5291" s="155"/>
    </row>
    <row r="5292" spans="1:76" ht="15.75" customHeight="1">
      <c r="A5292" s="25"/>
      <c r="B5292" s="39"/>
      <c r="C5292" s="155"/>
      <c r="D5292" s="155"/>
      <c r="E5292" s="40"/>
      <c r="F5292" s="314"/>
      <c r="H5292" s="315"/>
      <c r="I5292" s="315"/>
      <c r="BA5292" s="30"/>
      <c r="BB5292" s="155"/>
      <c r="BC5292" s="314"/>
      <c r="BD5292" s="314"/>
      <c r="BE5292" s="314"/>
      <c r="BF5292" s="314"/>
      <c r="BG5292" s="314"/>
      <c r="BH5292" s="314"/>
      <c r="BI5292" s="314"/>
      <c r="BJ5292" s="314"/>
      <c r="BK5292" s="40"/>
      <c r="BL5292" s="40"/>
      <c r="BM5292" s="40"/>
      <c r="BN5292" s="40"/>
      <c r="BO5292" s="40"/>
      <c r="BP5292" s="155"/>
      <c r="BQ5292" s="314"/>
      <c r="BR5292" s="314"/>
      <c r="BS5292" s="314"/>
      <c r="BT5292" s="314"/>
      <c r="BU5292" s="314"/>
      <c r="BV5292" s="314"/>
      <c r="BW5292" s="314"/>
      <c r="BX5292" s="155"/>
    </row>
    <row r="5293" spans="1:76" ht="15.75" customHeight="1">
      <c r="A5293" s="25"/>
      <c r="B5293" s="39"/>
      <c r="C5293" s="155"/>
      <c r="D5293" s="155"/>
      <c r="E5293" s="40"/>
      <c r="F5293" s="314"/>
      <c r="H5293" s="315"/>
      <c r="I5293" s="315"/>
      <c r="BA5293" s="30"/>
      <c r="BB5293" s="155"/>
      <c r="BC5293" s="314"/>
      <c r="BD5293" s="314"/>
      <c r="BE5293" s="314"/>
      <c r="BF5293" s="314"/>
      <c r="BG5293" s="314"/>
      <c r="BH5293" s="314"/>
      <c r="BI5293" s="314"/>
      <c r="BJ5293" s="314"/>
      <c r="BK5293" s="40"/>
      <c r="BL5293" s="40"/>
      <c r="BM5293" s="40"/>
      <c r="BN5293" s="40"/>
      <c r="BO5293" s="40"/>
      <c r="BP5293" s="155"/>
      <c r="BQ5293" s="314"/>
      <c r="BR5293" s="314"/>
      <c r="BS5293" s="314"/>
      <c r="BT5293" s="314"/>
      <c r="BU5293" s="314"/>
      <c r="BV5293" s="314"/>
      <c r="BW5293" s="314"/>
      <c r="BX5293" s="155"/>
    </row>
    <row r="5294" spans="1:76" ht="15.75" customHeight="1">
      <c r="A5294" s="25"/>
      <c r="B5294" s="39"/>
      <c r="C5294" s="155"/>
      <c r="D5294" s="155"/>
      <c r="E5294" s="40"/>
      <c r="F5294" s="314"/>
      <c r="H5294" s="315"/>
      <c r="I5294" s="315"/>
      <c r="BA5294" s="30"/>
      <c r="BB5294" s="155"/>
      <c r="BC5294" s="314"/>
      <c r="BD5294" s="314"/>
      <c r="BE5294" s="314"/>
      <c r="BF5294" s="314"/>
      <c r="BG5294" s="314"/>
      <c r="BH5294" s="314"/>
      <c r="BI5294" s="314"/>
      <c r="BJ5294" s="314"/>
      <c r="BK5294" s="40"/>
      <c r="BL5294" s="40"/>
      <c r="BM5294" s="40"/>
      <c r="BN5294" s="40"/>
      <c r="BO5294" s="40"/>
      <c r="BP5294" s="155"/>
      <c r="BQ5294" s="314"/>
      <c r="BR5294" s="314"/>
      <c r="BS5294" s="314"/>
      <c r="BT5294" s="314"/>
      <c r="BU5294" s="314"/>
      <c r="BV5294" s="314"/>
      <c r="BW5294" s="314"/>
      <c r="BX5294" s="155"/>
    </row>
    <row r="5295" spans="1:76" ht="15.75" customHeight="1">
      <c r="A5295" s="25"/>
      <c r="B5295" s="39"/>
      <c r="C5295" s="155"/>
      <c r="D5295" s="155"/>
      <c r="E5295" s="40"/>
      <c r="F5295" s="314"/>
      <c r="H5295" s="315"/>
      <c r="I5295" s="315"/>
      <c r="BA5295" s="30"/>
      <c r="BB5295" s="155"/>
      <c r="BC5295" s="314"/>
      <c r="BD5295" s="314"/>
      <c r="BE5295" s="314"/>
      <c r="BF5295" s="314"/>
      <c r="BG5295" s="314"/>
      <c r="BH5295" s="314"/>
      <c r="BI5295" s="314"/>
      <c r="BJ5295" s="314"/>
      <c r="BK5295" s="40"/>
      <c r="BL5295" s="40"/>
      <c r="BM5295" s="40"/>
      <c r="BN5295" s="40"/>
      <c r="BO5295" s="40"/>
      <c r="BP5295" s="155"/>
      <c r="BQ5295" s="314"/>
      <c r="BR5295" s="314"/>
      <c r="BS5295" s="314"/>
      <c r="BT5295" s="314"/>
      <c r="BU5295" s="314"/>
      <c r="BV5295" s="314"/>
      <c r="BW5295" s="314"/>
      <c r="BX5295" s="155"/>
    </row>
    <row r="5296" spans="1:76" ht="15.75" customHeight="1">
      <c r="A5296" s="25"/>
      <c r="B5296" s="39"/>
      <c r="C5296" s="155"/>
      <c r="D5296" s="155"/>
      <c r="E5296" s="40"/>
      <c r="F5296" s="314"/>
      <c r="H5296" s="315"/>
      <c r="I5296" s="315"/>
      <c r="BA5296" s="30"/>
      <c r="BB5296" s="155"/>
      <c r="BC5296" s="314"/>
      <c r="BD5296" s="314"/>
      <c r="BE5296" s="314"/>
      <c r="BF5296" s="314"/>
      <c r="BG5296" s="314"/>
      <c r="BH5296" s="314"/>
      <c r="BI5296" s="314"/>
      <c r="BJ5296" s="314"/>
      <c r="BK5296" s="40"/>
      <c r="BL5296" s="40"/>
      <c r="BM5296" s="40"/>
      <c r="BN5296" s="40"/>
      <c r="BO5296" s="40"/>
      <c r="BP5296" s="155"/>
      <c r="BQ5296" s="314"/>
      <c r="BR5296" s="314"/>
      <c r="BS5296" s="314"/>
      <c r="BT5296" s="314"/>
      <c r="BU5296" s="314"/>
      <c r="BV5296" s="314"/>
      <c r="BW5296" s="314"/>
      <c r="BX5296" s="155"/>
    </row>
    <row r="5297" spans="1:76" ht="15.75" customHeight="1">
      <c r="A5297" s="25"/>
      <c r="B5297" s="39"/>
      <c r="C5297" s="155"/>
      <c r="D5297" s="155"/>
      <c r="E5297" s="40"/>
      <c r="F5297" s="314"/>
      <c r="H5297" s="315"/>
      <c r="I5297" s="315"/>
      <c r="BA5297" s="30"/>
      <c r="BB5297" s="155"/>
      <c r="BC5297" s="314"/>
      <c r="BD5297" s="314"/>
      <c r="BE5297" s="314"/>
      <c r="BF5297" s="314"/>
      <c r="BG5297" s="314"/>
      <c r="BH5297" s="314"/>
      <c r="BI5297" s="314"/>
      <c r="BJ5297" s="314"/>
      <c r="BK5297" s="40"/>
      <c r="BL5297" s="40"/>
      <c r="BM5297" s="40"/>
      <c r="BN5297" s="40"/>
      <c r="BO5297" s="40"/>
      <c r="BP5297" s="155"/>
      <c r="BQ5297" s="314"/>
      <c r="BR5297" s="314"/>
      <c r="BS5297" s="314"/>
      <c r="BT5297" s="314"/>
      <c r="BU5297" s="314"/>
      <c r="BV5297" s="314"/>
      <c r="BW5297" s="314"/>
      <c r="BX5297" s="155"/>
    </row>
    <row r="5298" spans="1:76" ht="15.75" customHeight="1">
      <c r="A5298" s="25"/>
      <c r="B5298" s="39"/>
      <c r="C5298" s="155"/>
      <c r="D5298" s="155"/>
      <c r="E5298" s="40"/>
      <c r="F5298" s="314"/>
      <c r="H5298" s="315"/>
      <c r="I5298" s="315"/>
      <c r="BA5298" s="30"/>
      <c r="BB5298" s="155"/>
      <c r="BC5298" s="314"/>
      <c r="BD5298" s="314"/>
      <c r="BE5298" s="314"/>
      <c r="BF5298" s="314"/>
      <c r="BG5298" s="314"/>
      <c r="BH5298" s="314"/>
      <c r="BI5298" s="314"/>
      <c r="BJ5298" s="314"/>
      <c r="BK5298" s="40"/>
      <c r="BL5298" s="40"/>
      <c r="BM5298" s="40"/>
      <c r="BN5298" s="40"/>
      <c r="BO5298" s="40"/>
      <c r="BP5298" s="155"/>
      <c r="BQ5298" s="314"/>
      <c r="BR5298" s="314"/>
      <c r="BS5298" s="314"/>
      <c r="BT5298" s="314"/>
      <c r="BU5298" s="314"/>
      <c r="BV5298" s="314"/>
      <c r="BW5298" s="314"/>
      <c r="BX5298" s="155"/>
    </row>
    <row r="5299" spans="1:76" ht="15.75" customHeight="1">
      <c r="A5299" s="25"/>
      <c r="B5299" s="39"/>
      <c r="C5299" s="155"/>
      <c r="D5299" s="155"/>
      <c r="E5299" s="40"/>
      <c r="F5299" s="314"/>
      <c r="H5299" s="315"/>
      <c r="I5299" s="315"/>
      <c r="BA5299" s="30"/>
      <c r="BB5299" s="155"/>
      <c r="BC5299" s="314"/>
      <c r="BD5299" s="314"/>
      <c r="BE5299" s="314"/>
      <c r="BF5299" s="314"/>
      <c r="BG5299" s="314"/>
      <c r="BH5299" s="314"/>
      <c r="BI5299" s="314"/>
      <c r="BJ5299" s="314"/>
      <c r="BK5299" s="40"/>
      <c r="BL5299" s="40"/>
      <c r="BM5299" s="40"/>
      <c r="BN5299" s="40"/>
      <c r="BO5299" s="40"/>
      <c r="BP5299" s="155"/>
      <c r="BQ5299" s="314"/>
      <c r="BR5299" s="314"/>
      <c r="BS5299" s="314"/>
      <c r="BT5299" s="314"/>
      <c r="BU5299" s="314"/>
      <c r="BV5299" s="314"/>
      <c r="BW5299" s="314"/>
      <c r="BX5299" s="155"/>
    </row>
    <row r="5300" spans="1:76" ht="15.75" customHeight="1">
      <c r="A5300" s="25"/>
      <c r="B5300" s="39"/>
      <c r="C5300" s="155"/>
      <c r="D5300" s="155"/>
      <c r="E5300" s="40"/>
      <c r="F5300" s="314"/>
      <c r="H5300" s="315"/>
      <c r="I5300" s="315"/>
      <c r="BA5300" s="30"/>
      <c r="BB5300" s="155"/>
      <c r="BC5300" s="314"/>
      <c r="BD5300" s="314"/>
      <c r="BE5300" s="314"/>
      <c r="BF5300" s="314"/>
      <c r="BG5300" s="314"/>
      <c r="BH5300" s="314"/>
      <c r="BI5300" s="314"/>
      <c r="BJ5300" s="314"/>
      <c r="BK5300" s="40"/>
      <c r="BL5300" s="40"/>
      <c r="BM5300" s="40"/>
      <c r="BN5300" s="40"/>
      <c r="BO5300" s="40"/>
      <c r="BP5300" s="155"/>
      <c r="BQ5300" s="314"/>
      <c r="BR5300" s="314"/>
      <c r="BS5300" s="314"/>
      <c r="BT5300" s="314"/>
      <c r="BU5300" s="314"/>
      <c r="BV5300" s="314"/>
      <c r="BW5300" s="314"/>
      <c r="BX5300" s="155"/>
    </row>
    <row r="5301" spans="1:76" ht="15.75" customHeight="1">
      <c r="A5301" s="25"/>
      <c r="B5301" s="39"/>
      <c r="C5301" s="155"/>
      <c r="D5301" s="155"/>
      <c r="E5301" s="40"/>
      <c r="F5301" s="314"/>
      <c r="H5301" s="315"/>
      <c r="I5301" s="315"/>
      <c r="BA5301" s="30"/>
      <c r="BB5301" s="155"/>
      <c r="BC5301" s="314"/>
      <c r="BD5301" s="314"/>
      <c r="BE5301" s="314"/>
      <c r="BF5301" s="314"/>
      <c r="BG5301" s="314"/>
      <c r="BH5301" s="314"/>
      <c r="BI5301" s="314"/>
      <c r="BJ5301" s="314"/>
      <c r="BK5301" s="40"/>
      <c r="BL5301" s="40"/>
      <c r="BM5301" s="40"/>
      <c r="BN5301" s="40"/>
      <c r="BO5301" s="40"/>
      <c r="BP5301" s="155"/>
      <c r="BQ5301" s="314"/>
      <c r="BR5301" s="314"/>
      <c r="BS5301" s="314"/>
      <c r="BT5301" s="314"/>
      <c r="BU5301" s="314"/>
      <c r="BV5301" s="314"/>
      <c r="BW5301" s="314"/>
      <c r="BX5301" s="155"/>
    </row>
    <row r="5302" spans="1:76" ht="15.75" customHeight="1">
      <c r="A5302" s="25"/>
      <c r="B5302" s="39"/>
      <c r="C5302" s="155"/>
      <c r="D5302" s="155"/>
      <c r="E5302" s="40"/>
      <c r="F5302" s="314"/>
      <c r="H5302" s="315"/>
      <c r="I5302" s="315"/>
      <c r="BA5302" s="30"/>
      <c r="BB5302" s="155"/>
      <c r="BC5302" s="314"/>
      <c r="BD5302" s="314"/>
      <c r="BE5302" s="314"/>
      <c r="BF5302" s="314"/>
      <c r="BG5302" s="314"/>
      <c r="BH5302" s="314"/>
      <c r="BI5302" s="314"/>
      <c r="BJ5302" s="314"/>
      <c r="BK5302" s="40"/>
      <c r="BL5302" s="40"/>
      <c r="BM5302" s="40"/>
      <c r="BN5302" s="40"/>
      <c r="BO5302" s="40"/>
      <c r="BP5302" s="155"/>
      <c r="BQ5302" s="314"/>
      <c r="BR5302" s="314"/>
      <c r="BS5302" s="314"/>
      <c r="BT5302" s="314"/>
      <c r="BU5302" s="314"/>
      <c r="BV5302" s="314"/>
      <c r="BW5302" s="314"/>
      <c r="BX5302" s="155"/>
    </row>
    <row r="5303" spans="1:76" ht="15.75" customHeight="1">
      <c r="A5303" s="25"/>
      <c r="B5303" s="39"/>
      <c r="C5303" s="155"/>
      <c r="D5303" s="155"/>
      <c r="E5303" s="40"/>
      <c r="F5303" s="314"/>
      <c r="H5303" s="315"/>
      <c r="I5303" s="315"/>
      <c r="BA5303" s="30"/>
      <c r="BB5303" s="155"/>
      <c r="BC5303" s="314"/>
      <c r="BD5303" s="314"/>
      <c r="BE5303" s="314"/>
      <c r="BF5303" s="314"/>
      <c r="BG5303" s="314"/>
      <c r="BH5303" s="314"/>
      <c r="BI5303" s="314"/>
      <c r="BJ5303" s="314"/>
      <c r="BK5303" s="40"/>
      <c r="BL5303" s="40"/>
      <c r="BM5303" s="40"/>
      <c r="BN5303" s="40"/>
      <c r="BO5303" s="40"/>
      <c r="BP5303" s="155"/>
      <c r="BQ5303" s="314"/>
      <c r="BR5303" s="314"/>
      <c r="BS5303" s="314"/>
      <c r="BT5303" s="314"/>
      <c r="BU5303" s="314"/>
      <c r="BV5303" s="314"/>
      <c r="BW5303" s="314"/>
      <c r="BX5303" s="155"/>
    </row>
    <row r="5304" spans="1:76" ht="15.75" customHeight="1">
      <c r="A5304" s="25"/>
      <c r="B5304" s="39"/>
      <c r="C5304" s="155"/>
      <c r="D5304" s="155"/>
      <c r="E5304" s="40"/>
      <c r="F5304" s="314"/>
      <c r="H5304" s="315"/>
      <c r="I5304" s="315"/>
      <c r="BA5304" s="30"/>
      <c r="BB5304" s="155"/>
      <c r="BC5304" s="314"/>
      <c r="BD5304" s="314"/>
      <c r="BE5304" s="314"/>
      <c r="BF5304" s="314"/>
      <c r="BG5304" s="314"/>
      <c r="BH5304" s="314"/>
      <c r="BI5304" s="314"/>
      <c r="BJ5304" s="314"/>
      <c r="BK5304" s="40"/>
      <c r="BL5304" s="40"/>
      <c r="BM5304" s="40"/>
      <c r="BN5304" s="40"/>
      <c r="BO5304" s="40"/>
      <c r="BP5304" s="155"/>
      <c r="BQ5304" s="314"/>
      <c r="BR5304" s="314"/>
      <c r="BS5304" s="314"/>
      <c r="BT5304" s="314"/>
      <c r="BU5304" s="314"/>
      <c r="BV5304" s="314"/>
      <c r="BW5304" s="314"/>
      <c r="BX5304" s="155"/>
    </row>
    <row r="5305" spans="1:76" ht="15.75" customHeight="1">
      <c r="A5305" s="25"/>
      <c r="B5305" s="39"/>
      <c r="C5305" s="155"/>
      <c r="D5305" s="155"/>
      <c r="E5305" s="40"/>
      <c r="F5305" s="314"/>
      <c r="H5305" s="315"/>
      <c r="I5305" s="315"/>
      <c r="BA5305" s="30"/>
      <c r="BB5305" s="155"/>
      <c r="BC5305" s="314"/>
      <c r="BD5305" s="314"/>
      <c r="BE5305" s="314"/>
      <c r="BF5305" s="314"/>
      <c r="BG5305" s="314"/>
      <c r="BH5305" s="314"/>
      <c r="BI5305" s="314"/>
      <c r="BJ5305" s="314"/>
      <c r="BK5305" s="40"/>
      <c r="BL5305" s="40"/>
      <c r="BM5305" s="40"/>
      <c r="BN5305" s="40"/>
      <c r="BO5305" s="40"/>
      <c r="BP5305" s="155"/>
      <c r="BQ5305" s="314"/>
      <c r="BR5305" s="314"/>
      <c r="BS5305" s="314"/>
      <c r="BT5305" s="314"/>
      <c r="BU5305" s="314"/>
      <c r="BV5305" s="314"/>
      <c r="BW5305" s="314"/>
      <c r="BX5305" s="155"/>
    </row>
    <row r="5306" spans="1:76" ht="15.75" customHeight="1">
      <c r="A5306" s="25"/>
      <c r="B5306" s="39"/>
      <c r="C5306" s="155"/>
      <c r="D5306" s="155"/>
      <c r="E5306" s="40"/>
      <c r="F5306" s="314"/>
      <c r="H5306" s="315"/>
      <c r="I5306" s="315"/>
      <c r="BA5306" s="30"/>
      <c r="BB5306" s="155"/>
      <c r="BC5306" s="314"/>
      <c r="BD5306" s="314"/>
      <c r="BE5306" s="314"/>
      <c r="BF5306" s="314"/>
      <c r="BG5306" s="314"/>
      <c r="BH5306" s="314"/>
      <c r="BI5306" s="314"/>
      <c r="BJ5306" s="314"/>
      <c r="BK5306" s="40"/>
      <c r="BL5306" s="40"/>
      <c r="BM5306" s="40"/>
      <c r="BN5306" s="40"/>
      <c r="BO5306" s="40"/>
      <c r="BP5306" s="155"/>
      <c r="BQ5306" s="314"/>
      <c r="BR5306" s="314"/>
      <c r="BS5306" s="314"/>
      <c r="BT5306" s="314"/>
      <c r="BU5306" s="314"/>
      <c r="BV5306" s="314"/>
      <c r="BW5306" s="314"/>
      <c r="BX5306" s="155"/>
    </row>
    <row r="5307" spans="1:76" ht="15.75" customHeight="1">
      <c r="A5307" s="25"/>
      <c r="B5307" s="39"/>
      <c r="C5307" s="155"/>
      <c r="D5307" s="155"/>
      <c r="E5307" s="40"/>
      <c r="F5307" s="314"/>
      <c r="H5307" s="315"/>
      <c r="I5307" s="315"/>
      <c r="BA5307" s="30"/>
      <c r="BB5307" s="155"/>
      <c r="BC5307" s="314"/>
      <c r="BD5307" s="314"/>
      <c r="BE5307" s="314"/>
      <c r="BF5307" s="314"/>
      <c r="BG5307" s="314"/>
      <c r="BH5307" s="314"/>
      <c r="BI5307" s="314"/>
      <c r="BJ5307" s="314"/>
      <c r="BK5307" s="40"/>
      <c r="BL5307" s="40"/>
      <c r="BM5307" s="40"/>
      <c r="BN5307" s="40"/>
      <c r="BO5307" s="40"/>
      <c r="BP5307" s="155"/>
      <c r="BQ5307" s="314"/>
      <c r="BR5307" s="314"/>
      <c r="BS5307" s="314"/>
      <c r="BT5307" s="314"/>
      <c r="BU5307" s="314"/>
      <c r="BV5307" s="314"/>
      <c r="BW5307" s="314"/>
      <c r="BX5307" s="155"/>
    </row>
    <row r="5308" spans="1:76" ht="15.75" customHeight="1">
      <c r="A5308" s="25"/>
      <c r="B5308" s="39"/>
      <c r="C5308" s="155"/>
      <c r="D5308" s="155"/>
      <c r="E5308" s="40"/>
      <c r="F5308" s="314"/>
      <c r="H5308" s="315"/>
      <c r="I5308" s="315"/>
      <c r="BA5308" s="30"/>
      <c r="BB5308" s="155"/>
      <c r="BC5308" s="314"/>
      <c r="BD5308" s="314"/>
      <c r="BE5308" s="314"/>
      <c r="BF5308" s="314"/>
      <c r="BG5308" s="314"/>
      <c r="BH5308" s="314"/>
      <c r="BI5308" s="314"/>
      <c r="BJ5308" s="314"/>
      <c r="BK5308" s="40"/>
      <c r="BL5308" s="40"/>
      <c r="BM5308" s="40"/>
      <c r="BN5308" s="40"/>
      <c r="BO5308" s="40"/>
      <c r="BP5308" s="155"/>
      <c r="BQ5308" s="314"/>
      <c r="BR5308" s="314"/>
      <c r="BS5308" s="314"/>
      <c r="BT5308" s="314"/>
      <c r="BU5308" s="314"/>
      <c r="BV5308" s="314"/>
      <c r="BW5308" s="314"/>
      <c r="BX5308" s="155"/>
    </row>
    <row r="5309" spans="1:76" ht="15.75" customHeight="1">
      <c r="A5309" s="25"/>
      <c r="B5309" s="39"/>
      <c r="C5309" s="155"/>
      <c r="D5309" s="155"/>
      <c r="E5309" s="40"/>
      <c r="F5309" s="314"/>
      <c r="H5309" s="315"/>
      <c r="I5309" s="315"/>
      <c r="BA5309" s="30"/>
      <c r="BB5309" s="155"/>
      <c r="BC5309" s="314"/>
      <c r="BD5309" s="314"/>
      <c r="BE5309" s="314"/>
      <c r="BF5309" s="314"/>
      <c r="BG5309" s="314"/>
      <c r="BH5309" s="314"/>
      <c r="BI5309" s="314"/>
      <c r="BJ5309" s="314"/>
      <c r="BK5309" s="40"/>
      <c r="BL5309" s="40"/>
      <c r="BM5309" s="40"/>
      <c r="BN5309" s="40"/>
      <c r="BO5309" s="40"/>
      <c r="BP5309" s="155"/>
      <c r="BQ5309" s="314"/>
      <c r="BR5309" s="314"/>
      <c r="BS5309" s="314"/>
      <c r="BT5309" s="314"/>
      <c r="BU5309" s="314"/>
      <c r="BV5309" s="314"/>
      <c r="BW5309" s="314"/>
      <c r="BX5309" s="155"/>
    </row>
    <row r="5310" spans="1:76" ht="15.75" customHeight="1">
      <c r="A5310" s="25"/>
      <c r="B5310" s="39"/>
      <c r="C5310" s="155"/>
      <c r="D5310" s="155"/>
      <c r="E5310" s="40"/>
      <c r="F5310" s="314"/>
      <c r="H5310" s="315"/>
      <c r="I5310" s="315"/>
      <c r="BA5310" s="30"/>
      <c r="BB5310" s="155"/>
      <c r="BC5310" s="322"/>
      <c r="BD5310" s="322"/>
      <c r="BE5310" s="322"/>
      <c r="BF5310" s="322"/>
      <c r="BG5310" s="322"/>
      <c r="BH5310" s="322"/>
      <c r="BI5310" s="322"/>
      <c r="BJ5310" s="322"/>
      <c r="BK5310" s="341"/>
      <c r="BL5310" s="40"/>
      <c r="BM5310" s="40"/>
      <c r="BN5310" s="40"/>
      <c r="BO5310" s="40"/>
      <c r="BP5310" s="155"/>
      <c r="BQ5310" s="314"/>
      <c r="BR5310" s="314"/>
      <c r="BS5310" s="314"/>
      <c r="BT5310" s="314"/>
      <c r="BU5310" s="314"/>
      <c r="BV5310" s="314"/>
      <c r="BW5310" s="314"/>
      <c r="BX5310" s="155"/>
    </row>
    <row r="5311" spans="1:76" ht="15.75" customHeight="1">
      <c r="A5311" s="25"/>
      <c r="B5311" s="39"/>
      <c r="C5311" s="155"/>
      <c r="D5311" s="155"/>
      <c r="E5311" s="40"/>
      <c r="F5311" s="314"/>
      <c r="H5311" s="315"/>
      <c r="I5311" s="315"/>
      <c r="BA5311" s="30"/>
      <c r="BB5311" s="155"/>
      <c r="BC5311" s="314"/>
      <c r="BD5311" s="314"/>
      <c r="BE5311" s="314"/>
      <c r="BF5311" s="314"/>
      <c r="BG5311" s="314"/>
      <c r="BH5311" s="314"/>
      <c r="BI5311" s="314"/>
      <c r="BJ5311" s="314"/>
      <c r="BK5311" s="40"/>
      <c r="BL5311" s="40"/>
      <c r="BM5311" s="40"/>
      <c r="BN5311" s="40"/>
      <c r="BO5311" s="40"/>
      <c r="BP5311" s="155"/>
      <c r="BQ5311" s="314"/>
      <c r="BR5311" s="314"/>
      <c r="BS5311" s="314"/>
      <c r="BT5311" s="314"/>
      <c r="BU5311" s="314"/>
      <c r="BV5311" s="314"/>
      <c r="BW5311" s="314"/>
      <c r="BX5311" s="155"/>
    </row>
    <row r="5312" spans="1:76" ht="15.75" customHeight="1">
      <c r="A5312" s="25"/>
      <c r="B5312" s="39"/>
      <c r="C5312" s="155"/>
      <c r="D5312" s="155"/>
      <c r="E5312" s="40"/>
      <c r="F5312" s="314"/>
      <c r="H5312" s="315"/>
      <c r="I5312" s="315"/>
      <c r="BA5312" s="30"/>
      <c r="BB5312" s="155"/>
      <c r="BC5312" s="314"/>
      <c r="BD5312" s="314"/>
      <c r="BE5312" s="314"/>
      <c r="BF5312" s="314"/>
      <c r="BG5312" s="314"/>
      <c r="BH5312" s="314"/>
      <c r="BI5312" s="314"/>
      <c r="BJ5312" s="314"/>
      <c r="BK5312" s="40"/>
      <c r="BL5312" s="40"/>
      <c r="BM5312" s="40"/>
      <c r="BN5312" s="40"/>
      <c r="BO5312" s="40"/>
      <c r="BP5312" s="155"/>
      <c r="BQ5312" s="314"/>
      <c r="BR5312" s="314"/>
      <c r="BS5312" s="314"/>
      <c r="BT5312" s="314"/>
      <c r="BU5312" s="314"/>
      <c r="BV5312" s="314"/>
      <c r="BW5312" s="314"/>
      <c r="BX5312" s="155"/>
    </row>
    <row r="5313" spans="1:76" ht="15.75" customHeight="1">
      <c r="A5313" s="25"/>
      <c r="B5313" s="39"/>
      <c r="C5313" s="155"/>
      <c r="D5313" s="155"/>
      <c r="E5313" s="40"/>
      <c r="F5313" s="314"/>
      <c r="H5313" s="315"/>
      <c r="I5313" s="315"/>
      <c r="BA5313" s="30"/>
      <c r="BB5313" s="155"/>
      <c r="BC5313" s="314"/>
      <c r="BD5313" s="314"/>
      <c r="BE5313" s="314"/>
      <c r="BF5313" s="314"/>
      <c r="BG5313" s="314"/>
      <c r="BH5313" s="314"/>
      <c r="BI5313" s="314"/>
      <c r="BJ5313" s="314"/>
      <c r="BK5313" s="40"/>
      <c r="BL5313" s="40"/>
      <c r="BM5313" s="40"/>
      <c r="BN5313" s="40"/>
      <c r="BO5313" s="40"/>
      <c r="BP5313" s="155"/>
      <c r="BQ5313" s="314"/>
      <c r="BR5313" s="314"/>
      <c r="BS5313" s="314"/>
      <c r="BT5313" s="314"/>
      <c r="BU5313" s="314"/>
      <c r="BV5313" s="314"/>
      <c r="BW5313" s="314"/>
      <c r="BX5313" s="155"/>
    </row>
    <row r="5314" spans="1:76" ht="15.75" customHeight="1">
      <c r="A5314" s="25"/>
      <c r="B5314" s="39"/>
      <c r="C5314" s="155"/>
      <c r="D5314" s="155"/>
      <c r="E5314" s="40"/>
      <c r="F5314" s="314"/>
      <c r="H5314" s="315"/>
      <c r="I5314" s="315"/>
      <c r="BA5314" s="30"/>
      <c r="BB5314" s="155"/>
      <c r="BC5314" s="314"/>
      <c r="BD5314" s="314"/>
      <c r="BE5314" s="314"/>
      <c r="BF5314" s="314"/>
      <c r="BG5314" s="314"/>
      <c r="BH5314" s="314"/>
      <c r="BI5314" s="314"/>
      <c r="BJ5314" s="314"/>
      <c r="BK5314" s="40"/>
      <c r="BL5314" s="40"/>
      <c r="BM5314" s="40"/>
      <c r="BN5314" s="40"/>
      <c r="BO5314" s="40"/>
      <c r="BP5314" s="155"/>
      <c r="BQ5314" s="314"/>
      <c r="BR5314" s="314"/>
      <c r="BS5314" s="314"/>
      <c r="BT5314" s="314"/>
      <c r="BU5314" s="314"/>
      <c r="BV5314" s="314"/>
      <c r="BW5314" s="314"/>
      <c r="BX5314" s="155"/>
    </row>
    <row r="5315" spans="1:76" ht="15.75" customHeight="1">
      <c r="A5315" s="25"/>
      <c r="B5315" s="39"/>
      <c r="C5315" s="155"/>
      <c r="D5315" s="155"/>
      <c r="E5315" s="40"/>
      <c r="F5315" s="314"/>
      <c r="H5315" s="315"/>
      <c r="I5315" s="315"/>
      <c r="BA5315" s="30"/>
      <c r="BB5315" s="155"/>
      <c r="BC5315" s="314"/>
      <c r="BD5315" s="314"/>
      <c r="BE5315" s="314"/>
      <c r="BF5315" s="314"/>
      <c r="BG5315" s="314"/>
      <c r="BH5315" s="314"/>
      <c r="BI5315" s="314"/>
      <c r="BJ5315" s="314"/>
      <c r="BK5315" s="40"/>
      <c r="BL5315" s="40"/>
      <c r="BM5315" s="40"/>
      <c r="BN5315" s="40"/>
      <c r="BO5315" s="40"/>
      <c r="BP5315" s="155"/>
      <c r="BQ5315" s="314"/>
      <c r="BR5315" s="314"/>
      <c r="BS5315" s="314"/>
      <c r="BT5315" s="314"/>
      <c r="BU5315" s="314"/>
      <c r="BV5315" s="314"/>
      <c r="BW5315" s="314"/>
      <c r="BX5315" s="155"/>
    </row>
    <row r="5316" spans="1:76" ht="15.75" customHeight="1">
      <c r="A5316" s="25"/>
      <c r="B5316" s="39"/>
      <c r="C5316" s="155"/>
      <c r="D5316" s="155"/>
      <c r="E5316" s="40"/>
      <c r="F5316" s="314"/>
      <c r="H5316" s="315"/>
      <c r="I5316" s="315"/>
      <c r="BA5316" s="30"/>
      <c r="BB5316" s="155"/>
      <c r="BC5316" s="314"/>
      <c r="BD5316" s="314"/>
      <c r="BE5316" s="314"/>
      <c r="BF5316" s="314"/>
      <c r="BG5316" s="314"/>
      <c r="BH5316" s="314"/>
      <c r="BI5316" s="314"/>
      <c r="BJ5316" s="314"/>
      <c r="BK5316" s="40"/>
      <c r="BL5316" s="40"/>
      <c r="BM5316" s="40"/>
      <c r="BN5316" s="40"/>
      <c r="BO5316" s="40"/>
      <c r="BP5316" s="155"/>
      <c r="BQ5316" s="314"/>
      <c r="BR5316" s="314"/>
      <c r="BS5316" s="314"/>
      <c r="BT5316" s="314"/>
      <c r="BU5316" s="314"/>
      <c r="BV5316" s="314"/>
      <c r="BW5316" s="314"/>
      <c r="BX5316" s="155"/>
    </row>
    <row r="5317" spans="1:76" ht="15.75" customHeight="1">
      <c r="A5317" s="25"/>
      <c r="B5317" s="39"/>
      <c r="C5317" s="155"/>
      <c r="D5317" s="155"/>
      <c r="E5317" s="40"/>
      <c r="F5317" s="314"/>
      <c r="H5317" s="315"/>
      <c r="I5317" s="315"/>
      <c r="BA5317" s="30"/>
      <c r="BB5317" s="155"/>
      <c r="BC5317" s="314"/>
      <c r="BD5317" s="314"/>
      <c r="BE5317" s="314"/>
      <c r="BF5317" s="314"/>
      <c r="BG5317" s="314"/>
      <c r="BH5317" s="314"/>
      <c r="BI5317" s="314"/>
      <c r="BJ5317" s="314"/>
      <c r="BK5317" s="40"/>
      <c r="BL5317" s="40"/>
      <c r="BM5317" s="40"/>
      <c r="BN5317" s="40"/>
      <c r="BO5317" s="40"/>
      <c r="BP5317" s="155"/>
      <c r="BQ5317" s="314"/>
      <c r="BR5317" s="314"/>
      <c r="BS5317" s="314"/>
      <c r="BT5317" s="314"/>
      <c r="BU5317" s="314"/>
      <c r="BV5317" s="314"/>
      <c r="BW5317" s="314"/>
      <c r="BX5317" s="155"/>
    </row>
    <row r="5318" spans="1:76" ht="15.75" customHeight="1">
      <c r="A5318" s="25"/>
      <c r="B5318" s="39"/>
      <c r="C5318" s="155"/>
      <c r="D5318" s="155"/>
      <c r="E5318" s="40"/>
      <c r="F5318" s="314"/>
      <c r="H5318" s="315"/>
      <c r="I5318" s="315"/>
      <c r="BA5318" s="30"/>
      <c r="BB5318" s="155"/>
      <c r="BC5318" s="314"/>
      <c r="BD5318" s="314"/>
      <c r="BE5318" s="314"/>
      <c r="BF5318" s="314"/>
      <c r="BG5318" s="314"/>
      <c r="BH5318" s="314"/>
      <c r="BI5318" s="314"/>
      <c r="BJ5318" s="314"/>
      <c r="BK5318" s="40"/>
      <c r="BL5318" s="40"/>
      <c r="BM5318" s="40"/>
      <c r="BN5318" s="40"/>
      <c r="BO5318" s="40"/>
      <c r="BP5318" s="155"/>
      <c r="BQ5318" s="314"/>
      <c r="BR5318" s="314"/>
      <c r="BS5318" s="314"/>
      <c r="BT5318" s="314"/>
      <c r="BU5318" s="314"/>
      <c r="BV5318" s="314"/>
      <c r="BW5318" s="314"/>
      <c r="BX5318" s="155"/>
    </row>
    <row r="5319" spans="1:76" ht="15.75" customHeight="1">
      <c r="A5319" s="25"/>
      <c r="B5319" s="39"/>
      <c r="C5319" s="155"/>
      <c r="D5319" s="155"/>
      <c r="E5319" s="40"/>
      <c r="F5319" s="314"/>
      <c r="H5319" s="315"/>
      <c r="I5319" s="315"/>
      <c r="BA5319" s="30"/>
      <c r="BB5319" s="155"/>
      <c r="BC5319" s="314"/>
      <c r="BD5319" s="314"/>
      <c r="BE5319" s="314"/>
      <c r="BF5319" s="314"/>
      <c r="BG5319" s="314"/>
      <c r="BH5319" s="314"/>
      <c r="BI5319" s="314"/>
      <c r="BJ5319" s="314"/>
      <c r="BK5319" s="40"/>
      <c r="BL5319" s="40"/>
      <c r="BM5319" s="40"/>
      <c r="BN5319" s="40"/>
      <c r="BO5319" s="40"/>
      <c r="BP5319" s="155"/>
      <c r="BQ5319" s="314"/>
      <c r="BR5319" s="314"/>
      <c r="BS5319" s="314"/>
      <c r="BT5319" s="314"/>
      <c r="BU5319" s="314"/>
      <c r="BV5319" s="314"/>
      <c r="BW5319" s="314"/>
      <c r="BX5319" s="155"/>
    </row>
    <row r="5320" spans="1:76" ht="15.75" customHeight="1">
      <c r="A5320" s="25"/>
      <c r="B5320" s="39"/>
      <c r="C5320" s="155"/>
      <c r="D5320" s="155"/>
      <c r="E5320" s="40"/>
      <c r="F5320" s="314"/>
      <c r="H5320" s="315"/>
      <c r="I5320" s="315"/>
      <c r="BA5320" s="30"/>
      <c r="BB5320" s="155"/>
      <c r="BC5320" s="314"/>
      <c r="BD5320" s="314"/>
      <c r="BE5320" s="314"/>
      <c r="BF5320" s="314"/>
      <c r="BG5320" s="314"/>
      <c r="BH5320" s="314"/>
      <c r="BI5320" s="314"/>
      <c r="BJ5320" s="314"/>
      <c r="BK5320" s="40"/>
      <c r="BL5320" s="40"/>
      <c r="BM5320" s="40"/>
      <c r="BN5320" s="40"/>
      <c r="BO5320" s="40"/>
      <c r="BP5320" s="155"/>
      <c r="BQ5320" s="314"/>
      <c r="BR5320" s="314"/>
      <c r="BS5320" s="314"/>
      <c r="BT5320" s="314"/>
      <c r="BU5320" s="314"/>
      <c r="BV5320" s="314"/>
      <c r="BW5320" s="314"/>
      <c r="BX5320" s="155"/>
    </row>
    <row r="5321" spans="1:76" ht="15.75" customHeight="1">
      <c r="A5321" s="25"/>
      <c r="B5321" s="39"/>
      <c r="C5321" s="155"/>
      <c r="D5321" s="155"/>
      <c r="E5321" s="40"/>
      <c r="F5321" s="314"/>
      <c r="H5321" s="315"/>
      <c r="I5321" s="315"/>
      <c r="BA5321" s="30"/>
      <c r="BB5321" s="155"/>
      <c r="BC5321" s="314"/>
      <c r="BD5321" s="314"/>
      <c r="BE5321" s="314"/>
      <c r="BF5321" s="314"/>
      <c r="BG5321" s="314"/>
      <c r="BH5321" s="314"/>
      <c r="BI5321" s="314"/>
      <c r="BJ5321" s="314"/>
      <c r="BK5321" s="40"/>
      <c r="BL5321" s="40"/>
      <c r="BM5321" s="40"/>
      <c r="BN5321" s="40"/>
      <c r="BO5321" s="40"/>
      <c r="BP5321" s="155"/>
      <c r="BQ5321" s="314"/>
      <c r="BR5321" s="314"/>
      <c r="BS5321" s="314"/>
      <c r="BT5321" s="314"/>
      <c r="BU5321" s="314"/>
      <c r="BV5321" s="314"/>
      <c r="BW5321" s="314"/>
      <c r="BX5321" s="155"/>
    </row>
    <row r="5322" spans="1:76" ht="15.75" customHeight="1">
      <c r="A5322" s="25"/>
      <c r="B5322" s="39"/>
      <c r="C5322" s="155"/>
      <c r="D5322" s="155"/>
      <c r="E5322" s="40"/>
      <c r="F5322" s="314"/>
      <c r="H5322" s="315"/>
      <c r="I5322" s="315"/>
      <c r="BA5322" s="30"/>
      <c r="BB5322" s="155"/>
      <c r="BC5322" s="314"/>
      <c r="BD5322" s="314"/>
      <c r="BE5322" s="314"/>
      <c r="BF5322" s="314"/>
      <c r="BG5322" s="314"/>
      <c r="BH5322" s="314"/>
      <c r="BI5322" s="314"/>
      <c r="BJ5322" s="314"/>
      <c r="BK5322" s="40"/>
      <c r="BL5322" s="40"/>
      <c r="BM5322" s="40"/>
      <c r="BN5322" s="40"/>
      <c r="BO5322" s="40"/>
      <c r="BP5322" s="155"/>
      <c r="BQ5322" s="314"/>
      <c r="BR5322" s="314"/>
      <c r="BS5322" s="314"/>
      <c r="BT5322" s="314"/>
      <c r="BU5322" s="314"/>
      <c r="BV5322" s="314"/>
      <c r="BW5322" s="314"/>
      <c r="BX5322" s="155"/>
    </row>
    <row r="5323" spans="1:76" ht="15.75" customHeight="1">
      <c r="A5323" s="25"/>
      <c r="B5323" s="39"/>
      <c r="C5323" s="155"/>
      <c r="D5323" s="155"/>
      <c r="E5323" s="40"/>
      <c r="F5323" s="314"/>
      <c r="H5323" s="315"/>
      <c r="I5323" s="315"/>
      <c r="BA5323" s="30"/>
      <c r="BB5323" s="155"/>
      <c r="BC5323" s="314"/>
      <c r="BD5323" s="314"/>
      <c r="BE5323" s="314"/>
      <c r="BF5323" s="314"/>
      <c r="BG5323" s="314"/>
      <c r="BH5323" s="314"/>
      <c r="BI5323" s="314"/>
      <c r="BJ5323" s="314"/>
      <c r="BK5323" s="40"/>
      <c r="BL5323" s="40"/>
      <c r="BM5323" s="40"/>
      <c r="BN5323" s="40"/>
      <c r="BO5323" s="40"/>
      <c r="BP5323" s="155"/>
      <c r="BQ5323" s="314"/>
      <c r="BR5323" s="314"/>
      <c r="BS5323" s="314"/>
      <c r="BT5323" s="314"/>
      <c r="BU5323" s="314"/>
      <c r="BV5323" s="314"/>
      <c r="BW5323" s="314"/>
      <c r="BX5323" s="155"/>
    </row>
    <row r="5324" spans="1:76" ht="15.75" customHeight="1">
      <c r="A5324" s="25"/>
      <c r="B5324" s="39"/>
      <c r="C5324" s="155"/>
      <c r="D5324" s="155"/>
      <c r="E5324" s="40"/>
      <c r="F5324" s="314"/>
      <c r="H5324" s="315"/>
      <c r="I5324" s="315"/>
      <c r="BA5324" s="30"/>
      <c r="BB5324" s="155"/>
      <c r="BC5324" s="314"/>
      <c r="BD5324" s="314"/>
      <c r="BE5324" s="314"/>
      <c r="BF5324" s="314"/>
      <c r="BG5324" s="314"/>
      <c r="BH5324" s="314"/>
      <c r="BI5324" s="314"/>
      <c r="BJ5324" s="314"/>
      <c r="BK5324" s="40"/>
      <c r="BL5324" s="40"/>
      <c r="BM5324" s="40"/>
      <c r="BN5324" s="40"/>
      <c r="BO5324" s="40"/>
      <c r="BP5324" s="155"/>
      <c r="BQ5324" s="314"/>
      <c r="BR5324" s="314"/>
      <c r="BS5324" s="314"/>
      <c r="BT5324" s="314"/>
      <c r="BU5324" s="314"/>
      <c r="BV5324" s="314"/>
      <c r="BW5324" s="314"/>
      <c r="BX5324" s="155"/>
    </row>
    <row r="5325" spans="1:76" ht="15.75" customHeight="1">
      <c r="A5325" s="25"/>
      <c r="B5325" s="39"/>
      <c r="C5325" s="155"/>
      <c r="D5325" s="155"/>
      <c r="E5325" s="40"/>
      <c r="F5325" s="314"/>
      <c r="H5325" s="315"/>
      <c r="I5325" s="315"/>
      <c r="BA5325" s="30"/>
      <c r="BB5325" s="155"/>
      <c r="BC5325" s="314"/>
      <c r="BD5325" s="314"/>
      <c r="BE5325" s="314"/>
      <c r="BF5325" s="314"/>
      <c r="BG5325" s="314"/>
      <c r="BH5325" s="314"/>
      <c r="BI5325" s="314"/>
      <c r="BJ5325" s="314"/>
      <c r="BK5325" s="40"/>
      <c r="BL5325" s="40"/>
      <c r="BM5325" s="40"/>
      <c r="BN5325" s="40"/>
      <c r="BO5325" s="40"/>
      <c r="BP5325" s="155"/>
      <c r="BQ5325" s="314"/>
      <c r="BR5325" s="314"/>
      <c r="BS5325" s="314"/>
      <c r="BT5325" s="314"/>
      <c r="BU5325" s="314"/>
      <c r="BV5325" s="314"/>
      <c r="BW5325" s="314"/>
      <c r="BX5325" s="155"/>
    </row>
    <row r="5326" spans="1:76" ht="15.75" customHeight="1">
      <c r="A5326" s="25"/>
      <c r="B5326" s="39"/>
      <c r="C5326" s="155"/>
      <c r="D5326" s="155"/>
      <c r="E5326" s="40"/>
      <c r="F5326" s="314"/>
      <c r="H5326" s="315"/>
      <c r="I5326" s="315"/>
      <c r="BA5326" s="30"/>
      <c r="BB5326" s="155"/>
      <c r="BC5326" s="314"/>
      <c r="BD5326" s="314"/>
      <c r="BE5326" s="314"/>
      <c r="BF5326" s="314"/>
      <c r="BG5326" s="314"/>
      <c r="BH5326" s="314"/>
      <c r="BI5326" s="314"/>
      <c r="BJ5326" s="314"/>
      <c r="BK5326" s="40"/>
      <c r="BL5326" s="40"/>
      <c r="BM5326" s="40"/>
      <c r="BN5326" s="40"/>
      <c r="BO5326" s="40"/>
      <c r="BP5326" s="155"/>
      <c r="BQ5326" s="314"/>
      <c r="BR5326" s="314"/>
      <c r="BS5326" s="314"/>
      <c r="BT5326" s="314"/>
      <c r="BU5326" s="314"/>
      <c r="BV5326" s="314"/>
      <c r="BW5326" s="314"/>
      <c r="BX5326" s="155"/>
    </row>
    <row r="5327" spans="1:76" ht="15.75" customHeight="1">
      <c r="A5327" s="25"/>
      <c r="B5327" s="39"/>
      <c r="C5327" s="155"/>
      <c r="D5327" s="155"/>
      <c r="E5327" s="40"/>
      <c r="F5327" s="314"/>
      <c r="H5327" s="315"/>
      <c r="I5327" s="315"/>
      <c r="BA5327" s="30"/>
      <c r="BB5327" s="155"/>
      <c r="BC5327" s="314"/>
      <c r="BD5327" s="314"/>
      <c r="BE5327" s="314"/>
      <c r="BF5327" s="314"/>
      <c r="BG5327" s="314"/>
      <c r="BH5327" s="314"/>
      <c r="BI5327" s="314"/>
      <c r="BJ5327" s="314"/>
      <c r="BK5327" s="40"/>
      <c r="BL5327" s="40"/>
      <c r="BM5327" s="40"/>
      <c r="BN5327" s="40"/>
      <c r="BO5327" s="40"/>
      <c r="BP5327" s="155"/>
      <c r="BQ5327" s="314"/>
      <c r="BR5327" s="314"/>
      <c r="BS5327" s="314"/>
      <c r="BT5327" s="314"/>
      <c r="BU5327" s="314"/>
      <c r="BV5327" s="314"/>
      <c r="BW5327" s="314"/>
      <c r="BX5327" s="155"/>
    </row>
    <row r="5328" spans="1:76" ht="15.75" customHeight="1">
      <c r="A5328" s="25"/>
      <c r="B5328" s="39"/>
      <c r="C5328" s="155"/>
      <c r="D5328" s="155"/>
      <c r="E5328" s="40"/>
      <c r="F5328" s="314"/>
      <c r="H5328" s="315"/>
      <c r="I5328" s="315"/>
      <c r="BA5328" s="30"/>
      <c r="BB5328" s="155"/>
      <c r="BC5328" s="322"/>
      <c r="BD5328" s="322"/>
      <c r="BE5328" s="322"/>
      <c r="BF5328" s="322"/>
      <c r="BG5328" s="322"/>
      <c r="BH5328" s="322"/>
      <c r="BI5328" s="322"/>
      <c r="BJ5328" s="322"/>
      <c r="BK5328" s="341"/>
      <c r="BL5328" s="40"/>
      <c r="BM5328" s="40"/>
      <c r="BN5328" s="40"/>
      <c r="BO5328" s="40"/>
      <c r="BP5328" s="155"/>
      <c r="BQ5328" s="314"/>
      <c r="BR5328" s="314"/>
      <c r="BS5328" s="314"/>
      <c r="BT5328" s="314"/>
      <c r="BU5328" s="314"/>
      <c r="BV5328" s="314"/>
      <c r="BW5328" s="314"/>
      <c r="BX5328" s="155"/>
    </row>
    <row r="5329" spans="1:76" ht="15.75" customHeight="1">
      <c r="A5329" s="25"/>
      <c r="B5329" s="39"/>
      <c r="C5329" s="155"/>
      <c r="D5329" s="155"/>
      <c r="E5329" s="40"/>
      <c r="F5329" s="314"/>
      <c r="H5329" s="315"/>
      <c r="I5329" s="315"/>
      <c r="BA5329" s="30"/>
      <c r="BB5329" s="155"/>
      <c r="BC5329" s="314"/>
      <c r="BD5329" s="314"/>
      <c r="BE5329" s="314"/>
      <c r="BF5329" s="314"/>
      <c r="BG5329" s="314"/>
      <c r="BH5329" s="314"/>
      <c r="BI5329" s="314"/>
      <c r="BJ5329" s="314"/>
      <c r="BK5329" s="40"/>
      <c r="BL5329" s="40"/>
      <c r="BM5329" s="40"/>
      <c r="BN5329" s="40"/>
      <c r="BO5329" s="40"/>
      <c r="BP5329" s="155"/>
      <c r="BQ5329" s="314"/>
      <c r="BR5329" s="314"/>
      <c r="BS5329" s="314"/>
      <c r="BT5329" s="314"/>
      <c r="BU5329" s="314"/>
      <c r="BV5329" s="314"/>
      <c r="BW5329" s="314"/>
      <c r="BX5329" s="155"/>
    </row>
    <row r="5330" spans="1:76" ht="15.75" customHeight="1">
      <c r="A5330" s="25"/>
      <c r="B5330" s="39"/>
      <c r="C5330" s="155"/>
      <c r="D5330" s="155"/>
      <c r="E5330" s="40"/>
      <c r="F5330" s="314"/>
      <c r="H5330" s="315"/>
      <c r="I5330" s="315"/>
      <c r="BA5330" s="30"/>
      <c r="BB5330" s="155"/>
      <c r="BC5330" s="314"/>
      <c r="BD5330" s="314"/>
      <c r="BE5330" s="314"/>
      <c r="BF5330" s="314"/>
      <c r="BG5330" s="314"/>
      <c r="BH5330" s="314"/>
      <c r="BI5330" s="314"/>
      <c r="BJ5330" s="314"/>
      <c r="BK5330" s="40"/>
      <c r="BL5330" s="40"/>
      <c r="BM5330" s="40"/>
      <c r="BN5330" s="40"/>
      <c r="BO5330" s="40"/>
      <c r="BP5330" s="155"/>
      <c r="BQ5330" s="314"/>
      <c r="BR5330" s="314"/>
      <c r="BS5330" s="314"/>
      <c r="BT5330" s="314"/>
      <c r="BU5330" s="314"/>
      <c r="BV5330" s="314"/>
      <c r="BW5330" s="314"/>
      <c r="BX5330" s="155"/>
    </row>
    <row r="5331" spans="1:76" ht="15.75" customHeight="1">
      <c r="A5331" s="25"/>
      <c r="B5331" s="39"/>
      <c r="C5331" s="155"/>
      <c r="D5331" s="155"/>
      <c r="E5331" s="40"/>
      <c r="F5331" s="314"/>
      <c r="H5331" s="315"/>
      <c r="I5331" s="315"/>
      <c r="BA5331" s="30"/>
      <c r="BB5331" s="155"/>
      <c r="BC5331" s="314"/>
      <c r="BD5331" s="314"/>
      <c r="BE5331" s="314"/>
      <c r="BF5331" s="314"/>
      <c r="BG5331" s="314"/>
      <c r="BH5331" s="314"/>
      <c r="BI5331" s="314"/>
      <c r="BJ5331" s="314"/>
      <c r="BK5331" s="40"/>
      <c r="BL5331" s="40"/>
      <c r="BM5331" s="40"/>
      <c r="BN5331" s="40"/>
      <c r="BO5331" s="40"/>
      <c r="BP5331" s="155"/>
      <c r="BQ5331" s="314"/>
      <c r="BR5331" s="314"/>
      <c r="BS5331" s="314"/>
      <c r="BT5331" s="314"/>
      <c r="BU5331" s="314"/>
      <c r="BV5331" s="314"/>
      <c r="BW5331" s="314"/>
      <c r="BX5331" s="155"/>
    </row>
    <row r="5332" spans="1:76" ht="15.75" customHeight="1">
      <c r="A5332" s="25"/>
      <c r="B5332" s="39"/>
      <c r="C5332" s="155"/>
      <c r="D5332" s="155"/>
      <c r="E5332" s="40"/>
      <c r="F5332" s="314"/>
      <c r="H5332" s="315"/>
      <c r="I5332" s="315"/>
      <c r="BA5332" s="30"/>
      <c r="BB5332" s="155"/>
      <c r="BC5332" s="314"/>
      <c r="BD5332" s="314"/>
      <c r="BE5332" s="314"/>
      <c r="BF5332" s="314"/>
      <c r="BG5332" s="314"/>
      <c r="BH5332" s="314"/>
      <c r="BI5332" s="314"/>
      <c r="BJ5332" s="314"/>
      <c r="BK5332" s="40"/>
      <c r="BL5332" s="40"/>
      <c r="BM5332" s="40"/>
      <c r="BN5332" s="40"/>
      <c r="BO5332" s="40"/>
      <c r="BP5332" s="155"/>
      <c r="BQ5332" s="314"/>
      <c r="BR5332" s="314"/>
      <c r="BS5332" s="314"/>
      <c r="BT5332" s="314"/>
      <c r="BU5332" s="314"/>
      <c r="BV5332" s="314"/>
      <c r="BW5332" s="314"/>
      <c r="BX5332" s="155"/>
    </row>
    <row r="5333" spans="1:76" ht="15.75" customHeight="1">
      <c r="A5333" s="25"/>
      <c r="B5333" s="39"/>
      <c r="C5333" s="155"/>
      <c r="D5333" s="155"/>
      <c r="E5333" s="40"/>
      <c r="F5333" s="314"/>
      <c r="H5333" s="315"/>
      <c r="I5333" s="315"/>
      <c r="BA5333" s="30"/>
      <c r="BB5333" s="155"/>
      <c r="BC5333" s="314"/>
      <c r="BD5333" s="314"/>
      <c r="BE5333" s="314"/>
      <c r="BF5333" s="314"/>
      <c r="BG5333" s="314"/>
      <c r="BH5333" s="314"/>
      <c r="BI5333" s="314"/>
      <c r="BJ5333" s="314"/>
      <c r="BK5333" s="40"/>
      <c r="BL5333" s="40"/>
      <c r="BM5333" s="40"/>
      <c r="BN5333" s="40"/>
      <c r="BO5333" s="40"/>
      <c r="BP5333" s="155"/>
      <c r="BQ5333" s="314"/>
      <c r="BR5333" s="314"/>
      <c r="BS5333" s="314"/>
      <c r="BT5333" s="314"/>
      <c r="BU5333" s="314"/>
      <c r="BV5333" s="314"/>
      <c r="BW5333" s="314"/>
      <c r="BX5333" s="155"/>
    </row>
    <row r="5334" spans="1:76" ht="15.75" customHeight="1">
      <c r="A5334" s="25"/>
      <c r="B5334" s="39"/>
      <c r="C5334" s="155"/>
      <c r="D5334" s="155"/>
      <c r="E5334" s="40"/>
      <c r="F5334" s="314"/>
      <c r="H5334" s="315"/>
      <c r="I5334" s="315"/>
      <c r="BA5334" s="30"/>
      <c r="BB5334" s="155"/>
      <c r="BC5334" s="314"/>
      <c r="BD5334" s="314"/>
      <c r="BE5334" s="314"/>
      <c r="BF5334" s="314"/>
      <c r="BG5334" s="314"/>
      <c r="BH5334" s="314"/>
      <c r="BI5334" s="314"/>
      <c r="BJ5334" s="314"/>
      <c r="BK5334" s="40"/>
      <c r="BL5334" s="40"/>
      <c r="BM5334" s="40"/>
      <c r="BN5334" s="40"/>
      <c r="BO5334" s="40"/>
      <c r="BP5334" s="155"/>
      <c r="BQ5334" s="314"/>
      <c r="BR5334" s="314"/>
      <c r="BS5334" s="314"/>
      <c r="BT5334" s="314"/>
      <c r="BU5334" s="314"/>
      <c r="BV5334" s="314"/>
      <c r="BW5334" s="314"/>
      <c r="BX5334" s="155"/>
    </row>
    <row r="5335" spans="1:76" ht="15.75" customHeight="1">
      <c r="A5335" s="25"/>
      <c r="B5335" s="39"/>
      <c r="C5335" s="155"/>
      <c r="D5335" s="155"/>
      <c r="E5335" s="40"/>
      <c r="F5335" s="314"/>
      <c r="H5335" s="315"/>
      <c r="I5335" s="315"/>
      <c r="BA5335" s="30"/>
      <c r="BB5335" s="155"/>
      <c r="BC5335" s="314"/>
      <c r="BD5335" s="314"/>
      <c r="BE5335" s="314"/>
      <c r="BF5335" s="314"/>
      <c r="BG5335" s="314"/>
      <c r="BH5335" s="314"/>
      <c r="BI5335" s="314"/>
      <c r="BJ5335" s="314"/>
      <c r="BK5335" s="40"/>
      <c r="BL5335" s="40"/>
      <c r="BM5335" s="40"/>
      <c r="BN5335" s="40"/>
      <c r="BO5335" s="40"/>
      <c r="BP5335" s="155"/>
      <c r="BQ5335" s="314"/>
      <c r="BR5335" s="314"/>
      <c r="BS5335" s="314"/>
      <c r="BT5335" s="314"/>
      <c r="BU5335" s="314"/>
      <c r="BV5335" s="314"/>
      <c r="BW5335" s="314"/>
      <c r="BX5335" s="155"/>
    </row>
    <row r="5336" spans="1:76" ht="15.75" customHeight="1">
      <c r="A5336" s="25"/>
      <c r="B5336" s="39"/>
      <c r="C5336" s="155"/>
      <c r="D5336" s="155"/>
      <c r="E5336" s="40"/>
      <c r="F5336" s="314"/>
      <c r="H5336" s="315"/>
      <c r="I5336" s="315"/>
      <c r="BA5336" s="30"/>
      <c r="BB5336" s="155"/>
      <c r="BC5336" s="314"/>
      <c r="BD5336" s="314"/>
      <c r="BE5336" s="314"/>
      <c r="BF5336" s="314"/>
      <c r="BG5336" s="314"/>
      <c r="BH5336" s="314"/>
      <c r="BI5336" s="314"/>
      <c r="BJ5336" s="314"/>
      <c r="BK5336" s="40"/>
      <c r="BL5336" s="40"/>
      <c r="BM5336" s="40"/>
      <c r="BN5336" s="40"/>
      <c r="BO5336" s="40"/>
      <c r="BP5336" s="155"/>
      <c r="BQ5336" s="314"/>
      <c r="BR5336" s="314"/>
      <c r="BS5336" s="314"/>
      <c r="BT5336" s="314"/>
      <c r="BU5336" s="314"/>
      <c r="BV5336" s="314"/>
      <c r="BW5336" s="314"/>
      <c r="BX5336" s="155"/>
    </row>
    <row r="5337" spans="1:76" ht="15.75" customHeight="1">
      <c r="A5337" s="25"/>
      <c r="B5337" s="39"/>
      <c r="C5337" s="155"/>
      <c r="D5337" s="155"/>
      <c r="E5337" s="40"/>
      <c r="F5337" s="314"/>
      <c r="H5337" s="315"/>
      <c r="I5337" s="315"/>
      <c r="BA5337" s="30"/>
      <c r="BB5337" s="155"/>
      <c r="BC5337" s="314"/>
      <c r="BD5337" s="314"/>
      <c r="BE5337" s="314"/>
      <c r="BF5337" s="314"/>
      <c r="BG5337" s="314"/>
      <c r="BH5337" s="314"/>
      <c r="BI5337" s="314"/>
      <c r="BJ5337" s="314"/>
      <c r="BK5337" s="40"/>
      <c r="BL5337" s="40"/>
      <c r="BM5337" s="40"/>
      <c r="BN5337" s="40"/>
      <c r="BO5337" s="40"/>
      <c r="BP5337" s="155"/>
      <c r="BQ5337" s="314"/>
      <c r="BR5337" s="314"/>
      <c r="BS5337" s="314"/>
      <c r="BT5337" s="314"/>
      <c r="BU5337" s="314"/>
      <c r="BV5337" s="314"/>
      <c r="BW5337" s="314"/>
      <c r="BX5337" s="155"/>
    </row>
    <row r="5338" spans="1:76" ht="15.75" customHeight="1">
      <c r="A5338" s="25"/>
      <c r="B5338" s="39"/>
      <c r="C5338" s="155"/>
      <c r="D5338" s="155"/>
      <c r="E5338" s="40"/>
      <c r="F5338" s="314"/>
      <c r="H5338" s="315"/>
      <c r="I5338" s="315"/>
      <c r="BA5338" s="30"/>
      <c r="BB5338" s="155"/>
      <c r="BC5338" s="314"/>
      <c r="BD5338" s="314"/>
      <c r="BE5338" s="314"/>
      <c r="BF5338" s="314"/>
      <c r="BG5338" s="314"/>
      <c r="BH5338" s="314"/>
      <c r="BI5338" s="314"/>
      <c r="BJ5338" s="314"/>
      <c r="BK5338" s="40"/>
      <c r="BL5338" s="40"/>
      <c r="BM5338" s="40"/>
      <c r="BN5338" s="40"/>
      <c r="BO5338" s="40"/>
      <c r="BP5338" s="155"/>
      <c r="BQ5338" s="314"/>
      <c r="BR5338" s="314"/>
      <c r="BS5338" s="314"/>
      <c r="BT5338" s="314"/>
      <c r="BU5338" s="314"/>
      <c r="BV5338" s="314"/>
      <c r="BW5338" s="314"/>
      <c r="BX5338" s="155"/>
    </row>
    <row r="5339" spans="1:76" ht="15.75" customHeight="1">
      <c r="A5339" s="25"/>
      <c r="B5339" s="39"/>
      <c r="C5339" s="155"/>
      <c r="D5339" s="155"/>
      <c r="E5339" s="40"/>
      <c r="F5339" s="314"/>
      <c r="H5339" s="315"/>
      <c r="I5339" s="315"/>
      <c r="BA5339" s="30"/>
      <c r="BB5339" s="155"/>
      <c r="BC5339" s="314"/>
      <c r="BD5339" s="314"/>
      <c r="BE5339" s="314"/>
      <c r="BF5339" s="314"/>
      <c r="BG5339" s="314"/>
      <c r="BH5339" s="314"/>
      <c r="BI5339" s="314"/>
      <c r="BJ5339" s="314"/>
      <c r="BK5339" s="40"/>
      <c r="BL5339" s="40"/>
      <c r="BM5339" s="40"/>
      <c r="BN5339" s="40"/>
      <c r="BO5339" s="40"/>
      <c r="BP5339" s="155"/>
      <c r="BQ5339" s="314"/>
      <c r="BR5339" s="314"/>
      <c r="BS5339" s="314"/>
      <c r="BT5339" s="314"/>
      <c r="BU5339" s="314"/>
      <c r="BV5339" s="314"/>
      <c r="BW5339" s="314"/>
      <c r="BX5339" s="155"/>
    </row>
    <row r="5340" spans="1:76" ht="15.75" customHeight="1">
      <c r="A5340" s="25"/>
      <c r="B5340" s="39"/>
      <c r="C5340" s="155"/>
      <c r="D5340" s="155"/>
      <c r="E5340" s="40"/>
      <c r="F5340" s="314"/>
      <c r="H5340" s="315"/>
      <c r="I5340" s="315"/>
      <c r="BA5340" s="30"/>
      <c r="BB5340" s="155"/>
      <c r="BC5340" s="314"/>
      <c r="BD5340" s="314"/>
      <c r="BE5340" s="314"/>
      <c r="BF5340" s="314"/>
      <c r="BG5340" s="314"/>
      <c r="BH5340" s="314"/>
      <c r="BI5340" s="314"/>
      <c r="BJ5340" s="314"/>
      <c r="BK5340" s="40"/>
      <c r="BL5340" s="40"/>
      <c r="BM5340" s="40"/>
      <c r="BN5340" s="40"/>
      <c r="BO5340" s="40"/>
      <c r="BP5340" s="155"/>
      <c r="BQ5340" s="314"/>
      <c r="BR5340" s="314"/>
      <c r="BS5340" s="314"/>
      <c r="BT5340" s="314"/>
      <c r="BU5340" s="314"/>
      <c r="BV5340" s="314"/>
      <c r="BW5340" s="314"/>
      <c r="BX5340" s="155"/>
    </row>
    <row r="5341" spans="1:76" ht="15.75" customHeight="1">
      <c r="A5341" s="25"/>
      <c r="B5341" s="39"/>
      <c r="C5341" s="155"/>
      <c r="D5341" s="155"/>
      <c r="E5341" s="40"/>
      <c r="F5341" s="314"/>
      <c r="H5341" s="315"/>
      <c r="I5341" s="315"/>
      <c r="BA5341" s="30"/>
      <c r="BB5341" s="155"/>
      <c r="BC5341" s="314"/>
      <c r="BD5341" s="314"/>
      <c r="BE5341" s="314"/>
      <c r="BF5341" s="314"/>
      <c r="BG5341" s="314"/>
      <c r="BH5341" s="314"/>
      <c r="BI5341" s="314"/>
      <c r="BJ5341" s="314"/>
      <c r="BK5341" s="40"/>
      <c r="BL5341" s="40"/>
      <c r="BM5341" s="40"/>
      <c r="BN5341" s="40"/>
      <c r="BO5341" s="40"/>
      <c r="BP5341" s="155"/>
      <c r="BQ5341" s="314"/>
      <c r="BR5341" s="314"/>
      <c r="BS5341" s="314"/>
      <c r="BT5341" s="314"/>
      <c r="BU5341" s="314"/>
      <c r="BV5341" s="314"/>
      <c r="BW5341" s="314"/>
      <c r="BX5341" s="155"/>
    </row>
    <row r="5342" spans="1:76" ht="15.75" customHeight="1">
      <c r="A5342" s="25"/>
      <c r="B5342" s="39"/>
      <c r="C5342" s="155"/>
      <c r="D5342" s="155"/>
      <c r="E5342" s="40"/>
      <c r="F5342" s="314"/>
      <c r="H5342" s="315"/>
      <c r="I5342" s="315"/>
      <c r="BA5342" s="30"/>
      <c r="BB5342" s="155"/>
      <c r="BC5342" s="314"/>
      <c r="BD5342" s="314"/>
      <c r="BE5342" s="314"/>
      <c r="BF5342" s="314"/>
      <c r="BG5342" s="314"/>
      <c r="BH5342" s="314"/>
      <c r="BI5342" s="314"/>
      <c r="BJ5342" s="314"/>
      <c r="BK5342" s="40"/>
      <c r="BL5342" s="40"/>
      <c r="BM5342" s="40"/>
      <c r="BN5342" s="40"/>
      <c r="BO5342" s="40"/>
      <c r="BP5342" s="155"/>
      <c r="BQ5342" s="314"/>
      <c r="BR5342" s="314"/>
      <c r="BS5342" s="314"/>
      <c r="BT5342" s="314"/>
      <c r="BU5342" s="314"/>
      <c r="BV5342" s="314"/>
      <c r="BW5342" s="314"/>
      <c r="BX5342" s="155"/>
    </row>
    <row r="5343" spans="1:76" ht="15.75" customHeight="1">
      <c r="A5343" s="25"/>
      <c r="B5343" s="39"/>
      <c r="C5343" s="155"/>
      <c r="D5343" s="155"/>
      <c r="E5343" s="40"/>
      <c r="F5343" s="314"/>
      <c r="H5343" s="315"/>
      <c r="I5343" s="315"/>
      <c r="BA5343" s="30"/>
      <c r="BB5343" s="155"/>
      <c r="BC5343" s="314"/>
      <c r="BD5343" s="314"/>
      <c r="BE5343" s="314"/>
      <c r="BF5343" s="314"/>
      <c r="BG5343" s="314"/>
      <c r="BH5343" s="314"/>
      <c r="BI5343" s="314"/>
      <c r="BJ5343" s="314"/>
      <c r="BK5343" s="40"/>
      <c r="BL5343" s="40"/>
      <c r="BM5343" s="40"/>
      <c r="BN5343" s="40"/>
      <c r="BO5343" s="40"/>
      <c r="BP5343" s="155"/>
      <c r="BQ5343" s="314"/>
      <c r="BR5343" s="314"/>
      <c r="BS5343" s="314"/>
      <c r="BT5343" s="314"/>
      <c r="BU5343" s="314"/>
      <c r="BV5343" s="314"/>
      <c r="BW5343" s="314"/>
      <c r="BX5343" s="155"/>
    </row>
    <row r="5344" spans="1:76" ht="15.75" customHeight="1">
      <c r="A5344" s="25"/>
      <c r="B5344" s="39"/>
      <c r="C5344" s="155"/>
      <c r="D5344" s="155"/>
      <c r="E5344" s="40"/>
      <c r="F5344" s="314"/>
      <c r="H5344" s="315"/>
      <c r="I5344" s="315"/>
      <c r="BA5344" s="30"/>
      <c r="BB5344" s="155"/>
      <c r="BC5344" s="314"/>
      <c r="BD5344" s="314"/>
      <c r="BE5344" s="314"/>
      <c r="BF5344" s="314"/>
      <c r="BG5344" s="314"/>
      <c r="BH5344" s="314"/>
      <c r="BI5344" s="314"/>
      <c r="BJ5344" s="314"/>
      <c r="BK5344" s="40"/>
      <c r="BL5344" s="40"/>
      <c r="BM5344" s="40"/>
      <c r="BN5344" s="40"/>
      <c r="BO5344" s="40"/>
      <c r="BP5344" s="155"/>
      <c r="BQ5344" s="314"/>
      <c r="BR5344" s="314"/>
      <c r="BS5344" s="314"/>
      <c r="BT5344" s="314"/>
      <c r="BU5344" s="314"/>
      <c r="BV5344" s="314"/>
      <c r="BW5344" s="314"/>
      <c r="BX5344" s="155"/>
    </row>
    <row r="5345" spans="1:76" ht="15.75" customHeight="1">
      <c r="A5345" s="25"/>
      <c r="B5345" s="39"/>
      <c r="C5345" s="155"/>
      <c r="D5345" s="155"/>
      <c r="E5345" s="40"/>
      <c r="F5345" s="314"/>
      <c r="H5345" s="315"/>
      <c r="I5345" s="315"/>
      <c r="BA5345" s="30"/>
      <c r="BB5345" s="155"/>
      <c r="BC5345" s="314"/>
      <c r="BD5345" s="314"/>
      <c r="BE5345" s="314"/>
      <c r="BF5345" s="314"/>
      <c r="BG5345" s="314"/>
      <c r="BH5345" s="314"/>
      <c r="BI5345" s="314"/>
      <c r="BJ5345" s="314"/>
      <c r="BK5345" s="40"/>
      <c r="BL5345" s="40"/>
      <c r="BM5345" s="40"/>
      <c r="BN5345" s="40"/>
      <c r="BO5345" s="40"/>
      <c r="BP5345" s="155"/>
      <c r="BQ5345" s="314"/>
      <c r="BR5345" s="314"/>
      <c r="BS5345" s="314"/>
      <c r="BT5345" s="314"/>
      <c r="BU5345" s="314"/>
      <c r="BV5345" s="314"/>
      <c r="BW5345" s="314"/>
      <c r="BX5345" s="155"/>
    </row>
    <row r="5346" spans="1:76" ht="15.75" customHeight="1">
      <c r="A5346" s="25"/>
      <c r="B5346" s="39"/>
      <c r="C5346" s="155"/>
      <c r="D5346" s="155"/>
      <c r="E5346" s="40"/>
      <c r="F5346" s="314"/>
      <c r="H5346" s="315"/>
      <c r="I5346" s="315"/>
      <c r="BA5346" s="30"/>
      <c r="BB5346" s="155"/>
      <c r="BC5346" s="322"/>
      <c r="BD5346" s="322"/>
      <c r="BE5346" s="322"/>
      <c r="BF5346" s="322"/>
      <c r="BG5346" s="322"/>
      <c r="BH5346" s="322"/>
      <c r="BI5346" s="322"/>
      <c r="BJ5346" s="322"/>
      <c r="BK5346" s="341"/>
      <c r="BL5346" s="40"/>
      <c r="BM5346" s="40"/>
      <c r="BN5346" s="40"/>
      <c r="BO5346" s="40"/>
      <c r="BP5346" s="155"/>
      <c r="BQ5346" s="314"/>
      <c r="BR5346" s="314"/>
      <c r="BS5346" s="314"/>
      <c r="BT5346" s="314"/>
      <c r="BU5346" s="314"/>
      <c r="BV5346" s="314"/>
      <c r="BW5346" s="314"/>
      <c r="BX5346" s="155"/>
    </row>
    <row r="5347" spans="1:76" ht="15.75" customHeight="1">
      <c r="A5347" s="25"/>
      <c r="B5347" s="39"/>
      <c r="C5347" s="155"/>
      <c r="D5347" s="155"/>
      <c r="E5347" s="40"/>
      <c r="F5347" s="314"/>
      <c r="H5347" s="315"/>
      <c r="I5347" s="315"/>
      <c r="BA5347" s="30"/>
      <c r="BB5347" s="155"/>
      <c r="BC5347" s="314"/>
      <c r="BD5347" s="314"/>
      <c r="BE5347" s="314"/>
      <c r="BF5347" s="314"/>
      <c r="BG5347" s="314"/>
      <c r="BH5347" s="314"/>
      <c r="BI5347" s="314"/>
      <c r="BJ5347" s="314"/>
      <c r="BK5347" s="40"/>
      <c r="BL5347" s="40"/>
      <c r="BM5347" s="40"/>
      <c r="BN5347" s="40"/>
      <c r="BO5347" s="40"/>
      <c r="BP5347" s="155"/>
      <c r="BQ5347" s="314"/>
      <c r="BR5347" s="314"/>
      <c r="BS5347" s="314"/>
      <c r="BT5347" s="314"/>
      <c r="BU5347" s="314"/>
      <c r="BV5347" s="314"/>
      <c r="BW5347" s="314"/>
      <c r="BX5347" s="155"/>
    </row>
    <row r="5348" spans="1:76" ht="15.75" customHeight="1">
      <c r="A5348" s="25"/>
      <c r="B5348" s="39"/>
      <c r="C5348" s="155"/>
      <c r="D5348" s="155"/>
      <c r="E5348" s="40"/>
      <c r="F5348" s="314"/>
      <c r="H5348" s="315"/>
      <c r="I5348" s="315"/>
      <c r="BA5348" s="30"/>
      <c r="BB5348" s="155"/>
      <c r="BC5348" s="314"/>
      <c r="BD5348" s="314"/>
      <c r="BE5348" s="314"/>
      <c r="BF5348" s="314"/>
      <c r="BG5348" s="314"/>
      <c r="BH5348" s="314"/>
      <c r="BI5348" s="314"/>
      <c r="BJ5348" s="314"/>
      <c r="BK5348" s="40"/>
      <c r="BL5348" s="40"/>
      <c r="BM5348" s="40"/>
      <c r="BN5348" s="40"/>
      <c r="BO5348" s="40"/>
      <c r="BP5348" s="155"/>
      <c r="BQ5348" s="314"/>
      <c r="BR5348" s="314"/>
      <c r="BS5348" s="314"/>
      <c r="BT5348" s="314"/>
      <c r="BU5348" s="314"/>
      <c r="BV5348" s="314"/>
      <c r="BW5348" s="314"/>
      <c r="BX5348" s="155"/>
    </row>
    <row r="5349" spans="1:76" ht="15.75" customHeight="1">
      <c r="A5349" s="25"/>
      <c r="B5349" s="39"/>
      <c r="C5349" s="155"/>
      <c r="D5349" s="155"/>
      <c r="E5349" s="40"/>
      <c r="F5349" s="314"/>
      <c r="H5349" s="315"/>
      <c r="I5349" s="315"/>
      <c r="BA5349" s="30"/>
      <c r="BB5349" s="155"/>
      <c r="BC5349" s="314"/>
      <c r="BD5349" s="314"/>
      <c r="BE5349" s="314"/>
      <c r="BF5349" s="314"/>
      <c r="BG5349" s="314"/>
      <c r="BH5349" s="314"/>
      <c r="BI5349" s="314"/>
      <c r="BJ5349" s="314"/>
      <c r="BK5349" s="40"/>
      <c r="BL5349" s="40"/>
      <c r="BM5349" s="40"/>
      <c r="BN5349" s="40"/>
      <c r="BO5349" s="40"/>
      <c r="BP5349" s="155"/>
      <c r="BQ5349" s="314"/>
      <c r="BR5349" s="314"/>
      <c r="BS5349" s="314"/>
      <c r="BT5349" s="314"/>
      <c r="BU5349" s="314"/>
      <c r="BV5349" s="314"/>
      <c r="BW5349" s="314"/>
      <c r="BX5349" s="155"/>
    </row>
    <row r="5350" spans="1:76" ht="15.75" customHeight="1">
      <c r="A5350" s="25"/>
      <c r="B5350" s="39"/>
      <c r="C5350" s="155"/>
      <c r="D5350" s="155"/>
      <c r="E5350" s="40"/>
      <c r="F5350" s="314"/>
      <c r="H5350" s="315"/>
      <c r="I5350" s="315"/>
      <c r="BA5350" s="30"/>
      <c r="BB5350" s="155"/>
      <c r="BC5350" s="314"/>
      <c r="BD5350" s="314"/>
      <c r="BE5350" s="314"/>
      <c r="BF5350" s="314"/>
      <c r="BG5350" s="314"/>
      <c r="BH5350" s="314"/>
      <c r="BI5350" s="314"/>
      <c r="BJ5350" s="314"/>
      <c r="BK5350" s="40"/>
      <c r="BL5350" s="40"/>
      <c r="BM5350" s="40"/>
      <c r="BN5350" s="40"/>
      <c r="BO5350" s="40"/>
      <c r="BP5350" s="155"/>
      <c r="BQ5350" s="314"/>
      <c r="BR5350" s="314"/>
      <c r="BS5350" s="314"/>
      <c r="BT5350" s="314"/>
      <c r="BU5350" s="314"/>
      <c r="BV5350" s="314"/>
      <c r="BW5350" s="314"/>
      <c r="BX5350" s="155"/>
    </row>
    <row r="5351" spans="1:76" ht="15.75" customHeight="1">
      <c r="A5351" s="25"/>
      <c r="B5351" s="39"/>
      <c r="C5351" s="155"/>
      <c r="D5351" s="155"/>
      <c r="E5351" s="40"/>
      <c r="F5351" s="314"/>
      <c r="H5351" s="315"/>
      <c r="I5351" s="315"/>
      <c r="BA5351" s="30"/>
      <c r="BB5351" s="155"/>
      <c r="BC5351" s="314"/>
      <c r="BD5351" s="314"/>
      <c r="BE5351" s="314"/>
      <c r="BF5351" s="314"/>
      <c r="BG5351" s="314"/>
      <c r="BH5351" s="314"/>
      <c r="BI5351" s="314"/>
      <c r="BJ5351" s="314"/>
      <c r="BK5351" s="40"/>
      <c r="BL5351" s="40"/>
      <c r="BM5351" s="40"/>
      <c r="BN5351" s="40"/>
      <c r="BO5351" s="40"/>
      <c r="BP5351" s="155"/>
      <c r="BQ5351" s="314"/>
      <c r="BR5351" s="314"/>
      <c r="BS5351" s="314"/>
      <c r="BT5351" s="314"/>
      <c r="BU5351" s="314"/>
      <c r="BV5351" s="314"/>
      <c r="BW5351" s="314"/>
      <c r="BX5351" s="155"/>
    </row>
    <row r="5352" spans="1:76" ht="15.75" customHeight="1">
      <c r="A5352" s="25"/>
      <c r="B5352" s="39"/>
      <c r="C5352" s="155"/>
      <c r="D5352" s="155"/>
      <c r="E5352" s="40"/>
      <c r="F5352" s="314"/>
      <c r="H5352" s="315"/>
      <c r="I5352" s="315"/>
      <c r="BA5352" s="30"/>
      <c r="BB5352" s="155"/>
      <c r="BC5352" s="314"/>
      <c r="BD5352" s="314"/>
      <c r="BE5352" s="314"/>
      <c r="BF5352" s="314"/>
      <c r="BG5352" s="314"/>
      <c r="BH5352" s="314"/>
      <c r="BI5352" s="314"/>
      <c r="BJ5352" s="314"/>
      <c r="BK5352" s="40"/>
      <c r="BL5352" s="40"/>
      <c r="BM5352" s="40"/>
      <c r="BN5352" s="40"/>
      <c r="BO5352" s="40"/>
      <c r="BP5352" s="155"/>
      <c r="BQ5352" s="314"/>
      <c r="BR5352" s="314"/>
      <c r="BS5352" s="314"/>
      <c r="BT5352" s="314"/>
      <c r="BU5352" s="314"/>
      <c r="BV5352" s="314"/>
      <c r="BW5352" s="314"/>
      <c r="BX5352" s="155"/>
    </row>
    <row r="5353" spans="1:76" ht="15.75" customHeight="1">
      <c r="A5353" s="25"/>
      <c r="B5353" s="39"/>
      <c r="C5353" s="155"/>
      <c r="D5353" s="155"/>
      <c r="E5353" s="40"/>
      <c r="F5353" s="314"/>
      <c r="H5353" s="315"/>
      <c r="I5353" s="315"/>
      <c r="BA5353" s="30"/>
      <c r="BB5353" s="155"/>
      <c r="BC5353" s="314"/>
      <c r="BD5353" s="314"/>
      <c r="BE5353" s="314"/>
      <c r="BF5353" s="314"/>
      <c r="BG5353" s="314"/>
      <c r="BH5353" s="314"/>
      <c r="BI5353" s="314"/>
      <c r="BJ5353" s="314"/>
      <c r="BK5353" s="40"/>
      <c r="BL5353" s="40"/>
      <c r="BM5353" s="40"/>
      <c r="BN5353" s="40"/>
      <c r="BO5353" s="40"/>
      <c r="BP5353" s="155"/>
      <c r="BQ5353" s="314"/>
      <c r="BR5353" s="314"/>
      <c r="BS5353" s="314"/>
      <c r="BT5353" s="314"/>
      <c r="BU5353" s="314"/>
      <c r="BV5353" s="314"/>
      <c r="BW5353" s="314"/>
      <c r="BX5353" s="155"/>
    </row>
    <row r="5354" spans="1:76" ht="15.75" customHeight="1">
      <c r="A5354" s="25"/>
      <c r="B5354" s="39"/>
      <c r="C5354" s="155"/>
      <c r="D5354" s="155"/>
      <c r="E5354" s="40"/>
      <c r="F5354" s="314"/>
      <c r="H5354" s="315"/>
      <c r="I5354" s="315"/>
      <c r="BA5354" s="30"/>
      <c r="BB5354" s="155"/>
      <c r="BC5354" s="314"/>
      <c r="BD5354" s="314"/>
      <c r="BE5354" s="314"/>
      <c r="BF5354" s="314"/>
      <c r="BG5354" s="314"/>
      <c r="BH5354" s="314"/>
      <c r="BI5354" s="314"/>
      <c r="BJ5354" s="314"/>
      <c r="BK5354" s="40"/>
      <c r="BL5354" s="40"/>
      <c r="BM5354" s="40"/>
      <c r="BN5354" s="40"/>
      <c r="BO5354" s="40"/>
      <c r="BP5354" s="155"/>
      <c r="BQ5354" s="314"/>
      <c r="BR5354" s="314"/>
      <c r="BS5354" s="314"/>
      <c r="BT5354" s="314"/>
      <c r="BU5354" s="314"/>
      <c r="BV5354" s="314"/>
      <c r="BW5354" s="314"/>
      <c r="BX5354" s="155"/>
    </row>
    <row r="5355" spans="1:76" ht="15.75" customHeight="1">
      <c r="A5355" s="25"/>
      <c r="B5355" s="39"/>
      <c r="C5355" s="155"/>
      <c r="D5355" s="155"/>
      <c r="E5355" s="40"/>
      <c r="F5355" s="314"/>
      <c r="H5355" s="315"/>
      <c r="I5355" s="315"/>
      <c r="BA5355" s="30"/>
      <c r="BB5355" s="155"/>
      <c r="BC5355" s="314"/>
      <c r="BD5355" s="314"/>
      <c r="BE5355" s="314"/>
      <c r="BF5355" s="314"/>
      <c r="BG5355" s="314"/>
      <c r="BH5355" s="314"/>
      <c r="BI5355" s="314"/>
      <c r="BJ5355" s="314"/>
      <c r="BK5355" s="40"/>
      <c r="BL5355" s="40"/>
      <c r="BM5355" s="40"/>
      <c r="BN5355" s="40"/>
      <c r="BO5355" s="40"/>
      <c r="BP5355" s="155"/>
      <c r="BQ5355" s="314"/>
      <c r="BR5355" s="314"/>
      <c r="BS5355" s="314"/>
      <c r="BT5355" s="314"/>
      <c r="BU5355" s="314"/>
      <c r="BV5355" s="314"/>
      <c r="BW5355" s="314"/>
      <c r="BX5355" s="155"/>
    </row>
    <row r="5356" spans="1:76" ht="15.75" customHeight="1">
      <c r="A5356" s="25"/>
      <c r="B5356" s="39"/>
      <c r="C5356" s="155"/>
      <c r="D5356" s="155"/>
      <c r="E5356" s="40"/>
      <c r="F5356" s="314"/>
      <c r="H5356" s="315"/>
      <c r="I5356" s="315"/>
      <c r="BA5356" s="30"/>
      <c r="BB5356" s="155"/>
      <c r="BC5356" s="314"/>
      <c r="BD5356" s="314"/>
      <c r="BE5356" s="314"/>
      <c r="BF5356" s="314"/>
      <c r="BG5356" s="314"/>
      <c r="BH5356" s="314"/>
      <c r="BI5356" s="314"/>
      <c r="BJ5356" s="314"/>
      <c r="BK5356" s="40"/>
      <c r="BL5356" s="40"/>
      <c r="BM5356" s="40"/>
      <c r="BN5356" s="40"/>
      <c r="BO5356" s="40"/>
      <c r="BP5356" s="155"/>
      <c r="BQ5356" s="314"/>
      <c r="BR5356" s="314"/>
      <c r="BS5356" s="314"/>
      <c r="BT5356" s="314"/>
      <c r="BU5356" s="314"/>
      <c r="BV5356" s="314"/>
      <c r="BW5356" s="314"/>
      <c r="BX5356" s="155"/>
    </row>
    <row r="5357" spans="1:76" ht="15.75" customHeight="1">
      <c r="A5357" s="25"/>
      <c r="B5357" s="39"/>
      <c r="C5357" s="155"/>
      <c r="D5357" s="155"/>
      <c r="E5357" s="40"/>
      <c r="F5357" s="314"/>
      <c r="H5357" s="315"/>
      <c r="I5357" s="315"/>
      <c r="BA5357" s="30"/>
      <c r="BB5357" s="155"/>
      <c r="BC5357" s="314"/>
      <c r="BD5357" s="314"/>
      <c r="BE5357" s="314"/>
      <c r="BF5357" s="314"/>
      <c r="BG5357" s="314"/>
      <c r="BH5357" s="314"/>
      <c r="BI5357" s="314"/>
      <c r="BJ5357" s="314"/>
      <c r="BK5357" s="40"/>
      <c r="BL5357" s="40"/>
      <c r="BM5357" s="40"/>
      <c r="BN5357" s="40"/>
      <c r="BO5357" s="40"/>
      <c r="BP5357" s="155"/>
      <c r="BQ5357" s="314"/>
      <c r="BR5357" s="314"/>
      <c r="BS5357" s="314"/>
      <c r="BT5357" s="314"/>
      <c r="BU5357" s="314"/>
      <c r="BV5357" s="314"/>
      <c r="BW5357" s="314"/>
      <c r="BX5357" s="155"/>
    </row>
    <row r="5358" spans="1:76" ht="15.75" customHeight="1">
      <c r="A5358" s="25"/>
      <c r="B5358" s="39"/>
      <c r="C5358" s="155"/>
      <c r="D5358" s="155"/>
      <c r="E5358" s="40"/>
      <c r="F5358" s="314"/>
      <c r="H5358" s="315"/>
      <c r="I5358" s="315"/>
      <c r="BA5358" s="30"/>
      <c r="BB5358" s="155"/>
      <c r="BC5358" s="314"/>
      <c r="BD5358" s="314"/>
      <c r="BE5358" s="314"/>
      <c r="BF5358" s="314"/>
      <c r="BG5358" s="314"/>
      <c r="BH5358" s="314"/>
      <c r="BI5358" s="314"/>
      <c r="BJ5358" s="314"/>
      <c r="BK5358" s="40"/>
      <c r="BL5358" s="40"/>
      <c r="BM5358" s="40"/>
      <c r="BN5358" s="40"/>
      <c r="BO5358" s="40"/>
      <c r="BP5358" s="155"/>
      <c r="BQ5358" s="314"/>
      <c r="BR5358" s="314"/>
      <c r="BS5358" s="314"/>
      <c r="BT5358" s="314"/>
      <c r="BU5358" s="314"/>
      <c r="BV5358" s="314"/>
      <c r="BW5358" s="314"/>
      <c r="BX5358" s="155"/>
    </row>
    <row r="5359" spans="1:76" ht="15.75" customHeight="1">
      <c r="A5359" s="25"/>
      <c r="B5359" s="39"/>
      <c r="C5359" s="155"/>
      <c r="D5359" s="155"/>
      <c r="E5359" s="40"/>
      <c r="F5359" s="314"/>
      <c r="H5359" s="315"/>
      <c r="I5359" s="315"/>
      <c r="BA5359" s="30"/>
      <c r="BB5359" s="155"/>
      <c r="BC5359" s="314"/>
      <c r="BD5359" s="314"/>
      <c r="BE5359" s="314"/>
      <c r="BF5359" s="314"/>
      <c r="BG5359" s="314"/>
      <c r="BH5359" s="314"/>
      <c r="BI5359" s="314"/>
      <c r="BJ5359" s="314"/>
      <c r="BK5359" s="40"/>
      <c r="BL5359" s="40"/>
      <c r="BM5359" s="40"/>
      <c r="BN5359" s="40"/>
      <c r="BO5359" s="40"/>
      <c r="BP5359" s="155"/>
      <c r="BQ5359" s="314"/>
      <c r="BR5359" s="314"/>
      <c r="BS5359" s="314"/>
      <c r="BT5359" s="314"/>
      <c r="BU5359" s="314"/>
      <c r="BV5359" s="314"/>
      <c r="BW5359" s="314"/>
      <c r="BX5359" s="155"/>
    </row>
    <row r="5360" spans="1:76" ht="15.75" customHeight="1">
      <c r="A5360" s="25"/>
      <c r="B5360" s="39"/>
      <c r="C5360" s="155"/>
      <c r="D5360" s="155"/>
      <c r="E5360" s="40"/>
      <c r="F5360" s="314"/>
      <c r="H5360" s="315"/>
      <c r="I5360" s="315"/>
      <c r="BA5360" s="30"/>
      <c r="BB5360" s="155"/>
      <c r="BC5360" s="314"/>
      <c r="BD5360" s="314"/>
      <c r="BE5360" s="314"/>
      <c r="BF5360" s="314"/>
      <c r="BG5360" s="314"/>
      <c r="BH5360" s="314"/>
      <c r="BI5360" s="314"/>
      <c r="BJ5360" s="314"/>
      <c r="BK5360" s="40"/>
      <c r="BL5360" s="40"/>
      <c r="BM5360" s="40"/>
      <c r="BN5360" s="40"/>
      <c r="BO5360" s="40"/>
      <c r="BP5360" s="155"/>
      <c r="BQ5360" s="314"/>
      <c r="BR5360" s="314"/>
      <c r="BS5360" s="314"/>
      <c r="BT5360" s="314"/>
      <c r="BU5360" s="314"/>
      <c r="BV5360" s="314"/>
      <c r="BW5360" s="314"/>
      <c r="BX5360" s="155"/>
    </row>
    <row r="5361" spans="1:76" ht="15.75" customHeight="1">
      <c r="A5361" s="25"/>
      <c r="B5361" s="39"/>
      <c r="C5361" s="155"/>
      <c r="D5361" s="155"/>
      <c r="E5361" s="40"/>
      <c r="F5361" s="314"/>
      <c r="H5361" s="315"/>
      <c r="I5361" s="315"/>
      <c r="BA5361" s="30"/>
      <c r="BB5361" s="155"/>
      <c r="BC5361" s="314"/>
      <c r="BD5361" s="314"/>
      <c r="BE5361" s="314"/>
      <c r="BF5361" s="314"/>
      <c r="BG5361" s="314"/>
      <c r="BH5361" s="314"/>
      <c r="BI5361" s="314"/>
      <c r="BJ5361" s="314"/>
      <c r="BK5361" s="40"/>
      <c r="BL5361" s="40"/>
      <c r="BM5361" s="40"/>
      <c r="BN5361" s="40"/>
      <c r="BO5361" s="40"/>
      <c r="BP5361" s="155"/>
      <c r="BQ5361" s="314"/>
      <c r="BR5361" s="314"/>
      <c r="BS5361" s="314"/>
      <c r="BT5361" s="314"/>
      <c r="BU5361" s="314"/>
      <c r="BV5361" s="314"/>
      <c r="BW5361" s="314"/>
      <c r="BX5361" s="155"/>
    </row>
    <row r="5362" spans="1:76" ht="15.75" customHeight="1">
      <c r="A5362" s="25"/>
      <c r="B5362" s="39"/>
      <c r="C5362" s="155"/>
      <c r="D5362" s="155"/>
      <c r="E5362" s="40"/>
      <c r="F5362" s="314"/>
      <c r="H5362" s="315"/>
      <c r="I5362" s="315"/>
      <c r="BA5362" s="30"/>
      <c r="BB5362" s="155"/>
      <c r="BC5362" s="314"/>
      <c r="BD5362" s="314"/>
      <c r="BE5362" s="314"/>
      <c r="BF5362" s="314"/>
      <c r="BG5362" s="314"/>
      <c r="BH5362" s="314"/>
      <c r="BI5362" s="314"/>
      <c r="BJ5362" s="314"/>
      <c r="BK5362" s="40"/>
      <c r="BL5362" s="40"/>
      <c r="BM5362" s="40"/>
      <c r="BN5362" s="40"/>
      <c r="BO5362" s="40"/>
      <c r="BP5362" s="155"/>
      <c r="BQ5362" s="314"/>
      <c r="BR5362" s="314"/>
      <c r="BS5362" s="314"/>
      <c r="BT5362" s="314"/>
      <c r="BU5362" s="314"/>
      <c r="BV5362" s="314"/>
      <c r="BW5362" s="314"/>
      <c r="BX5362" s="155"/>
    </row>
    <row r="5363" spans="1:76" ht="15.75" customHeight="1">
      <c r="A5363" s="25"/>
      <c r="B5363" s="39"/>
      <c r="C5363" s="155"/>
      <c r="D5363" s="155"/>
      <c r="E5363" s="40"/>
      <c r="F5363" s="314"/>
      <c r="H5363" s="315"/>
      <c r="I5363" s="315"/>
      <c r="BA5363" s="30"/>
      <c r="BB5363" s="155"/>
      <c r="BC5363" s="314"/>
      <c r="BD5363" s="314"/>
      <c r="BE5363" s="314"/>
      <c r="BF5363" s="314"/>
      <c r="BG5363" s="314"/>
      <c r="BH5363" s="314"/>
      <c r="BI5363" s="314"/>
      <c r="BJ5363" s="314"/>
      <c r="BK5363" s="40"/>
      <c r="BL5363" s="40"/>
      <c r="BM5363" s="40"/>
      <c r="BN5363" s="40"/>
      <c r="BO5363" s="40"/>
      <c r="BP5363" s="155"/>
      <c r="BQ5363" s="314"/>
      <c r="BR5363" s="314"/>
      <c r="BS5363" s="314"/>
      <c r="BT5363" s="314"/>
      <c r="BU5363" s="314"/>
      <c r="BV5363" s="314"/>
      <c r="BW5363" s="314"/>
      <c r="BX5363" s="155"/>
    </row>
    <row r="5364" spans="1:76" ht="15.75" customHeight="1">
      <c r="A5364" s="25"/>
      <c r="B5364" s="39"/>
      <c r="C5364" s="155"/>
      <c r="D5364" s="155"/>
      <c r="E5364" s="40"/>
      <c r="F5364" s="314"/>
      <c r="H5364" s="315"/>
      <c r="I5364" s="315"/>
      <c r="BA5364" s="30"/>
      <c r="BB5364" s="155"/>
      <c r="BC5364" s="322"/>
      <c r="BD5364" s="322"/>
      <c r="BE5364" s="322"/>
      <c r="BF5364" s="322"/>
      <c r="BG5364" s="322"/>
      <c r="BH5364" s="322"/>
      <c r="BI5364" s="322"/>
      <c r="BJ5364" s="322"/>
      <c r="BK5364" s="341"/>
      <c r="BL5364" s="40"/>
      <c r="BM5364" s="40"/>
      <c r="BN5364" s="40"/>
      <c r="BO5364" s="40"/>
      <c r="BP5364" s="155"/>
      <c r="BQ5364" s="314"/>
      <c r="BR5364" s="314"/>
      <c r="BS5364" s="314"/>
      <c r="BT5364" s="314"/>
      <c r="BU5364" s="314"/>
      <c r="BV5364" s="314"/>
      <c r="BW5364" s="314"/>
      <c r="BX5364" s="155"/>
    </row>
    <row r="5365" spans="1:76" ht="15.75" customHeight="1">
      <c r="A5365" s="25"/>
      <c r="B5365" s="39"/>
      <c r="C5365" s="155"/>
      <c r="D5365" s="155"/>
      <c r="E5365" s="40"/>
      <c r="F5365" s="314"/>
      <c r="H5365" s="315"/>
      <c r="I5365" s="315"/>
      <c r="BA5365" s="30"/>
      <c r="BB5365" s="155"/>
      <c r="BC5365" s="314"/>
      <c r="BD5365" s="314"/>
      <c r="BE5365" s="314"/>
      <c r="BF5365" s="314"/>
      <c r="BG5365" s="314"/>
      <c r="BH5365" s="314"/>
      <c r="BI5365" s="314"/>
      <c r="BJ5365" s="314"/>
      <c r="BK5365" s="40"/>
      <c r="BL5365" s="40"/>
      <c r="BM5365" s="40"/>
      <c r="BN5365" s="40"/>
      <c r="BO5365" s="40"/>
      <c r="BP5365" s="155"/>
      <c r="BQ5365" s="314"/>
      <c r="BR5365" s="314"/>
      <c r="BS5365" s="314"/>
      <c r="BT5365" s="314"/>
      <c r="BU5365" s="314"/>
      <c r="BV5365" s="314"/>
      <c r="BW5365" s="314"/>
      <c r="BX5365" s="155"/>
    </row>
    <row r="5366" spans="1:76" ht="15.75" customHeight="1">
      <c r="A5366" s="25"/>
      <c r="B5366" s="39"/>
      <c r="C5366" s="155"/>
      <c r="D5366" s="155"/>
      <c r="E5366" s="40"/>
      <c r="F5366" s="314"/>
      <c r="H5366" s="315"/>
      <c r="I5366" s="315"/>
      <c r="BA5366" s="30"/>
      <c r="BB5366" s="155"/>
      <c r="BC5366" s="314"/>
      <c r="BD5366" s="314"/>
      <c r="BE5366" s="314"/>
      <c r="BF5366" s="314"/>
      <c r="BG5366" s="314"/>
      <c r="BH5366" s="314"/>
      <c r="BI5366" s="314"/>
      <c r="BJ5366" s="314"/>
      <c r="BK5366" s="40"/>
      <c r="BL5366" s="40"/>
      <c r="BM5366" s="40"/>
      <c r="BN5366" s="40"/>
      <c r="BO5366" s="40"/>
      <c r="BP5366" s="155"/>
      <c r="BQ5366" s="314"/>
      <c r="BR5366" s="314"/>
      <c r="BS5366" s="314"/>
      <c r="BT5366" s="314"/>
      <c r="BU5366" s="314"/>
      <c r="BV5366" s="314"/>
      <c r="BW5366" s="314"/>
      <c r="BX5366" s="155"/>
    </row>
    <row r="5367" spans="1:76" ht="15.75" customHeight="1">
      <c r="A5367" s="25"/>
      <c r="B5367" s="39"/>
      <c r="C5367" s="155"/>
      <c r="D5367" s="155"/>
      <c r="E5367" s="40"/>
      <c r="F5367" s="314"/>
      <c r="H5367" s="315"/>
      <c r="I5367" s="315"/>
      <c r="BA5367" s="30"/>
      <c r="BB5367" s="155"/>
      <c r="BC5367" s="314"/>
      <c r="BD5367" s="314"/>
      <c r="BE5367" s="314"/>
      <c r="BF5367" s="314"/>
      <c r="BG5367" s="314"/>
      <c r="BH5367" s="314"/>
      <c r="BI5367" s="314"/>
      <c r="BJ5367" s="314"/>
      <c r="BK5367" s="40"/>
      <c r="BL5367" s="40"/>
      <c r="BM5367" s="40"/>
      <c r="BN5367" s="40"/>
      <c r="BO5367" s="40"/>
      <c r="BP5367" s="155"/>
      <c r="BQ5367" s="314"/>
      <c r="BR5367" s="314"/>
      <c r="BS5367" s="314"/>
      <c r="BT5367" s="314"/>
      <c r="BU5367" s="314"/>
      <c r="BV5367" s="314"/>
      <c r="BW5367" s="314"/>
      <c r="BX5367" s="155"/>
    </row>
    <row r="5368" spans="1:76" ht="15.75" customHeight="1">
      <c r="A5368" s="25"/>
      <c r="B5368" s="39"/>
      <c r="C5368" s="155"/>
      <c r="D5368" s="155"/>
      <c r="E5368" s="40"/>
      <c r="F5368" s="314"/>
      <c r="H5368" s="315"/>
      <c r="I5368" s="315"/>
      <c r="BA5368" s="30"/>
      <c r="BB5368" s="155"/>
      <c r="BC5368" s="314"/>
      <c r="BD5368" s="314"/>
      <c r="BE5368" s="314"/>
      <c r="BF5368" s="314"/>
      <c r="BG5368" s="314"/>
      <c r="BH5368" s="314"/>
      <c r="BI5368" s="314"/>
      <c r="BJ5368" s="314"/>
      <c r="BK5368" s="40"/>
      <c r="BL5368" s="40"/>
      <c r="BM5368" s="40"/>
      <c r="BN5368" s="40"/>
      <c r="BO5368" s="40"/>
      <c r="BP5368" s="155"/>
      <c r="BQ5368" s="314"/>
      <c r="BR5368" s="314"/>
      <c r="BS5368" s="314"/>
      <c r="BT5368" s="314"/>
      <c r="BU5368" s="314"/>
      <c r="BV5368" s="314"/>
      <c r="BW5368" s="314"/>
      <c r="BX5368" s="155"/>
    </row>
    <row r="5369" spans="1:76" ht="15.75" customHeight="1">
      <c r="A5369" s="25"/>
      <c r="B5369" s="39"/>
      <c r="C5369" s="155"/>
      <c r="D5369" s="155"/>
      <c r="E5369" s="40"/>
      <c r="F5369" s="314"/>
      <c r="H5369" s="315"/>
      <c r="I5369" s="315"/>
      <c r="BA5369" s="30"/>
      <c r="BB5369" s="155"/>
      <c r="BC5369" s="314"/>
      <c r="BD5369" s="314"/>
      <c r="BE5369" s="314"/>
      <c r="BF5369" s="314"/>
      <c r="BG5369" s="314"/>
      <c r="BH5369" s="314"/>
      <c r="BI5369" s="314"/>
      <c r="BJ5369" s="314"/>
      <c r="BK5369" s="40"/>
      <c r="BL5369" s="40"/>
      <c r="BM5369" s="40"/>
      <c r="BN5369" s="40"/>
      <c r="BO5369" s="40"/>
      <c r="BP5369" s="155"/>
      <c r="BQ5369" s="314"/>
      <c r="BR5369" s="314"/>
      <c r="BS5369" s="314"/>
      <c r="BT5369" s="314"/>
      <c r="BU5369" s="314"/>
      <c r="BV5369" s="314"/>
      <c r="BW5369" s="314"/>
      <c r="BX5369" s="155"/>
    </row>
    <row r="5370" spans="1:76" ht="15.75" customHeight="1">
      <c r="A5370" s="25"/>
      <c r="B5370" s="39"/>
      <c r="C5370" s="155"/>
      <c r="D5370" s="155"/>
      <c r="E5370" s="40"/>
      <c r="F5370" s="314"/>
      <c r="H5370" s="315"/>
      <c r="I5370" s="315"/>
      <c r="BA5370" s="30"/>
      <c r="BB5370" s="155"/>
      <c r="BC5370" s="314"/>
      <c r="BD5370" s="314"/>
      <c r="BE5370" s="314"/>
      <c r="BF5370" s="314"/>
      <c r="BG5370" s="314"/>
      <c r="BH5370" s="314"/>
      <c r="BI5370" s="314"/>
      <c r="BJ5370" s="314"/>
      <c r="BK5370" s="40"/>
      <c r="BL5370" s="40"/>
      <c r="BM5370" s="40"/>
      <c r="BN5370" s="40"/>
      <c r="BO5370" s="40"/>
      <c r="BP5370" s="155"/>
      <c r="BQ5370" s="314"/>
      <c r="BR5370" s="314"/>
      <c r="BS5370" s="314"/>
      <c r="BT5370" s="314"/>
      <c r="BU5370" s="314"/>
      <c r="BV5370" s="314"/>
      <c r="BW5370" s="314"/>
      <c r="BX5370" s="155"/>
    </row>
    <row r="5371" spans="1:76" ht="15.75" customHeight="1">
      <c r="A5371" s="25"/>
      <c r="B5371" s="39"/>
      <c r="C5371" s="155"/>
      <c r="D5371" s="155"/>
      <c r="E5371" s="40"/>
      <c r="F5371" s="314"/>
      <c r="H5371" s="315"/>
      <c r="I5371" s="315"/>
      <c r="BA5371" s="30"/>
      <c r="BB5371" s="155"/>
      <c r="BC5371" s="314"/>
      <c r="BD5371" s="314"/>
      <c r="BE5371" s="314"/>
      <c r="BF5371" s="314"/>
      <c r="BG5371" s="314"/>
      <c r="BH5371" s="314"/>
      <c r="BI5371" s="314"/>
      <c r="BJ5371" s="314"/>
      <c r="BK5371" s="40"/>
      <c r="BL5371" s="40"/>
      <c r="BM5371" s="40"/>
      <c r="BN5371" s="40"/>
      <c r="BO5371" s="40"/>
      <c r="BP5371" s="155"/>
      <c r="BQ5371" s="314"/>
      <c r="BR5371" s="314"/>
      <c r="BS5371" s="314"/>
      <c r="BT5371" s="314"/>
      <c r="BU5371" s="314"/>
      <c r="BV5371" s="314"/>
      <c r="BW5371" s="314"/>
      <c r="BX5371" s="155"/>
    </row>
    <row r="5372" spans="1:76" ht="15.75" customHeight="1">
      <c r="A5372" s="25"/>
      <c r="B5372" s="39"/>
      <c r="C5372" s="155"/>
      <c r="D5372" s="155"/>
      <c r="E5372" s="40"/>
      <c r="F5372" s="314"/>
      <c r="H5372" s="315"/>
      <c r="I5372" s="315"/>
      <c r="BA5372" s="30"/>
      <c r="BB5372" s="155"/>
      <c r="BC5372" s="314"/>
      <c r="BD5372" s="314"/>
      <c r="BE5372" s="314"/>
      <c r="BF5372" s="314"/>
      <c r="BG5372" s="314"/>
      <c r="BH5372" s="314"/>
      <c r="BI5372" s="314"/>
      <c r="BJ5372" s="314"/>
      <c r="BK5372" s="40"/>
      <c r="BL5372" s="40"/>
      <c r="BM5372" s="40"/>
      <c r="BN5372" s="40"/>
      <c r="BO5372" s="40"/>
      <c r="BP5372" s="155"/>
      <c r="BQ5372" s="314"/>
      <c r="BR5372" s="314"/>
      <c r="BS5372" s="314"/>
      <c r="BT5372" s="314"/>
      <c r="BU5372" s="314"/>
      <c r="BV5372" s="314"/>
      <c r="BW5372" s="314"/>
      <c r="BX5372" s="155"/>
    </row>
    <row r="5373" spans="1:76" ht="15.75" customHeight="1">
      <c r="A5373" s="25"/>
      <c r="B5373" s="39"/>
      <c r="C5373" s="155"/>
      <c r="D5373" s="155"/>
      <c r="E5373" s="40"/>
      <c r="F5373" s="314"/>
      <c r="H5373" s="315"/>
      <c r="I5373" s="315"/>
      <c r="BA5373" s="30"/>
      <c r="BB5373" s="155"/>
      <c r="BC5373" s="314"/>
      <c r="BD5373" s="314"/>
      <c r="BE5373" s="314"/>
      <c r="BF5373" s="314"/>
      <c r="BG5373" s="314"/>
      <c r="BH5373" s="314"/>
      <c r="BI5373" s="314"/>
      <c r="BJ5373" s="314"/>
      <c r="BK5373" s="40"/>
      <c r="BL5373" s="40"/>
      <c r="BM5373" s="40"/>
      <c r="BN5373" s="40"/>
      <c r="BO5373" s="40"/>
      <c r="BP5373" s="155"/>
      <c r="BQ5373" s="314"/>
      <c r="BR5373" s="314"/>
      <c r="BS5373" s="314"/>
      <c r="BT5373" s="314"/>
      <c r="BU5373" s="314"/>
      <c r="BV5373" s="314"/>
      <c r="BW5373" s="314"/>
      <c r="BX5373" s="155"/>
    </row>
    <row r="5374" spans="1:76" ht="15.75" customHeight="1">
      <c r="A5374" s="25"/>
      <c r="B5374" s="39"/>
      <c r="C5374" s="155"/>
      <c r="D5374" s="155"/>
      <c r="E5374" s="40"/>
      <c r="F5374" s="314"/>
      <c r="H5374" s="315"/>
      <c r="I5374" s="315"/>
      <c r="BA5374" s="30"/>
      <c r="BB5374" s="155"/>
      <c r="BC5374" s="314"/>
      <c r="BD5374" s="314"/>
      <c r="BE5374" s="314"/>
      <c r="BF5374" s="314"/>
      <c r="BG5374" s="314"/>
      <c r="BH5374" s="314"/>
      <c r="BI5374" s="314"/>
      <c r="BJ5374" s="314"/>
      <c r="BK5374" s="40"/>
      <c r="BL5374" s="40"/>
      <c r="BM5374" s="40"/>
      <c r="BN5374" s="40"/>
      <c r="BO5374" s="40"/>
      <c r="BP5374" s="155"/>
      <c r="BQ5374" s="314"/>
      <c r="BR5374" s="314"/>
      <c r="BS5374" s="314"/>
      <c r="BT5374" s="314"/>
      <c r="BU5374" s="314"/>
      <c r="BV5374" s="314"/>
      <c r="BW5374" s="314"/>
      <c r="BX5374" s="155"/>
    </row>
    <row r="5375" spans="1:76" ht="15.75" customHeight="1">
      <c r="A5375" s="25"/>
      <c r="B5375" s="39"/>
      <c r="C5375" s="155"/>
      <c r="D5375" s="155"/>
      <c r="E5375" s="40"/>
      <c r="F5375" s="314"/>
      <c r="H5375" s="315"/>
      <c r="I5375" s="315"/>
      <c r="BA5375" s="30"/>
      <c r="BB5375" s="155"/>
      <c r="BC5375" s="314"/>
      <c r="BD5375" s="314"/>
      <c r="BE5375" s="314"/>
      <c r="BF5375" s="314"/>
      <c r="BG5375" s="314"/>
      <c r="BH5375" s="314"/>
      <c r="BI5375" s="314"/>
      <c r="BJ5375" s="314"/>
      <c r="BK5375" s="40"/>
      <c r="BL5375" s="40"/>
      <c r="BM5375" s="40"/>
      <c r="BN5375" s="40"/>
      <c r="BO5375" s="40"/>
      <c r="BP5375" s="155"/>
      <c r="BQ5375" s="314"/>
      <c r="BR5375" s="314"/>
      <c r="BS5375" s="314"/>
      <c r="BT5375" s="314"/>
      <c r="BU5375" s="314"/>
      <c r="BV5375" s="314"/>
      <c r="BW5375" s="314"/>
      <c r="BX5375" s="155"/>
    </row>
    <row r="5376" spans="1:76" ht="15.75" customHeight="1">
      <c r="A5376" s="25"/>
      <c r="B5376" s="39"/>
      <c r="C5376" s="155"/>
      <c r="D5376" s="155"/>
      <c r="E5376" s="40"/>
      <c r="F5376" s="314"/>
      <c r="H5376" s="315"/>
      <c r="I5376" s="315"/>
      <c r="BA5376" s="30"/>
      <c r="BB5376" s="155"/>
      <c r="BC5376" s="314"/>
      <c r="BD5376" s="314"/>
      <c r="BE5376" s="314"/>
      <c r="BF5376" s="314"/>
      <c r="BG5376" s="314"/>
      <c r="BH5376" s="314"/>
      <c r="BI5376" s="314"/>
      <c r="BJ5376" s="314"/>
      <c r="BK5376" s="40"/>
      <c r="BL5376" s="40"/>
      <c r="BM5376" s="40"/>
      <c r="BN5376" s="40"/>
      <c r="BO5376" s="40"/>
      <c r="BP5376" s="155"/>
      <c r="BQ5376" s="314"/>
      <c r="BR5376" s="314"/>
      <c r="BS5376" s="314"/>
      <c r="BT5376" s="314"/>
      <c r="BU5376" s="314"/>
      <c r="BV5376" s="314"/>
      <c r="BW5376" s="314"/>
      <c r="BX5376" s="155"/>
    </row>
    <row r="5377" spans="1:76" ht="15.75" customHeight="1">
      <c r="A5377" s="25"/>
      <c r="B5377" s="39"/>
      <c r="C5377" s="155"/>
      <c r="D5377" s="155"/>
      <c r="E5377" s="40"/>
      <c r="F5377" s="314"/>
      <c r="H5377" s="315"/>
      <c r="I5377" s="315"/>
      <c r="BA5377" s="30"/>
      <c r="BB5377" s="155"/>
      <c r="BC5377" s="314"/>
      <c r="BD5377" s="314"/>
      <c r="BE5377" s="314"/>
      <c r="BF5377" s="314"/>
      <c r="BG5377" s="314"/>
      <c r="BH5377" s="314"/>
      <c r="BI5377" s="314"/>
      <c r="BJ5377" s="314"/>
      <c r="BK5377" s="40"/>
      <c r="BL5377" s="40"/>
      <c r="BM5377" s="40"/>
      <c r="BN5377" s="40"/>
      <c r="BO5377" s="40"/>
      <c r="BP5377" s="155"/>
      <c r="BQ5377" s="314"/>
      <c r="BR5377" s="314"/>
      <c r="BS5377" s="314"/>
      <c r="BT5377" s="314"/>
      <c r="BU5377" s="314"/>
      <c r="BV5377" s="314"/>
      <c r="BW5377" s="314"/>
      <c r="BX5377" s="155"/>
    </row>
    <row r="5378" spans="1:76" ht="15.75" customHeight="1">
      <c r="A5378" s="25"/>
      <c r="B5378" s="39"/>
      <c r="C5378" s="155"/>
      <c r="D5378" s="155"/>
      <c r="E5378" s="40"/>
      <c r="F5378" s="314"/>
      <c r="H5378" s="315"/>
      <c r="I5378" s="315"/>
      <c r="BA5378" s="30"/>
      <c r="BB5378" s="155"/>
      <c r="BC5378" s="314"/>
      <c r="BD5378" s="314"/>
      <c r="BE5378" s="314"/>
      <c r="BF5378" s="314"/>
      <c r="BG5378" s="314"/>
      <c r="BH5378" s="314"/>
      <c r="BI5378" s="314"/>
      <c r="BJ5378" s="314"/>
      <c r="BK5378" s="40"/>
      <c r="BL5378" s="40"/>
      <c r="BM5378" s="40"/>
      <c r="BN5378" s="40"/>
      <c r="BO5378" s="40"/>
      <c r="BP5378" s="155"/>
      <c r="BQ5378" s="314"/>
      <c r="BR5378" s="314"/>
      <c r="BS5378" s="314"/>
      <c r="BT5378" s="314"/>
      <c r="BU5378" s="314"/>
      <c r="BV5378" s="314"/>
      <c r="BW5378" s="314"/>
      <c r="BX5378" s="155"/>
    </row>
    <row r="5379" spans="1:76" ht="15.75" customHeight="1">
      <c r="A5379" s="25"/>
      <c r="B5379" s="39"/>
      <c r="C5379" s="155"/>
      <c r="D5379" s="155"/>
      <c r="E5379" s="40"/>
      <c r="F5379" s="314"/>
      <c r="H5379" s="315"/>
      <c r="I5379" s="315"/>
      <c r="BA5379" s="30"/>
      <c r="BB5379" s="155"/>
      <c r="BC5379" s="314"/>
      <c r="BD5379" s="314"/>
      <c r="BE5379" s="314"/>
      <c r="BF5379" s="314"/>
      <c r="BG5379" s="314"/>
      <c r="BH5379" s="314"/>
      <c r="BI5379" s="314"/>
      <c r="BJ5379" s="314"/>
      <c r="BK5379" s="40"/>
      <c r="BL5379" s="40"/>
      <c r="BM5379" s="40"/>
      <c r="BN5379" s="40"/>
      <c r="BO5379" s="40"/>
      <c r="BP5379" s="155"/>
      <c r="BQ5379" s="314"/>
      <c r="BR5379" s="314"/>
      <c r="BS5379" s="314"/>
      <c r="BT5379" s="314"/>
      <c r="BU5379" s="314"/>
      <c r="BV5379" s="314"/>
      <c r="BW5379" s="314"/>
      <c r="BX5379" s="155"/>
    </row>
    <row r="5380" spans="1:76" ht="15.75" customHeight="1">
      <c r="A5380" s="25"/>
      <c r="B5380" s="39"/>
      <c r="C5380" s="155"/>
      <c r="D5380" s="155"/>
      <c r="E5380" s="40"/>
      <c r="F5380" s="314"/>
      <c r="H5380" s="315"/>
      <c r="I5380" s="315"/>
      <c r="BA5380" s="30"/>
      <c r="BB5380" s="155"/>
      <c r="BC5380" s="314"/>
      <c r="BD5380" s="314"/>
      <c r="BE5380" s="314"/>
      <c r="BF5380" s="314"/>
      <c r="BG5380" s="314"/>
      <c r="BH5380" s="314"/>
      <c r="BI5380" s="314"/>
      <c r="BJ5380" s="314"/>
      <c r="BK5380" s="40"/>
      <c r="BL5380" s="40"/>
      <c r="BM5380" s="40"/>
      <c r="BN5380" s="40"/>
      <c r="BO5380" s="40"/>
      <c r="BP5380" s="155"/>
      <c r="BQ5380" s="314"/>
      <c r="BR5380" s="314"/>
      <c r="BS5380" s="314"/>
      <c r="BT5380" s="314"/>
      <c r="BU5380" s="314"/>
      <c r="BV5380" s="314"/>
      <c r="BW5380" s="314"/>
      <c r="BX5380" s="155"/>
    </row>
    <row r="5381" spans="1:76" ht="15.75" customHeight="1">
      <c r="A5381" s="25"/>
      <c r="B5381" s="39"/>
      <c r="C5381" s="155"/>
      <c r="D5381" s="155"/>
      <c r="E5381" s="40"/>
      <c r="F5381" s="314"/>
      <c r="H5381" s="315"/>
      <c r="I5381" s="315"/>
      <c r="BA5381" s="30"/>
      <c r="BB5381" s="155"/>
      <c r="BC5381" s="314"/>
      <c r="BD5381" s="314"/>
      <c r="BE5381" s="314"/>
      <c r="BF5381" s="314"/>
      <c r="BG5381" s="314"/>
      <c r="BH5381" s="314"/>
      <c r="BI5381" s="314"/>
      <c r="BJ5381" s="314"/>
      <c r="BK5381" s="40"/>
      <c r="BL5381" s="40"/>
      <c r="BM5381" s="40"/>
      <c r="BN5381" s="40"/>
      <c r="BO5381" s="40"/>
      <c r="BP5381" s="155"/>
      <c r="BQ5381" s="314"/>
      <c r="BR5381" s="314"/>
      <c r="BS5381" s="314"/>
      <c r="BT5381" s="314"/>
      <c r="BU5381" s="314"/>
      <c r="BV5381" s="314"/>
      <c r="BW5381" s="314"/>
      <c r="BX5381" s="155"/>
    </row>
    <row r="5382" spans="1:76" ht="15.75" customHeight="1">
      <c r="A5382" s="25"/>
      <c r="B5382" s="39"/>
      <c r="C5382" s="155"/>
      <c r="D5382" s="155"/>
      <c r="E5382" s="40"/>
      <c r="F5382" s="314"/>
      <c r="H5382" s="315"/>
      <c r="I5382" s="315"/>
      <c r="BA5382" s="30"/>
      <c r="BB5382" s="155"/>
      <c r="BC5382" s="322"/>
      <c r="BD5382" s="322"/>
      <c r="BE5382" s="322"/>
      <c r="BF5382" s="322"/>
      <c r="BG5382" s="322"/>
      <c r="BH5382" s="322"/>
      <c r="BI5382" s="322"/>
      <c r="BJ5382" s="322"/>
      <c r="BK5382" s="341"/>
      <c r="BL5382" s="40"/>
      <c r="BM5382" s="40"/>
      <c r="BN5382" s="40"/>
      <c r="BO5382" s="40"/>
      <c r="BP5382" s="155"/>
      <c r="BQ5382" s="314"/>
      <c r="BR5382" s="314"/>
      <c r="BS5382" s="314"/>
      <c r="BT5382" s="314"/>
      <c r="BU5382" s="314"/>
      <c r="BV5382" s="314"/>
      <c r="BW5382" s="314"/>
      <c r="BX5382" s="155"/>
    </row>
    <row r="5383" spans="1:76" ht="15.75" customHeight="1">
      <c r="A5383" s="25"/>
      <c r="B5383" s="39"/>
      <c r="C5383" s="155"/>
      <c r="D5383" s="155"/>
      <c r="E5383" s="40"/>
      <c r="F5383" s="314"/>
      <c r="H5383" s="315"/>
      <c r="I5383" s="315"/>
      <c r="BA5383" s="30"/>
      <c r="BB5383" s="155"/>
      <c r="BC5383" s="314"/>
      <c r="BD5383" s="314"/>
      <c r="BE5383" s="314"/>
      <c r="BF5383" s="314"/>
      <c r="BG5383" s="314"/>
      <c r="BH5383" s="314"/>
      <c r="BI5383" s="314"/>
      <c r="BJ5383" s="314"/>
      <c r="BK5383" s="40"/>
      <c r="BL5383" s="40"/>
      <c r="BM5383" s="40"/>
      <c r="BN5383" s="40"/>
      <c r="BO5383" s="40"/>
      <c r="BP5383" s="155"/>
      <c r="BQ5383" s="314"/>
      <c r="BR5383" s="314"/>
      <c r="BS5383" s="314"/>
      <c r="BT5383" s="314"/>
      <c r="BU5383" s="314"/>
      <c r="BV5383" s="314"/>
      <c r="BW5383" s="314"/>
      <c r="BX5383" s="155"/>
    </row>
    <row r="5384" spans="1:76" ht="15.75" customHeight="1">
      <c r="A5384" s="25"/>
      <c r="B5384" s="39"/>
      <c r="C5384" s="155"/>
      <c r="D5384" s="155"/>
      <c r="E5384" s="40"/>
      <c r="F5384" s="314"/>
      <c r="H5384" s="315"/>
      <c r="I5384" s="315"/>
      <c r="BA5384" s="30"/>
      <c r="BB5384" s="155"/>
      <c r="BC5384" s="314"/>
      <c r="BD5384" s="314"/>
      <c r="BE5384" s="314"/>
      <c r="BF5384" s="314"/>
      <c r="BG5384" s="314"/>
      <c r="BH5384" s="314"/>
      <c r="BI5384" s="314"/>
      <c r="BJ5384" s="314"/>
      <c r="BK5384" s="40"/>
      <c r="BL5384" s="40"/>
      <c r="BM5384" s="40"/>
      <c r="BN5384" s="40"/>
      <c r="BO5384" s="40"/>
      <c r="BP5384" s="155"/>
      <c r="BQ5384" s="314"/>
      <c r="BR5384" s="314"/>
      <c r="BS5384" s="314"/>
      <c r="BT5384" s="314"/>
      <c r="BU5384" s="314"/>
      <c r="BV5384" s="314"/>
      <c r="BW5384" s="314"/>
      <c r="BX5384" s="155"/>
    </row>
    <row r="5385" spans="1:76" ht="15.75" customHeight="1">
      <c r="A5385" s="25"/>
      <c r="B5385" s="39"/>
      <c r="C5385" s="155"/>
      <c r="D5385" s="155"/>
      <c r="E5385" s="40"/>
      <c r="F5385" s="314"/>
      <c r="H5385" s="315"/>
      <c r="I5385" s="315"/>
      <c r="BA5385" s="30"/>
      <c r="BB5385" s="155"/>
      <c r="BC5385" s="314"/>
      <c r="BD5385" s="314"/>
      <c r="BE5385" s="314"/>
      <c r="BF5385" s="314"/>
      <c r="BG5385" s="314"/>
      <c r="BH5385" s="314"/>
      <c r="BI5385" s="314"/>
      <c r="BJ5385" s="314"/>
      <c r="BK5385" s="40"/>
      <c r="BL5385" s="40"/>
      <c r="BM5385" s="40"/>
      <c r="BN5385" s="40"/>
      <c r="BO5385" s="40"/>
      <c r="BP5385" s="155"/>
      <c r="BQ5385" s="314"/>
      <c r="BR5385" s="314"/>
      <c r="BS5385" s="314"/>
      <c r="BT5385" s="314"/>
      <c r="BU5385" s="314"/>
      <c r="BV5385" s="314"/>
      <c r="BW5385" s="314"/>
      <c r="BX5385" s="155"/>
    </row>
    <row r="5386" spans="1:76" ht="15.75" customHeight="1">
      <c r="A5386" s="25"/>
      <c r="B5386" s="39"/>
      <c r="C5386" s="155"/>
      <c r="D5386" s="155"/>
      <c r="E5386" s="40"/>
      <c r="F5386" s="314"/>
      <c r="H5386" s="315"/>
      <c r="I5386" s="315"/>
      <c r="BA5386" s="30"/>
      <c r="BB5386" s="155"/>
      <c r="BC5386" s="314"/>
      <c r="BD5386" s="314"/>
      <c r="BE5386" s="314"/>
      <c r="BF5386" s="314"/>
      <c r="BG5386" s="314"/>
      <c r="BH5386" s="314"/>
      <c r="BI5386" s="314"/>
      <c r="BJ5386" s="314"/>
      <c r="BK5386" s="40"/>
      <c r="BL5386" s="40"/>
      <c r="BM5386" s="40"/>
      <c r="BN5386" s="40"/>
      <c r="BO5386" s="40"/>
      <c r="BP5386" s="155"/>
      <c r="BQ5386" s="314"/>
      <c r="BR5386" s="314"/>
      <c r="BS5386" s="314"/>
      <c r="BT5386" s="314"/>
      <c r="BU5386" s="314"/>
      <c r="BV5386" s="314"/>
      <c r="BW5386" s="314"/>
      <c r="BX5386" s="155"/>
    </row>
    <row r="5387" spans="1:76" ht="15.75" customHeight="1">
      <c r="A5387" s="25"/>
      <c r="B5387" s="39"/>
      <c r="C5387" s="155"/>
      <c r="D5387" s="155"/>
      <c r="E5387" s="40"/>
      <c r="F5387" s="314"/>
      <c r="H5387" s="315"/>
      <c r="I5387" s="315"/>
      <c r="BA5387" s="30"/>
      <c r="BB5387" s="155"/>
      <c r="BC5387" s="314"/>
      <c r="BD5387" s="314"/>
      <c r="BE5387" s="314"/>
      <c r="BF5387" s="314"/>
      <c r="BG5387" s="314"/>
      <c r="BH5387" s="314"/>
      <c r="BI5387" s="314"/>
      <c r="BJ5387" s="314"/>
      <c r="BK5387" s="40"/>
      <c r="BL5387" s="40"/>
      <c r="BM5387" s="40"/>
      <c r="BN5387" s="40"/>
      <c r="BO5387" s="40"/>
      <c r="BP5387" s="155"/>
      <c r="BQ5387" s="314"/>
      <c r="BR5387" s="314"/>
      <c r="BS5387" s="314"/>
      <c r="BT5387" s="314"/>
      <c r="BU5387" s="314"/>
      <c r="BV5387" s="314"/>
      <c r="BW5387" s="314"/>
      <c r="BX5387" s="155"/>
    </row>
    <row r="5388" spans="1:76" ht="15.75" customHeight="1">
      <c r="A5388" s="25"/>
      <c r="B5388" s="39"/>
      <c r="C5388" s="155"/>
      <c r="D5388" s="155"/>
      <c r="E5388" s="40"/>
      <c r="F5388" s="314"/>
      <c r="H5388" s="315"/>
      <c r="I5388" s="315"/>
      <c r="BA5388" s="30"/>
      <c r="BB5388" s="155"/>
      <c r="BC5388" s="314"/>
      <c r="BD5388" s="314"/>
      <c r="BE5388" s="314"/>
      <c r="BF5388" s="314"/>
      <c r="BG5388" s="314"/>
      <c r="BH5388" s="314"/>
      <c r="BI5388" s="314"/>
      <c r="BJ5388" s="314"/>
      <c r="BK5388" s="40"/>
      <c r="BL5388" s="40"/>
      <c r="BM5388" s="40"/>
      <c r="BN5388" s="40"/>
      <c r="BO5388" s="40"/>
      <c r="BP5388" s="155"/>
      <c r="BQ5388" s="314"/>
      <c r="BR5388" s="314"/>
      <c r="BS5388" s="314"/>
      <c r="BT5388" s="314"/>
      <c r="BU5388" s="314"/>
      <c r="BV5388" s="314"/>
      <c r="BW5388" s="314"/>
      <c r="BX5388" s="155"/>
    </row>
    <row r="5389" spans="1:76" ht="15.75" customHeight="1">
      <c r="A5389" s="25"/>
      <c r="B5389" s="39"/>
      <c r="C5389" s="155"/>
      <c r="D5389" s="155"/>
      <c r="E5389" s="40"/>
      <c r="F5389" s="314"/>
      <c r="H5389" s="315"/>
      <c r="I5389" s="315"/>
      <c r="BA5389" s="30"/>
      <c r="BB5389" s="155"/>
      <c r="BC5389" s="314"/>
      <c r="BD5389" s="314"/>
      <c r="BE5389" s="314"/>
      <c r="BF5389" s="314"/>
      <c r="BG5389" s="314"/>
      <c r="BH5389" s="314"/>
      <c r="BI5389" s="314"/>
      <c r="BJ5389" s="314"/>
      <c r="BK5389" s="40"/>
      <c r="BL5389" s="40"/>
      <c r="BM5389" s="40"/>
      <c r="BN5389" s="40"/>
      <c r="BO5389" s="40"/>
      <c r="BP5389" s="155"/>
      <c r="BQ5389" s="314"/>
      <c r="BR5389" s="314"/>
      <c r="BS5389" s="314"/>
      <c r="BT5389" s="314"/>
      <c r="BU5389" s="314"/>
      <c r="BV5389" s="314"/>
      <c r="BW5389" s="314"/>
      <c r="BX5389" s="155"/>
    </row>
    <row r="5390" spans="1:76" ht="15.75" customHeight="1">
      <c r="A5390" s="25"/>
      <c r="B5390" s="39"/>
      <c r="C5390" s="155"/>
      <c r="D5390" s="155"/>
      <c r="E5390" s="40"/>
      <c r="F5390" s="314"/>
      <c r="H5390" s="315"/>
      <c r="I5390" s="315"/>
      <c r="BA5390" s="30"/>
      <c r="BB5390" s="155"/>
      <c r="BC5390" s="314"/>
      <c r="BD5390" s="314"/>
      <c r="BE5390" s="314"/>
      <c r="BF5390" s="314"/>
      <c r="BG5390" s="314"/>
      <c r="BH5390" s="314"/>
      <c r="BI5390" s="314"/>
      <c r="BJ5390" s="314"/>
      <c r="BK5390" s="40"/>
      <c r="BL5390" s="40"/>
      <c r="BM5390" s="40"/>
      <c r="BN5390" s="40"/>
      <c r="BO5390" s="40"/>
      <c r="BP5390" s="155"/>
      <c r="BQ5390" s="314"/>
      <c r="BR5390" s="314"/>
      <c r="BS5390" s="314"/>
      <c r="BT5390" s="314"/>
      <c r="BU5390" s="314"/>
      <c r="BV5390" s="314"/>
      <c r="BW5390" s="314"/>
      <c r="BX5390" s="155"/>
    </row>
    <row r="5391" spans="1:76" ht="15.75" customHeight="1">
      <c r="A5391" s="25"/>
      <c r="B5391" s="39"/>
      <c r="C5391" s="155"/>
      <c r="D5391" s="155"/>
      <c r="E5391" s="40"/>
      <c r="F5391" s="314"/>
      <c r="H5391" s="315"/>
      <c r="I5391" s="315"/>
      <c r="BA5391" s="30"/>
      <c r="BB5391" s="155"/>
      <c r="BC5391" s="314"/>
      <c r="BD5391" s="314"/>
      <c r="BE5391" s="314"/>
      <c r="BF5391" s="314"/>
      <c r="BG5391" s="314"/>
      <c r="BH5391" s="314"/>
      <c r="BI5391" s="314"/>
      <c r="BJ5391" s="314"/>
      <c r="BK5391" s="40"/>
      <c r="BL5391" s="40"/>
      <c r="BM5391" s="40"/>
      <c r="BN5391" s="40"/>
      <c r="BO5391" s="40"/>
      <c r="BP5391" s="155"/>
      <c r="BQ5391" s="314"/>
      <c r="BR5391" s="314"/>
      <c r="BS5391" s="314"/>
      <c r="BT5391" s="314"/>
      <c r="BU5391" s="314"/>
      <c r="BV5391" s="314"/>
      <c r="BW5391" s="314"/>
      <c r="BX5391" s="155"/>
    </row>
    <row r="5392" spans="1:76" ht="15.75" customHeight="1">
      <c r="A5392" s="25"/>
      <c r="B5392" s="39"/>
      <c r="C5392" s="155"/>
      <c r="D5392" s="155"/>
      <c r="E5392" s="40"/>
      <c r="F5392" s="314"/>
      <c r="H5392" s="315"/>
      <c r="I5392" s="315"/>
      <c r="BA5392" s="30"/>
      <c r="BB5392" s="155"/>
      <c r="BC5392" s="314"/>
      <c r="BD5392" s="314"/>
      <c r="BE5392" s="314"/>
      <c r="BF5392" s="314"/>
      <c r="BG5392" s="314"/>
      <c r="BH5392" s="314"/>
      <c r="BI5392" s="314"/>
      <c r="BJ5392" s="314"/>
      <c r="BK5392" s="40"/>
      <c r="BL5392" s="40"/>
      <c r="BM5392" s="40"/>
      <c r="BN5392" s="40"/>
      <c r="BO5392" s="40"/>
      <c r="BP5392" s="155"/>
      <c r="BQ5392" s="314"/>
      <c r="BR5392" s="314"/>
      <c r="BS5392" s="314"/>
      <c r="BT5392" s="314"/>
      <c r="BU5392" s="314"/>
      <c r="BV5392" s="314"/>
      <c r="BW5392" s="314"/>
      <c r="BX5392" s="155"/>
    </row>
    <row r="5393" spans="1:76" ht="15.75" customHeight="1">
      <c r="A5393" s="25"/>
      <c r="B5393" s="39"/>
      <c r="C5393" s="155"/>
      <c r="D5393" s="155"/>
      <c r="E5393" s="40"/>
      <c r="F5393" s="314"/>
      <c r="H5393" s="315"/>
      <c r="I5393" s="315"/>
      <c r="BA5393" s="30"/>
      <c r="BB5393" s="155"/>
      <c r="BC5393" s="314"/>
      <c r="BD5393" s="314"/>
      <c r="BE5393" s="314"/>
      <c r="BF5393" s="314"/>
      <c r="BG5393" s="314"/>
      <c r="BH5393" s="314"/>
      <c r="BI5393" s="314"/>
      <c r="BJ5393" s="314"/>
      <c r="BK5393" s="40"/>
      <c r="BL5393" s="40"/>
      <c r="BM5393" s="40"/>
      <c r="BN5393" s="40"/>
      <c r="BO5393" s="40"/>
      <c r="BP5393" s="155"/>
      <c r="BQ5393" s="314"/>
      <c r="BR5393" s="314"/>
      <c r="BS5393" s="314"/>
      <c r="BT5393" s="314"/>
      <c r="BU5393" s="314"/>
      <c r="BV5393" s="314"/>
      <c r="BW5393" s="314"/>
      <c r="BX5393" s="155"/>
    </row>
    <row r="5394" spans="1:76" ht="15.75" customHeight="1">
      <c r="A5394" s="25"/>
      <c r="B5394" s="39"/>
      <c r="C5394" s="155"/>
      <c r="D5394" s="155"/>
      <c r="E5394" s="40"/>
      <c r="F5394" s="314"/>
      <c r="H5394" s="315"/>
      <c r="I5394" s="315"/>
      <c r="BA5394" s="30"/>
      <c r="BB5394" s="155"/>
      <c r="BC5394" s="314"/>
      <c r="BD5394" s="314"/>
      <c r="BE5394" s="314"/>
      <c r="BF5394" s="314"/>
      <c r="BG5394" s="314"/>
      <c r="BH5394" s="314"/>
      <c r="BI5394" s="314"/>
      <c r="BJ5394" s="314"/>
      <c r="BK5394" s="40"/>
      <c r="BL5394" s="40"/>
      <c r="BM5394" s="40"/>
      <c r="BN5394" s="40"/>
      <c r="BO5394" s="40"/>
      <c r="BP5394" s="155"/>
      <c r="BQ5394" s="314"/>
      <c r="BR5394" s="314"/>
      <c r="BS5394" s="314"/>
      <c r="BT5394" s="314"/>
      <c r="BU5394" s="314"/>
      <c r="BV5394" s="314"/>
      <c r="BW5394" s="314"/>
      <c r="BX5394" s="155"/>
    </row>
    <row r="5395" spans="1:76" ht="15.75" customHeight="1">
      <c r="A5395" s="25"/>
      <c r="B5395" s="39"/>
      <c r="C5395" s="155"/>
      <c r="D5395" s="155"/>
      <c r="E5395" s="40"/>
      <c r="F5395" s="314"/>
      <c r="H5395" s="315"/>
      <c r="I5395" s="315"/>
      <c r="BA5395" s="30"/>
      <c r="BB5395" s="155"/>
      <c r="BC5395" s="314"/>
      <c r="BD5395" s="314"/>
      <c r="BE5395" s="314"/>
      <c r="BF5395" s="314"/>
      <c r="BG5395" s="314"/>
      <c r="BH5395" s="314"/>
      <c r="BI5395" s="314"/>
      <c r="BJ5395" s="314"/>
      <c r="BK5395" s="40"/>
      <c r="BL5395" s="40"/>
      <c r="BM5395" s="40"/>
      <c r="BN5395" s="40"/>
      <c r="BO5395" s="40"/>
      <c r="BP5395" s="155"/>
      <c r="BQ5395" s="314"/>
      <c r="BR5395" s="314"/>
      <c r="BS5395" s="314"/>
      <c r="BT5395" s="314"/>
      <c r="BU5395" s="314"/>
      <c r="BV5395" s="314"/>
      <c r="BW5395" s="314"/>
      <c r="BX5395" s="155"/>
    </row>
    <row r="5396" spans="1:76" ht="15.75" customHeight="1">
      <c r="A5396" s="25"/>
      <c r="B5396" s="39"/>
      <c r="C5396" s="155"/>
      <c r="D5396" s="155"/>
      <c r="E5396" s="40"/>
      <c r="F5396" s="314"/>
      <c r="H5396" s="315"/>
      <c r="I5396" s="315"/>
      <c r="BA5396" s="30"/>
      <c r="BB5396" s="155"/>
      <c r="BC5396" s="314"/>
      <c r="BD5396" s="314"/>
      <c r="BE5396" s="314"/>
      <c r="BF5396" s="314"/>
      <c r="BG5396" s="314"/>
      <c r="BH5396" s="314"/>
      <c r="BI5396" s="314"/>
      <c r="BJ5396" s="314"/>
      <c r="BK5396" s="40"/>
      <c r="BL5396" s="40"/>
      <c r="BM5396" s="40"/>
      <c r="BN5396" s="40"/>
      <c r="BO5396" s="40"/>
      <c r="BP5396" s="155"/>
      <c r="BQ5396" s="314"/>
      <c r="BR5396" s="314"/>
      <c r="BS5396" s="314"/>
      <c r="BT5396" s="314"/>
      <c r="BU5396" s="314"/>
      <c r="BV5396" s="314"/>
      <c r="BW5396" s="314"/>
      <c r="BX5396" s="155"/>
    </row>
    <row r="5397" spans="1:76" ht="15.75" customHeight="1">
      <c r="A5397" s="25"/>
      <c r="B5397" s="39"/>
      <c r="C5397" s="155"/>
      <c r="D5397" s="155"/>
      <c r="E5397" s="40"/>
      <c r="F5397" s="314"/>
      <c r="H5397" s="315"/>
      <c r="I5397" s="315"/>
      <c r="BA5397" s="30"/>
      <c r="BB5397" s="155"/>
      <c r="BC5397" s="314"/>
      <c r="BD5397" s="314"/>
      <c r="BE5397" s="314"/>
      <c r="BF5397" s="314"/>
      <c r="BG5397" s="314"/>
      <c r="BH5397" s="314"/>
      <c r="BI5397" s="314"/>
      <c r="BJ5397" s="314"/>
      <c r="BK5397" s="40"/>
      <c r="BL5397" s="40"/>
      <c r="BM5397" s="40"/>
      <c r="BN5397" s="40"/>
      <c r="BO5397" s="40"/>
      <c r="BP5397" s="155"/>
      <c r="BQ5397" s="314"/>
      <c r="BR5397" s="314"/>
      <c r="BS5397" s="314"/>
      <c r="BT5397" s="314"/>
      <c r="BU5397" s="314"/>
      <c r="BV5397" s="314"/>
      <c r="BW5397" s="314"/>
      <c r="BX5397" s="155"/>
    </row>
    <row r="5398" spans="1:76" ht="15.75" customHeight="1">
      <c r="A5398" s="25"/>
      <c r="B5398" s="39"/>
      <c r="C5398" s="155"/>
      <c r="D5398" s="155"/>
      <c r="E5398" s="40"/>
      <c r="F5398" s="314"/>
      <c r="H5398" s="315"/>
      <c r="I5398" s="315"/>
      <c r="BA5398" s="30"/>
      <c r="BB5398" s="155"/>
      <c r="BC5398" s="314"/>
      <c r="BD5398" s="314"/>
      <c r="BE5398" s="314"/>
      <c r="BF5398" s="314"/>
      <c r="BG5398" s="314"/>
      <c r="BH5398" s="314"/>
      <c r="BI5398" s="314"/>
      <c r="BJ5398" s="314"/>
      <c r="BK5398" s="40"/>
      <c r="BL5398" s="40"/>
      <c r="BM5398" s="40"/>
      <c r="BN5398" s="40"/>
      <c r="BO5398" s="40"/>
      <c r="BP5398" s="155"/>
      <c r="BQ5398" s="314"/>
      <c r="BR5398" s="314"/>
      <c r="BS5398" s="314"/>
      <c r="BT5398" s="314"/>
      <c r="BU5398" s="314"/>
      <c r="BV5398" s="314"/>
      <c r="BW5398" s="314"/>
      <c r="BX5398" s="155"/>
    </row>
    <row r="5399" spans="1:76" ht="15.75" customHeight="1">
      <c r="A5399" s="25"/>
      <c r="B5399" s="39"/>
      <c r="C5399" s="155"/>
      <c r="D5399" s="155"/>
      <c r="E5399" s="40"/>
      <c r="F5399" s="314"/>
      <c r="H5399" s="315"/>
      <c r="I5399" s="315"/>
      <c r="BA5399" s="30"/>
      <c r="BB5399" s="155"/>
      <c r="BC5399" s="314"/>
      <c r="BD5399" s="314"/>
      <c r="BE5399" s="314"/>
      <c r="BF5399" s="314"/>
      <c r="BG5399" s="314"/>
      <c r="BH5399" s="314"/>
      <c r="BI5399" s="314"/>
      <c r="BJ5399" s="314"/>
      <c r="BK5399" s="40"/>
      <c r="BL5399" s="40"/>
      <c r="BM5399" s="40"/>
      <c r="BN5399" s="40"/>
      <c r="BO5399" s="40"/>
      <c r="BP5399" s="155"/>
      <c r="BQ5399" s="314"/>
      <c r="BR5399" s="314"/>
      <c r="BS5399" s="314"/>
      <c r="BT5399" s="314"/>
      <c r="BU5399" s="314"/>
      <c r="BV5399" s="314"/>
      <c r="BW5399" s="314"/>
      <c r="BX5399" s="155"/>
    </row>
    <row r="5400" spans="1:76" ht="15.75" customHeight="1">
      <c r="A5400" s="25"/>
      <c r="B5400" s="39"/>
      <c r="C5400" s="155"/>
      <c r="D5400" s="155"/>
      <c r="E5400" s="40"/>
      <c r="F5400" s="314"/>
      <c r="H5400" s="315"/>
      <c r="I5400" s="315"/>
      <c r="BA5400" s="30"/>
      <c r="BB5400" s="155"/>
      <c r="BC5400" s="322"/>
      <c r="BD5400" s="322"/>
      <c r="BE5400" s="322"/>
      <c r="BF5400" s="322"/>
      <c r="BG5400" s="322"/>
      <c r="BH5400" s="322"/>
      <c r="BI5400" s="322"/>
      <c r="BJ5400" s="322"/>
      <c r="BK5400" s="341"/>
      <c r="BL5400" s="40"/>
      <c r="BM5400" s="40"/>
      <c r="BN5400" s="40"/>
      <c r="BO5400" s="40"/>
      <c r="BP5400" s="155"/>
      <c r="BQ5400" s="314"/>
      <c r="BR5400" s="314"/>
      <c r="BS5400" s="314"/>
      <c r="BT5400" s="314"/>
      <c r="BU5400" s="314"/>
      <c r="BV5400" s="314"/>
      <c r="BW5400" s="314"/>
      <c r="BX5400" s="155"/>
    </row>
    <row r="5401" spans="1:76" ht="15.75" customHeight="1">
      <c r="A5401" s="25"/>
      <c r="B5401" s="39"/>
      <c r="C5401" s="155"/>
      <c r="D5401" s="155"/>
      <c r="E5401" s="40"/>
      <c r="F5401" s="314"/>
      <c r="H5401" s="315"/>
      <c r="I5401" s="315"/>
      <c r="BA5401" s="30"/>
      <c r="BB5401" s="155"/>
      <c r="BC5401" s="314"/>
      <c r="BD5401" s="314"/>
      <c r="BE5401" s="314"/>
      <c r="BF5401" s="314"/>
      <c r="BG5401" s="314"/>
      <c r="BH5401" s="314"/>
      <c r="BI5401" s="314"/>
      <c r="BJ5401" s="314"/>
      <c r="BK5401" s="40"/>
      <c r="BL5401" s="40"/>
      <c r="BM5401" s="40"/>
      <c r="BN5401" s="40"/>
      <c r="BO5401" s="40"/>
      <c r="BP5401" s="155"/>
      <c r="BQ5401" s="314"/>
      <c r="BR5401" s="314"/>
      <c r="BS5401" s="314"/>
      <c r="BT5401" s="314"/>
      <c r="BU5401" s="314"/>
      <c r="BV5401" s="314"/>
      <c r="BW5401" s="314"/>
      <c r="BX5401" s="155"/>
    </row>
    <row r="5402" spans="1:76" ht="15.75" customHeight="1">
      <c r="A5402" s="25"/>
      <c r="B5402" s="39"/>
      <c r="C5402" s="155"/>
      <c r="D5402" s="155"/>
      <c r="E5402" s="40"/>
      <c r="F5402" s="314"/>
      <c r="H5402" s="315"/>
      <c r="I5402" s="315"/>
      <c r="BA5402" s="30"/>
      <c r="BB5402" s="155"/>
      <c r="BC5402" s="314"/>
      <c r="BD5402" s="314"/>
      <c r="BE5402" s="314"/>
      <c r="BF5402" s="314"/>
      <c r="BG5402" s="314"/>
      <c r="BH5402" s="314"/>
      <c r="BI5402" s="314"/>
      <c r="BJ5402" s="314"/>
      <c r="BK5402" s="40"/>
      <c r="BL5402" s="40"/>
      <c r="BM5402" s="40"/>
      <c r="BN5402" s="40"/>
      <c r="BO5402" s="40"/>
      <c r="BP5402" s="155"/>
      <c r="BQ5402" s="314"/>
      <c r="BR5402" s="314"/>
      <c r="BS5402" s="314"/>
      <c r="BT5402" s="314"/>
      <c r="BU5402" s="314"/>
      <c r="BV5402" s="314"/>
      <c r="BW5402" s="314"/>
      <c r="BX5402" s="155"/>
    </row>
    <row r="5403" spans="1:76" ht="15.75" customHeight="1">
      <c r="A5403" s="25"/>
      <c r="B5403" s="39"/>
      <c r="C5403" s="155"/>
      <c r="D5403" s="155"/>
      <c r="E5403" s="40"/>
      <c r="F5403" s="314"/>
      <c r="H5403" s="315"/>
      <c r="I5403" s="315"/>
      <c r="BA5403" s="30"/>
      <c r="BB5403" s="155"/>
      <c r="BC5403" s="314"/>
      <c r="BD5403" s="314"/>
      <c r="BE5403" s="314"/>
      <c r="BF5403" s="314"/>
      <c r="BG5403" s="314"/>
      <c r="BH5403" s="314"/>
      <c r="BI5403" s="314"/>
      <c r="BJ5403" s="314"/>
      <c r="BK5403" s="40"/>
      <c r="BL5403" s="40"/>
      <c r="BM5403" s="40"/>
      <c r="BN5403" s="40"/>
      <c r="BO5403" s="40"/>
      <c r="BP5403" s="155"/>
      <c r="BQ5403" s="314"/>
      <c r="BR5403" s="314"/>
      <c r="BS5403" s="314"/>
      <c r="BT5403" s="314"/>
      <c r="BU5403" s="314"/>
      <c r="BV5403" s="314"/>
      <c r="BW5403" s="314"/>
      <c r="BX5403" s="155"/>
    </row>
    <row r="5404" spans="1:76" ht="15.75" customHeight="1">
      <c r="A5404" s="25"/>
      <c r="B5404" s="39"/>
      <c r="C5404" s="155"/>
      <c r="D5404" s="155"/>
      <c r="E5404" s="40"/>
      <c r="F5404" s="314"/>
      <c r="H5404" s="315"/>
      <c r="I5404" s="315"/>
      <c r="BA5404" s="30"/>
      <c r="BB5404" s="155"/>
      <c r="BC5404" s="314"/>
      <c r="BD5404" s="314"/>
      <c r="BE5404" s="314"/>
      <c r="BF5404" s="314"/>
      <c r="BG5404" s="314"/>
      <c r="BH5404" s="314"/>
      <c r="BI5404" s="314"/>
      <c r="BJ5404" s="314"/>
      <c r="BK5404" s="40"/>
      <c r="BL5404" s="40"/>
      <c r="BM5404" s="40"/>
      <c r="BN5404" s="40"/>
      <c r="BO5404" s="40"/>
      <c r="BP5404" s="155"/>
      <c r="BQ5404" s="314"/>
      <c r="BR5404" s="314"/>
      <c r="BS5404" s="314"/>
      <c r="BT5404" s="314"/>
      <c r="BU5404" s="314"/>
      <c r="BV5404" s="314"/>
      <c r="BW5404" s="314"/>
      <c r="BX5404" s="155"/>
    </row>
    <row r="5405" spans="1:76" ht="15.75" customHeight="1">
      <c r="A5405" s="25"/>
      <c r="B5405" s="39"/>
      <c r="C5405" s="155"/>
      <c r="D5405" s="155"/>
      <c r="E5405" s="40"/>
      <c r="F5405" s="314"/>
      <c r="H5405" s="315"/>
      <c r="I5405" s="315"/>
      <c r="BA5405" s="30"/>
      <c r="BB5405" s="155"/>
      <c r="BC5405" s="314"/>
      <c r="BD5405" s="314"/>
      <c r="BE5405" s="314"/>
      <c r="BF5405" s="314"/>
      <c r="BG5405" s="314"/>
      <c r="BH5405" s="314"/>
      <c r="BI5405" s="314"/>
      <c r="BJ5405" s="314"/>
      <c r="BK5405" s="40"/>
      <c r="BL5405" s="40"/>
      <c r="BM5405" s="40"/>
      <c r="BN5405" s="40"/>
      <c r="BO5405" s="40"/>
      <c r="BP5405" s="155"/>
      <c r="BQ5405" s="314"/>
      <c r="BR5405" s="314"/>
      <c r="BS5405" s="314"/>
      <c r="BT5405" s="314"/>
      <c r="BU5405" s="314"/>
      <c r="BV5405" s="314"/>
      <c r="BW5405" s="314"/>
      <c r="BX5405" s="155"/>
    </row>
    <row r="5406" spans="1:76" ht="15.75" customHeight="1">
      <c r="A5406" s="25"/>
      <c r="B5406" s="39"/>
      <c r="C5406" s="155"/>
      <c r="D5406" s="155"/>
      <c r="E5406" s="40"/>
      <c r="F5406" s="314"/>
      <c r="H5406" s="315"/>
      <c r="I5406" s="315"/>
      <c r="BA5406" s="30"/>
      <c r="BB5406" s="155"/>
      <c r="BC5406" s="314"/>
      <c r="BD5406" s="314"/>
      <c r="BE5406" s="314"/>
      <c r="BF5406" s="314"/>
      <c r="BG5406" s="314"/>
      <c r="BH5406" s="314"/>
      <c r="BI5406" s="314"/>
      <c r="BJ5406" s="314"/>
      <c r="BK5406" s="40"/>
      <c r="BL5406" s="40"/>
      <c r="BM5406" s="40"/>
      <c r="BN5406" s="40"/>
      <c r="BO5406" s="40"/>
      <c r="BP5406" s="155"/>
      <c r="BQ5406" s="314"/>
      <c r="BR5406" s="314"/>
      <c r="BS5406" s="314"/>
      <c r="BT5406" s="314"/>
      <c r="BU5406" s="314"/>
      <c r="BV5406" s="314"/>
      <c r="BW5406" s="314"/>
      <c r="BX5406" s="155"/>
    </row>
    <row r="5407" spans="1:76" ht="15.75" customHeight="1">
      <c r="A5407" s="25"/>
      <c r="B5407" s="39"/>
      <c r="C5407" s="155"/>
      <c r="D5407" s="155"/>
      <c r="E5407" s="40"/>
      <c r="F5407" s="314"/>
      <c r="H5407" s="315"/>
      <c r="I5407" s="315"/>
      <c r="BA5407" s="30"/>
      <c r="BB5407" s="155"/>
      <c r="BC5407" s="314"/>
      <c r="BD5407" s="314"/>
      <c r="BE5407" s="314"/>
      <c r="BF5407" s="314"/>
      <c r="BG5407" s="314"/>
      <c r="BH5407" s="314"/>
      <c r="BI5407" s="314"/>
      <c r="BJ5407" s="314"/>
      <c r="BK5407" s="40"/>
      <c r="BL5407" s="40"/>
      <c r="BM5407" s="40"/>
      <c r="BN5407" s="40"/>
      <c r="BO5407" s="40"/>
      <c r="BP5407" s="155"/>
      <c r="BQ5407" s="314"/>
      <c r="BR5407" s="314"/>
      <c r="BS5407" s="314"/>
      <c r="BT5407" s="314"/>
      <c r="BU5407" s="314"/>
      <c r="BV5407" s="314"/>
      <c r="BW5407" s="314"/>
      <c r="BX5407" s="155"/>
    </row>
    <row r="5408" spans="1:76" ht="15.75" customHeight="1">
      <c r="A5408" s="25"/>
      <c r="B5408" s="39"/>
      <c r="C5408" s="155"/>
      <c r="D5408" s="155"/>
      <c r="E5408" s="40"/>
      <c r="F5408" s="314"/>
      <c r="H5408" s="315"/>
      <c r="I5408" s="315"/>
      <c r="BA5408" s="30"/>
      <c r="BB5408" s="155"/>
      <c r="BC5408" s="314"/>
      <c r="BD5408" s="314"/>
      <c r="BE5408" s="314"/>
      <c r="BF5408" s="314"/>
      <c r="BG5408" s="314"/>
      <c r="BH5408" s="314"/>
      <c r="BI5408" s="314"/>
      <c r="BJ5408" s="314"/>
      <c r="BK5408" s="40"/>
      <c r="BL5408" s="40"/>
      <c r="BM5408" s="40"/>
      <c r="BN5408" s="40"/>
      <c r="BO5408" s="40"/>
      <c r="BP5408" s="155"/>
      <c r="BQ5408" s="314"/>
      <c r="BR5408" s="314"/>
      <c r="BS5408" s="314"/>
      <c r="BT5408" s="314"/>
      <c r="BU5408" s="314"/>
      <c r="BV5408" s="314"/>
      <c r="BW5408" s="314"/>
      <c r="BX5408" s="155"/>
    </row>
    <row r="5409" spans="1:76" ht="15.75" customHeight="1">
      <c r="A5409" s="25"/>
      <c r="B5409" s="39"/>
      <c r="C5409" s="155"/>
      <c r="D5409" s="155"/>
      <c r="E5409" s="40"/>
      <c r="F5409" s="314"/>
      <c r="H5409" s="315"/>
      <c r="I5409" s="315"/>
      <c r="BA5409" s="30"/>
      <c r="BB5409" s="155"/>
      <c r="BC5409" s="314"/>
      <c r="BD5409" s="314"/>
      <c r="BE5409" s="314"/>
      <c r="BF5409" s="314"/>
      <c r="BG5409" s="314"/>
      <c r="BH5409" s="314"/>
      <c r="BI5409" s="314"/>
      <c r="BJ5409" s="314"/>
      <c r="BK5409" s="40"/>
      <c r="BL5409" s="40"/>
      <c r="BM5409" s="40"/>
      <c r="BN5409" s="40"/>
      <c r="BO5409" s="40"/>
      <c r="BP5409" s="155"/>
      <c r="BQ5409" s="314"/>
      <c r="BR5409" s="314"/>
      <c r="BS5409" s="314"/>
      <c r="BT5409" s="314"/>
      <c r="BU5409" s="314"/>
      <c r="BV5409" s="314"/>
      <c r="BW5409" s="314"/>
      <c r="BX5409" s="155"/>
    </row>
    <row r="5410" spans="1:76" ht="15.75" customHeight="1">
      <c r="A5410" s="25"/>
      <c r="B5410" s="39"/>
      <c r="C5410" s="155"/>
      <c r="D5410" s="155"/>
      <c r="E5410" s="40"/>
      <c r="F5410" s="314"/>
      <c r="H5410" s="315"/>
      <c r="I5410" s="315"/>
      <c r="BA5410" s="30"/>
      <c r="BB5410" s="155"/>
      <c r="BC5410" s="314"/>
      <c r="BD5410" s="314"/>
      <c r="BE5410" s="314"/>
      <c r="BF5410" s="314"/>
      <c r="BG5410" s="314"/>
      <c r="BH5410" s="314"/>
      <c r="BI5410" s="314"/>
      <c r="BJ5410" s="314"/>
      <c r="BK5410" s="40"/>
      <c r="BL5410" s="40"/>
      <c r="BM5410" s="40"/>
      <c r="BN5410" s="40"/>
      <c r="BO5410" s="40"/>
      <c r="BP5410" s="155"/>
      <c r="BQ5410" s="314"/>
      <c r="BR5410" s="314"/>
      <c r="BS5410" s="314"/>
      <c r="BT5410" s="314"/>
      <c r="BU5410" s="314"/>
      <c r="BV5410" s="314"/>
      <c r="BW5410" s="314"/>
      <c r="BX5410" s="155"/>
    </row>
    <row r="5411" spans="1:76" ht="15.75" customHeight="1">
      <c r="A5411" s="25"/>
      <c r="B5411" s="39"/>
      <c r="C5411" s="155"/>
      <c r="D5411" s="155"/>
      <c r="E5411" s="40"/>
      <c r="F5411" s="314"/>
      <c r="H5411" s="315"/>
      <c r="I5411" s="315"/>
      <c r="BA5411" s="30"/>
      <c r="BB5411" s="155"/>
      <c r="BC5411" s="314"/>
      <c r="BD5411" s="314"/>
      <c r="BE5411" s="314"/>
      <c r="BF5411" s="314"/>
      <c r="BG5411" s="314"/>
      <c r="BH5411" s="314"/>
      <c r="BI5411" s="314"/>
      <c r="BJ5411" s="314"/>
      <c r="BK5411" s="40"/>
      <c r="BL5411" s="40"/>
      <c r="BM5411" s="40"/>
      <c r="BN5411" s="40"/>
      <c r="BO5411" s="40"/>
      <c r="BP5411" s="155"/>
      <c r="BQ5411" s="314"/>
      <c r="BR5411" s="314"/>
      <c r="BS5411" s="314"/>
      <c r="BT5411" s="314"/>
      <c r="BU5411" s="314"/>
      <c r="BV5411" s="314"/>
      <c r="BW5411" s="314"/>
      <c r="BX5411" s="155"/>
    </row>
    <row r="5412" spans="1:76" ht="15.75" customHeight="1">
      <c r="A5412" s="25"/>
      <c r="B5412" s="39"/>
      <c r="C5412" s="155"/>
      <c r="D5412" s="155"/>
      <c r="E5412" s="40"/>
      <c r="F5412" s="314"/>
      <c r="H5412" s="315"/>
      <c r="I5412" s="315"/>
      <c r="BA5412" s="30"/>
      <c r="BB5412" s="155"/>
      <c r="BC5412" s="314"/>
      <c r="BD5412" s="314"/>
      <c r="BE5412" s="314"/>
      <c r="BF5412" s="314"/>
      <c r="BG5412" s="314"/>
      <c r="BH5412" s="314"/>
      <c r="BI5412" s="314"/>
      <c r="BJ5412" s="314"/>
      <c r="BK5412" s="40"/>
      <c r="BL5412" s="40"/>
      <c r="BM5412" s="40"/>
      <c r="BN5412" s="40"/>
      <c r="BO5412" s="40"/>
      <c r="BP5412" s="155"/>
      <c r="BQ5412" s="314"/>
      <c r="BR5412" s="314"/>
      <c r="BS5412" s="314"/>
      <c r="BT5412" s="314"/>
      <c r="BU5412" s="314"/>
      <c r="BV5412" s="314"/>
      <c r="BW5412" s="314"/>
      <c r="BX5412" s="155"/>
    </row>
    <row r="5413" spans="1:76" ht="15.75" customHeight="1">
      <c r="A5413" s="25"/>
      <c r="B5413" s="39"/>
      <c r="C5413" s="155"/>
      <c r="D5413" s="155"/>
      <c r="E5413" s="40"/>
      <c r="F5413" s="314"/>
      <c r="H5413" s="315"/>
      <c r="I5413" s="315"/>
      <c r="BA5413" s="30"/>
      <c r="BB5413" s="155"/>
      <c r="BC5413" s="314"/>
      <c r="BD5413" s="314"/>
      <c r="BE5413" s="314"/>
      <c r="BF5413" s="314"/>
      <c r="BG5413" s="314"/>
      <c r="BH5413" s="314"/>
      <c r="BI5413" s="314"/>
      <c r="BJ5413" s="314"/>
      <c r="BK5413" s="40"/>
      <c r="BL5413" s="40"/>
      <c r="BM5413" s="40"/>
      <c r="BN5413" s="40"/>
      <c r="BO5413" s="40"/>
      <c r="BP5413" s="155"/>
      <c r="BQ5413" s="314"/>
      <c r="BR5413" s="314"/>
      <c r="BS5413" s="314"/>
      <c r="BT5413" s="314"/>
      <c r="BU5413" s="314"/>
      <c r="BV5413" s="314"/>
      <c r="BW5413" s="314"/>
      <c r="BX5413" s="155"/>
    </row>
    <row r="5414" spans="1:76" ht="15.75" customHeight="1">
      <c r="A5414" s="25"/>
      <c r="B5414" s="39"/>
      <c r="C5414" s="155"/>
      <c r="D5414" s="155"/>
      <c r="E5414" s="40"/>
      <c r="F5414" s="314"/>
      <c r="H5414" s="315"/>
      <c r="I5414" s="315"/>
      <c r="BA5414" s="30"/>
      <c r="BB5414" s="155"/>
      <c r="BC5414" s="314"/>
      <c r="BD5414" s="314"/>
      <c r="BE5414" s="314"/>
      <c r="BF5414" s="314"/>
      <c r="BG5414" s="314"/>
      <c r="BH5414" s="314"/>
      <c r="BI5414" s="314"/>
      <c r="BJ5414" s="314"/>
      <c r="BK5414" s="40"/>
      <c r="BL5414" s="40"/>
      <c r="BM5414" s="40"/>
      <c r="BN5414" s="40"/>
      <c r="BO5414" s="40"/>
      <c r="BP5414" s="155"/>
      <c r="BQ5414" s="314"/>
      <c r="BR5414" s="314"/>
      <c r="BS5414" s="314"/>
      <c r="BT5414" s="314"/>
      <c r="BU5414" s="314"/>
      <c r="BV5414" s="314"/>
      <c r="BW5414" s="314"/>
      <c r="BX5414" s="155"/>
    </row>
    <row r="5415" spans="1:76" ht="15.75" customHeight="1">
      <c r="A5415" s="25"/>
      <c r="B5415" s="39"/>
      <c r="C5415" s="155"/>
      <c r="D5415" s="155"/>
      <c r="E5415" s="40"/>
      <c r="F5415" s="314"/>
      <c r="H5415" s="315"/>
      <c r="I5415" s="315"/>
      <c r="BA5415" s="30"/>
      <c r="BB5415" s="155"/>
      <c r="BC5415" s="314"/>
      <c r="BD5415" s="314"/>
      <c r="BE5415" s="314"/>
      <c r="BF5415" s="314"/>
      <c r="BG5415" s="314"/>
      <c r="BH5415" s="314"/>
      <c r="BI5415" s="314"/>
      <c r="BJ5415" s="314"/>
      <c r="BK5415" s="40"/>
      <c r="BL5415" s="40"/>
      <c r="BM5415" s="40"/>
      <c r="BN5415" s="40"/>
      <c r="BO5415" s="40"/>
      <c r="BP5415" s="155"/>
      <c r="BQ5415" s="314"/>
      <c r="BR5415" s="314"/>
      <c r="BS5415" s="314"/>
      <c r="BT5415" s="314"/>
      <c r="BU5415" s="314"/>
      <c r="BV5415" s="314"/>
      <c r="BW5415" s="314"/>
      <c r="BX5415" s="155"/>
    </row>
    <row r="5416" spans="1:76" ht="15.75" customHeight="1">
      <c r="A5416" s="25"/>
      <c r="B5416" s="39"/>
      <c r="C5416" s="155"/>
      <c r="D5416" s="155"/>
      <c r="E5416" s="40"/>
      <c r="F5416" s="314"/>
      <c r="H5416" s="315"/>
      <c r="I5416" s="315"/>
      <c r="BA5416" s="30"/>
      <c r="BB5416" s="155"/>
      <c r="BC5416" s="314"/>
      <c r="BD5416" s="314"/>
      <c r="BE5416" s="314"/>
      <c r="BF5416" s="314"/>
      <c r="BG5416" s="314"/>
      <c r="BH5416" s="314"/>
      <c r="BI5416" s="314"/>
      <c r="BJ5416" s="314"/>
      <c r="BK5416" s="40"/>
      <c r="BL5416" s="40"/>
      <c r="BM5416" s="40"/>
      <c r="BN5416" s="40"/>
      <c r="BO5416" s="40"/>
      <c r="BP5416" s="155"/>
      <c r="BQ5416" s="314"/>
      <c r="BR5416" s="314"/>
      <c r="BS5416" s="314"/>
      <c r="BT5416" s="314"/>
      <c r="BU5416" s="314"/>
      <c r="BV5416" s="314"/>
      <c r="BW5416" s="314"/>
      <c r="BX5416" s="155"/>
    </row>
    <row r="5417" spans="1:76" ht="15.75" customHeight="1">
      <c r="A5417" s="25"/>
      <c r="B5417" s="39"/>
      <c r="C5417" s="155"/>
      <c r="D5417" s="155"/>
      <c r="E5417" s="40"/>
      <c r="F5417" s="314"/>
      <c r="H5417" s="315"/>
      <c r="I5417" s="315"/>
      <c r="BA5417" s="30"/>
      <c r="BB5417" s="155"/>
      <c r="BC5417" s="314"/>
      <c r="BD5417" s="314"/>
      <c r="BE5417" s="314"/>
      <c r="BF5417" s="314"/>
      <c r="BG5417" s="314"/>
      <c r="BH5417" s="314"/>
      <c r="BI5417" s="314"/>
      <c r="BJ5417" s="314"/>
      <c r="BK5417" s="40"/>
      <c r="BL5417" s="40"/>
      <c r="BM5417" s="40"/>
      <c r="BN5417" s="40"/>
      <c r="BO5417" s="40"/>
      <c r="BP5417" s="155"/>
      <c r="BQ5417" s="314"/>
      <c r="BR5417" s="314"/>
      <c r="BS5417" s="314"/>
      <c r="BT5417" s="314"/>
      <c r="BU5417" s="314"/>
      <c r="BV5417" s="314"/>
      <c r="BW5417" s="314"/>
      <c r="BX5417" s="155"/>
    </row>
    <row r="5418" spans="1:76" ht="15.75" customHeight="1">
      <c r="A5418" s="25"/>
      <c r="B5418" s="39"/>
      <c r="C5418" s="155"/>
      <c r="D5418" s="155"/>
      <c r="E5418" s="40"/>
      <c r="F5418" s="314"/>
      <c r="H5418" s="315"/>
      <c r="I5418" s="315"/>
      <c r="BA5418" s="30"/>
      <c r="BB5418" s="155"/>
      <c r="BC5418" s="322"/>
      <c r="BD5418" s="322"/>
      <c r="BE5418" s="322"/>
      <c r="BF5418" s="322"/>
      <c r="BG5418" s="322"/>
      <c r="BH5418" s="322"/>
      <c r="BI5418" s="322"/>
      <c r="BJ5418" s="322"/>
      <c r="BK5418" s="341"/>
      <c r="BL5418" s="40"/>
      <c r="BM5418" s="40"/>
      <c r="BN5418" s="40"/>
      <c r="BO5418" s="40"/>
      <c r="BP5418" s="155"/>
      <c r="BQ5418" s="314"/>
      <c r="BR5418" s="314"/>
      <c r="BS5418" s="314"/>
      <c r="BT5418" s="314"/>
      <c r="BU5418" s="314"/>
      <c r="BV5418" s="314"/>
      <c r="BW5418" s="314"/>
      <c r="BX5418" s="155"/>
    </row>
    <row r="5419" spans="1:76" ht="15.75" customHeight="1">
      <c r="A5419" s="25"/>
      <c r="B5419" s="39"/>
      <c r="C5419" s="155"/>
      <c r="D5419" s="155"/>
      <c r="E5419" s="40"/>
      <c r="F5419" s="314"/>
      <c r="H5419" s="315"/>
      <c r="I5419" s="315"/>
      <c r="BA5419" s="30"/>
      <c r="BB5419" s="155"/>
      <c r="BC5419" s="314"/>
      <c r="BD5419" s="314"/>
      <c r="BE5419" s="314"/>
      <c r="BF5419" s="314"/>
      <c r="BG5419" s="314"/>
      <c r="BH5419" s="314"/>
      <c r="BI5419" s="314"/>
      <c r="BJ5419" s="314"/>
      <c r="BK5419" s="40"/>
      <c r="BL5419" s="40"/>
      <c r="BM5419" s="40"/>
      <c r="BN5419" s="40"/>
      <c r="BO5419" s="40"/>
      <c r="BP5419" s="155"/>
      <c r="BQ5419" s="314"/>
      <c r="BR5419" s="314"/>
      <c r="BS5419" s="314"/>
      <c r="BT5419" s="314"/>
      <c r="BU5419" s="314"/>
      <c r="BV5419" s="314"/>
      <c r="BW5419" s="314"/>
      <c r="BX5419" s="155"/>
    </row>
    <row r="5420" spans="1:76" ht="15.75" customHeight="1">
      <c r="A5420" s="25"/>
      <c r="B5420" s="39"/>
      <c r="C5420" s="155"/>
      <c r="D5420" s="155"/>
      <c r="E5420" s="40"/>
      <c r="F5420" s="314"/>
      <c r="H5420" s="315"/>
      <c r="I5420" s="315"/>
      <c r="BA5420" s="30"/>
      <c r="BB5420" s="155"/>
      <c r="BC5420" s="314"/>
      <c r="BD5420" s="314"/>
      <c r="BE5420" s="314"/>
      <c r="BF5420" s="314"/>
      <c r="BG5420" s="314"/>
      <c r="BH5420" s="314"/>
      <c r="BI5420" s="314"/>
      <c r="BJ5420" s="314"/>
      <c r="BK5420" s="40"/>
      <c r="BL5420" s="40"/>
      <c r="BM5420" s="40"/>
      <c r="BN5420" s="40"/>
      <c r="BO5420" s="40"/>
      <c r="BP5420" s="155"/>
      <c r="BQ5420" s="314"/>
      <c r="BR5420" s="314"/>
      <c r="BS5420" s="314"/>
      <c r="BT5420" s="314"/>
      <c r="BU5420" s="314"/>
      <c r="BV5420" s="314"/>
      <c r="BW5420" s="314"/>
      <c r="BX5420" s="155"/>
    </row>
    <row r="5421" spans="1:76" ht="15.75" customHeight="1">
      <c r="A5421" s="25"/>
      <c r="B5421" s="39"/>
      <c r="C5421" s="155"/>
      <c r="D5421" s="155"/>
      <c r="E5421" s="40"/>
      <c r="F5421" s="314"/>
      <c r="H5421" s="315"/>
      <c r="I5421" s="315"/>
      <c r="BA5421" s="30"/>
      <c r="BB5421" s="155"/>
      <c r="BC5421" s="314"/>
      <c r="BD5421" s="314"/>
      <c r="BE5421" s="314"/>
      <c r="BF5421" s="314"/>
      <c r="BG5421" s="314"/>
      <c r="BH5421" s="314"/>
      <c r="BI5421" s="314"/>
      <c r="BJ5421" s="314"/>
      <c r="BK5421" s="40"/>
      <c r="BL5421" s="40"/>
      <c r="BM5421" s="40"/>
      <c r="BN5421" s="40"/>
      <c r="BO5421" s="40"/>
      <c r="BP5421" s="155"/>
      <c r="BQ5421" s="314"/>
      <c r="BR5421" s="314"/>
      <c r="BS5421" s="314"/>
      <c r="BT5421" s="314"/>
      <c r="BU5421" s="314"/>
      <c r="BV5421" s="314"/>
      <c r="BW5421" s="314"/>
      <c r="BX5421" s="155"/>
    </row>
    <row r="5422" spans="1:76" ht="15.75" customHeight="1">
      <c r="A5422" s="25"/>
      <c r="B5422" s="39"/>
      <c r="C5422" s="155"/>
      <c r="D5422" s="155"/>
      <c r="E5422" s="40"/>
      <c r="F5422" s="314"/>
      <c r="H5422" s="315"/>
      <c r="I5422" s="315"/>
      <c r="BA5422" s="30"/>
      <c r="BB5422" s="155"/>
      <c r="BC5422" s="314"/>
      <c r="BD5422" s="314"/>
      <c r="BE5422" s="314"/>
      <c r="BF5422" s="314"/>
      <c r="BG5422" s="314"/>
      <c r="BH5422" s="314"/>
      <c r="BI5422" s="314"/>
      <c r="BJ5422" s="314"/>
      <c r="BK5422" s="40"/>
      <c r="BL5422" s="40"/>
      <c r="BM5422" s="40"/>
      <c r="BN5422" s="40"/>
      <c r="BO5422" s="40"/>
      <c r="BP5422" s="155"/>
      <c r="BQ5422" s="314"/>
      <c r="BR5422" s="314"/>
      <c r="BS5422" s="314"/>
      <c r="BT5422" s="314"/>
      <c r="BU5422" s="314"/>
      <c r="BV5422" s="314"/>
      <c r="BW5422" s="314"/>
      <c r="BX5422" s="155"/>
    </row>
    <row r="5423" spans="1:76" ht="15.75" customHeight="1">
      <c r="A5423" s="25"/>
      <c r="B5423" s="39"/>
      <c r="C5423" s="155"/>
      <c r="D5423" s="155"/>
      <c r="E5423" s="40"/>
      <c r="F5423" s="314"/>
      <c r="H5423" s="315"/>
      <c r="I5423" s="315"/>
      <c r="BA5423" s="30"/>
      <c r="BB5423" s="155"/>
      <c r="BC5423" s="314"/>
      <c r="BD5423" s="314"/>
      <c r="BE5423" s="314"/>
      <c r="BF5423" s="314"/>
      <c r="BG5423" s="314"/>
      <c r="BH5423" s="314"/>
      <c r="BI5423" s="314"/>
      <c r="BJ5423" s="314"/>
      <c r="BK5423" s="40"/>
      <c r="BL5423" s="40"/>
      <c r="BM5423" s="40"/>
      <c r="BN5423" s="40"/>
      <c r="BO5423" s="40"/>
      <c r="BP5423" s="155"/>
      <c r="BQ5423" s="314"/>
      <c r="BR5423" s="314"/>
      <c r="BS5423" s="314"/>
      <c r="BT5423" s="314"/>
      <c r="BU5423" s="314"/>
      <c r="BV5423" s="314"/>
      <c r="BW5423" s="314"/>
      <c r="BX5423" s="155"/>
    </row>
    <row r="5424" spans="1:76" ht="15.75" customHeight="1">
      <c r="A5424" s="25"/>
      <c r="B5424" s="39"/>
      <c r="C5424" s="155"/>
      <c r="D5424" s="155"/>
      <c r="E5424" s="40"/>
      <c r="F5424" s="314"/>
      <c r="H5424" s="315"/>
      <c r="I5424" s="315"/>
      <c r="BA5424" s="30"/>
      <c r="BB5424" s="155"/>
      <c r="BC5424" s="314"/>
      <c r="BD5424" s="314"/>
      <c r="BE5424" s="314"/>
      <c r="BF5424" s="314"/>
      <c r="BG5424" s="314"/>
      <c r="BH5424" s="314"/>
      <c r="BI5424" s="314"/>
      <c r="BJ5424" s="314"/>
      <c r="BK5424" s="40"/>
      <c r="BL5424" s="40"/>
      <c r="BM5424" s="40"/>
      <c r="BN5424" s="40"/>
      <c r="BO5424" s="40"/>
      <c r="BP5424" s="155"/>
      <c r="BQ5424" s="314"/>
      <c r="BR5424" s="314"/>
      <c r="BS5424" s="314"/>
      <c r="BT5424" s="314"/>
      <c r="BU5424" s="314"/>
      <c r="BV5424" s="314"/>
      <c r="BW5424" s="314"/>
      <c r="BX5424" s="155"/>
    </row>
    <row r="5425" spans="1:76" ht="15.75" customHeight="1">
      <c r="A5425" s="25"/>
      <c r="B5425" s="39"/>
      <c r="C5425" s="155"/>
      <c r="D5425" s="155"/>
      <c r="E5425" s="40"/>
      <c r="F5425" s="314"/>
      <c r="H5425" s="315"/>
      <c r="I5425" s="315"/>
      <c r="BA5425" s="30"/>
      <c r="BB5425" s="155"/>
      <c r="BC5425" s="314"/>
      <c r="BD5425" s="314"/>
      <c r="BE5425" s="314"/>
      <c r="BF5425" s="314"/>
      <c r="BG5425" s="314"/>
      <c r="BH5425" s="314"/>
      <c r="BI5425" s="314"/>
      <c r="BJ5425" s="314"/>
      <c r="BK5425" s="40"/>
      <c r="BL5425" s="40"/>
      <c r="BM5425" s="40"/>
      <c r="BN5425" s="40"/>
      <c r="BO5425" s="40"/>
      <c r="BP5425" s="155"/>
      <c r="BQ5425" s="314"/>
      <c r="BR5425" s="314"/>
      <c r="BS5425" s="314"/>
      <c r="BT5425" s="314"/>
      <c r="BU5425" s="314"/>
      <c r="BV5425" s="314"/>
      <c r="BW5425" s="314"/>
      <c r="BX5425" s="155"/>
    </row>
    <row r="5426" spans="1:76" ht="15.75" customHeight="1">
      <c r="A5426" s="25"/>
      <c r="B5426" s="39"/>
      <c r="C5426" s="155"/>
      <c r="D5426" s="155"/>
      <c r="E5426" s="40"/>
      <c r="F5426" s="314"/>
      <c r="H5426" s="315"/>
      <c r="I5426" s="315"/>
      <c r="BA5426" s="30"/>
      <c r="BB5426" s="155"/>
      <c r="BC5426" s="314"/>
      <c r="BD5426" s="314"/>
      <c r="BE5426" s="314"/>
      <c r="BF5426" s="314"/>
      <c r="BG5426" s="314"/>
      <c r="BH5426" s="314"/>
      <c r="BI5426" s="314"/>
      <c r="BJ5426" s="314"/>
      <c r="BK5426" s="40"/>
      <c r="BL5426" s="40"/>
      <c r="BM5426" s="40"/>
      <c r="BN5426" s="40"/>
      <c r="BO5426" s="40"/>
      <c r="BP5426" s="155"/>
      <c r="BQ5426" s="314"/>
      <c r="BR5426" s="314"/>
      <c r="BS5426" s="314"/>
      <c r="BT5426" s="314"/>
      <c r="BU5426" s="314"/>
      <c r="BV5426" s="314"/>
      <c r="BW5426" s="314"/>
      <c r="BX5426" s="155"/>
    </row>
    <row r="5427" spans="1:76" ht="15.75" customHeight="1">
      <c r="A5427" s="25"/>
      <c r="B5427" s="39"/>
      <c r="C5427" s="155"/>
      <c r="D5427" s="155"/>
      <c r="E5427" s="40"/>
      <c r="F5427" s="314"/>
      <c r="H5427" s="315"/>
      <c r="I5427" s="315"/>
      <c r="BA5427" s="30"/>
      <c r="BB5427" s="155"/>
      <c r="BC5427" s="314"/>
      <c r="BD5427" s="314"/>
      <c r="BE5427" s="314"/>
      <c r="BF5427" s="314"/>
      <c r="BG5427" s="314"/>
      <c r="BH5427" s="314"/>
      <c r="BI5427" s="314"/>
      <c r="BJ5427" s="314"/>
      <c r="BK5427" s="40"/>
      <c r="BL5427" s="40"/>
      <c r="BM5427" s="40"/>
      <c r="BN5427" s="40"/>
      <c r="BO5427" s="40"/>
      <c r="BP5427" s="155"/>
      <c r="BQ5427" s="314"/>
      <c r="BR5427" s="314"/>
      <c r="BS5427" s="314"/>
      <c r="BT5427" s="314"/>
      <c r="BU5427" s="314"/>
      <c r="BV5427" s="314"/>
      <c r="BW5427" s="314"/>
      <c r="BX5427" s="155"/>
    </row>
    <row r="5428" spans="1:76" ht="15.75" customHeight="1">
      <c r="A5428" s="25"/>
      <c r="B5428" s="39"/>
      <c r="C5428" s="155"/>
      <c r="D5428" s="155"/>
      <c r="E5428" s="40"/>
      <c r="F5428" s="314"/>
      <c r="H5428" s="315"/>
      <c r="I5428" s="315"/>
      <c r="BA5428" s="30"/>
      <c r="BB5428" s="155"/>
      <c r="BC5428" s="314"/>
      <c r="BD5428" s="314"/>
      <c r="BE5428" s="314"/>
      <c r="BF5428" s="314"/>
      <c r="BG5428" s="314"/>
      <c r="BH5428" s="314"/>
      <c r="BI5428" s="314"/>
      <c r="BJ5428" s="314"/>
      <c r="BK5428" s="40"/>
      <c r="BL5428" s="40"/>
      <c r="BM5428" s="40"/>
      <c r="BN5428" s="40"/>
      <c r="BO5428" s="40"/>
      <c r="BP5428" s="155"/>
      <c r="BQ5428" s="314"/>
      <c r="BR5428" s="314"/>
      <c r="BS5428" s="314"/>
      <c r="BT5428" s="314"/>
      <c r="BU5428" s="314"/>
      <c r="BV5428" s="314"/>
      <c r="BW5428" s="314"/>
      <c r="BX5428" s="155"/>
    </row>
    <row r="5429" spans="1:76" ht="15.75" customHeight="1">
      <c r="A5429" s="25"/>
      <c r="B5429" s="39"/>
      <c r="C5429" s="155"/>
      <c r="D5429" s="155"/>
      <c r="E5429" s="40"/>
      <c r="F5429" s="314"/>
      <c r="H5429" s="315"/>
      <c r="I5429" s="315"/>
      <c r="BA5429" s="30"/>
      <c r="BB5429" s="155"/>
      <c r="BC5429" s="314"/>
      <c r="BD5429" s="314"/>
      <c r="BE5429" s="314"/>
      <c r="BF5429" s="314"/>
      <c r="BG5429" s="314"/>
      <c r="BH5429" s="314"/>
      <c r="BI5429" s="314"/>
      <c r="BJ5429" s="314"/>
      <c r="BK5429" s="40"/>
      <c r="BL5429" s="40"/>
      <c r="BM5429" s="40"/>
      <c r="BN5429" s="40"/>
      <c r="BO5429" s="40"/>
      <c r="BP5429" s="155"/>
      <c r="BQ5429" s="314"/>
      <c r="BR5429" s="314"/>
      <c r="BS5429" s="314"/>
      <c r="BT5429" s="314"/>
      <c r="BU5429" s="314"/>
      <c r="BV5429" s="314"/>
      <c r="BW5429" s="314"/>
      <c r="BX5429" s="155"/>
    </row>
    <row r="5430" spans="1:76" ht="15.75" customHeight="1">
      <c r="A5430" s="25"/>
      <c r="B5430" s="39"/>
      <c r="C5430" s="155"/>
      <c r="D5430" s="155"/>
      <c r="E5430" s="40"/>
      <c r="F5430" s="314"/>
      <c r="H5430" s="315"/>
      <c r="I5430" s="315"/>
      <c r="BA5430" s="30"/>
      <c r="BB5430" s="155"/>
      <c r="BC5430" s="314"/>
      <c r="BD5430" s="314"/>
      <c r="BE5430" s="314"/>
      <c r="BF5430" s="314"/>
      <c r="BG5430" s="314"/>
      <c r="BH5430" s="314"/>
      <c r="BI5430" s="314"/>
      <c r="BJ5430" s="314"/>
      <c r="BK5430" s="40"/>
      <c r="BL5430" s="40"/>
      <c r="BM5430" s="40"/>
      <c r="BN5430" s="40"/>
      <c r="BO5430" s="40"/>
      <c r="BP5430" s="155"/>
      <c r="BQ5430" s="314"/>
      <c r="BR5430" s="314"/>
      <c r="BS5430" s="314"/>
      <c r="BT5430" s="314"/>
      <c r="BU5430" s="314"/>
      <c r="BV5430" s="314"/>
      <c r="BW5430" s="314"/>
      <c r="BX5430" s="155"/>
    </row>
    <row r="5431" spans="1:76" ht="15.75" customHeight="1">
      <c r="A5431" s="25"/>
      <c r="B5431" s="39"/>
      <c r="C5431" s="155"/>
      <c r="D5431" s="155"/>
      <c r="E5431" s="40"/>
      <c r="F5431" s="314"/>
      <c r="H5431" s="315"/>
      <c r="I5431" s="315"/>
      <c r="BA5431" s="30"/>
      <c r="BB5431" s="155"/>
      <c r="BC5431" s="314"/>
      <c r="BD5431" s="314"/>
      <c r="BE5431" s="314"/>
      <c r="BF5431" s="314"/>
      <c r="BG5431" s="314"/>
      <c r="BH5431" s="314"/>
      <c r="BI5431" s="314"/>
      <c r="BJ5431" s="314"/>
      <c r="BK5431" s="40"/>
      <c r="BL5431" s="40"/>
      <c r="BM5431" s="40"/>
      <c r="BN5431" s="40"/>
      <c r="BO5431" s="40"/>
      <c r="BP5431" s="155"/>
      <c r="BQ5431" s="314"/>
      <c r="BR5431" s="314"/>
      <c r="BS5431" s="314"/>
      <c r="BT5431" s="314"/>
      <c r="BU5431" s="314"/>
      <c r="BV5431" s="314"/>
      <c r="BW5431" s="314"/>
      <c r="BX5431" s="155"/>
    </row>
    <row r="5432" spans="1:76" ht="15.75" customHeight="1">
      <c r="A5432" s="25"/>
      <c r="B5432" s="39"/>
      <c r="C5432" s="155"/>
      <c r="D5432" s="155"/>
      <c r="E5432" s="40"/>
      <c r="F5432" s="314"/>
      <c r="H5432" s="315"/>
      <c r="I5432" s="315"/>
      <c r="BA5432" s="30"/>
      <c r="BB5432" s="155"/>
      <c r="BC5432" s="314"/>
      <c r="BD5432" s="314"/>
      <c r="BE5432" s="314"/>
      <c r="BF5432" s="314"/>
      <c r="BG5432" s="314"/>
      <c r="BH5432" s="314"/>
      <c r="BI5432" s="314"/>
      <c r="BJ5432" s="314"/>
      <c r="BK5432" s="40"/>
      <c r="BL5432" s="40"/>
      <c r="BM5432" s="40"/>
      <c r="BN5432" s="40"/>
      <c r="BO5432" s="40"/>
      <c r="BP5432" s="155"/>
      <c r="BQ5432" s="314"/>
      <c r="BR5432" s="314"/>
      <c r="BS5432" s="314"/>
      <c r="BT5432" s="314"/>
      <c r="BU5432" s="314"/>
      <c r="BV5432" s="314"/>
      <c r="BW5432" s="314"/>
      <c r="BX5432" s="155"/>
    </row>
    <row r="5433" spans="1:76" ht="15.75" customHeight="1">
      <c r="A5433" s="25"/>
      <c r="B5433" s="39"/>
      <c r="C5433" s="155"/>
      <c r="D5433" s="155"/>
      <c r="E5433" s="40"/>
      <c r="F5433" s="314"/>
      <c r="H5433" s="315"/>
      <c r="I5433" s="315"/>
      <c r="BA5433" s="30"/>
      <c r="BB5433" s="155"/>
      <c r="BC5433" s="314"/>
      <c r="BD5433" s="314"/>
      <c r="BE5433" s="314"/>
      <c r="BF5433" s="314"/>
      <c r="BG5433" s="314"/>
      <c r="BH5433" s="314"/>
      <c r="BI5433" s="314"/>
      <c r="BJ5433" s="314"/>
      <c r="BK5433" s="40"/>
      <c r="BL5433" s="40"/>
      <c r="BM5433" s="40"/>
      <c r="BN5433" s="40"/>
      <c r="BO5433" s="40"/>
      <c r="BP5433" s="155"/>
      <c r="BQ5433" s="314"/>
      <c r="BR5433" s="314"/>
      <c r="BS5433" s="314"/>
      <c r="BT5433" s="314"/>
      <c r="BU5433" s="314"/>
      <c r="BV5433" s="314"/>
      <c r="BW5433" s="314"/>
      <c r="BX5433" s="155"/>
    </row>
    <row r="5434" spans="1:76" ht="15.75" customHeight="1">
      <c r="A5434" s="25"/>
      <c r="B5434" s="39"/>
      <c r="C5434" s="155"/>
      <c r="D5434" s="155"/>
      <c r="E5434" s="40"/>
      <c r="F5434" s="314"/>
      <c r="H5434" s="315"/>
      <c r="I5434" s="315"/>
      <c r="BA5434" s="30"/>
      <c r="BB5434" s="155"/>
      <c r="BC5434" s="314"/>
      <c r="BD5434" s="314"/>
      <c r="BE5434" s="314"/>
      <c r="BF5434" s="314"/>
      <c r="BG5434" s="314"/>
      <c r="BH5434" s="314"/>
      <c r="BI5434" s="314"/>
      <c r="BJ5434" s="314"/>
      <c r="BK5434" s="40"/>
      <c r="BL5434" s="40"/>
      <c r="BM5434" s="40"/>
      <c r="BN5434" s="40"/>
      <c r="BO5434" s="40"/>
      <c r="BP5434" s="155"/>
      <c r="BQ5434" s="314"/>
      <c r="BR5434" s="314"/>
      <c r="BS5434" s="314"/>
      <c r="BT5434" s="314"/>
      <c r="BU5434" s="314"/>
      <c r="BV5434" s="314"/>
      <c r="BW5434" s="314"/>
      <c r="BX5434" s="155"/>
    </row>
    <row r="5435" spans="1:76" ht="15.75" customHeight="1">
      <c r="A5435" s="25"/>
      <c r="B5435" s="39"/>
      <c r="C5435" s="155"/>
      <c r="D5435" s="155"/>
      <c r="E5435" s="40"/>
      <c r="F5435" s="314"/>
      <c r="H5435" s="315"/>
      <c r="I5435" s="315"/>
      <c r="BA5435" s="30"/>
      <c r="BB5435" s="155"/>
      <c r="BC5435" s="314"/>
      <c r="BD5435" s="314"/>
      <c r="BE5435" s="314"/>
      <c r="BF5435" s="314"/>
      <c r="BG5435" s="314"/>
      <c r="BH5435" s="314"/>
      <c r="BI5435" s="314"/>
      <c r="BJ5435" s="314"/>
      <c r="BK5435" s="40"/>
      <c r="BL5435" s="40"/>
      <c r="BM5435" s="40"/>
      <c r="BN5435" s="40"/>
      <c r="BO5435" s="40"/>
      <c r="BP5435" s="155"/>
      <c r="BQ5435" s="314"/>
      <c r="BR5435" s="314"/>
      <c r="BS5435" s="314"/>
      <c r="BT5435" s="314"/>
      <c r="BU5435" s="314"/>
      <c r="BV5435" s="314"/>
      <c r="BW5435" s="314"/>
      <c r="BX5435" s="155"/>
    </row>
    <row r="5436" spans="1:76" ht="15.75" customHeight="1">
      <c r="A5436" s="25"/>
      <c r="B5436" s="39"/>
      <c r="C5436" s="155"/>
      <c r="D5436" s="155"/>
      <c r="E5436" s="40"/>
      <c r="F5436" s="314"/>
      <c r="H5436" s="315"/>
      <c r="I5436" s="315"/>
      <c r="BA5436" s="30"/>
      <c r="BB5436" s="155"/>
      <c r="BC5436" s="322"/>
      <c r="BD5436" s="322"/>
      <c r="BE5436" s="322"/>
      <c r="BF5436" s="322"/>
      <c r="BG5436" s="322"/>
      <c r="BH5436" s="322"/>
      <c r="BI5436" s="322"/>
      <c r="BJ5436" s="322"/>
      <c r="BK5436" s="341"/>
      <c r="BL5436" s="40"/>
      <c r="BM5436" s="40"/>
      <c r="BN5436" s="40"/>
      <c r="BO5436" s="40"/>
      <c r="BP5436" s="155"/>
      <c r="BQ5436" s="314"/>
      <c r="BR5436" s="314"/>
      <c r="BS5436" s="314"/>
      <c r="BT5436" s="314"/>
      <c r="BU5436" s="314"/>
      <c r="BV5436" s="314"/>
      <c r="BW5436" s="314"/>
      <c r="BX5436" s="155"/>
    </row>
    <row r="5437" spans="1:76" ht="15.75" customHeight="1">
      <c r="A5437" s="25"/>
      <c r="B5437" s="39"/>
      <c r="C5437" s="155"/>
      <c r="D5437" s="155"/>
      <c r="E5437" s="40"/>
      <c r="F5437" s="314"/>
      <c r="H5437" s="315"/>
      <c r="I5437" s="315"/>
      <c r="BA5437" s="30"/>
      <c r="BB5437" s="155"/>
      <c r="BC5437" s="314"/>
      <c r="BD5437" s="314"/>
      <c r="BE5437" s="314"/>
      <c r="BF5437" s="314"/>
      <c r="BG5437" s="314"/>
      <c r="BH5437" s="314"/>
      <c r="BI5437" s="314"/>
      <c r="BJ5437" s="314"/>
      <c r="BK5437" s="40"/>
      <c r="BL5437" s="40"/>
      <c r="BM5437" s="40"/>
      <c r="BN5437" s="40"/>
      <c r="BO5437" s="40"/>
      <c r="BP5437" s="155"/>
      <c r="BQ5437" s="314"/>
      <c r="BR5437" s="314"/>
      <c r="BS5437" s="314"/>
      <c r="BT5437" s="314"/>
      <c r="BU5437" s="314"/>
      <c r="BV5437" s="314"/>
      <c r="BW5437" s="314"/>
      <c r="BX5437" s="155"/>
    </row>
    <row r="5438" spans="1:76" ht="15.75" customHeight="1">
      <c r="A5438" s="25"/>
      <c r="B5438" s="39"/>
      <c r="C5438" s="155"/>
      <c r="D5438" s="155"/>
      <c r="E5438" s="40"/>
      <c r="F5438" s="314"/>
      <c r="H5438" s="315"/>
      <c r="I5438" s="315"/>
      <c r="BA5438" s="30"/>
      <c r="BB5438" s="155"/>
      <c r="BC5438" s="314"/>
      <c r="BD5438" s="314"/>
      <c r="BE5438" s="314"/>
      <c r="BF5438" s="314"/>
      <c r="BG5438" s="314"/>
      <c r="BH5438" s="314"/>
      <c r="BI5438" s="314"/>
      <c r="BJ5438" s="314"/>
      <c r="BK5438" s="40"/>
      <c r="BL5438" s="40"/>
      <c r="BM5438" s="40"/>
      <c r="BN5438" s="40"/>
      <c r="BO5438" s="40"/>
      <c r="BP5438" s="155"/>
      <c r="BQ5438" s="314"/>
      <c r="BR5438" s="314"/>
      <c r="BS5438" s="314"/>
      <c r="BT5438" s="314"/>
      <c r="BU5438" s="314"/>
      <c r="BV5438" s="314"/>
      <c r="BW5438" s="314"/>
      <c r="BX5438" s="155"/>
    </row>
    <row r="5439" spans="1:76" ht="15.75" customHeight="1">
      <c r="A5439" s="25"/>
      <c r="B5439" s="39"/>
      <c r="C5439" s="155"/>
      <c r="D5439" s="155"/>
      <c r="E5439" s="40"/>
      <c r="F5439" s="314"/>
      <c r="H5439" s="315"/>
      <c r="I5439" s="315"/>
      <c r="BA5439" s="30"/>
      <c r="BB5439" s="155"/>
      <c r="BC5439" s="314"/>
      <c r="BD5439" s="314"/>
      <c r="BE5439" s="314"/>
      <c r="BF5439" s="314"/>
      <c r="BG5439" s="314"/>
      <c r="BH5439" s="314"/>
      <c r="BI5439" s="314"/>
      <c r="BJ5439" s="314"/>
      <c r="BK5439" s="40"/>
      <c r="BL5439" s="40"/>
      <c r="BM5439" s="40"/>
      <c r="BN5439" s="40"/>
      <c r="BO5439" s="40"/>
      <c r="BP5439" s="155"/>
      <c r="BQ5439" s="314"/>
      <c r="BR5439" s="314"/>
      <c r="BS5439" s="314"/>
      <c r="BT5439" s="314"/>
      <c r="BU5439" s="314"/>
      <c r="BV5439" s="314"/>
      <c r="BW5439" s="314"/>
      <c r="BX5439" s="155"/>
    </row>
    <row r="5440" spans="1:76" ht="15.75" customHeight="1">
      <c r="A5440" s="25"/>
      <c r="B5440" s="39"/>
      <c r="C5440" s="155"/>
      <c r="D5440" s="155"/>
      <c r="E5440" s="40"/>
      <c r="F5440" s="314"/>
      <c r="H5440" s="315"/>
      <c r="I5440" s="315"/>
      <c r="BA5440" s="30"/>
      <c r="BB5440" s="155"/>
      <c r="BC5440" s="314"/>
      <c r="BD5440" s="314"/>
      <c r="BE5440" s="314"/>
      <c r="BF5440" s="314"/>
      <c r="BG5440" s="314"/>
      <c r="BH5440" s="314"/>
      <c r="BI5440" s="314"/>
      <c r="BJ5440" s="314"/>
      <c r="BK5440" s="40"/>
      <c r="BL5440" s="40"/>
      <c r="BM5440" s="40"/>
      <c r="BN5440" s="40"/>
      <c r="BO5440" s="40"/>
      <c r="BP5440" s="155"/>
      <c r="BQ5440" s="314"/>
      <c r="BR5440" s="314"/>
      <c r="BS5440" s="314"/>
      <c r="BT5440" s="314"/>
      <c r="BU5440" s="314"/>
      <c r="BV5440" s="314"/>
      <c r="BW5440" s="314"/>
      <c r="BX5440" s="155"/>
    </row>
    <row r="5441" spans="1:76" ht="15.75" customHeight="1">
      <c r="A5441" s="25"/>
      <c r="B5441" s="39"/>
      <c r="C5441" s="155"/>
      <c r="D5441" s="155"/>
      <c r="E5441" s="40"/>
      <c r="F5441" s="314"/>
      <c r="H5441" s="315"/>
      <c r="I5441" s="315"/>
      <c r="BA5441" s="30"/>
      <c r="BB5441" s="155"/>
      <c r="BC5441" s="314"/>
      <c r="BD5441" s="314"/>
      <c r="BE5441" s="314"/>
      <c r="BF5441" s="314"/>
      <c r="BG5441" s="314"/>
      <c r="BH5441" s="314"/>
      <c r="BI5441" s="314"/>
      <c r="BJ5441" s="314"/>
      <c r="BK5441" s="40"/>
      <c r="BL5441" s="40"/>
      <c r="BM5441" s="40"/>
      <c r="BN5441" s="40"/>
      <c r="BO5441" s="40"/>
      <c r="BP5441" s="155"/>
      <c r="BQ5441" s="314"/>
      <c r="BR5441" s="314"/>
      <c r="BS5441" s="314"/>
      <c r="BT5441" s="314"/>
      <c r="BU5441" s="314"/>
      <c r="BV5441" s="314"/>
      <c r="BW5441" s="314"/>
      <c r="BX5441" s="155"/>
    </row>
    <row r="5442" spans="1:76" ht="15.75" customHeight="1">
      <c r="A5442" s="25"/>
      <c r="B5442" s="39"/>
      <c r="C5442" s="155"/>
      <c r="D5442" s="155"/>
      <c r="E5442" s="40"/>
      <c r="F5442" s="314"/>
      <c r="H5442" s="315"/>
      <c r="I5442" s="315"/>
      <c r="BA5442" s="30"/>
      <c r="BB5442" s="155"/>
      <c r="BC5442" s="314"/>
      <c r="BD5442" s="314"/>
      <c r="BE5442" s="314"/>
      <c r="BF5442" s="314"/>
      <c r="BG5442" s="314"/>
      <c r="BH5442" s="314"/>
      <c r="BI5442" s="314"/>
      <c r="BJ5442" s="314"/>
      <c r="BK5442" s="40"/>
      <c r="BL5442" s="40"/>
      <c r="BM5442" s="40"/>
      <c r="BN5442" s="40"/>
      <c r="BO5442" s="40"/>
      <c r="BP5442" s="155"/>
      <c r="BQ5442" s="314"/>
      <c r="BR5442" s="314"/>
      <c r="BS5442" s="314"/>
      <c r="BT5442" s="314"/>
      <c r="BU5442" s="314"/>
      <c r="BV5442" s="314"/>
      <c r="BW5442" s="314"/>
      <c r="BX5442" s="155"/>
    </row>
    <row r="5443" spans="1:76" ht="15.75" customHeight="1">
      <c r="A5443" s="25"/>
      <c r="B5443" s="39"/>
      <c r="C5443" s="155"/>
      <c r="D5443" s="155"/>
      <c r="E5443" s="40"/>
      <c r="F5443" s="314"/>
      <c r="H5443" s="315"/>
      <c r="I5443" s="315"/>
      <c r="BA5443" s="30"/>
      <c r="BB5443" s="155"/>
      <c r="BC5443" s="314"/>
      <c r="BD5443" s="314"/>
      <c r="BE5443" s="314"/>
      <c r="BF5443" s="314"/>
      <c r="BG5443" s="314"/>
      <c r="BH5443" s="314"/>
      <c r="BI5443" s="314"/>
      <c r="BJ5443" s="314"/>
      <c r="BK5443" s="40"/>
      <c r="BL5443" s="40"/>
      <c r="BM5443" s="40"/>
      <c r="BN5443" s="40"/>
      <c r="BO5443" s="40"/>
      <c r="BP5443" s="155"/>
      <c r="BQ5443" s="314"/>
      <c r="BR5443" s="314"/>
      <c r="BS5443" s="314"/>
      <c r="BT5443" s="314"/>
      <c r="BU5443" s="314"/>
      <c r="BV5443" s="314"/>
      <c r="BW5443" s="314"/>
      <c r="BX5443" s="155"/>
    </row>
    <row r="5444" spans="1:76" ht="15.75" customHeight="1">
      <c r="A5444" s="25"/>
      <c r="B5444" s="39"/>
      <c r="C5444" s="155"/>
      <c r="D5444" s="155"/>
      <c r="E5444" s="40"/>
      <c r="F5444" s="314"/>
      <c r="H5444" s="315"/>
      <c r="I5444" s="315"/>
      <c r="BA5444" s="30"/>
      <c r="BB5444" s="155"/>
      <c r="BC5444" s="314"/>
      <c r="BD5444" s="314"/>
      <c r="BE5444" s="314"/>
      <c r="BF5444" s="314"/>
      <c r="BG5444" s="314"/>
      <c r="BH5444" s="314"/>
      <c r="BI5444" s="314"/>
      <c r="BJ5444" s="314"/>
      <c r="BK5444" s="40"/>
      <c r="BL5444" s="40"/>
      <c r="BM5444" s="40"/>
      <c r="BN5444" s="40"/>
      <c r="BO5444" s="40"/>
      <c r="BP5444" s="155"/>
      <c r="BQ5444" s="314"/>
      <c r="BR5444" s="314"/>
      <c r="BS5444" s="314"/>
      <c r="BT5444" s="314"/>
      <c r="BU5444" s="314"/>
      <c r="BV5444" s="314"/>
      <c r="BW5444" s="314"/>
      <c r="BX5444" s="155"/>
    </row>
    <row r="5445" spans="1:76" ht="15.75" customHeight="1">
      <c r="A5445" s="25"/>
      <c r="B5445" s="39"/>
      <c r="C5445" s="155"/>
      <c r="D5445" s="155"/>
      <c r="E5445" s="40"/>
      <c r="F5445" s="314"/>
      <c r="H5445" s="315"/>
      <c r="I5445" s="315"/>
      <c r="BA5445" s="30"/>
      <c r="BB5445" s="155"/>
      <c r="BC5445" s="314"/>
      <c r="BD5445" s="314"/>
      <c r="BE5445" s="314"/>
      <c r="BF5445" s="314"/>
      <c r="BG5445" s="314"/>
      <c r="BH5445" s="314"/>
      <c r="BI5445" s="314"/>
      <c r="BJ5445" s="314"/>
      <c r="BK5445" s="40"/>
      <c r="BL5445" s="40"/>
      <c r="BM5445" s="40"/>
      <c r="BN5445" s="40"/>
      <c r="BO5445" s="40"/>
      <c r="BP5445" s="155"/>
      <c r="BQ5445" s="314"/>
      <c r="BR5445" s="314"/>
      <c r="BS5445" s="314"/>
      <c r="BT5445" s="314"/>
      <c r="BU5445" s="314"/>
      <c r="BV5445" s="314"/>
      <c r="BW5445" s="314"/>
      <c r="BX5445" s="155"/>
    </row>
    <row r="5446" spans="1:76" ht="15.75" customHeight="1">
      <c r="A5446" s="25"/>
      <c r="B5446" s="39"/>
      <c r="C5446" s="155"/>
      <c r="D5446" s="155"/>
      <c r="E5446" s="40"/>
      <c r="F5446" s="314"/>
      <c r="H5446" s="315"/>
      <c r="I5446" s="315"/>
      <c r="BA5446" s="30"/>
      <c r="BB5446" s="155"/>
      <c r="BC5446" s="314"/>
      <c r="BD5446" s="314"/>
      <c r="BE5446" s="314"/>
      <c r="BF5446" s="314"/>
      <c r="BG5446" s="314"/>
      <c r="BH5446" s="314"/>
      <c r="BI5446" s="314"/>
      <c r="BJ5446" s="314"/>
      <c r="BK5446" s="40"/>
      <c r="BL5446" s="40"/>
      <c r="BM5446" s="40"/>
      <c r="BN5446" s="40"/>
      <c r="BO5446" s="40"/>
      <c r="BP5446" s="155"/>
      <c r="BQ5446" s="314"/>
      <c r="BR5446" s="314"/>
      <c r="BS5446" s="314"/>
      <c r="BT5446" s="314"/>
      <c r="BU5446" s="314"/>
      <c r="BV5446" s="314"/>
      <c r="BW5446" s="314"/>
      <c r="BX5446" s="155"/>
    </row>
    <row r="5447" spans="1:76" ht="15.75" customHeight="1">
      <c r="A5447" s="25"/>
      <c r="B5447" s="39"/>
      <c r="C5447" s="155"/>
      <c r="D5447" s="155"/>
      <c r="E5447" s="40"/>
      <c r="F5447" s="314"/>
      <c r="H5447" s="315"/>
      <c r="I5447" s="315"/>
      <c r="BA5447" s="30"/>
      <c r="BB5447" s="155"/>
      <c r="BC5447" s="314"/>
      <c r="BD5447" s="314"/>
      <c r="BE5447" s="314"/>
      <c r="BF5447" s="314"/>
      <c r="BG5447" s="314"/>
      <c r="BH5447" s="314"/>
      <c r="BI5447" s="314"/>
      <c r="BJ5447" s="314"/>
      <c r="BK5447" s="40"/>
      <c r="BL5447" s="40"/>
      <c r="BM5447" s="40"/>
      <c r="BN5447" s="40"/>
      <c r="BO5447" s="40"/>
      <c r="BP5447" s="155"/>
      <c r="BQ5447" s="314"/>
      <c r="BR5447" s="314"/>
      <c r="BS5447" s="314"/>
      <c r="BT5447" s="314"/>
      <c r="BU5447" s="314"/>
      <c r="BV5447" s="314"/>
      <c r="BW5447" s="314"/>
      <c r="BX5447" s="155"/>
    </row>
    <row r="5448" spans="1:76" ht="15.75" customHeight="1">
      <c r="A5448" s="25"/>
      <c r="B5448" s="39"/>
      <c r="C5448" s="155"/>
      <c r="D5448" s="155"/>
      <c r="E5448" s="40"/>
      <c r="F5448" s="314"/>
      <c r="H5448" s="315"/>
      <c r="I5448" s="315"/>
      <c r="BA5448" s="30"/>
      <c r="BB5448" s="155"/>
      <c r="BC5448" s="314"/>
      <c r="BD5448" s="314"/>
      <c r="BE5448" s="314"/>
      <c r="BF5448" s="314"/>
      <c r="BG5448" s="314"/>
      <c r="BH5448" s="314"/>
      <c r="BI5448" s="314"/>
      <c r="BJ5448" s="314"/>
      <c r="BK5448" s="40"/>
      <c r="BL5448" s="40"/>
      <c r="BM5448" s="40"/>
      <c r="BN5448" s="40"/>
      <c r="BO5448" s="40"/>
      <c r="BP5448" s="155"/>
      <c r="BQ5448" s="314"/>
      <c r="BR5448" s="314"/>
      <c r="BS5448" s="314"/>
      <c r="BT5448" s="314"/>
      <c r="BU5448" s="314"/>
      <c r="BV5448" s="314"/>
      <c r="BW5448" s="314"/>
      <c r="BX5448" s="155"/>
    </row>
    <row r="5449" spans="1:76" ht="15.75" customHeight="1">
      <c r="A5449" s="25"/>
      <c r="B5449" s="39"/>
      <c r="C5449" s="155"/>
      <c r="D5449" s="155"/>
      <c r="E5449" s="40"/>
      <c r="F5449" s="314"/>
      <c r="H5449" s="315"/>
      <c r="I5449" s="315"/>
      <c r="BA5449" s="30"/>
      <c r="BB5449" s="155"/>
      <c r="BC5449" s="314"/>
      <c r="BD5449" s="314"/>
      <c r="BE5449" s="314"/>
      <c r="BF5449" s="314"/>
      <c r="BG5449" s="314"/>
      <c r="BH5449" s="314"/>
      <c r="BI5449" s="314"/>
      <c r="BJ5449" s="314"/>
      <c r="BK5449" s="40"/>
      <c r="BL5449" s="40"/>
      <c r="BM5449" s="40"/>
      <c r="BN5449" s="40"/>
      <c r="BO5449" s="40"/>
      <c r="BP5449" s="155"/>
      <c r="BQ5449" s="314"/>
      <c r="BR5449" s="314"/>
      <c r="BS5449" s="314"/>
      <c r="BT5449" s="314"/>
      <c r="BU5449" s="314"/>
      <c r="BV5449" s="314"/>
      <c r="BW5449" s="314"/>
      <c r="BX5449" s="155"/>
    </row>
    <row r="5450" spans="1:76" ht="15.75" customHeight="1">
      <c r="A5450" s="25"/>
      <c r="B5450" s="39"/>
      <c r="C5450" s="155"/>
      <c r="D5450" s="155"/>
      <c r="E5450" s="40"/>
      <c r="F5450" s="314"/>
      <c r="H5450" s="315"/>
      <c r="I5450" s="315"/>
      <c r="BA5450" s="30"/>
      <c r="BB5450" s="155"/>
      <c r="BC5450" s="314"/>
      <c r="BD5450" s="314"/>
      <c r="BE5450" s="314"/>
      <c r="BF5450" s="314"/>
      <c r="BG5450" s="314"/>
      <c r="BH5450" s="314"/>
      <c r="BI5450" s="314"/>
      <c r="BJ5450" s="314"/>
      <c r="BK5450" s="40"/>
      <c r="BL5450" s="40"/>
      <c r="BM5450" s="40"/>
      <c r="BN5450" s="40"/>
      <c r="BO5450" s="40"/>
      <c r="BP5450" s="155"/>
      <c r="BQ5450" s="314"/>
      <c r="BR5450" s="314"/>
      <c r="BS5450" s="314"/>
      <c r="BT5450" s="314"/>
      <c r="BU5450" s="314"/>
      <c r="BV5450" s="314"/>
      <c r="BW5450" s="314"/>
      <c r="BX5450" s="155"/>
    </row>
    <row r="5451" spans="1:76" ht="15.75" customHeight="1">
      <c r="A5451" s="25"/>
      <c r="B5451" s="39"/>
      <c r="C5451" s="155"/>
      <c r="D5451" s="155"/>
      <c r="E5451" s="40"/>
      <c r="F5451" s="314"/>
      <c r="H5451" s="315"/>
      <c r="I5451" s="315"/>
      <c r="BA5451" s="30"/>
      <c r="BB5451" s="155"/>
      <c r="BC5451" s="314"/>
      <c r="BD5451" s="314"/>
      <c r="BE5451" s="314"/>
      <c r="BF5451" s="314"/>
      <c r="BG5451" s="314"/>
      <c r="BH5451" s="314"/>
      <c r="BI5451" s="314"/>
      <c r="BJ5451" s="314"/>
      <c r="BK5451" s="40"/>
      <c r="BL5451" s="40"/>
      <c r="BM5451" s="40"/>
      <c r="BN5451" s="40"/>
      <c r="BO5451" s="40"/>
      <c r="BP5451" s="155"/>
      <c r="BQ5451" s="314"/>
      <c r="BR5451" s="314"/>
      <c r="BS5451" s="314"/>
      <c r="BT5451" s="314"/>
      <c r="BU5451" s="314"/>
      <c r="BV5451" s="314"/>
      <c r="BW5451" s="314"/>
      <c r="BX5451" s="155"/>
    </row>
    <row r="5452" spans="1:76" ht="15.75" customHeight="1">
      <c r="A5452" s="25"/>
      <c r="B5452" s="39"/>
      <c r="C5452" s="155"/>
      <c r="D5452" s="155"/>
      <c r="E5452" s="40"/>
      <c r="F5452" s="314"/>
      <c r="H5452" s="315"/>
      <c r="I5452" s="315"/>
      <c r="BA5452" s="30"/>
      <c r="BB5452" s="155"/>
      <c r="BC5452" s="314"/>
      <c r="BD5452" s="314"/>
      <c r="BE5452" s="314"/>
      <c r="BF5452" s="314"/>
      <c r="BG5452" s="314"/>
      <c r="BH5452" s="314"/>
      <c r="BI5452" s="314"/>
      <c r="BJ5452" s="314"/>
      <c r="BK5452" s="40"/>
      <c r="BL5452" s="40"/>
      <c r="BM5452" s="40"/>
      <c r="BN5452" s="40"/>
      <c r="BO5452" s="40"/>
      <c r="BP5452" s="155"/>
      <c r="BQ5452" s="314"/>
      <c r="BR5452" s="314"/>
      <c r="BS5452" s="314"/>
      <c r="BT5452" s="314"/>
      <c r="BU5452" s="314"/>
      <c r="BV5452" s="314"/>
      <c r="BW5452" s="314"/>
      <c r="BX5452" s="155"/>
    </row>
    <row r="5453" spans="1:76" ht="15.75" customHeight="1">
      <c r="A5453" s="25"/>
      <c r="B5453" s="39"/>
      <c r="C5453" s="155"/>
      <c r="D5453" s="155"/>
      <c r="E5453" s="40"/>
      <c r="F5453" s="314"/>
      <c r="H5453" s="315"/>
      <c r="I5453" s="315"/>
      <c r="BA5453" s="30"/>
      <c r="BB5453" s="155"/>
      <c r="BC5453" s="314"/>
      <c r="BD5453" s="314"/>
      <c r="BE5453" s="314"/>
      <c r="BF5453" s="314"/>
      <c r="BG5453" s="314"/>
      <c r="BH5453" s="314"/>
      <c r="BI5453" s="314"/>
      <c r="BJ5453" s="314"/>
      <c r="BK5453" s="40"/>
      <c r="BL5453" s="40"/>
      <c r="BM5453" s="40"/>
      <c r="BN5453" s="40"/>
      <c r="BO5453" s="40"/>
      <c r="BP5453" s="155"/>
      <c r="BQ5453" s="314"/>
      <c r="BR5453" s="314"/>
      <c r="BS5453" s="314"/>
      <c r="BT5453" s="314"/>
      <c r="BU5453" s="314"/>
      <c r="BV5453" s="314"/>
      <c r="BW5453" s="314"/>
      <c r="BX5453" s="155"/>
    </row>
    <row r="5454" spans="1:76" ht="15.75" customHeight="1">
      <c r="A5454" s="25"/>
      <c r="B5454" s="39"/>
      <c r="C5454" s="155"/>
      <c r="D5454" s="155"/>
      <c r="E5454" s="40"/>
      <c r="F5454" s="314"/>
      <c r="H5454" s="315"/>
      <c r="I5454" s="315"/>
      <c r="BA5454" s="30"/>
      <c r="BB5454" s="155"/>
      <c r="BC5454" s="314"/>
      <c r="BD5454" s="314"/>
      <c r="BE5454" s="314"/>
      <c r="BF5454" s="314"/>
      <c r="BG5454" s="314"/>
      <c r="BH5454" s="314"/>
      <c r="BI5454" s="314"/>
      <c r="BJ5454" s="314"/>
      <c r="BK5454" s="40"/>
      <c r="BL5454" s="40"/>
      <c r="BM5454" s="40"/>
      <c r="BN5454" s="40"/>
      <c r="BO5454" s="40"/>
      <c r="BP5454" s="155"/>
      <c r="BQ5454" s="314"/>
      <c r="BR5454" s="314"/>
      <c r="BS5454" s="314"/>
      <c r="BT5454" s="314"/>
      <c r="BU5454" s="314"/>
      <c r="BV5454" s="314"/>
      <c r="BW5454" s="314"/>
      <c r="BX5454" s="155"/>
    </row>
    <row r="5455" spans="1:76" ht="15.75" customHeight="1">
      <c r="A5455" s="25"/>
      <c r="B5455" s="39"/>
      <c r="C5455" s="155"/>
      <c r="D5455" s="155"/>
      <c r="E5455" s="40"/>
      <c r="F5455" s="314"/>
      <c r="H5455" s="315"/>
      <c r="I5455" s="315"/>
      <c r="BA5455" s="30"/>
      <c r="BB5455" s="155"/>
      <c r="BC5455" s="314"/>
      <c r="BD5455" s="314"/>
      <c r="BE5455" s="314"/>
      <c r="BF5455" s="314"/>
      <c r="BG5455" s="314"/>
      <c r="BH5455" s="314"/>
      <c r="BI5455" s="314"/>
      <c r="BJ5455" s="314"/>
      <c r="BK5455" s="40"/>
      <c r="BL5455" s="40"/>
      <c r="BM5455" s="40"/>
      <c r="BN5455" s="40"/>
      <c r="BO5455" s="40"/>
      <c r="BP5455" s="155"/>
      <c r="BQ5455" s="314"/>
      <c r="BR5455" s="314"/>
      <c r="BS5455" s="314"/>
      <c r="BT5455" s="314"/>
      <c r="BU5455" s="314"/>
      <c r="BV5455" s="314"/>
      <c r="BW5455" s="314"/>
      <c r="BX5455" s="155"/>
    </row>
    <row r="5456" spans="1:76" ht="15.75" customHeight="1">
      <c r="A5456" s="25"/>
      <c r="B5456" s="39"/>
      <c r="C5456" s="155"/>
      <c r="D5456" s="155"/>
      <c r="E5456" s="40"/>
      <c r="F5456" s="314"/>
      <c r="H5456" s="315"/>
      <c r="I5456" s="315"/>
      <c r="BA5456" s="30"/>
      <c r="BB5456" s="155"/>
      <c r="BC5456" s="314"/>
      <c r="BD5456" s="314"/>
      <c r="BE5456" s="314"/>
      <c r="BF5456" s="314"/>
      <c r="BG5456" s="314"/>
      <c r="BH5456" s="314"/>
      <c r="BI5456" s="314"/>
      <c r="BJ5456" s="314"/>
      <c r="BK5456" s="40"/>
      <c r="BL5456" s="40"/>
      <c r="BM5456" s="40"/>
      <c r="BN5456" s="40"/>
      <c r="BO5456" s="40"/>
      <c r="BP5456" s="155"/>
      <c r="BQ5456" s="314"/>
      <c r="BR5456" s="314"/>
      <c r="BS5456" s="314"/>
      <c r="BT5456" s="314"/>
      <c r="BU5456" s="314"/>
      <c r="BV5456" s="314"/>
      <c r="BW5456" s="314"/>
      <c r="BX5456" s="155"/>
    </row>
    <row r="5457" spans="1:76" ht="15.75" customHeight="1">
      <c r="A5457" s="25"/>
      <c r="B5457" s="39"/>
      <c r="C5457" s="155"/>
      <c r="D5457" s="155"/>
      <c r="E5457" s="40"/>
      <c r="F5457" s="314"/>
      <c r="H5457" s="315"/>
      <c r="I5457" s="315"/>
      <c r="BA5457" s="30"/>
      <c r="BB5457" s="155"/>
      <c r="BC5457" s="314"/>
      <c r="BD5457" s="314"/>
      <c r="BE5457" s="314"/>
      <c r="BF5457" s="314"/>
      <c r="BG5457" s="314"/>
      <c r="BH5457" s="314"/>
      <c r="BI5457" s="314"/>
      <c r="BJ5457" s="314"/>
      <c r="BK5457" s="40"/>
      <c r="BL5457" s="40"/>
      <c r="BM5457" s="40"/>
      <c r="BN5457" s="40"/>
      <c r="BO5457" s="40"/>
      <c r="BP5457" s="155"/>
      <c r="BQ5457" s="314"/>
      <c r="BR5457" s="314"/>
      <c r="BS5457" s="314"/>
      <c r="BT5457" s="314"/>
      <c r="BU5457" s="314"/>
      <c r="BV5457" s="314"/>
      <c r="BW5457" s="314"/>
      <c r="BX5457" s="155"/>
    </row>
    <row r="5458" spans="1:76" ht="15.75" customHeight="1">
      <c r="A5458" s="25"/>
      <c r="B5458" s="39"/>
      <c r="C5458" s="155"/>
      <c r="D5458" s="155"/>
      <c r="E5458" s="40"/>
      <c r="F5458" s="314"/>
      <c r="H5458" s="315"/>
      <c r="I5458" s="315"/>
      <c r="BA5458" s="30"/>
      <c r="BB5458" s="155"/>
      <c r="BC5458" s="314"/>
      <c r="BD5458" s="314"/>
      <c r="BE5458" s="314"/>
      <c r="BF5458" s="314"/>
      <c r="BG5458" s="314"/>
      <c r="BH5458" s="314"/>
      <c r="BI5458" s="314"/>
      <c r="BJ5458" s="314"/>
      <c r="BK5458" s="40"/>
      <c r="BL5458" s="40"/>
      <c r="BM5458" s="40"/>
      <c r="BN5458" s="40"/>
      <c r="BO5458" s="40"/>
      <c r="BP5458" s="155"/>
      <c r="BQ5458" s="314"/>
      <c r="BR5458" s="314"/>
      <c r="BS5458" s="314"/>
      <c r="BT5458" s="314"/>
      <c r="BU5458" s="314"/>
      <c r="BV5458" s="314"/>
      <c r="BW5458" s="314"/>
      <c r="BX5458" s="155"/>
    </row>
    <row r="5459" spans="1:76" ht="15.75" customHeight="1">
      <c r="A5459" s="25"/>
      <c r="B5459" s="39"/>
      <c r="C5459" s="155"/>
      <c r="D5459" s="155"/>
      <c r="E5459" s="40"/>
      <c r="F5459" s="314"/>
      <c r="H5459" s="315"/>
      <c r="I5459" s="315"/>
      <c r="BA5459" s="30"/>
      <c r="BB5459" s="155"/>
      <c r="BC5459" s="314"/>
      <c r="BD5459" s="314"/>
      <c r="BE5459" s="314"/>
      <c r="BF5459" s="314"/>
      <c r="BG5459" s="314"/>
      <c r="BH5459" s="314"/>
      <c r="BI5459" s="314"/>
      <c r="BJ5459" s="314"/>
      <c r="BK5459" s="40"/>
      <c r="BL5459" s="40"/>
      <c r="BM5459" s="40"/>
      <c r="BN5459" s="40"/>
      <c r="BO5459" s="40"/>
      <c r="BP5459" s="155"/>
      <c r="BQ5459" s="314"/>
      <c r="BR5459" s="314"/>
      <c r="BS5459" s="314"/>
      <c r="BT5459" s="314"/>
      <c r="BU5459" s="314"/>
      <c r="BV5459" s="314"/>
      <c r="BW5459" s="314"/>
      <c r="BX5459" s="155"/>
    </row>
    <row r="5460" spans="1:76" ht="15.75" customHeight="1">
      <c r="A5460" s="25"/>
      <c r="B5460" s="39"/>
      <c r="C5460" s="155"/>
      <c r="D5460" s="155"/>
      <c r="E5460" s="40"/>
      <c r="F5460" s="314"/>
      <c r="H5460" s="315"/>
      <c r="I5460" s="315"/>
      <c r="BA5460" s="30"/>
      <c r="BB5460" s="155"/>
      <c r="BC5460" s="314"/>
      <c r="BD5460" s="314"/>
      <c r="BE5460" s="314"/>
      <c r="BF5460" s="314"/>
      <c r="BG5460" s="314"/>
      <c r="BH5460" s="314"/>
      <c r="BI5460" s="314"/>
      <c r="BJ5460" s="314"/>
      <c r="BK5460" s="40"/>
      <c r="BL5460" s="40"/>
      <c r="BM5460" s="40"/>
      <c r="BN5460" s="40"/>
      <c r="BO5460" s="40"/>
      <c r="BP5460" s="155"/>
      <c r="BQ5460" s="314"/>
      <c r="BR5460" s="314"/>
      <c r="BS5460" s="314"/>
      <c r="BT5460" s="314"/>
      <c r="BU5460" s="314"/>
      <c r="BV5460" s="314"/>
      <c r="BW5460" s="314"/>
      <c r="BX5460" s="155"/>
    </row>
    <row r="5461" spans="1:76" ht="15.75" customHeight="1">
      <c r="A5461" s="25"/>
      <c r="B5461" s="39"/>
      <c r="C5461" s="155"/>
      <c r="D5461" s="155"/>
      <c r="E5461" s="40"/>
      <c r="F5461" s="314"/>
      <c r="H5461" s="315"/>
      <c r="I5461" s="315"/>
      <c r="BA5461" s="30"/>
      <c r="BB5461" s="155"/>
      <c r="BC5461" s="322"/>
      <c r="BD5461" s="322"/>
      <c r="BE5461" s="322"/>
      <c r="BF5461" s="322"/>
      <c r="BG5461" s="322"/>
      <c r="BH5461" s="322"/>
      <c r="BI5461" s="322"/>
      <c r="BJ5461" s="322"/>
      <c r="BK5461" s="341"/>
      <c r="BL5461" s="40"/>
      <c r="BM5461" s="40"/>
      <c r="BN5461" s="40"/>
      <c r="BO5461" s="40"/>
      <c r="BP5461" s="155"/>
      <c r="BQ5461" s="314"/>
      <c r="BR5461" s="314"/>
      <c r="BS5461" s="314"/>
      <c r="BT5461" s="314"/>
      <c r="BU5461" s="314"/>
      <c r="BV5461" s="314"/>
      <c r="BW5461" s="314"/>
      <c r="BX5461" s="155"/>
    </row>
    <row r="5462" spans="1:76" ht="15.75" customHeight="1">
      <c r="A5462" s="25"/>
      <c r="B5462" s="39"/>
      <c r="C5462" s="155"/>
      <c r="D5462" s="155"/>
      <c r="E5462" s="40"/>
      <c r="F5462" s="314"/>
      <c r="H5462" s="315"/>
      <c r="I5462" s="315"/>
      <c r="BA5462" s="30"/>
      <c r="BB5462" s="155"/>
      <c r="BC5462" s="314"/>
      <c r="BD5462" s="314"/>
      <c r="BE5462" s="314"/>
      <c r="BF5462" s="314"/>
      <c r="BG5462" s="314"/>
      <c r="BH5462" s="314"/>
      <c r="BI5462" s="314"/>
      <c r="BJ5462" s="314"/>
      <c r="BK5462" s="40"/>
      <c r="BL5462" s="40"/>
      <c r="BM5462" s="40"/>
      <c r="BN5462" s="40"/>
      <c r="BO5462" s="40"/>
      <c r="BP5462" s="155"/>
      <c r="BQ5462" s="314"/>
      <c r="BR5462" s="314"/>
      <c r="BS5462" s="314"/>
      <c r="BT5462" s="314"/>
      <c r="BU5462" s="314"/>
      <c r="BV5462" s="314"/>
      <c r="BW5462" s="314"/>
      <c r="BX5462" s="155"/>
    </row>
    <row r="5463" spans="1:76" ht="15.75" customHeight="1">
      <c r="A5463" s="25"/>
      <c r="B5463" s="39"/>
      <c r="C5463" s="155"/>
      <c r="D5463" s="155"/>
      <c r="E5463" s="40"/>
      <c r="F5463" s="314"/>
      <c r="H5463" s="315"/>
      <c r="I5463" s="315"/>
      <c r="BA5463" s="30"/>
      <c r="BB5463" s="155"/>
      <c r="BC5463" s="314"/>
      <c r="BD5463" s="314"/>
      <c r="BE5463" s="314"/>
      <c r="BF5463" s="314"/>
      <c r="BG5463" s="314"/>
      <c r="BH5463" s="314"/>
      <c r="BI5463" s="314"/>
      <c r="BJ5463" s="314"/>
      <c r="BK5463" s="40"/>
      <c r="BL5463" s="40"/>
      <c r="BM5463" s="40"/>
      <c r="BN5463" s="40"/>
      <c r="BO5463" s="40"/>
      <c r="BP5463" s="155"/>
      <c r="BQ5463" s="314"/>
      <c r="BR5463" s="314"/>
      <c r="BS5463" s="314"/>
      <c r="BT5463" s="314"/>
      <c r="BU5463" s="314"/>
      <c r="BV5463" s="314"/>
      <c r="BW5463" s="314"/>
      <c r="BX5463" s="155"/>
    </row>
    <row r="5464" spans="1:76" ht="15.75" customHeight="1">
      <c r="A5464" s="25"/>
      <c r="B5464" s="39"/>
      <c r="C5464" s="155"/>
      <c r="D5464" s="155"/>
      <c r="E5464" s="40"/>
      <c r="F5464" s="314"/>
      <c r="H5464" s="315"/>
      <c r="I5464" s="315"/>
      <c r="BA5464" s="30"/>
      <c r="BB5464" s="155"/>
      <c r="BC5464" s="314"/>
      <c r="BD5464" s="314"/>
      <c r="BE5464" s="314"/>
      <c r="BF5464" s="314"/>
      <c r="BG5464" s="314"/>
      <c r="BH5464" s="314"/>
      <c r="BI5464" s="314"/>
      <c r="BJ5464" s="314"/>
      <c r="BK5464" s="40"/>
      <c r="BL5464" s="40"/>
      <c r="BM5464" s="40"/>
      <c r="BN5464" s="40"/>
      <c r="BO5464" s="40"/>
      <c r="BP5464" s="155"/>
      <c r="BQ5464" s="314"/>
      <c r="BR5464" s="314"/>
      <c r="BS5464" s="314"/>
      <c r="BT5464" s="314"/>
      <c r="BU5464" s="314"/>
      <c r="BV5464" s="314"/>
      <c r="BW5464" s="314"/>
      <c r="BX5464" s="155"/>
    </row>
    <row r="5465" spans="1:76" ht="15.75" customHeight="1">
      <c r="A5465" s="25"/>
      <c r="B5465" s="39"/>
      <c r="C5465" s="155"/>
      <c r="D5465" s="155"/>
      <c r="E5465" s="40"/>
      <c r="F5465" s="314"/>
      <c r="H5465" s="315"/>
      <c r="I5465" s="315"/>
      <c r="BA5465" s="30"/>
      <c r="BB5465" s="155"/>
      <c r="BC5465" s="314"/>
      <c r="BD5465" s="314"/>
      <c r="BE5465" s="314"/>
      <c r="BF5465" s="314"/>
      <c r="BG5465" s="314"/>
      <c r="BH5465" s="314"/>
      <c r="BI5465" s="314"/>
      <c r="BJ5465" s="314"/>
      <c r="BK5465" s="40"/>
      <c r="BL5465" s="40"/>
      <c r="BM5465" s="40"/>
      <c r="BN5465" s="40"/>
      <c r="BO5465" s="40"/>
      <c r="BP5465" s="155"/>
      <c r="BQ5465" s="314"/>
      <c r="BR5465" s="314"/>
      <c r="BS5465" s="314"/>
      <c r="BT5465" s="314"/>
      <c r="BU5465" s="314"/>
      <c r="BV5465" s="314"/>
      <c r="BW5465" s="314"/>
      <c r="BX5465" s="155"/>
    </row>
    <row r="5466" spans="1:76" ht="15.75" customHeight="1">
      <c r="A5466" s="25"/>
      <c r="B5466" s="39"/>
      <c r="C5466" s="155"/>
      <c r="D5466" s="155"/>
      <c r="E5466" s="40"/>
      <c r="F5466" s="314"/>
      <c r="H5466" s="315"/>
      <c r="I5466" s="315"/>
      <c r="BA5466" s="30"/>
      <c r="BB5466" s="155"/>
      <c r="BC5466" s="314"/>
      <c r="BD5466" s="314"/>
      <c r="BE5466" s="314"/>
      <c r="BF5466" s="314"/>
      <c r="BG5466" s="314"/>
      <c r="BH5466" s="314"/>
      <c r="BI5466" s="314"/>
      <c r="BJ5466" s="314"/>
      <c r="BK5466" s="40"/>
      <c r="BL5466" s="40"/>
      <c r="BM5466" s="40"/>
      <c r="BN5466" s="40"/>
      <c r="BO5466" s="40"/>
      <c r="BP5466" s="155"/>
      <c r="BQ5466" s="314"/>
      <c r="BR5466" s="314"/>
      <c r="BS5466" s="314"/>
      <c r="BT5466" s="314"/>
      <c r="BU5466" s="314"/>
      <c r="BV5466" s="314"/>
      <c r="BW5466" s="314"/>
      <c r="BX5466" s="155"/>
    </row>
    <row r="5467" spans="1:76" ht="15.75" customHeight="1">
      <c r="A5467" s="25"/>
      <c r="B5467" s="39"/>
      <c r="C5467" s="155"/>
      <c r="D5467" s="155"/>
      <c r="E5467" s="40"/>
      <c r="F5467" s="314"/>
      <c r="H5467" s="315"/>
      <c r="I5467" s="315"/>
      <c r="BA5467" s="30"/>
      <c r="BB5467" s="155"/>
      <c r="BC5467" s="314"/>
      <c r="BD5467" s="314"/>
      <c r="BE5467" s="314"/>
      <c r="BF5467" s="314"/>
      <c r="BG5467" s="314"/>
      <c r="BH5467" s="314"/>
      <c r="BI5467" s="314"/>
      <c r="BJ5467" s="314"/>
      <c r="BK5467" s="40"/>
      <c r="BL5467" s="40"/>
      <c r="BM5467" s="40"/>
      <c r="BN5467" s="40"/>
      <c r="BO5467" s="40"/>
      <c r="BP5467" s="155"/>
      <c r="BQ5467" s="314"/>
      <c r="BR5467" s="314"/>
      <c r="BS5467" s="314"/>
      <c r="BT5467" s="314"/>
      <c r="BU5467" s="314"/>
      <c r="BV5467" s="314"/>
      <c r="BW5467" s="314"/>
      <c r="BX5467" s="155"/>
    </row>
    <row r="5468" spans="1:76" ht="15.75" customHeight="1">
      <c r="A5468" s="25"/>
      <c r="B5468" s="39"/>
      <c r="C5468" s="155"/>
      <c r="D5468" s="155"/>
      <c r="E5468" s="40"/>
      <c r="F5468" s="314"/>
      <c r="H5468" s="315"/>
      <c r="I5468" s="315"/>
      <c r="BA5468" s="30"/>
      <c r="BB5468" s="155"/>
      <c r="BC5468" s="314"/>
      <c r="BD5468" s="314"/>
      <c r="BE5468" s="314"/>
      <c r="BF5468" s="314"/>
      <c r="BG5468" s="314"/>
      <c r="BH5468" s="314"/>
      <c r="BI5468" s="314"/>
      <c r="BJ5468" s="314"/>
      <c r="BK5468" s="40"/>
      <c r="BL5468" s="40"/>
      <c r="BM5468" s="40"/>
      <c r="BN5468" s="40"/>
      <c r="BO5468" s="40"/>
      <c r="BP5468" s="155"/>
      <c r="BQ5468" s="314"/>
      <c r="BR5468" s="314"/>
      <c r="BS5468" s="314"/>
      <c r="BT5468" s="314"/>
      <c r="BU5468" s="314"/>
      <c r="BV5468" s="314"/>
      <c r="BW5468" s="314"/>
      <c r="BX5468" s="155"/>
    </row>
    <row r="5469" spans="1:76" ht="15.75" customHeight="1">
      <c r="A5469" s="25"/>
      <c r="B5469" s="39"/>
      <c r="C5469" s="155"/>
      <c r="D5469" s="155"/>
      <c r="E5469" s="40"/>
      <c r="F5469" s="314"/>
      <c r="H5469" s="315"/>
      <c r="I5469" s="315"/>
      <c r="BA5469" s="30"/>
      <c r="BB5469" s="155"/>
      <c r="BC5469" s="314"/>
      <c r="BD5469" s="314"/>
      <c r="BE5469" s="314"/>
      <c r="BF5469" s="314"/>
      <c r="BG5469" s="314"/>
      <c r="BH5469" s="314"/>
      <c r="BI5469" s="314"/>
      <c r="BJ5469" s="314"/>
      <c r="BK5469" s="40"/>
      <c r="BL5469" s="40"/>
      <c r="BM5469" s="40"/>
      <c r="BN5469" s="40"/>
      <c r="BO5469" s="40"/>
      <c r="BP5469" s="155"/>
      <c r="BQ5469" s="314"/>
      <c r="BR5469" s="314"/>
      <c r="BS5469" s="314"/>
      <c r="BT5469" s="314"/>
      <c r="BU5469" s="314"/>
      <c r="BV5469" s="314"/>
      <c r="BW5469" s="314"/>
      <c r="BX5469" s="155"/>
    </row>
    <row r="5470" spans="1:76" ht="15.75" customHeight="1">
      <c r="A5470" s="25"/>
      <c r="B5470" s="39"/>
      <c r="C5470" s="155"/>
      <c r="D5470" s="155"/>
      <c r="E5470" s="40"/>
      <c r="F5470" s="314"/>
      <c r="H5470" s="315"/>
      <c r="I5470" s="315"/>
      <c r="BA5470" s="30"/>
      <c r="BB5470" s="155"/>
      <c r="BC5470" s="314"/>
      <c r="BD5470" s="314"/>
      <c r="BE5470" s="314"/>
      <c r="BF5470" s="314"/>
      <c r="BG5470" s="314"/>
      <c r="BH5470" s="314"/>
      <c r="BI5470" s="314"/>
      <c r="BJ5470" s="314"/>
      <c r="BK5470" s="40"/>
      <c r="BL5470" s="40"/>
      <c r="BM5470" s="40"/>
      <c r="BN5470" s="40"/>
      <c r="BO5470" s="40"/>
      <c r="BP5470" s="155"/>
      <c r="BQ5470" s="314"/>
      <c r="BR5470" s="314"/>
      <c r="BS5470" s="314"/>
      <c r="BT5470" s="314"/>
      <c r="BU5470" s="314"/>
      <c r="BV5470" s="314"/>
      <c r="BW5470" s="314"/>
      <c r="BX5470" s="155"/>
    </row>
    <row r="5471" spans="1:76" ht="15.75" customHeight="1">
      <c r="A5471" s="25"/>
      <c r="B5471" s="39"/>
      <c r="C5471" s="155"/>
      <c r="D5471" s="155"/>
      <c r="E5471" s="40"/>
      <c r="F5471" s="314"/>
      <c r="H5471" s="315"/>
      <c r="I5471" s="315"/>
      <c r="BA5471" s="30"/>
      <c r="BB5471" s="155"/>
      <c r="BC5471" s="314"/>
      <c r="BD5471" s="314"/>
      <c r="BE5471" s="314"/>
      <c r="BF5471" s="314"/>
      <c r="BG5471" s="314"/>
      <c r="BH5471" s="314"/>
      <c r="BI5471" s="314"/>
      <c r="BJ5471" s="314"/>
      <c r="BK5471" s="40"/>
      <c r="BL5471" s="40"/>
      <c r="BM5471" s="40"/>
      <c r="BN5471" s="40"/>
      <c r="BO5471" s="40"/>
      <c r="BP5471" s="155"/>
      <c r="BQ5471" s="314"/>
      <c r="BR5471" s="314"/>
      <c r="BS5471" s="314"/>
      <c r="BT5471" s="314"/>
      <c r="BU5471" s="314"/>
      <c r="BV5471" s="314"/>
      <c r="BW5471" s="314"/>
      <c r="BX5471" s="155"/>
    </row>
    <row r="5472" spans="1:76" ht="15.75" customHeight="1">
      <c r="A5472" s="25"/>
      <c r="B5472" s="39"/>
      <c r="C5472" s="155"/>
      <c r="D5472" s="155"/>
      <c r="E5472" s="40"/>
      <c r="F5472" s="314"/>
      <c r="H5472" s="315"/>
      <c r="I5472" s="315"/>
      <c r="BA5472" s="30"/>
      <c r="BB5472" s="155"/>
      <c r="BC5472" s="314"/>
      <c r="BD5472" s="314"/>
      <c r="BE5472" s="314"/>
      <c r="BF5472" s="314"/>
      <c r="BG5472" s="314"/>
      <c r="BH5472" s="314"/>
      <c r="BI5472" s="314"/>
      <c r="BJ5472" s="314"/>
      <c r="BK5472" s="40"/>
      <c r="BL5472" s="40"/>
      <c r="BM5472" s="40"/>
      <c r="BN5472" s="40"/>
      <c r="BO5472" s="40"/>
      <c r="BP5472" s="155"/>
      <c r="BQ5472" s="314"/>
      <c r="BR5472" s="314"/>
      <c r="BS5472" s="314"/>
      <c r="BT5472" s="314"/>
      <c r="BU5472" s="314"/>
      <c r="BV5472" s="314"/>
      <c r="BW5472" s="314"/>
      <c r="BX5472" s="155"/>
    </row>
    <row r="5473" spans="1:76" ht="15.75" customHeight="1">
      <c r="A5473" s="25"/>
      <c r="B5473" s="39"/>
      <c r="C5473" s="155"/>
      <c r="D5473" s="155"/>
      <c r="E5473" s="40"/>
      <c r="F5473" s="314"/>
      <c r="H5473" s="315"/>
      <c r="I5473" s="315"/>
      <c r="BA5473" s="30"/>
      <c r="BB5473" s="155"/>
      <c r="BC5473" s="314"/>
      <c r="BD5473" s="314"/>
      <c r="BE5473" s="314"/>
      <c r="BF5473" s="314"/>
      <c r="BG5473" s="314"/>
      <c r="BH5473" s="314"/>
      <c r="BI5473" s="314"/>
      <c r="BJ5473" s="314"/>
      <c r="BK5473" s="40"/>
      <c r="BL5473" s="40"/>
      <c r="BM5473" s="40"/>
      <c r="BN5473" s="40"/>
      <c r="BO5473" s="40"/>
      <c r="BP5473" s="155"/>
      <c r="BQ5473" s="314"/>
      <c r="BR5473" s="314"/>
      <c r="BS5473" s="314"/>
      <c r="BT5473" s="314"/>
      <c r="BU5473" s="314"/>
      <c r="BV5473" s="314"/>
      <c r="BW5473" s="314"/>
      <c r="BX5473" s="155"/>
    </row>
    <row r="5474" spans="1:76" ht="15.75" customHeight="1">
      <c r="A5474" s="25"/>
      <c r="B5474" s="39"/>
      <c r="C5474" s="155"/>
      <c r="D5474" s="155"/>
      <c r="E5474" s="40"/>
      <c r="F5474" s="314"/>
      <c r="H5474" s="315"/>
      <c r="I5474" s="315"/>
      <c r="BA5474" s="30"/>
      <c r="BB5474" s="155"/>
      <c r="BC5474" s="314"/>
      <c r="BD5474" s="314"/>
      <c r="BE5474" s="314"/>
      <c r="BF5474" s="314"/>
      <c r="BG5474" s="314"/>
      <c r="BH5474" s="314"/>
      <c r="BI5474" s="314"/>
      <c r="BJ5474" s="314"/>
      <c r="BK5474" s="40"/>
      <c r="BL5474" s="40"/>
      <c r="BM5474" s="40"/>
      <c r="BN5474" s="40"/>
      <c r="BO5474" s="40"/>
      <c r="BP5474" s="155"/>
      <c r="BQ5474" s="314"/>
      <c r="BR5474" s="314"/>
      <c r="BS5474" s="314"/>
      <c r="BT5474" s="314"/>
      <c r="BU5474" s="314"/>
      <c r="BV5474" s="314"/>
      <c r="BW5474" s="314"/>
      <c r="BX5474" s="155"/>
    </row>
    <row r="5475" spans="1:76" ht="15.75" customHeight="1">
      <c r="A5475" s="25"/>
      <c r="B5475" s="39"/>
      <c r="C5475" s="155"/>
      <c r="D5475" s="155"/>
      <c r="E5475" s="40"/>
      <c r="F5475" s="314"/>
      <c r="H5475" s="315"/>
      <c r="I5475" s="315"/>
      <c r="BA5475" s="30"/>
      <c r="BB5475" s="155"/>
      <c r="BC5475" s="314"/>
      <c r="BD5475" s="314"/>
      <c r="BE5475" s="314"/>
      <c r="BF5475" s="314"/>
      <c r="BG5475" s="314"/>
      <c r="BH5475" s="314"/>
      <c r="BI5475" s="314"/>
      <c r="BJ5475" s="314"/>
      <c r="BK5475" s="40"/>
      <c r="BL5475" s="40"/>
      <c r="BM5475" s="40"/>
      <c r="BN5475" s="40"/>
      <c r="BO5475" s="40"/>
      <c r="BP5475" s="155"/>
      <c r="BQ5475" s="314"/>
      <c r="BR5475" s="314"/>
      <c r="BS5475" s="314"/>
      <c r="BT5475" s="314"/>
      <c r="BU5475" s="314"/>
      <c r="BV5475" s="314"/>
      <c r="BW5475" s="314"/>
      <c r="BX5475" s="155"/>
    </row>
    <row r="5476" spans="1:76" ht="15.75" customHeight="1">
      <c r="A5476" s="25"/>
      <c r="B5476" s="39"/>
      <c r="C5476" s="155"/>
      <c r="D5476" s="155"/>
      <c r="E5476" s="40"/>
      <c r="F5476" s="314"/>
      <c r="H5476" s="315"/>
      <c r="I5476" s="315"/>
      <c r="BA5476" s="30"/>
      <c r="BB5476" s="155"/>
      <c r="BC5476" s="314"/>
      <c r="BD5476" s="314"/>
      <c r="BE5476" s="314"/>
      <c r="BF5476" s="314"/>
      <c r="BG5476" s="314"/>
      <c r="BH5476" s="314"/>
      <c r="BI5476" s="314"/>
      <c r="BJ5476" s="314"/>
      <c r="BK5476" s="40"/>
      <c r="BL5476" s="40"/>
      <c r="BM5476" s="40"/>
      <c r="BN5476" s="40"/>
      <c r="BO5476" s="40"/>
      <c r="BP5476" s="155"/>
      <c r="BQ5476" s="314"/>
      <c r="BR5476" s="314"/>
      <c r="BS5476" s="314"/>
      <c r="BT5476" s="314"/>
      <c r="BU5476" s="314"/>
      <c r="BV5476" s="314"/>
      <c r="BW5476" s="314"/>
      <c r="BX5476" s="155"/>
    </row>
    <row r="5477" spans="1:76" ht="15.75" customHeight="1">
      <c r="A5477" s="25"/>
      <c r="B5477" s="39"/>
      <c r="C5477" s="155"/>
      <c r="D5477" s="155"/>
      <c r="E5477" s="40"/>
      <c r="F5477" s="314"/>
      <c r="H5477" s="315"/>
      <c r="I5477" s="315"/>
      <c r="BA5477" s="30"/>
      <c r="BB5477" s="155"/>
      <c r="BC5477" s="314"/>
      <c r="BD5477" s="314"/>
      <c r="BE5477" s="314"/>
      <c r="BF5477" s="314"/>
      <c r="BG5477" s="314"/>
      <c r="BH5477" s="314"/>
      <c r="BI5477" s="314"/>
      <c r="BJ5477" s="314"/>
      <c r="BK5477" s="40"/>
      <c r="BL5477" s="40"/>
      <c r="BM5477" s="40"/>
      <c r="BN5477" s="40"/>
      <c r="BO5477" s="40"/>
      <c r="BP5477" s="155"/>
      <c r="BQ5477" s="314"/>
      <c r="BR5477" s="314"/>
      <c r="BS5477" s="314"/>
      <c r="BT5477" s="314"/>
      <c r="BU5477" s="314"/>
      <c r="BV5477" s="314"/>
      <c r="BW5477" s="314"/>
      <c r="BX5477" s="155"/>
    </row>
    <row r="5478" spans="1:76" ht="15.75" customHeight="1">
      <c r="A5478" s="25"/>
      <c r="B5478" s="39"/>
      <c r="C5478" s="155"/>
      <c r="D5478" s="155"/>
      <c r="E5478" s="40"/>
      <c r="F5478" s="314"/>
      <c r="H5478" s="315"/>
      <c r="I5478" s="315"/>
      <c r="BA5478" s="30"/>
      <c r="BB5478" s="155"/>
      <c r="BC5478" s="314"/>
      <c r="BD5478" s="314"/>
      <c r="BE5478" s="314"/>
      <c r="BF5478" s="314"/>
      <c r="BG5478" s="314"/>
      <c r="BH5478" s="314"/>
      <c r="BI5478" s="314"/>
      <c r="BJ5478" s="314"/>
      <c r="BK5478" s="40"/>
      <c r="BL5478" s="40"/>
      <c r="BM5478" s="40"/>
      <c r="BN5478" s="40"/>
      <c r="BO5478" s="40"/>
      <c r="BP5478" s="155"/>
      <c r="BQ5478" s="314"/>
      <c r="BR5478" s="314"/>
      <c r="BS5478" s="314"/>
      <c r="BT5478" s="314"/>
      <c r="BU5478" s="314"/>
      <c r="BV5478" s="314"/>
      <c r="BW5478" s="314"/>
      <c r="BX5478" s="155"/>
    </row>
    <row r="5479" spans="1:76" ht="15.75" customHeight="1">
      <c r="A5479" s="25"/>
      <c r="B5479" s="39"/>
      <c r="C5479" s="155"/>
      <c r="D5479" s="155"/>
      <c r="E5479" s="40"/>
      <c r="F5479" s="314"/>
      <c r="H5479" s="315"/>
      <c r="I5479" s="315"/>
      <c r="BA5479" s="30"/>
      <c r="BB5479" s="155"/>
      <c r="BC5479" s="322"/>
      <c r="BD5479" s="322"/>
      <c r="BE5479" s="322"/>
      <c r="BF5479" s="322"/>
      <c r="BG5479" s="322"/>
      <c r="BH5479" s="322"/>
      <c r="BI5479" s="322"/>
      <c r="BJ5479" s="322"/>
      <c r="BK5479" s="341"/>
      <c r="BL5479" s="40"/>
      <c r="BM5479" s="40"/>
      <c r="BN5479" s="40"/>
      <c r="BO5479" s="40"/>
      <c r="BP5479" s="155"/>
      <c r="BQ5479" s="314"/>
      <c r="BR5479" s="314"/>
      <c r="BS5479" s="314"/>
      <c r="BT5479" s="314"/>
      <c r="BU5479" s="314"/>
      <c r="BV5479" s="314"/>
      <c r="BW5479" s="314"/>
      <c r="BX5479" s="155"/>
    </row>
    <row r="5480" spans="1:76" ht="15.75" customHeight="1">
      <c r="A5480" s="25"/>
      <c r="B5480" s="39"/>
      <c r="C5480" s="155"/>
      <c r="D5480" s="155"/>
      <c r="E5480" s="40"/>
      <c r="F5480" s="314"/>
      <c r="H5480" s="315"/>
      <c r="I5480" s="315"/>
      <c r="BA5480" s="30"/>
      <c r="BB5480" s="155"/>
      <c r="BC5480" s="314"/>
      <c r="BD5480" s="314"/>
      <c r="BE5480" s="314"/>
      <c r="BF5480" s="314"/>
      <c r="BG5480" s="314"/>
      <c r="BH5480" s="314"/>
      <c r="BI5480" s="314"/>
      <c r="BJ5480" s="314"/>
      <c r="BK5480" s="40"/>
      <c r="BL5480" s="40"/>
      <c r="BM5480" s="40"/>
      <c r="BN5480" s="40"/>
      <c r="BO5480" s="40"/>
      <c r="BP5480" s="155"/>
      <c r="BQ5480" s="314"/>
      <c r="BR5480" s="314"/>
      <c r="BS5480" s="314"/>
      <c r="BT5480" s="314"/>
      <c r="BU5480" s="314"/>
      <c r="BV5480" s="314"/>
      <c r="BW5480" s="314"/>
      <c r="BX5480" s="155"/>
    </row>
    <row r="5481" spans="1:76" ht="15.75" customHeight="1">
      <c r="A5481" s="25"/>
      <c r="B5481" s="39"/>
      <c r="C5481" s="155"/>
      <c r="D5481" s="155"/>
      <c r="E5481" s="40"/>
      <c r="F5481" s="314"/>
      <c r="H5481" s="315"/>
      <c r="I5481" s="315"/>
      <c r="BA5481" s="30"/>
      <c r="BB5481" s="155"/>
      <c r="BC5481" s="314"/>
      <c r="BD5481" s="314"/>
      <c r="BE5481" s="314"/>
      <c r="BF5481" s="314"/>
      <c r="BG5481" s="314"/>
      <c r="BH5481" s="314"/>
      <c r="BI5481" s="314"/>
      <c r="BJ5481" s="314"/>
      <c r="BK5481" s="40"/>
      <c r="BL5481" s="40"/>
      <c r="BM5481" s="40"/>
      <c r="BN5481" s="40"/>
      <c r="BO5481" s="40"/>
      <c r="BP5481" s="155"/>
      <c r="BQ5481" s="314"/>
      <c r="BR5481" s="314"/>
      <c r="BS5481" s="314"/>
      <c r="BT5481" s="314"/>
      <c r="BU5481" s="314"/>
      <c r="BV5481" s="314"/>
      <c r="BW5481" s="314"/>
      <c r="BX5481" s="155"/>
    </row>
    <row r="5482" spans="1:76" ht="15.75" customHeight="1">
      <c r="A5482" s="25"/>
      <c r="B5482" s="39"/>
      <c r="C5482" s="155"/>
      <c r="D5482" s="155"/>
      <c r="E5482" s="40"/>
      <c r="F5482" s="314"/>
      <c r="H5482" s="315"/>
      <c r="I5482" s="315"/>
      <c r="BA5482" s="30"/>
      <c r="BB5482" s="155"/>
      <c r="BC5482" s="314"/>
      <c r="BD5482" s="314"/>
      <c r="BE5482" s="314"/>
      <c r="BF5482" s="314"/>
      <c r="BG5482" s="314"/>
      <c r="BH5482" s="314"/>
      <c r="BI5482" s="314"/>
      <c r="BJ5482" s="314"/>
      <c r="BK5482" s="40"/>
      <c r="BL5482" s="40"/>
      <c r="BM5482" s="40"/>
      <c r="BN5482" s="40"/>
      <c r="BO5482" s="40"/>
      <c r="BP5482" s="155"/>
      <c r="BQ5482" s="314"/>
      <c r="BR5482" s="314"/>
      <c r="BS5482" s="314"/>
      <c r="BT5482" s="314"/>
      <c r="BU5482" s="314"/>
      <c r="BV5482" s="314"/>
      <c r="BW5482" s="314"/>
      <c r="BX5482" s="155"/>
    </row>
    <row r="5483" spans="1:76" ht="15.75" customHeight="1">
      <c r="A5483" s="25"/>
      <c r="B5483" s="39"/>
      <c r="C5483" s="155"/>
      <c r="D5483" s="155"/>
      <c r="E5483" s="40"/>
      <c r="F5483" s="314"/>
      <c r="H5483" s="315"/>
      <c r="I5483" s="315"/>
      <c r="BA5483" s="30"/>
      <c r="BB5483" s="155"/>
      <c r="BC5483" s="314"/>
      <c r="BD5483" s="314"/>
      <c r="BE5483" s="314"/>
      <c r="BF5483" s="314"/>
      <c r="BG5483" s="314"/>
      <c r="BH5483" s="314"/>
      <c r="BI5483" s="314"/>
      <c r="BJ5483" s="314"/>
      <c r="BK5483" s="40"/>
      <c r="BL5483" s="40"/>
      <c r="BM5483" s="40"/>
      <c r="BN5483" s="40"/>
      <c r="BO5483" s="40"/>
      <c r="BP5483" s="155"/>
      <c r="BQ5483" s="314"/>
      <c r="BR5483" s="314"/>
      <c r="BS5483" s="314"/>
      <c r="BT5483" s="314"/>
      <c r="BU5483" s="314"/>
      <c r="BV5483" s="314"/>
      <c r="BW5483" s="314"/>
      <c r="BX5483" s="155"/>
    </row>
    <row r="5484" spans="1:76" ht="15.75" customHeight="1">
      <c r="A5484" s="25"/>
      <c r="B5484" s="39"/>
      <c r="C5484" s="155"/>
      <c r="D5484" s="155"/>
      <c r="E5484" s="40"/>
      <c r="F5484" s="314"/>
      <c r="H5484" s="315"/>
      <c r="I5484" s="315"/>
      <c r="BA5484" s="30"/>
      <c r="BB5484" s="155"/>
      <c r="BC5484" s="314"/>
      <c r="BD5484" s="314"/>
      <c r="BE5484" s="314"/>
      <c r="BF5484" s="314"/>
      <c r="BG5484" s="314"/>
      <c r="BH5484" s="314"/>
      <c r="BI5484" s="314"/>
      <c r="BJ5484" s="314"/>
      <c r="BK5484" s="40"/>
      <c r="BL5484" s="40"/>
      <c r="BM5484" s="40"/>
      <c r="BN5484" s="40"/>
      <c r="BO5484" s="40"/>
      <c r="BP5484" s="155"/>
      <c r="BQ5484" s="314"/>
      <c r="BR5484" s="314"/>
      <c r="BS5484" s="314"/>
      <c r="BT5484" s="314"/>
      <c r="BU5484" s="314"/>
      <c r="BV5484" s="314"/>
      <c r="BW5484" s="314"/>
      <c r="BX5484" s="155"/>
    </row>
    <row r="5485" spans="1:76" ht="15.75" customHeight="1">
      <c r="A5485" s="25"/>
      <c r="B5485" s="39"/>
      <c r="C5485" s="155"/>
      <c r="D5485" s="155"/>
      <c r="E5485" s="40"/>
      <c r="F5485" s="314"/>
      <c r="H5485" s="315"/>
      <c r="I5485" s="315"/>
      <c r="BA5485" s="30"/>
      <c r="BB5485" s="155"/>
      <c r="BC5485" s="314"/>
      <c r="BD5485" s="314"/>
      <c r="BE5485" s="314"/>
      <c r="BF5485" s="314"/>
      <c r="BG5485" s="314"/>
      <c r="BH5485" s="314"/>
      <c r="BI5485" s="314"/>
      <c r="BJ5485" s="314"/>
      <c r="BK5485" s="40"/>
      <c r="BL5485" s="40"/>
      <c r="BM5485" s="40"/>
      <c r="BN5485" s="40"/>
      <c r="BO5485" s="40"/>
      <c r="BP5485" s="155"/>
      <c r="BQ5485" s="314"/>
      <c r="BR5485" s="314"/>
      <c r="BS5485" s="314"/>
      <c r="BT5485" s="314"/>
      <c r="BU5485" s="314"/>
      <c r="BV5485" s="314"/>
      <c r="BW5485" s="314"/>
      <c r="BX5485" s="155"/>
    </row>
    <row r="5486" spans="1:76" ht="15.75" customHeight="1">
      <c r="A5486" s="25"/>
      <c r="B5486" s="39"/>
      <c r="C5486" s="155"/>
      <c r="D5486" s="155"/>
      <c r="E5486" s="40"/>
      <c r="F5486" s="314"/>
      <c r="H5486" s="315"/>
      <c r="I5486" s="315"/>
      <c r="BA5486" s="30"/>
      <c r="BB5486" s="155"/>
      <c r="BC5486" s="314"/>
      <c r="BD5486" s="314"/>
      <c r="BE5486" s="314"/>
      <c r="BF5486" s="314"/>
      <c r="BG5486" s="314"/>
      <c r="BH5486" s="314"/>
      <c r="BI5486" s="314"/>
      <c r="BJ5486" s="314"/>
      <c r="BK5486" s="40"/>
      <c r="BL5486" s="40"/>
      <c r="BM5486" s="40"/>
      <c r="BN5486" s="40"/>
      <c r="BO5486" s="40"/>
      <c r="BP5486" s="155"/>
      <c r="BQ5486" s="314"/>
      <c r="BR5486" s="314"/>
      <c r="BS5486" s="314"/>
      <c r="BT5486" s="314"/>
      <c r="BU5486" s="314"/>
      <c r="BV5486" s="314"/>
      <c r="BW5486" s="314"/>
      <c r="BX5486" s="155"/>
    </row>
    <row r="5487" spans="1:76" ht="15.75" customHeight="1">
      <c r="A5487" s="25"/>
      <c r="B5487" s="39"/>
      <c r="C5487" s="155"/>
      <c r="D5487" s="155"/>
      <c r="E5487" s="40"/>
      <c r="F5487" s="314"/>
      <c r="H5487" s="315"/>
      <c r="I5487" s="315"/>
      <c r="BA5487" s="30"/>
      <c r="BB5487" s="155"/>
      <c r="BC5487" s="314"/>
      <c r="BD5487" s="314"/>
      <c r="BE5487" s="314"/>
      <c r="BF5487" s="314"/>
      <c r="BG5487" s="314"/>
      <c r="BH5487" s="314"/>
      <c r="BI5487" s="314"/>
      <c r="BJ5487" s="314"/>
      <c r="BK5487" s="40"/>
      <c r="BL5487" s="40"/>
      <c r="BM5487" s="40"/>
      <c r="BN5487" s="40"/>
      <c r="BO5487" s="40"/>
      <c r="BP5487" s="155"/>
      <c r="BQ5487" s="314"/>
      <c r="BR5487" s="314"/>
      <c r="BS5487" s="314"/>
      <c r="BT5487" s="314"/>
      <c r="BU5487" s="314"/>
      <c r="BV5487" s="314"/>
      <c r="BW5487" s="314"/>
      <c r="BX5487" s="155"/>
    </row>
    <row r="5488" spans="1:76" ht="15.75" customHeight="1">
      <c r="A5488" s="25"/>
      <c r="B5488" s="39"/>
      <c r="C5488" s="155"/>
      <c r="D5488" s="155"/>
      <c r="E5488" s="40"/>
      <c r="F5488" s="314"/>
      <c r="H5488" s="315"/>
      <c r="I5488" s="315"/>
      <c r="BA5488" s="30"/>
      <c r="BB5488" s="155"/>
      <c r="BC5488" s="314"/>
      <c r="BD5488" s="314"/>
      <c r="BE5488" s="314"/>
      <c r="BF5488" s="314"/>
      <c r="BG5488" s="314"/>
      <c r="BH5488" s="314"/>
      <c r="BI5488" s="314"/>
      <c r="BJ5488" s="314"/>
      <c r="BK5488" s="40"/>
      <c r="BL5488" s="40"/>
      <c r="BM5488" s="40"/>
      <c r="BN5488" s="40"/>
      <c r="BO5488" s="40"/>
      <c r="BP5488" s="155"/>
      <c r="BQ5488" s="314"/>
      <c r="BR5488" s="314"/>
      <c r="BS5488" s="314"/>
      <c r="BT5488" s="314"/>
      <c r="BU5488" s="314"/>
      <c r="BV5488" s="314"/>
      <c r="BW5488" s="314"/>
      <c r="BX5488" s="155"/>
    </row>
    <row r="5489" spans="1:76" ht="15.75" customHeight="1">
      <c r="A5489" s="25"/>
      <c r="B5489" s="39"/>
      <c r="C5489" s="155"/>
      <c r="D5489" s="155"/>
      <c r="E5489" s="40"/>
      <c r="F5489" s="314"/>
      <c r="H5489" s="315"/>
      <c r="I5489" s="315"/>
      <c r="BA5489" s="30"/>
      <c r="BB5489" s="155"/>
      <c r="BC5489" s="314"/>
      <c r="BD5489" s="314"/>
      <c r="BE5489" s="314"/>
      <c r="BF5489" s="314"/>
      <c r="BG5489" s="314"/>
      <c r="BH5489" s="314"/>
      <c r="BI5489" s="314"/>
      <c r="BJ5489" s="314"/>
      <c r="BK5489" s="40"/>
      <c r="BL5489" s="40"/>
      <c r="BM5489" s="40"/>
      <c r="BN5489" s="40"/>
      <c r="BO5489" s="40"/>
      <c r="BP5489" s="155"/>
      <c r="BQ5489" s="314"/>
      <c r="BR5489" s="314"/>
      <c r="BS5489" s="314"/>
      <c r="BT5489" s="314"/>
      <c r="BU5489" s="314"/>
      <c r="BV5489" s="314"/>
      <c r="BW5489" s="314"/>
      <c r="BX5489" s="155"/>
    </row>
    <row r="5490" spans="1:76" ht="15.75" customHeight="1">
      <c r="A5490" s="25"/>
      <c r="B5490" s="39"/>
      <c r="C5490" s="155"/>
      <c r="D5490" s="155"/>
      <c r="E5490" s="40"/>
      <c r="F5490" s="314"/>
      <c r="H5490" s="315"/>
      <c r="I5490" s="315"/>
      <c r="BA5490" s="30"/>
      <c r="BB5490" s="155"/>
      <c r="BC5490" s="314"/>
      <c r="BD5490" s="314"/>
      <c r="BE5490" s="314"/>
      <c r="BF5490" s="314"/>
      <c r="BG5490" s="314"/>
      <c r="BH5490" s="314"/>
      <c r="BI5490" s="314"/>
      <c r="BJ5490" s="314"/>
      <c r="BK5490" s="40"/>
      <c r="BL5490" s="40"/>
      <c r="BM5490" s="40"/>
      <c r="BN5490" s="40"/>
      <c r="BO5490" s="40"/>
      <c r="BP5490" s="155"/>
      <c r="BQ5490" s="314"/>
      <c r="BR5490" s="314"/>
      <c r="BS5490" s="314"/>
      <c r="BT5490" s="314"/>
      <c r="BU5490" s="314"/>
      <c r="BV5490" s="314"/>
      <c r="BW5490" s="314"/>
      <c r="BX5490" s="155"/>
    </row>
    <row r="5491" spans="1:76" ht="15.75" customHeight="1">
      <c r="A5491" s="25"/>
      <c r="B5491" s="39"/>
      <c r="C5491" s="155"/>
      <c r="D5491" s="155"/>
      <c r="E5491" s="40"/>
      <c r="F5491" s="314"/>
      <c r="H5491" s="315"/>
      <c r="I5491" s="315"/>
      <c r="BA5491" s="30"/>
      <c r="BB5491" s="155"/>
      <c r="BC5491" s="314"/>
      <c r="BD5491" s="314"/>
      <c r="BE5491" s="314"/>
      <c r="BF5491" s="314"/>
      <c r="BG5491" s="314"/>
      <c r="BH5491" s="314"/>
      <c r="BI5491" s="314"/>
      <c r="BJ5491" s="314"/>
      <c r="BK5491" s="40"/>
      <c r="BL5491" s="40"/>
      <c r="BM5491" s="40"/>
      <c r="BN5491" s="40"/>
      <c r="BO5491" s="40"/>
      <c r="BP5491" s="155"/>
      <c r="BQ5491" s="314"/>
      <c r="BR5491" s="314"/>
      <c r="BS5491" s="314"/>
      <c r="BT5491" s="314"/>
      <c r="BU5491" s="314"/>
      <c r="BV5491" s="314"/>
      <c r="BW5491" s="314"/>
      <c r="BX5491" s="155"/>
    </row>
    <row r="5492" spans="1:76" ht="15.75" customHeight="1">
      <c r="A5492" s="25"/>
      <c r="B5492" s="39"/>
      <c r="C5492" s="155"/>
      <c r="D5492" s="155"/>
      <c r="E5492" s="40"/>
      <c r="F5492" s="314"/>
      <c r="H5492" s="315"/>
      <c r="I5492" s="315"/>
      <c r="BA5492" s="30"/>
      <c r="BB5492" s="155"/>
      <c r="BC5492" s="314"/>
      <c r="BD5492" s="314"/>
      <c r="BE5492" s="314"/>
      <c r="BF5492" s="314"/>
      <c r="BG5492" s="314"/>
      <c r="BH5492" s="314"/>
      <c r="BI5492" s="314"/>
      <c r="BJ5492" s="314"/>
      <c r="BK5492" s="40"/>
      <c r="BL5492" s="40"/>
      <c r="BM5492" s="40"/>
      <c r="BN5492" s="40"/>
      <c r="BO5492" s="40"/>
      <c r="BP5492" s="155"/>
      <c r="BQ5492" s="314"/>
      <c r="BR5492" s="314"/>
      <c r="BS5492" s="314"/>
      <c r="BT5492" s="314"/>
      <c r="BU5492" s="314"/>
      <c r="BV5492" s="314"/>
      <c r="BW5492" s="314"/>
      <c r="BX5492" s="155"/>
    </row>
    <row r="5493" spans="1:76" ht="15.75" customHeight="1">
      <c r="A5493" s="25"/>
      <c r="B5493" s="39"/>
      <c r="C5493" s="155"/>
      <c r="D5493" s="155"/>
      <c r="E5493" s="40"/>
      <c r="F5493" s="314"/>
      <c r="H5493" s="315"/>
      <c r="I5493" s="315"/>
      <c r="BA5493" s="30"/>
      <c r="BB5493" s="155"/>
      <c r="BC5493" s="314"/>
      <c r="BD5493" s="314"/>
      <c r="BE5493" s="314"/>
      <c r="BF5493" s="314"/>
      <c r="BG5493" s="314"/>
      <c r="BH5493" s="314"/>
      <c r="BI5493" s="314"/>
      <c r="BJ5493" s="314"/>
      <c r="BK5493" s="40"/>
      <c r="BL5493" s="40"/>
      <c r="BM5493" s="40"/>
      <c r="BN5493" s="40"/>
      <c r="BO5493" s="40"/>
      <c r="BP5493" s="155"/>
      <c r="BQ5493" s="314"/>
      <c r="BR5493" s="314"/>
      <c r="BS5493" s="314"/>
      <c r="BT5493" s="314"/>
      <c r="BU5493" s="314"/>
      <c r="BV5493" s="314"/>
      <c r="BW5493" s="314"/>
      <c r="BX5493" s="155"/>
    </row>
    <row r="5494" spans="1:76" ht="15.75" customHeight="1">
      <c r="A5494" s="25"/>
      <c r="B5494" s="39"/>
      <c r="C5494" s="155"/>
      <c r="D5494" s="155"/>
      <c r="E5494" s="40"/>
      <c r="F5494" s="314"/>
      <c r="H5494" s="315"/>
      <c r="I5494" s="315"/>
      <c r="BA5494" s="30"/>
      <c r="BB5494" s="155"/>
      <c r="BC5494" s="314"/>
      <c r="BD5494" s="314"/>
      <c r="BE5494" s="314"/>
      <c r="BF5494" s="314"/>
      <c r="BG5494" s="314"/>
      <c r="BH5494" s="314"/>
      <c r="BI5494" s="314"/>
      <c r="BJ5494" s="314"/>
      <c r="BK5494" s="40"/>
      <c r="BL5494" s="40"/>
      <c r="BM5494" s="40"/>
      <c r="BN5494" s="40"/>
      <c r="BO5494" s="40"/>
      <c r="BP5494" s="155"/>
      <c r="BQ5494" s="314"/>
      <c r="BR5494" s="314"/>
      <c r="BS5494" s="314"/>
      <c r="BT5494" s="314"/>
      <c r="BU5494" s="314"/>
      <c r="BV5494" s="314"/>
      <c r="BW5494" s="314"/>
      <c r="BX5494" s="155"/>
    </row>
    <row r="5495" spans="1:76" ht="15.75" customHeight="1">
      <c r="A5495" s="25"/>
      <c r="B5495" s="39"/>
      <c r="C5495" s="155"/>
      <c r="D5495" s="155"/>
      <c r="E5495" s="40"/>
      <c r="F5495" s="314"/>
      <c r="H5495" s="315"/>
      <c r="I5495" s="315"/>
      <c r="BA5495" s="30"/>
      <c r="BB5495" s="155"/>
      <c r="BC5495" s="314"/>
      <c r="BD5495" s="314"/>
      <c r="BE5495" s="314"/>
      <c r="BF5495" s="314"/>
      <c r="BG5495" s="314"/>
      <c r="BH5495" s="314"/>
      <c r="BI5495" s="314"/>
      <c r="BJ5495" s="314"/>
      <c r="BK5495" s="40"/>
      <c r="BL5495" s="40"/>
      <c r="BM5495" s="40"/>
      <c r="BN5495" s="40"/>
      <c r="BO5495" s="40"/>
      <c r="BP5495" s="155"/>
      <c r="BQ5495" s="314"/>
      <c r="BR5495" s="314"/>
      <c r="BS5495" s="314"/>
      <c r="BT5495" s="314"/>
      <c r="BU5495" s="314"/>
      <c r="BV5495" s="314"/>
      <c r="BW5495" s="314"/>
      <c r="BX5495" s="155"/>
    </row>
    <row r="5496" spans="1:76" ht="15.75" customHeight="1">
      <c r="A5496" s="25"/>
      <c r="B5496" s="39"/>
      <c r="C5496" s="155"/>
      <c r="D5496" s="155"/>
      <c r="E5496" s="40"/>
      <c r="F5496" s="314"/>
      <c r="H5496" s="315"/>
      <c r="I5496" s="315"/>
      <c r="BA5496" s="30"/>
      <c r="BB5496" s="155"/>
      <c r="BC5496" s="314"/>
      <c r="BD5496" s="314"/>
      <c r="BE5496" s="314"/>
      <c r="BF5496" s="314"/>
      <c r="BG5496" s="314"/>
      <c r="BH5496" s="314"/>
      <c r="BI5496" s="314"/>
      <c r="BJ5496" s="314"/>
      <c r="BK5496" s="40"/>
      <c r="BL5496" s="40"/>
      <c r="BM5496" s="40"/>
      <c r="BN5496" s="40"/>
      <c r="BO5496" s="40"/>
      <c r="BP5496" s="155"/>
      <c r="BQ5496" s="314"/>
      <c r="BR5496" s="314"/>
      <c r="BS5496" s="314"/>
      <c r="BT5496" s="314"/>
      <c r="BU5496" s="314"/>
      <c r="BV5496" s="314"/>
      <c r="BW5496" s="314"/>
      <c r="BX5496" s="155"/>
    </row>
    <row r="5497" spans="1:76" ht="15.75" customHeight="1">
      <c r="A5497" s="25"/>
      <c r="B5497" s="39"/>
      <c r="C5497" s="155"/>
      <c r="D5497" s="155"/>
      <c r="E5497" s="40"/>
      <c r="F5497" s="314"/>
      <c r="H5497" s="315"/>
      <c r="I5497" s="315"/>
      <c r="BA5497" s="30"/>
      <c r="BB5497" s="155"/>
      <c r="BC5497" s="322"/>
      <c r="BD5497" s="322"/>
      <c r="BE5497" s="322"/>
      <c r="BF5497" s="322"/>
      <c r="BG5497" s="322"/>
      <c r="BH5497" s="322"/>
      <c r="BI5497" s="322"/>
      <c r="BJ5497" s="322"/>
      <c r="BK5497" s="341"/>
      <c r="BL5497" s="40"/>
      <c r="BM5497" s="40"/>
      <c r="BN5497" s="40"/>
      <c r="BO5497" s="40"/>
      <c r="BP5497" s="155"/>
      <c r="BQ5497" s="314"/>
      <c r="BR5497" s="314"/>
      <c r="BS5497" s="314"/>
      <c r="BT5497" s="314"/>
      <c r="BU5497" s="314"/>
      <c r="BV5497" s="314"/>
      <c r="BW5497" s="314"/>
      <c r="BX5497" s="155"/>
    </row>
    <row r="5498" spans="1:76" ht="15.75" customHeight="1">
      <c r="A5498" s="25"/>
      <c r="B5498" s="39"/>
      <c r="C5498" s="155"/>
      <c r="D5498" s="155"/>
      <c r="E5498" s="40"/>
      <c r="F5498" s="314"/>
      <c r="H5498" s="315"/>
      <c r="I5498" s="315"/>
      <c r="BA5498" s="30"/>
      <c r="BB5498" s="155"/>
      <c r="BC5498" s="314"/>
      <c r="BD5498" s="314"/>
      <c r="BE5498" s="314"/>
      <c r="BF5498" s="314"/>
      <c r="BG5498" s="314"/>
      <c r="BH5498" s="314"/>
      <c r="BI5498" s="314"/>
      <c r="BJ5498" s="314"/>
      <c r="BK5498" s="40"/>
      <c r="BL5498" s="40"/>
      <c r="BM5498" s="40"/>
      <c r="BN5498" s="40"/>
      <c r="BO5498" s="40"/>
      <c r="BP5498" s="155"/>
      <c r="BQ5498" s="314"/>
      <c r="BR5498" s="314"/>
      <c r="BS5498" s="314"/>
      <c r="BT5498" s="314"/>
      <c r="BU5498" s="314"/>
      <c r="BV5498" s="314"/>
      <c r="BW5498" s="314"/>
      <c r="BX5498" s="155"/>
    </row>
    <row r="5499" spans="1:76" ht="15.75" customHeight="1">
      <c r="A5499" s="25"/>
      <c r="B5499" s="39"/>
      <c r="C5499" s="155"/>
      <c r="D5499" s="155"/>
      <c r="E5499" s="40"/>
      <c r="F5499" s="314"/>
      <c r="H5499" s="315"/>
      <c r="I5499" s="315"/>
      <c r="BA5499" s="30"/>
      <c r="BB5499" s="155"/>
      <c r="BC5499" s="314"/>
      <c r="BD5499" s="314"/>
      <c r="BE5499" s="314"/>
      <c r="BF5499" s="314"/>
      <c r="BG5499" s="314"/>
      <c r="BH5499" s="314"/>
      <c r="BI5499" s="314"/>
      <c r="BJ5499" s="314"/>
      <c r="BK5499" s="40"/>
      <c r="BL5499" s="40"/>
      <c r="BM5499" s="40"/>
      <c r="BN5499" s="40"/>
      <c r="BO5499" s="40"/>
      <c r="BP5499" s="155"/>
      <c r="BQ5499" s="314"/>
      <c r="BR5499" s="314"/>
      <c r="BS5499" s="314"/>
      <c r="BT5499" s="314"/>
      <c r="BU5499" s="314"/>
      <c r="BV5499" s="314"/>
      <c r="BW5499" s="314"/>
      <c r="BX5499" s="155"/>
    </row>
    <row r="5500" spans="1:76" ht="15.75" customHeight="1">
      <c r="A5500" s="25"/>
      <c r="B5500" s="39"/>
      <c r="C5500" s="155"/>
      <c r="D5500" s="155"/>
      <c r="E5500" s="40"/>
      <c r="F5500" s="314"/>
      <c r="H5500" s="315"/>
      <c r="I5500" s="315"/>
      <c r="BA5500" s="30"/>
      <c r="BB5500" s="155"/>
      <c r="BC5500" s="314"/>
      <c r="BD5500" s="314"/>
      <c r="BE5500" s="314"/>
      <c r="BF5500" s="314"/>
      <c r="BG5500" s="314"/>
      <c r="BH5500" s="314"/>
      <c r="BI5500" s="314"/>
      <c r="BJ5500" s="314"/>
      <c r="BK5500" s="40"/>
      <c r="BL5500" s="40"/>
      <c r="BM5500" s="40"/>
      <c r="BN5500" s="40"/>
      <c r="BO5500" s="40"/>
      <c r="BP5500" s="155"/>
      <c r="BQ5500" s="314"/>
      <c r="BR5500" s="314"/>
      <c r="BS5500" s="314"/>
      <c r="BT5500" s="314"/>
      <c r="BU5500" s="314"/>
      <c r="BV5500" s="314"/>
      <c r="BW5500" s="314"/>
      <c r="BX5500" s="155"/>
    </row>
    <row r="5501" spans="1:76" ht="15.75" customHeight="1">
      <c r="A5501" s="25"/>
      <c r="B5501" s="39"/>
      <c r="C5501" s="155"/>
      <c r="D5501" s="155"/>
      <c r="E5501" s="40"/>
      <c r="F5501" s="314"/>
      <c r="H5501" s="315"/>
      <c r="I5501" s="315"/>
      <c r="BA5501" s="30"/>
      <c r="BB5501" s="155"/>
      <c r="BC5501" s="314"/>
      <c r="BD5501" s="314"/>
      <c r="BE5501" s="314"/>
      <c r="BF5501" s="314"/>
      <c r="BG5501" s="314"/>
      <c r="BH5501" s="314"/>
      <c r="BI5501" s="314"/>
      <c r="BJ5501" s="314"/>
      <c r="BK5501" s="40"/>
      <c r="BL5501" s="40"/>
      <c r="BM5501" s="40"/>
      <c r="BN5501" s="40"/>
      <c r="BO5501" s="40"/>
      <c r="BP5501" s="155"/>
      <c r="BQ5501" s="314"/>
      <c r="BR5501" s="314"/>
      <c r="BS5501" s="314"/>
      <c r="BT5501" s="314"/>
      <c r="BU5501" s="314"/>
      <c r="BV5501" s="314"/>
      <c r="BW5501" s="314"/>
      <c r="BX5501" s="155"/>
    </row>
    <row r="5502" spans="1:76" ht="15.75" customHeight="1">
      <c r="A5502" s="25"/>
      <c r="B5502" s="39"/>
      <c r="C5502" s="155"/>
      <c r="D5502" s="155"/>
      <c r="E5502" s="40"/>
      <c r="F5502" s="314"/>
      <c r="H5502" s="315"/>
      <c r="I5502" s="315"/>
      <c r="BA5502" s="30"/>
      <c r="BB5502" s="155"/>
      <c r="BC5502" s="314"/>
      <c r="BD5502" s="314"/>
      <c r="BE5502" s="314"/>
      <c r="BF5502" s="314"/>
      <c r="BG5502" s="314"/>
      <c r="BH5502" s="314"/>
      <c r="BI5502" s="314"/>
      <c r="BJ5502" s="314"/>
      <c r="BK5502" s="40"/>
      <c r="BL5502" s="40"/>
      <c r="BM5502" s="40"/>
      <c r="BN5502" s="40"/>
      <c r="BO5502" s="40"/>
      <c r="BP5502" s="155"/>
      <c r="BQ5502" s="314"/>
      <c r="BR5502" s="314"/>
      <c r="BS5502" s="314"/>
      <c r="BT5502" s="314"/>
      <c r="BU5502" s="314"/>
      <c r="BV5502" s="314"/>
      <c r="BW5502" s="314"/>
      <c r="BX5502" s="155"/>
    </row>
    <row r="5503" spans="1:76" ht="15.75" customHeight="1">
      <c r="A5503" s="25"/>
      <c r="B5503" s="39"/>
      <c r="C5503" s="155"/>
      <c r="D5503" s="155"/>
      <c r="E5503" s="40"/>
      <c r="F5503" s="314"/>
      <c r="H5503" s="315"/>
      <c r="I5503" s="315"/>
      <c r="BA5503" s="30"/>
      <c r="BB5503" s="155"/>
      <c r="BC5503" s="314"/>
      <c r="BD5503" s="314"/>
      <c r="BE5503" s="314"/>
      <c r="BF5503" s="314"/>
      <c r="BG5503" s="314"/>
      <c r="BH5503" s="314"/>
      <c r="BI5503" s="314"/>
      <c r="BJ5503" s="314"/>
      <c r="BK5503" s="40"/>
      <c r="BL5503" s="40"/>
      <c r="BM5503" s="40"/>
      <c r="BN5503" s="40"/>
      <c r="BO5503" s="40"/>
      <c r="BP5503" s="155"/>
      <c r="BQ5503" s="314"/>
      <c r="BR5503" s="314"/>
      <c r="BS5503" s="314"/>
      <c r="BT5503" s="314"/>
      <c r="BU5503" s="314"/>
      <c r="BV5503" s="314"/>
      <c r="BW5503" s="314"/>
      <c r="BX5503" s="155"/>
    </row>
    <row r="5504" spans="1:76" ht="15.75" customHeight="1">
      <c r="A5504" s="25"/>
      <c r="B5504" s="39"/>
      <c r="C5504" s="155"/>
      <c r="D5504" s="155"/>
      <c r="E5504" s="40"/>
      <c r="F5504" s="314"/>
      <c r="H5504" s="315"/>
      <c r="I5504" s="315"/>
      <c r="BA5504" s="30"/>
      <c r="BB5504" s="155"/>
      <c r="BC5504" s="314"/>
      <c r="BD5504" s="314"/>
      <c r="BE5504" s="314"/>
      <c r="BF5504" s="314"/>
      <c r="BG5504" s="314"/>
      <c r="BH5504" s="314"/>
      <c r="BI5504" s="314"/>
      <c r="BJ5504" s="314"/>
      <c r="BK5504" s="40"/>
      <c r="BL5504" s="40"/>
      <c r="BM5504" s="40"/>
      <c r="BN5504" s="40"/>
      <c r="BO5504" s="40"/>
      <c r="BP5504" s="155"/>
      <c r="BQ5504" s="314"/>
      <c r="BR5504" s="314"/>
      <c r="BS5504" s="314"/>
      <c r="BT5504" s="314"/>
      <c r="BU5504" s="314"/>
      <c r="BV5504" s="314"/>
      <c r="BW5504" s="314"/>
      <c r="BX5504" s="155"/>
    </row>
    <row r="5505" spans="1:76" ht="15.75" customHeight="1">
      <c r="A5505" s="25"/>
      <c r="B5505" s="39"/>
      <c r="C5505" s="155"/>
      <c r="D5505" s="155"/>
      <c r="E5505" s="40"/>
      <c r="F5505" s="314"/>
      <c r="H5505" s="315"/>
      <c r="I5505" s="315"/>
      <c r="BA5505" s="30"/>
      <c r="BB5505" s="155"/>
      <c r="BC5505" s="314"/>
      <c r="BD5505" s="314"/>
      <c r="BE5505" s="314"/>
      <c r="BF5505" s="314"/>
      <c r="BG5505" s="314"/>
      <c r="BH5505" s="314"/>
      <c r="BI5505" s="314"/>
      <c r="BJ5505" s="314"/>
      <c r="BK5505" s="40"/>
      <c r="BL5505" s="40"/>
      <c r="BM5505" s="40"/>
      <c r="BN5505" s="40"/>
      <c r="BO5505" s="40"/>
      <c r="BP5505" s="155"/>
      <c r="BQ5505" s="314"/>
      <c r="BR5505" s="314"/>
      <c r="BS5505" s="314"/>
      <c r="BT5505" s="314"/>
      <c r="BU5505" s="314"/>
      <c r="BV5505" s="314"/>
      <c r="BW5505" s="314"/>
      <c r="BX5505" s="155"/>
    </row>
    <row r="5506" spans="1:76" ht="15.75" customHeight="1">
      <c r="A5506" s="25"/>
      <c r="B5506" s="39"/>
      <c r="C5506" s="155"/>
      <c r="D5506" s="155"/>
      <c r="E5506" s="40"/>
      <c r="F5506" s="314"/>
      <c r="H5506" s="315"/>
      <c r="I5506" s="315"/>
      <c r="BA5506" s="30"/>
      <c r="BB5506" s="155"/>
      <c r="BC5506" s="314"/>
      <c r="BD5506" s="314"/>
      <c r="BE5506" s="314"/>
      <c r="BF5506" s="314"/>
      <c r="BG5506" s="314"/>
      <c r="BH5506" s="314"/>
      <c r="BI5506" s="314"/>
      <c r="BJ5506" s="314"/>
      <c r="BK5506" s="40"/>
      <c r="BL5506" s="40"/>
      <c r="BM5506" s="40"/>
      <c r="BN5506" s="40"/>
      <c r="BO5506" s="40"/>
      <c r="BP5506" s="155"/>
      <c r="BQ5506" s="314"/>
      <c r="BR5506" s="314"/>
      <c r="BS5506" s="314"/>
      <c r="BT5506" s="314"/>
      <c r="BU5506" s="314"/>
      <c r="BV5506" s="314"/>
      <c r="BW5506" s="314"/>
      <c r="BX5506" s="155"/>
    </row>
    <row r="5507" spans="1:76" ht="15.75" customHeight="1">
      <c r="A5507" s="25"/>
      <c r="B5507" s="39"/>
      <c r="C5507" s="155"/>
      <c r="D5507" s="155"/>
      <c r="E5507" s="40"/>
      <c r="F5507" s="314"/>
      <c r="H5507" s="315"/>
      <c r="I5507" s="315"/>
      <c r="BA5507" s="30"/>
      <c r="BB5507" s="155"/>
      <c r="BC5507" s="314"/>
      <c r="BD5507" s="314"/>
      <c r="BE5507" s="314"/>
      <c r="BF5507" s="314"/>
      <c r="BG5507" s="314"/>
      <c r="BH5507" s="314"/>
      <c r="BI5507" s="314"/>
      <c r="BJ5507" s="314"/>
      <c r="BK5507" s="40"/>
      <c r="BL5507" s="40"/>
      <c r="BM5507" s="40"/>
      <c r="BN5507" s="40"/>
      <c r="BO5507" s="40"/>
      <c r="BP5507" s="155"/>
      <c r="BQ5507" s="314"/>
      <c r="BR5507" s="314"/>
      <c r="BS5507" s="314"/>
      <c r="BT5507" s="314"/>
      <c r="BU5507" s="314"/>
      <c r="BV5507" s="314"/>
      <c r="BW5507" s="314"/>
      <c r="BX5507" s="155"/>
    </row>
    <row r="5508" spans="1:76" ht="15.75" customHeight="1">
      <c r="A5508" s="25"/>
      <c r="B5508" s="39"/>
      <c r="C5508" s="155"/>
      <c r="D5508" s="155"/>
      <c r="E5508" s="40"/>
      <c r="F5508" s="314"/>
      <c r="H5508" s="315"/>
      <c r="I5508" s="315"/>
      <c r="BA5508" s="30"/>
      <c r="BB5508" s="155"/>
      <c r="BC5508" s="314"/>
      <c r="BD5508" s="314"/>
      <c r="BE5508" s="314"/>
      <c r="BF5508" s="314"/>
      <c r="BG5508" s="314"/>
      <c r="BH5508" s="314"/>
      <c r="BI5508" s="314"/>
      <c r="BJ5508" s="314"/>
      <c r="BK5508" s="40"/>
      <c r="BL5508" s="40"/>
      <c r="BM5508" s="40"/>
      <c r="BN5508" s="40"/>
      <c r="BO5508" s="40"/>
      <c r="BP5508" s="155"/>
      <c r="BQ5508" s="314"/>
      <c r="BR5508" s="314"/>
      <c r="BS5508" s="314"/>
      <c r="BT5508" s="314"/>
      <c r="BU5508" s="314"/>
      <c r="BV5508" s="314"/>
      <c r="BW5508" s="314"/>
      <c r="BX5508" s="155"/>
    </row>
    <row r="5509" spans="1:76" ht="15.75" customHeight="1">
      <c r="A5509" s="25"/>
      <c r="B5509" s="39"/>
      <c r="C5509" s="155"/>
      <c r="D5509" s="155"/>
      <c r="E5509" s="40"/>
      <c r="F5509" s="314"/>
      <c r="H5509" s="315"/>
      <c r="I5509" s="315"/>
      <c r="BA5509" s="30"/>
      <c r="BB5509" s="155"/>
      <c r="BC5509" s="314"/>
      <c r="BD5509" s="314"/>
      <c r="BE5509" s="314"/>
      <c r="BF5509" s="314"/>
      <c r="BG5509" s="314"/>
      <c r="BH5509" s="314"/>
      <c r="BI5509" s="314"/>
      <c r="BJ5509" s="314"/>
      <c r="BK5509" s="40"/>
      <c r="BL5509" s="40"/>
      <c r="BM5509" s="40"/>
      <c r="BN5509" s="40"/>
      <c r="BO5509" s="40"/>
      <c r="BP5509" s="155"/>
      <c r="BQ5509" s="314"/>
      <c r="BR5509" s="314"/>
      <c r="BS5509" s="314"/>
      <c r="BT5509" s="314"/>
      <c r="BU5509" s="314"/>
      <c r="BV5509" s="314"/>
      <c r="BW5509" s="314"/>
      <c r="BX5509" s="155"/>
    </row>
    <row r="5510" spans="1:76" ht="15.75" customHeight="1">
      <c r="A5510" s="25"/>
      <c r="B5510" s="39"/>
      <c r="C5510" s="155"/>
      <c r="D5510" s="155"/>
      <c r="E5510" s="40"/>
      <c r="F5510" s="314"/>
      <c r="H5510" s="315"/>
      <c r="I5510" s="315"/>
      <c r="BA5510" s="30"/>
      <c r="BB5510" s="155"/>
      <c r="BC5510" s="314"/>
      <c r="BD5510" s="314"/>
      <c r="BE5510" s="314"/>
      <c r="BF5510" s="314"/>
      <c r="BG5510" s="314"/>
      <c r="BH5510" s="314"/>
      <c r="BI5510" s="314"/>
      <c r="BJ5510" s="314"/>
      <c r="BK5510" s="40"/>
      <c r="BL5510" s="40"/>
      <c r="BM5510" s="40"/>
      <c r="BN5510" s="40"/>
      <c r="BO5510" s="40"/>
      <c r="BP5510" s="155"/>
      <c r="BQ5510" s="314"/>
      <c r="BR5510" s="314"/>
      <c r="BS5510" s="314"/>
      <c r="BT5510" s="314"/>
      <c r="BU5510" s="314"/>
      <c r="BV5510" s="314"/>
      <c r="BW5510" s="314"/>
      <c r="BX5510" s="155"/>
    </row>
    <row r="5511" spans="1:76" ht="15.75" customHeight="1">
      <c r="A5511" s="25"/>
      <c r="B5511" s="39"/>
      <c r="C5511" s="155"/>
      <c r="D5511" s="155"/>
      <c r="E5511" s="40"/>
      <c r="F5511" s="314"/>
      <c r="H5511" s="315"/>
      <c r="I5511" s="315"/>
      <c r="BA5511" s="30"/>
      <c r="BB5511" s="155"/>
      <c r="BC5511" s="314"/>
      <c r="BD5511" s="314"/>
      <c r="BE5511" s="314"/>
      <c r="BF5511" s="314"/>
      <c r="BG5511" s="314"/>
      <c r="BH5511" s="314"/>
      <c r="BI5511" s="314"/>
      <c r="BJ5511" s="314"/>
      <c r="BK5511" s="40"/>
      <c r="BL5511" s="40"/>
      <c r="BM5511" s="40"/>
      <c r="BN5511" s="40"/>
      <c r="BO5511" s="40"/>
      <c r="BP5511" s="155"/>
      <c r="BQ5511" s="314"/>
      <c r="BR5511" s="314"/>
      <c r="BS5511" s="314"/>
      <c r="BT5511" s="314"/>
      <c r="BU5511" s="314"/>
      <c r="BV5511" s="314"/>
      <c r="BW5511" s="314"/>
      <c r="BX5511" s="155"/>
    </row>
    <row r="5512" spans="1:76" ht="15.75" customHeight="1">
      <c r="A5512" s="25"/>
      <c r="B5512" s="39"/>
      <c r="C5512" s="155"/>
      <c r="D5512" s="155"/>
      <c r="E5512" s="40"/>
      <c r="F5512" s="314"/>
      <c r="H5512" s="315"/>
      <c r="I5512" s="315"/>
      <c r="BA5512" s="30"/>
      <c r="BB5512" s="155"/>
      <c r="BC5512" s="314"/>
      <c r="BD5512" s="314"/>
      <c r="BE5512" s="314"/>
      <c r="BF5512" s="314"/>
      <c r="BG5512" s="314"/>
      <c r="BH5512" s="314"/>
      <c r="BI5512" s="314"/>
      <c r="BJ5512" s="314"/>
      <c r="BK5512" s="40"/>
      <c r="BL5512" s="40"/>
      <c r="BM5512" s="40"/>
      <c r="BN5512" s="40"/>
      <c r="BO5512" s="40"/>
      <c r="BP5512" s="155"/>
      <c r="BQ5512" s="314"/>
      <c r="BR5512" s="314"/>
      <c r="BS5512" s="314"/>
      <c r="BT5512" s="314"/>
      <c r="BU5512" s="314"/>
      <c r="BV5512" s="314"/>
      <c r="BW5512" s="314"/>
      <c r="BX5512" s="155"/>
    </row>
    <row r="5513" spans="1:76" ht="15.75" customHeight="1">
      <c r="A5513" s="25"/>
      <c r="B5513" s="39"/>
      <c r="C5513" s="155"/>
      <c r="D5513" s="155"/>
      <c r="E5513" s="40"/>
      <c r="F5513" s="314"/>
      <c r="H5513" s="315"/>
      <c r="I5513" s="315"/>
      <c r="BA5513" s="30"/>
      <c r="BB5513" s="155"/>
      <c r="BC5513" s="314"/>
      <c r="BD5513" s="314"/>
      <c r="BE5513" s="314"/>
      <c r="BF5513" s="314"/>
      <c r="BG5513" s="314"/>
      <c r="BH5513" s="314"/>
      <c r="BI5513" s="314"/>
      <c r="BJ5513" s="314"/>
      <c r="BK5513" s="40"/>
      <c r="BL5513" s="40"/>
      <c r="BM5513" s="40"/>
      <c r="BN5513" s="40"/>
      <c r="BO5513" s="40"/>
      <c r="BP5513" s="155"/>
      <c r="BQ5513" s="314"/>
      <c r="BR5513" s="314"/>
      <c r="BS5513" s="314"/>
      <c r="BT5513" s="314"/>
      <c r="BU5513" s="314"/>
      <c r="BV5513" s="314"/>
      <c r="BW5513" s="314"/>
      <c r="BX5513" s="155"/>
    </row>
    <row r="5514" spans="1:76" ht="15.75" customHeight="1">
      <c r="A5514" s="25"/>
      <c r="B5514" s="39"/>
      <c r="C5514" s="155"/>
      <c r="D5514" s="155"/>
      <c r="E5514" s="40"/>
      <c r="F5514" s="314"/>
      <c r="H5514" s="315"/>
      <c r="I5514" s="315"/>
      <c r="BA5514" s="30"/>
      <c r="BB5514" s="155"/>
      <c r="BC5514" s="314"/>
      <c r="BD5514" s="314"/>
      <c r="BE5514" s="314"/>
      <c r="BF5514" s="314"/>
      <c r="BG5514" s="314"/>
      <c r="BH5514" s="314"/>
      <c r="BI5514" s="314"/>
      <c r="BJ5514" s="314"/>
      <c r="BK5514" s="40"/>
      <c r="BL5514" s="40"/>
      <c r="BM5514" s="40"/>
      <c r="BN5514" s="40"/>
      <c r="BO5514" s="40"/>
      <c r="BP5514" s="155"/>
      <c r="BQ5514" s="314"/>
      <c r="BR5514" s="314"/>
      <c r="BS5514" s="314"/>
      <c r="BT5514" s="314"/>
      <c r="BU5514" s="314"/>
      <c r="BV5514" s="314"/>
      <c r="BW5514" s="314"/>
      <c r="BX5514" s="155"/>
    </row>
    <row r="5515" spans="1:76" ht="15.75" customHeight="1">
      <c r="A5515" s="25"/>
      <c r="B5515" s="39"/>
      <c r="C5515" s="155"/>
      <c r="D5515" s="155"/>
      <c r="E5515" s="40"/>
      <c r="F5515" s="314"/>
      <c r="H5515" s="315"/>
      <c r="I5515" s="315"/>
      <c r="BA5515" s="30"/>
      <c r="BB5515" s="155"/>
      <c r="BC5515" s="314"/>
      <c r="BD5515" s="314"/>
      <c r="BE5515" s="314"/>
      <c r="BF5515" s="314"/>
      <c r="BG5515" s="314"/>
      <c r="BH5515" s="314"/>
      <c r="BI5515" s="314"/>
      <c r="BJ5515" s="314"/>
      <c r="BK5515" s="40"/>
      <c r="BL5515" s="40"/>
      <c r="BM5515" s="40"/>
      <c r="BN5515" s="40"/>
      <c r="BO5515" s="40"/>
      <c r="BP5515" s="155"/>
      <c r="BQ5515" s="314"/>
      <c r="BR5515" s="314"/>
      <c r="BS5515" s="314"/>
      <c r="BT5515" s="314"/>
      <c r="BU5515" s="314"/>
      <c r="BV5515" s="314"/>
      <c r="BW5515" s="314"/>
      <c r="BX5515" s="155"/>
    </row>
    <row r="5516" spans="1:76" ht="15.75" customHeight="1">
      <c r="A5516" s="25"/>
      <c r="B5516" s="39"/>
      <c r="C5516" s="155"/>
      <c r="D5516" s="155"/>
      <c r="E5516" s="40"/>
      <c r="F5516" s="314"/>
      <c r="H5516" s="315"/>
      <c r="I5516" s="315"/>
      <c r="BA5516" s="30"/>
      <c r="BB5516" s="155"/>
      <c r="BC5516" s="314"/>
      <c r="BD5516" s="314"/>
      <c r="BE5516" s="314"/>
      <c r="BF5516" s="314"/>
      <c r="BG5516" s="314"/>
      <c r="BH5516" s="314"/>
      <c r="BI5516" s="314"/>
      <c r="BJ5516" s="314"/>
      <c r="BK5516" s="40"/>
      <c r="BL5516" s="40"/>
      <c r="BM5516" s="40"/>
      <c r="BN5516" s="40"/>
      <c r="BO5516" s="40"/>
      <c r="BP5516" s="155"/>
      <c r="BQ5516" s="314"/>
      <c r="BR5516" s="314"/>
      <c r="BS5516" s="314"/>
      <c r="BT5516" s="314"/>
      <c r="BU5516" s="314"/>
      <c r="BV5516" s="314"/>
      <c r="BW5516" s="314"/>
      <c r="BX5516" s="155"/>
    </row>
    <row r="5517" spans="1:76" ht="15.75" customHeight="1">
      <c r="A5517" s="25"/>
      <c r="B5517" s="39"/>
      <c r="C5517" s="155"/>
      <c r="D5517" s="155"/>
      <c r="E5517" s="40"/>
      <c r="F5517" s="314"/>
      <c r="H5517" s="315"/>
      <c r="I5517" s="315"/>
      <c r="BA5517" s="30"/>
      <c r="BB5517" s="155"/>
      <c r="BC5517" s="314"/>
      <c r="BD5517" s="314"/>
      <c r="BE5517" s="314"/>
      <c r="BF5517" s="314"/>
      <c r="BG5517" s="314"/>
      <c r="BH5517" s="314"/>
      <c r="BI5517" s="314"/>
      <c r="BJ5517" s="314"/>
      <c r="BK5517" s="40"/>
      <c r="BL5517" s="40"/>
      <c r="BM5517" s="40"/>
      <c r="BN5517" s="40"/>
      <c r="BO5517" s="40"/>
      <c r="BP5517" s="155"/>
      <c r="BQ5517" s="314"/>
      <c r="BR5517" s="314"/>
      <c r="BS5517" s="314"/>
      <c r="BT5517" s="314"/>
      <c r="BU5517" s="314"/>
      <c r="BV5517" s="314"/>
      <c r="BW5517" s="314"/>
      <c r="BX5517" s="155"/>
    </row>
    <row r="5518" spans="1:76" ht="15.75" customHeight="1">
      <c r="A5518" s="25"/>
      <c r="B5518" s="39"/>
      <c r="C5518" s="155"/>
      <c r="D5518" s="155"/>
      <c r="E5518" s="40"/>
      <c r="F5518" s="314"/>
      <c r="H5518" s="315"/>
      <c r="I5518" s="315"/>
      <c r="BA5518" s="30"/>
      <c r="BB5518" s="155"/>
      <c r="BC5518" s="322"/>
      <c r="BD5518" s="322"/>
      <c r="BE5518" s="322"/>
      <c r="BF5518" s="322"/>
      <c r="BG5518" s="322"/>
      <c r="BH5518" s="322"/>
      <c r="BI5518" s="322"/>
      <c r="BJ5518" s="322"/>
      <c r="BK5518" s="341"/>
      <c r="BL5518" s="40"/>
      <c r="BM5518" s="40"/>
      <c r="BN5518" s="40"/>
      <c r="BO5518" s="40"/>
      <c r="BP5518" s="155"/>
      <c r="BQ5518" s="314"/>
      <c r="BR5518" s="314"/>
      <c r="BS5518" s="314"/>
      <c r="BT5518" s="314"/>
      <c r="BU5518" s="314"/>
      <c r="BV5518" s="314"/>
      <c r="BW5518" s="314"/>
      <c r="BX5518" s="155"/>
    </row>
    <row r="5519" spans="1:76" ht="15.75" customHeight="1">
      <c r="A5519" s="25"/>
      <c r="B5519" s="39"/>
      <c r="C5519" s="155"/>
      <c r="D5519" s="155"/>
      <c r="E5519" s="40"/>
      <c r="F5519" s="314"/>
      <c r="H5519" s="315"/>
      <c r="I5519" s="315"/>
      <c r="BA5519" s="30"/>
      <c r="BB5519" s="155"/>
      <c r="BC5519" s="314"/>
      <c r="BD5519" s="314"/>
      <c r="BE5519" s="314"/>
      <c r="BF5519" s="314"/>
      <c r="BG5519" s="314"/>
      <c r="BH5519" s="314"/>
      <c r="BI5519" s="314"/>
      <c r="BJ5519" s="314"/>
      <c r="BK5519" s="40"/>
      <c r="BL5519" s="40"/>
      <c r="BM5519" s="40"/>
      <c r="BN5519" s="40"/>
      <c r="BO5519" s="40"/>
      <c r="BP5519" s="155"/>
      <c r="BQ5519" s="314"/>
      <c r="BR5519" s="314"/>
      <c r="BS5519" s="314"/>
      <c r="BT5519" s="314"/>
      <c r="BU5519" s="314"/>
      <c r="BV5519" s="314"/>
      <c r="BW5519" s="314"/>
      <c r="BX5519" s="155"/>
    </row>
    <row r="5520" spans="1:76" ht="15.75" customHeight="1">
      <c r="A5520" s="25"/>
      <c r="B5520" s="39"/>
      <c r="C5520" s="155"/>
      <c r="D5520" s="155"/>
      <c r="E5520" s="40"/>
      <c r="F5520" s="314"/>
      <c r="H5520" s="315"/>
      <c r="I5520" s="315"/>
      <c r="BA5520" s="30"/>
      <c r="BB5520" s="155"/>
      <c r="BC5520" s="314"/>
      <c r="BD5520" s="314"/>
      <c r="BE5520" s="314"/>
      <c r="BF5520" s="314"/>
      <c r="BG5520" s="314"/>
      <c r="BH5520" s="314"/>
      <c r="BI5520" s="314"/>
      <c r="BJ5520" s="314"/>
      <c r="BK5520" s="40"/>
      <c r="BL5520" s="40"/>
      <c r="BM5520" s="40"/>
      <c r="BN5520" s="40"/>
      <c r="BO5520" s="40"/>
      <c r="BP5520" s="155"/>
      <c r="BQ5520" s="314"/>
      <c r="BR5520" s="314"/>
      <c r="BS5520" s="314"/>
      <c r="BT5520" s="314"/>
      <c r="BU5520" s="314"/>
      <c r="BV5520" s="314"/>
      <c r="BW5520" s="314"/>
      <c r="BX5520" s="155"/>
    </row>
    <row r="5521" spans="1:76" ht="15.75" customHeight="1">
      <c r="A5521" s="25"/>
      <c r="B5521" s="39"/>
      <c r="C5521" s="155"/>
      <c r="D5521" s="155"/>
      <c r="E5521" s="40"/>
      <c r="F5521" s="314"/>
      <c r="H5521" s="315"/>
      <c r="I5521" s="315"/>
      <c r="BA5521" s="30"/>
      <c r="BB5521" s="155"/>
      <c r="BC5521" s="314"/>
      <c r="BD5521" s="314"/>
      <c r="BE5521" s="314"/>
      <c r="BF5521" s="314"/>
      <c r="BG5521" s="314"/>
      <c r="BH5521" s="314"/>
      <c r="BI5521" s="314"/>
      <c r="BJ5521" s="314"/>
      <c r="BK5521" s="40"/>
      <c r="BL5521" s="40"/>
      <c r="BM5521" s="40"/>
      <c r="BN5521" s="40"/>
      <c r="BO5521" s="40"/>
      <c r="BP5521" s="155"/>
      <c r="BQ5521" s="314"/>
      <c r="BR5521" s="314"/>
      <c r="BS5521" s="314"/>
      <c r="BT5521" s="314"/>
      <c r="BU5521" s="314"/>
      <c r="BV5521" s="314"/>
      <c r="BW5521" s="314"/>
      <c r="BX5521" s="155"/>
    </row>
    <row r="5522" spans="1:76" ht="15.75" customHeight="1">
      <c r="A5522" s="25"/>
      <c r="B5522" s="39"/>
      <c r="C5522" s="155"/>
      <c r="D5522" s="155"/>
      <c r="E5522" s="40"/>
      <c r="F5522" s="314"/>
      <c r="H5522" s="315"/>
      <c r="I5522" s="315"/>
      <c r="BA5522" s="30"/>
      <c r="BB5522" s="155"/>
      <c r="BC5522" s="314"/>
      <c r="BD5522" s="314"/>
      <c r="BE5522" s="314"/>
      <c r="BF5522" s="314"/>
      <c r="BG5522" s="314"/>
      <c r="BH5522" s="314"/>
      <c r="BI5522" s="314"/>
      <c r="BJ5522" s="314"/>
      <c r="BK5522" s="40"/>
      <c r="BL5522" s="40"/>
      <c r="BM5522" s="40"/>
      <c r="BN5522" s="40"/>
      <c r="BO5522" s="40"/>
      <c r="BP5522" s="155"/>
      <c r="BQ5522" s="314"/>
      <c r="BR5522" s="314"/>
      <c r="BS5522" s="314"/>
      <c r="BT5522" s="314"/>
      <c r="BU5522" s="314"/>
      <c r="BV5522" s="314"/>
      <c r="BW5522" s="314"/>
      <c r="BX5522" s="155"/>
    </row>
    <row r="5523" spans="1:76" ht="15.75" customHeight="1">
      <c r="A5523" s="25"/>
      <c r="B5523" s="39"/>
      <c r="C5523" s="155"/>
      <c r="D5523" s="155"/>
      <c r="E5523" s="40"/>
      <c r="F5523" s="314"/>
      <c r="H5523" s="315"/>
      <c r="I5523" s="315"/>
      <c r="BA5523" s="30"/>
      <c r="BB5523" s="155"/>
      <c r="BC5523" s="314"/>
      <c r="BD5523" s="314"/>
      <c r="BE5523" s="314"/>
      <c r="BF5523" s="314"/>
      <c r="BG5523" s="314"/>
      <c r="BH5523" s="314"/>
      <c r="BI5523" s="314"/>
      <c r="BJ5523" s="314"/>
      <c r="BK5523" s="40"/>
      <c r="BL5523" s="40"/>
      <c r="BM5523" s="40"/>
      <c r="BN5523" s="40"/>
      <c r="BO5523" s="40"/>
      <c r="BP5523" s="155"/>
      <c r="BQ5523" s="314"/>
      <c r="BR5523" s="314"/>
      <c r="BS5523" s="314"/>
      <c r="BT5523" s="314"/>
      <c r="BU5523" s="314"/>
      <c r="BV5523" s="314"/>
      <c r="BW5523" s="314"/>
      <c r="BX5523" s="155"/>
    </row>
    <row r="5524" spans="1:76" ht="15.75" customHeight="1">
      <c r="A5524" s="25"/>
      <c r="B5524" s="39"/>
      <c r="C5524" s="155"/>
      <c r="D5524" s="155"/>
      <c r="E5524" s="40"/>
      <c r="F5524" s="314"/>
      <c r="H5524" s="315"/>
      <c r="I5524" s="315"/>
      <c r="BA5524" s="30"/>
      <c r="BB5524" s="155"/>
      <c r="BC5524" s="314"/>
      <c r="BD5524" s="314"/>
      <c r="BE5524" s="314"/>
      <c r="BF5524" s="314"/>
      <c r="BG5524" s="314"/>
      <c r="BH5524" s="314"/>
      <c r="BI5524" s="314"/>
      <c r="BJ5524" s="314"/>
      <c r="BK5524" s="40"/>
      <c r="BL5524" s="40"/>
      <c r="BM5524" s="40"/>
      <c r="BN5524" s="40"/>
      <c r="BO5524" s="40"/>
      <c r="BP5524" s="155"/>
      <c r="BQ5524" s="314"/>
      <c r="BR5524" s="314"/>
      <c r="BS5524" s="314"/>
      <c r="BT5524" s="314"/>
      <c r="BU5524" s="314"/>
      <c r="BV5524" s="314"/>
      <c r="BW5524" s="314"/>
      <c r="BX5524" s="155"/>
    </row>
    <row r="5525" spans="1:76" ht="15.75" customHeight="1">
      <c r="A5525" s="25"/>
      <c r="B5525" s="39"/>
      <c r="C5525" s="155"/>
      <c r="D5525" s="155"/>
      <c r="E5525" s="40"/>
      <c r="F5525" s="314"/>
      <c r="H5525" s="315"/>
      <c r="I5525" s="315"/>
      <c r="BA5525" s="30"/>
      <c r="BB5525" s="155"/>
      <c r="BC5525" s="314"/>
      <c r="BD5525" s="314"/>
      <c r="BE5525" s="314"/>
      <c r="BF5525" s="314"/>
      <c r="BG5525" s="314"/>
      <c r="BH5525" s="314"/>
      <c r="BI5525" s="314"/>
      <c r="BJ5525" s="314"/>
      <c r="BK5525" s="40"/>
      <c r="BL5525" s="40"/>
      <c r="BM5525" s="40"/>
      <c r="BN5525" s="40"/>
      <c r="BO5525" s="40"/>
      <c r="BP5525" s="155"/>
      <c r="BQ5525" s="314"/>
      <c r="BR5525" s="314"/>
      <c r="BS5525" s="314"/>
      <c r="BT5525" s="314"/>
      <c r="BU5525" s="314"/>
      <c r="BV5525" s="314"/>
      <c r="BW5525" s="314"/>
      <c r="BX5525" s="155"/>
    </row>
    <row r="5526" spans="1:76" ht="15.75" customHeight="1">
      <c r="A5526" s="25"/>
      <c r="B5526" s="39"/>
      <c r="C5526" s="155"/>
      <c r="D5526" s="155"/>
      <c r="E5526" s="40"/>
      <c r="F5526" s="314"/>
      <c r="H5526" s="315"/>
      <c r="I5526" s="315"/>
      <c r="BA5526" s="30"/>
      <c r="BB5526" s="155"/>
      <c r="BC5526" s="314"/>
      <c r="BD5526" s="314"/>
      <c r="BE5526" s="314"/>
      <c r="BF5526" s="314"/>
      <c r="BG5526" s="314"/>
      <c r="BH5526" s="314"/>
      <c r="BI5526" s="314"/>
      <c r="BJ5526" s="314"/>
      <c r="BK5526" s="40"/>
      <c r="BL5526" s="40"/>
      <c r="BM5526" s="40"/>
      <c r="BN5526" s="40"/>
      <c r="BO5526" s="40"/>
      <c r="BP5526" s="155"/>
      <c r="BQ5526" s="314"/>
      <c r="BR5526" s="314"/>
      <c r="BS5526" s="314"/>
      <c r="BT5526" s="314"/>
      <c r="BU5526" s="314"/>
      <c r="BV5526" s="314"/>
      <c r="BW5526" s="314"/>
      <c r="BX5526" s="155"/>
    </row>
    <row r="5527" spans="1:76" ht="15.75" customHeight="1">
      <c r="A5527" s="25"/>
      <c r="B5527" s="39"/>
      <c r="C5527" s="155"/>
      <c r="D5527" s="155"/>
      <c r="E5527" s="40"/>
      <c r="F5527" s="314"/>
      <c r="H5527" s="315"/>
      <c r="I5527" s="315"/>
      <c r="BA5527" s="30"/>
      <c r="BB5527" s="155"/>
      <c r="BC5527" s="314"/>
      <c r="BD5527" s="314"/>
      <c r="BE5527" s="314"/>
      <c r="BF5527" s="314"/>
      <c r="BG5527" s="314"/>
      <c r="BH5527" s="314"/>
      <c r="BI5527" s="314"/>
      <c r="BJ5527" s="314"/>
      <c r="BK5527" s="40"/>
      <c r="BL5527" s="40"/>
      <c r="BM5527" s="40"/>
      <c r="BN5527" s="40"/>
      <c r="BO5527" s="40"/>
      <c r="BP5527" s="155"/>
      <c r="BQ5527" s="314"/>
      <c r="BR5527" s="314"/>
      <c r="BS5527" s="314"/>
      <c r="BT5527" s="314"/>
      <c r="BU5527" s="314"/>
      <c r="BV5527" s="314"/>
      <c r="BW5527" s="314"/>
      <c r="BX5527" s="155"/>
    </row>
    <row r="5528" spans="1:76" ht="15.75" customHeight="1">
      <c r="A5528" s="25"/>
      <c r="B5528" s="39"/>
      <c r="C5528" s="155"/>
      <c r="D5528" s="155"/>
      <c r="E5528" s="40"/>
      <c r="F5528" s="314"/>
      <c r="H5528" s="315"/>
      <c r="I5528" s="315"/>
      <c r="BA5528" s="30"/>
      <c r="BB5528" s="155"/>
      <c r="BC5528" s="314"/>
      <c r="BD5528" s="314"/>
      <c r="BE5528" s="314"/>
      <c r="BF5528" s="314"/>
      <c r="BG5528" s="314"/>
      <c r="BH5528" s="314"/>
      <c r="BI5528" s="314"/>
      <c r="BJ5528" s="314"/>
      <c r="BK5528" s="40"/>
      <c r="BL5528" s="40"/>
      <c r="BM5528" s="40"/>
      <c r="BN5528" s="40"/>
      <c r="BO5528" s="40"/>
      <c r="BP5528" s="155"/>
      <c r="BQ5528" s="314"/>
      <c r="BR5528" s="314"/>
      <c r="BS5528" s="314"/>
      <c r="BT5528" s="314"/>
      <c r="BU5528" s="314"/>
      <c r="BV5528" s="314"/>
      <c r="BW5528" s="314"/>
      <c r="BX5528" s="155"/>
    </row>
    <row r="5529" spans="1:76" ht="15.75" customHeight="1">
      <c r="A5529" s="25"/>
      <c r="B5529" s="39"/>
      <c r="C5529" s="155"/>
      <c r="D5529" s="155"/>
      <c r="E5529" s="40"/>
      <c r="F5529" s="314"/>
      <c r="H5529" s="315"/>
      <c r="I5529" s="315"/>
      <c r="BA5529" s="30"/>
      <c r="BB5529" s="155"/>
      <c r="BC5529" s="314"/>
      <c r="BD5529" s="314"/>
      <c r="BE5529" s="314"/>
      <c r="BF5529" s="314"/>
      <c r="BG5529" s="314"/>
      <c r="BH5529" s="314"/>
      <c r="BI5529" s="314"/>
      <c r="BJ5529" s="314"/>
      <c r="BK5529" s="40"/>
      <c r="BL5529" s="40"/>
      <c r="BM5529" s="40"/>
      <c r="BN5529" s="40"/>
      <c r="BO5529" s="40"/>
      <c r="BP5529" s="155"/>
      <c r="BQ5529" s="314"/>
      <c r="BR5529" s="314"/>
      <c r="BS5529" s="314"/>
      <c r="BT5529" s="314"/>
      <c r="BU5529" s="314"/>
      <c r="BV5529" s="314"/>
      <c r="BW5529" s="314"/>
      <c r="BX5529" s="155"/>
    </row>
    <row r="5530" spans="1:76" ht="15.75" customHeight="1">
      <c r="A5530" s="25"/>
      <c r="B5530" s="39"/>
      <c r="C5530" s="155"/>
      <c r="D5530" s="155"/>
      <c r="E5530" s="40"/>
      <c r="F5530" s="314"/>
      <c r="H5530" s="315"/>
      <c r="I5530" s="315"/>
      <c r="BA5530" s="30"/>
      <c r="BB5530" s="155"/>
      <c r="BC5530" s="314"/>
      <c r="BD5530" s="314"/>
      <c r="BE5530" s="314"/>
      <c r="BF5530" s="314"/>
      <c r="BG5530" s="314"/>
      <c r="BH5530" s="314"/>
      <c r="BI5530" s="314"/>
      <c r="BJ5530" s="314"/>
      <c r="BK5530" s="40"/>
      <c r="BL5530" s="40"/>
      <c r="BM5530" s="40"/>
      <c r="BN5530" s="40"/>
      <c r="BO5530" s="40"/>
      <c r="BP5530" s="155"/>
      <c r="BQ5530" s="314"/>
      <c r="BR5530" s="314"/>
      <c r="BS5530" s="314"/>
      <c r="BT5530" s="314"/>
      <c r="BU5530" s="314"/>
      <c r="BV5530" s="314"/>
      <c r="BW5530" s="314"/>
      <c r="BX5530" s="155"/>
    </row>
    <row r="5531" spans="1:76" ht="15.75" customHeight="1">
      <c r="A5531" s="25"/>
      <c r="B5531" s="39"/>
      <c r="C5531" s="155"/>
      <c r="D5531" s="155"/>
      <c r="E5531" s="40"/>
      <c r="F5531" s="314"/>
      <c r="H5531" s="315"/>
      <c r="I5531" s="315"/>
      <c r="BA5531" s="30"/>
      <c r="BB5531" s="155"/>
      <c r="BC5531" s="314"/>
      <c r="BD5531" s="314"/>
      <c r="BE5531" s="314"/>
      <c r="BF5531" s="314"/>
      <c r="BG5531" s="314"/>
      <c r="BH5531" s="314"/>
      <c r="BI5531" s="314"/>
      <c r="BJ5531" s="314"/>
      <c r="BK5531" s="40"/>
      <c r="BL5531" s="40"/>
      <c r="BM5531" s="40"/>
      <c r="BN5531" s="40"/>
      <c r="BO5531" s="40"/>
      <c r="BP5531" s="155"/>
      <c r="BQ5531" s="314"/>
      <c r="BR5531" s="314"/>
      <c r="BS5531" s="314"/>
      <c r="BT5531" s="314"/>
      <c r="BU5531" s="314"/>
      <c r="BV5531" s="314"/>
      <c r="BW5531" s="314"/>
      <c r="BX5531" s="155"/>
    </row>
    <row r="5532" spans="1:76" ht="15.75" customHeight="1">
      <c r="A5532" s="25"/>
      <c r="B5532" s="39"/>
      <c r="C5532" s="155"/>
      <c r="D5532" s="155"/>
      <c r="E5532" s="40"/>
      <c r="F5532" s="314"/>
      <c r="H5532" s="315"/>
      <c r="I5532" s="315"/>
      <c r="BA5532" s="30"/>
      <c r="BB5532" s="155"/>
      <c r="BC5532" s="314"/>
      <c r="BD5532" s="314"/>
      <c r="BE5532" s="314"/>
      <c r="BF5532" s="314"/>
      <c r="BG5532" s="314"/>
      <c r="BH5532" s="314"/>
      <c r="BI5532" s="314"/>
      <c r="BJ5532" s="314"/>
      <c r="BK5532" s="40"/>
      <c r="BL5532" s="40"/>
      <c r="BM5532" s="40"/>
      <c r="BN5532" s="40"/>
      <c r="BO5532" s="40"/>
      <c r="BP5532" s="155"/>
      <c r="BQ5532" s="314"/>
      <c r="BR5532" s="314"/>
      <c r="BS5532" s="314"/>
      <c r="BT5532" s="314"/>
      <c r="BU5532" s="314"/>
      <c r="BV5532" s="314"/>
      <c r="BW5532" s="314"/>
      <c r="BX5532" s="155"/>
    </row>
    <row r="5533" spans="1:76" ht="15.75" customHeight="1">
      <c r="A5533" s="25"/>
      <c r="B5533" s="39"/>
      <c r="C5533" s="155"/>
      <c r="D5533" s="155"/>
      <c r="E5533" s="40"/>
      <c r="F5533" s="314"/>
      <c r="H5533" s="315"/>
      <c r="I5533" s="315"/>
      <c r="BA5533" s="30"/>
      <c r="BB5533" s="155"/>
      <c r="BC5533" s="314"/>
      <c r="BD5533" s="314"/>
      <c r="BE5533" s="314"/>
      <c r="BF5533" s="314"/>
      <c r="BG5533" s="314"/>
      <c r="BH5533" s="314"/>
      <c r="BI5533" s="314"/>
      <c r="BJ5533" s="314"/>
      <c r="BK5533" s="40"/>
      <c r="BL5533" s="40"/>
      <c r="BM5533" s="40"/>
      <c r="BN5533" s="40"/>
      <c r="BO5533" s="40"/>
      <c r="BP5533" s="155"/>
      <c r="BQ5533" s="314"/>
      <c r="BR5533" s="314"/>
      <c r="BS5533" s="314"/>
      <c r="BT5533" s="314"/>
      <c r="BU5533" s="314"/>
      <c r="BV5533" s="314"/>
      <c r="BW5533" s="314"/>
      <c r="BX5533" s="155"/>
    </row>
    <row r="5534" spans="1:76" ht="15.75" customHeight="1">
      <c r="A5534" s="25"/>
      <c r="B5534" s="39"/>
      <c r="C5534" s="155"/>
      <c r="D5534" s="155"/>
      <c r="E5534" s="40"/>
      <c r="F5534" s="314"/>
      <c r="H5534" s="315"/>
      <c r="I5534" s="315"/>
      <c r="BA5534" s="30"/>
      <c r="BB5534" s="155"/>
      <c r="BC5534" s="314"/>
      <c r="BD5534" s="314"/>
      <c r="BE5534" s="314"/>
      <c r="BF5534" s="314"/>
      <c r="BG5534" s="314"/>
      <c r="BH5534" s="314"/>
      <c r="BI5534" s="314"/>
      <c r="BJ5534" s="314"/>
      <c r="BK5534" s="40"/>
      <c r="BL5534" s="40"/>
      <c r="BM5534" s="40"/>
      <c r="BN5534" s="40"/>
      <c r="BO5534" s="40"/>
      <c r="BP5534" s="155"/>
      <c r="BQ5534" s="314"/>
      <c r="BR5534" s="314"/>
      <c r="BS5534" s="314"/>
      <c r="BT5534" s="314"/>
      <c r="BU5534" s="314"/>
      <c r="BV5534" s="314"/>
      <c r="BW5534" s="314"/>
      <c r="BX5534" s="155"/>
    </row>
    <row r="5535" spans="1:76" ht="15.75" customHeight="1">
      <c r="A5535" s="25"/>
      <c r="B5535" s="39"/>
      <c r="C5535" s="155"/>
      <c r="D5535" s="155"/>
      <c r="E5535" s="40"/>
      <c r="F5535" s="314"/>
      <c r="H5535" s="315"/>
      <c r="I5535" s="315"/>
      <c r="BA5535" s="30"/>
      <c r="BB5535" s="155"/>
      <c r="BC5535" s="314"/>
      <c r="BD5535" s="314"/>
      <c r="BE5535" s="314"/>
      <c r="BF5535" s="314"/>
      <c r="BG5535" s="314"/>
      <c r="BH5535" s="314"/>
      <c r="BI5535" s="314"/>
      <c r="BJ5535" s="314"/>
      <c r="BK5535" s="40"/>
      <c r="BL5535" s="40"/>
      <c r="BM5535" s="40"/>
      <c r="BN5535" s="40"/>
      <c r="BO5535" s="40"/>
      <c r="BP5535" s="155"/>
      <c r="BQ5535" s="314"/>
      <c r="BR5535" s="314"/>
      <c r="BS5535" s="314"/>
      <c r="BT5535" s="314"/>
      <c r="BU5535" s="314"/>
      <c r="BV5535" s="314"/>
      <c r="BW5535" s="314"/>
      <c r="BX5535" s="155"/>
    </row>
    <row r="5536" spans="1:76" ht="15.75" customHeight="1">
      <c r="A5536" s="25"/>
      <c r="B5536" s="39"/>
      <c r="C5536" s="155"/>
      <c r="D5536" s="155"/>
      <c r="E5536" s="40"/>
      <c r="F5536" s="314"/>
      <c r="H5536" s="315"/>
      <c r="I5536" s="315"/>
      <c r="BA5536" s="30"/>
      <c r="BB5536" s="155"/>
      <c r="BC5536" s="314"/>
      <c r="BD5536" s="314"/>
      <c r="BE5536" s="314"/>
      <c r="BF5536" s="314"/>
      <c r="BG5536" s="314"/>
      <c r="BH5536" s="314"/>
      <c r="BI5536" s="314"/>
      <c r="BJ5536" s="314"/>
      <c r="BK5536" s="40"/>
      <c r="BL5536" s="40"/>
      <c r="BM5536" s="40"/>
      <c r="BN5536" s="40"/>
      <c r="BO5536" s="40"/>
      <c r="BP5536" s="155"/>
      <c r="BQ5536" s="314"/>
      <c r="BR5536" s="314"/>
      <c r="BS5536" s="314"/>
      <c r="BT5536" s="314"/>
      <c r="BU5536" s="314"/>
      <c r="BV5536" s="314"/>
      <c r="BW5536" s="314"/>
      <c r="BX5536" s="155"/>
    </row>
    <row r="5537" spans="1:76" ht="15.75" customHeight="1">
      <c r="A5537" s="25"/>
      <c r="B5537" s="39"/>
      <c r="C5537" s="155"/>
      <c r="D5537" s="155"/>
      <c r="E5537" s="40"/>
      <c r="F5537" s="314"/>
      <c r="H5537" s="315"/>
      <c r="I5537" s="315"/>
      <c r="BA5537" s="30"/>
      <c r="BB5537" s="155"/>
      <c r="BC5537" s="314"/>
      <c r="BD5537" s="314"/>
      <c r="BE5537" s="314"/>
      <c r="BF5537" s="314"/>
      <c r="BG5537" s="314"/>
      <c r="BH5537" s="314"/>
      <c r="BI5537" s="314"/>
      <c r="BJ5537" s="314"/>
      <c r="BK5537" s="40"/>
      <c r="BL5537" s="40"/>
      <c r="BM5537" s="40"/>
      <c r="BN5537" s="40"/>
      <c r="BO5537" s="40"/>
      <c r="BP5537" s="155"/>
      <c r="BQ5537" s="314"/>
      <c r="BR5537" s="314"/>
      <c r="BS5537" s="314"/>
      <c r="BT5537" s="314"/>
      <c r="BU5537" s="314"/>
      <c r="BV5537" s="314"/>
      <c r="BW5537" s="314"/>
      <c r="BX5537" s="155"/>
    </row>
    <row r="5538" spans="1:76" ht="15.75" customHeight="1">
      <c r="A5538" s="25"/>
      <c r="B5538" s="39"/>
      <c r="C5538" s="155"/>
      <c r="D5538" s="155"/>
      <c r="E5538" s="40"/>
      <c r="F5538" s="314"/>
      <c r="H5538" s="315"/>
      <c r="I5538" s="315"/>
      <c r="BA5538" s="30"/>
      <c r="BB5538" s="155"/>
      <c r="BC5538" s="314"/>
      <c r="BD5538" s="314"/>
      <c r="BE5538" s="314"/>
      <c r="BF5538" s="314"/>
      <c r="BG5538" s="314"/>
      <c r="BH5538" s="314"/>
      <c r="BI5538" s="314"/>
      <c r="BJ5538" s="314"/>
      <c r="BK5538" s="40"/>
      <c r="BL5538" s="40"/>
      <c r="BM5538" s="40"/>
      <c r="BN5538" s="40"/>
      <c r="BO5538" s="40"/>
      <c r="BP5538" s="155"/>
      <c r="BQ5538" s="314"/>
      <c r="BR5538" s="314"/>
      <c r="BS5538" s="314"/>
      <c r="BT5538" s="314"/>
      <c r="BU5538" s="314"/>
      <c r="BV5538" s="314"/>
      <c r="BW5538" s="314"/>
      <c r="BX5538" s="155"/>
    </row>
    <row r="5539" spans="1:76" ht="15.75" customHeight="1">
      <c r="A5539" s="25"/>
      <c r="B5539" s="39"/>
      <c r="C5539" s="155"/>
      <c r="D5539" s="155"/>
      <c r="E5539" s="40"/>
      <c r="F5539" s="314"/>
      <c r="H5539" s="315"/>
      <c r="I5539" s="315"/>
      <c r="BA5539" s="30"/>
      <c r="BB5539" s="155"/>
      <c r="BC5539" s="314"/>
      <c r="BD5539" s="314"/>
      <c r="BE5539" s="314"/>
      <c r="BF5539" s="314"/>
      <c r="BG5539" s="314"/>
      <c r="BH5539" s="314"/>
      <c r="BI5539" s="314"/>
      <c r="BJ5539" s="314"/>
      <c r="BK5539" s="40"/>
      <c r="BL5539" s="40"/>
      <c r="BM5539" s="40"/>
      <c r="BN5539" s="40"/>
      <c r="BO5539" s="40"/>
      <c r="BP5539" s="155"/>
      <c r="BQ5539" s="314"/>
      <c r="BR5539" s="314"/>
      <c r="BS5539" s="314"/>
      <c r="BT5539" s="314"/>
      <c r="BU5539" s="314"/>
      <c r="BV5539" s="314"/>
      <c r="BW5539" s="314"/>
      <c r="BX5539" s="155"/>
    </row>
    <row r="5540" spans="1:76" ht="15.75" customHeight="1">
      <c r="A5540" s="25"/>
      <c r="B5540" s="39"/>
      <c r="C5540" s="155"/>
      <c r="D5540" s="155"/>
      <c r="E5540" s="40"/>
      <c r="F5540" s="314"/>
      <c r="H5540" s="315"/>
      <c r="I5540" s="315"/>
      <c r="BA5540" s="30"/>
      <c r="BB5540" s="155"/>
      <c r="BC5540" s="314"/>
      <c r="BD5540" s="314"/>
      <c r="BE5540" s="314"/>
      <c r="BF5540" s="314"/>
      <c r="BG5540" s="314"/>
      <c r="BH5540" s="314"/>
      <c r="BI5540" s="314"/>
      <c r="BJ5540" s="314"/>
      <c r="BK5540" s="40"/>
      <c r="BL5540" s="40"/>
      <c r="BM5540" s="40"/>
      <c r="BN5540" s="40"/>
      <c r="BO5540" s="40"/>
      <c r="BP5540" s="155"/>
      <c r="BQ5540" s="314"/>
      <c r="BR5540" s="314"/>
      <c r="BS5540" s="314"/>
      <c r="BT5540" s="314"/>
      <c r="BU5540" s="314"/>
      <c r="BV5540" s="314"/>
      <c r="BW5540" s="314"/>
      <c r="BX5540" s="155"/>
    </row>
    <row r="5541" spans="1:76" ht="15.75" customHeight="1">
      <c r="A5541" s="25"/>
      <c r="B5541" s="39"/>
      <c r="C5541" s="155"/>
      <c r="D5541" s="155"/>
      <c r="E5541" s="40"/>
      <c r="F5541" s="314"/>
      <c r="H5541" s="315"/>
      <c r="I5541" s="315"/>
      <c r="BA5541" s="30"/>
      <c r="BB5541" s="155"/>
      <c r="BC5541" s="314"/>
      <c r="BD5541" s="314"/>
      <c r="BE5541" s="314"/>
      <c r="BF5541" s="314"/>
      <c r="BG5541" s="314"/>
      <c r="BH5541" s="314"/>
      <c r="BI5541" s="314"/>
      <c r="BJ5541" s="314"/>
      <c r="BK5541" s="40"/>
      <c r="BL5541" s="40"/>
      <c r="BM5541" s="40"/>
      <c r="BN5541" s="40"/>
      <c r="BO5541" s="40"/>
      <c r="BP5541" s="155"/>
      <c r="BQ5541" s="314"/>
      <c r="BR5541" s="314"/>
      <c r="BS5541" s="314"/>
      <c r="BT5541" s="314"/>
      <c r="BU5541" s="314"/>
      <c r="BV5541" s="314"/>
      <c r="BW5541" s="314"/>
      <c r="BX5541" s="155"/>
    </row>
    <row r="5542" spans="1:76" ht="15.75" customHeight="1">
      <c r="A5542" s="25"/>
      <c r="B5542" s="39"/>
      <c r="C5542" s="155"/>
      <c r="D5542" s="155"/>
      <c r="E5542" s="40"/>
      <c r="F5542" s="314"/>
      <c r="H5542" s="315"/>
      <c r="I5542" s="315"/>
      <c r="BA5542" s="30"/>
      <c r="BB5542" s="155"/>
      <c r="BC5542" s="314"/>
      <c r="BD5542" s="314"/>
      <c r="BE5542" s="314"/>
      <c r="BF5542" s="314"/>
      <c r="BG5542" s="314"/>
      <c r="BH5542" s="314"/>
      <c r="BI5542" s="314"/>
      <c r="BJ5542" s="314"/>
      <c r="BK5542" s="40"/>
      <c r="BL5542" s="40"/>
      <c r="BM5542" s="40"/>
      <c r="BN5542" s="40"/>
      <c r="BO5542" s="40"/>
      <c r="BP5542" s="155"/>
      <c r="BQ5542" s="314"/>
      <c r="BR5542" s="314"/>
      <c r="BS5542" s="314"/>
      <c r="BT5542" s="314"/>
      <c r="BU5542" s="314"/>
      <c r="BV5542" s="314"/>
      <c r="BW5542" s="314"/>
      <c r="BX5542" s="155"/>
    </row>
    <row r="5543" spans="1:76" ht="15.75" customHeight="1">
      <c r="A5543" s="25"/>
      <c r="B5543" s="39"/>
      <c r="C5543" s="155"/>
      <c r="D5543" s="155"/>
      <c r="E5543" s="40"/>
      <c r="F5543" s="314"/>
      <c r="H5543" s="315"/>
      <c r="I5543" s="315"/>
      <c r="BA5543" s="30"/>
      <c r="BB5543" s="155"/>
      <c r="BC5543" s="314"/>
      <c r="BD5543" s="314"/>
      <c r="BE5543" s="314"/>
      <c r="BF5543" s="314"/>
      <c r="BG5543" s="314"/>
      <c r="BH5543" s="314"/>
      <c r="BI5543" s="314"/>
      <c r="BJ5543" s="314"/>
      <c r="BK5543" s="40"/>
      <c r="BL5543" s="40"/>
      <c r="BM5543" s="40"/>
      <c r="BN5543" s="40"/>
      <c r="BO5543" s="40"/>
      <c r="BP5543" s="155"/>
      <c r="BQ5543" s="314"/>
      <c r="BR5543" s="314"/>
      <c r="BS5543" s="314"/>
      <c r="BT5543" s="314"/>
      <c r="BU5543" s="314"/>
      <c r="BV5543" s="314"/>
      <c r="BW5543" s="314"/>
      <c r="BX5543" s="155"/>
    </row>
    <row r="5544" spans="1:76" ht="15.75" customHeight="1">
      <c r="A5544" s="25"/>
      <c r="B5544" s="39"/>
      <c r="C5544" s="155"/>
      <c r="D5544" s="155"/>
      <c r="E5544" s="40"/>
      <c r="F5544" s="314"/>
      <c r="H5544" s="315"/>
      <c r="I5544" s="315"/>
      <c r="BA5544" s="30"/>
      <c r="BB5544" s="155"/>
      <c r="BC5544" s="314"/>
      <c r="BD5544" s="314"/>
      <c r="BE5544" s="314"/>
      <c r="BF5544" s="314"/>
      <c r="BG5544" s="314"/>
      <c r="BH5544" s="314"/>
      <c r="BI5544" s="314"/>
      <c r="BJ5544" s="314"/>
      <c r="BK5544" s="40"/>
      <c r="BL5544" s="40"/>
      <c r="BM5544" s="40"/>
      <c r="BN5544" s="40"/>
      <c r="BO5544" s="40"/>
      <c r="BP5544" s="155"/>
      <c r="BQ5544" s="314"/>
      <c r="BR5544" s="314"/>
      <c r="BS5544" s="314"/>
      <c r="BT5544" s="314"/>
      <c r="BU5544" s="314"/>
      <c r="BV5544" s="314"/>
      <c r="BW5544" s="314"/>
      <c r="BX5544" s="155"/>
    </row>
    <row r="5545" spans="1:76" ht="15.75" customHeight="1">
      <c r="A5545" s="25"/>
      <c r="B5545" s="39"/>
      <c r="C5545" s="155"/>
      <c r="D5545" s="155"/>
      <c r="E5545" s="40"/>
      <c r="F5545" s="314"/>
      <c r="H5545" s="315"/>
      <c r="I5545" s="315"/>
      <c r="BA5545" s="30"/>
      <c r="BB5545" s="155"/>
      <c r="BC5545" s="314"/>
      <c r="BD5545" s="314"/>
      <c r="BE5545" s="314"/>
      <c r="BF5545" s="314"/>
      <c r="BG5545" s="314"/>
      <c r="BH5545" s="314"/>
      <c r="BI5545" s="314"/>
      <c r="BJ5545" s="314"/>
      <c r="BK5545" s="40"/>
      <c r="BL5545" s="40"/>
      <c r="BM5545" s="40"/>
      <c r="BN5545" s="40"/>
      <c r="BO5545" s="40"/>
      <c r="BP5545" s="155"/>
      <c r="BQ5545" s="314"/>
      <c r="BR5545" s="314"/>
      <c r="BS5545" s="314"/>
      <c r="BT5545" s="314"/>
      <c r="BU5545" s="314"/>
      <c r="BV5545" s="314"/>
      <c r="BW5545" s="314"/>
      <c r="BX5545" s="155"/>
    </row>
    <row r="5546" spans="1:76" ht="15.75" customHeight="1">
      <c r="A5546" s="25"/>
      <c r="B5546" s="39"/>
      <c r="C5546" s="155"/>
      <c r="D5546" s="155"/>
      <c r="E5546" s="40"/>
      <c r="F5546" s="314"/>
      <c r="H5546" s="315"/>
      <c r="I5546" s="315"/>
      <c r="BA5546" s="30"/>
      <c r="BB5546" s="155"/>
      <c r="BC5546" s="314"/>
      <c r="BD5546" s="314"/>
      <c r="BE5546" s="314"/>
      <c r="BF5546" s="314"/>
      <c r="BG5546" s="314"/>
      <c r="BH5546" s="314"/>
      <c r="BI5546" s="314"/>
      <c r="BJ5546" s="314"/>
      <c r="BK5546" s="40"/>
      <c r="BL5546" s="40"/>
      <c r="BM5546" s="40"/>
      <c r="BN5546" s="40"/>
      <c r="BO5546" s="40"/>
      <c r="BP5546" s="155"/>
      <c r="BQ5546" s="314"/>
      <c r="BR5546" s="314"/>
      <c r="BS5546" s="314"/>
      <c r="BT5546" s="314"/>
      <c r="BU5546" s="314"/>
      <c r="BV5546" s="314"/>
      <c r="BW5546" s="314"/>
      <c r="BX5546" s="155"/>
    </row>
    <row r="5547" spans="1:76" ht="15.75" customHeight="1">
      <c r="A5547" s="25"/>
      <c r="B5547" s="39"/>
      <c r="C5547" s="155"/>
      <c r="D5547" s="155"/>
      <c r="E5547" s="40"/>
      <c r="F5547" s="314"/>
      <c r="H5547" s="315"/>
      <c r="I5547" s="315"/>
      <c r="BA5547" s="30"/>
      <c r="BB5547" s="155"/>
      <c r="BC5547" s="314"/>
      <c r="BD5547" s="314"/>
      <c r="BE5547" s="314"/>
      <c r="BF5547" s="314"/>
      <c r="BG5547" s="314"/>
      <c r="BH5547" s="314"/>
      <c r="BI5547" s="314"/>
      <c r="BJ5547" s="314"/>
      <c r="BK5547" s="40"/>
      <c r="BL5547" s="40"/>
      <c r="BM5547" s="40"/>
      <c r="BN5547" s="40"/>
      <c r="BO5547" s="40"/>
      <c r="BP5547" s="155"/>
      <c r="BQ5547" s="314"/>
      <c r="BR5547" s="314"/>
      <c r="BS5547" s="314"/>
      <c r="BT5547" s="314"/>
      <c r="BU5547" s="314"/>
      <c r="BV5547" s="314"/>
      <c r="BW5547" s="314"/>
      <c r="BX5547" s="155"/>
    </row>
    <row r="5548" spans="1:76" ht="15.75" customHeight="1">
      <c r="A5548" s="25"/>
      <c r="B5548" s="39"/>
      <c r="C5548" s="155"/>
      <c r="D5548" s="155"/>
      <c r="E5548" s="40"/>
      <c r="F5548" s="314"/>
      <c r="H5548" s="315"/>
      <c r="I5548" s="315"/>
      <c r="BA5548" s="30"/>
      <c r="BB5548" s="155"/>
      <c r="BC5548" s="314"/>
      <c r="BD5548" s="314"/>
      <c r="BE5548" s="314"/>
      <c r="BF5548" s="314"/>
      <c r="BG5548" s="314"/>
      <c r="BH5548" s="314"/>
      <c r="BI5548" s="314"/>
      <c r="BJ5548" s="314"/>
      <c r="BK5548" s="40"/>
      <c r="BL5548" s="40"/>
      <c r="BM5548" s="40"/>
      <c r="BN5548" s="40"/>
      <c r="BO5548" s="40"/>
      <c r="BP5548" s="155"/>
      <c r="BQ5548" s="314"/>
      <c r="BR5548" s="314"/>
      <c r="BS5548" s="314"/>
      <c r="BT5548" s="314"/>
      <c r="BU5548" s="314"/>
      <c r="BV5548" s="314"/>
      <c r="BW5548" s="314"/>
      <c r="BX5548" s="155"/>
    </row>
    <row r="5549" spans="1:76" ht="15.75" customHeight="1">
      <c r="A5549" s="25"/>
      <c r="B5549" s="39"/>
      <c r="C5549" s="155"/>
      <c r="D5549" s="155"/>
      <c r="E5549" s="40"/>
      <c r="F5549" s="314"/>
      <c r="H5549" s="315"/>
      <c r="I5549" s="315"/>
      <c r="BA5549" s="30"/>
      <c r="BB5549" s="155"/>
      <c r="BC5549" s="322"/>
      <c r="BD5549" s="322"/>
      <c r="BE5549" s="322"/>
      <c r="BF5549" s="322"/>
      <c r="BG5549" s="322"/>
      <c r="BH5549" s="322"/>
      <c r="BI5549" s="322"/>
      <c r="BJ5549" s="322"/>
      <c r="BK5549" s="341"/>
      <c r="BL5549" s="40"/>
      <c r="BM5549" s="40"/>
      <c r="BN5549" s="40"/>
      <c r="BO5549" s="40"/>
      <c r="BP5549" s="155"/>
      <c r="BQ5549" s="314"/>
      <c r="BR5549" s="314"/>
      <c r="BS5549" s="314"/>
      <c r="BT5549" s="314"/>
      <c r="BU5549" s="314"/>
      <c r="BV5549" s="314"/>
      <c r="BW5549" s="314"/>
      <c r="BX5549" s="155"/>
    </row>
    <row r="5550" spans="1:76" ht="15.75" customHeight="1">
      <c r="A5550" s="25"/>
      <c r="B5550" s="39"/>
      <c r="C5550" s="155"/>
      <c r="D5550" s="155"/>
      <c r="E5550" s="40"/>
      <c r="F5550" s="314"/>
      <c r="H5550" s="315"/>
      <c r="I5550" s="315"/>
      <c r="BA5550" s="30"/>
      <c r="BB5550" s="155"/>
      <c r="BC5550" s="314"/>
      <c r="BD5550" s="314"/>
      <c r="BE5550" s="314"/>
      <c r="BF5550" s="314"/>
      <c r="BG5550" s="314"/>
      <c r="BH5550" s="314"/>
      <c r="BI5550" s="314"/>
      <c r="BJ5550" s="314"/>
      <c r="BK5550" s="40"/>
      <c r="BL5550" s="40"/>
      <c r="BM5550" s="40"/>
      <c r="BN5550" s="40"/>
      <c r="BO5550" s="40"/>
      <c r="BP5550" s="155"/>
      <c r="BQ5550" s="314"/>
      <c r="BR5550" s="314"/>
      <c r="BS5550" s="314"/>
      <c r="BT5550" s="314"/>
      <c r="BU5550" s="314"/>
      <c r="BV5550" s="314"/>
      <c r="BW5550" s="314"/>
      <c r="BX5550" s="155"/>
    </row>
    <row r="5551" spans="1:76" ht="15.75" customHeight="1">
      <c r="A5551" s="25"/>
      <c r="B5551" s="39"/>
      <c r="C5551" s="155"/>
      <c r="D5551" s="155"/>
      <c r="E5551" s="40"/>
      <c r="F5551" s="314"/>
      <c r="H5551" s="315"/>
      <c r="I5551" s="315"/>
      <c r="BA5551" s="30"/>
      <c r="BB5551" s="155"/>
      <c r="BC5551" s="314"/>
      <c r="BD5551" s="314"/>
      <c r="BE5551" s="314"/>
      <c r="BF5551" s="314"/>
      <c r="BG5551" s="314"/>
      <c r="BH5551" s="314"/>
      <c r="BI5551" s="314"/>
      <c r="BJ5551" s="314"/>
      <c r="BK5551" s="40"/>
      <c r="BL5551" s="40"/>
      <c r="BM5551" s="40"/>
      <c r="BN5551" s="40"/>
      <c r="BO5551" s="40"/>
      <c r="BP5551" s="155"/>
      <c r="BQ5551" s="314"/>
      <c r="BR5551" s="314"/>
      <c r="BS5551" s="314"/>
      <c r="BT5551" s="314"/>
      <c r="BU5551" s="314"/>
      <c r="BV5551" s="314"/>
      <c r="BW5551" s="314"/>
      <c r="BX5551" s="155"/>
    </row>
    <row r="5552" spans="1:76" ht="15.75" customHeight="1">
      <c r="A5552" s="25"/>
      <c r="B5552" s="39"/>
      <c r="C5552" s="155"/>
      <c r="D5552" s="155"/>
      <c r="E5552" s="40"/>
      <c r="F5552" s="314"/>
      <c r="H5552" s="315"/>
      <c r="I5552" s="315"/>
      <c r="BA5552" s="30"/>
      <c r="BB5552" s="155"/>
      <c r="BC5552" s="314"/>
      <c r="BD5552" s="314"/>
      <c r="BE5552" s="314"/>
      <c r="BF5552" s="314"/>
      <c r="BG5552" s="314"/>
      <c r="BH5552" s="314"/>
      <c r="BI5552" s="314"/>
      <c r="BJ5552" s="314"/>
      <c r="BK5552" s="40"/>
      <c r="BL5552" s="40"/>
      <c r="BM5552" s="40"/>
      <c r="BN5552" s="40"/>
      <c r="BO5552" s="40"/>
      <c r="BP5552" s="155"/>
      <c r="BQ5552" s="314"/>
      <c r="BR5552" s="314"/>
      <c r="BS5552" s="314"/>
      <c r="BT5552" s="314"/>
      <c r="BU5552" s="314"/>
      <c r="BV5552" s="314"/>
      <c r="BW5552" s="314"/>
      <c r="BX5552" s="155"/>
    </row>
    <row r="5553" spans="1:76" ht="15.75" customHeight="1">
      <c r="A5553" s="25"/>
      <c r="B5553" s="39"/>
      <c r="C5553" s="155"/>
      <c r="D5553" s="155"/>
      <c r="E5553" s="40"/>
      <c r="F5553" s="314"/>
      <c r="H5553" s="315"/>
      <c r="I5553" s="315"/>
      <c r="BA5553" s="30"/>
      <c r="BB5553" s="155"/>
      <c r="BC5553" s="314"/>
      <c r="BD5553" s="314"/>
      <c r="BE5553" s="314"/>
      <c r="BF5553" s="314"/>
      <c r="BG5553" s="314"/>
      <c r="BH5553" s="314"/>
      <c r="BI5553" s="314"/>
      <c r="BJ5553" s="314"/>
      <c r="BK5553" s="40"/>
      <c r="BL5553" s="40"/>
      <c r="BM5553" s="40"/>
      <c r="BN5553" s="40"/>
      <c r="BO5553" s="40"/>
      <c r="BP5553" s="155"/>
      <c r="BQ5553" s="314"/>
      <c r="BR5553" s="314"/>
      <c r="BS5553" s="314"/>
      <c r="BT5553" s="314"/>
      <c r="BU5553" s="314"/>
      <c r="BV5553" s="314"/>
      <c r="BW5553" s="314"/>
      <c r="BX5553" s="155"/>
    </row>
    <row r="5554" spans="1:76" ht="15.75" customHeight="1">
      <c r="A5554" s="25"/>
      <c r="B5554" s="39"/>
      <c r="C5554" s="155"/>
      <c r="D5554" s="155"/>
      <c r="E5554" s="40"/>
      <c r="F5554" s="314"/>
      <c r="H5554" s="315"/>
      <c r="I5554" s="315"/>
      <c r="BA5554" s="30"/>
      <c r="BB5554" s="155"/>
      <c r="BC5554" s="314"/>
      <c r="BD5554" s="314"/>
      <c r="BE5554" s="314"/>
      <c r="BF5554" s="314"/>
      <c r="BG5554" s="314"/>
      <c r="BH5554" s="314"/>
      <c r="BI5554" s="314"/>
      <c r="BJ5554" s="314"/>
      <c r="BK5554" s="40"/>
      <c r="BL5554" s="40"/>
      <c r="BM5554" s="40"/>
      <c r="BN5554" s="40"/>
      <c r="BO5554" s="40"/>
      <c r="BP5554" s="155"/>
      <c r="BQ5554" s="314"/>
      <c r="BR5554" s="314"/>
      <c r="BS5554" s="314"/>
      <c r="BT5554" s="314"/>
      <c r="BU5554" s="314"/>
      <c r="BV5554" s="314"/>
      <c r="BW5554" s="314"/>
      <c r="BX5554" s="155"/>
    </row>
    <row r="5555" spans="1:76" ht="15.75" customHeight="1">
      <c r="A5555" s="25"/>
      <c r="B5555" s="39"/>
      <c r="C5555" s="155"/>
      <c r="D5555" s="155"/>
      <c r="E5555" s="40"/>
      <c r="F5555" s="314"/>
      <c r="H5555" s="315"/>
      <c r="I5555" s="315"/>
      <c r="BA5555" s="30"/>
      <c r="BB5555" s="155"/>
      <c r="BC5555" s="314"/>
      <c r="BD5555" s="314"/>
      <c r="BE5555" s="314"/>
      <c r="BF5555" s="314"/>
      <c r="BG5555" s="314"/>
      <c r="BH5555" s="314"/>
      <c r="BI5555" s="314"/>
      <c r="BJ5555" s="314"/>
      <c r="BK5555" s="40"/>
      <c r="BL5555" s="40"/>
      <c r="BM5555" s="40"/>
      <c r="BN5555" s="40"/>
      <c r="BO5555" s="40"/>
      <c r="BP5555" s="155"/>
      <c r="BQ5555" s="314"/>
      <c r="BR5555" s="314"/>
      <c r="BS5555" s="314"/>
      <c r="BT5555" s="314"/>
      <c r="BU5555" s="314"/>
      <c r="BV5555" s="314"/>
      <c r="BW5555" s="314"/>
      <c r="BX5555" s="155"/>
    </row>
    <row r="5556" spans="1:76" ht="15.75" customHeight="1">
      <c r="A5556" s="25"/>
      <c r="B5556" s="39"/>
      <c r="C5556" s="155"/>
      <c r="D5556" s="155"/>
      <c r="E5556" s="40"/>
      <c r="F5556" s="314"/>
      <c r="H5556" s="315"/>
      <c r="I5556" s="315"/>
      <c r="BA5556" s="30"/>
      <c r="BB5556" s="155"/>
      <c r="BC5556" s="314"/>
      <c r="BD5556" s="314"/>
      <c r="BE5556" s="314"/>
      <c r="BF5556" s="314"/>
      <c r="BG5556" s="314"/>
      <c r="BH5556" s="314"/>
      <c r="BI5556" s="314"/>
      <c r="BJ5556" s="314"/>
      <c r="BK5556" s="40"/>
      <c r="BL5556" s="40"/>
      <c r="BM5556" s="40"/>
      <c r="BN5556" s="40"/>
      <c r="BO5556" s="40"/>
      <c r="BP5556" s="155"/>
      <c r="BQ5556" s="314"/>
      <c r="BR5556" s="314"/>
      <c r="BS5556" s="314"/>
      <c r="BT5556" s="314"/>
      <c r="BU5556" s="314"/>
      <c r="BV5556" s="314"/>
      <c r="BW5556" s="314"/>
      <c r="BX5556" s="155"/>
    </row>
    <row r="5557" spans="1:76" ht="15.75" customHeight="1">
      <c r="A5557" s="25"/>
      <c r="B5557" s="39"/>
      <c r="C5557" s="155"/>
      <c r="D5557" s="155"/>
      <c r="E5557" s="40"/>
      <c r="F5557" s="314"/>
      <c r="H5557" s="315"/>
      <c r="I5557" s="315"/>
      <c r="BA5557" s="30"/>
      <c r="BB5557" s="155"/>
      <c r="BC5557" s="314"/>
      <c r="BD5557" s="314"/>
      <c r="BE5557" s="314"/>
      <c r="BF5557" s="314"/>
      <c r="BG5557" s="314"/>
      <c r="BH5557" s="314"/>
      <c r="BI5557" s="314"/>
      <c r="BJ5557" s="314"/>
      <c r="BK5557" s="40"/>
      <c r="BL5557" s="40"/>
      <c r="BM5557" s="40"/>
      <c r="BN5557" s="40"/>
      <c r="BO5557" s="40"/>
      <c r="BP5557" s="155"/>
      <c r="BQ5557" s="314"/>
      <c r="BR5557" s="314"/>
      <c r="BS5557" s="314"/>
      <c r="BT5557" s="314"/>
      <c r="BU5557" s="314"/>
      <c r="BV5557" s="314"/>
      <c r="BW5557" s="314"/>
      <c r="BX5557" s="155"/>
    </row>
    <row r="5558" spans="1:76" ht="15.75" customHeight="1">
      <c r="A5558" s="25"/>
      <c r="B5558" s="39"/>
      <c r="C5558" s="155"/>
      <c r="D5558" s="155"/>
      <c r="E5558" s="40"/>
      <c r="F5558" s="314"/>
      <c r="H5558" s="315"/>
      <c r="I5558" s="315"/>
      <c r="BA5558" s="30"/>
      <c r="BB5558" s="155"/>
      <c r="BC5558" s="314"/>
      <c r="BD5558" s="314"/>
      <c r="BE5558" s="314"/>
      <c r="BF5558" s="314"/>
      <c r="BG5558" s="314"/>
      <c r="BH5558" s="314"/>
      <c r="BI5558" s="314"/>
      <c r="BJ5558" s="314"/>
      <c r="BK5558" s="40"/>
      <c r="BL5558" s="40"/>
      <c r="BM5558" s="40"/>
      <c r="BN5558" s="40"/>
      <c r="BO5558" s="40"/>
      <c r="BP5558" s="155"/>
      <c r="BQ5558" s="314"/>
      <c r="BR5558" s="314"/>
      <c r="BS5558" s="314"/>
      <c r="BT5558" s="314"/>
      <c r="BU5558" s="314"/>
      <c r="BV5558" s="314"/>
      <c r="BW5558" s="314"/>
      <c r="BX5558" s="155"/>
    </row>
    <row r="5559" spans="1:76" ht="15.75" customHeight="1">
      <c r="A5559" s="25"/>
      <c r="B5559" s="39"/>
      <c r="C5559" s="155"/>
      <c r="D5559" s="155"/>
      <c r="E5559" s="40"/>
      <c r="F5559" s="314"/>
      <c r="H5559" s="315"/>
      <c r="I5559" s="315"/>
      <c r="BA5559" s="30"/>
      <c r="BB5559" s="155"/>
      <c r="BC5559" s="314"/>
      <c r="BD5559" s="314"/>
      <c r="BE5559" s="314"/>
      <c r="BF5559" s="314"/>
      <c r="BG5559" s="314"/>
      <c r="BH5559" s="314"/>
      <c r="BI5559" s="314"/>
      <c r="BJ5559" s="314"/>
      <c r="BK5559" s="40"/>
      <c r="BL5559" s="40"/>
      <c r="BM5559" s="40"/>
      <c r="BN5559" s="40"/>
      <c r="BO5559" s="40"/>
      <c r="BP5559" s="155"/>
      <c r="BQ5559" s="314"/>
      <c r="BR5559" s="314"/>
      <c r="BS5559" s="314"/>
      <c r="BT5559" s="314"/>
      <c r="BU5559" s="314"/>
      <c r="BV5559" s="314"/>
      <c r="BW5559" s="314"/>
      <c r="BX5559" s="155"/>
    </row>
    <row r="5560" spans="1:76" ht="15.75" customHeight="1">
      <c r="A5560" s="25"/>
      <c r="B5560" s="39"/>
      <c r="C5560" s="155"/>
      <c r="D5560" s="155"/>
      <c r="E5560" s="40"/>
      <c r="F5560" s="314"/>
      <c r="H5560" s="315"/>
      <c r="I5560" s="315"/>
      <c r="BA5560" s="30"/>
      <c r="BB5560" s="155"/>
      <c r="BC5560" s="314"/>
      <c r="BD5560" s="314"/>
      <c r="BE5560" s="314"/>
      <c r="BF5560" s="314"/>
      <c r="BG5560" s="314"/>
      <c r="BH5560" s="314"/>
      <c r="BI5560" s="314"/>
      <c r="BJ5560" s="314"/>
      <c r="BK5560" s="40"/>
      <c r="BL5560" s="40"/>
      <c r="BM5560" s="40"/>
      <c r="BN5560" s="40"/>
      <c r="BO5560" s="40"/>
      <c r="BP5560" s="155"/>
      <c r="BQ5560" s="314"/>
      <c r="BR5560" s="314"/>
      <c r="BS5560" s="314"/>
      <c r="BT5560" s="314"/>
      <c r="BU5560" s="314"/>
      <c r="BV5560" s="314"/>
      <c r="BW5560" s="314"/>
      <c r="BX5560" s="155"/>
    </row>
    <row r="5561" spans="1:76" ht="15.75" customHeight="1">
      <c r="A5561" s="25"/>
      <c r="B5561" s="39"/>
      <c r="C5561" s="155"/>
      <c r="D5561" s="155"/>
      <c r="E5561" s="40"/>
      <c r="F5561" s="314"/>
      <c r="H5561" s="315"/>
      <c r="I5561" s="315"/>
      <c r="BA5561" s="30"/>
      <c r="BB5561" s="155"/>
      <c r="BC5561" s="314"/>
      <c r="BD5561" s="314"/>
      <c r="BE5561" s="314"/>
      <c r="BF5561" s="314"/>
      <c r="BG5561" s="314"/>
      <c r="BH5561" s="314"/>
      <c r="BI5561" s="314"/>
      <c r="BJ5561" s="314"/>
      <c r="BK5561" s="40"/>
      <c r="BL5561" s="40"/>
      <c r="BM5561" s="40"/>
      <c r="BN5561" s="40"/>
      <c r="BO5561" s="40"/>
      <c r="BP5561" s="155"/>
      <c r="BQ5561" s="314"/>
      <c r="BR5561" s="314"/>
      <c r="BS5561" s="314"/>
      <c r="BT5561" s="314"/>
      <c r="BU5561" s="314"/>
      <c r="BV5561" s="314"/>
      <c r="BW5561" s="314"/>
      <c r="BX5561" s="155"/>
    </row>
    <row r="5562" spans="1:76" ht="15.75" customHeight="1">
      <c r="A5562" s="25"/>
      <c r="B5562" s="39"/>
      <c r="C5562" s="155"/>
      <c r="D5562" s="155"/>
      <c r="E5562" s="40"/>
      <c r="F5562" s="314"/>
      <c r="H5562" s="315"/>
      <c r="I5562" s="315"/>
      <c r="BA5562" s="30"/>
      <c r="BB5562" s="155"/>
      <c r="BC5562" s="314"/>
      <c r="BD5562" s="314"/>
      <c r="BE5562" s="314"/>
      <c r="BF5562" s="314"/>
      <c r="BG5562" s="314"/>
      <c r="BH5562" s="314"/>
      <c r="BI5562" s="314"/>
      <c r="BJ5562" s="314"/>
      <c r="BK5562" s="40"/>
      <c r="BL5562" s="40"/>
      <c r="BM5562" s="40"/>
      <c r="BN5562" s="40"/>
      <c r="BO5562" s="40"/>
      <c r="BP5562" s="155"/>
      <c r="BQ5562" s="314"/>
      <c r="BR5562" s="314"/>
      <c r="BS5562" s="314"/>
      <c r="BT5562" s="314"/>
      <c r="BU5562" s="314"/>
      <c r="BV5562" s="314"/>
      <c r="BW5562" s="314"/>
      <c r="BX5562" s="155"/>
    </row>
    <row r="5563" spans="1:76" ht="15.75" customHeight="1">
      <c r="A5563" s="25"/>
      <c r="B5563" s="39"/>
      <c r="C5563" s="155"/>
      <c r="D5563" s="155"/>
      <c r="E5563" s="40"/>
      <c r="F5563" s="314"/>
      <c r="H5563" s="315"/>
      <c r="I5563" s="315"/>
      <c r="BA5563" s="30"/>
      <c r="BB5563" s="155"/>
      <c r="BC5563" s="314"/>
      <c r="BD5563" s="314"/>
      <c r="BE5563" s="314"/>
      <c r="BF5563" s="314"/>
      <c r="BG5563" s="314"/>
      <c r="BH5563" s="314"/>
      <c r="BI5563" s="314"/>
      <c r="BJ5563" s="314"/>
      <c r="BK5563" s="40"/>
      <c r="BL5563" s="40"/>
      <c r="BM5563" s="40"/>
      <c r="BN5563" s="40"/>
      <c r="BO5563" s="40"/>
      <c r="BP5563" s="155"/>
      <c r="BQ5563" s="314"/>
      <c r="BR5563" s="314"/>
      <c r="BS5563" s="314"/>
      <c r="BT5563" s="314"/>
      <c r="BU5563" s="314"/>
      <c r="BV5563" s="314"/>
      <c r="BW5563" s="314"/>
      <c r="BX5563" s="155"/>
    </row>
    <row r="5564" spans="1:76" ht="15.75" customHeight="1">
      <c r="A5564" s="25"/>
      <c r="B5564" s="39"/>
      <c r="C5564" s="155"/>
      <c r="D5564" s="155"/>
      <c r="E5564" s="40"/>
      <c r="F5564" s="314"/>
      <c r="H5564" s="315"/>
      <c r="I5564" s="315"/>
      <c r="BA5564" s="30"/>
      <c r="BB5564" s="155"/>
      <c r="BC5564" s="314"/>
      <c r="BD5564" s="314"/>
      <c r="BE5564" s="314"/>
      <c r="BF5564" s="314"/>
      <c r="BG5564" s="314"/>
      <c r="BH5564" s="314"/>
      <c r="BI5564" s="314"/>
      <c r="BJ5564" s="314"/>
      <c r="BK5564" s="40"/>
      <c r="BL5564" s="40"/>
      <c r="BM5564" s="40"/>
      <c r="BN5564" s="40"/>
      <c r="BO5564" s="40"/>
      <c r="BP5564" s="155"/>
      <c r="BQ5564" s="314"/>
      <c r="BR5564" s="314"/>
      <c r="BS5564" s="314"/>
      <c r="BT5564" s="314"/>
      <c r="BU5564" s="314"/>
      <c r="BV5564" s="314"/>
      <c r="BW5564" s="314"/>
      <c r="BX5564" s="155"/>
    </row>
    <row r="5565" spans="1:76" ht="15.75" customHeight="1">
      <c r="A5565" s="25"/>
      <c r="B5565" s="39"/>
      <c r="C5565" s="155"/>
      <c r="D5565" s="155"/>
      <c r="E5565" s="40"/>
      <c r="F5565" s="314"/>
      <c r="H5565" s="315"/>
      <c r="I5565" s="315"/>
      <c r="BA5565" s="30"/>
      <c r="BB5565" s="155"/>
      <c r="BC5565" s="314"/>
      <c r="BD5565" s="314"/>
      <c r="BE5565" s="314"/>
      <c r="BF5565" s="314"/>
      <c r="BG5565" s="314"/>
      <c r="BH5565" s="314"/>
      <c r="BI5565" s="314"/>
      <c r="BJ5565" s="314"/>
      <c r="BK5565" s="40"/>
      <c r="BL5565" s="40"/>
      <c r="BM5565" s="40"/>
      <c r="BN5565" s="40"/>
      <c r="BO5565" s="40"/>
      <c r="BP5565" s="155"/>
      <c r="BQ5565" s="314"/>
      <c r="BR5565" s="314"/>
      <c r="BS5565" s="314"/>
      <c r="BT5565" s="314"/>
      <c r="BU5565" s="314"/>
      <c r="BV5565" s="314"/>
      <c r="BW5565" s="314"/>
      <c r="BX5565" s="155"/>
    </row>
    <row r="5566" spans="1:76" ht="15.75" customHeight="1">
      <c r="A5566" s="25"/>
      <c r="B5566" s="39"/>
      <c r="C5566" s="155"/>
      <c r="D5566" s="155"/>
      <c r="E5566" s="40"/>
      <c r="F5566" s="314"/>
      <c r="H5566" s="315"/>
      <c r="I5566" s="315"/>
      <c r="BA5566" s="30"/>
      <c r="BB5566" s="155"/>
      <c r="BC5566" s="314"/>
      <c r="BD5566" s="314"/>
      <c r="BE5566" s="314"/>
      <c r="BF5566" s="314"/>
      <c r="BG5566" s="314"/>
      <c r="BH5566" s="314"/>
      <c r="BI5566" s="314"/>
      <c r="BJ5566" s="314"/>
      <c r="BK5566" s="40"/>
      <c r="BL5566" s="40"/>
      <c r="BM5566" s="40"/>
      <c r="BN5566" s="40"/>
      <c r="BO5566" s="40"/>
      <c r="BP5566" s="155"/>
      <c r="BQ5566" s="314"/>
      <c r="BR5566" s="314"/>
      <c r="BS5566" s="314"/>
      <c r="BT5566" s="314"/>
      <c r="BU5566" s="314"/>
      <c r="BV5566" s="314"/>
      <c r="BW5566" s="314"/>
      <c r="BX5566" s="155"/>
    </row>
    <row r="5567" spans="1:76" ht="15.75" customHeight="1">
      <c r="A5567" s="25"/>
      <c r="B5567" s="39"/>
      <c r="C5567" s="155"/>
      <c r="D5567" s="155"/>
      <c r="E5567" s="40"/>
      <c r="F5567" s="314"/>
      <c r="H5567" s="315"/>
      <c r="I5567" s="315"/>
      <c r="BA5567" s="30"/>
      <c r="BB5567" s="155"/>
      <c r="BC5567" s="322"/>
      <c r="BD5567" s="322"/>
      <c r="BE5567" s="322"/>
      <c r="BF5567" s="322"/>
      <c r="BG5567" s="322"/>
      <c r="BH5567" s="322"/>
      <c r="BI5567" s="322"/>
      <c r="BJ5567" s="322"/>
      <c r="BK5567" s="341"/>
      <c r="BL5567" s="40"/>
      <c r="BM5567" s="40"/>
      <c r="BN5567" s="40"/>
      <c r="BO5567" s="40"/>
      <c r="BP5567" s="155"/>
      <c r="BQ5567" s="314"/>
      <c r="BR5567" s="314"/>
      <c r="BS5567" s="314"/>
      <c r="BT5567" s="314"/>
      <c r="BU5567" s="314"/>
      <c r="BV5567" s="314"/>
      <c r="BW5567" s="314"/>
      <c r="BX5567" s="155"/>
    </row>
    <row r="5568" spans="1:76" ht="15.75" customHeight="1">
      <c r="A5568" s="25"/>
      <c r="B5568" s="39"/>
      <c r="C5568" s="155"/>
      <c r="D5568" s="155"/>
      <c r="E5568" s="40"/>
      <c r="F5568" s="314"/>
      <c r="H5568" s="315"/>
      <c r="I5568" s="315"/>
      <c r="BA5568" s="30"/>
      <c r="BB5568" s="155"/>
      <c r="BC5568" s="314"/>
      <c r="BD5568" s="314"/>
      <c r="BE5568" s="314"/>
      <c r="BF5568" s="314"/>
      <c r="BG5568" s="314"/>
      <c r="BH5568" s="314"/>
      <c r="BI5568" s="314"/>
      <c r="BJ5568" s="314"/>
      <c r="BK5568" s="40"/>
      <c r="BL5568" s="40"/>
      <c r="BM5568" s="40"/>
      <c r="BN5568" s="40"/>
      <c r="BO5568" s="40"/>
      <c r="BP5568" s="155"/>
      <c r="BQ5568" s="314"/>
      <c r="BR5568" s="314"/>
      <c r="BS5568" s="314"/>
      <c r="BT5568" s="314"/>
      <c r="BU5568" s="314"/>
      <c r="BV5568" s="314"/>
      <c r="BW5568" s="314"/>
      <c r="BX5568" s="155"/>
    </row>
    <row r="5569" spans="1:76" ht="15.75" customHeight="1">
      <c r="A5569" s="25"/>
      <c r="B5569" s="39"/>
      <c r="C5569" s="155"/>
      <c r="D5569" s="155"/>
      <c r="E5569" s="40"/>
      <c r="F5569" s="314"/>
      <c r="H5569" s="315"/>
      <c r="I5569" s="315"/>
      <c r="BA5569" s="30"/>
      <c r="BB5569" s="155"/>
      <c r="BC5569" s="314"/>
      <c r="BD5569" s="314"/>
      <c r="BE5569" s="314"/>
      <c r="BF5569" s="314"/>
      <c r="BG5569" s="314"/>
      <c r="BH5569" s="314"/>
      <c r="BI5569" s="314"/>
      <c r="BJ5569" s="314"/>
      <c r="BK5569" s="40"/>
      <c r="BL5569" s="40"/>
      <c r="BM5569" s="40"/>
      <c r="BN5569" s="40"/>
      <c r="BO5569" s="40"/>
      <c r="BP5569" s="155"/>
      <c r="BQ5569" s="314"/>
      <c r="BR5569" s="314"/>
      <c r="BS5569" s="314"/>
      <c r="BT5569" s="314"/>
      <c r="BU5569" s="314"/>
      <c r="BV5569" s="314"/>
      <c r="BW5569" s="314"/>
      <c r="BX5569" s="155"/>
    </row>
    <row r="5570" spans="1:76" ht="15.75" customHeight="1">
      <c r="A5570" s="25"/>
      <c r="B5570" s="39"/>
      <c r="C5570" s="155"/>
      <c r="D5570" s="155"/>
      <c r="E5570" s="40"/>
      <c r="F5570" s="314"/>
      <c r="H5570" s="315"/>
      <c r="I5570" s="315"/>
      <c r="BA5570" s="30"/>
      <c r="BB5570" s="155"/>
      <c r="BC5570" s="314"/>
      <c r="BD5570" s="314"/>
      <c r="BE5570" s="314"/>
      <c r="BF5570" s="314"/>
      <c r="BG5570" s="314"/>
      <c r="BH5570" s="314"/>
      <c r="BI5570" s="314"/>
      <c r="BJ5570" s="314"/>
      <c r="BK5570" s="40"/>
      <c r="BL5570" s="40"/>
      <c r="BM5570" s="40"/>
      <c r="BN5570" s="40"/>
      <c r="BO5570" s="40"/>
      <c r="BP5570" s="155"/>
      <c r="BQ5570" s="314"/>
      <c r="BR5570" s="314"/>
      <c r="BS5570" s="314"/>
      <c r="BT5570" s="314"/>
      <c r="BU5570" s="314"/>
      <c r="BV5570" s="314"/>
      <c r="BW5570" s="314"/>
      <c r="BX5570" s="155"/>
    </row>
    <row r="5571" spans="1:76" ht="15.75" customHeight="1">
      <c r="A5571" s="25"/>
      <c r="B5571" s="39"/>
      <c r="C5571" s="155"/>
      <c r="D5571" s="155"/>
      <c r="E5571" s="40"/>
      <c r="F5571" s="314"/>
      <c r="H5571" s="315"/>
      <c r="I5571" s="315"/>
      <c r="BA5571" s="30"/>
      <c r="BB5571" s="155"/>
      <c r="BC5571" s="314"/>
      <c r="BD5571" s="314"/>
      <c r="BE5571" s="314"/>
      <c r="BF5571" s="314"/>
      <c r="BG5571" s="314"/>
      <c r="BH5571" s="314"/>
      <c r="BI5571" s="314"/>
      <c r="BJ5571" s="314"/>
      <c r="BK5571" s="40"/>
      <c r="BL5571" s="40"/>
      <c r="BM5571" s="40"/>
      <c r="BN5571" s="40"/>
      <c r="BO5571" s="40"/>
      <c r="BP5571" s="155"/>
      <c r="BQ5571" s="314"/>
      <c r="BR5571" s="314"/>
      <c r="BS5571" s="314"/>
      <c r="BT5571" s="314"/>
      <c r="BU5571" s="314"/>
      <c r="BV5571" s="314"/>
      <c r="BW5571" s="314"/>
      <c r="BX5571" s="155"/>
    </row>
    <row r="5572" spans="1:76" ht="15.75" customHeight="1">
      <c r="A5572" s="25"/>
      <c r="B5572" s="39"/>
      <c r="C5572" s="155"/>
      <c r="D5572" s="155"/>
      <c r="E5572" s="40"/>
      <c r="F5572" s="314"/>
      <c r="H5572" s="315"/>
      <c r="I5572" s="315"/>
      <c r="BA5572" s="30"/>
      <c r="BB5572" s="155"/>
      <c r="BC5572" s="314"/>
      <c r="BD5572" s="314"/>
      <c r="BE5572" s="314"/>
      <c r="BF5572" s="314"/>
      <c r="BG5572" s="314"/>
      <c r="BH5572" s="314"/>
      <c r="BI5572" s="314"/>
      <c r="BJ5572" s="314"/>
      <c r="BK5572" s="40"/>
      <c r="BL5572" s="40"/>
      <c r="BM5572" s="40"/>
      <c r="BN5572" s="40"/>
      <c r="BO5572" s="40"/>
      <c r="BP5572" s="155"/>
      <c r="BQ5572" s="314"/>
      <c r="BR5572" s="314"/>
      <c r="BS5572" s="314"/>
      <c r="BT5572" s="314"/>
      <c r="BU5572" s="314"/>
      <c r="BV5572" s="314"/>
      <c r="BW5572" s="314"/>
      <c r="BX5572" s="155"/>
    </row>
    <row r="5573" spans="1:76" ht="15.75" customHeight="1">
      <c r="A5573" s="25"/>
      <c r="B5573" s="39"/>
      <c r="C5573" s="155"/>
      <c r="D5573" s="155"/>
      <c r="E5573" s="40"/>
      <c r="F5573" s="314"/>
      <c r="H5573" s="315"/>
      <c r="I5573" s="315"/>
      <c r="BA5573" s="30"/>
      <c r="BB5573" s="155"/>
      <c r="BC5573" s="314"/>
      <c r="BD5573" s="314"/>
      <c r="BE5573" s="314"/>
      <c r="BF5573" s="314"/>
      <c r="BG5573" s="314"/>
      <c r="BH5573" s="314"/>
      <c r="BI5573" s="314"/>
      <c r="BJ5573" s="314"/>
      <c r="BK5573" s="40"/>
      <c r="BL5573" s="40"/>
      <c r="BM5573" s="40"/>
      <c r="BN5573" s="40"/>
      <c r="BO5573" s="40"/>
      <c r="BP5573" s="155"/>
      <c r="BQ5573" s="314"/>
      <c r="BR5573" s="314"/>
      <c r="BS5573" s="314"/>
      <c r="BT5573" s="314"/>
      <c r="BU5573" s="314"/>
      <c r="BV5573" s="314"/>
      <c r="BW5573" s="314"/>
      <c r="BX5573" s="155"/>
    </row>
    <row r="5574" spans="1:76" ht="15.75" customHeight="1">
      <c r="A5574" s="25"/>
      <c r="B5574" s="39"/>
      <c r="C5574" s="155"/>
      <c r="D5574" s="155"/>
      <c r="E5574" s="40"/>
      <c r="F5574" s="314"/>
      <c r="H5574" s="315"/>
      <c r="I5574" s="315"/>
      <c r="BA5574" s="30"/>
      <c r="BB5574" s="155"/>
      <c r="BC5574" s="314"/>
      <c r="BD5574" s="314"/>
      <c r="BE5574" s="314"/>
      <c r="BF5574" s="314"/>
      <c r="BG5574" s="314"/>
      <c r="BH5574" s="314"/>
      <c r="BI5574" s="314"/>
      <c r="BJ5574" s="314"/>
      <c r="BK5574" s="40"/>
      <c r="BL5574" s="40"/>
      <c r="BM5574" s="40"/>
      <c r="BN5574" s="40"/>
      <c r="BO5574" s="40"/>
      <c r="BP5574" s="155"/>
      <c r="BQ5574" s="314"/>
      <c r="BR5574" s="314"/>
      <c r="BS5574" s="314"/>
      <c r="BT5574" s="314"/>
      <c r="BU5574" s="314"/>
      <c r="BV5574" s="314"/>
      <c r="BW5574" s="314"/>
      <c r="BX5574" s="155"/>
    </row>
    <row r="5575" spans="1:76" ht="15.75" customHeight="1">
      <c r="A5575" s="25"/>
      <c r="B5575" s="39"/>
      <c r="C5575" s="155"/>
      <c r="D5575" s="155"/>
      <c r="E5575" s="40"/>
      <c r="F5575" s="314"/>
      <c r="H5575" s="315"/>
      <c r="I5575" s="315"/>
      <c r="BA5575" s="30"/>
      <c r="BB5575" s="155"/>
      <c r="BC5575" s="314"/>
      <c r="BD5575" s="314"/>
      <c r="BE5575" s="314"/>
      <c r="BF5575" s="314"/>
      <c r="BG5575" s="314"/>
      <c r="BH5575" s="314"/>
      <c r="BI5575" s="314"/>
      <c r="BJ5575" s="314"/>
      <c r="BK5575" s="40"/>
      <c r="BL5575" s="40"/>
      <c r="BM5575" s="40"/>
      <c r="BN5575" s="40"/>
      <c r="BO5575" s="40"/>
      <c r="BP5575" s="155"/>
      <c r="BQ5575" s="314"/>
      <c r="BR5575" s="314"/>
      <c r="BS5575" s="314"/>
      <c r="BT5575" s="314"/>
      <c r="BU5575" s="314"/>
      <c r="BV5575" s="314"/>
      <c r="BW5575" s="314"/>
      <c r="BX5575" s="155"/>
    </row>
    <row r="5576" spans="1:76" ht="15.75" customHeight="1">
      <c r="A5576" s="25"/>
      <c r="B5576" s="39"/>
      <c r="C5576" s="155"/>
      <c r="D5576" s="155"/>
      <c r="E5576" s="40"/>
      <c r="F5576" s="314"/>
      <c r="H5576" s="315"/>
      <c r="I5576" s="315"/>
      <c r="BA5576" s="30"/>
      <c r="BB5576" s="155"/>
      <c r="BC5576" s="314"/>
      <c r="BD5576" s="314"/>
      <c r="BE5576" s="314"/>
      <c r="BF5576" s="314"/>
      <c r="BG5576" s="314"/>
      <c r="BH5576" s="314"/>
      <c r="BI5576" s="314"/>
      <c r="BJ5576" s="314"/>
      <c r="BK5576" s="40"/>
      <c r="BL5576" s="40"/>
      <c r="BM5576" s="40"/>
      <c r="BN5576" s="40"/>
      <c r="BO5576" s="40"/>
      <c r="BP5576" s="155"/>
      <c r="BQ5576" s="314"/>
      <c r="BR5576" s="314"/>
      <c r="BS5576" s="314"/>
      <c r="BT5576" s="314"/>
      <c r="BU5576" s="314"/>
      <c r="BV5576" s="314"/>
      <c r="BW5576" s="314"/>
      <c r="BX5576" s="155"/>
    </row>
    <row r="5577" spans="1:76" ht="15.75" customHeight="1">
      <c r="A5577" s="25"/>
      <c r="B5577" s="39"/>
      <c r="C5577" s="155"/>
      <c r="D5577" s="155"/>
      <c r="E5577" s="40"/>
      <c r="F5577" s="314"/>
      <c r="H5577" s="315"/>
      <c r="I5577" s="315"/>
      <c r="BA5577" s="30"/>
      <c r="BB5577" s="155"/>
      <c r="BC5577" s="314"/>
      <c r="BD5577" s="314"/>
      <c r="BE5577" s="314"/>
      <c r="BF5577" s="314"/>
      <c r="BG5577" s="314"/>
      <c r="BH5577" s="314"/>
      <c r="BI5577" s="314"/>
      <c r="BJ5577" s="314"/>
      <c r="BK5577" s="40"/>
      <c r="BL5577" s="40"/>
      <c r="BM5577" s="40"/>
      <c r="BN5577" s="40"/>
      <c r="BO5577" s="40"/>
      <c r="BP5577" s="155"/>
      <c r="BQ5577" s="314"/>
      <c r="BR5577" s="314"/>
      <c r="BS5577" s="314"/>
      <c r="BT5577" s="314"/>
      <c r="BU5577" s="314"/>
      <c r="BV5577" s="314"/>
      <c r="BW5577" s="314"/>
      <c r="BX5577" s="155"/>
    </row>
    <row r="5578" spans="1:76" ht="15.75" customHeight="1">
      <c r="A5578" s="25"/>
      <c r="B5578" s="39"/>
      <c r="C5578" s="155"/>
      <c r="D5578" s="155"/>
      <c r="E5578" s="40"/>
      <c r="F5578" s="314"/>
      <c r="H5578" s="315"/>
      <c r="I5578" s="315"/>
      <c r="BA5578" s="30"/>
      <c r="BB5578" s="155"/>
      <c r="BC5578" s="314"/>
      <c r="BD5578" s="314"/>
      <c r="BE5578" s="314"/>
      <c r="BF5578" s="314"/>
      <c r="BG5578" s="314"/>
      <c r="BH5578" s="314"/>
      <c r="BI5578" s="314"/>
      <c r="BJ5578" s="314"/>
      <c r="BK5578" s="40"/>
      <c r="BL5578" s="40"/>
      <c r="BM5578" s="40"/>
      <c r="BN5578" s="40"/>
      <c r="BO5578" s="40"/>
      <c r="BP5578" s="155"/>
      <c r="BQ5578" s="314"/>
      <c r="BR5578" s="314"/>
      <c r="BS5578" s="314"/>
      <c r="BT5578" s="314"/>
      <c r="BU5578" s="314"/>
      <c r="BV5578" s="314"/>
      <c r="BW5578" s="314"/>
      <c r="BX5578" s="155"/>
    </row>
    <row r="5579" spans="1:76" ht="15.75" customHeight="1">
      <c r="A5579" s="25"/>
      <c r="B5579" s="39"/>
      <c r="C5579" s="155"/>
      <c r="D5579" s="155"/>
      <c r="E5579" s="40"/>
      <c r="F5579" s="314"/>
      <c r="H5579" s="315"/>
      <c r="I5579" s="315"/>
      <c r="BA5579" s="30"/>
      <c r="BB5579" s="155"/>
      <c r="BC5579" s="314"/>
      <c r="BD5579" s="314"/>
      <c r="BE5579" s="314"/>
      <c r="BF5579" s="314"/>
      <c r="BG5579" s="314"/>
      <c r="BH5579" s="314"/>
      <c r="BI5579" s="314"/>
      <c r="BJ5579" s="314"/>
      <c r="BK5579" s="40"/>
      <c r="BL5579" s="40"/>
      <c r="BM5579" s="40"/>
      <c r="BN5579" s="40"/>
      <c r="BO5579" s="40"/>
      <c r="BP5579" s="155"/>
      <c r="BQ5579" s="314"/>
      <c r="BR5579" s="314"/>
      <c r="BS5579" s="314"/>
      <c r="BT5579" s="314"/>
      <c r="BU5579" s="314"/>
      <c r="BV5579" s="314"/>
      <c r="BW5579" s="314"/>
      <c r="BX5579" s="155"/>
    </row>
    <row r="5580" spans="1:76" ht="15.75" customHeight="1">
      <c r="A5580" s="25"/>
      <c r="B5580" s="39"/>
      <c r="C5580" s="155"/>
      <c r="D5580" s="155"/>
      <c r="E5580" s="40"/>
      <c r="F5580" s="314"/>
      <c r="H5580" s="315"/>
      <c r="I5580" s="315"/>
      <c r="BA5580" s="30"/>
      <c r="BB5580" s="155"/>
      <c r="BC5580" s="314"/>
      <c r="BD5580" s="314"/>
      <c r="BE5580" s="314"/>
      <c r="BF5580" s="314"/>
      <c r="BG5580" s="314"/>
      <c r="BH5580" s="314"/>
      <c r="BI5580" s="314"/>
      <c r="BJ5580" s="314"/>
      <c r="BK5580" s="40"/>
      <c r="BL5580" s="40"/>
      <c r="BM5580" s="40"/>
      <c r="BN5580" s="40"/>
      <c r="BO5580" s="40"/>
      <c r="BP5580" s="155"/>
      <c r="BQ5580" s="314"/>
      <c r="BR5580" s="314"/>
      <c r="BS5580" s="314"/>
      <c r="BT5580" s="314"/>
      <c r="BU5580" s="314"/>
      <c r="BV5580" s="314"/>
      <c r="BW5580" s="314"/>
      <c r="BX5580" s="155"/>
    </row>
    <row r="5581" spans="1:76" ht="15.75" customHeight="1">
      <c r="A5581" s="25"/>
      <c r="B5581" s="39"/>
      <c r="C5581" s="155"/>
      <c r="D5581" s="155"/>
      <c r="E5581" s="40"/>
      <c r="F5581" s="314"/>
      <c r="H5581" s="315"/>
      <c r="I5581" s="315"/>
      <c r="BA5581" s="30"/>
      <c r="BB5581" s="155"/>
      <c r="BC5581" s="314"/>
      <c r="BD5581" s="314"/>
      <c r="BE5581" s="314"/>
      <c r="BF5581" s="314"/>
      <c r="BG5581" s="314"/>
      <c r="BH5581" s="314"/>
      <c r="BI5581" s="314"/>
      <c r="BJ5581" s="314"/>
      <c r="BK5581" s="40"/>
      <c r="BL5581" s="40"/>
      <c r="BM5581" s="40"/>
      <c r="BN5581" s="40"/>
      <c r="BO5581" s="40"/>
      <c r="BP5581" s="155"/>
      <c r="BQ5581" s="314"/>
      <c r="BR5581" s="314"/>
      <c r="BS5581" s="314"/>
      <c r="BT5581" s="314"/>
      <c r="BU5581" s="314"/>
      <c r="BV5581" s="314"/>
      <c r="BW5581" s="314"/>
      <c r="BX5581" s="155"/>
    </row>
    <row r="5582" spans="1:76" ht="15.75" customHeight="1">
      <c r="A5582" s="25"/>
      <c r="B5582" s="39"/>
      <c r="C5582" s="155"/>
      <c r="D5582" s="155"/>
      <c r="E5582" s="40"/>
      <c r="F5582" s="314"/>
      <c r="H5582" s="315"/>
      <c r="I5582" s="315"/>
      <c r="BA5582" s="30"/>
      <c r="BB5582" s="155"/>
      <c r="BC5582" s="314"/>
      <c r="BD5582" s="314"/>
      <c r="BE5582" s="314"/>
      <c r="BF5582" s="314"/>
      <c r="BG5582" s="314"/>
      <c r="BH5582" s="314"/>
      <c r="BI5582" s="314"/>
      <c r="BJ5582" s="314"/>
      <c r="BK5582" s="40"/>
      <c r="BL5582" s="40"/>
      <c r="BM5582" s="40"/>
      <c r="BN5582" s="40"/>
      <c r="BO5582" s="40"/>
      <c r="BP5582" s="155"/>
      <c r="BQ5582" s="314"/>
      <c r="BR5582" s="314"/>
      <c r="BS5582" s="314"/>
      <c r="BT5582" s="314"/>
      <c r="BU5582" s="314"/>
      <c r="BV5582" s="314"/>
      <c r="BW5582" s="314"/>
      <c r="BX5582" s="155"/>
    </row>
    <row r="5583" spans="1:76" ht="15.75" customHeight="1">
      <c r="A5583" s="25"/>
      <c r="B5583" s="39"/>
      <c r="C5583" s="155"/>
      <c r="D5583" s="155"/>
      <c r="E5583" s="40"/>
      <c r="F5583" s="314"/>
      <c r="H5583" s="315"/>
      <c r="I5583" s="315"/>
      <c r="BA5583" s="30"/>
      <c r="BB5583" s="155"/>
      <c r="BC5583" s="314"/>
      <c r="BD5583" s="314"/>
      <c r="BE5583" s="314"/>
      <c r="BF5583" s="314"/>
      <c r="BG5583" s="314"/>
      <c r="BH5583" s="314"/>
      <c r="BI5583" s="314"/>
      <c r="BJ5583" s="314"/>
      <c r="BK5583" s="40"/>
      <c r="BL5583" s="40"/>
      <c r="BM5583" s="40"/>
      <c r="BN5583" s="40"/>
      <c r="BO5583" s="40"/>
      <c r="BP5583" s="155"/>
      <c r="BQ5583" s="314"/>
      <c r="BR5583" s="314"/>
      <c r="BS5583" s="314"/>
      <c r="BT5583" s="314"/>
      <c r="BU5583" s="314"/>
      <c r="BV5583" s="314"/>
      <c r="BW5583" s="314"/>
      <c r="BX5583" s="155"/>
    </row>
    <row r="5584" spans="1:76" ht="15.75" customHeight="1">
      <c r="A5584" s="25"/>
      <c r="B5584" s="39"/>
      <c r="C5584" s="155"/>
      <c r="D5584" s="155"/>
      <c r="E5584" s="40"/>
      <c r="F5584" s="314"/>
      <c r="H5584" s="315"/>
      <c r="I5584" s="315"/>
      <c r="BA5584" s="30"/>
      <c r="BB5584" s="155"/>
      <c r="BC5584" s="314"/>
      <c r="BD5584" s="314"/>
      <c r="BE5584" s="314"/>
      <c r="BF5584" s="314"/>
      <c r="BG5584" s="314"/>
      <c r="BH5584" s="314"/>
      <c r="BI5584" s="314"/>
      <c r="BJ5584" s="314"/>
      <c r="BK5584" s="40"/>
      <c r="BL5584" s="40"/>
      <c r="BM5584" s="40"/>
      <c r="BN5584" s="40"/>
      <c r="BO5584" s="40"/>
      <c r="BP5584" s="155"/>
      <c r="BQ5584" s="314"/>
      <c r="BR5584" s="314"/>
      <c r="BS5584" s="314"/>
      <c r="BT5584" s="314"/>
      <c r="BU5584" s="314"/>
      <c r="BV5584" s="314"/>
      <c r="BW5584" s="314"/>
      <c r="BX5584" s="155"/>
    </row>
    <row r="5585" spans="1:76" ht="15.75" customHeight="1">
      <c r="A5585" s="25"/>
      <c r="B5585" s="39"/>
      <c r="C5585" s="155"/>
      <c r="D5585" s="155"/>
      <c r="E5585" s="40"/>
      <c r="F5585" s="314"/>
      <c r="H5585" s="315"/>
      <c r="I5585" s="315"/>
      <c r="BA5585" s="30"/>
      <c r="BB5585" s="155"/>
      <c r="BC5585" s="314"/>
      <c r="BD5585" s="314"/>
      <c r="BE5585" s="314"/>
      <c r="BF5585" s="314"/>
      <c r="BG5585" s="314"/>
      <c r="BH5585" s="314"/>
      <c r="BI5585" s="314"/>
      <c r="BJ5585" s="314"/>
      <c r="BK5585" s="40"/>
      <c r="BL5585" s="40"/>
      <c r="BM5585" s="40"/>
      <c r="BN5585" s="40"/>
      <c r="BO5585" s="40"/>
      <c r="BP5585" s="155"/>
      <c r="BQ5585" s="314"/>
      <c r="BR5585" s="314"/>
      <c r="BS5585" s="314"/>
      <c r="BT5585" s="314"/>
      <c r="BU5585" s="314"/>
      <c r="BV5585" s="314"/>
      <c r="BW5585" s="314"/>
      <c r="BX5585" s="155"/>
    </row>
    <row r="5586" spans="1:76" ht="15.75" customHeight="1">
      <c r="A5586" s="25"/>
      <c r="B5586" s="39"/>
      <c r="C5586" s="155"/>
      <c r="D5586" s="155"/>
      <c r="E5586" s="40"/>
      <c r="F5586" s="314"/>
      <c r="H5586" s="315"/>
      <c r="I5586" s="315"/>
      <c r="BA5586" s="30"/>
      <c r="BB5586" s="155"/>
      <c r="BC5586" s="314"/>
      <c r="BD5586" s="314"/>
      <c r="BE5586" s="314"/>
      <c r="BF5586" s="314"/>
      <c r="BG5586" s="314"/>
      <c r="BH5586" s="314"/>
      <c r="BI5586" s="314"/>
      <c r="BJ5586" s="314"/>
      <c r="BK5586" s="40"/>
      <c r="BL5586" s="40"/>
      <c r="BM5586" s="40"/>
      <c r="BN5586" s="40"/>
      <c r="BO5586" s="40"/>
      <c r="BP5586" s="155"/>
      <c r="BQ5586" s="314"/>
      <c r="BR5586" s="314"/>
      <c r="BS5586" s="314"/>
      <c r="BT5586" s="314"/>
      <c r="BU5586" s="314"/>
      <c r="BV5586" s="314"/>
      <c r="BW5586" s="314"/>
      <c r="BX5586" s="155"/>
    </row>
    <row r="5587" spans="1:76" ht="15.75" customHeight="1">
      <c r="A5587" s="25"/>
      <c r="B5587" s="39"/>
      <c r="C5587" s="155"/>
      <c r="D5587" s="155"/>
      <c r="E5587" s="40"/>
      <c r="F5587" s="314"/>
      <c r="H5587" s="315"/>
      <c r="I5587" s="315"/>
      <c r="BA5587" s="30"/>
      <c r="BB5587" s="155"/>
      <c r="BC5587" s="314"/>
      <c r="BD5587" s="314"/>
      <c r="BE5587" s="314"/>
      <c r="BF5587" s="314"/>
      <c r="BG5587" s="314"/>
      <c r="BH5587" s="314"/>
      <c r="BI5587" s="314"/>
      <c r="BJ5587" s="314"/>
      <c r="BK5587" s="40"/>
      <c r="BL5587" s="40"/>
      <c r="BM5587" s="40"/>
      <c r="BN5587" s="40"/>
      <c r="BO5587" s="40"/>
      <c r="BP5587" s="155"/>
      <c r="BQ5587" s="314"/>
      <c r="BR5587" s="314"/>
      <c r="BS5587" s="314"/>
      <c r="BT5587" s="314"/>
      <c r="BU5587" s="314"/>
      <c r="BV5587" s="314"/>
      <c r="BW5587" s="314"/>
      <c r="BX5587" s="155"/>
    </row>
    <row r="5588" spans="1:76" ht="15.75" customHeight="1">
      <c r="A5588" s="25"/>
      <c r="B5588" s="39"/>
      <c r="C5588" s="155"/>
      <c r="D5588" s="155"/>
      <c r="E5588" s="40"/>
      <c r="F5588" s="314"/>
      <c r="H5588" s="315"/>
      <c r="I5588" s="315"/>
      <c r="BA5588" s="30"/>
      <c r="BB5588" s="155"/>
      <c r="BC5588" s="314"/>
      <c r="BD5588" s="314"/>
      <c r="BE5588" s="314"/>
      <c r="BF5588" s="314"/>
      <c r="BG5588" s="314"/>
      <c r="BH5588" s="314"/>
      <c r="BI5588" s="314"/>
      <c r="BJ5588" s="314"/>
      <c r="BK5588" s="40"/>
      <c r="BL5588" s="40"/>
      <c r="BM5588" s="40"/>
      <c r="BN5588" s="40"/>
      <c r="BO5588" s="40"/>
      <c r="BP5588" s="155"/>
      <c r="BQ5588" s="314"/>
      <c r="BR5588" s="314"/>
      <c r="BS5588" s="314"/>
      <c r="BT5588" s="314"/>
      <c r="BU5588" s="314"/>
      <c r="BV5588" s="314"/>
      <c r="BW5588" s="314"/>
      <c r="BX5588" s="155"/>
    </row>
    <row r="5589" spans="1:76" ht="15.75" customHeight="1">
      <c r="A5589" s="25"/>
      <c r="B5589" s="39"/>
      <c r="C5589" s="155"/>
      <c r="D5589" s="155"/>
      <c r="E5589" s="40"/>
      <c r="F5589" s="314"/>
      <c r="H5589" s="315"/>
      <c r="I5589" s="315"/>
      <c r="BA5589" s="30"/>
      <c r="BB5589" s="155"/>
      <c r="BC5589" s="314"/>
      <c r="BD5589" s="314"/>
      <c r="BE5589" s="314"/>
      <c r="BF5589" s="314"/>
      <c r="BG5589" s="314"/>
      <c r="BH5589" s="314"/>
      <c r="BI5589" s="314"/>
      <c r="BJ5589" s="314"/>
      <c r="BK5589" s="40"/>
      <c r="BL5589" s="40"/>
      <c r="BM5589" s="40"/>
      <c r="BN5589" s="40"/>
      <c r="BO5589" s="40"/>
      <c r="BP5589" s="155"/>
      <c r="BQ5589" s="314"/>
      <c r="BR5589" s="314"/>
      <c r="BS5589" s="314"/>
      <c r="BT5589" s="314"/>
      <c r="BU5589" s="314"/>
      <c r="BV5589" s="314"/>
      <c r="BW5589" s="314"/>
      <c r="BX5589" s="155"/>
    </row>
    <row r="5590" spans="1:76" ht="15.75" customHeight="1">
      <c r="A5590" s="25"/>
      <c r="B5590" s="39"/>
      <c r="C5590" s="155"/>
      <c r="D5590" s="155"/>
      <c r="E5590" s="40"/>
      <c r="F5590" s="314"/>
      <c r="H5590" s="315"/>
      <c r="I5590" s="315"/>
      <c r="BA5590" s="30"/>
      <c r="BB5590" s="155"/>
      <c r="BC5590" s="314"/>
      <c r="BD5590" s="314"/>
      <c r="BE5590" s="314"/>
      <c r="BF5590" s="314"/>
      <c r="BG5590" s="314"/>
      <c r="BH5590" s="314"/>
      <c r="BI5590" s="314"/>
      <c r="BJ5590" s="314"/>
      <c r="BK5590" s="40"/>
      <c r="BL5590" s="40"/>
      <c r="BM5590" s="40"/>
      <c r="BN5590" s="40"/>
      <c r="BO5590" s="40"/>
      <c r="BP5590" s="155"/>
      <c r="BQ5590" s="314"/>
      <c r="BR5590" s="314"/>
      <c r="BS5590" s="314"/>
      <c r="BT5590" s="314"/>
      <c r="BU5590" s="314"/>
      <c r="BV5590" s="314"/>
      <c r="BW5590" s="314"/>
      <c r="BX5590" s="155"/>
    </row>
    <row r="5591" spans="1:76" ht="15.75" customHeight="1">
      <c r="A5591" s="25"/>
      <c r="B5591" s="39"/>
      <c r="C5591" s="155"/>
      <c r="D5591" s="155"/>
      <c r="E5591" s="40"/>
      <c r="F5591" s="314"/>
      <c r="H5591" s="315"/>
      <c r="I5591" s="315"/>
      <c r="BA5591" s="30"/>
      <c r="BB5591" s="155"/>
      <c r="BC5591" s="314"/>
      <c r="BD5591" s="314"/>
      <c r="BE5591" s="314"/>
      <c r="BF5591" s="314"/>
      <c r="BG5591" s="314"/>
      <c r="BH5591" s="314"/>
      <c r="BI5591" s="314"/>
      <c r="BJ5591" s="314"/>
      <c r="BK5591" s="40"/>
      <c r="BL5591" s="40"/>
      <c r="BM5591" s="40"/>
      <c r="BN5591" s="40"/>
      <c r="BO5591" s="40"/>
      <c r="BP5591" s="155"/>
      <c r="BQ5591" s="314"/>
      <c r="BR5591" s="314"/>
      <c r="BS5591" s="314"/>
      <c r="BT5591" s="314"/>
      <c r="BU5591" s="314"/>
      <c r="BV5591" s="314"/>
      <c r="BW5591" s="314"/>
      <c r="BX5591" s="155"/>
    </row>
    <row r="5592" spans="1:76" ht="15.75" customHeight="1">
      <c r="A5592" s="25"/>
      <c r="B5592" s="39"/>
      <c r="C5592" s="155"/>
      <c r="D5592" s="155"/>
      <c r="E5592" s="40"/>
      <c r="F5592" s="314"/>
      <c r="H5592" s="315"/>
      <c r="I5592" s="315"/>
      <c r="BA5592" s="30"/>
      <c r="BB5592" s="155"/>
      <c r="BC5592" s="314"/>
      <c r="BD5592" s="314"/>
      <c r="BE5592" s="314"/>
      <c r="BF5592" s="314"/>
      <c r="BG5592" s="314"/>
      <c r="BH5592" s="314"/>
      <c r="BI5592" s="314"/>
      <c r="BJ5592" s="314"/>
      <c r="BK5592" s="40"/>
      <c r="BL5592" s="40"/>
      <c r="BM5592" s="40"/>
      <c r="BN5592" s="40"/>
      <c r="BO5592" s="40"/>
      <c r="BP5592" s="155"/>
      <c r="BQ5592" s="314"/>
      <c r="BR5592" s="314"/>
      <c r="BS5592" s="314"/>
      <c r="BT5592" s="314"/>
      <c r="BU5592" s="314"/>
      <c r="BV5592" s="314"/>
      <c r="BW5592" s="314"/>
      <c r="BX5592" s="155"/>
    </row>
    <row r="5593" spans="1:76" ht="15.75" customHeight="1">
      <c r="A5593" s="25"/>
      <c r="B5593" s="39"/>
      <c r="C5593" s="155"/>
      <c r="D5593" s="155"/>
      <c r="E5593" s="40"/>
      <c r="F5593" s="314"/>
      <c r="H5593" s="315"/>
      <c r="I5593" s="315"/>
      <c r="BA5593" s="30"/>
      <c r="BB5593" s="155"/>
      <c r="BC5593" s="322"/>
      <c r="BD5593" s="322"/>
      <c r="BE5593" s="322"/>
      <c r="BF5593" s="322"/>
      <c r="BG5593" s="322"/>
      <c r="BH5593" s="322"/>
      <c r="BI5593" s="322"/>
      <c r="BJ5593" s="322"/>
      <c r="BK5593" s="341"/>
      <c r="BL5593" s="40"/>
      <c r="BM5593" s="40"/>
      <c r="BN5593" s="40"/>
      <c r="BO5593" s="40"/>
      <c r="BP5593" s="155"/>
      <c r="BQ5593" s="314"/>
      <c r="BR5593" s="314"/>
      <c r="BS5593" s="314"/>
      <c r="BT5593" s="314"/>
      <c r="BU5593" s="314"/>
      <c r="BV5593" s="314"/>
      <c r="BW5593" s="314"/>
      <c r="BX5593" s="155"/>
    </row>
    <row r="5594" spans="1:76" ht="15.75" customHeight="1">
      <c r="A5594" s="25"/>
      <c r="B5594" s="39"/>
      <c r="C5594" s="155"/>
      <c r="D5594" s="155"/>
      <c r="E5594" s="40"/>
      <c r="F5594" s="314"/>
      <c r="H5594" s="315"/>
      <c r="I5594" s="315"/>
      <c r="BA5594" s="30"/>
      <c r="BB5594" s="155"/>
      <c r="BC5594" s="314"/>
      <c r="BD5594" s="314"/>
      <c r="BE5594" s="314"/>
      <c r="BF5594" s="314"/>
      <c r="BG5594" s="314"/>
      <c r="BH5594" s="314"/>
      <c r="BI5594" s="314"/>
      <c r="BJ5594" s="314"/>
      <c r="BK5594" s="40"/>
      <c r="BL5594" s="40"/>
      <c r="BM5594" s="40"/>
      <c r="BN5594" s="40"/>
      <c r="BO5594" s="40"/>
      <c r="BP5594" s="155"/>
      <c r="BQ5594" s="314"/>
      <c r="BR5594" s="314"/>
      <c r="BS5594" s="314"/>
      <c r="BT5594" s="314"/>
      <c r="BU5594" s="314"/>
      <c r="BV5594" s="314"/>
      <c r="BW5594" s="314"/>
      <c r="BX5594" s="155"/>
    </row>
    <row r="5595" spans="1:76" ht="15.75" customHeight="1">
      <c r="A5595" s="25"/>
      <c r="B5595" s="39"/>
      <c r="C5595" s="155"/>
      <c r="D5595" s="155"/>
      <c r="E5595" s="40"/>
      <c r="F5595" s="314"/>
      <c r="H5595" s="315"/>
      <c r="I5595" s="315"/>
      <c r="BA5595" s="30"/>
      <c r="BB5595" s="155"/>
      <c r="BC5595" s="314"/>
      <c r="BD5595" s="314"/>
      <c r="BE5595" s="314"/>
      <c r="BF5595" s="314"/>
      <c r="BG5595" s="314"/>
      <c r="BH5595" s="314"/>
      <c r="BI5595" s="314"/>
      <c r="BJ5595" s="314"/>
      <c r="BK5595" s="40"/>
      <c r="BL5595" s="40"/>
      <c r="BM5595" s="40"/>
      <c r="BN5595" s="40"/>
      <c r="BO5595" s="40"/>
      <c r="BP5595" s="155"/>
      <c r="BQ5595" s="314"/>
      <c r="BR5595" s="314"/>
      <c r="BS5595" s="314"/>
      <c r="BT5595" s="314"/>
      <c r="BU5595" s="314"/>
      <c r="BV5595" s="314"/>
      <c r="BW5595" s="314"/>
      <c r="BX5595" s="155"/>
    </row>
    <row r="5596" spans="1:76" ht="15.75" customHeight="1">
      <c r="A5596" s="25"/>
      <c r="B5596" s="39"/>
      <c r="C5596" s="155"/>
      <c r="D5596" s="155"/>
      <c r="E5596" s="40"/>
      <c r="F5596" s="314"/>
      <c r="H5596" s="315"/>
      <c r="I5596" s="315"/>
      <c r="BA5596" s="30"/>
      <c r="BB5596" s="155"/>
      <c r="BC5596" s="314"/>
      <c r="BD5596" s="314"/>
      <c r="BE5596" s="314"/>
      <c r="BF5596" s="314"/>
      <c r="BG5596" s="314"/>
      <c r="BH5596" s="314"/>
      <c r="BI5596" s="314"/>
      <c r="BJ5596" s="314"/>
      <c r="BK5596" s="40"/>
      <c r="BL5596" s="40"/>
      <c r="BM5596" s="40"/>
      <c r="BN5596" s="40"/>
      <c r="BO5596" s="40"/>
      <c r="BP5596" s="155"/>
      <c r="BQ5596" s="314"/>
      <c r="BR5596" s="314"/>
      <c r="BS5596" s="314"/>
      <c r="BT5596" s="314"/>
      <c r="BU5596" s="314"/>
      <c r="BV5596" s="314"/>
      <c r="BW5596" s="314"/>
      <c r="BX5596" s="155"/>
    </row>
    <row r="5597" spans="1:76" ht="15.75" customHeight="1">
      <c r="A5597" s="25"/>
      <c r="B5597" s="39"/>
      <c r="C5597" s="155"/>
      <c r="D5597" s="155"/>
      <c r="E5597" s="40"/>
      <c r="F5597" s="314"/>
      <c r="H5597" s="315"/>
      <c r="I5597" s="315"/>
      <c r="BA5597" s="30"/>
      <c r="BB5597" s="155"/>
      <c r="BC5597" s="314"/>
      <c r="BD5597" s="314"/>
      <c r="BE5597" s="314"/>
      <c r="BF5597" s="314"/>
      <c r="BG5597" s="314"/>
      <c r="BH5597" s="314"/>
      <c r="BI5597" s="314"/>
      <c r="BJ5597" s="314"/>
      <c r="BK5597" s="40"/>
      <c r="BL5597" s="40"/>
      <c r="BM5597" s="40"/>
      <c r="BN5597" s="40"/>
      <c r="BO5597" s="40"/>
      <c r="BP5597" s="155"/>
      <c r="BQ5597" s="314"/>
      <c r="BR5597" s="314"/>
      <c r="BS5597" s="314"/>
      <c r="BT5597" s="314"/>
      <c r="BU5597" s="314"/>
      <c r="BV5597" s="314"/>
      <c r="BW5597" s="314"/>
      <c r="BX5597" s="155"/>
    </row>
    <row r="5598" spans="1:76" ht="15.75" customHeight="1">
      <c r="A5598" s="25"/>
      <c r="B5598" s="39"/>
      <c r="C5598" s="155"/>
      <c r="D5598" s="155"/>
      <c r="E5598" s="40"/>
      <c r="F5598" s="314"/>
      <c r="H5598" s="315"/>
      <c r="I5598" s="315"/>
      <c r="BA5598" s="30"/>
      <c r="BB5598" s="155"/>
      <c r="BC5598" s="314"/>
      <c r="BD5598" s="314"/>
      <c r="BE5598" s="314"/>
      <c r="BF5598" s="314"/>
      <c r="BG5598" s="314"/>
      <c r="BH5598" s="314"/>
      <c r="BI5598" s="314"/>
      <c r="BJ5598" s="314"/>
      <c r="BK5598" s="40"/>
      <c r="BL5598" s="40"/>
      <c r="BM5598" s="40"/>
      <c r="BN5598" s="40"/>
      <c r="BO5598" s="40"/>
      <c r="BP5598" s="155"/>
      <c r="BQ5598" s="314"/>
      <c r="BR5598" s="314"/>
      <c r="BS5598" s="314"/>
      <c r="BT5598" s="314"/>
      <c r="BU5598" s="314"/>
      <c r="BV5598" s="314"/>
      <c r="BW5598" s="314"/>
      <c r="BX5598" s="155"/>
    </row>
    <row r="5599" spans="1:76" ht="15.75" customHeight="1">
      <c r="A5599" s="25"/>
      <c r="B5599" s="39"/>
      <c r="C5599" s="155"/>
      <c r="D5599" s="155"/>
      <c r="E5599" s="40"/>
      <c r="F5599" s="314"/>
      <c r="H5599" s="315"/>
      <c r="I5599" s="315"/>
      <c r="BA5599" s="30"/>
      <c r="BB5599" s="155"/>
      <c r="BC5599" s="314"/>
      <c r="BD5599" s="314"/>
      <c r="BE5599" s="314"/>
      <c r="BF5599" s="314"/>
      <c r="BG5599" s="314"/>
      <c r="BH5599" s="314"/>
      <c r="BI5599" s="314"/>
      <c r="BJ5599" s="314"/>
      <c r="BK5599" s="40"/>
      <c r="BL5599" s="40"/>
      <c r="BM5599" s="40"/>
      <c r="BN5599" s="40"/>
      <c r="BO5599" s="40"/>
      <c r="BP5599" s="155"/>
      <c r="BQ5599" s="314"/>
      <c r="BR5599" s="314"/>
      <c r="BS5599" s="314"/>
      <c r="BT5599" s="314"/>
      <c r="BU5599" s="314"/>
      <c r="BV5599" s="314"/>
      <c r="BW5599" s="314"/>
      <c r="BX5599" s="155"/>
    </row>
    <row r="5600" spans="1:76" ht="15.75" customHeight="1">
      <c r="A5600" s="25"/>
      <c r="B5600" s="39"/>
      <c r="C5600" s="155"/>
      <c r="D5600" s="155"/>
      <c r="E5600" s="40"/>
      <c r="F5600" s="314"/>
      <c r="H5600" s="315"/>
      <c r="I5600" s="315"/>
      <c r="BA5600" s="30"/>
      <c r="BB5600" s="155"/>
      <c r="BC5600" s="314"/>
      <c r="BD5600" s="314"/>
      <c r="BE5600" s="314"/>
      <c r="BF5600" s="314"/>
      <c r="BG5600" s="314"/>
      <c r="BH5600" s="314"/>
      <c r="BI5600" s="314"/>
      <c r="BJ5600" s="314"/>
      <c r="BK5600" s="40"/>
      <c r="BL5600" s="40"/>
      <c r="BM5600" s="40"/>
      <c r="BN5600" s="40"/>
      <c r="BO5600" s="40"/>
      <c r="BP5600" s="155"/>
      <c r="BQ5600" s="314"/>
      <c r="BR5600" s="314"/>
      <c r="BS5600" s="314"/>
      <c r="BT5600" s="314"/>
      <c r="BU5600" s="314"/>
      <c r="BV5600" s="314"/>
      <c r="BW5600" s="314"/>
      <c r="BX5600" s="155"/>
    </row>
    <row r="5601" spans="1:76" ht="15.75" customHeight="1">
      <c r="A5601" s="25"/>
      <c r="B5601" s="39"/>
      <c r="C5601" s="155"/>
      <c r="D5601" s="155"/>
      <c r="E5601" s="40"/>
      <c r="F5601" s="314"/>
      <c r="H5601" s="315"/>
      <c r="I5601" s="315"/>
      <c r="BA5601" s="30"/>
      <c r="BB5601" s="155"/>
      <c r="BC5601" s="314"/>
      <c r="BD5601" s="314"/>
      <c r="BE5601" s="314"/>
      <c r="BF5601" s="314"/>
      <c r="BG5601" s="314"/>
      <c r="BH5601" s="314"/>
      <c r="BI5601" s="314"/>
      <c r="BJ5601" s="314"/>
      <c r="BK5601" s="40"/>
      <c r="BL5601" s="40"/>
      <c r="BM5601" s="40"/>
      <c r="BN5601" s="40"/>
      <c r="BO5601" s="40"/>
      <c r="BP5601" s="155"/>
      <c r="BQ5601" s="314"/>
      <c r="BR5601" s="314"/>
      <c r="BS5601" s="314"/>
      <c r="BT5601" s="314"/>
      <c r="BU5601" s="314"/>
      <c r="BV5601" s="314"/>
      <c r="BW5601" s="314"/>
      <c r="BX5601" s="155"/>
    </row>
    <row r="5602" spans="1:76" ht="15.75" customHeight="1">
      <c r="A5602" s="25"/>
      <c r="B5602" s="39"/>
      <c r="C5602" s="155"/>
      <c r="D5602" s="155"/>
      <c r="E5602" s="40"/>
      <c r="F5602" s="314"/>
      <c r="H5602" s="315"/>
      <c r="I5602" s="315"/>
      <c r="BA5602" s="30"/>
      <c r="BB5602" s="155"/>
      <c r="BC5602" s="314"/>
      <c r="BD5602" s="314"/>
      <c r="BE5602" s="314"/>
      <c r="BF5602" s="314"/>
      <c r="BG5602" s="314"/>
      <c r="BH5602" s="314"/>
      <c r="BI5602" s="314"/>
      <c r="BJ5602" s="314"/>
      <c r="BK5602" s="40"/>
      <c r="BL5602" s="40"/>
      <c r="BM5602" s="40"/>
      <c r="BN5602" s="40"/>
      <c r="BO5602" s="40"/>
      <c r="BP5602" s="155"/>
      <c r="BQ5602" s="314"/>
      <c r="BR5602" s="314"/>
      <c r="BS5602" s="314"/>
      <c r="BT5602" s="314"/>
      <c r="BU5602" s="314"/>
      <c r="BV5602" s="314"/>
      <c r="BW5602" s="314"/>
      <c r="BX5602" s="155"/>
    </row>
    <row r="5603" spans="1:76" ht="15.75" customHeight="1">
      <c r="A5603" s="25"/>
      <c r="B5603" s="39"/>
      <c r="C5603" s="155"/>
      <c r="D5603" s="155"/>
      <c r="E5603" s="40"/>
      <c r="F5603" s="314"/>
      <c r="H5603" s="315"/>
      <c r="I5603" s="315"/>
      <c r="BA5603" s="30"/>
      <c r="BB5603" s="155"/>
      <c r="BC5603" s="314"/>
      <c r="BD5603" s="314"/>
      <c r="BE5603" s="314"/>
      <c r="BF5603" s="314"/>
      <c r="BG5603" s="314"/>
      <c r="BH5603" s="314"/>
      <c r="BI5603" s="314"/>
      <c r="BJ5603" s="314"/>
      <c r="BK5603" s="40"/>
      <c r="BL5603" s="40"/>
      <c r="BM5603" s="40"/>
      <c r="BN5603" s="40"/>
      <c r="BO5603" s="40"/>
      <c r="BP5603" s="155"/>
      <c r="BQ5603" s="314"/>
      <c r="BR5603" s="314"/>
      <c r="BS5603" s="314"/>
      <c r="BT5603" s="314"/>
      <c r="BU5603" s="314"/>
      <c r="BV5603" s="314"/>
      <c r="BW5603" s="314"/>
      <c r="BX5603" s="155"/>
    </row>
    <row r="5604" spans="1:76" ht="15.75" customHeight="1">
      <c r="A5604" s="25"/>
      <c r="B5604" s="39"/>
      <c r="C5604" s="155"/>
      <c r="D5604" s="155"/>
      <c r="E5604" s="40"/>
      <c r="F5604" s="314"/>
      <c r="H5604" s="315"/>
      <c r="I5604" s="315"/>
      <c r="BA5604" s="30"/>
      <c r="BB5604" s="155"/>
      <c r="BC5604" s="314"/>
      <c r="BD5604" s="314"/>
      <c r="BE5604" s="314"/>
      <c r="BF5604" s="314"/>
      <c r="BG5604" s="314"/>
      <c r="BH5604" s="314"/>
      <c r="BI5604" s="314"/>
      <c r="BJ5604" s="314"/>
      <c r="BK5604" s="40"/>
      <c r="BL5604" s="40"/>
      <c r="BM5604" s="40"/>
      <c r="BN5604" s="40"/>
      <c r="BO5604" s="40"/>
      <c r="BP5604" s="155"/>
      <c r="BQ5604" s="314"/>
      <c r="BR5604" s="314"/>
      <c r="BS5604" s="314"/>
      <c r="BT5604" s="314"/>
      <c r="BU5604" s="314"/>
      <c r="BV5604" s="314"/>
      <c r="BW5604" s="314"/>
      <c r="BX5604" s="155"/>
    </row>
    <row r="5605" spans="1:76" ht="15.75" customHeight="1">
      <c r="A5605" s="25"/>
      <c r="B5605" s="39"/>
      <c r="C5605" s="155"/>
      <c r="D5605" s="155"/>
      <c r="E5605" s="40"/>
      <c r="F5605" s="314"/>
      <c r="H5605" s="315"/>
      <c r="I5605" s="315"/>
      <c r="BA5605" s="30"/>
      <c r="BB5605" s="155"/>
      <c r="BC5605" s="314"/>
      <c r="BD5605" s="314"/>
      <c r="BE5605" s="314"/>
      <c r="BF5605" s="314"/>
      <c r="BG5605" s="314"/>
      <c r="BH5605" s="314"/>
      <c r="BI5605" s="314"/>
      <c r="BJ5605" s="314"/>
      <c r="BK5605" s="40"/>
      <c r="BL5605" s="40"/>
      <c r="BM5605" s="40"/>
      <c r="BN5605" s="40"/>
      <c r="BO5605" s="40"/>
      <c r="BP5605" s="155"/>
      <c r="BQ5605" s="314"/>
      <c r="BR5605" s="314"/>
      <c r="BS5605" s="314"/>
      <c r="BT5605" s="314"/>
      <c r="BU5605" s="314"/>
      <c r="BV5605" s="314"/>
      <c r="BW5605" s="314"/>
      <c r="BX5605" s="155"/>
    </row>
    <row r="5606" spans="1:76" ht="15.75" customHeight="1">
      <c r="A5606" s="25"/>
      <c r="B5606" s="39"/>
      <c r="C5606" s="155"/>
      <c r="D5606" s="155"/>
      <c r="E5606" s="40"/>
      <c r="F5606" s="314"/>
      <c r="H5606" s="315"/>
      <c r="I5606" s="315"/>
      <c r="BA5606" s="30"/>
      <c r="BB5606" s="155"/>
      <c r="BC5606" s="314"/>
      <c r="BD5606" s="314"/>
      <c r="BE5606" s="314"/>
      <c r="BF5606" s="314"/>
      <c r="BG5606" s="314"/>
      <c r="BH5606" s="314"/>
      <c r="BI5606" s="314"/>
      <c r="BJ5606" s="314"/>
      <c r="BK5606" s="40"/>
      <c r="BL5606" s="40"/>
      <c r="BM5606" s="40"/>
      <c r="BN5606" s="40"/>
      <c r="BO5606" s="40"/>
      <c r="BP5606" s="155"/>
      <c r="BQ5606" s="314"/>
      <c r="BR5606" s="314"/>
      <c r="BS5606" s="314"/>
      <c r="BT5606" s="314"/>
      <c r="BU5606" s="314"/>
      <c r="BV5606" s="314"/>
      <c r="BW5606" s="314"/>
      <c r="BX5606" s="155"/>
    </row>
    <row r="5607" spans="1:76" ht="15.75" customHeight="1">
      <c r="A5607" s="25"/>
      <c r="B5607" s="39"/>
      <c r="C5607" s="155"/>
      <c r="D5607" s="155"/>
      <c r="E5607" s="40"/>
      <c r="F5607" s="314"/>
      <c r="H5607" s="315"/>
      <c r="I5607" s="315"/>
      <c r="BA5607" s="30"/>
      <c r="BB5607" s="155"/>
      <c r="BC5607" s="314"/>
      <c r="BD5607" s="314"/>
      <c r="BE5607" s="314"/>
      <c r="BF5607" s="314"/>
      <c r="BG5607" s="314"/>
      <c r="BH5607" s="314"/>
      <c r="BI5607" s="314"/>
      <c r="BJ5607" s="314"/>
      <c r="BK5607" s="40"/>
      <c r="BL5607" s="40"/>
      <c r="BM5607" s="40"/>
      <c r="BN5607" s="40"/>
      <c r="BO5607" s="40"/>
      <c r="BP5607" s="155"/>
      <c r="BQ5607" s="314"/>
      <c r="BR5607" s="314"/>
      <c r="BS5607" s="314"/>
      <c r="BT5607" s="314"/>
      <c r="BU5607" s="314"/>
      <c r="BV5607" s="314"/>
      <c r="BW5607" s="314"/>
      <c r="BX5607" s="155"/>
    </row>
    <row r="5608" spans="1:76" ht="15.75" customHeight="1">
      <c r="A5608" s="25"/>
      <c r="B5608" s="39"/>
      <c r="C5608" s="155"/>
      <c r="D5608" s="155"/>
      <c r="E5608" s="40"/>
      <c r="F5608" s="314"/>
      <c r="H5608" s="315"/>
      <c r="I5608" s="315"/>
      <c r="BA5608" s="30"/>
      <c r="BB5608" s="155"/>
      <c r="BC5608" s="314"/>
      <c r="BD5608" s="314"/>
      <c r="BE5608" s="314"/>
      <c r="BF5608" s="314"/>
      <c r="BG5608" s="314"/>
      <c r="BH5608" s="314"/>
      <c r="BI5608" s="314"/>
      <c r="BJ5608" s="314"/>
      <c r="BK5608" s="40"/>
      <c r="BL5608" s="40"/>
      <c r="BM5608" s="40"/>
      <c r="BN5608" s="40"/>
      <c r="BO5608" s="40"/>
      <c r="BP5608" s="155"/>
      <c r="BQ5608" s="314"/>
      <c r="BR5608" s="314"/>
      <c r="BS5608" s="314"/>
      <c r="BT5608" s="314"/>
      <c r="BU5608" s="314"/>
      <c r="BV5608" s="314"/>
      <c r="BW5608" s="314"/>
      <c r="BX5608" s="155"/>
    </row>
    <row r="5609" spans="1:76" ht="15.75" customHeight="1">
      <c r="A5609" s="25"/>
      <c r="B5609" s="39"/>
      <c r="C5609" s="155"/>
      <c r="D5609" s="155"/>
      <c r="E5609" s="40"/>
      <c r="F5609" s="314"/>
      <c r="H5609" s="315"/>
      <c r="I5609" s="315"/>
      <c r="BA5609" s="30"/>
      <c r="BB5609" s="155"/>
      <c r="BC5609" s="314"/>
      <c r="BD5609" s="314"/>
      <c r="BE5609" s="314"/>
      <c r="BF5609" s="314"/>
      <c r="BG5609" s="314"/>
      <c r="BH5609" s="314"/>
      <c r="BI5609" s="314"/>
      <c r="BJ5609" s="314"/>
      <c r="BK5609" s="40"/>
      <c r="BL5609" s="40"/>
      <c r="BM5609" s="40"/>
      <c r="BN5609" s="40"/>
      <c r="BO5609" s="40"/>
      <c r="BP5609" s="155"/>
      <c r="BQ5609" s="314"/>
      <c r="BR5609" s="314"/>
      <c r="BS5609" s="314"/>
      <c r="BT5609" s="314"/>
      <c r="BU5609" s="314"/>
      <c r="BV5609" s="314"/>
      <c r="BW5609" s="314"/>
      <c r="BX5609" s="155"/>
    </row>
    <row r="5610" spans="1:76" ht="15.75" customHeight="1">
      <c r="A5610" s="25"/>
      <c r="B5610" s="39"/>
      <c r="C5610" s="155"/>
      <c r="D5610" s="155"/>
      <c r="E5610" s="40"/>
      <c r="F5610" s="314"/>
      <c r="H5610" s="315"/>
      <c r="I5610" s="315"/>
      <c r="BA5610" s="30"/>
      <c r="BB5610" s="155"/>
      <c r="BC5610" s="314"/>
      <c r="BD5610" s="314"/>
      <c r="BE5610" s="314"/>
      <c r="BF5610" s="314"/>
      <c r="BG5610" s="314"/>
      <c r="BH5610" s="314"/>
      <c r="BI5610" s="314"/>
      <c r="BJ5610" s="314"/>
      <c r="BK5610" s="40"/>
      <c r="BL5610" s="40"/>
      <c r="BM5610" s="40"/>
      <c r="BN5610" s="40"/>
      <c r="BO5610" s="40"/>
      <c r="BP5610" s="155"/>
      <c r="BQ5610" s="314"/>
      <c r="BR5610" s="314"/>
      <c r="BS5610" s="314"/>
      <c r="BT5610" s="314"/>
      <c r="BU5610" s="314"/>
      <c r="BV5610" s="314"/>
      <c r="BW5610" s="314"/>
      <c r="BX5610" s="155"/>
    </row>
    <row r="5611" spans="1:76" ht="15.75" customHeight="1">
      <c r="A5611" s="25"/>
      <c r="B5611" s="39"/>
      <c r="C5611" s="155"/>
      <c r="D5611" s="155"/>
      <c r="E5611" s="40"/>
      <c r="F5611" s="314"/>
      <c r="H5611" s="315"/>
      <c r="I5611" s="315"/>
      <c r="BA5611" s="30"/>
      <c r="BB5611" s="155"/>
      <c r="BC5611" s="322"/>
      <c r="BD5611" s="322"/>
      <c r="BE5611" s="322"/>
      <c r="BF5611" s="322"/>
      <c r="BG5611" s="322"/>
      <c r="BH5611" s="322"/>
      <c r="BI5611" s="322"/>
      <c r="BJ5611" s="322"/>
      <c r="BK5611" s="341"/>
      <c r="BL5611" s="40"/>
      <c r="BM5611" s="40"/>
      <c r="BN5611" s="40"/>
      <c r="BO5611" s="40"/>
      <c r="BP5611" s="155"/>
      <c r="BQ5611" s="314"/>
      <c r="BR5611" s="314"/>
      <c r="BS5611" s="314"/>
      <c r="BT5611" s="314"/>
      <c r="BU5611" s="314"/>
      <c r="BV5611" s="314"/>
      <c r="BW5611" s="314"/>
      <c r="BX5611" s="155"/>
    </row>
    <row r="5612" spans="1:76" ht="15.75" customHeight="1">
      <c r="A5612" s="25"/>
      <c r="B5612" s="39"/>
      <c r="C5612" s="155"/>
      <c r="D5612" s="155"/>
      <c r="E5612" s="40"/>
      <c r="F5612" s="314"/>
      <c r="H5612" s="315"/>
      <c r="I5612" s="315"/>
      <c r="BA5612" s="30"/>
      <c r="BB5612" s="155"/>
      <c r="BC5612" s="314"/>
      <c r="BD5612" s="314"/>
      <c r="BE5612" s="314"/>
      <c r="BF5612" s="314"/>
      <c r="BG5612" s="314"/>
      <c r="BH5612" s="314"/>
      <c r="BI5612" s="314"/>
      <c r="BJ5612" s="314"/>
      <c r="BK5612" s="40"/>
      <c r="BL5612" s="40"/>
      <c r="BM5612" s="40"/>
      <c r="BN5612" s="40"/>
      <c r="BO5612" s="40"/>
      <c r="BP5612" s="155"/>
      <c r="BQ5612" s="314"/>
      <c r="BR5612" s="314"/>
      <c r="BS5612" s="314"/>
      <c r="BT5612" s="314"/>
      <c r="BU5612" s="314"/>
      <c r="BV5612" s="314"/>
      <c r="BW5612" s="314"/>
      <c r="BX5612" s="155"/>
    </row>
    <row r="5613" spans="1:76" ht="15.75" customHeight="1">
      <c r="A5613" s="25"/>
      <c r="B5613" s="39"/>
      <c r="C5613" s="155"/>
      <c r="D5613" s="155"/>
      <c r="E5613" s="40"/>
      <c r="F5613" s="314"/>
      <c r="H5613" s="315"/>
      <c r="I5613" s="315"/>
      <c r="BA5613" s="30"/>
      <c r="BB5613" s="155"/>
      <c r="BC5613" s="314"/>
      <c r="BD5613" s="314"/>
      <c r="BE5613" s="314"/>
      <c r="BF5613" s="314"/>
      <c r="BG5613" s="314"/>
      <c r="BH5613" s="314"/>
      <c r="BI5613" s="314"/>
      <c r="BJ5613" s="314"/>
      <c r="BK5613" s="40"/>
      <c r="BL5613" s="40"/>
      <c r="BM5613" s="40"/>
      <c r="BN5613" s="40"/>
      <c r="BO5613" s="40"/>
      <c r="BP5613" s="155"/>
      <c r="BQ5613" s="314"/>
      <c r="BR5613" s="314"/>
      <c r="BS5613" s="314"/>
      <c r="BT5613" s="314"/>
      <c r="BU5613" s="314"/>
      <c r="BV5613" s="314"/>
      <c r="BW5613" s="314"/>
      <c r="BX5613" s="155"/>
    </row>
    <row r="5614" spans="1:76" ht="15.75" customHeight="1">
      <c r="A5614" s="25"/>
      <c r="B5614" s="39"/>
      <c r="C5614" s="155"/>
      <c r="D5614" s="155"/>
      <c r="E5614" s="40"/>
      <c r="F5614" s="314"/>
      <c r="H5614" s="315"/>
      <c r="I5614" s="315"/>
      <c r="BA5614" s="30"/>
      <c r="BB5614" s="155"/>
      <c r="BC5614" s="314"/>
      <c r="BD5614" s="314"/>
      <c r="BE5614" s="314"/>
      <c r="BF5614" s="314"/>
      <c r="BG5614" s="314"/>
      <c r="BH5614" s="314"/>
      <c r="BI5614" s="314"/>
      <c r="BJ5614" s="314"/>
      <c r="BK5614" s="40"/>
      <c r="BL5614" s="40"/>
      <c r="BM5614" s="40"/>
      <c r="BN5614" s="40"/>
      <c r="BO5614" s="40"/>
      <c r="BP5614" s="155"/>
      <c r="BQ5614" s="314"/>
      <c r="BR5614" s="314"/>
      <c r="BS5614" s="314"/>
      <c r="BT5614" s="314"/>
      <c r="BU5614" s="314"/>
      <c r="BV5614" s="314"/>
      <c r="BW5614" s="314"/>
      <c r="BX5614" s="155"/>
    </row>
    <row r="5615" spans="1:76" ht="15.75" customHeight="1">
      <c r="A5615" s="25"/>
      <c r="B5615" s="39"/>
      <c r="C5615" s="155"/>
      <c r="D5615" s="155"/>
      <c r="E5615" s="40"/>
      <c r="F5615" s="314"/>
      <c r="H5615" s="315"/>
      <c r="I5615" s="315"/>
      <c r="BA5615" s="30"/>
      <c r="BB5615" s="155"/>
      <c r="BC5615" s="314"/>
      <c r="BD5615" s="314"/>
      <c r="BE5615" s="314"/>
      <c r="BF5615" s="314"/>
      <c r="BG5615" s="314"/>
      <c r="BH5615" s="314"/>
      <c r="BI5615" s="314"/>
      <c r="BJ5615" s="314"/>
      <c r="BK5615" s="40"/>
      <c r="BL5615" s="40"/>
      <c r="BM5615" s="40"/>
      <c r="BN5615" s="40"/>
      <c r="BO5615" s="40"/>
      <c r="BP5615" s="155"/>
      <c r="BQ5615" s="314"/>
      <c r="BR5615" s="314"/>
      <c r="BS5615" s="314"/>
      <c r="BT5615" s="314"/>
      <c r="BU5615" s="314"/>
      <c r="BV5615" s="314"/>
      <c r="BW5615" s="314"/>
      <c r="BX5615" s="155"/>
    </row>
    <row r="5616" spans="1:76" ht="15.75" customHeight="1">
      <c r="A5616" s="25"/>
      <c r="B5616" s="39"/>
      <c r="C5616" s="155"/>
      <c r="D5616" s="155"/>
      <c r="E5616" s="40"/>
      <c r="F5616" s="314"/>
      <c r="H5616" s="315"/>
      <c r="I5616" s="315"/>
      <c r="BA5616" s="30"/>
      <c r="BB5616" s="155"/>
      <c r="BC5616" s="314"/>
      <c r="BD5616" s="314"/>
      <c r="BE5616" s="314"/>
      <c r="BF5616" s="314"/>
      <c r="BG5616" s="314"/>
      <c r="BH5616" s="314"/>
      <c r="BI5616" s="314"/>
      <c r="BJ5616" s="314"/>
      <c r="BK5616" s="40"/>
      <c r="BL5616" s="40"/>
      <c r="BM5616" s="40"/>
      <c r="BN5616" s="40"/>
      <c r="BO5616" s="40"/>
      <c r="BP5616" s="155"/>
      <c r="BQ5616" s="314"/>
      <c r="BR5616" s="314"/>
      <c r="BS5616" s="314"/>
      <c r="BT5616" s="314"/>
      <c r="BU5616" s="314"/>
      <c r="BV5616" s="314"/>
      <c r="BW5616" s="314"/>
      <c r="BX5616" s="155"/>
    </row>
    <row r="5617" spans="1:76" ht="15.75" customHeight="1">
      <c r="A5617" s="25"/>
      <c r="B5617" s="39"/>
      <c r="C5617" s="155"/>
      <c r="D5617" s="155"/>
      <c r="E5617" s="40"/>
      <c r="F5617" s="314"/>
      <c r="H5617" s="315"/>
      <c r="I5617" s="315"/>
      <c r="BA5617" s="30"/>
      <c r="BB5617" s="155"/>
      <c r="BC5617" s="314"/>
      <c r="BD5617" s="314"/>
      <c r="BE5617" s="314"/>
      <c r="BF5617" s="314"/>
      <c r="BG5617" s="314"/>
      <c r="BH5617" s="314"/>
      <c r="BI5617" s="314"/>
      <c r="BJ5617" s="314"/>
      <c r="BK5617" s="40"/>
      <c r="BL5617" s="40"/>
      <c r="BM5617" s="40"/>
      <c r="BN5617" s="40"/>
      <c r="BO5617" s="40"/>
      <c r="BP5617" s="155"/>
      <c r="BQ5617" s="314"/>
      <c r="BR5617" s="314"/>
      <c r="BS5617" s="314"/>
      <c r="BT5617" s="314"/>
      <c r="BU5617" s="314"/>
      <c r="BV5617" s="314"/>
      <c r="BW5617" s="314"/>
      <c r="BX5617" s="155"/>
    </row>
    <row r="5618" spans="1:76" ht="15.75" customHeight="1">
      <c r="A5618" s="25"/>
      <c r="B5618" s="39"/>
      <c r="C5618" s="155"/>
      <c r="D5618" s="155"/>
      <c r="E5618" s="40"/>
      <c r="F5618" s="314"/>
      <c r="H5618" s="315"/>
      <c r="I5618" s="315"/>
      <c r="BA5618" s="30"/>
      <c r="BB5618" s="155"/>
      <c r="BC5618" s="314"/>
      <c r="BD5618" s="314"/>
      <c r="BE5618" s="314"/>
      <c r="BF5618" s="314"/>
      <c r="BG5618" s="314"/>
      <c r="BH5618" s="314"/>
      <c r="BI5618" s="314"/>
      <c r="BJ5618" s="314"/>
      <c r="BK5618" s="40"/>
      <c r="BL5618" s="40"/>
      <c r="BM5618" s="40"/>
      <c r="BN5618" s="40"/>
      <c r="BO5618" s="40"/>
      <c r="BP5618" s="155"/>
      <c r="BQ5618" s="314"/>
      <c r="BR5618" s="314"/>
      <c r="BS5618" s="314"/>
      <c r="BT5618" s="314"/>
      <c r="BU5618" s="314"/>
      <c r="BV5618" s="314"/>
      <c r="BW5618" s="314"/>
      <c r="BX5618" s="155"/>
    </row>
    <row r="5619" spans="1:76" ht="15.75" customHeight="1">
      <c r="A5619" s="25"/>
      <c r="B5619" s="39"/>
      <c r="C5619" s="155"/>
      <c r="D5619" s="155"/>
      <c r="E5619" s="40"/>
      <c r="F5619" s="314"/>
      <c r="H5619" s="315"/>
      <c r="I5619" s="315"/>
      <c r="BA5619" s="30"/>
      <c r="BB5619" s="155"/>
      <c r="BC5619" s="314"/>
      <c r="BD5619" s="314"/>
      <c r="BE5619" s="314"/>
      <c r="BF5619" s="314"/>
      <c r="BG5619" s="314"/>
      <c r="BH5619" s="314"/>
      <c r="BI5619" s="314"/>
      <c r="BJ5619" s="314"/>
      <c r="BK5619" s="40"/>
      <c r="BL5619" s="40"/>
      <c r="BM5619" s="40"/>
      <c r="BN5619" s="40"/>
      <c r="BO5619" s="40"/>
      <c r="BP5619" s="155"/>
      <c r="BQ5619" s="314"/>
      <c r="BR5619" s="314"/>
      <c r="BS5619" s="314"/>
      <c r="BT5619" s="314"/>
      <c r="BU5619" s="314"/>
      <c r="BV5619" s="314"/>
      <c r="BW5619" s="314"/>
      <c r="BX5619" s="155"/>
    </row>
    <row r="5620" spans="1:76" ht="15.75" customHeight="1">
      <c r="A5620" s="25"/>
      <c r="B5620" s="39"/>
      <c r="C5620" s="155"/>
      <c r="D5620" s="155"/>
      <c r="E5620" s="40"/>
      <c r="F5620" s="314"/>
      <c r="H5620" s="315"/>
      <c r="I5620" s="315"/>
      <c r="BA5620" s="30"/>
      <c r="BB5620" s="155"/>
      <c r="BC5620" s="314"/>
      <c r="BD5620" s="314"/>
      <c r="BE5620" s="314"/>
      <c r="BF5620" s="314"/>
      <c r="BG5620" s="314"/>
      <c r="BH5620" s="314"/>
      <c r="BI5620" s="314"/>
      <c r="BJ5620" s="314"/>
      <c r="BK5620" s="40"/>
      <c r="BL5620" s="40"/>
      <c r="BM5620" s="40"/>
      <c r="BN5620" s="40"/>
      <c r="BO5620" s="40"/>
      <c r="BP5620" s="155"/>
      <c r="BQ5620" s="314"/>
      <c r="BR5620" s="314"/>
      <c r="BS5620" s="314"/>
      <c r="BT5620" s="314"/>
      <c r="BU5620" s="314"/>
      <c r="BV5620" s="314"/>
      <c r="BW5620" s="314"/>
      <c r="BX5620" s="155"/>
    </row>
    <row r="5621" spans="1:76" ht="15.75" customHeight="1">
      <c r="A5621" s="25"/>
      <c r="B5621" s="39"/>
      <c r="C5621" s="155"/>
      <c r="D5621" s="155"/>
      <c r="E5621" s="40"/>
      <c r="F5621" s="314"/>
      <c r="H5621" s="315"/>
      <c r="I5621" s="315"/>
      <c r="BA5621" s="30"/>
      <c r="BB5621" s="155"/>
      <c r="BC5621" s="314"/>
      <c r="BD5621" s="314"/>
      <c r="BE5621" s="314"/>
      <c r="BF5621" s="314"/>
      <c r="BG5621" s="314"/>
      <c r="BH5621" s="314"/>
      <c r="BI5621" s="314"/>
      <c r="BJ5621" s="314"/>
      <c r="BK5621" s="40"/>
      <c r="BL5621" s="40"/>
      <c r="BM5621" s="40"/>
      <c r="BN5621" s="40"/>
      <c r="BO5621" s="40"/>
      <c r="BP5621" s="155"/>
      <c r="BQ5621" s="314"/>
      <c r="BR5621" s="314"/>
      <c r="BS5621" s="314"/>
      <c r="BT5621" s="314"/>
      <c r="BU5621" s="314"/>
      <c r="BV5621" s="314"/>
      <c r="BW5621" s="314"/>
      <c r="BX5621" s="155"/>
    </row>
    <row r="5622" spans="1:76" ht="15.75" customHeight="1">
      <c r="A5622" s="25"/>
      <c r="B5622" s="39"/>
      <c r="C5622" s="155"/>
      <c r="D5622" s="155"/>
      <c r="E5622" s="40"/>
      <c r="F5622" s="314"/>
      <c r="H5622" s="315"/>
      <c r="I5622" s="315"/>
      <c r="BA5622" s="30"/>
      <c r="BB5622" s="155"/>
      <c r="BC5622" s="314"/>
      <c r="BD5622" s="314"/>
      <c r="BE5622" s="314"/>
      <c r="BF5622" s="314"/>
      <c r="BG5622" s="314"/>
      <c r="BH5622" s="314"/>
      <c r="BI5622" s="314"/>
      <c r="BJ5622" s="314"/>
      <c r="BK5622" s="40"/>
      <c r="BL5622" s="40"/>
      <c r="BM5622" s="40"/>
      <c r="BN5622" s="40"/>
      <c r="BO5622" s="40"/>
      <c r="BP5622" s="155"/>
      <c r="BQ5622" s="314"/>
      <c r="BR5622" s="314"/>
      <c r="BS5622" s="314"/>
      <c r="BT5622" s="314"/>
      <c r="BU5622" s="314"/>
      <c r="BV5622" s="314"/>
      <c r="BW5622" s="314"/>
      <c r="BX5622" s="155"/>
    </row>
    <row r="5623" spans="1:76" ht="15.75" customHeight="1">
      <c r="A5623" s="25"/>
      <c r="B5623" s="39"/>
      <c r="C5623" s="155"/>
      <c r="D5623" s="155"/>
      <c r="E5623" s="40"/>
      <c r="F5623" s="314"/>
      <c r="H5623" s="315"/>
      <c r="I5623" s="315"/>
      <c r="BA5623" s="30"/>
      <c r="BB5623" s="155"/>
      <c r="BC5623" s="314"/>
      <c r="BD5623" s="314"/>
      <c r="BE5623" s="314"/>
      <c r="BF5623" s="314"/>
      <c r="BG5623" s="314"/>
      <c r="BH5623" s="314"/>
      <c r="BI5623" s="314"/>
      <c r="BJ5623" s="314"/>
      <c r="BK5623" s="40"/>
      <c r="BL5623" s="40"/>
      <c r="BM5623" s="40"/>
      <c r="BN5623" s="40"/>
      <c r="BO5623" s="40"/>
      <c r="BP5623" s="155"/>
      <c r="BQ5623" s="314"/>
      <c r="BR5623" s="314"/>
      <c r="BS5623" s="314"/>
      <c r="BT5623" s="314"/>
      <c r="BU5623" s="314"/>
      <c r="BV5623" s="314"/>
      <c r="BW5623" s="314"/>
      <c r="BX5623" s="155"/>
    </row>
    <row r="5624" spans="1:76" ht="15.75" customHeight="1">
      <c r="A5624" s="25"/>
      <c r="B5624" s="39"/>
      <c r="C5624" s="155"/>
      <c r="D5624" s="155"/>
      <c r="E5624" s="40"/>
      <c r="F5624" s="314"/>
      <c r="H5624" s="315"/>
      <c r="I5624" s="315"/>
      <c r="BA5624" s="30"/>
      <c r="BB5624" s="155"/>
      <c r="BC5624" s="314"/>
      <c r="BD5624" s="314"/>
      <c r="BE5624" s="314"/>
      <c r="BF5624" s="314"/>
      <c r="BG5624" s="314"/>
      <c r="BH5624" s="314"/>
      <c r="BI5624" s="314"/>
      <c r="BJ5624" s="314"/>
      <c r="BK5624" s="40"/>
      <c r="BL5624" s="40"/>
      <c r="BM5624" s="40"/>
      <c r="BN5624" s="40"/>
      <c r="BO5624" s="40"/>
      <c r="BP5624" s="155"/>
      <c r="BQ5624" s="314"/>
      <c r="BR5624" s="314"/>
      <c r="BS5624" s="314"/>
      <c r="BT5624" s="314"/>
      <c r="BU5624" s="314"/>
      <c r="BV5624" s="314"/>
      <c r="BW5624" s="314"/>
      <c r="BX5624" s="155"/>
    </row>
    <row r="5625" spans="1:76" ht="15.75" customHeight="1">
      <c r="A5625" s="25"/>
      <c r="B5625" s="39"/>
      <c r="C5625" s="155"/>
      <c r="D5625" s="155"/>
      <c r="E5625" s="40"/>
      <c r="F5625" s="314"/>
      <c r="H5625" s="315"/>
      <c r="I5625" s="315"/>
      <c r="BA5625" s="30"/>
      <c r="BB5625" s="155"/>
      <c r="BC5625" s="314"/>
      <c r="BD5625" s="314"/>
      <c r="BE5625" s="314"/>
      <c r="BF5625" s="314"/>
      <c r="BG5625" s="314"/>
      <c r="BH5625" s="314"/>
      <c r="BI5625" s="314"/>
      <c r="BJ5625" s="314"/>
      <c r="BK5625" s="40"/>
      <c r="BL5625" s="40"/>
      <c r="BM5625" s="40"/>
      <c r="BN5625" s="40"/>
      <c r="BO5625" s="40"/>
      <c r="BP5625" s="155"/>
      <c r="BQ5625" s="314"/>
      <c r="BR5625" s="314"/>
      <c r="BS5625" s="314"/>
      <c r="BT5625" s="314"/>
      <c r="BU5625" s="314"/>
      <c r="BV5625" s="314"/>
      <c r="BW5625" s="314"/>
      <c r="BX5625" s="155"/>
    </row>
    <row r="5626" spans="1:76" ht="15.75" customHeight="1">
      <c r="A5626" s="25"/>
      <c r="B5626" s="39"/>
      <c r="C5626" s="155"/>
      <c r="D5626" s="155"/>
      <c r="E5626" s="40"/>
      <c r="F5626" s="314"/>
      <c r="H5626" s="315"/>
      <c r="I5626" s="315"/>
      <c r="BA5626" s="30"/>
      <c r="BB5626" s="155"/>
      <c r="BC5626" s="314"/>
      <c r="BD5626" s="314"/>
      <c r="BE5626" s="314"/>
      <c r="BF5626" s="314"/>
      <c r="BG5626" s="314"/>
      <c r="BH5626" s="314"/>
      <c r="BI5626" s="314"/>
      <c r="BJ5626" s="314"/>
      <c r="BK5626" s="40"/>
      <c r="BL5626" s="40"/>
      <c r="BM5626" s="40"/>
      <c r="BN5626" s="40"/>
      <c r="BO5626" s="40"/>
      <c r="BP5626" s="155"/>
      <c r="BQ5626" s="314"/>
      <c r="BR5626" s="314"/>
      <c r="BS5626" s="314"/>
      <c r="BT5626" s="314"/>
      <c r="BU5626" s="314"/>
      <c r="BV5626" s="314"/>
      <c r="BW5626" s="314"/>
      <c r="BX5626" s="155"/>
    </row>
    <row r="5627" spans="1:76" ht="15.75" customHeight="1">
      <c r="A5627" s="25"/>
      <c r="B5627" s="39"/>
      <c r="C5627" s="155"/>
      <c r="D5627" s="155"/>
      <c r="E5627" s="40"/>
      <c r="F5627" s="314"/>
      <c r="H5627" s="315"/>
      <c r="I5627" s="315"/>
      <c r="BA5627" s="30"/>
      <c r="BB5627" s="155"/>
      <c r="BC5627" s="314"/>
      <c r="BD5627" s="314"/>
      <c r="BE5627" s="314"/>
      <c r="BF5627" s="314"/>
      <c r="BG5627" s="314"/>
      <c r="BH5627" s="314"/>
      <c r="BI5627" s="314"/>
      <c r="BJ5627" s="314"/>
      <c r="BK5627" s="40"/>
      <c r="BL5627" s="40"/>
      <c r="BM5627" s="40"/>
      <c r="BN5627" s="40"/>
      <c r="BO5627" s="40"/>
      <c r="BP5627" s="155"/>
      <c r="BQ5627" s="314"/>
      <c r="BR5627" s="314"/>
      <c r="BS5627" s="314"/>
      <c r="BT5627" s="314"/>
      <c r="BU5627" s="314"/>
      <c r="BV5627" s="314"/>
      <c r="BW5627" s="314"/>
      <c r="BX5627" s="155"/>
    </row>
    <row r="5628" spans="1:76" ht="15.75" customHeight="1">
      <c r="A5628" s="25"/>
      <c r="B5628" s="39"/>
      <c r="C5628" s="155"/>
      <c r="D5628" s="155"/>
      <c r="E5628" s="40"/>
      <c r="F5628" s="314"/>
      <c r="H5628" s="315"/>
      <c r="I5628" s="315"/>
      <c r="BA5628" s="30"/>
      <c r="BB5628" s="155"/>
      <c r="BC5628" s="314"/>
      <c r="BD5628" s="314"/>
      <c r="BE5628" s="314"/>
      <c r="BF5628" s="314"/>
      <c r="BG5628" s="314"/>
      <c r="BH5628" s="314"/>
      <c r="BI5628" s="314"/>
      <c r="BJ5628" s="314"/>
      <c r="BK5628" s="40"/>
      <c r="BL5628" s="40"/>
      <c r="BM5628" s="40"/>
      <c r="BN5628" s="40"/>
      <c r="BO5628" s="40"/>
      <c r="BP5628" s="155"/>
      <c r="BQ5628" s="314"/>
      <c r="BR5628" s="314"/>
      <c r="BS5628" s="314"/>
      <c r="BT5628" s="314"/>
      <c r="BU5628" s="314"/>
      <c r="BV5628" s="314"/>
      <c r="BW5628" s="314"/>
      <c r="BX5628" s="155"/>
    </row>
    <row r="5629" spans="1:76" ht="15.75" customHeight="1">
      <c r="A5629" s="25"/>
      <c r="B5629" s="39"/>
      <c r="C5629" s="155"/>
      <c r="D5629" s="155"/>
      <c r="E5629" s="40"/>
      <c r="F5629" s="314"/>
      <c r="H5629" s="315"/>
      <c r="I5629" s="315"/>
      <c r="BA5629" s="30"/>
      <c r="BB5629" s="155"/>
      <c r="BC5629" s="322"/>
      <c r="BD5629" s="322"/>
      <c r="BE5629" s="322"/>
      <c r="BF5629" s="322"/>
      <c r="BG5629" s="322"/>
      <c r="BH5629" s="322"/>
      <c r="BI5629" s="322"/>
      <c r="BJ5629" s="322"/>
      <c r="BK5629" s="341"/>
      <c r="BL5629" s="40"/>
      <c r="BM5629" s="40"/>
      <c r="BN5629" s="40"/>
      <c r="BO5629" s="40"/>
      <c r="BP5629" s="155"/>
      <c r="BQ5629" s="314"/>
      <c r="BR5629" s="314"/>
      <c r="BS5629" s="314"/>
      <c r="BT5629" s="314"/>
      <c r="BU5629" s="314"/>
      <c r="BV5629" s="314"/>
      <c r="BW5629" s="314"/>
      <c r="BX5629" s="155"/>
    </row>
    <row r="5630" spans="1:76" ht="15.75" customHeight="1">
      <c r="A5630" s="25"/>
      <c r="B5630" s="39"/>
      <c r="C5630" s="155"/>
      <c r="D5630" s="155"/>
      <c r="E5630" s="40"/>
      <c r="F5630" s="314"/>
      <c r="H5630" s="315"/>
      <c r="I5630" s="315"/>
      <c r="BA5630" s="30"/>
      <c r="BB5630" s="155"/>
      <c r="BC5630" s="314"/>
      <c r="BD5630" s="314"/>
      <c r="BE5630" s="314"/>
      <c r="BF5630" s="314"/>
      <c r="BG5630" s="314"/>
      <c r="BH5630" s="314"/>
      <c r="BI5630" s="314"/>
      <c r="BJ5630" s="314"/>
      <c r="BK5630" s="40"/>
      <c r="BL5630" s="40"/>
      <c r="BM5630" s="40"/>
      <c r="BN5630" s="40"/>
      <c r="BO5630" s="40"/>
      <c r="BP5630" s="155"/>
      <c r="BQ5630" s="314"/>
      <c r="BR5630" s="314"/>
      <c r="BS5630" s="314"/>
      <c r="BT5630" s="314"/>
      <c r="BU5630" s="314"/>
      <c r="BV5630" s="314"/>
      <c r="BW5630" s="314"/>
      <c r="BX5630" s="155"/>
    </row>
    <row r="5631" spans="1:76" ht="15.75" customHeight="1">
      <c r="A5631" s="25"/>
      <c r="B5631" s="39"/>
      <c r="C5631" s="155"/>
      <c r="D5631" s="155"/>
      <c r="E5631" s="40"/>
      <c r="F5631" s="314"/>
      <c r="H5631" s="315"/>
      <c r="I5631" s="315"/>
      <c r="BA5631" s="30"/>
      <c r="BB5631" s="155"/>
      <c r="BC5631" s="314"/>
      <c r="BD5631" s="314"/>
      <c r="BE5631" s="314"/>
      <c r="BF5631" s="314"/>
      <c r="BG5631" s="314"/>
      <c r="BH5631" s="314"/>
      <c r="BI5631" s="314"/>
      <c r="BJ5631" s="314"/>
      <c r="BK5631" s="40"/>
      <c r="BL5631" s="40"/>
      <c r="BM5631" s="40"/>
      <c r="BN5631" s="40"/>
      <c r="BO5631" s="40"/>
      <c r="BP5631" s="155"/>
      <c r="BQ5631" s="314"/>
      <c r="BR5631" s="314"/>
      <c r="BS5631" s="314"/>
      <c r="BT5631" s="314"/>
      <c r="BU5631" s="314"/>
      <c r="BV5631" s="314"/>
      <c r="BW5631" s="314"/>
      <c r="BX5631" s="155"/>
    </row>
    <row r="5632" spans="1:76" ht="15.75" customHeight="1">
      <c r="A5632" s="25"/>
      <c r="B5632" s="39"/>
      <c r="C5632" s="155"/>
      <c r="D5632" s="155"/>
      <c r="E5632" s="40"/>
      <c r="F5632" s="314"/>
      <c r="H5632" s="315"/>
      <c r="I5632" s="315"/>
      <c r="BA5632" s="30"/>
      <c r="BB5632" s="155"/>
      <c r="BC5632" s="314"/>
      <c r="BD5632" s="314"/>
      <c r="BE5632" s="314"/>
      <c r="BF5632" s="314"/>
      <c r="BG5632" s="314"/>
      <c r="BH5632" s="314"/>
      <c r="BI5632" s="314"/>
      <c r="BJ5632" s="314"/>
      <c r="BK5632" s="40"/>
      <c r="BL5632" s="40"/>
      <c r="BM5632" s="40"/>
      <c r="BN5632" s="40"/>
      <c r="BO5632" s="40"/>
      <c r="BP5632" s="155"/>
      <c r="BQ5632" s="314"/>
      <c r="BR5632" s="314"/>
      <c r="BS5632" s="314"/>
      <c r="BT5632" s="314"/>
      <c r="BU5632" s="314"/>
      <c r="BV5632" s="314"/>
      <c r="BW5632" s="314"/>
      <c r="BX5632" s="155"/>
    </row>
    <row r="5633" spans="1:76" ht="15.75" customHeight="1">
      <c r="A5633" s="25"/>
      <c r="B5633" s="39"/>
      <c r="C5633" s="155"/>
      <c r="D5633" s="155"/>
      <c r="E5633" s="40"/>
      <c r="F5633" s="314"/>
      <c r="H5633" s="315"/>
      <c r="I5633" s="315"/>
      <c r="BA5633" s="30"/>
      <c r="BB5633" s="155"/>
      <c r="BC5633" s="314"/>
      <c r="BD5633" s="314"/>
      <c r="BE5633" s="314"/>
      <c r="BF5633" s="314"/>
      <c r="BG5633" s="314"/>
      <c r="BH5633" s="314"/>
      <c r="BI5633" s="314"/>
      <c r="BJ5633" s="314"/>
      <c r="BK5633" s="40"/>
      <c r="BL5633" s="40"/>
      <c r="BM5633" s="40"/>
      <c r="BN5633" s="40"/>
      <c r="BO5633" s="40"/>
      <c r="BP5633" s="155"/>
      <c r="BQ5633" s="314"/>
      <c r="BR5633" s="314"/>
      <c r="BS5633" s="314"/>
      <c r="BT5633" s="314"/>
      <c r="BU5633" s="314"/>
      <c r="BV5633" s="314"/>
      <c r="BW5633" s="314"/>
      <c r="BX5633" s="155"/>
    </row>
    <row r="5634" spans="1:76" ht="15.75" customHeight="1">
      <c r="A5634" s="25"/>
      <c r="B5634" s="39"/>
      <c r="C5634" s="155"/>
      <c r="D5634" s="155"/>
      <c r="E5634" s="40"/>
      <c r="F5634" s="314"/>
      <c r="H5634" s="315"/>
      <c r="I5634" s="315"/>
      <c r="BA5634" s="30"/>
      <c r="BB5634" s="155"/>
      <c r="BC5634" s="314"/>
      <c r="BD5634" s="314"/>
      <c r="BE5634" s="314"/>
      <c r="BF5634" s="314"/>
      <c r="BG5634" s="314"/>
      <c r="BH5634" s="314"/>
      <c r="BI5634" s="314"/>
      <c r="BJ5634" s="314"/>
      <c r="BK5634" s="40"/>
      <c r="BL5634" s="40"/>
      <c r="BM5634" s="40"/>
      <c r="BN5634" s="40"/>
      <c r="BO5634" s="40"/>
      <c r="BP5634" s="155"/>
      <c r="BQ5634" s="314"/>
      <c r="BR5634" s="314"/>
      <c r="BS5634" s="314"/>
      <c r="BT5634" s="314"/>
      <c r="BU5634" s="314"/>
      <c r="BV5634" s="314"/>
      <c r="BW5634" s="314"/>
      <c r="BX5634" s="155"/>
    </row>
    <row r="5635" spans="1:76" ht="15.75" customHeight="1">
      <c r="A5635" s="25"/>
      <c r="B5635" s="39"/>
      <c r="C5635" s="155"/>
      <c r="D5635" s="155"/>
      <c r="E5635" s="40"/>
      <c r="F5635" s="314"/>
      <c r="H5635" s="315"/>
      <c r="I5635" s="315"/>
      <c r="BA5635" s="30"/>
      <c r="BB5635" s="155"/>
      <c r="BC5635" s="314"/>
      <c r="BD5635" s="314"/>
      <c r="BE5635" s="314"/>
      <c r="BF5635" s="314"/>
      <c r="BG5635" s="314"/>
      <c r="BH5635" s="314"/>
      <c r="BI5635" s="314"/>
      <c r="BJ5635" s="314"/>
      <c r="BK5635" s="40"/>
      <c r="BL5635" s="40"/>
      <c r="BM5635" s="40"/>
      <c r="BN5635" s="40"/>
      <c r="BO5635" s="40"/>
      <c r="BP5635" s="155"/>
      <c r="BQ5635" s="314"/>
      <c r="BR5635" s="314"/>
      <c r="BS5635" s="314"/>
      <c r="BT5635" s="314"/>
      <c r="BU5635" s="314"/>
      <c r="BV5635" s="314"/>
      <c r="BW5635" s="314"/>
      <c r="BX5635" s="155"/>
    </row>
    <row r="5636" spans="1:76" ht="15.75" customHeight="1">
      <c r="A5636" s="25"/>
      <c r="B5636" s="39"/>
      <c r="C5636" s="155"/>
      <c r="D5636" s="155"/>
      <c r="E5636" s="40"/>
      <c r="F5636" s="314"/>
      <c r="H5636" s="315"/>
      <c r="I5636" s="315"/>
      <c r="BA5636" s="30"/>
      <c r="BB5636" s="155"/>
      <c r="BC5636" s="314"/>
      <c r="BD5636" s="314"/>
      <c r="BE5636" s="314"/>
      <c r="BF5636" s="314"/>
      <c r="BG5636" s="314"/>
      <c r="BH5636" s="314"/>
      <c r="BI5636" s="314"/>
      <c r="BJ5636" s="314"/>
      <c r="BK5636" s="40"/>
      <c r="BL5636" s="40"/>
      <c r="BM5636" s="40"/>
      <c r="BN5636" s="40"/>
      <c r="BO5636" s="40"/>
      <c r="BP5636" s="155"/>
      <c r="BQ5636" s="314"/>
      <c r="BR5636" s="314"/>
      <c r="BS5636" s="314"/>
      <c r="BT5636" s="314"/>
      <c r="BU5636" s="314"/>
      <c r="BV5636" s="314"/>
      <c r="BW5636" s="314"/>
      <c r="BX5636" s="155"/>
    </row>
    <row r="5637" spans="1:76" ht="15.75" customHeight="1">
      <c r="A5637" s="25"/>
      <c r="B5637" s="39"/>
      <c r="C5637" s="155"/>
      <c r="D5637" s="155"/>
      <c r="E5637" s="40"/>
      <c r="F5637" s="314"/>
      <c r="H5637" s="315"/>
      <c r="I5637" s="315"/>
      <c r="BA5637" s="30"/>
      <c r="BB5637" s="155"/>
      <c r="BC5637" s="314"/>
      <c r="BD5637" s="314"/>
      <c r="BE5637" s="314"/>
      <c r="BF5637" s="314"/>
      <c r="BG5637" s="314"/>
      <c r="BH5637" s="314"/>
      <c r="BI5637" s="314"/>
      <c r="BJ5637" s="314"/>
      <c r="BK5637" s="40"/>
      <c r="BL5637" s="40"/>
      <c r="BM5637" s="40"/>
      <c r="BN5637" s="40"/>
      <c r="BO5637" s="40"/>
      <c r="BP5637" s="155"/>
      <c r="BQ5637" s="314"/>
      <c r="BR5637" s="314"/>
      <c r="BS5637" s="314"/>
      <c r="BT5637" s="314"/>
      <c r="BU5637" s="314"/>
      <c r="BV5637" s="314"/>
      <c r="BW5637" s="314"/>
      <c r="BX5637" s="155"/>
    </row>
    <row r="5638" spans="1:76" ht="15.75" customHeight="1">
      <c r="A5638" s="25"/>
      <c r="B5638" s="39"/>
      <c r="C5638" s="155"/>
      <c r="D5638" s="155"/>
      <c r="E5638" s="40"/>
      <c r="F5638" s="314"/>
      <c r="H5638" s="315"/>
      <c r="I5638" s="315"/>
      <c r="BA5638" s="30"/>
      <c r="BB5638" s="155"/>
      <c r="BC5638" s="314"/>
      <c r="BD5638" s="314"/>
      <c r="BE5638" s="314"/>
      <c r="BF5638" s="314"/>
      <c r="BG5638" s="314"/>
      <c r="BH5638" s="314"/>
      <c r="BI5638" s="314"/>
      <c r="BJ5638" s="314"/>
      <c r="BK5638" s="40"/>
      <c r="BL5638" s="40"/>
      <c r="BM5638" s="40"/>
      <c r="BN5638" s="40"/>
      <c r="BO5638" s="40"/>
      <c r="BP5638" s="155"/>
      <c r="BQ5638" s="314"/>
      <c r="BR5638" s="314"/>
      <c r="BS5638" s="314"/>
      <c r="BT5638" s="314"/>
      <c r="BU5638" s="314"/>
      <c r="BV5638" s="314"/>
      <c r="BW5638" s="314"/>
      <c r="BX5638" s="155"/>
    </row>
    <row r="5639" spans="1:76" ht="15.75" customHeight="1">
      <c r="A5639" s="25"/>
      <c r="B5639" s="39"/>
      <c r="C5639" s="155"/>
      <c r="D5639" s="155"/>
      <c r="E5639" s="40"/>
      <c r="F5639" s="314"/>
      <c r="H5639" s="315"/>
      <c r="I5639" s="315"/>
      <c r="BA5639" s="30"/>
      <c r="BB5639" s="155"/>
      <c r="BC5639" s="314"/>
      <c r="BD5639" s="314"/>
      <c r="BE5639" s="314"/>
      <c r="BF5639" s="314"/>
      <c r="BG5639" s="314"/>
      <c r="BH5639" s="314"/>
      <c r="BI5639" s="314"/>
      <c r="BJ5639" s="314"/>
      <c r="BK5639" s="40"/>
      <c r="BL5639" s="40"/>
      <c r="BM5639" s="40"/>
      <c r="BN5639" s="40"/>
      <c r="BO5639" s="40"/>
      <c r="BP5639" s="155"/>
      <c r="BQ5639" s="314"/>
      <c r="BR5639" s="314"/>
      <c r="BS5639" s="314"/>
      <c r="BT5639" s="314"/>
      <c r="BU5639" s="314"/>
      <c r="BV5639" s="314"/>
      <c r="BW5639" s="314"/>
      <c r="BX5639" s="155"/>
    </row>
    <row r="5640" spans="1:76" ht="15.75" customHeight="1">
      <c r="A5640" s="25"/>
      <c r="B5640" s="39"/>
      <c r="C5640" s="155"/>
      <c r="D5640" s="155"/>
      <c r="E5640" s="40"/>
      <c r="F5640" s="314"/>
      <c r="H5640" s="315"/>
      <c r="I5640" s="315"/>
      <c r="BA5640" s="30"/>
      <c r="BB5640" s="155"/>
      <c r="BC5640" s="314"/>
      <c r="BD5640" s="314"/>
      <c r="BE5640" s="314"/>
      <c r="BF5640" s="314"/>
      <c r="BG5640" s="314"/>
      <c r="BH5640" s="314"/>
      <c r="BI5640" s="314"/>
      <c r="BJ5640" s="314"/>
      <c r="BK5640" s="40"/>
      <c r="BL5640" s="40"/>
      <c r="BM5640" s="40"/>
      <c r="BN5640" s="40"/>
      <c r="BO5640" s="40"/>
      <c r="BP5640" s="155"/>
      <c r="BQ5640" s="314"/>
      <c r="BR5640" s="314"/>
      <c r="BS5640" s="314"/>
      <c r="BT5640" s="314"/>
      <c r="BU5640" s="314"/>
      <c r="BV5640" s="314"/>
      <c r="BW5640" s="314"/>
      <c r="BX5640" s="155"/>
    </row>
    <row r="5641" spans="1:76" ht="15.75" customHeight="1">
      <c r="A5641" s="25"/>
      <c r="B5641" s="39"/>
      <c r="C5641" s="155"/>
      <c r="D5641" s="155"/>
      <c r="E5641" s="40"/>
      <c r="F5641" s="314"/>
      <c r="H5641" s="315"/>
      <c r="I5641" s="315"/>
      <c r="BA5641" s="30"/>
      <c r="BB5641" s="155"/>
      <c r="BC5641" s="314"/>
      <c r="BD5641" s="314"/>
      <c r="BE5641" s="314"/>
      <c r="BF5641" s="314"/>
      <c r="BG5641" s="314"/>
      <c r="BH5641" s="314"/>
      <c r="BI5641" s="314"/>
      <c r="BJ5641" s="314"/>
      <c r="BK5641" s="40"/>
      <c r="BL5641" s="40"/>
      <c r="BM5641" s="40"/>
      <c r="BN5641" s="40"/>
      <c r="BO5641" s="40"/>
      <c r="BP5641" s="155"/>
      <c r="BQ5641" s="314"/>
      <c r="BR5641" s="314"/>
      <c r="BS5641" s="314"/>
      <c r="BT5641" s="314"/>
      <c r="BU5641" s="314"/>
      <c r="BV5641" s="314"/>
      <c r="BW5641" s="314"/>
      <c r="BX5641" s="155"/>
    </row>
    <row r="5642" spans="1:76" ht="15.75" customHeight="1">
      <c r="A5642" s="25"/>
      <c r="B5642" s="39"/>
      <c r="C5642" s="155"/>
      <c r="D5642" s="155"/>
      <c r="E5642" s="40"/>
      <c r="F5642" s="314"/>
      <c r="H5642" s="315"/>
      <c r="I5642" s="315"/>
      <c r="BA5642" s="30"/>
      <c r="BB5642" s="155"/>
      <c r="BC5642" s="314"/>
      <c r="BD5642" s="314"/>
      <c r="BE5642" s="314"/>
      <c r="BF5642" s="314"/>
      <c r="BG5642" s="314"/>
      <c r="BH5642" s="314"/>
      <c r="BI5642" s="314"/>
      <c r="BJ5642" s="314"/>
      <c r="BK5642" s="40"/>
      <c r="BL5642" s="40"/>
      <c r="BM5642" s="40"/>
      <c r="BN5642" s="40"/>
      <c r="BO5642" s="40"/>
      <c r="BP5642" s="155"/>
      <c r="BQ5642" s="314"/>
      <c r="BR5642" s="314"/>
      <c r="BS5642" s="314"/>
      <c r="BT5642" s="314"/>
      <c r="BU5642" s="314"/>
      <c r="BV5642" s="314"/>
      <c r="BW5642" s="314"/>
      <c r="BX5642" s="155"/>
    </row>
    <row r="5643" spans="1:76" ht="15.75" customHeight="1">
      <c r="A5643" s="25"/>
      <c r="B5643" s="39"/>
      <c r="C5643" s="155"/>
      <c r="D5643" s="155"/>
      <c r="E5643" s="40"/>
      <c r="F5643" s="314"/>
      <c r="H5643" s="315"/>
      <c r="I5643" s="315"/>
      <c r="BA5643" s="30"/>
      <c r="BB5643" s="155"/>
      <c r="BC5643" s="314"/>
      <c r="BD5643" s="314"/>
      <c r="BE5643" s="314"/>
      <c r="BF5643" s="314"/>
      <c r="BG5643" s="314"/>
      <c r="BH5643" s="314"/>
      <c r="BI5643" s="314"/>
      <c r="BJ5643" s="314"/>
      <c r="BK5643" s="40"/>
      <c r="BL5643" s="40"/>
      <c r="BM5643" s="40"/>
      <c r="BN5643" s="40"/>
      <c r="BO5643" s="40"/>
      <c r="BP5643" s="155"/>
      <c r="BQ5643" s="314"/>
      <c r="BR5643" s="314"/>
      <c r="BS5643" s="314"/>
      <c r="BT5643" s="314"/>
      <c r="BU5643" s="314"/>
      <c r="BV5643" s="314"/>
      <c r="BW5643" s="314"/>
      <c r="BX5643" s="155"/>
    </row>
    <row r="5644" spans="1:76" ht="15.75" customHeight="1">
      <c r="A5644" s="25"/>
      <c r="B5644" s="39"/>
      <c r="C5644" s="155"/>
      <c r="D5644" s="155"/>
      <c r="E5644" s="40"/>
      <c r="F5644" s="314"/>
      <c r="H5644" s="315"/>
      <c r="I5644" s="315"/>
      <c r="BA5644" s="30"/>
      <c r="BB5644" s="155"/>
      <c r="BC5644" s="314"/>
      <c r="BD5644" s="314"/>
      <c r="BE5644" s="314"/>
      <c r="BF5644" s="314"/>
      <c r="BG5644" s="314"/>
      <c r="BH5644" s="314"/>
      <c r="BI5644" s="314"/>
      <c r="BJ5644" s="314"/>
      <c r="BK5644" s="40"/>
      <c r="BL5644" s="40"/>
      <c r="BM5644" s="40"/>
      <c r="BN5644" s="40"/>
      <c r="BO5644" s="40"/>
      <c r="BP5644" s="155"/>
      <c r="BQ5644" s="314"/>
      <c r="BR5644" s="314"/>
      <c r="BS5644" s="314"/>
      <c r="BT5644" s="314"/>
      <c r="BU5644" s="314"/>
      <c r="BV5644" s="314"/>
      <c r="BW5644" s="314"/>
      <c r="BX5644" s="155"/>
    </row>
    <row r="5645" spans="1:76" ht="15.75" customHeight="1">
      <c r="A5645" s="25"/>
      <c r="B5645" s="39"/>
      <c r="C5645" s="155"/>
      <c r="D5645" s="155"/>
      <c r="E5645" s="40"/>
      <c r="F5645" s="314"/>
      <c r="H5645" s="315"/>
      <c r="I5645" s="315"/>
      <c r="BA5645" s="30"/>
      <c r="BB5645" s="155"/>
      <c r="BC5645" s="314"/>
      <c r="BD5645" s="314"/>
      <c r="BE5645" s="314"/>
      <c r="BF5645" s="314"/>
      <c r="BG5645" s="314"/>
      <c r="BH5645" s="314"/>
      <c r="BI5645" s="314"/>
      <c r="BJ5645" s="314"/>
      <c r="BK5645" s="40"/>
      <c r="BL5645" s="40"/>
      <c r="BM5645" s="40"/>
      <c r="BN5645" s="40"/>
      <c r="BO5645" s="40"/>
      <c r="BP5645" s="155"/>
      <c r="BQ5645" s="314"/>
      <c r="BR5645" s="314"/>
      <c r="BS5645" s="314"/>
      <c r="BT5645" s="314"/>
      <c r="BU5645" s="314"/>
      <c r="BV5645" s="314"/>
      <c r="BW5645" s="314"/>
      <c r="BX5645" s="155"/>
    </row>
    <row r="5646" spans="1:76" ht="15.75" customHeight="1">
      <c r="A5646" s="25"/>
      <c r="B5646" s="39"/>
      <c r="C5646" s="155"/>
      <c r="D5646" s="155"/>
      <c r="E5646" s="40"/>
      <c r="F5646" s="314"/>
      <c r="H5646" s="315"/>
      <c r="I5646" s="315"/>
      <c r="BA5646" s="30"/>
      <c r="BB5646" s="155"/>
      <c r="BC5646" s="314"/>
      <c r="BD5646" s="314"/>
      <c r="BE5646" s="314"/>
      <c r="BF5646" s="314"/>
      <c r="BG5646" s="314"/>
      <c r="BH5646" s="314"/>
      <c r="BI5646" s="314"/>
      <c r="BJ5646" s="314"/>
      <c r="BK5646" s="40"/>
      <c r="BL5646" s="40"/>
      <c r="BM5646" s="40"/>
      <c r="BN5646" s="40"/>
      <c r="BO5646" s="40"/>
      <c r="BP5646" s="155"/>
      <c r="BQ5646" s="314"/>
      <c r="BR5646" s="314"/>
      <c r="BS5646" s="314"/>
      <c r="BT5646" s="314"/>
      <c r="BU5646" s="314"/>
      <c r="BV5646" s="314"/>
      <c r="BW5646" s="314"/>
      <c r="BX5646" s="155"/>
    </row>
    <row r="5647" spans="1:76" ht="15.75" customHeight="1">
      <c r="A5647" s="25"/>
      <c r="B5647" s="39"/>
      <c r="C5647" s="155"/>
      <c r="D5647" s="155"/>
      <c r="E5647" s="40"/>
      <c r="F5647" s="314"/>
      <c r="H5647" s="315"/>
      <c r="I5647" s="315"/>
      <c r="BA5647" s="30"/>
      <c r="BB5647" s="155"/>
      <c r="BC5647" s="314"/>
      <c r="BD5647" s="314"/>
      <c r="BE5647" s="314"/>
      <c r="BF5647" s="314"/>
      <c r="BG5647" s="314"/>
      <c r="BH5647" s="314"/>
      <c r="BI5647" s="314"/>
      <c r="BJ5647" s="314"/>
      <c r="BK5647" s="40"/>
      <c r="BL5647" s="40"/>
      <c r="BM5647" s="40"/>
      <c r="BN5647" s="40"/>
      <c r="BO5647" s="40"/>
      <c r="BP5647" s="155"/>
      <c r="BQ5647" s="314"/>
      <c r="BR5647" s="314"/>
      <c r="BS5647" s="314"/>
      <c r="BT5647" s="314"/>
      <c r="BU5647" s="314"/>
      <c r="BV5647" s="314"/>
      <c r="BW5647" s="314"/>
      <c r="BX5647" s="155"/>
    </row>
    <row r="5648" spans="1:76" ht="15.75" customHeight="1">
      <c r="A5648" s="25"/>
      <c r="B5648" s="39"/>
      <c r="C5648" s="155"/>
      <c r="D5648" s="155"/>
      <c r="E5648" s="40"/>
      <c r="F5648" s="314"/>
      <c r="H5648" s="315"/>
      <c r="I5648" s="315"/>
      <c r="BA5648" s="30"/>
      <c r="BB5648" s="155"/>
      <c r="BC5648" s="314"/>
      <c r="BD5648" s="314"/>
      <c r="BE5648" s="314"/>
      <c r="BF5648" s="314"/>
      <c r="BG5648" s="314"/>
      <c r="BH5648" s="314"/>
      <c r="BI5648" s="314"/>
      <c r="BJ5648" s="314"/>
      <c r="BK5648" s="40"/>
      <c r="BL5648" s="40"/>
      <c r="BM5648" s="40"/>
      <c r="BN5648" s="40"/>
      <c r="BO5648" s="40"/>
      <c r="BP5648" s="155"/>
      <c r="BQ5648" s="314"/>
      <c r="BR5648" s="314"/>
      <c r="BS5648" s="314"/>
      <c r="BT5648" s="314"/>
      <c r="BU5648" s="314"/>
      <c r="BV5648" s="314"/>
      <c r="BW5648" s="314"/>
      <c r="BX5648" s="155"/>
    </row>
    <row r="5649" spans="1:76" ht="15.75" customHeight="1">
      <c r="A5649" s="25"/>
      <c r="B5649" s="39"/>
      <c r="C5649" s="155"/>
      <c r="D5649" s="155"/>
      <c r="E5649" s="40"/>
      <c r="F5649" s="314"/>
      <c r="H5649" s="315"/>
      <c r="I5649" s="315"/>
      <c r="BA5649" s="30"/>
      <c r="BB5649" s="155"/>
      <c r="BC5649" s="314"/>
      <c r="BD5649" s="314"/>
      <c r="BE5649" s="314"/>
      <c r="BF5649" s="314"/>
      <c r="BG5649" s="314"/>
      <c r="BH5649" s="314"/>
      <c r="BI5649" s="314"/>
      <c r="BJ5649" s="314"/>
      <c r="BK5649" s="40"/>
      <c r="BL5649" s="40"/>
      <c r="BM5649" s="40"/>
      <c r="BN5649" s="40"/>
      <c r="BO5649" s="40"/>
      <c r="BP5649" s="155"/>
      <c r="BQ5649" s="314"/>
      <c r="BR5649" s="314"/>
      <c r="BS5649" s="314"/>
      <c r="BT5649" s="314"/>
      <c r="BU5649" s="314"/>
      <c r="BV5649" s="314"/>
      <c r="BW5649" s="314"/>
      <c r="BX5649" s="155"/>
    </row>
    <row r="5650" spans="1:76" ht="15.75" customHeight="1">
      <c r="A5650" s="25"/>
      <c r="B5650" s="39"/>
      <c r="C5650" s="155"/>
      <c r="D5650" s="155"/>
      <c r="E5650" s="40"/>
      <c r="F5650" s="314"/>
      <c r="H5650" s="315"/>
      <c r="I5650" s="315"/>
      <c r="BA5650" s="30"/>
      <c r="BB5650" s="155"/>
      <c r="BC5650" s="314"/>
      <c r="BD5650" s="314"/>
      <c r="BE5650" s="314"/>
      <c r="BF5650" s="314"/>
      <c r="BG5650" s="314"/>
      <c r="BH5650" s="314"/>
      <c r="BI5650" s="314"/>
      <c r="BJ5650" s="314"/>
      <c r="BK5650" s="40"/>
      <c r="BL5650" s="40"/>
      <c r="BM5650" s="40"/>
      <c r="BN5650" s="40"/>
      <c r="BO5650" s="40"/>
      <c r="BP5650" s="155"/>
      <c r="BQ5650" s="314"/>
      <c r="BR5650" s="314"/>
      <c r="BS5650" s="314"/>
      <c r="BT5650" s="314"/>
      <c r="BU5650" s="314"/>
      <c r="BV5650" s="314"/>
      <c r="BW5650" s="314"/>
      <c r="BX5650" s="155"/>
    </row>
    <row r="5651" spans="1:76" ht="15.75" customHeight="1">
      <c r="A5651" s="25"/>
      <c r="B5651" s="39"/>
      <c r="C5651" s="155"/>
      <c r="D5651" s="155"/>
      <c r="E5651" s="40"/>
      <c r="F5651" s="314"/>
      <c r="H5651" s="315"/>
      <c r="I5651" s="315"/>
      <c r="BA5651" s="30"/>
      <c r="BB5651" s="155"/>
      <c r="BC5651" s="314"/>
      <c r="BD5651" s="314"/>
      <c r="BE5651" s="314"/>
      <c r="BF5651" s="314"/>
      <c r="BG5651" s="314"/>
      <c r="BH5651" s="314"/>
      <c r="BI5651" s="314"/>
      <c r="BJ5651" s="314"/>
      <c r="BK5651" s="40"/>
      <c r="BL5651" s="40"/>
      <c r="BM5651" s="40"/>
      <c r="BN5651" s="40"/>
      <c r="BO5651" s="40"/>
      <c r="BP5651" s="155"/>
      <c r="BQ5651" s="314"/>
      <c r="BR5651" s="314"/>
      <c r="BS5651" s="314"/>
      <c r="BT5651" s="314"/>
      <c r="BU5651" s="314"/>
      <c r="BV5651" s="314"/>
      <c r="BW5651" s="314"/>
      <c r="BX5651" s="155"/>
    </row>
    <row r="5652" spans="1:76" ht="15.75" customHeight="1">
      <c r="A5652" s="25"/>
      <c r="B5652" s="39"/>
      <c r="C5652" s="155"/>
      <c r="D5652" s="155"/>
      <c r="E5652" s="40"/>
      <c r="F5652" s="314"/>
      <c r="H5652" s="315"/>
      <c r="I5652" s="315"/>
      <c r="BA5652" s="30"/>
      <c r="BB5652" s="155"/>
      <c r="BC5652" s="314"/>
      <c r="BD5652" s="314"/>
      <c r="BE5652" s="314"/>
      <c r="BF5652" s="314"/>
      <c r="BG5652" s="314"/>
      <c r="BH5652" s="314"/>
      <c r="BI5652" s="314"/>
      <c r="BJ5652" s="314"/>
      <c r="BK5652" s="40"/>
      <c r="BL5652" s="40"/>
      <c r="BM5652" s="40"/>
      <c r="BN5652" s="40"/>
      <c r="BO5652" s="40"/>
      <c r="BP5652" s="155"/>
      <c r="BQ5652" s="314"/>
      <c r="BR5652" s="314"/>
      <c r="BS5652" s="314"/>
      <c r="BT5652" s="314"/>
      <c r="BU5652" s="314"/>
      <c r="BV5652" s="314"/>
      <c r="BW5652" s="314"/>
      <c r="BX5652" s="155"/>
    </row>
    <row r="5653" spans="1:76" ht="15.75" customHeight="1">
      <c r="A5653" s="25"/>
      <c r="B5653" s="39"/>
      <c r="C5653" s="155"/>
      <c r="D5653" s="155"/>
      <c r="E5653" s="40"/>
      <c r="F5653" s="314"/>
      <c r="H5653" s="315"/>
      <c r="I5653" s="315"/>
      <c r="BA5653" s="30"/>
      <c r="BB5653" s="155"/>
      <c r="BC5653" s="314"/>
      <c r="BD5653" s="314"/>
      <c r="BE5653" s="314"/>
      <c r="BF5653" s="314"/>
      <c r="BG5653" s="314"/>
      <c r="BH5653" s="314"/>
      <c r="BI5653" s="314"/>
      <c r="BJ5653" s="314"/>
      <c r="BK5653" s="40"/>
      <c r="BL5653" s="40"/>
      <c r="BM5653" s="40"/>
      <c r="BN5653" s="40"/>
      <c r="BO5653" s="40"/>
      <c r="BP5653" s="155"/>
      <c r="BQ5653" s="314"/>
      <c r="BR5653" s="314"/>
      <c r="BS5653" s="314"/>
      <c r="BT5653" s="314"/>
      <c r="BU5653" s="314"/>
      <c r="BV5653" s="314"/>
      <c r="BW5653" s="314"/>
      <c r="BX5653" s="155"/>
    </row>
    <row r="5654" spans="1:76" ht="15.75" customHeight="1">
      <c r="A5654" s="25"/>
      <c r="B5654" s="39"/>
      <c r="C5654" s="155"/>
      <c r="D5654" s="155"/>
      <c r="E5654" s="40"/>
      <c r="F5654" s="314"/>
      <c r="H5654" s="315"/>
      <c r="I5654" s="315"/>
      <c r="BA5654" s="30"/>
      <c r="BB5654" s="155"/>
      <c r="BC5654" s="314"/>
      <c r="BD5654" s="314"/>
      <c r="BE5654" s="314"/>
      <c r="BF5654" s="314"/>
      <c r="BG5654" s="314"/>
      <c r="BH5654" s="314"/>
      <c r="BI5654" s="314"/>
      <c r="BJ5654" s="314"/>
      <c r="BK5654" s="40"/>
      <c r="BL5654" s="40"/>
      <c r="BM5654" s="40"/>
      <c r="BN5654" s="40"/>
      <c r="BO5654" s="40"/>
      <c r="BP5654" s="155"/>
      <c r="BQ5654" s="314"/>
      <c r="BR5654" s="314"/>
      <c r="BS5654" s="314"/>
      <c r="BT5654" s="314"/>
      <c r="BU5654" s="314"/>
      <c r="BV5654" s="314"/>
      <c r="BW5654" s="314"/>
      <c r="BX5654" s="155"/>
    </row>
    <row r="5655" spans="1:76" ht="15.75" customHeight="1">
      <c r="A5655" s="25"/>
      <c r="B5655" s="39"/>
      <c r="C5655" s="155"/>
      <c r="D5655" s="155"/>
      <c r="E5655" s="40"/>
      <c r="F5655" s="314"/>
      <c r="H5655" s="315"/>
      <c r="I5655" s="315"/>
      <c r="BA5655" s="30"/>
      <c r="BB5655" s="155"/>
      <c r="BC5655" s="314"/>
      <c r="BD5655" s="314"/>
      <c r="BE5655" s="314"/>
      <c r="BF5655" s="314"/>
      <c r="BG5655" s="314"/>
      <c r="BH5655" s="314"/>
      <c r="BI5655" s="314"/>
      <c r="BJ5655" s="314"/>
      <c r="BK5655" s="40"/>
      <c r="BL5655" s="40"/>
      <c r="BM5655" s="40"/>
      <c r="BN5655" s="40"/>
      <c r="BO5655" s="40"/>
      <c r="BP5655" s="155"/>
      <c r="BQ5655" s="314"/>
      <c r="BR5655" s="314"/>
      <c r="BS5655" s="314"/>
      <c r="BT5655" s="314"/>
      <c r="BU5655" s="314"/>
      <c r="BV5655" s="314"/>
      <c r="BW5655" s="314"/>
      <c r="BX5655" s="155"/>
    </row>
    <row r="5656" spans="1:76" ht="15.75" customHeight="1">
      <c r="A5656" s="25"/>
      <c r="B5656" s="39"/>
      <c r="C5656" s="155"/>
      <c r="D5656" s="155"/>
      <c r="E5656" s="40"/>
      <c r="F5656" s="314"/>
      <c r="H5656" s="315"/>
      <c r="I5656" s="315"/>
      <c r="BA5656" s="30"/>
      <c r="BB5656" s="155"/>
      <c r="BC5656" s="314"/>
      <c r="BD5656" s="314"/>
      <c r="BE5656" s="314"/>
      <c r="BF5656" s="314"/>
      <c r="BG5656" s="314"/>
      <c r="BH5656" s="314"/>
      <c r="BI5656" s="314"/>
      <c r="BJ5656" s="314"/>
      <c r="BK5656" s="40"/>
      <c r="BL5656" s="40"/>
      <c r="BM5656" s="40"/>
      <c r="BN5656" s="40"/>
      <c r="BO5656" s="40"/>
      <c r="BP5656" s="155"/>
      <c r="BQ5656" s="314"/>
      <c r="BR5656" s="314"/>
      <c r="BS5656" s="314"/>
      <c r="BT5656" s="314"/>
      <c r="BU5656" s="314"/>
      <c r="BV5656" s="314"/>
      <c r="BW5656" s="314"/>
      <c r="BX5656" s="155"/>
    </row>
    <row r="5657" spans="1:76" ht="15.75" customHeight="1">
      <c r="A5657" s="25"/>
      <c r="B5657" s="39"/>
      <c r="C5657" s="155"/>
      <c r="D5657" s="155"/>
      <c r="E5657" s="40"/>
      <c r="F5657" s="314"/>
      <c r="H5657" s="315"/>
      <c r="I5657" s="315"/>
      <c r="BA5657" s="30"/>
      <c r="BB5657" s="155"/>
      <c r="BC5657" s="314"/>
      <c r="BD5657" s="314"/>
      <c r="BE5657" s="314"/>
      <c r="BF5657" s="314"/>
      <c r="BG5657" s="314"/>
      <c r="BH5657" s="314"/>
      <c r="BI5657" s="314"/>
      <c r="BJ5657" s="314"/>
      <c r="BK5657" s="40"/>
      <c r="BL5657" s="40"/>
      <c r="BM5657" s="40"/>
      <c r="BN5657" s="40"/>
      <c r="BO5657" s="40"/>
      <c r="BP5657" s="155"/>
      <c r="BQ5657" s="314"/>
      <c r="BR5657" s="314"/>
      <c r="BS5657" s="314"/>
      <c r="BT5657" s="314"/>
      <c r="BU5657" s="314"/>
      <c r="BV5657" s="314"/>
      <c r="BW5657" s="314"/>
      <c r="BX5657" s="155"/>
    </row>
    <row r="5658" spans="1:76" ht="15.75" customHeight="1">
      <c r="A5658" s="25"/>
      <c r="B5658" s="39"/>
      <c r="C5658" s="155"/>
      <c r="D5658" s="155"/>
      <c r="E5658" s="40"/>
      <c r="F5658" s="314"/>
      <c r="H5658" s="315"/>
      <c r="I5658" s="315"/>
      <c r="BA5658" s="30"/>
      <c r="BB5658" s="155"/>
      <c r="BC5658" s="314"/>
      <c r="BD5658" s="314"/>
      <c r="BE5658" s="314"/>
      <c r="BF5658" s="314"/>
      <c r="BG5658" s="314"/>
      <c r="BH5658" s="314"/>
      <c r="BI5658" s="314"/>
      <c r="BJ5658" s="314"/>
      <c r="BK5658" s="40"/>
      <c r="BL5658" s="40"/>
      <c r="BM5658" s="40"/>
      <c r="BN5658" s="40"/>
      <c r="BO5658" s="40"/>
      <c r="BP5658" s="155"/>
      <c r="BQ5658" s="314"/>
      <c r="BR5658" s="314"/>
      <c r="BS5658" s="314"/>
      <c r="BT5658" s="314"/>
      <c r="BU5658" s="314"/>
      <c r="BV5658" s="314"/>
      <c r="BW5658" s="314"/>
      <c r="BX5658" s="155"/>
    </row>
    <row r="5659" spans="1:76" ht="15.75" customHeight="1">
      <c r="A5659" s="25"/>
      <c r="B5659" s="39"/>
      <c r="C5659" s="155"/>
      <c r="D5659" s="155"/>
      <c r="E5659" s="40"/>
      <c r="F5659" s="314"/>
      <c r="H5659" s="315"/>
      <c r="I5659" s="315"/>
      <c r="BA5659" s="30"/>
      <c r="BB5659" s="155"/>
      <c r="BC5659" s="314"/>
      <c r="BD5659" s="314"/>
      <c r="BE5659" s="314"/>
      <c r="BF5659" s="314"/>
      <c r="BG5659" s="314"/>
      <c r="BH5659" s="314"/>
      <c r="BI5659" s="314"/>
      <c r="BJ5659" s="314"/>
      <c r="BK5659" s="40"/>
      <c r="BL5659" s="40"/>
      <c r="BM5659" s="40"/>
      <c r="BN5659" s="40"/>
      <c r="BO5659" s="40"/>
      <c r="BP5659" s="155"/>
      <c r="BQ5659" s="314"/>
      <c r="BR5659" s="314"/>
      <c r="BS5659" s="314"/>
      <c r="BT5659" s="314"/>
      <c r="BU5659" s="314"/>
      <c r="BV5659" s="314"/>
      <c r="BW5659" s="314"/>
      <c r="BX5659" s="155"/>
    </row>
    <row r="5660" spans="1:76" ht="15.75" customHeight="1">
      <c r="A5660" s="25"/>
      <c r="B5660" s="39"/>
      <c r="C5660" s="155"/>
      <c r="D5660" s="155"/>
      <c r="E5660" s="40"/>
      <c r="F5660" s="314"/>
      <c r="H5660" s="315"/>
      <c r="I5660" s="315"/>
      <c r="BA5660" s="30"/>
      <c r="BB5660" s="155"/>
      <c r="BC5660" s="314"/>
      <c r="BD5660" s="314"/>
      <c r="BE5660" s="314"/>
      <c r="BF5660" s="314"/>
      <c r="BG5660" s="314"/>
      <c r="BH5660" s="314"/>
      <c r="BI5660" s="314"/>
      <c r="BJ5660" s="314"/>
      <c r="BK5660" s="40"/>
      <c r="BL5660" s="40"/>
      <c r="BM5660" s="40"/>
      <c r="BN5660" s="40"/>
      <c r="BO5660" s="40"/>
      <c r="BP5660" s="155"/>
      <c r="BQ5660" s="314"/>
      <c r="BR5660" s="314"/>
      <c r="BS5660" s="314"/>
      <c r="BT5660" s="314"/>
      <c r="BU5660" s="314"/>
      <c r="BV5660" s="314"/>
      <c r="BW5660" s="314"/>
      <c r="BX5660" s="155"/>
    </row>
    <row r="5661" spans="1:76" ht="15.75" customHeight="1">
      <c r="A5661" s="25"/>
      <c r="B5661" s="39"/>
      <c r="C5661" s="155"/>
      <c r="D5661" s="155"/>
      <c r="E5661" s="40"/>
      <c r="F5661" s="314"/>
      <c r="H5661" s="315"/>
      <c r="I5661" s="315"/>
      <c r="BA5661" s="30"/>
      <c r="BB5661" s="155"/>
      <c r="BC5661" s="314"/>
      <c r="BD5661" s="314"/>
      <c r="BE5661" s="314"/>
      <c r="BF5661" s="314"/>
      <c r="BG5661" s="314"/>
      <c r="BH5661" s="314"/>
      <c r="BI5661" s="314"/>
      <c r="BJ5661" s="314"/>
      <c r="BK5661" s="40"/>
      <c r="BL5661" s="40"/>
      <c r="BM5661" s="40"/>
      <c r="BN5661" s="40"/>
      <c r="BO5661" s="40"/>
      <c r="BP5661" s="155"/>
      <c r="BQ5661" s="314"/>
      <c r="BR5661" s="314"/>
      <c r="BS5661" s="314"/>
      <c r="BT5661" s="314"/>
      <c r="BU5661" s="314"/>
      <c r="BV5661" s="314"/>
      <c r="BW5661" s="314"/>
      <c r="BX5661" s="155"/>
    </row>
    <row r="5662" spans="1:76" ht="15.75" customHeight="1">
      <c r="A5662" s="25"/>
      <c r="B5662" s="39"/>
      <c r="C5662" s="155"/>
      <c r="D5662" s="155"/>
      <c r="E5662" s="40"/>
      <c r="F5662" s="314"/>
      <c r="H5662" s="315"/>
      <c r="I5662" s="315"/>
      <c r="BA5662" s="30"/>
      <c r="BB5662" s="155"/>
      <c r="BC5662" s="314"/>
      <c r="BD5662" s="314"/>
      <c r="BE5662" s="314"/>
      <c r="BF5662" s="314"/>
      <c r="BG5662" s="314"/>
      <c r="BH5662" s="314"/>
      <c r="BI5662" s="314"/>
      <c r="BJ5662" s="314"/>
      <c r="BK5662" s="40"/>
      <c r="BL5662" s="40"/>
      <c r="BM5662" s="40"/>
      <c r="BN5662" s="40"/>
      <c r="BO5662" s="40"/>
      <c r="BP5662" s="155"/>
      <c r="BQ5662" s="314"/>
      <c r="BR5662" s="314"/>
      <c r="BS5662" s="314"/>
      <c r="BT5662" s="314"/>
      <c r="BU5662" s="314"/>
      <c r="BV5662" s="314"/>
      <c r="BW5662" s="314"/>
      <c r="BX5662" s="155"/>
    </row>
    <row r="5663" spans="1:76" ht="15.75" customHeight="1">
      <c r="A5663" s="25"/>
      <c r="B5663" s="39"/>
      <c r="C5663" s="155"/>
      <c r="D5663" s="155"/>
      <c r="E5663" s="40"/>
      <c r="F5663" s="314"/>
      <c r="H5663" s="315"/>
      <c r="I5663" s="315"/>
      <c r="BA5663" s="30"/>
      <c r="BB5663" s="155"/>
      <c r="BC5663" s="314"/>
      <c r="BD5663" s="314"/>
      <c r="BE5663" s="314"/>
      <c r="BF5663" s="314"/>
      <c r="BG5663" s="314"/>
      <c r="BH5663" s="314"/>
      <c r="BI5663" s="314"/>
      <c r="BJ5663" s="314"/>
      <c r="BK5663" s="40"/>
      <c r="BL5663" s="40"/>
      <c r="BM5663" s="40"/>
      <c r="BN5663" s="40"/>
      <c r="BO5663" s="40"/>
      <c r="BP5663" s="155"/>
      <c r="BQ5663" s="314"/>
      <c r="BR5663" s="314"/>
      <c r="BS5663" s="314"/>
      <c r="BT5663" s="314"/>
      <c r="BU5663" s="314"/>
      <c r="BV5663" s="314"/>
      <c r="BW5663" s="314"/>
      <c r="BX5663" s="155"/>
    </row>
    <row r="5664" spans="1:76" ht="15.75" customHeight="1">
      <c r="A5664" s="25"/>
      <c r="B5664" s="39"/>
      <c r="C5664" s="155"/>
      <c r="D5664" s="155"/>
      <c r="E5664" s="40"/>
      <c r="F5664" s="314"/>
      <c r="H5664" s="315"/>
      <c r="I5664" s="315"/>
      <c r="BA5664" s="30"/>
      <c r="BB5664" s="155"/>
      <c r="BC5664" s="314"/>
      <c r="BD5664" s="314"/>
      <c r="BE5664" s="314"/>
      <c r="BF5664" s="314"/>
      <c r="BG5664" s="314"/>
      <c r="BH5664" s="314"/>
      <c r="BI5664" s="314"/>
      <c r="BJ5664" s="314"/>
      <c r="BK5664" s="40"/>
      <c r="BL5664" s="40"/>
      <c r="BM5664" s="40"/>
      <c r="BN5664" s="40"/>
      <c r="BO5664" s="40"/>
      <c r="BP5664" s="155"/>
      <c r="BQ5664" s="314"/>
      <c r="BR5664" s="314"/>
      <c r="BS5664" s="314"/>
      <c r="BT5664" s="314"/>
      <c r="BU5664" s="314"/>
      <c r="BV5664" s="314"/>
      <c r="BW5664" s="314"/>
      <c r="BX5664" s="155"/>
    </row>
    <row r="5665" spans="1:76" ht="15.75" customHeight="1">
      <c r="A5665" s="25"/>
      <c r="B5665" s="39"/>
      <c r="C5665" s="155"/>
      <c r="D5665" s="155"/>
      <c r="E5665" s="40"/>
      <c r="F5665" s="314"/>
      <c r="H5665" s="315"/>
      <c r="I5665" s="315"/>
      <c r="BA5665" s="30"/>
      <c r="BB5665" s="155"/>
      <c r="BC5665" s="314"/>
      <c r="BD5665" s="314"/>
      <c r="BE5665" s="314"/>
      <c r="BF5665" s="314"/>
      <c r="BG5665" s="314"/>
      <c r="BH5665" s="314"/>
      <c r="BI5665" s="314"/>
      <c r="BJ5665" s="314"/>
      <c r="BK5665" s="40"/>
      <c r="BL5665" s="40"/>
      <c r="BM5665" s="40"/>
      <c r="BN5665" s="40"/>
      <c r="BO5665" s="40"/>
      <c r="BP5665" s="155"/>
      <c r="BQ5665" s="314"/>
      <c r="BR5665" s="314"/>
      <c r="BS5665" s="314"/>
      <c r="BT5665" s="314"/>
      <c r="BU5665" s="314"/>
      <c r="BV5665" s="314"/>
      <c r="BW5665" s="314"/>
      <c r="BX5665" s="155"/>
    </row>
    <row r="5666" spans="1:76" ht="15.75" customHeight="1">
      <c r="A5666" s="25"/>
      <c r="B5666" s="39"/>
      <c r="C5666" s="155"/>
      <c r="D5666" s="155"/>
      <c r="E5666" s="40"/>
      <c r="F5666" s="314"/>
      <c r="H5666" s="315"/>
      <c r="I5666" s="315"/>
      <c r="BA5666" s="30"/>
      <c r="BB5666" s="155"/>
      <c r="BC5666" s="314"/>
      <c r="BD5666" s="314"/>
      <c r="BE5666" s="314"/>
      <c r="BF5666" s="314"/>
      <c r="BG5666" s="314"/>
      <c r="BH5666" s="314"/>
      <c r="BI5666" s="314"/>
      <c r="BJ5666" s="314"/>
      <c r="BK5666" s="40"/>
      <c r="BL5666" s="40"/>
      <c r="BM5666" s="40"/>
      <c r="BN5666" s="40"/>
      <c r="BO5666" s="40"/>
      <c r="BP5666" s="155"/>
      <c r="BQ5666" s="314"/>
      <c r="BR5666" s="314"/>
      <c r="BS5666" s="314"/>
      <c r="BT5666" s="314"/>
      <c r="BU5666" s="314"/>
      <c r="BV5666" s="314"/>
      <c r="BW5666" s="314"/>
      <c r="BX5666" s="155"/>
    </row>
    <row r="5667" spans="1:76" ht="15.75" customHeight="1">
      <c r="A5667" s="25"/>
      <c r="B5667" s="39"/>
      <c r="C5667" s="155"/>
      <c r="D5667" s="155"/>
      <c r="E5667" s="40"/>
      <c r="F5667" s="314"/>
      <c r="H5667" s="315"/>
      <c r="I5667" s="315"/>
      <c r="BA5667" s="30"/>
      <c r="BB5667" s="155"/>
      <c r="BC5667" s="322"/>
      <c r="BD5667" s="322"/>
      <c r="BE5667" s="322"/>
      <c r="BF5667" s="322"/>
      <c r="BG5667" s="322"/>
      <c r="BH5667" s="322"/>
      <c r="BI5667" s="322"/>
      <c r="BJ5667" s="322"/>
      <c r="BK5667" s="341"/>
      <c r="BL5667" s="40"/>
      <c r="BM5667" s="40"/>
      <c r="BN5667" s="40"/>
      <c r="BO5667" s="40"/>
      <c r="BP5667" s="155"/>
      <c r="BQ5667" s="314"/>
      <c r="BR5667" s="314"/>
      <c r="BS5667" s="314"/>
      <c r="BT5667" s="314"/>
      <c r="BU5667" s="314"/>
      <c r="BV5667" s="314"/>
      <c r="BW5667" s="314"/>
      <c r="BX5667" s="155"/>
    </row>
    <row r="5668" spans="1:76" ht="15.75" customHeight="1">
      <c r="A5668" s="25"/>
      <c r="B5668" s="39"/>
      <c r="C5668" s="155"/>
      <c r="D5668" s="155"/>
      <c r="E5668" s="40"/>
      <c r="F5668" s="314"/>
      <c r="H5668" s="315"/>
      <c r="I5668" s="315"/>
      <c r="BA5668" s="30"/>
      <c r="BB5668" s="155"/>
      <c r="BC5668" s="314"/>
      <c r="BD5668" s="314"/>
      <c r="BE5668" s="314"/>
      <c r="BF5668" s="314"/>
      <c r="BG5668" s="314"/>
      <c r="BH5668" s="314"/>
      <c r="BI5668" s="314"/>
      <c r="BJ5668" s="314"/>
      <c r="BK5668" s="40"/>
      <c r="BL5668" s="40"/>
      <c r="BM5668" s="40"/>
      <c r="BN5668" s="40"/>
      <c r="BO5668" s="40"/>
      <c r="BP5668" s="155"/>
      <c r="BQ5668" s="314"/>
      <c r="BR5668" s="314"/>
      <c r="BS5668" s="314"/>
      <c r="BT5668" s="314"/>
      <c r="BU5668" s="314"/>
      <c r="BV5668" s="314"/>
      <c r="BW5668" s="314"/>
      <c r="BX5668" s="155"/>
    </row>
    <row r="5669" spans="1:76" ht="15.75" customHeight="1">
      <c r="A5669" s="25"/>
      <c r="B5669" s="39"/>
      <c r="C5669" s="155"/>
      <c r="D5669" s="155"/>
      <c r="E5669" s="40"/>
      <c r="F5669" s="314"/>
      <c r="H5669" s="315"/>
      <c r="I5669" s="315"/>
      <c r="BA5669" s="30"/>
      <c r="BB5669" s="155"/>
      <c r="BC5669" s="314"/>
      <c r="BD5669" s="314"/>
      <c r="BE5669" s="314"/>
      <c r="BF5669" s="314"/>
      <c r="BG5669" s="314"/>
      <c r="BH5669" s="314"/>
      <c r="BI5669" s="314"/>
      <c r="BJ5669" s="314"/>
      <c r="BK5669" s="40"/>
      <c r="BL5669" s="40"/>
      <c r="BM5669" s="40"/>
      <c r="BN5669" s="40"/>
      <c r="BO5669" s="40"/>
      <c r="BP5669" s="155"/>
      <c r="BQ5669" s="314"/>
      <c r="BR5669" s="314"/>
      <c r="BS5669" s="314"/>
      <c r="BT5669" s="314"/>
      <c r="BU5669" s="314"/>
      <c r="BV5669" s="314"/>
      <c r="BW5669" s="314"/>
      <c r="BX5669" s="155"/>
    </row>
    <row r="5670" spans="1:76" ht="15.75" customHeight="1">
      <c r="A5670" s="25"/>
      <c r="B5670" s="39"/>
      <c r="C5670" s="155"/>
      <c r="D5670" s="155"/>
      <c r="E5670" s="40"/>
      <c r="F5670" s="314"/>
      <c r="H5670" s="315"/>
      <c r="I5670" s="315"/>
      <c r="BA5670" s="30"/>
      <c r="BB5670" s="155"/>
      <c r="BC5670" s="314"/>
      <c r="BD5670" s="314"/>
      <c r="BE5670" s="314"/>
      <c r="BF5670" s="314"/>
      <c r="BG5670" s="314"/>
      <c r="BH5670" s="314"/>
      <c r="BI5670" s="314"/>
      <c r="BJ5670" s="314"/>
      <c r="BK5670" s="40"/>
      <c r="BL5670" s="40"/>
      <c r="BM5670" s="40"/>
      <c r="BN5670" s="40"/>
      <c r="BO5670" s="40"/>
      <c r="BP5670" s="155"/>
      <c r="BQ5670" s="314"/>
      <c r="BR5670" s="314"/>
      <c r="BS5670" s="314"/>
      <c r="BT5670" s="314"/>
      <c r="BU5670" s="314"/>
      <c r="BV5670" s="314"/>
      <c r="BW5670" s="314"/>
      <c r="BX5670" s="155"/>
    </row>
    <row r="5671" spans="1:76" ht="15.75" customHeight="1">
      <c r="A5671" s="25"/>
      <c r="B5671" s="39"/>
      <c r="C5671" s="155"/>
      <c r="D5671" s="155"/>
      <c r="E5671" s="40"/>
      <c r="F5671" s="314"/>
      <c r="H5671" s="315"/>
      <c r="I5671" s="315"/>
      <c r="BA5671" s="30"/>
      <c r="BB5671" s="155"/>
      <c r="BC5671" s="314"/>
      <c r="BD5671" s="314"/>
      <c r="BE5671" s="314"/>
      <c r="BF5671" s="314"/>
      <c r="BG5671" s="314"/>
      <c r="BH5671" s="314"/>
      <c r="BI5671" s="314"/>
      <c r="BJ5671" s="314"/>
      <c r="BK5671" s="40"/>
      <c r="BL5671" s="40"/>
      <c r="BM5671" s="40"/>
      <c r="BN5671" s="40"/>
      <c r="BO5671" s="40"/>
      <c r="BP5671" s="155"/>
      <c r="BQ5671" s="314"/>
      <c r="BR5671" s="314"/>
      <c r="BS5671" s="314"/>
      <c r="BT5671" s="314"/>
      <c r="BU5671" s="314"/>
      <c r="BV5671" s="314"/>
      <c r="BW5671" s="314"/>
      <c r="BX5671" s="155"/>
    </row>
    <row r="5672" spans="1:76" ht="15.75" customHeight="1">
      <c r="A5672" s="25"/>
      <c r="B5672" s="39"/>
      <c r="C5672" s="155"/>
      <c r="D5672" s="155"/>
      <c r="E5672" s="40"/>
      <c r="F5672" s="314"/>
      <c r="H5672" s="315"/>
      <c r="I5672" s="315"/>
      <c r="BA5672" s="30"/>
      <c r="BB5672" s="155"/>
      <c r="BC5672" s="314"/>
      <c r="BD5672" s="314"/>
      <c r="BE5672" s="314"/>
      <c r="BF5672" s="314"/>
      <c r="BG5672" s="314"/>
      <c r="BH5672" s="314"/>
      <c r="BI5672" s="314"/>
      <c r="BJ5672" s="314"/>
      <c r="BK5672" s="40"/>
      <c r="BL5672" s="40"/>
      <c r="BM5672" s="40"/>
      <c r="BN5672" s="40"/>
      <c r="BO5672" s="40"/>
      <c r="BP5672" s="155"/>
      <c r="BQ5672" s="314"/>
      <c r="BR5672" s="314"/>
      <c r="BS5672" s="314"/>
      <c r="BT5672" s="314"/>
      <c r="BU5672" s="314"/>
      <c r="BV5672" s="314"/>
      <c r="BW5672" s="314"/>
      <c r="BX5672" s="155"/>
    </row>
    <row r="5673" spans="1:76" ht="15.75" customHeight="1">
      <c r="A5673" s="25"/>
      <c r="B5673" s="39"/>
      <c r="C5673" s="155"/>
      <c r="D5673" s="155"/>
      <c r="E5673" s="40"/>
      <c r="F5673" s="314"/>
      <c r="H5673" s="315"/>
      <c r="I5673" s="315"/>
      <c r="BA5673" s="30"/>
      <c r="BB5673" s="155"/>
      <c r="BC5673" s="314"/>
      <c r="BD5673" s="314"/>
      <c r="BE5673" s="314"/>
      <c r="BF5673" s="314"/>
      <c r="BG5673" s="314"/>
      <c r="BH5673" s="314"/>
      <c r="BI5673" s="314"/>
      <c r="BJ5673" s="314"/>
      <c r="BK5673" s="40"/>
      <c r="BL5673" s="40"/>
      <c r="BM5673" s="40"/>
      <c r="BN5673" s="40"/>
      <c r="BO5673" s="40"/>
      <c r="BP5673" s="155"/>
      <c r="BQ5673" s="314"/>
      <c r="BR5673" s="314"/>
      <c r="BS5673" s="314"/>
      <c r="BT5673" s="314"/>
      <c r="BU5673" s="314"/>
      <c r="BV5673" s="314"/>
      <c r="BW5673" s="314"/>
      <c r="BX5673" s="155"/>
    </row>
    <row r="5674" spans="1:76" ht="15.75" customHeight="1">
      <c r="A5674" s="25"/>
      <c r="B5674" s="39"/>
      <c r="C5674" s="155"/>
      <c r="D5674" s="155"/>
      <c r="E5674" s="40"/>
      <c r="F5674" s="314"/>
      <c r="H5674" s="315"/>
      <c r="I5674" s="315"/>
      <c r="BA5674" s="30"/>
      <c r="BB5674" s="155"/>
      <c r="BC5674" s="314"/>
      <c r="BD5674" s="314"/>
      <c r="BE5674" s="314"/>
      <c r="BF5674" s="314"/>
      <c r="BG5674" s="314"/>
      <c r="BH5674" s="314"/>
      <c r="BI5674" s="314"/>
      <c r="BJ5674" s="314"/>
      <c r="BK5674" s="40"/>
      <c r="BL5674" s="40"/>
      <c r="BM5674" s="40"/>
      <c r="BN5674" s="40"/>
      <c r="BO5674" s="40"/>
      <c r="BP5674" s="155"/>
      <c r="BQ5674" s="314"/>
      <c r="BR5674" s="314"/>
      <c r="BS5674" s="314"/>
      <c r="BT5674" s="314"/>
      <c r="BU5674" s="314"/>
      <c r="BV5674" s="314"/>
      <c r="BW5674" s="314"/>
      <c r="BX5674" s="155"/>
    </row>
    <row r="5675" spans="1:76" ht="15.75" customHeight="1">
      <c r="A5675" s="25"/>
      <c r="B5675" s="39"/>
      <c r="C5675" s="155"/>
      <c r="D5675" s="155"/>
      <c r="E5675" s="40"/>
      <c r="F5675" s="314"/>
      <c r="H5675" s="315"/>
      <c r="I5675" s="315"/>
      <c r="BA5675" s="30"/>
      <c r="BB5675" s="155"/>
      <c r="BC5675" s="314"/>
      <c r="BD5675" s="314"/>
      <c r="BE5675" s="314"/>
      <c r="BF5675" s="314"/>
      <c r="BG5675" s="314"/>
      <c r="BH5675" s="314"/>
      <c r="BI5675" s="314"/>
      <c r="BJ5675" s="314"/>
      <c r="BK5675" s="40"/>
      <c r="BL5675" s="40"/>
      <c r="BM5675" s="40"/>
      <c r="BN5675" s="40"/>
      <c r="BO5675" s="40"/>
      <c r="BP5675" s="155"/>
      <c r="BQ5675" s="314"/>
      <c r="BR5675" s="314"/>
      <c r="BS5675" s="314"/>
      <c r="BT5675" s="314"/>
      <c r="BU5675" s="314"/>
      <c r="BV5675" s="314"/>
      <c r="BW5675" s="314"/>
      <c r="BX5675" s="155"/>
    </row>
    <row r="5676" spans="1:76" ht="15.75" customHeight="1">
      <c r="A5676" s="25"/>
      <c r="B5676" s="39"/>
      <c r="C5676" s="155"/>
      <c r="D5676" s="155"/>
      <c r="E5676" s="40"/>
      <c r="F5676" s="314"/>
      <c r="H5676" s="315"/>
      <c r="I5676" s="315"/>
      <c r="BA5676" s="30"/>
      <c r="BB5676" s="155"/>
      <c r="BC5676" s="314"/>
      <c r="BD5676" s="314"/>
      <c r="BE5676" s="314"/>
      <c r="BF5676" s="314"/>
      <c r="BG5676" s="314"/>
      <c r="BH5676" s="314"/>
      <c r="BI5676" s="314"/>
      <c r="BJ5676" s="314"/>
      <c r="BK5676" s="40"/>
      <c r="BL5676" s="40"/>
      <c r="BM5676" s="40"/>
      <c r="BN5676" s="40"/>
      <c r="BO5676" s="40"/>
      <c r="BP5676" s="155"/>
      <c r="BQ5676" s="314"/>
      <c r="BR5676" s="314"/>
      <c r="BS5676" s="314"/>
      <c r="BT5676" s="314"/>
      <c r="BU5676" s="314"/>
      <c r="BV5676" s="314"/>
      <c r="BW5676" s="314"/>
      <c r="BX5676" s="155"/>
    </row>
    <row r="5677" spans="1:76" ht="15.75" customHeight="1">
      <c r="A5677" s="25"/>
      <c r="B5677" s="39"/>
      <c r="C5677" s="155"/>
      <c r="D5677" s="155"/>
      <c r="E5677" s="40"/>
      <c r="F5677" s="314"/>
      <c r="H5677" s="315"/>
      <c r="I5677" s="315"/>
      <c r="BA5677" s="30"/>
      <c r="BB5677" s="155"/>
      <c r="BC5677" s="314"/>
      <c r="BD5677" s="314"/>
      <c r="BE5677" s="314"/>
      <c r="BF5677" s="314"/>
      <c r="BG5677" s="314"/>
      <c r="BH5677" s="314"/>
      <c r="BI5677" s="314"/>
      <c r="BJ5677" s="314"/>
      <c r="BK5677" s="40"/>
      <c r="BL5677" s="40"/>
      <c r="BM5677" s="40"/>
      <c r="BN5677" s="40"/>
      <c r="BO5677" s="40"/>
      <c r="BP5677" s="155"/>
      <c r="BQ5677" s="314"/>
      <c r="BR5677" s="314"/>
      <c r="BS5677" s="314"/>
      <c r="BT5677" s="314"/>
      <c r="BU5677" s="314"/>
      <c r="BV5677" s="314"/>
      <c r="BW5677" s="314"/>
      <c r="BX5677" s="155"/>
    </row>
    <row r="5678" spans="1:76" ht="15.75" customHeight="1">
      <c r="A5678" s="25"/>
      <c r="B5678" s="39"/>
      <c r="C5678" s="155"/>
      <c r="D5678" s="155"/>
      <c r="E5678" s="40"/>
      <c r="F5678" s="314"/>
      <c r="H5678" s="315"/>
      <c r="I5678" s="315"/>
      <c r="BA5678" s="30"/>
      <c r="BB5678" s="155"/>
      <c r="BC5678" s="314"/>
      <c r="BD5678" s="314"/>
      <c r="BE5678" s="314"/>
      <c r="BF5678" s="314"/>
      <c r="BG5678" s="314"/>
      <c r="BH5678" s="314"/>
      <c r="BI5678" s="314"/>
      <c r="BJ5678" s="314"/>
      <c r="BK5678" s="40"/>
      <c r="BL5678" s="40"/>
      <c r="BM5678" s="40"/>
      <c r="BN5678" s="40"/>
      <c r="BO5678" s="40"/>
      <c r="BP5678" s="155"/>
      <c r="BQ5678" s="314"/>
      <c r="BR5678" s="314"/>
      <c r="BS5678" s="314"/>
      <c r="BT5678" s="314"/>
      <c r="BU5678" s="314"/>
      <c r="BV5678" s="314"/>
      <c r="BW5678" s="314"/>
      <c r="BX5678" s="155"/>
    </row>
    <row r="5679" spans="1:76" ht="15.75" customHeight="1">
      <c r="A5679" s="25"/>
      <c r="B5679" s="39"/>
      <c r="C5679" s="155"/>
      <c r="D5679" s="155"/>
      <c r="E5679" s="40"/>
      <c r="F5679" s="314"/>
      <c r="H5679" s="315"/>
      <c r="I5679" s="315"/>
      <c r="BA5679" s="30"/>
      <c r="BB5679" s="155"/>
      <c r="BC5679" s="314"/>
      <c r="BD5679" s="314"/>
      <c r="BE5679" s="314"/>
      <c r="BF5679" s="314"/>
      <c r="BG5679" s="314"/>
      <c r="BH5679" s="314"/>
      <c r="BI5679" s="314"/>
      <c r="BJ5679" s="314"/>
      <c r="BK5679" s="40"/>
      <c r="BL5679" s="40"/>
      <c r="BM5679" s="40"/>
      <c r="BN5679" s="40"/>
      <c r="BO5679" s="40"/>
      <c r="BP5679" s="155"/>
      <c r="BQ5679" s="314"/>
      <c r="BR5679" s="314"/>
      <c r="BS5679" s="314"/>
      <c r="BT5679" s="314"/>
      <c r="BU5679" s="314"/>
      <c r="BV5679" s="314"/>
      <c r="BW5679" s="314"/>
      <c r="BX5679" s="155"/>
    </row>
    <row r="5680" spans="1:76" ht="15.75" customHeight="1">
      <c r="A5680" s="25"/>
      <c r="B5680" s="39"/>
      <c r="C5680" s="155"/>
      <c r="D5680" s="155"/>
      <c r="E5680" s="40"/>
      <c r="F5680" s="314"/>
      <c r="H5680" s="315"/>
      <c r="I5680" s="315"/>
      <c r="BA5680" s="30"/>
      <c r="BB5680" s="155"/>
      <c r="BC5680" s="314"/>
      <c r="BD5680" s="314"/>
      <c r="BE5680" s="314"/>
      <c r="BF5680" s="314"/>
      <c r="BG5680" s="314"/>
      <c r="BH5680" s="314"/>
      <c r="BI5680" s="314"/>
      <c r="BJ5680" s="314"/>
      <c r="BK5680" s="40"/>
      <c r="BL5680" s="40"/>
      <c r="BM5680" s="40"/>
      <c r="BN5680" s="40"/>
      <c r="BO5680" s="40"/>
      <c r="BP5680" s="155"/>
      <c r="BQ5680" s="314"/>
      <c r="BR5680" s="314"/>
      <c r="BS5680" s="314"/>
      <c r="BT5680" s="314"/>
      <c r="BU5680" s="314"/>
      <c r="BV5680" s="314"/>
      <c r="BW5680" s="314"/>
      <c r="BX5680" s="155"/>
    </row>
    <row r="5681" spans="1:76" ht="15.75" customHeight="1">
      <c r="A5681" s="25"/>
      <c r="B5681" s="39"/>
      <c r="C5681" s="155"/>
      <c r="D5681" s="155"/>
      <c r="E5681" s="40"/>
      <c r="F5681" s="314"/>
      <c r="H5681" s="315"/>
      <c r="I5681" s="315"/>
      <c r="BA5681" s="30"/>
      <c r="BB5681" s="155"/>
      <c r="BC5681" s="314"/>
      <c r="BD5681" s="314"/>
      <c r="BE5681" s="314"/>
      <c r="BF5681" s="314"/>
      <c r="BG5681" s="314"/>
      <c r="BH5681" s="314"/>
      <c r="BI5681" s="314"/>
      <c r="BJ5681" s="314"/>
      <c r="BK5681" s="40"/>
      <c r="BL5681" s="40"/>
      <c r="BM5681" s="40"/>
      <c r="BN5681" s="40"/>
      <c r="BO5681" s="40"/>
      <c r="BP5681" s="155"/>
      <c r="BQ5681" s="314"/>
      <c r="BR5681" s="314"/>
      <c r="BS5681" s="314"/>
      <c r="BT5681" s="314"/>
      <c r="BU5681" s="314"/>
      <c r="BV5681" s="314"/>
      <c r="BW5681" s="314"/>
      <c r="BX5681" s="155"/>
    </row>
    <row r="5682" spans="1:76" ht="15.75" customHeight="1">
      <c r="A5682" s="25"/>
      <c r="B5682" s="39"/>
      <c r="C5682" s="155"/>
      <c r="D5682" s="155"/>
      <c r="E5682" s="40"/>
      <c r="F5682" s="314"/>
      <c r="H5682" s="315"/>
      <c r="I5682" s="315"/>
      <c r="BA5682" s="30"/>
      <c r="BB5682" s="155"/>
      <c r="BC5682" s="314"/>
      <c r="BD5682" s="314"/>
      <c r="BE5682" s="314"/>
      <c r="BF5682" s="314"/>
      <c r="BG5682" s="314"/>
      <c r="BH5682" s="314"/>
      <c r="BI5682" s="314"/>
      <c r="BJ5682" s="314"/>
      <c r="BK5682" s="40"/>
      <c r="BL5682" s="40"/>
      <c r="BM5682" s="40"/>
      <c r="BN5682" s="40"/>
      <c r="BO5682" s="40"/>
      <c r="BP5682" s="155"/>
      <c r="BQ5682" s="314"/>
      <c r="BR5682" s="314"/>
      <c r="BS5682" s="314"/>
      <c r="BT5682" s="314"/>
      <c r="BU5682" s="314"/>
      <c r="BV5682" s="314"/>
      <c r="BW5682" s="314"/>
      <c r="BX5682" s="155"/>
    </row>
    <row r="5683" spans="1:76" ht="15.75" customHeight="1">
      <c r="A5683" s="25"/>
      <c r="B5683" s="39"/>
      <c r="C5683" s="155"/>
      <c r="D5683" s="155"/>
      <c r="E5683" s="40"/>
      <c r="F5683" s="314"/>
      <c r="H5683" s="315"/>
      <c r="I5683" s="315"/>
      <c r="BA5683" s="30"/>
      <c r="BB5683" s="155"/>
      <c r="BC5683" s="314"/>
      <c r="BD5683" s="314"/>
      <c r="BE5683" s="314"/>
      <c r="BF5683" s="314"/>
      <c r="BG5683" s="314"/>
      <c r="BH5683" s="314"/>
      <c r="BI5683" s="314"/>
      <c r="BJ5683" s="314"/>
      <c r="BK5683" s="40"/>
      <c r="BL5683" s="40"/>
      <c r="BM5683" s="40"/>
      <c r="BN5683" s="40"/>
      <c r="BO5683" s="40"/>
      <c r="BP5683" s="155"/>
      <c r="BQ5683" s="314"/>
      <c r="BR5683" s="314"/>
      <c r="BS5683" s="314"/>
      <c r="BT5683" s="314"/>
      <c r="BU5683" s="314"/>
      <c r="BV5683" s="314"/>
      <c r="BW5683" s="314"/>
      <c r="BX5683" s="155"/>
    </row>
    <row r="5684" spans="1:76" ht="15.75" customHeight="1">
      <c r="A5684" s="25"/>
      <c r="B5684" s="39"/>
      <c r="C5684" s="155"/>
      <c r="D5684" s="155"/>
      <c r="E5684" s="40"/>
      <c r="F5684" s="314"/>
      <c r="H5684" s="315"/>
      <c r="I5684" s="315"/>
      <c r="BA5684" s="30"/>
      <c r="BB5684" s="155"/>
      <c r="BC5684" s="314"/>
      <c r="BD5684" s="314"/>
      <c r="BE5684" s="314"/>
      <c r="BF5684" s="314"/>
      <c r="BG5684" s="314"/>
      <c r="BH5684" s="314"/>
      <c r="BI5684" s="314"/>
      <c r="BJ5684" s="314"/>
      <c r="BK5684" s="40"/>
      <c r="BL5684" s="40"/>
      <c r="BM5684" s="40"/>
      <c r="BN5684" s="40"/>
      <c r="BO5684" s="40"/>
      <c r="BP5684" s="155"/>
      <c r="BQ5684" s="314"/>
      <c r="BR5684" s="314"/>
      <c r="BS5684" s="314"/>
      <c r="BT5684" s="314"/>
      <c r="BU5684" s="314"/>
      <c r="BV5684" s="314"/>
      <c r="BW5684" s="314"/>
      <c r="BX5684" s="155"/>
    </row>
    <row r="5685" spans="1:76" ht="15.75" customHeight="1">
      <c r="A5685" s="25"/>
      <c r="B5685" s="39"/>
      <c r="C5685" s="155"/>
      <c r="D5685" s="155"/>
      <c r="E5685" s="40"/>
      <c r="F5685" s="314"/>
      <c r="H5685" s="315"/>
      <c r="I5685" s="315"/>
      <c r="BA5685" s="30"/>
      <c r="BB5685" s="155"/>
      <c r="BC5685" s="322"/>
      <c r="BD5685" s="322"/>
      <c r="BE5685" s="322"/>
      <c r="BF5685" s="322"/>
      <c r="BG5685" s="322"/>
      <c r="BH5685" s="322"/>
      <c r="BI5685" s="322"/>
      <c r="BJ5685" s="322"/>
      <c r="BK5685" s="341"/>
      <c r="BL5685" s="40"/>
      <c r="BM5685" s="40"/>
      <c r="BN5685" s="40"/>
      <c r="BO5685" s="40"/>
      <c r="BP5685" s="155"/>
      <c r="BQ5685" s="314"/>
      <c r="BR5685" s="314"/>
      <c r="BS5685" s="314"/>
      <c r="BT5685" s="314"/>
      <c r="BU5685" s="314"/>
      <c r="BV5685" s="314"/>
      <c r="BW5685" s="314"/>
      <c r="BX5685" s="155"/>
    </row>
    <row r="5686" spans="1:76" ht="15.75" customHeight="1">
      <c r="A5686" s="25"/>
      <c r="B5686" s="39"/>
      <c r="C5686" s="155"/>
      <c r="D5686" s="155"/>
      <c r="E5686" s="40"/>
      <c r="F5686" s="314"/>
      <c r="H5686" s="315"/>
      <c r="I5686" s="315"/>
      <c r="BA5686" s="30"/>
      <c r="BB5686" s="155"/>
      <c r="BC5686" s="314"/>
      <c r="BD5686" s="314"/>
      <c r="BE5686" s="314"/>
      <c r="BF5686" s="314"/>
      <c r="BG5686" s="314"/>
      <c r="BH5686" s="314"/>
      <c r="BI5686" s="314"/>
      <c r="BJ5686" s="314"/>
      <c r="BK5686" s="40"/>
      <c r="BL5686" s="40"/>
      <c r="BM5686" s="40"/>
      <c r="BN5686" s="40"/>
      <c r="BO5686" s="40"/>
      <c r="BP5686" s="155"/>
      <c r="BQ5686" s="314"/>
      <c r="BR5686" s="314"/>
      <c r="BS5686" s="314"/>
      <c r="BT5686" s="314"/>
      <c r="BU5686" s="314"/>
      <c r="BV5686" s="314"/>
      <c r="BW5686" s="314"/>
      <c r="BX5686" s="155"/>
    </row>
    <row r="5687" spans="1:76" ht="15.75" customHeight="1">
      <c r="A5687" s="25"/>
      <c r="B5687" s="39"/>
      <c r="C5687" s="155"/>
      <c r="D5687" s="155"/>
      <c r="E5687" s="40"/>
      <c r="F5687" s="314"/>
      <c r="H5687" s="315"/>
      <c r="I5687" s="315"/>
      <c r="BA5687" s="30"/>
      <c r="BB5687" s="155"/>
      <c r="BC5687" s="314"/>
      <c r="BD5687" s="314"/>
      <c r="BE5687" s="314"/>
      <c r="BF5687" s="314"/>
      <c r="BG5687" s="314"/>
      <c r="BH5687" s="314"/>
      <c r="BI5687" s="314"/>
      <c r="BJ5687" s="314"/>
      <c r="BK5687" s="40"/>
      <c r="BL5687" s="40"/>
      <c r="BM5687" s="40"/>
      <c r="BN5687" s="40"/>
      <c r="BO5687" s="40"/>
      <c r="BP5687" s="155"/>
      <c r="BQ5687" s="314"/>
      <c r="BR5687" s="314"/>
      <c r="BS5687" s="314"/>
      <c r="BT5687" s="314"/>
      <c r="BU5687" s="314"/>
      <c r="BV5687" s="314"/>
      <c r="BW5687" s="314"/>
      <c r="BX5687" s="155"/>
    </row>
    <row r="5688" spans="1:76" ht="15.75" customHeight="1">
      <c r="A5688" s="25"/>
      <c r="B5688" s="39"/>
      <c r="C5688" s="155"/>
      <c r="D5688" s="155"/>
      <c r="E5688" s="40"/>
      <c r="F5688" s="314"/>
      <c r="H5688" s="315"/>
      <c r="I5688" s="315"/>
      <c r="BA5688" s="30"/>
      <c r="BB5688" s="155"/>
      <c r="BC5688" s="314"/>
      <c r="BD5688" s="314"/>
      <c r="BE5688" s="314"/>
      <c r="BF5688" s="314"/>
      <c r="BG5688" s="314"/>
      <c r="BH5688" s="314"/>
      <c r="BI5688" s="314"/>
      <c r="BJ5688" s="314"/>
      <c r="BK5688" s="40"/>
      <c r="BL5688" s="40"/>
      <c r="BM5688" s="40"/>
      <c r="BN5688" s="40"/>
      <c r="BO5688" s="40"/>
      <c r="BP5688" s="155"/>
      <c r="BQ5688" s="314"/>
      <c r="BR5688" s="314"/>
      <c r="BS5688" s="314"/>
      <c r="BT5688" s="314"/>
      <c r="BU5688" s="314"/>
      <c r="BV5688" s="314"/>
      <c r="BW5688" s="314"/>
      <c r="BX5688" s="155"/>
    </row>
    <row r="5689" spans="1:76" ht="15.75" customHeight="1">
      <c r="A5689" s="25"/>
      <c r="B5689" s="39"/>
      <c r="C5689" s="155"/>
      <c r="D5689" s="155"/>
      <c r="E5689" s="40"/>
      <c r="F5689" s="314"/>
      <c r="H5689" s="315"/>
      <c r="I5689" s="315"/>
      <c r="BA5689" s="30"/>
      <c r="BB5689" s="155"/>
      <c r="BC5689" s="314"/>
      <c r="BD5689" s="314"/>
      <c r="BE5689" s="314"/>
      <c r="BF5689" s="314"/>
      <c r="BG5689" s="314"/>
      <c r="BH5689" s="314"/>
      <c r="BI5689" s="314"/>
      <c r="BJ5689" s="314"/>
      <c r="BK5689" s="40"/>
      <c r="BL5689" s="40"/>
      <c r="BM5689" s="40"/>
      <c r="BN5689" s="40"/>
      <c r="BO5689" s="40"/>
      <c r="BP5689" s="155"/>
      <c r="BQ5689" s="314"/>
      <c r="BR5689" s="314"/>
      <c r="BS5689" s="314"/>
      <c r="BT5689" s="314"/>
      <c r="BU5689" s="314"/>
      <c r="BV5689" s="314"/>
      <c r="BW5689" s="314"/>
      <c r="BX5689" s="155"/>
    </row>
    <row r="5690" spans="1:76" ht="15.75" customHeight="1">
      <c r="A5690" s="25"/>
      <c r="B5690" s="39"/>
      <c r="C5690" s="155"/>
      <c r="D5690" s="155"/>
      <c r="E5690" s="40"/>
      <c r="F5690" s="314"/>
      <c r="H5690" s="315"/>
      <c r="I5690" s="315"/>
      <c r="BA5690" s="30"/>
      <c r="BB5690" s="155"/>
      <c r="BC5690" s="314"/>
      <c r="BD5690" s="314"/>
      <c r="BE5690" s="314"/>
      <c r="BF5690" s="314"/>
      <c r="BG5690" s="314"/>
      <c r="BH5690" s="314"/>
      <c r="BI5690" s="314"/>
      <c r="BJ5690" s="314"/>
      <c r="BK5690" s="40"/>
      <c r="BL5690" s="40"/>
      <c r="BM5690" s="40"/>
      <c r="BN5690" s="40"/>
      <c r="BO5690" s="40"/>
      <c r="BP5690" s="155"/>
      <c r="BQ5690" s="314"/>
      <c r="BR5690" s="314"/>
      <c r="BS5690" s="314"/>
      <c r="BT5690" s="314"/>
      <c r="BU5690" s="314"/>
      <c r="BV5690" s="314"/>
      <c r="BW5690" s="314"/>
      <c r="BX5690" s="155"/>
    </row>
    <row r="5691" spans="1:76" ht="15.75" customHeight="1">
      <c r="A5691" s="25"/>
      <c r="B5691" s="39"/>
      <c r="C5691" s="155"/>
      <c r="D5691" s="155"/>
      <c r="E5691" s="40"/>
      <c r="F5691" s="314"/>
      <c r="H5691" s="315"/>
      <c r="I5691" s="315"/>
      <c r="BA5691" s="30"/>
      <c r="BB5691" s="155"/>
      <c r="BC5691" s="314"/>
      <c r="BD5691" s="314"/>
      <c r="BE5691" s="314"/>
      <c r="BF5691" s="314"/>
      <c r="BG5691" s="314"/>
      <c r="BH5691" s="314"/>
      <c r="BI5691" s="314"/>
      <c r="BJ5691" s="314"/>
      <c r="BK5691" s="40"/>
      <c r="BL5691" s="40"/>
      <c r="BM5691" s="40"/>
      <c r="BN5691" s="40"/>
      <c r="BO5691" s="40"/>
      <c r="BP5691" s="155"/>
      <c r="BQ5691" s="314"/>
      <c r="BR5691" s="314"/>
      <c r="BS5691" s="314"/>
      <c r="BT5691" s="314"/>
      <c r="BU5691" s="314"/>
      <c r="BV5691" s="314"/>
      <c r="BW5691" s="314"/>
      <c r="BX5691" s="155"/>
    </row>
    <row r="5692" spans="1:76" ht="15.75" customHeight="1">
      <c r="A5692" s="25"/>
      <c r="B5692" s="39"/>
      <c r="C5692" s="155"/>
      <c r="D5692" s="155"/>
      <c r="E5692" s="40"/>
      <c r="F5692" s="314"/>
      <c r="H5692" s="315"/>
      <c r="I5692" s="315"/>
      <c r="BA5692" s="30"/>
      <c r="BB5692" s="155"/>
      <c r="BC5692" s="314"/>
      <c r="BD5692" s="314"/>
      <c r="BE5692" s="314"/>
      <c r="BF5692" s="314"/>
      <c r="BG5692" s="314"/>
      <c r="BH5692" s="314"/>
      <c r="BI5692" s="314"/>
      <c r="BJ5692" s="314"/>
      <c r="BK5692" s="40"/>
      <c r="BL5692" s="40"/>
      <c r="BM5692" s="40"/>
      <c r="BN5692" s="40"/>
      <c r="BO5692" s="40"/>
      <c r="BP5692" s="155"/>
      <c r="BQ5692" s="314"/>
      <c r="BR5692" s="314"/>
      <c r="BS5692" s="314"/>
      <c r="BT5692" s="314"/>
      <c r="BU5692" s="314"/>
      <c r="BV5692" s="314"/>
      <c r="BW5692" s="314"/>
      <c r="BX5692" s="155"/>
    </row>
    <row r="5693" spans="1:76" ht="15.75" customHeight="1">
      <c r="A5693" s="25"/>
      <c r="B5693" s="39"/>
      <c r="C5693" s="155"/>
      <c r="D5693" s="155"/>
      <c r="E5693" s="40"/>
      <c r="F5693" s="314"/>
      <c r="H5693" s="315"/>
      <c r="I5693" s="315"/>
      <c r="BA5693" s="30"/>
      <c r="BB5693" s="155"/>
      <c r="BC5693" s="314"/>
      <c r="BD5693" s="314"/>
      <c r="BE5693" s="314"/>
      <c r="BF5693" s="314"/>
      <c r="BG5693" s="314"/>
      <c r="BH5693" s="314"/>
      <c r="BI5693" s="314"/>
      <c r="BJ5693" s="314"/>
      <c r="BK5693" s="40"/>
      <c r="BL5693" s="40"/>
      <c r="BM5693" s="40"/>
      <c r="BN5693" s="40"/>
      <c r="BO5693" s="40"/>
      <c r="BP5693" s="155"/>
      <c r="BQ5693" s="314"/>
      <c r="BR5693" s="314"/>
      <c r="BS5693" s="314"/>
      <c r="BT5693" s="314"/>
      <c r="BU5693" s="314"/>
      <c r="BV5693" s="314"/>
      <c r="BW5693" s="314"/>
      <c r="BX5693" s="155"/>
    </row>
    <row r="5694" spans="1:76" ht="15.75" customHeight="1">
      <c r="A5694" s="25"/>
      <c r="B5694" s="39"/>
      <c r="C5694" s="155"/>
      <c r="D5694" s="155"/>
      <c r="E5694" s="40"/>
      <c r="F5694" s="314"/>
      <c r="H5694" s="315"/>
      <c r="I5694" s="315"/>
      <c r="BA5694" s="30"/>
      <c r="BB5694" s="155"/>
      <c r="BC5694" s="314"/>
      <c r="BD5694" s="314"/>
      <c r="BE5694" s="314"/>
      <c r="BF5694" s="314"/>
      <c r="BG5694" s="314"/>
      <c r="BH5694" s="314"/>
      <c r="BI5694" s="314"/>
      <c r="BJ5694" s="314"/>
      <c r="BK5694" s="40"/>
      <c r="BL5694" s="40"/>
      <c r="BM5694" s="40"/>
      <c r="BN5694" s="40"/>
      <c r="BO5694" s="40"/>
      <c r="BP5694" s="155"/>
      <c r="BQ5694" s="314"/>
      <c r="BR5694" s="314"/>
      <c r="BS5694" s="314"/>
      <c r="BT5694" s="314"/>
      <c r="BU5694" s="314"/>
      <c r="BV5694" s="314"/>
      <c r="BW5694" s="314"/>
      <c r="BX5694" s="155"/>
    </row>
    <row r="5695" spans="1:76" ht="15.75" customHeight="1">
      <c r="A5695" s="25"/>
      <c r="B5695" s="39"/>
      <c r="C5695" s="155"/>
      <c r="D5695" s="155"/>
      <c r="E5695" s="40"/>
      <c r="F5695" s="314"/>
      <c r="H5695" s="315"/>
      <c r="I5695" s="315"/>
      <c r="BA5695" s="30"/>
      <c r="BB5695" s="155"/>
      <c r="BC5695" s="314"/>
      <c r="BD5695" s="314"/>
      <c r="BE5695" s="314"/>
      <c r="BF5695" s="314"/>
      <c r="BG5695" s="314"/>
      <c r="BH5695" s="314"/>
      <c r="BI5695" s="314"/>
      <c r="BJ5695" s="314"/>
      <c r="BK5695" s="40"/>
      <c r="BL5695" s="40"/>
      <c r="BM5695" s="40"/>
      <c r="BN5695" s="40"/>
      <c r="BO5695" s="40"/>
      <c r="BP5695" s="155"/>
      <c r="BQ5695" s="314"/>
      <c r="BR5695" s="314"/>
      <c r="BS5695" s="314"/>
      <c r="BT5695" s="314"/>
      <c r="BU5695" s="314"/>
      <c r="BV5695" s="314"/>
      <c r="BW5695" s="314"/>
      <c r="BX5695" s="155"/>
    </row>
    <row r="5696" spans="1:76" ht="15.75" customHeight="1">
      <c r="A5696" s="25"/>
      <c r="B5696" s="39"/>
      <c r="C5696" s="155"/>
      <c r="D5696" s="155"/>
      <c r="E5696" s="40"/>
      <c r="F5696" s="314"/>
      <c r="H5696" s="315"/>
      <c r="I5696" s="315"/>
      <c r="BA5696" s="30"/>
      <c r="BB5696" s="155"/>
      <c r="BC5696" s="314"/>
      <c r="BD5696" s="314"/>
      <c r="BE5696" s="314"/>
      <c r="BF5696" s="314"/>
      <c r="BG5696" s="314"/>
      <c r="BH5696" s="314"/>
      <c r="BI5696" s="314"/>
      <c r="BJ5696" s="314"/>
      <c r="BK5696" s="40"/>
      <c r="BL5696" s="40"/>
      <c r="BM5696" s="40"/>
      <c r="BN5696" s="40"/>
      <c r="BO5696" s="40"/>
      <c r="BP5696" s="155"/>
      <c r="BQ5696" s="314"/>
      <c r="BR5696" s="314"/>
      <c r="BS5696" s="314"/>
      <c r="BT5696" s="314"/>
      <c r="BU5696" s="314"/>
      <c r="BV5696" s="314"/>
      <c r="BW5696" s="314"/>
      <c r="BX5696" s="155"/>
    </row>
    <row r="5697" spans="1:76" ht="15.75" customHeight="1">
      <c r="A5697" s="25"/>
      <c r="B5697" s="39"/>
      <c r="C5697" s="155"/>
      <c r="D5697" s="155"/>
      <c r="E5697" s="40"/>
      <c r="F5697" s="314"/>
      <c r="H5697" s="315"/>
      <c r="I5697" s="315"/>
      <c r="BA5697" s="30"/>
      <c r="BB5697" s="155"/>
      <c r="BC5697" s="314"/>
      <c r="BD5697" s="314"/>
      <c r="BE5697" s="314"/>
      <c r="BF5697" s="314"/>
      <c r="BG5697" s="314"/>
      <c r="BH5697" s="314"/>
      <c r="BI5697" s="314"/>
      <c r="BJ5697" s="314"/>
      <c r="BK5697" s="40"/>
      <c r="BL5697" s="40"/>
      <c r="BM5697" s="40"/>
      <c r="BN5697" s="40"/>
      <c r="BO5697" s="40"/>
      <c r="BP5697" s="155"/>
      <c r="BQ5697" s="314"/>
      <c r="BR5697" s="314"/>
      <c r="BS5697" s="314"/>
      <c r="BT5697" s="314"/>
      <c r="BU5697" s="314"/>
      <c r="BV5697" s="314"/>
      <c r="BW5697" s="314"/>
      <c r="BX5697" s="155"/>
    </row>
    <row r="5698" spans="1:76" ht="15.75" customHeight="1">
      <c r="A5698" s="25"/>
      <c r="B5698" s="39"/>
      <c r="C5698" s="155"/>
      <c r="D5698" s="155"/>
      <c r="E5698" s="40"/>
      <c r="F5698" s="314"/>
      <c r="H5698" s="315"/>
      <c r="I5698" s="315"/>
      <c r="BA5698" s="30"/>
      <c r="BB5698" s="155"/>
      <c r="BC5698" s="314"/>
      <c r="BD5698" s="314"/>
      <c r="BE5698" s="314"/>
      <c r="BF5698" s="314"/>
      <c r="BG5698" s="314"/>
      <c r="BH5698" s="314"/>
      <c r="BI5698" s="314"/>
      <c r="BJ5698" s="314"/>
      <c r="BK5698" s="40"/>
      <c r="BL5698" s="40"/>
      <c r="BM5698" s="40"/>
      <c r="BN5698" s="40"/>
      <c r="BO5698" s="40"/>
      <c r="BP5698" s="155"/>
      <c r="BQ5698" s="314"/>
      <c r="BR5698" s="314"/>
      <c r="BS5698" s="314"/>
      <c r="BT5698" s="314"/>
      <c r="BU5698" s="314"/>
      <c r="BV5698" s="314"/>
      <c r="BW5698" s="314"/>
      <c r="BX5698" s="155"/>
    </row>
    <row r="5699" spans="1:76" ht="15.75" customHeight="1">
      <c r="A5699" s="25"/>
      <c r="B5699" s="39"/>
      <c r="C5699" s="155"/>
      <c r="D5699" s="155"/>
      <c r="E5699" s="40"/>
      <c r="F5699" s="314"/>
      <c r="H5699" s="315"/>
      <c r="I5699" s="315"/>
      <c r="BA5699" s="30"/>
      <c r="BB5699" s="155"/>
      <c r="BC5699" s="314"/>
      <c r="BD5699" s="314"/>
      <c r="BE5699" s="314"/>
      <c r="BF5699" s="314"/>
      <c r="BG5699" s="314"/>
      <c r="BH5699" s="314"/>
      <c r="BI5699" s="314"/>
      <c r="BJ5699" s="314"/>
      <c r="BK5699" s="40"/>
      <c r="BL5699" s="40"/>
      <c r="BM5699" s="40"/>
      <c r="BN5699" s="40"/>
      <c r="BO5699" s="40"/>
      <c r="BP5699" s="155"/>
      <c r="BQ5699" s="314"/>
      <c r="BR5699" s="314"/>
      <c r="BS5699" s="314"/>
      <c r="BT5699" s="314"/>
      <c r="BU5699" s="314"/>
      <c r="BV5699" s="314"/>
      <c r="BW5699" s="314"/>
      <c r="BX5699" s="155"/>
    </row>
    <row r="5700" spans="1:76" ht="15.75" customHeight="1">
      <c r="A5700" s="25"/>
      <c r="B5700" s="39"/>
      <c r="C5700" s="155"/>
      <c r="D5700" s="155"/>
      <c r="E5700" s="40"/>
      <c r="F5700" s="314"/>
      <c r="H5700" s="315"/>
      <c r="I5700" s="315"/>
      <c r="BA5700" s="30"/>
      <c r="BB5700" s="155"/>
      <c r="BC5700" s="314"/>
      <c r="BD5700" s="314"/>
      <c r="BE5700" s="314"/>
      <c r="BF5700" s="314"/>
      <c r="BG5700" s="314"/>
      <c r="BH5700" s="314"/>
      <c r="BI5700" s="314"/>
      <c r="BJ5700" s="314"/>
      <c r="BK5700" s="40"/>
      <c r="BL5700" s="40"/>
      <c r="BM5700" s="40"/>
      <c r="BN5700" s="40"/>
      <c r="BO5700" s="40"/>
      <c r="BP5700" s="155"/>
      <c r="BQ5700" s="314"/>
      <c r="BR5700" s="314"/>
      <c r="BS5700" s="314"/>
      <c r="BT5700" s="314"/>
      <c r="BU5700" s="314"/>
      <c r="BV5700" s="314"/>
      <c r="BW5700" s="314"/>
      <c r="BX5700" s="155"/>
    </row>
    <row r="5701" spans="1:76" ht="15.75" customHeight="1">
      <c r="A5701" s="25"/>
      <c r="B5701" s="39"/>
      <c r="C5701" s="155"/>
      <c r="D5701" s="155"/>
      <c r="E5701" s="40"/>
      <c r="F5701" s="314"/>
      <c r="H5701" s="315"/>
      <c r="I5701" s="315"/>
      <c r="BA5701" s="30"/>
      <c r="BB5701" s="155"/>
      <c r="BC5701" s="314"/>
      <c r="BD5701" s="314"/>
      <c r="BE5701" s="314"/>
      <c r="BF5701" s="314"/>
      <c r="BG5701" s="314"/>
      <c r="BH5701" s="314"/>
      <c r="BI5701" s="314"/>
      <c r="BJ5701" s="314"/>
      <c r="BK5701" s="40"/>
      <c r="BL5701" s="40"/>
      <c r="BM5701" s="40"/>
      <c r="BN5701" s="40"/>
      <c r="BO5701" s="40"/>
      <c r="BP5701" s="155"/>
      <c r="BQ5701" s="314"/>
      <c r="BR5701" s="314"/>
      <c r="BS5701" s="314"/>
      <c r="BT5701" s="314"/>
      <c r="BU5701" s="314"/>
      <c r="BV5701" s="314"/>
      <c r="BW5701" s="314"/>
      <c r="BX5701" s="155"/>
    </row>
    <row r="5702" spans="1:76" ht="15.75" customHeight="1">
      <c r="A5702" s="25"/>
      <c r="B5702" s="39"/>
      <c r="C5702" s="155"/>
      <c r="D5702" s="155"/>
      <c r="E5702" s="40"/>
      <c r="F5702" s="314"/>
      <c r="H5702" s="315"/>
      <c r="I5702" s="315"/>
      <c r="BA5702" s="30"/>
      <c r="BB5702" s="155"/>
      <c r="BC5702" s="314"/>
      <c r="BD5702" s="314"/>
      <c r="BE5702" s="314"/>
      <c r="BF5702" s="314"/>
      <c r="BG5702" s="314"/>
      <c r="BH5702" s="314"/>
      <c r="BI5702" s="314"/>
      <c r="BJ5702" s="314"/>
      <c r="BK5702" s="40"/>
      <c r="BL5702" s="40"/>
      <c r="BM5702" s="40"/>
      <c r="BN5702" s="40"/>
      <c r="BO5702" s="40"/>
      <c r="BP5702" s="155"/>
      <c r="BQ5702" s="314"/>
      <c r="BR5702" s="314"/>
      <c r="BS5702" s="314"/>
      <c r="BT5702" s="314"/>
      <c r="BU5702" s="314"/>
      <c r="BV5702" s="314"/>
      <c r="BW5702" s="314"/>
      <c r="BX5702" s="155"/>
    </row>
    <row r="5703" spans="1:76" ht="15.75" customHeight="1">
      <c r="A5703" s="25"/>
      <c r="B5703" s="39"/>
      <c r="C5703" s="155"/>
      <c r="D5703" s="155"/>
      <c r="E5703" s="40"/>
      <c r="F5703" s="314"/>
      <c r="H5703" s="315"/>
      <c r="I5703" s="315"/>
      <c r="BA5703" s="30"/>
      <c r="BB5703" s="155"/>
      <c r="BC5703" s="322"/>
      <c r="BD5703" s="322"/>
      <c r="BE5703" s="322"/>
      <c r="BF5703" s="322"/>
      <c r="BG5703" s="322"/>
      <c r="BH5703" s="322"/>
      <c r="BI5703" s="322"/>
      <c r="BJ5703" s="322"/>
      <c r="BK5703" s="341"/>
      <c r="BL5703" s="40"/>
      <c r="BM5703" s="40"/>
      <c r="BN5703" s="40"/>
      <c r="BO5703" s="40"/>
      <c r="BP5703" s="155"/>
      <c r="BQ5703" s="314"/>
      <c r="BR5703" s="314"/>
      <c r="BS5703" s="314"/>
      <c r="BT5703" s="314"/>
      <c r="BU5703" s="314"/>
      <c r="BV5703" s="314"/>
      <c r="BW5703" s="314"/>
      <c r="BX5703" s="155"/>
    </row>
    <row r="5704" spans="1:76" ht="15.75" customHeight="1">
      <c r="A5704" s="25"/>
      <c r="B5704" s="39"/>
      <c r="C5704" s="155"/>
      <c r="D5704" s="155"/>
      <c r="E5704" s="40"/>
      <c r="F5704" s="314"/>
      <c r="H5704" s="315"/>
      <c r="I5704" s="315"/>
      <c r="BA5704" s="30"/>
      <c r="BB5704" s="155"/>
      <c r="BC5704" s="314"/>
      <c r="BD5704" s="314"/>
      <c r="BE5704" s="314"/>
      <c r="BF5704" s="314"/>
      <c r="BG5704" s="314"/>
      <c r="BH5704" s="314"/>
      <c r="BI5704" s="314"/>
      <c r="BJ5704" s="314"/>
      <c r="BK5704" s="40"/>
      <c r="BL5704" s="40"/>
      <c r="BM5704" s="40"/>
      <c r="BN5704" s="40"/>
      <c r="BO5704" s="40"/>
      <c r="BP5704" s="155"/>
      <c r="BQ5704" s="314"/>
      <c r="BR5704" s="314"/>
      <c r="BS5704" s="314"/>
      <c r="BT5704" s="314"/>
      <c r="BU5704" s="314"/>
      <c r="BV5704" s="314"/>
      <c r="BW5704" s="314"/>
      <c r="BX5704" s="155"/>
    </row>
    <row r="5705" spans="1:76" ht="15.75" customHeight="1">
      <c r="A5705" s="25"/>
      <c r="B5705" s="39"/>
      <c r="C5705" s="155"/>
      <c r="D5705" s="155"/>
      <c r="E5705" s="40"/>
      <c r="F5705" s="314"/>
      <c r="H5705" s="315"/>
      <c r="I5705" s="315"/>
      <c r="BA5705" s="30"/>
      <c r="BB5705" s="155"/>
      <c r="BC5705" s="314"/>
      <c r="BD5705" s="314"/>
      <c r="BE5705" s="314"/>
      <c r="BF5705" s="314"/>
      <c r="BG5705" s="314"/>
      <c r="BH5705" s="314"/>
      <c r="BI5705" s="314"/>
      <c r="BJ5705" s="314"/>
      <c r="BK5705" s="40"/>
      <c r="BL5705" s="40"/>
      <c r="BM5705" s="40"/>
      <c r="BN5705" s="40"/>
      <c r="BO5705" s="40"/>
      <c r="BP5705" s="155"/>
      <c r="BQ5705" s="314"/>
      <c r="BR5705" s="314"/>
      <c r="BS5705" s="314"/>
      <c r="BT5705" s="314"/>
      <c r="BU5705" s="314"/>
      <c r="BV5705" s="314"/>
      <c r="BW5705" s="314"/>
      <c r="BX5705" s="155"/>
    </row>
    <row r="5706" spans="1:76" ht="15.75" customHeight="1">
      <c r="A5706" s="25"/>
      <c r="B5706" s="39"/>
      <c r="C5706" s="155"/>
      <c r="D5706" s="155"/>
      <c r="E5706" s="40"/>
      <c r="F5706" s="314"/>
      <c r="H5706" s="315"/>
      <c r="I5706" s="315"/>
      <c r="BA5706" s="30"/>
      <c r="BB5706" s="155"/>
      <c r="BC5706" s="314"/>
      <c r="BD5706" s="314"/>
      <c r="BE5706" s="314"/>
      <c r="BF5706" s="314"/>
      <c r="BG5706" s="314"/>
      <c r="BH5706" s="314"/>
      <c r="BI5706" s="314"/>
      <c r="BJ5706" s="314"/>
      <c r="BK5706" s="40"/>
      <c r="BL5706" s="40"/>
      <c r="BM5706" s="40"/>
      <c r="BN5706" s="40"/>
      <c r="BO5706" s="40"/>
      <c r="BP5706" s="155"/>
      <c r="BQ5706" s="314"/>
      <c r="BR5706" s="314"/>
      <c r="BS5706" s="314"/>
      <c r="BT5706" s="314"/>
      <c r="BU5706" s="314"/>
      <c r="BV5706" s="314"/>
      <c r="BW5706" s="314"/>
      <c r="BX5706" s="155"/>
    </row>
    <row r="5707" spans="1:76" ht="15.75" customHeight="1">
      <c r="A5707" s="25"/>
      <c r="B5707" s="39"/>
      <c r="C5707" s="155"/>
      <c r="D5707" s="155"/>
      <c r="E5707" s="40"/>
      <c r="F5707" s="314"/>
      <c r="H5707" s="315"/>
      <c r="I5707" s="315"/>
      <c r="BA5707" s="30"/>
      <c r="BB5707" s="155"/>
      <c r="BC5707" s="314"/>
      <c r="BD5707" s="314"/>
      <c r="BE5707" s="314"/>
      <c r="BF5707" s="314"/>
      <c r="BG5707" s="314"/>
      <c r="BH5707" s="314"/>
      <c r="BI5707" s="314"/>
      <c r="BJ5707" s="314"/>
      <c r="BK5707" s="40"/>
      <c r="BL5707" s="40"/>
      <c r="BM5707" s="40"/>
      <c r="BN5707" s="40"/>
      <c r="BO5707" s="40"/>
      <c r="BP5707" s="155"/>
      <c r="BQ5707" s="314"/>
      <c r="BR5707" s="314"/>
      <c r="BS5707" s="314"/>
      <c r="BT5707" s="314"/>
      <c r="BU5707" s="314"/>
      <c r="BV5707" s="314"/>
      <c r="BW5707" s="314"/>
      <c r="BX5707" s="155"/>
    </row>
    <row r="5708" spans="1:76" ht="15.75" customHeight="1">
      <c r="A5708" s="25"/>
      <c r="B5708" s="39"/>
      <c r="C5708" s="155"/>
      <c r="D5708" s="155"/>
      <c r="E5708" s="40"/>
      <c r="F5708" s="314"/>
      <c r="H5708" s="315"/>
      <c r="I5708" s="315"/>
      <c r="BA5708" s="30"/>
      <c r="BB5708" s="155"/>
      <c r="BC5708" s="314"/>
      <c r="BD5708" s="314"/>
      <c r="BE5708" s="314"/>
      <c r="BF5708" s="314"/>
      <c r="BG5708" s="314"/>
      <c r="BH5708" s="314"/>
      <c r="BI5708" s="314"/>
      <c r="BJ5708" s="314"/>
      <c r="BK5708" s="40"/>
      <c r="BL5708" s="40"/>
      <c r="BM5708" s="40"/>
      <c r="BN5708" s="40"/>
      <c r="BO5708" s="40"/>
      <c r="BP5708" s="155"/>
      <c r="BQ5708" s="314"/>
      <c r="BR5708" s="314"/>
      <c r="BS5708" s="314"/>
      <c r="BT5708" s="314"/>
      <c r="BU5708" s="314"/>
      <c r="BV5708" s="314"/>
      <c r="BW5708" s="314"/>
      <c r="BX5708" s="155"/>
    </row>
    <row r="5709" spans="1:76" ht="15.75" customHeight="1">
      <c r="A5709" s="25"/>
      <c r="B5709" s="39"/>
      <c r="C5709" s="155"/>
      <c r="D5709" s="155"/>
      <c r="E5709" s="40"/>
      <c r="F5709" s="314"/>
      <c r="H5709" s="315"/>
      <c r="I5709" s="315"/>
      <c r="BA5709" s="30"/>
      <c r="BB5709" s="155"/>
      <c r="BC5709" s="314"/>
      <c r="BD5709" s="314"/>
      <c r="BE5709" s="314"/>
      <c r="BF5709" s="314"/>
      <c r="BG5709" s="314"/>
      <c r="BH5709" s="314"/>
      <c r="BI5709" s="314"/>
      <c r="BJ5709" s="314"/>
      <c r="BK5709" s="40"/>
      <c r="BL5709" s="40"/>
      <c r="BM5709" s="40"/>
      <c r="BN5709" s="40"/>
      <c r="BO5709" s="40"/>
      <c r="BP5709" s="155"/>
      <c r="BQ5709" s="314"/>
      <c r="BR5709" s="314"/>
      <c r="BS5709" s="314"/>
      <c r="BT5709" s="314"/>
      <c r="BU5709" s="314"/>
      <c r="BV5709" s="314"/>
      <c r="BW5709" s="314"/>
      <c r="BX5709" s="155"/>
    </row>
    <row r="5710" spans="1:76" ht="15.75" customHeight="1">
      <c r="A5710" s="25"/>
      <c r="B5710" s="39"/>
      <c r="C5710" s="155"/>
      <c r="D5710" s="155"/>
      <c r="E5710" s="40"/>
      <c r="F5710" s="314"/>
      <c r="H5710" s="315"/>
      <c r="I5710" s="315"/>
      <c r="BA5710" s="30"/>
      <c r="BB5710" s="155"/>
      <c r="BC5710" s="314"/>
      <c r="BD5710" s="314"/>
      <c r="BE5710" s="314"/>
      <c r="BF5710" s="314"/>
      <c r="BG5710" s="314"/>
      <c r="BH5710" s="314"/>
      <c r="BI5710" s="314"/>
      <c r="BJ5710" s="314"/>
      <c r="BK5710" s="40"/>
      <c r="BL5710" s="40"/>
      <c r="BM5710" s="40"/>
      <c r="BN5710" s="40"/>
      <c r="BO5710" s="40"/>
      <c r="BP5710" s="155"/>
      <c r="BQ5710" s="314"/>
      <c r="BR5710" s="314"/>
      <c r="BS5710" s="314"/>
      <c r="BT5710" s="314"/>
      <c r="BU5710" s="314"/>
      <c r="BV5710" s="314"/>
      <c r="BW5710" s="314"/>
      <c r="BX5710" s="155"/>
    </row>
    <row r="5711" spans="1:76" ht="15.75" customHeight="1">
      <c r="A5711" s="25"/>
      <c r="B5711" s="39"/>
      <c r="C5711" s="155"/>
      <c r="D5711" s="155"/>
      <c r="E5711" s="40"/>
      <c r="F5711" s="314"/>
      <c r="H5711" s="315"/>
      <c r="I5711" s="315"/>
      <c r="BA5711" s="30"/>
      <c r="BB5711" s="155"/>
      <c r="BC5711" s="314"/>
      <c r="BD5711" s="314"/>
      <c r="BE5711" s="314"/>
      <c r="BF5711" s="314"/>
      <c r="BG5711" s="314"/>
      <c r="BH5711" s="314"/>
      <c r="BI5711" s="314"/>
      <c r="BJ5711" s="314"/>
      <c r="BK5711" s="40"/>
      <c r="BL5711" s="40"/>
      <c r="BM5711" s="40"/>
      <c r="BN5711" s="40"/>
      <c r="BO5711" s="40"/>
      <c r="BP5711" s="155"/>
      <c r="BQ5711" s="314"/>
      <c r="BR5711" s="314"/>
      <c r="BS5711" s="314"/>
      <c r="BT5711" s="314"/>
      <c r="BU5711" s="314"/>
      <c r="BV5711" s="314"/>
      <c r="BW5711" s="314"/>
      <c r="BX5711" s="155"/>
    </row>
    <row r="5712" spans="1:76" ht="15.75" customHeight="1">
      <c r="A5712" s="25"/>
      <c r="B5712" s="39"/>
      <c r="C5712" s="155"/>
      <c r="D5712" s="155"/>
      <c r="E5712" s="40"/>
      <c r="F5712" s="314"/>
      <c r="H5712" s="315"/>
      <c r="I5712" s="315"/>
      <c r="BA5712" s="30"/>
      <c r="BB5712" s="155"/>
      <c r="BC5712" s="314"/>
      <c r="BD5712" s="314"/>
      <c r="BE5712" s="314"/>
      <c r="BF5712" s="314"/>
      <c r="BG5712" s="314"/>
      <c r="BH5712" s="314"/>
      <c r="BI5712" s="314"/>
      <c r="BJ5712" s="314"/>
      <c r="BK5712" s="40"/>
      <c r="BL5712" s="40"/>
      <c r="BM5712" s="40"/>
      <c r="BN5712" s="40"/>
      <c r="BO5712" s="40"/>
      <c r="BP5712" s="155"/>
      <c r="BQ5712" s="314"/>
      <c r="BR5712" s="314"/>
      <c r="BS5712" s="314"/>
      <c r="BT5712" s="314"/>
      <c r="BU5712" s="314"/>
      <c r="BV5712" s="314"/>
      <c r="BW5712" s="314"/>
      <c r="BX5712" s="155"/>
    </row>
    <row r="5713" spans="1:76" ht="15.75" customHeight="1">
      <c r="A5713" s="25"/>
      <c r="B5713" s="39"/>
      <c r="C5713" s="155"/>
      <c r="D5713" s="155"/>
      <c r="E5713" s="40"/>
      <c r="F5713" s="314"/>
      <c r="H5713" s="315"/>
      <c r="I5713" s="315"/>
      <c r="BA5713" s="30"/>
      <c r="BB5713" s="155"/>
      <c r="BC5713" s="314"/>
      <c r="BD5713" s="314"/>
      <c r="BE5713" s="314"/>
      <c r="BF5713" s="314"/>
      <c r="BG5713" s="314"/>
      <c r="BH5713" s="314"/>
      <c r="BI5713" s="314"/>
      <c r="BJ5713" s="314"/>
      <c r="BK5713" s="40"/>
      <c r="BL5713" s="40"/>
      <c r="BM5713" s="40"/>
      <c r="BN5713" s="40"/>
      <c r="BO5713" s="40"/>
      <c r="BP5713" s="155"/>
      <c r="BQ5713" s="314"/>
      <c r="BR5713" s="314"/>
      <c r="BS5713" s="314"/>
      <c r="BT5713" s="314"/>
      <c r="BU5713" s="314"/>
      <c r="BV5713" s="314"/>
      <c r="BW5713" s="314"/>
      <c r="BX5713" s="155"/>
    </row>
    <row r="5714" spans="1:76" ht="15.75" customHeight="1">
      <c r="A5714" s="25"/>
      <c r="B5714" s="39"/>
      <c r="C5714" s="155"/>
      <c r="D5714" s="155"/>
      <c r="E5714" s="40"/>
      <c r="F5714" s="314"/>
      <c r="H5714" s="315"/>
      <c r="I5714" s="315"/>
      <c r="BA5714" s="30"/>
      <c r="BB5714" s="155"/>
      <c r="BC5714" s="314"/>
      <c r="BD5714" s="314"/>
      <c r="BE5714" s="314"/>
      <c r="BF5714" s="314"/>
      <c r="BG5714" s="314"/>
      <c r="BH5714" s="314"/>
      <c r="BI5714" s="314"/>
      <c r="BJ5714" s="314"/>
      <c r="BK5714" s="40"/>
      <c r="BL5714" s="40"/>
      <c r="BM5714" s="40"/>
      <c r="BN5714" s="40"/>
      <c r="BO5714" s="40"/>
      <c r="BP5714" s="155"/>
      <c r="BQ5714" s="314"/>
      <c r="BR5714" s="314"/>
      <c r="BS5714" s="314"/>
      <c r="BT5714" s="314"/>
      <c r="BU5714" s="314"/>
      <c r="BV5714" s="314"/>
      <c r="BW5714" s="314"/>
      <c r="BX5714" s="155"/>
    </row>
    <row r="5715" spans="1:76" ht="15.75" customHeight="1">
      <c r="A5715" s="25"/>
      <c r="B5715" s="39"/>
      <c r="C5715" s="155"/>
      <c r="D5715" s="155"/>
      <c r="E5715" s="40"/>
      <c r="F5715" s="314"/>
      <c r="H5715" s="315"/>
      <c r="I5715" s="315"/>
      <c r="BA5715" s="30"/>
      <c r="BB5715" s="155"/>
      <c r="BC5715" s="314"/>
      <c r="BD5715" s="314"/>
      <c r="BE5715" s="314"/>
      <c r="BF5715" s="314"/>
      <c r="BG5715" s="314"/>
      <c r="BH5715" s="314"/>
      <c r="BI5715" s="314"/>
      <c r="BJ5715" s="314"/>
      <c r="BK5715" s="40"/>
      <c r="BL5715" s="40"/>
      <c r="BM5715" s="40"/>
      <c r="BN5715" s="40"/>
      <c r="BO5715" s="40"/>
      <c r="BP5715" s="155"/>
      <c r="BQ5715" s="314"/>
      <c r="BR5715" s="314"/>
      <c r="BS5715" s="314"/>
      <c r="BT5715" s="314"/>
      <c r="BU5715" s="314"/>
      <c r="BV5715" s="314"/>
      <c r="BW5715" s="314"/>
      <c r="BX5715" s="155"/>
    </row>
    <row r="5716" spans="1:76" ht="15.75" customHeight="1">
      <c r="A5716" s="25"/>
      <c r="B5716" s="39"/>
      <c r="C5716" s="155"/>
      <c r="D5716" s="155"/>
      <c r="E5716" s="40"/>
      <c r="F5716" s="314"/>
      <c r="H5716" s="315"/>
      <c r="I5716" s="315"/>
      <c r="BA5716" s="30"/>
      <c r="BB5716" s="155"/>
      <c r="BC5716" s="314"/>
      <c r="BD5716" s="314"/>
      <c r="BE5716" s="314"/>
      <c r="BF5716" s="314"/>
      <c r="BG5716" s="314"/>
      <c r="BH5716" s="314"/>
      <c r="BI5716" s="314"/>
      <c r="BJ5716" s="314"/>
      <c r="BK5716" s="40"/>
      <c r="BL5716" s="40"/>
      <c r="BM5716" s="40"/>
      <c r="BN5716" s="40"/>
      <c r="BO5716" s="40"/>
      <c r="BP5716" s="155"/>
      <c r="BQ5716" s="314"/>
      <c r="BR5716" s="314"/>
      <c r="BS5716" s="314"/>
      <c r="BT5716" s="314"/>
      <c r="BU5716" s="314"/>
      <c r="BV5716" s="314"/>
      <c r="BW5716" s="314"/>
      <c r="BX5716" s="155"/>
    </row>
    <row r="5717" spans="1:76" ht="15.75" customHeight="1">
      <c r="A5717" s="25"/>
      <c r="B5717" s="39"/>
      <c r="C5717" s="155"/>
      <c r="D5717" s="155"/>
      <c r="E5717" s="40"/>
      <c r="F5717" s="314"/>
      <c r="H5717" s="315"/>
      <c r="I5717" s="315"/>
      <c r="BA5717" s="30"/>
      <c r="BB5717" s="155"/>
      <c r="BC5717" s="314"/>
      <c r="BD5717" s="314"/>
      <c r="BE5717" s="314"/>
      <c r="BF5717" s="314"/>
      <c r="BG5717" s="314"/>
      <c r="BH5717" s="314"/>
      <c r="BI5717" s="314"/>
      <c r="BJ5717" s="314"/>
      <c r="BK5717" s="40"/>
      <c r="BL5717" s="40"/>
      <c r="BM5717" s="40"/>
      <c r="BN5717" s="40"/>
      <c r="BO5717" s="40"/>
      <c r="BP5717" s="155"/>
      <c r="BQ5717" s="314"/>
      <c r="BR5717" s="314"/>
      <c r="BS5717" s="314"/>
      <c r="BT5717" s="314"/>
      <c r="BU5717" s="314"/>
      <c r="BV5717" s="314"/>
      <c r="BW5717" s="314"/>
      <c r="BX5717" s="155"/>
    </row>
    <row r="5718" spans="1:76" ht="15.75" customHeight="1">
      <c r="A5718" s="25"/>
      <c r="B5718" s="39"/>
      <c r="C5718" s="155"/>
      <c r="D5718" s="155"/>
      <c r="E5718" s="40"/>
      <c r="F5718" s="314"/>
      <c r="H5718" s="315"/>
      <c r="I5718" s="315"/>
      <c r="BA5718" s="30"/>
      <c r="BB5718" s="155"/>
      <c r="BC5718" s="314"/>
      <c r="BD5718" s="314"/>
      <c r="BE5718" s="314"/>
      <c r="BF5718" s="314"/>
      <c r="BG5718" s="314"/>
      <c r="BH5718" s="314"/>
      <c r="BI5718" s="314"/>
      <c r="BJ5718" s="314"/>
      <c r="BK5718" s="40"/>
      <c r="BL5718" s="40"/>
      <c r="BM5718" s="40"/>
      <c r="BN5718" s="40"/>
      <c r="BO5718" s="40"/>
      <c r="BP5718" s="155"/>
      <c r="BQ5718" s="314"/>
      <c r="BR5718" s="314"/>
      <c r="BS5718" s="314"/>
      <c r="BT5718" s="314"/>
      <c r="BU5718" s="314"/>
      <c r="BV5718" s="314"/>
      <c r="BW5718" s="314"/>
      <c r="BX5718" s="155"/>
    </row>
    <row r="5719" spans="1:76" ht="15.75" customHeight="1">
      <c r="A5719" s="25"/>
      <c r="B5719" s="39"/>
      <c r="C5719" s="155"/>
      <c r="D5719" s="155"/>
      <c r="E5719" s="40"/>
      <c r="F5719" s="314"/>
      <c r="H5719" s="315"/>
      <c r="I5719" s="315"/>
      <c r="BA5719" s="30"/>
      <c r="BB5719" s="155"/>
      <c r="BC5719" s="314"/>
      <c r="BD5719" s="314"/>
      <c r="BE5719" s="314"/>
      <c r="BF5719" s="314"/>
      <c r="BG5719" s="314"/>
      <c r="BH5719" s="314"/>
      <c r="BI5719" s="314"/>
      <c r="BJ5719" s="314"/>
      <c r="BK5719" s="40"/>
      <c r="BL5719" s="40"/>
      <c r="BM5719" s="40"/>
      <c r="BN5719" s="40"/>
      <c r="BO5719" s="40"/>
      <c r="BP5719" s="155"/>
      <c r="BQ5719" s="314"/>
      <c r="BR5719" s="314"/>
      <c r="BS5719" s="314"/>
      <c r="BT5719" s="314"/>
      <c r="BU5719" s="314"/>
      <c r="BV5719" s="314"/>
      <c r="BW5719" s="314"/>
      <c r="BX5719" s="155"/>
    </row>
    <row r="5720" spans="1:76" ht="15.75" customHeight="1">
      <c r="A5720" s="25"/>
      <c r="B5720" s="39"/>
      <c r="C5720" s="155"/>
      <c r="D5720" s="155"/>
      <c r="E5720" s="40"/>
      <c r="F5720" s="314"/>
      <c r="H5720" s="315"/>
      <c r="I5720" s="315"/>
      <c r="BA5720" s="30"/>
      <c r="BB5720" s="155"/>
      <c r="BC5720" s="314"/>
      <c r="BD5720" s="314"/>
      <c r="BE5720" s="314"/>
      <c r="BF5720" s="314"/>
      <c r="BG5720" s="314"/>
      <c r="BH5720" s="314"/>
      <c r="BI5720" s="314"/>
      <c r="BJ5720" s="314"/>
      <c r="BK5720" s="40"/>
      <c r="BL5720" s="40"/>
      <c r="BM5720" s="40"/>
      <c r="BN5720" s="40"/>
      <c r="BO5720" s="40"/>
      <c r="BP5720" s="155"/>
      <c r="BQ5720" s="314"/>
      <c r="BR5720" s="314"/>
      <c r="BS5720" s="314"/>
      <c r="BT5720" s="314"/>
      <c r="BU5720" s="314"/>
      <c r="BV5720" s="314"/>
      <c r="BW5720" s="314"/>
      <c r="BX5720" s="155"/>
    </row>
    <row r="5721" spans="1:76" ht="15.75" customHeight="1">
      <c r="A5721" s="25"/>
      <c r="B5721" s="39"/>
      <c r="C5721" s="155"/>
      <c r="D5721" s="155"/>
      <c r="E5721" s="40"/>
      <c r="F5721" s="314"/>
      <c r="H5721" s="315"/>
      <c r="I5721" s="315"/>
      <c r="BA5721" s="30"/>
      <c r="BB5721" s="155"/>
      <c r="BC5721" s="322"/>
      <c r="BD5721" s="322"/>
      <c r="BE5721" s="322"/>
      <c r="BF5721" s="322"/>
      <c r="BG5721" s="322"/>
      <c r="BH5721" s="322"/>
      <c r="BI5721" s="322"/>
      <c r="BJ5721" s="322"/>
      <c r="BK5721" s="341"/>
      <c r="BL5721" s="40"/>
      <c r="BM5721" s="40"/>
      <c r="BN5721" s="40"/>
      <c r="BO5721" s="40"/>
      <c r="BP5721" s="155"/>
      <c r="BQ5721" s="314"/>
      <c r="BR5721" s="314"/>
      <c r="BS5721" s="314"/>
      <c r="BT5721" s="314"/>
      <c r="BU5721" s="314"/>
      <c r="BV5721" s="314"/>
      <c r="BW5721" s="314"/>
      <c r="BX5721" s="155"/>
    </row>
    <row r="5722" spans="1:76" ht="15.75" customHeight="1">
      <c r="A5722" s="25"/>
      <c r="B5722" s="39"/>
      <c r="C5722" s="155"/>
      <c r="D5722" s="155"/>
      <c r="E5722" s="40"/>
      <c r="F5722" s="314"/>
      <c r="H5722" s="315"/>
      <c r="I5722" s="315"/>
      <c r="BA5722" s="30"/>
      <c r="BB5722" s="155"/>
      <c r="BC5722" s="314"/>
      <c r="BD5722" s="314"/>
      <c r="BE5722" s="314"/>
      <c r="BF5722" s="314"/>
      <c r="BG5722" s="314"/>
      <c r="BH5722" s="314"/>
      <c r="BI5722" s="314"/>
      <c r="BJ5722" s="314"/>
      <c r="BK5722" s="40"/>
      <c r="BL5722" s="40"/>
      <c r="BM5722" s="40"/>
      <c r="BN5722" s="40"/>
      <c r="BO5722" s="40"/>
      <c r="BP5722" s="155"/>
      <c r="BQ5722" s="314"/>
      <c r="BR5722" s="314"/>
      <c r="BS5722" s="314"/>
      <c r="BT5722" s="314"/>
      <c r="BU5722" s="314"/>
      <c r="BV5722" s="314"/>
      <c r="BW5722" s="314"/>
      <c r="BX5722" s="155"/>
    </row>
    <row r="5723" spans="1:76" ht="15.75" customHeight="1">
      <c r="A5723" s="25"/>
      <c r="B5723" s="39"/>
      <c r="C5723" s="155"/>
      <c r="D5723" s="155"/>
      <c r="E5723" s="40"/>
      <c r="F5723" s="314"/>
      <c r="H5723" s="315"/>
      <c r="I5723" s="315"/>
      <c r="BA5723" s="30"/>
      <c r="BB5723" s="155"/>
      <c r="BC5723" s="314"/>
      <c r="BD5723" s="314"/>
      <c r="BE5723" s="314"/>
      <c r="BF5723" s="314"/>
      <c r="BG5723" s="314"/>
      <c r="BH5723" s="314"/>
      <c r="BI5723" s="314"/>
      <c r="BJ5723" s="314"/>
      <c r="BK5723" s="40"/>
      <c r="BL5723" s="40"/>
      <c r="BM5723" s="40"/>
      <c r="BN5723" s="40"/>
      <c r="BO5723" s="40"/>
      <c r="BP5723" s="155"/>
      <c r="BQ5723" s="314"/>
      <c r="BR5723" s="314"/>
      <c r="BS5723" s="314"/>
      <c r="BT5723" s="314"/>
      <c r="BU5723" s="314"/>
      <c r="BV5723" s="314"/>
      <c r="BW5723" s="314"/>
      <c r="BX5723" s="155"/>
    </row>
    <row r="5724" spans="1:76" ht="15.75" customHeight="1">
      <c r="A5724" s="25"/>
      <c r="B5724" s="39"/>
      <c r="C5724" s="155"/>
      <c r="D5724" s="155"/>
      <c r="E5724" s="40"/>
      <c r="F5724" s="314"/>
      <c r="H5724" s="315"/>
      <c r="I5724" s="315"/>
      <c r="BA5724" s="30"/>
      <c r="BB5724" s="155"/>
      <c r="BC5724" s="314"/>
      <c r="BD5724" s="314"/>
      <c r="BE5724" s="314"/>
      <c r="BF5724" s="314"/>
      <c r="BG5724" s="314"/>
      <c r="BH5724" s="314"/>
      <c r="BI5724" s="314"/>
      <c r="BJ5724" s="314"/>
      <c r="BK5724" s="40"/>
      <c r="BL5724" s="40"/>
      <c r="BM5724" s="40"/>
      <c r="BN5724" s="40"/>
      <c r="BO5724" s="40"/>
      <c r="BP5724" s="155"/>
      <c r="BQ5724" s="314"/>
      <c r="BR5724" s="314"/>
      <c r="BS5724" s="314"/>
      <c r="BT5724" s="314"/>
      <c r="BU5724" s="314"/>
      <c r="BV5724" s="314"/>
      <c r="BW5724" s="314"/>
      <c r="BX5724" s="155"/>
    </row>
    <row r="5725" spans="1:76" ht="15.75" customHeight="1">
      <c r="A5725" s="25"/>
      <c r="B5725" s="39"/>
      <c r="C5725" s="155"/>
      <c r="D5725" s="155"/>
      <c r="E5725" s="40"/>
      <c r="F5725" s="314"/>
      <c r="H5725" s="315"/>
      <c r="I5725" s="315"/>
      <c r="BA5725" s="30"/>
      <c r="BB5725" s="155"/>
      <c r="BC5725" s="314"/>
      <c r="BD5725" s="314"/>
      <c r="BE5725" s="314"/>
      <c r="BF5725" s="314"/>
      <c r="BG5725" s="314"/>
      <c r="BH5725" s="314"/>
      <c r="BI5725" s="314"/>
      <c r="BJ5725" s="314"/>
      <c r="BK5725" s="40"/>
      <c r="BL5725" s="40"/>
      <c r="BM5725" s="40"/>
      <c r="BN5725" s="40"/>
      <c r="BO5725" s="40"/>
      <c r="BP5725" s="155"/>
      <c r="BQ5725" s="314"/>
      <c r="BR5725" s="314"/>
      <c r="BS5725" s="314"/>
      <c r="BT5725" s="314"/>
      <c r="BU5725" s="314"/>
      <c r="BV5725" s="314"/>
      <c r="BW5725" s="314"/>
      <c r="BX5725" s="155"/>
    </row>
    <row r="5726" spans="1:76" ht="15.75" customHeight="1">
      <c r="A5726" s="25"/>
      <c r="B5726" s="39"/>
      <c r="C5726" s="155"/>
      <c r="D5726" s="155"/>
      <c r="E5726" s="40"/>
      <c r="F5726" s="314"/>
      <c r="H5726" s="315"/>
      <c r="I5726" s="315"/>
      <c r="BA5726" s="30"/>
      <c r="BB5726" s="155"/>
      <c r="BC5726" s="314"/>
      <c r="BD5726" s="314"/>
      <c r="BE5726" s="314"/>
      <c r="BF5726" s="314"/>
      <c r="BG5726" s="314"/>
      <c r="BH5726" s="314"/>
      <c r="BI5726" s="314"/>
      <c r="BJ5726" s="314"/>
      <c r="BK5726" s="40"/>
      <c r="BL5726" s="40"/>
      <c r="BM5726" s="40"/>
      <c r="BN5726" s="40"/>
      <c r="BO5726" s="40"/>
      <c r="BP5726" s="155"/>
      <c r="BQ5726" s="314"/>
      <c r="BR5726" s="314"/>
      <c r="BS5726" s="314"/>
      <c r="BT5726" s="314"/>
      <c r="BU5726" s="314"/>
      <c r="BV5726" s="314"/>
      <c r="BW5726" s="314"/>
      <c r="BX5726" s="155"/>
    </row>
    <row r="5727" spans="1:76" ht="15.75" customHeight="1">
      <c r="A5727" s="25"/>
      <c r="B5727" s="39"/>
      <c r="C5727" s="155"/>
      <c r="D5727" s="155"/>
      <c r="E5727" s="40"/>
      <c r="F5727" s="314"/>
      <c r="H5727" s="315"/>
      <c r="I5727" s="315"/>
      <c r="BA5727" s="30"/>
      <c r="BB5727" s="155"/>
      <c r="BC5727" s="314"/>
      <c r="BD5727" s="314"/>
      <c r="BE5727" s="314"/>
      <c r="BF5727" s="314"/>
      <c r="BG5727" s="314"/>
      <c r="BH5727" s="314"/>
      <c r="BI5727" s="314"/>
      <c r="BJ5727" s="314"/>
      <c r="BK5727" s="40"/>
      <c r="BL5727" s="40"/>
      <c r="BM5727" s="40"/>
      <c r="BN5727" s="40"/>
      <c r="BO5727" s="40"/>
      <c r="BP5727" s="155"/>
      <c r="BQ5727" s="314"/>
      <c r="BR5727" s="314"/>
      <c r="BS5727" s="314"/>
      <c r="BT5727" s="314"/>
      <c r="BU5727" s="314"/>
      <c r="BV5727" s="314"/>
      <c r="BW5727" s="314"/>
      <c r="BX5727" s="155"/>
    </row>
    <row r="5728" spans="1:76" ht="15.75" customHeight="1">
      <c r="A5728" s="25"/>
      <c r="B5728" s="39"/>
      <c r="C5728" s="155"/>
      <c r="D5728" s="155"/>
      <c r="E5728" s="40"/>
      <c r="F5728" s="314"/>
      <c r="H5728" s="315"/>
      <c r="I5728" s="315"/>
      <c r="BA5728" s="30"/>
      <c r="BB5728" s="155"/>
      <c r="BC5728" s="314"/>
      <c r="BD5728" s="314"/>
      <c r="BE5728" s="314"/>
      <c r="BF5728" s="314"/>
      <c r="BG5728" s="314"/>
      <c r="BH5728" s="314"/>
      <c r="BI5728" s="314"/>
      <c r="BJ5728" s="314"/>
      <c r="BK5728" s="40"/>
      <c r="BL5728" s="40"/>
      <c r="BM5728" s="40"/>
      <c r="BN5728" s="40"/>
      <c r="BO5728" s="40"/>
      <c r="BP5728" s="155"/>
      <c r="BQ5728" s="314"/>
      <c r="BR5728" s="314"/>
      <c r="BS5728" s="314"/>
      <c r="BT5728" s="314"/>
      <c r="BU5728" s="314"/>
      <c r="BV5728" s="314"/>
      <c r="BW5728" s="314"/>
      <c r="BX5728" s="155"/>
    </row>
    <row r="5729" spans="1:76" ht="15.75" customHeight="1">
      <c r="A5729" s="25"/>
      <c r="B5729" s="39"/>
      <c r="C5729" s="155"/>
      <c r="D5729" s="155"/>
      <c r="E5729" s="40"/>
      <c r="F5729" s="314"/>
      <c r="H5729" s="315"/>
      <c r="I5729" s="315"/>
      <c r="BA5729" s="30"/>
      <c r="BB5729" s="155"/>
      <c r="BC5729" s="314"/>
      <c r="BD5729" s="314"/>
      <c r="BE5729" s="314"/>
      <c r="BF5729" s="314"/>
      <c r="BG5729" s="314"/>
      <c r="BH5729" s="314"/>
      <c r="BI5729" s="314"/>
      <c r="BJ5729" s="314"/>
      <c r="BK5729" s="40"/>
      <c r="BL5729" s="40"/>
      <c r="BM5729" s="40"/>
      <c r="BN5729" s="40"/>
      <c r="BO5729" s="40"/>
      <c r="BP5729" s="155"/>
      <c r="BQ5729" s="314"/>
      <c r="BR5729" s="314"/>
      <c r="BS5729" s="314"/>
      <c r="BT5729" s="314"/>
      <c r="BU5729" s="314"/>
      <c r="BV5729" s="314"/>
      <c r="BW5729" s="314"/>
      <c r="BX5729" s="155"/>
    </row>
    <row r="5730" spans="1:76" ht="15.75" customHeight="1">
      <c r="A5730" s="25"/>
      <c r="B5730" s="39"/>
      <c r="C5730" s="155"/>
      <c r="D5730" s="155"/>
      <c r="E5730" s="40"/>
      <c r="F5730" s="314"/>
      <c r="H5730" s="315"/>
      <c r="I5730" s="315"/>
      <c r="BA5730" s="30"/>
      <c r="BB5730" s="155"/>
      <c r="BC5730" s="314"/>
      <c r="BD5730" s="314"/>
      <c r="BE5730" s="314"/>
      <c r="BF5730" s="314"/>
      <c r="BG5730" s="314"/>
      <c r="BH5730" s="314"/>
      <c r="BI5730" s="314"/>
      <c r="BJ5730" s="314"/>
      <c r="BK5730" s="40"/>
      <c r="BL5730" s="40"/>
      <c r="BM5730" s="40"/>
      <c r="BN5730" s="40"/>
      <c r="BO5730" s="40"/>
      <c r="BP5730" s="155"/>
      <c r="BQ5730" s="314"/>
      <c r="BR5730" s="314"/>
      <c r="BS5730" s="314"/>
      <c r="BT5730" s="314"/>
      <c r="BU5730" s="314"/>
      <c r="BV5730" s="314"/>
      <c r="BW5730" s="314"/>
      <c r="BX5730" s="155"/>
    </row>
    <row r="5731" spans="1:76" ht="15.75" customHeight="1">
      <c r="A5731" s="25"/>
      <c r="B5731" s="39"/>
      <c r="C5731" s="155"/>
      <c r="D5731" s="155"/>
      <c r="E5731" s="40"/>
      <c r="F5731" s="314"/>
      <c r="H5731" s="315"/>
      <c r="I5731" s="315"/>
      <c r="BA5731" s="30"/>
      <c r="BB5731" s="155"/>
      <c r="BC5731" s="314"/>
      <c r="BD5731" s="314"/>
      <c r="BE5731" s="314"/>
      <c r="BF5731" s="314"/>
      <c r="BG5731" s="314"/>
      <c r="BH5731" s="314"/>
      <c r="BI5731" s="314"/>
      <c r="BJ5731" s="314"/>
      <c r="BK5731" s="40"/>
      <c r="BL5731" s="40"/>
      <c r="BM5731" s="40"/>
      <c r="BN5731" s="40"/>
      <c r="BO5731" s="40"/>
      <c r="BP5731" s="155"/>
      <c r="BQ5731" s="314"/>
      <c r="BR5731" s="314"/>
      <c r="BS5731" s="314"/>
      <c r="BT5731" s="314"/>
      <c r="BU5731" s="314"/>
      <c r="BV5731" s="314"/>
      <c r="BW5731" s="314"/>
      <c r="BX5731" s="155"/>
    </row>
    <row r="5732" spans="1:76" ht="15.75" customHeight="1">
      <c r="A5732" s="25"/>
      <c r="B5732" s="39"/>
      <c r="C5732" s="155"/>
      <c r="D5732" s="155"/>
      <c r="E5732" s="40"/>
      <c r="F5732" s="314"/>
      <c r="H5732" s="315"/>
      <c r="I5732" s="315"/>
      <c r="BA5732" s="30"/>
      <c r="BB5732" s="155"/>
      <c r="BC5732" s="314"/>
      <c r="BD5732" s="314"/>
      <c r="BE5732" s="314"/>
      <c r="BF5732" s="314"/>
      <c r="BG5732" s="314"/>
      <c r="BH5732" s="314"/>
      <c r="BI5732" s="314"/>
      <c r="BJ5732" s="314"/>
      <c r="BK5732" s="40"/>
      <c r="BL5732" s="40"/>
      <c r="BM5732" s="40"/>
      <c r="BN5732" s="40"/>
      <c r="BO5732" s="40"/>
      <c r="BP5732" s="155"/>
      <c r="BQ5732" s="314"/>
      <c r="BR5732" s="314"/>
      <c r="BS5732" s="314"/>
      <c r="BT5732" s="314"/>
      <c r="BU5732" s="314"/>
      <c r="BV5732" s="314"/>
      <c r="BW5732" s="314"/>
      <c r="BX5732" s="155"/>
    </row>
    <row r="5733" spans="1:76" ht="15.75" customHeight="1">
      <c r="A5733" s="25"/>
      <c r="B5733" s="39"/>
      <c r="C5733" s="155"/>
      <c r="D5733" s="155"/>
      <c r="E5733" s="40"/>
      <c r="F5733" s="314"/>
      <c r="H5733" s="315"/>
      <c r="I5733" s="315"/>
      <c r="BA5733" s="30"/>
      <c r="BB5733" s="155"/>
      <c r="BC5733" s="314"/>
      <c r="BD5733" s="314"/>
      <c r="BE5733" s="314"/>
      <c r="BF5733" s="314"/>
      <c r="BG5733" s="314"/>
      <c r="BH5733" s="314"/>
      <c r="BI5733" s="314"/>
      <c r="BJ5733" s="314"/>
      <c r="BK5733" s="40"/>
      <c r="BL5733" s="40"/>
      <c r="BM5733" s="40"/>
      <c r="BN5733" s="40"/>
      <c r="BO5733" s="40"/>
      <c r="BP5733" s="155"/>
      <c r="BQ5733" s="314"/>
      <c r="BR5733" s="314"/>
      <c r="BS5733" s="314"/>
      <c r="BT5733" s="314"/>
      <c r="BU5733" s="314"/>
      <c r="BV5733" s="314"/>
      <c r="BW5733" s="314"/>
      <c r="BX5733" s="155"/>
    </row>
    <row r="5734" spans="1:76" ht="15.75" customHeight="1">
      <c r="A5734" s="25"/>
      <c r="B5734" s="39"/>
      <c r="C5734" s="155"/>
      <c r="D5734" s="155"/>
      <c r="E5734" s="40"/>
      <c r="F5734" s="314"/>
      <c r="H5734" s="315"/>
      <c r="I5734" s="315"/>
      <c r="BA5734" s="30"/>
      <c r="BB5734" s="155"/>
      <c r="BC5734" s="314"/>
      <c r="BD5734" s="314"/>
      <c r="BE5734" s="314"/>
      <c r="BF5734" s="314"/>
      <c r="BG5734" s="314"/>
      <c r="BH5734" s="314"/>
      <c r="BI5734" s="314"/>
      <c r="BJ5734" s="314"/>
      <c r="BK5734" s="40"/>
      <c r="BL5734" s="40"/>
      <c r="BM5734" s="40"/>
      <c r="BN5734" s="40"/>
      <c r="BO5734" s="40"/>
      <c r="BP5734" s="155"/>
      <c r="BQ5734" s="314"/>
      <c r="BR5734" s="314"/>
      <c r="BS5734" s="314"/>
      <c r="BT5734" s="314"/>
      <c r="BU5734" s="314"/>
      <c r="BV5734" s="314"/>
      <c r="BW5734" s="314"/>
      <c r="BX5734" s="155"/>
    </row>
    <row r="5735" spans="1:76" ht="15.75" customHeight="1">
      <c r="A5735" s="25"/>
      <c r="B5735" s="39"/>
      <c r="C5735" s="155"/>
      <c r="D5735" s="155"/>
      <c r="E5735" s="40"/>
      <c r="F5735" s="314"/>
      <c r="H5735" s="315"/>
      <c r="I5735" s="315"/>
      <c r="BA5735" s="30"/>
      <c r="BB5735" s="155"/>
      <c r="BC5735" s="314"/>
      <c r="BD5735" s="314"/>
      <c r="BE5735" s="314"/>
      <c r="BF5735" s="314"/>
      <c r="BG5735" s="314"/>
      <c r="BH5735" s="314"/>
      <c r="BI5735" s="314"/>
      <c r="BJ5735" s="314"/>
      <c r="BK5735" s="40"/>
      <c r="BL5735" s="40"/>
      <c r="BM5735" s="40"/>
      <c r="BN5735" s="40"/>
      <c r="BO5735" s="40"/>
      <c r="BP5735" s="155"/>
      <c r="BQ5735" s="314"/>
      <c r="BR5735" s="314"/>
      <c r="BS5735" s="314"/>
      <c r="BT5735" s="314"/>
      <c r="BU5735" s="314"/>
      <c r="BV5735" s="314"/>
      <c r="BW5735" s="314"/>
      <c r="BX5735" s="155"/>
    </row>
    <row r="5736" spans="1:76" ht="15.75" customHeight="1">
      <c r="A5736" s="25"/>
      <c r="B5736" s="39"/>
      <c r="C5736" s="155"/>
      <c r="D5736" s="155"/>
      <c r="E5736" s="40"/>
      <c r="F5736" s="314"/>
      <c r="H5736" s="315"/>
      <c r="I5736" s="315"/>
      <c r="BA5736" s="30"/>
      <c r="BB5736" s="155"/>
      <c r="BC5736" s="314"/>
      <c r="BD5736" s="314"/>
      <c r="BE5736" s="314"/>
      <c r="BF5736" s="314"/>
      <c r="BG5736" s="314"/>
      <c r="BH5736" s="314"/>
      <c r="BI5736" s="314"/>
      <c r="BJ5736" s="314"/>
      <c r="BK5736" s="40"/>
      <c r="BL5736" s="40"/>
      <c r="BM5736" s="40"/>
      <c r="BN5736" s="40"/>
      <c r="BO5736" s="40"/>
      <c r="BP5736" s="155"/>
      <c r="BQ5736" s="314"/>
      <c r="BR5736" s="314"/>
      <c r="BS5736" s="314"/>
      <c r="BT5736" s="314"/>
      <c r="BU5736" s="314"/>
      <c r="BV5736" s="314"/>
      <c r="BW5736" s="314"/>
      <c r="BX5736" s="155"/>
    </row>
    <row r="5737" spans="1:76" ht="15.75" customHeight="1">
      <c r="A5737" s="25"/>
      <c r="B5737" s="39"/>
      <c r="C5737" s="155"/>
      <c r="D5737" s="155"/>
      <c r="E5737" s="40"/>
      <c r="F5737" s="314"/>
      <c r="H5737" s="315"/>
      <c r="I5737" s="315"/>
      <c r="BA5737" s="30"/>
      <c r="BB5737" s="155"/>
      <c r="BC5737" s="314"/>
      <c r="BD5737" s="314"/>
      <c r="BE5737" s="314"/>
      <c r="BF5737" s="314"/>
      <c r="BG5737" s="314"/>
      <c r="BH5737" s="314"/>
      <c r="BI5737" s="314"/>
      <c r="BJ5737" s="314"/>
      <c r="BK5737" s="40"/>
      <c r="BL5737" s="40"/>
      <c r="BM5737" s="40"/>
      <c r="BN5737" s="40"/>
      <c r="BO5737" s="40"/>
      <c r="BP5737" s="155"/>
      <c r="BQ5737" s="314"/>
      <c r="BR5737" s="314"/>
      <c r="BS5737" s="314"/>
      <c r="BT5737" s="314"/>
      <c r="BU5737" s="314"/>
      <c r="BV5737" s="314"/>
      <c r="BW5737" s="314"/>
      <c r="BX5737" s="155"/>
    </row>
    <row r="5738" spans="1:76" ht="15.75" customHeight="1">
      <c r="A5738" s="25"/>
      <c r="B5738" s="39"/>
      <c r="C5738" s="155"/>
      <c r="D5738" s="155"/>
      <c r="E5738" s="40"/>
      <c r="F5738" s="314"/>
      <c r="H5738" s="315"/>
      <c r="I5738" s="315"/>
      <c r="BA5738" s="30"/>
      <c r="BB5738" s="155"/>
      <c r="BC5738" s="314"/>
      <c r="BD5738" s="314"/>
      <c r="BE5738" s="314"/>
      <c r="BF5738" s="314"/>
      <c r="BG5738" s="314"/>
      <c r="BH5738" s="314"/>
      <c r="BI5738" s="314"/>
      <c r="BJ5738" s="314"/>
      <c r="BK5738" s="40"/>
      <c r="BL5738" s="40"/>
      <c r="BM5738" s="40"/>
      <c r="BN5738" s="40"/>
      <c r="BO5738" s="40"/>
      <c r="BP5738" s="155"/>
      <c r="BQ5738" s="314"/>
      <c r="BR5738" s="314"/>
      <c r="BS5738" s="314"/>
      <c r="BT5738" s="314"/>
      <c r="BU5738" s="314"/>
      <c r="BV5738" s="314"/>
      <c r="BW5738" s="314"/>
      <c r="BX5738" s="155"/>
    </row>
    <row r="5739" spans="1:76" ht="15.75" customHeight="1">
      <c r="A5739" s="25"/>
      <c r="B5739" s="39"/>
      <c r="C5739" s="155"/>
      <c r="D5739" s="155"/>
      <c r="E5739" s="40"/>
      <c r="F5739" s="314"/>
      <c r="H5739" s="315"/>
      <c r="I5739" s="315"/>
      <c r="BA5739" s="30"/>
      <c r="BB5739" s="155"/>
      <c r="BC5739" s="314"/>
      <c r="BD5739" s="314"/>
      <c r="BE5739" s="314"/>
      <c r="BF5739" s="314"/>
      <c r="BG5739" s="314"/>
      <c r="BH5739" s="314"/>
      <c r="BI5739" s="314"/>
      <c r="BJ5739" s="314"/>
      <c r="BK5739" s="40"/>
      <c r="BL5739" s="40"/>
      <c r="BM5739" s="40"/>
      <c r="BN5739" s="40"/>
      <c r="BO5739" s="40"/>
      <c r="BP5739" s="155"/>
      <c r="BQ5739" s="314"/>
      <c r="BR5739" s="314"/>
      <c r="BS5739" s="314"/>
      <c r="BT5739" s="314"/>
      <c r="BU5739" s="314"/>
      <c r="BV5739" s="314"/>
      <c r="BW5739" s="314"/>
      <c r="BX5739" s="155"/>
    </row>
    <row r="5740" spans="1:76" ht="15.75" customHeight="1">
      <c r="A5740" s="25"/>
      <c r="B5740" s="39"/>
      <c r="C5740" s="155"/>
      <c r="D5740" s="155"/>
      <c r="E5740" s="40"/>
      <c r="F5740" s="314"/>
      <c r="H5740" s="315"/>
      <c r="I5740" s="315"/>
      <c r="BA5740" s="30"/>
      <c r="BB5740" s="155"/>
      <c r="BC5740" s="314"/>
      <c r="BD5740" s="314"/>
      <c r="BE5740" s="314"/>
      <c r="BF5740" s="314"/>
      <c r="BG5740" s="314"/>
      <c r="BH5740" s="314"/>
      <c r="BI5740" s="314"/>
      <c r="BJ5740" s="314"/>
      <c r="BK5740" s="40"/>
      <c r="BL5740" s="40"/>
      <c r="BM5740" s="40"/>
      <c r="BN5740" s="40"/>
      <c r="BO5740" s="40"/>
      <c r="BP5740" s="155"/>
      <c r="BQ5740" s="314"/>
      <c r="BR5740" s="314"/>
      <c r="BS5740" s="314"/>
      <c r="BT5740" s="314"/>
      <c r="BU5740" s="314"/>
      <c r="BV5740" s="314"/>
      <c r="BW5740" s="314"/>
      <c r="BX5740" s="155"/>
    </row>
    <row r="5741" spans="1:76" ht="15.75" customHeight="1">
      <c r="A5741" s="25"/>
      <c r="B5741" s="39"/>
      <c r="C5741" s="155"/>
      <c r="D5741" s="155"/>
      <c r="E5741" s="40"/>
      <c r="F5741" s="314"/>
      <c r="H5741" s="315"/>
      <c r="I5741" s="315"/>
      <c r="BA5741" s="30"/>
      <c r="BB5741" s="155"/>
      <c r="BC5741" s="322"/>
      <c r="BD5741" s="322"/>
      <c r="BE5741" s="322"/>
      <c r="BF5741" s="322"/>
      <c r="BG5741" s="322"/>
      <c r="BH5741" s="322"/>
      <c r="BI5741" s="322"/>
      <c r="BJ5741" s="322"/>
      <c r="BK5741" s="341"/>
      <c r="BL5741" s="40"/>
      <c r="BM5741" s="40"/>
      <c r="BN5741" s="40"/>
      <c r="BO5741" s="40"/>
      <c r="BP5741" s="155"/>
      <c r="BQ5741" s="314"/>
      <c r="BR5741" s="314"/>
      <c r="BS5741" s="314"/>
      <c r="BT5741" s="314"/>
      <c r="BU5741" s="314"/>
      <c r="BV5741" s="314"/>
      <c r="BW5741" s="314"/>
      <c r="BX5741" s="155"/>
    </row>
    <row r="5742" spans="1:76" ht="15.75" customHeight="1">
      <c r="A5742" s="25"/>
      <c r="B5742" s="39"/>
      <c r="C5742" s="155"/>
      <c r="D5742" s="155"/>
      <c r="E5742" s="40"/>
      <c r="F5742" s="314"/>
      <c r="H5742" s="315"/>
      <c r="I5742" s="315"/>
      <c r="BA5742" s="30"/>
      <c r="BB5742" s="155"/>
      <c r="BC5742" s="314"/>
      <c r="BD5742" s="314"/>
      <c r="BE5742" s="314"/>
      <c r="BF5742" s="314"/>
      <c r="BG5742" s="314"/>
      <c r="BH5742" s="314"/>
      <c r="BI5742" s="314"/>
      <c r="BJ5742" s="314"/>
      <c r="BK5742" s="40"/>
      <c r="BL5742" s="40"/>
      <c r="BM5742" s="40"/>
      <c r="BN5742" s="40"/>
      <c r="BO5742" s="40"/>
      <c r="BP5742" s="155"/>
      <c r="BQ5742" s="314"/>
      <c r="BR5742" s="314"/>
      <c r="BS5742" s="314"/>
      <c r="BT5742" s="314"/>
      <c r="BU5742" s="314"/>
      <c r="BV5742" s="314"/>
      <c r="BW5742" s="314"/>
      <c r="BX5742" s="155"/>
    </row>
    <row r="5743" spans="1:76" ht="15.75" customHeight="1">
      <c r="A5743" s="25"/>
      <c r="B5743" s="39"/>
      <c r="C5743" s="155"/>
      <c r="D5743" s="155"/>
      <c r="E5743" s="40"/>
      <c r="F5743" s="314"/>
      <c r="H5743" s="315"/>
      <c r="I5743" s="315"/>
      <c r="BA5743" s="30"/>
      <c r="BB5743" s="155"/>
      <c r="BC5743" s="314"/>
      <c r="BD5743" s="314"/>
      <c r="BE5743" s="314"/>
      <c r="BF5743" s="314"/>
      <c r="BG5743" s="314"/>
      <c r="BH5743" s="314"/>
      <c r="BI5743" s="314"/>
      <c r="BJ5743" s="314"/>
      <c r="BK5743" s="40"/>
      <c r="BL5743" s="40"/>
      <c r="BM5743" s="40"/>
      <c r="BN5743" s="40"/>
      <c r="BO5743" s="40"/>
      <c r="BP5743" s="155"/>
      <c r="BQ5743" s="314"/>
      <c r="BR5743" s="314"/>
      <c r="BS5743" s="314"/>
      <c r="BT5743" s="314"/>
      <c r="BU5743" s="314"/>
      <c r="BV5743" s="314"/>
      <c r="BW5743" s="314"/>
      <c r="BX5743" s="155"/>
    </row>
    <row r="5744" spans="1:76" ht="15.75" customHeight="1">
      <c r="A5744" s="25"/>
      <c r="B5744" s="39"/>
      <c r="C5744" s="155"/>
      <c r="D5744" s="155"/>
      <c r="E5744" s="40"/>
      <c r="F5744" s="314"/>
      <c r="H5744" s="315"/>
      <c r="I5744" s="315"/>
      <c r="BA5744" s="30"/>
      <c r="BB5744" s="155"/>
      <c r="BC5744" s="314"/>
      <c r="BD5744" s="314"/>
      <c r="BE5744" s="314"/>
      <c r="BF5744" s="314"/>
      <c r="BG5744" s="314"/>
      <c r="BH5744" s="314"/>
      <c r="BI5744" s="314"/>
      <c r="BJ5744" s="314"/>
      <c r="BK5744" s="40"/>
      <c r="BL5744" s="40"/>
      <c r="BM5744" s="40"/>
      <c r="BN5744" s="40"/>
      <c r="BO5744" s="40"/>
      <c r="BP5744" s="155"/>
      <c r="BQ5744" s="314"/>
      <c r="BR5744" s="314"/>
      <c r="BS5744" s="314"/>
      <c r="BT5744" s="314"/>
      <c r="BU5744" s="314"/>
      <c r="BV5744" s="314"/>
      <c r="BW5744" s="314"/>
      <c r="BX5744" s="155"/>
    </row>
    <row r="5745" spans="1:76" ht="15.75" customHeight="1">
      <c r="A5745" s="25"/>
      <c r="B5745" s="39"/>
      <c r="C5745" s="155"/>
      <c r="D5745" s="155"/>
      <c r="E5745" s="40"/>
      <c r="F5745" s="314"/>
      <c r="H5745" s="315"/>
      <c r="I5745" s="315"/>
      <c r="BA5745" s="30"/>
      <c r="BB5745" s="155"/>
      <c r="BC5745" s="314"/>
      <c r="BD5745" s="314"/>
      <c r="BE5745" s="314"/>
      <c r="BF5745" s="314"/>
      <c r="BG5745" s="314"/>
      <c r="BH5745" s="314"/>
      <c r="BI5745" s="314"/>
      <c r="BJ5745" s="314"/>
      <c r="BK5745" s="40"/>
      <c r="BL5745" s="40"/>
      <c r="BM5745" s="40"/>
      <c r="BN5745" s="40"/>
      <c r="BO5745" s="40"/>
      <c r="BP5745" s="155"/>
      <c r="BQ5745" s="314"/>
      <c r="BR5745" s="314"/>
      <c r="BS5745" s="314"/>
      <c r="BT5745" s="314"/>
      <c r="BU5745" s="314"/>
      <c r="BV5745" s="314"/>
      <c r="BW5745" s="314"/>
      <c r="BX5745" s="155"/>
    </row>
    <row r="5746" spans="1:76" ht="15.75" customHeight="1">
      <c r="A5746" s="25"/>
      <c r="B5746" s="39"/>
      <c r="C5746" s="155"/>
      <c r="D5746" s="155"/>
      <c r="E5746" s="40"/>
      <c r="F5746" s="314"/>
      <c r="H5746" s="315"/>
      <c r="I5746" s="315"/>
      <c r="BA5746" s="30"/>
      <c r="BB5746" s="155"/>
      <c r="BC5746" s="314"/>
      <c r="BD5746" s="314"/>
      <c r="BE5746" s="314"/>
      <c r="BF5746" s="314"/>
      <c r="BG5746" s="314"/>
      <c r="BH5746" s="314"/>
      <c r="BI5746" s="314"/>
      <c r="BJ5746" s="314"/>
      <c r="BK5746" s="40"/>
      <c r="BL5746" s="40"/>
      <c r="BM5746" s="40"/>
      <c r="BN5746" s="40"/>
      <c r="BO5746" s="40"/>
      <c r="BP5746" s="155"/>
      <c r="BQ5746" s="314"/>
      <c r="BR5746" s="314"/>
      <c r="BS5746" s="314"/>
      <c r="BT5746" s="314"/>
      <c r="BU5746" s="314"/>
      <c r="BV5746" s="314"/>
      <c r="BW5746" s="314"/>
      <c r="BX5746" s="155"/>
    </row>
    <row r="5747" spans="1:76" ht="15.75" customHeight="1">
      <c r="A5747" s="25"/>
      <c r="B5747" s="39"/>
      <c r="C5747" s="155"/>
      <c r="D5747" s="155"/>
      <c r="E5747" s="40"/>
      <c r="F5747" s="314"/>
      <c r="H5747" s="315"/>
      <c r="I5747" s="315"/>
      <c r="BA5747" s="30"/>
      <c r="BB5747" s="155"/>
      <c r="BC5747" s="314"/>
      <c r="BD5747" s="314"/>
      <c r="BE5747" s="314"/>
      <c r="BF5747" s="314"/>
      <c r="BG5747" s="314"/>
      <c r="BH5747" s="314"/>
      <c r="BI5747" s="314"/>
      <c r="BJ5747" s="314"/>
      <c r="BK5747" s="40"/>
      <c r="BL5747" s="40"/>
      <c r="BM5747" s="40"/>
      <c r="BN5747" s="40"/>
      <c r="BO5747" s="40"/>
      <c r="BP5747" s="155"/>
      <c r="BQ5747" s="314"/>
      <c r="BR5747" s="314"/>
      <c r="BS5747" s="314"/>
      <c r="BT5747" s="314"/>
      <c r="BU5747" s="314"/>
      <c r="BV5747" s="314"/>
      <c r="BW5747" s="314"/>
      <c r="BX5747" s="155"/>
    </row>
    <row r="5748" spans="1:76" ht="15.75" customHeight="1">
      <c r="A5748" s="25"/>
      <c r="B5748" s="39"/>
      <c r="C5748" s="155"/>
      <c r="D5748" s="155"/>
      <c r="E5748" s="40"/>
      <c r="F5748" s="314"/>
      <c r="H5748" s="315"/>
      <c r="I5748" s="315"/>
      <c r="BA5748" s="30"/>
      <c r="BB5748" s="155"/>
      <c r="BC5748" s="314"/>
      <c r="BD5748" s="314"/>
      <c r="BE5748" s="314"/>
      <c r="BF5748" s="314"/>
      <c r="BG5748" s="314"/>
      <c r="BH5748" s="314"/>
      <c r="BI5748" s="314"/>
      <c r="BJ5748" s="314"/>
      <c r="BK5748" s="40"/>
      <c r="BL5748" s="40"/>
      <c r="BM5748" s="40"/>
      <c r="BN5748" s="40"/>
      <c r="BO5748" s="40"/>
      <c r="BP5748" s="155"/>
      <c r="BQ5748" s="314"/>
      <c r="BR5748" s="314"/>
      <c r="BS5748" s="314"/>
      <c r="BT5748" s="314"/>
      <c r="BU5748" s="314"/>
      <c r="BV5748" s="314"/>
      <c r="BW5748" s="314"/>
      <c r="BX5748" s="155"/>
    </row>
    <row r="5749" spans="1:76" ht="15.75" customHeight="1">
      <c r="A5749" s="25"/>
      <c r="B5749" s="39"/>
      <c r="C5749" s="155"/>
      <c r="D5749" s="155"/>
      <c r="E5749" s="40"/>
      <c r="F5749" s="314"/>
      <c r="H5749" s="315"/>
      <c r="I5749" s="315"/>
      <c r="BA5749" s="30"/>
      <c r="BB5749" s="155"/>
      <c r="BC5749" s="314"/>
      <c r="BD5749" s="314"/>
      <c r="BE5749" s="314"/>
      <c r="BF5749" s="314"/>
      <c r="BG5749" s="314"/>
      <c r="BH5749" s="314"/>
      <c r="BI5749" s="314"/>
      <c r="BJ5749" s="314"/>
      <c r="BK5749" s="40"/>
      <c r="BL5749" s="40"/>
      <c r="BM5749" s="40"/>
      <c r="BN5749" s="40"/>
      <c r="BO5749" s="40"/>
      <c r="BP5749" s="155"/>
      <c r="BQ5749" s="314"/>
      <c r="BR5749" s="314"/>
      <c r="BS5749" s="314"/>
      <c r="BT5749" s="314"/>
      <c r="BU5749" s="314"/>
      <c r="BV5749" s="314"/>
      <c r="BW5749" s="314"/>
      <c r="BX5749" s="155"/>
    </row>
    <row r="5750" spans="1:76" ht="15.75" customHeight="1">
      <c r="A5750" s="25"/>
      <c r="B5750" s="39"/>
      <c r="C5750" s="155"/>
      <c r="D5750" s="155"/>
      <c r="E5750" s="40"/>
      <c r="F5750" s="314"/>
      <c r="H5750" s="315"/>
      <c r="I5750" s="315"/>
      <c r="BA5750" s="30"/>
      <c r="BB5750" s="155"/>
      <c r="BC5750" s="314"/>
      <c r="BD5750" s="314"/>
      <c r="BE5750" s="314"/>
      <c r="BF5750" s="314"/>
      <c r="BG5750" s="314"/>
      <c r="BH5750" s="314"/>
      <c r="BI5750" s="314"/>
      <c r="BJ5750" s="314"/>
      <c r="BK5750" s="40"/>
      <c r="BL5750" s="40"/>
      <c r="BM5750" s="40"/>
      <c r="BN5750" s="40"/>
      <c r="BO5750" s="40"/>
      <c r="BP5750" s="155"/>
      <c r="BQ5750" s="314"/>
      <c r="BR5750" s="314"/>
      <c r="BS5750" s="314"/>
      <c r="BT5750" s="314"/>
      <c r="BU5750" s="314"/>
      <c r="BV5750" s="314"/>
      <c r="BW5750" s="314"/>
      <c r="BX5750" s="155"/>
    </row>
    <row r="5751" spans="1:76" ht="15.75" customHeight="1">
      <c r="A5751" s="25"/>
      <c r="B5751" s="39"/>
      <c r="C5751" s="155"/>
      <c r="D5751" s="155"/>
      <c r="E5751" s="40"/>
      <c r="F5751" s="314"/>
      <c r="H5751" s="315"/>
      <c r="I5751" s="315"/>
      <c r="BA5751" s="30"/>
      <c r="BB5751" s="155"/>
      <c r="BC5751" s="314"/>
      <c r="BD5751" s="314"/>
      <c r="BE5751" s="314"/>
      <c r="BF5751" s="314"/>
      <c r="BG5751" s="314"/>
      <c r="BH5751" s="314"/>
      <c r="BI5751" s="314"/>
      <c r="BJ5751" s="314"/>
      <c r="BK5751" s="40"/>
      <c r="BL5751" s="40"/>
      <c r="BM5751" s="40"/>
      <c r="BN5751" s="40"/>
      <c r="BO5751" s="40"/>
      <c r="BP5751" s="155"/>
      <c r="BQ5751" s="314"/>
      <c r="BR5751" s="314"/>
      <c r="BS5751" s="314"/>
      <c r="BT5751" s="314"/>
      <c r="BU5751" s="314"/>
      <c r="BV5751" s="314"/>
      <c r="BW5751" s="314"/>
      <c r="BX5751" s="155"/>
    </row>
    <row r="5752" spans="1:76" ht="15.75" customHeight="1">
      <c r="A5752" s="25"/>
      <c r="B5752" s="39"/>
      <c r="C5752" s="155"/>
      <c r="D5752" s="155"/>
      <c r="E5752" s="40"/>
      <c r="F5752" s="314"/>
      <c r="H5752" s="315"/>
      <c r="I5752" s="315"/>
      <c r="BA5752" s="30"/>
      <c r="BB5752" s="155"/>
      <c r="BC5752" s="314"/>
      <c r="BD5752" s="314"/>
      <c r="BE5752" s="314"/>
      <c r="BF5752" s="314"/>
      <c r="BG5752" s="314"/>
      <c r="BH5752" s="314"/>
      <c r="BI5752" s="314"/>
      <c r="BJ5752" s="314"/>
      <c r="BK5752" s="40"/>
      <c r="BL5752" s="40"/>
      <c r="BM5752" s="40"/>
      <c r="BN5752" s="40"/>
      <c r="BO5752" s="40"/>
      <c r="BP5752" s="155"/>
      <c r="BQ5752" s="314"/>
      <c r="BR5752" s="314"/>
      <c r="BS5752" s="314"/>
      <c r="BT5752" s="314"/>
      <c r="BU5752" s="314"/>
      <c r="BV5752" s="314"/>
      <c r="BW5752" s="314"/>
      <c r="BX5752" s="155"/>
    </row>
    <row r="5753" spans="1:76" ht="15.75" customHeight="1">
      <c r="A5753" s="25"/>
      <c r="B5753" s="39"/>
      <c r="C5753" s="155"/>
      <c r="D5753" s="155"/>
      <c r="E5753" s="40"/>
      <c r="F5753" s="314"/>
      <c r="H5753" s="315"/>
      <c r="I5753" s="315"/>
      <c r="BA5753" s="30"/>
      <c r="BB5753" s="155"/>
      <c r="BC5753" s="314"/>
      <c r="BD5753" s="314"/>
      <c r="BE5753" s="314"/>
      <c r="BF5753" s="314"/>
      <c r="BG5753" s="314"/>
      <c r="BH5753" s="314"/>
      <c r="BI5753" s="314"/>
      <c r="BJ5753" s="314"/>
      <c r="BK5753" s="40"/>
      <c r="BL5753" s="40"/>
      <c r="BM5753" s="40"/>
      <c r="BN5753" s="40"/>
      <c r="BO5753" s="40"/>
      <c r="BP5753" s="155"/>
      <c r="BQ5753" s="314"/>
      <c r="BR5753" s="314"/>
      <c r="BS5753" s="314"/>
      <c r="BT5753" s="314"/>
      <c r="BU5753" s="314"/>
      <c r="BV5753" s="314"/>
      <c r="BW5753" s="314"/>
      <c r="BX5753" s="155"/>
    </row>
    <row r="5754" spans="1:76" ht="15.75" customHeight="1">
      <c r="A5754" s="25"/>
      <c r="B5754" s="39"/>
      <c r="C5754" s="155"/>
      <c r="D5754" s="155"/>
      <c r="E5754" s="40"/>
      <c r="F5754" s="314"/>
      <c r="H5754" s="315"/>
      <c r="I5754" s="315"/>
      <c r="BA5754" s="30"/>
      <c r="BB5754" s="155"/>
      <c r="BC5754" s="314"/>
      <c r="BD5754" s="314"/>
      <c r="BE5754" s="314"/>
      <c r="BF5754" s="314"/>
      <c r="BG5754" s="314"/>
      <c r="BH5754" s="314"/>
      <c r="BI5754" s="314"/>
      <c r="BJ5754" s="314"/>
      <c r="BK5754" s="40"/>
      <c r="BL5754" s="40"/>
      <c r="BM5754" s="40"/>
      <c r="BN5754" s="40"/>
      <c r="BO5754" s="40"/>
      <c r="BP5754" s="155"/>
      <c r="BQ5754" s="314"/>
      <c r="BR5754" s="314"/>
      <c r="BS5754" s="314"/>
      <c r="BT5754" s="314"/>
      <c r="BU5754" s="314"/>
      <c r="BV5754" s="314"/>
      <c r="BW5754" s="314"/>
      <c r="BX5754" s="155"/>
    </row>
    <row r="5755" spans="1:76" ht="15.75" customHeight="1">
      <c r="A5755" s="25"/>
      <c r="B5755" s="39"/>
      <c r="C5755" s="155"/>
      <c r="D5755" s="155"/>
      <c r="E5755" s="40"/>
      <c r="F5755" s="314"/>
      <c r="H5755" s="315"/>
      <c r="I5755" s="315"/>
      <c r="BA5755" s="30"/>
      <c r="BB5755" s="155"/>
      <c r="BC5755" s="314"/>
      <c r="BD5755" s="314"/>
      <c r="BE5755" s="314"/>
      <c r="BF5755" s="314"/>
      <c r="BG5755" s="314"/>
      <c r="BH5755" s="314"/>
      <c r="BI5755" s="314"/>
      <c r="BJ5755" s="314"/>
      <c r="BK5755" s="40"/>
      <c r="BL5755" s="40"/>
      <c r="BM5755" s="40"/>
      <c r="BN5755" s="40"/>
      <c r="BO5755" s="40"/>
      <c r="BP5755" s="155"/>
      <c r="BQ5755" s="314"/>
      <c r="BR5755" s="314"/>
      <c r="BS5755" s="314"/>
      <c r="BT5755" s="314"/>
      <c r="BU5755" s="314"/>
      <c r="BV5755" s="314"/>
      <c r="BW5755" s="314"/>
      <c r="BX5755" s="155"/>
    </row>
    <row r="5756" spans="1:76" ht="15.75" customHeight="1">
      <c r="A5756" s="25"/>
      <c r="B5756" s="39"/>
      <c r="C5756" s="155"/>
      <c r="D5756" s="155"/>
      <c r="E5756" s="40"/>
      <c r="F5756" s="314"/>
      <c r="H5756" s="315"/>
      <c r="I5756" s="315"/>
      <c r="BA5756" s="30"/>
      <c r="BB5756" s="155"/>
      <c r="BC5756" s="314"/>
      <c r="BD5756" s="314"/>
      <c r="BE5756" s="314"/>
      <c r="BF5756" s="314"/>
      <c r="BG5756" s="314"/>
      <c r="BH5756" s="314"/>
      <c r="BI5756" s="314"/>
      <c r="BJ5756" s="314"/>
      <c r="BK5756" s="40"/>
      <c r="BL5756" s="40"/>
      <c r="BM5756" s="40"/>
      <c r="BN5756" s="40"/>
      <c r="BO5756" s="40"/>
      <c r="BP5756" s="155"/>
      <c r="BQ5756" s="314"/>
      <c r="BR5756" s="314"/>
      <c r="BS5756" s="314"/>
      <c r="BT5756" s="314"/>
      <c r="BU5756" s="314"/>
      <c r="BV5756" s="314"/>
      <c r="BW5756" s="314"/>
      <c r="BX5756" s="155"/>
    </row>
    <row r="5757" spans="1:76" ht="15.75" customHeight="1">
      <c r="A5757" s="25"/>
      <c r="B5757" s="39"/>
      <c r="C5757" s="155"/>
      <c r="D5757" s="155"/>
      <c r="E5757" s="40"/>
      <c r="F5757" s="314"/>
      <c r="H5757" s="315"/>
      <c r="I5757" s="315"/>
      <c r="BA5757" s="30"/>
      <c r="BB5757" s="155"/>
      <c r="BC5757" s="314"/>
      <c r="BD5757" s="314"/>
      <c r="BE5757" s="314"/>
      <c r="BF5757" s="314"/>
      <c r="BG5757" s="314"/>
      <c r="BH5757" s="314"/>
      <c r="BI5757" s="314"/>
      <c r="BJ5757" s="314"/>
      <c r="BK5757" s="40"/>
      <c r="BL5757" s="40"/>
      <c r="BM5757" s="40"/>
      <c r="BN5757" s="40"/>
      <c r="BO5757" s="40"/>
      <c r="BP5757" s="155"/>
      <c r="BQ5757" s="314"/>
      <c r="BR5757" s="314"/>
      <c r="BS5757" s="314"/>
      <c r="BT5757" s="314"/>
      <c r="BU5757" s="314"/>
      <c r="BV5757" s="314"/>
      <c r="BW5757" s="314"/>
      <c r="BX5757" s="155"/>
    </row>
    <row r="5758" spans="1:76" ht="15.75" customHeight="1">
      <c r="A5758" s="25"/>
      <c r="B5758" s="39"/>
      <c r="C5758" s="155"/>
      <c r="D5758" s="155"/>
      <c r="E5758" s="40"/>
      <c r="F5758" s="314"/>
      <c r="H5758" s="315"/>
      <c r="I5758" s="315"/>
      <c r="BA5758" s="30"/>
      <c r="BB5758" s="155"/>
      <c r="BC5758" s="314"/>
      <c r="BD5758" s="314"/>
      <c r="BE5758" s="314"/>
      <c r="BF5758" s="314"/>
      <c r="BG5758" s="314"/>
      <c r="BH5758" s="314"/>
      <c r="BI5758" s="314"/>
      <c r="BJ5758" s="314"/>
      <c r="BK5758" s="40"/>
      <c r="BL5758" s="40"/>
      <c r="BM5758" s="40"/>
      <c r="BN5758" s="40"/>
      <c r="BO5758" s="40"/>
      <c r="BP5758" s="155"/>
      <c r="BQ5758" s="314"/>
      <c r="BR5758" s="314"/>
      <c r="BS5758" s="314"/>
      <c r="BT5758" s="314"/>
      <c r="BU5758" s="314"/>
      <c r="BV5758" s="314"/>
      <c r="BW5758" s="314"/>
      <c r="BX5758" s="155"/>
    </row>
    <row r="5759" spans="1:76" ht="15.75" customHeight="1">
      <c r="A5759" s="25"/>
      <c r="B5759" s="39"/>
      <c r="C5759" s="155"/>
      <c r="D5759" s="155"/>
      <c r="E5759" s="40"/>
      <c r="F5759" s="314"/>
      <c r="H5759" s="315"/>
      <c r="I5759" s="315"/>
      <c r="BA5759" s="30"/>
      <c r="BB5759" s="155"/>
      <c r="BC5759" s="322"/>
      <c r="BD5759" s="322"/>
      <c r="BE5759" s="322"/>
      <c r="BF5759" s="322"/>
      <c r="BG5759" s="322"/>
      <c r="BH5759" s="322"/>
      <c r="BI5759" s="322"/>
      <c r="BJ5759" s="322"/>
      <c r="BK5759" s="341"/>
      <c r="BL5759" s="40"/>
      <c r="BM5759" s="40"/>
      <c r="BN5759" s="40"/>
      <c r="BO5759" s="40"/>
      <c r="BP5759" s="155"/>
      <c r="BQ5759" s="314"/>
      <c r="BR5759" s="314"/>
      <c r="BS5759" s="314"/>
      <c r="BT5759" s="314"/>
      <c r="BU5759" s="314"/>
      <c r="BV5759" s="314"/>
      <c r="BW5759" s="314"/>
      <c r="BX5759" s="155"/>
    </row>
    <row r="5760" spans="1:76" ht="15.75" customHeight="1">
      <c r="A5760" s="25"/>
      <c r="B5760" s="39"/>
      <c r="C5760" s="155"/>
      <c r="D5760" s="155"/>
      <c r="E5760" s="40"/>
      <c r="F5760" s="314"/>
      <c r="H5760" s="315"/>
      <c r="I5760" s="315"/>
      <c r="BA5760" s="30"/>
      <c r="BB5760" s="155"/>
      <c r="BC5760" s="314"/>
      <c r="BD5760" s="314"/>
      <c r="BE5760" s="314"/>
      <c r="BF5760" s="314"/>
      <c r="BG5760" s="314"/>
      <c r="BH5760" s="314"/>
      <c r="BI5760" s="314"/>
      <c r="BJ5760" s="314"/>
      <c r="BK5760" s="40"/>
      <c r="BL5760" s="40"/>
      <c r="BM5760" s="40"/>
      <c r="BN5760" s="40"/>
      <c r="BO5760" s="40"/>
      <c r="BP5760" s="155"/>
      <c r="BQ5760" s="314"/>
      <c r="BR5760" s="314"/>
      <c r="BS5760" s="314"/>
      <c r="BT5760" s="314"/>
      <c r="BU5760" s="314"/>
      <c r="BV5760" s="314"/>
      <c r="BW5760" s="314"/>
      <c r="BX5760" s="155"/>
    </row>
    <row r="5761" spans="1:76" ht="15.75" customHeight="1">
      <c r="A5761" s="25"/>
      <c r="B5761" s="39"/>
      <c r="C5761" s="155"/>
      <c r="D5761" s="155"/>
      <c r="E5761" s="40"/>
      <c r="F5761" s="314"/>
      <c r="H5761" s="315"/>
      <c r="I5761" s="315"/>
      <c r="BA5761" s="30"/>
      <c r="BB5761" s="155"/>
      <c r="BC5761" s="314"/>
      <c r="BD5761" s="314"/>
      <c r="BE5761" s="314"/>
      <c r="BF5761" s="314"/>
      <c r="BG5761" s="314"/>
      <c r="BH5761" s="314"/>
      <c r="BI5761" s="314"/>
      <c r="BJ5761" s="314"/>
      <c r="BK5761" s="40"/>
      <c r="BL5761" s="40"/>
      <c r="BM5761" s="40"/>
      <c r="BN5761" s="40"/>
      <c r="BO5761" s="40"/>
      <c r="BP5761" s="155"/>
      <c r="BQ5761" s="314"/>
      <c r="BR5761" s="314"/>
      <c r="BS5761" s="314"/>
      <c r="BT5761" s="314"/>
      <c r="BU5761" s="314"/>
      <c r="BV5761" s="314"/>
      <c r="BW5761" s="314"/>
      <c r="BX5761" s="155"/>
    </row>
    <row r="5762" spans="1:76" ht="15.75" customHeight="1">
      <c r="A5762" s="25"/>
      <c r="B5762" s="39"/>
      <c r="C5762" s="155"/>
      <c r="D5762" s="155"/>
      <c r="E5762" s="40"/>
      <c r="F5762" s="314"/>
      <c r="H5762" s="315"/>
      <c r="I5762" s="315"/>
      <c r="BA5762" s="30"/>
      <c r="BB5762" s="155"/>
      <c r="BC5762" s="314"/>
      <c r="BD5762" s="314"/>
      <c r="BE5762" s="314"/>
      <c r="BF5762" s="314"/>
      <c r="BG5762" s="314"/>
      <c r="BH5762" s="314"/>
      <c r="BI5762" s="314"/>
      <c r="BJ5762" s="314"/>
      <c r="BK5762" s="40"/>
      <c r="BL5762" s="40"/>
      <c r="BM5762" s="40"/>
      <c r="BN5762" s="40"/>
      <c r="BO5762" s="40"/>
      <c r="BP5762" s="155"/>
      <c r="BQ5762" s="314"/>
      <c r="BR5762" s="314"/>
      <c r="BS5762" s="314"/>
      <c r="BT5762" s="314"/>
      <c r="BU5762" s="314"/>
      <c r="BV5762" s="314"/>
      <c r="BW5762" s="314"/>
      <c r="BX5762" s="155"/>
    </row>
    <row r="5763" spans="1:76" ht="15.75" customHeight="1">
      <c r="A5763" s="25"/>
      <c r="B5763" s="39"/>
      <c r="C5763" s="155"/>
      <c r="D5763" s="155"/>
      <c r="E5763" s="40"/>
      <c r="F5763" s="314"/>
      <c r="H5763" s="315"/>
      <c r="I5763" s="315"/>
      <c r="BA5763" s="30"/>
      <c r="BB5763" s="155"/>
      <c r="BC5763" s="314"/>
      <c r="BD5763" s="314"/>
      <c r="BE5763" s="314"/>
      <c r="BF5763" s="314"/>
      <c r="BG5763" s="314"/>
      <c r="BH5763" s="314"/>
      <c r="BI5763" s="314"/>
      <c r="BJ5763" s="314"/>
      <c r="BK5763" s="40"/>
      <c r="BL5763" s="40"/>
      <c r="BM5763" s="40"/>
      <c r="BN5763" s="40"/>
      <c r="BO5763" s="40"/>
      <c r="BP5763" s="155"/>
      <c r="BQ5763" s="314"/>
      <c r="BR5763" s="314"/>
      <c r="BS5763" s="314"/>
      <c r="BT5763" s="314"/>
      <c r="BU5763" s="314"/>
      <c r="BV5763" s="314"/>
      <c r="BW5763" s="314"/>
      <c r="BX5763" s="155"/>
    </row>
    <row r="5764" spans="1:76" ht="15.75" customHeight="1">
      <c r="A5764" s="25"/>
      <c r="B5764" s="39"/>
      <c r="C5764" s="155"/>
      <c r="D5764" s="155"/>
      <c r="E5764" s="40"/>
      <c r="F5764" s="314"/>
      <c r="H5764" s="315"/>
      <c r="I5764" s="315"/>
      <c r="BA5764" s="30"/>
      <c r="BB5764" s="155"/>
      <c r="BC5764" s="314"/>
      <c r="BD5764" s="314"/>
      <c r="BE5764" s="314"/>
      <c r="BF5764" s="314"/>
      <c r="BG5764" s="314"/>
      <c r="BH5764" s="314"/>
      <c r="BI5764" s="314"/>
      <c r="BJ5764" s="314"/>
      <c r="BK5764" s="40"/>
      <c r="BL5764" s="40"/>
      <c r="BM5764" s="40"/>
      <c r="BN5764" s="40"/>
      <c r="BO5764" s="40"/>
      <c r="BP5764" s="155"/>
      <c r="BQ5764" s="314"/>
      <c r="BR5764" s="314"/>
      <c r="BS5764" s="314"/>
      <c r="BT5764" s="314"/>
      <c r="BU5764" s="314"/>
      <c r="BV5764" s="314"/>
      <c r="BW5764" s="314"/>
      <c r="BX5764" s="155"/>
    </row>
    <row r="5765" spans="1:76" ht="15.75" customHeight="1">
      <c r="A5765" s="25"/>
      <c r="B5765" s="39"/>
      <c r="C5765" s="155"/>
      <c r="D5765" s="155"/>
      <c r="E5765" s="40"/>
      <c r="F5765" s="314"/>
      <c r="H5765" s="315"/>
      <c r="I5765" s="315"/>
      <c r="BA5765" s="30"/>
      <c r="BB5765" s="155"/>
      <c r="BC5765" s="314"/>
      <c r="BD5765" s="314"/>
      <c r="BE5765" s="314"/>
      <c r="BF5765" s="314"/>
      <c r="BG5765" s="314"/>
      <c r="BH5765" s="314"/>
      <c r="BI5765" s="314"/>
      <c r="BJ5765" s="314"/>
      <c r="BK5765" s="40"/>
      <c r="BL5765" s="40"/>
      <c r="BM5765" s="40"/>
      <c r="BN5765" s="40"/>
      <c r="BO5765" s="40"/>
      <c r="BP5765" s="155"/>
      <c r="BQ5765" s="314"/>
      <c r="BR5765" s="314"/>
      <c r="BS5765" s="314"/>
      <c r="BT5765" s="314"/>
      <c r="BU5765" s="314"/>
      <c r="BV5765" s="314"/>
      <c r="BW5765" s="314"/>
      <c r="BX5765" s="155"/>
    </row>
    <row r="5766" spans="1:76" ht="15.75" customHeight="1">
      <c r="A5766" s="25"/>
      <c r="B5766" s="39"/>
      <c r="C5766" s="155"/>
      <c r="D5766" s="155"/>
      <c r="E5766" s="40"/>
      <c r="F5766" s="314"/>
      <c r="H5766" s="315"/>
      <c r="I5766" s="315"/>
      <c r="BA5766" s="30"/>
      <c r="BB5766" s="155"/>
      <c r="BC5766" s="314"/>
      <c r="BD5766" s="314"/>
      <c r="BE5766" s="314"/>
      <c r="BF5766" s="314"/>
      <c r="BG5766" s="314"/>
      <c r="BH5766" s="314"/>
      <c r="BI5766" s="314"/>
      <c r="BJ5766" s="314"/>
      <c r="BK5766" s="40"/>
      <c r="BL5766" s="40"/>
      <c r="BM5766" s="40"/>
      <c r="BN5766" s="40"/>
      <c r="BO5766" s="40"/>
      <c r="BP5766" s="155"/>
      <c r="BQ5766" s="314"/>
      <c r="BR5766" s="314"/>
      <c r="BS5766" s="314"/>
      <c r="BT5766" s="314"/>
      <c r="BU5766" s="314"/>
      <c r="BV5766" s="314"/>
      <c r="BW5766" s="314"/>
      <c r="BX5766" s="155"/>
    </row>
    <row r="5767" spans="1:76" ht="15.75" customHeight="1">
      <c r="A5767" s="25"/>
      <c r="B5767" s="39"/>
      <c r="C5767" s="155"/>
      <c r="D5767" s="155"/>
      <c r="E5767" s="40"/>
      <c r="F5767" s="314"/>
      <c r="H5767" s="315"/>
      <c r="I5767" s="315"/>
      <c r="BA5767" s="30"/>
      <c r="BB5767" s="155"/>
      <c r="BC5767" s="314"/>
      <c r="BD5767" s="314"/>
      <c r="BE5767" s="314"/>
      <c r="BF5767" s="314"/>
      <c r="BG5767" s="314"/>
      <c r="BH5767" s="314"/>
      <c r="BI5767" s="314"/>
      <c r="BJ5767" s="314"/>
      <c r="BK5767" s="40"/>
      <c r="BL5767" s="40"/>
      <c r="BM5767" s="40"/>
      <c r="BN5767" s="40"/>
      <c r="BO5767" s="40"/>
      <c r="BP5767" s="155"/>
      <c r="BQ5767" s="314"/>
      <c r="BR5767" s="314"/>
      <c r="BS5767" s="314"/>
      <c r="BT5767" s="314"/>
      <c r="BU5767" s="314"/>
      <c r="BV5767" s="314"/>
      <c r="BW5767" s="314"/>
      <c r="BX5767" s="155"/>
    </row>
    <row r="5768" spans="1:76" ht="15.75" customHeight="1">
      <c r="A5768" s="25"/>
      <c r="B5768" s="39"/>
      <c r="C5768" s="155"/>
      <c r="D5768" s="155"/>
      <c r="E5768" s="40"/>
      <c r="F5768" s="314"/>
      <c r="H5768" s="315"/>
      <c r="I5768" s="315"/>
      <c r="BA5768" s="30"/>
      <c r="BB5768" s="155"/>
      <c r="BC5768" s="314"/>
      <c r="BD5768" s="314"/>
      <c r="BE5768" s="314"/>
      <c r="BF5768" s="314"/>
      <c r="BG5768" s="314"/>
      <c r="BH5768" s="314"/>
      <c r="BI5768" s="314"/>
      <c r="BJ5768" s="314"/>
      <c r="BK5768" s="40"/>
      <c r="BL5768" s="40"/>
      <c r="BM5768" s="40"/>
      <c r="BN5768" s="40"/>
      <c r="BO5768" s="40"/>
      <c r="BP5768" s="155"/>
      <c r="BQ5768" s="314"/>
      <c r="BR5768" s="314"/>
      <c r="BS5768" s="314"/>
      <c r="BT5768" s="314"/>
      <c r="BU5768" s="314"/>
      <c r="BV5768" s="314"/>
      <c r="BW5768" s="314"/>
      <c r="BX5768" s="155"/>
    </row>
    <row r="5769" spans="1:76" ht="15.75" customHeight="1">
      <c r="A5769" s="25"/>
      <c r="B5769" s="39"/>
      <c r="C5769" s="155"/>
      <c r="D5769" s="155"/>
      <c r="E5769" s="40"/>
      <c r="F5769" s="314"/>
      <c r="H5769" s="315"/>
      <c r="I5769" s="315"/>
      <c r="BA5769" s="30"/>
      <c r="BB5769" s="155"/>
      <c r="BC5769" s="314"/>
      <c r="BD5769" s="314"/>
      <c r="BE5769" s="314"/>
      <c r="BF5769" s="314"/>
      <c r="BG5769" s="314"/>
      <c r="BH5769" s="314"/>
      <c r="BI5769" s="314"/>
      <c r="BJ5769" s="314"/>
      <c r="BK5769" s="40"/>
      <c r="BL5769" s="40"/>
      <c r="BM5769" s="40"/>
      <c r="BN5769" s="40"/>
      <c r="BO5769" s="40"/>
      <c r="BP5769" s="155"/>
      <c r="BQ5769" s="314"/>
      <c r="BR5769" s="314"/>
      <c r="BS5769" s="314"/>
      <c r="BT5769" s="314"/>
      <c r="BU5769" s="314"/>
      <c r="BV5769" s="314"/>
      <c r="BW5769" s="314"/>
      <c r="BX5769" s="155"/>
    </row>
    <row r="5770" spans="1:76" ht="15.75" customHeight="1">
      <c r="A5770" s="25"/>
      <c r="B5770" s="39"/>
      <c r="C5770" s="155"/>
      <c r="D5770" s="155"/>
      <c r="E5770" s="40"/>
      <c r="F5770" s="314"/>
      <c r="H5770" s="315"/>
      <c r="I5770" s="315"/>
      <c r="BA5770" s="30"/>
      <c r="BB5770" s="155"/>
      <c r="BC5770" s="314"/>
      <c r="BD5770" s="314"/>
      <c r="BE5770" s="314"/>
      <c r="BF5770" s="314"/>
      <c r="BG5770" s="314"/>
      <c r="BH5770" s="314"/>
      <c r="BI5770" s="314"/>
      <c r="BJ5770" s="314"/>
      <c r="BK5770" s="40"/>
      <c r="BL5770" s="40"/>
      <c r="BM5770" s="40"/>
      <c r="BN5770" s="40"/>
      <c r="BO5770" s="40"/>
      <c r="BP5770" s="155"/>
      <c r="BQ5770" s="314"/>
      <c r="BR5770" s="314"/>
      <c r="BS5770" s="314"/>
      <c r="BT5770" s="314"/>
      <c r="BU5770" s="314"/>
      <c r="BV5770" s="314"/>
      <c r="BW5770" s="314"/>
      <c r="BX5770" s="155"/>
    </row>
    <row r="5771" spans="1:76" ht="15.75" customHeight="1">
      <c r="A5771" s="25"/>
      <c r="B5771" s="39"/>
      <c r="C5771" s="155"/>
      <c r="D5771" s="155"/>
      <c r="E5771" s="40"/>
      <c r="F5771" s="314"/>
      <c r="H5771" s="315"/>
      <c r="I5771" s="315"/>
      <c r="BA5771" s="30"/>
      <c r="BB5771" s="155"/>
      <c r="BC5771" s="314"/>
      <c r="BD5771" s="314"/>
      <c r="BE5771" s="314"/>
      <c r="BF5771" s="314"/>
      <c r="BG5771" s="314"/>
      <c r="BH5771" s="314"/>
      <c r="BI5771" s="314"/>
      <c r="BJ5771" s="314"/>
      <c r="BK5771" s="40"/>
      <c r="BL5771" s="40"/>
      <c r="BM5771" s="40"/>
      <c r="BN5771" s="40"/>
      <c r="BO5771" s="40"/>
      <c r="BP5771" s="155"/>
      <c r="BQ5771" s="314"/>
      <c r="BR5771" s="314"/>
      <c r="BS5771" s="314"/>
      <c r="BT5771" s="314"/>
      <c r="BU5771" s="314"/>
      <c r="BV5771" s="314"/>
      <c r="BW5771" s="314"/>
      <c r="BX5771" s="155"/>
    </row>
    <row r="5772" spans="1:76" ht="15.75" customHeight="1">
      <c r="A5772" s="25"/>
      <c r="B5772" s="39"/>
      <c r="C5772" s="155"/>
      <c r="D5772" s="155"/>
      <c r="E5772" s="40"/>
      <c r="F5772" s="314"/>
      <c r="H5772" s="315"/>
      <c r="I5772" s="315"/>
      <c r="BA5772" s="30"/>
      <c r="BB5772" s="155"/>
      <c r="BC5772" s="314"/>
      <c r="BD5772" s="314"/>
      <c r="BE5772" s="314"/>
      <c r="BF5772" s="314"/>
      <c r="BG5772" s="314"/>
      <c r="BH5772" s="314"/>
      <c r="BI5772" s="314"/>
      <c r="BJ5772" s="314"/>
      <c r="BK5772" s="40"/>
      <c r="BL5772" s="40"/>
      <c r="BM5772" s="40"/>
      <c r="BN5772" s="40"/>
      <c r="BO5772" s="40"/>
      <c r="BP5772" s="155"/>
      <c r="BQ5772" s="314"/>
      <c r="BR5772" s="314"/>
      <c r="BS5772" s="314"/>
      <c r="BT5772" s="314"/>
      <c r="BU5772" s="314"/>
      <c r="BV5772" s="314"/>
      <c r="BW5772" s="314"/>
      <c r="BX5772" s="155"/>
    </row>
    <row r="5773" spans="1:76" ht="15.75" customHeight="1">
      <c r="A5773" s="25"/>
      <c r="B5773" s="39"/>
      <c r="C5773" s="155"/>
      <c r="D5773" s="155"/>
      <c r="E5773" s="40"/>
      <c r="F5773" s="314"/>
      <c r="H5773" s="315"/>
      <c r="I5773" s="315"/>
      <c r="BA5773" s="30"/>
      <c r="BB5773" s="155"/>
      <c r="BC5773" s="314"/>
      <c r="BD5773" s="314"/>
      <c r="BE5773" s="314"/>
      <c r="BF5773" s="314"/>
      <c r="BG5773" s="314"/>
      <c r="BH5773" s="314"/>
      <c r="BI5773" s="314"/>
      <c r="BJ5773" s="314"/>
      <c r="BK5773" s="40"/>
      <c r="BL5773" s="40"/>
      <c r="BM5773" s="40"/>
      <c r="BN5773" s="40"/>
      <c r="BO5773" s="40"/>
      <c r="BP5773" s="155"/>
      <c r="BQ5773" s="314"/>
      <c r="BR5773" s="314"/>
      <c r="BS5773" s="314"/>
      <c r="BT5773" s="314"/>
      <c r="BU5773" s="314"/>
      <c r="BV5773" s="314"/>
      <c r="BW5773" s="314"/>
      <c r="BX5773" s="155"/>
    </row>
    <row r="5774" spans="1:76" ht="15.75" customHeight="1">
      <c r="A5774" s="25"/>
      <c r="B5774" s="39"/>
      <c r="C5774" s="155"/>
      <c r="D5774" s="155"/>
      <c r="E5774" s="40"/>
      <c r="F5774" s="314"/>
      <c r="H5774" s="315"/>
      <c r="I5774" s="315"/>
      <c r="BA5774" s="30"/>
      <c r="BB5774" s="155"/>
      <c r="BC5774" s="314"/>
      <c r="BD5774" s="314"/>
      <c r="BE5774" s="314"/>
      <c r="BF5774" s="314"/>
      <c r="BG5774" s="314"/>
      <c r="BH5774" s="314"/>
      <c r="BI5774" s="314"/>
      <c r="BJ5774" s="314"/>
      <c r="BK5774" s="40"/>
      <c r="BL5774" s="40"/>
      <c r="BM5774" s="40"/>
      <c r="BN5774" s="40"/>
      <c r="BO5774" s="40"/>
      <c r="BP5774" s="155"/>
      <c r="BQ5774" s="314"/>
      <c r="BR5774" s="314"/>
      <c r="BS5774" s="314"/>
      <c r="BT5774" s="314"/>
      <c r="BU5774" s="314"/>
      <c r="BV5774" s="314"/>
      <c r="BW5774" s="314"/>
      <c r="BX5774" s="155"/>
    </row>
    <row r="5775" spans="1:76" ht="15.75" customHeight="1">
      <c r="A5775" s="25"/>
      <c r="B5775" s="39"/>
      <c r="C5775" s="155"/>
      <c r="D5775" s="155"/>
      <c r="E5775" s="40"/>
      <c r="F5775" s="314"/>
      <c r="H5775" s="315"/>
      <c r="I5775" s="315"/>
      <c r="BA5775" s="30"/>
      <c r="BB5775" s="155"/>
      <c r="BC5775" s="314"/>
      <c r="BD5775" s="314"/>
      <c r="BE5775" s="314"/>
      <c r="BF5775" s="314"/>
      <c r="BG5775" s="314"/>
      <c r="BH5775" s="314"/>
      <c r="BI5775" s="314"/>
      <c r="BJ5775" s="314"/>
      <c r="BK5775" s="40"/>
      <c r="BL5775" s="40"/>
      <c r="BM5775" s="40"/>
      <c r="BN5775" s="40"/>
      <c r="BO5775" s="40"/>
      <c r="BP5775" s="155"/>
      <c r="BQ5775" s="314"/>
      <c r="BR5775" s="314"/>
      <c r="BS5775" s="314"/>
      <c r="BT5775" s="314"/>
      <c r="BU5775" s="314"/>
      <c r="BV5775" s="314"/>
      <c r="BW5775" s="314"/>
      <c r="BX5775" s="155"/>
    </row>
    <row r="5776" spans="1:76" ht="15.75" customHeight="1">
      <c r="A5776" s="25"/>
      <c r="B5776" s="39"/>
      <c r="C5776" s="155"/>
      <c r="D5776" s="155"/>
      <c r="E5776" s="40"/>
      <c r="F5776" s="314"/>
      <c r="H5776" s="315"/>
      <c r="I5776" s="315"/>
      <c r="BA5776" s="30"/>
      <c r="BB5776" s="155"/>
      <c r="BC5776" s="314"/>
      <c r="BD5776" s="314"/>
      <c r="BE5776" s="314"/>
      <c r="BF5776" s="314"/>
      <c r="BG5776" s="314"/>
      <c r="BH5776" s="314"/>
      <c r="BI5776" s="314"/>
      <c r="BJ5776" s="314"/>
      <c r="BK5776" s="40"/>
      <c r="BL5776" s="40"/>
      <c r="BM5776" s="40"/>
      <c r="BN5776" s="40"/>
      <c r="BO5776" s="40"/>
      <c r="BP5776" s="155"/>
      <c r="BQ5776" s="314"/>
      <c r="BR5776" s="314"/>
      <c r="BS5776" s="314"/>
      <c r="BT5776" s="314"/>
      <c r="BU5776" s="314"/>
      <c r="BV5776" s="314"/>
      <c r="BW5776" s="314"/>
      <c r="BX5776" s="155"/>
    </row>
    <row r="5777" spans="1:76" ht="15.75" customHeight="1">
      <c r="A5777" s="25"/>
      <c r="B5777" s="39"/>
      <c r="C5777" s="155"/>
      <c r="D5777" s="155"/>
      <c r="E5777" s="40"/>
      <c r="F5777" s="314"/>
      <c r="H5777" s="315"/>
      <c r="I5777" s="315"/>
      <c r="BA5777" s="30"/>
      <c r="BB5777" s="155"/>
      <c r="BC5777" s="322"/>
      <c r="BD5777" s="322"/>
      <c r="BE5777" s="322"/>
      <c r="BF5777" s="322"/>
      <c r="BG5777" s="322"/>
      <c r="BH5777" s="322"/>
      <c r="BI5777" s="322"/>
      <c r="BJ5777" s="322"/>
      <c r="BK5777" s="341"/>
      <c r="BL5777" s="40"/>
      <c r="BM5777" s="40"/>
      <c r="BN5777" s="40"/>
      <c r="BO5777" s="40"/>
      <c r="BP5777" s="155"/>
      <c r="BQ5777" s="314"/>
      <c r="BR5777" s="314"/>
      <c r="BS5777" s="314"/>
      <c r="BT5777" s="314"/>
      <c r="BU5777" s="314"/>
      <c r="BV5777" s="314"/>
      <c r="BW5777" s="314"/>
      <c r="BX5777" s="155"/>
    </row>
    <row r="5778" spans="1:76" ht="15.75" customHeight="1">
      <c r="A5778" s="25"/>
      <c r="B5778" s="39"/>
      <c r="C5778" s="155"/>
      <c r="D5778" s="155"/>
      <c r="E5778" s="40"/>
      <c r="F5778" s="314"/>
      <c r="H5778" s="315"/>
      <c r="I5778" s="315"/>
      <c r="BA5778" s="30"/>
      <c r="BB5778" s="155"/>
      <c r="BC5778" s="314"/>
      <c r="BD5778" s="314"/>
      <c r="BE5778" s="314"/>
      <c r="BF5778" s="314"/>
      <c r="BG5778" s="314"/>
      <c r="BH5778" s="314"/>
      <c r="BI5778" s="314"/>
      <c r="BJ5778" s="314"/>
      <c r="BK5778" s="40"/>
      <c r="BL5778" s="40"/>
      <c r="BM5778" s="40"/>
      <c r="BN5778" s="40"/>
      <c r="BO5778" s="40"/>
      <c r="BP5778" s="155"/>
      <c r="BQ5778" s="314"/>
      <c r="BR5778" s="314"/>
      <c r="BS5778" s="314"/>
      <c r="BT5778" s="314"/>
      <c r="BU5778" s="314"/>
      <c r="BV5778" s="314"/>
      <c r="BW5778" s="314"/>
      <c r="BX5778" s="155"/>
    </row>
    <row r="5779" spans="1:76" ht="15.75" customHeight="1">
      <c r="A5779" s="25"/>
      <c r="B5779" s="39"/>
      <c r="C5779" s="155"/>
      <c r="D5779" s="155"/>
      <c r="E5779" s="40"/>
      <c r="F5779" s="314"/>
      <c r="H5779" s="315"/>
      <c r="I5779" s="315"/>
      <c r="BA5779" s="30"/>
      <c r="BB5779" s="155"/>
      <c r="BC5779" s="314"/>
      <c r="BD5779" s="314"/>
      <c r="BE5779" s="314"/>
      <c r="BF5779" s="314"/>
      <c r="BG5779" s="314"/>
      <c r="BH5779" s="314"/>
      <c r="BI5779" s="314"/>
      <c r="BJ5779" s="314"/>
      <c r="BK5779" s="40"/>
      <c r="BL5779" s="40"/>
      <c r="BM5779" s="40"/>
      <c r="BN5779" s="40"/>
      <c r="BO5779" s="40"/>
      <c r="BP5779" s="155"/>
      <c r="BQ5779" s="314"/>
      <c r="BR5779" s="314"/>
      <c r="BS5779" s="314"/>
      <c r="BT5779" s="314"/>
      <c r="BU5779" s="314"/>
      <c r="BV5779" s="314"/>
      <c r="BW5779" s="314"/>
      <c r="BX5779" s="155"/>
    </row>
    <row r="5780" spans="1:76" ht="15.75" customHeight="1">
      <c r="A5780" s="25"/>
      <c r="B5780" s="39"/>
      <c r="C5780" s="155"/>
      <c r="D5780" s="155"/>
      <c r="E5780" s="40"/>
      <c r="F5780" s="314"/>
      <c r="H5780" s="315"/>
      <c r="I5780" s="315"/>
      <c r="BA5780" s="30"/>
      <c r="BB5780" s="155"/>
      <c r="BC5780" s="314"/>
      <c r="BD5780" s="314"/>
      <c r="BE5780" s="314"/>
      <c r="BF5780" s="314"/>
      <c r="BG5780" s="314"/>
      <c r="BH5780" s="314"/>
      <c r="BI5780" s="314"/>
      <c r="BJ5780" s="314"/>
      <c r="BK5780" s="40"/>
      <c r="BL5780" s="40"/>
      <c r="BM5780" s="40"/>
      <c r="BN5780" s="40"/>
      <c r="BO5780" s="40"/>
      <c r="BP5780" s="155"/>
      <c r="BQ5780" s="314"/>
      <c r="BR5780" s="314"/>
      <c r="BS5780" s="314"/>
      <c r="BT5780" s="314"/>
      <c r="BU5780" s="314"/>
      <c r="BV5780" s="314"/>
      <c r="BW5780" s="314"/>
      <c r="BX5780" s="155"/>
    </row>
    <row r="5781" spans="1:76" ht="15.75" customHeight="1">
      <c r="A5781" s="25"/>
      <c r="B5781" s="39"/>
      <c r="C5781" s="155"/>
      <c r="D5781" s="155"/>
      <c r="E5781" s="40"/>
      <c r="F5781" s="314"/>
      <c r="H5781" s="315"/>
      <c r="I5781" s="315"/>
      <c r="BA5781" s="30"/>
      <c r="BB5781" s="155"/>
      <c r="BC5781" s="314"/>
      <c r="BD5781" s="314"/>
      <c r="BE5781" s="314"/>
      <c r="BF5781" s="314"/>
      <c r="BG5781" s="314"/>
      <c r="BH5781" s="314"/>
      <c r="BI5781" s="314"/>
      <c r="BJ5781" s="314"/>
      <c r="BK5781" s="40"/>
      <c r="BL5781" s="40"/>
      <c r="BM5781" s="40"/>
      <c r="BN5781" s="40"/>
      <c r="BO5781" s="40"/>
      <c r="BP5781" s="155"/>
      <c r="BQ5781" s="314"/>
      <c r="BR5781" s="314"/>
      <c r="BS5781" s="314"/>
      <c r="BT5781" s="314"/>
      <c r="BU5781" s="314"/>
      <c r="BV5781" s="314"/>
      <c r="BW5781" s="314"/>
      <c r="BX5781" s="155"/>
    </row>
    <row r="5782" spans="1:76" ht="15.75" customHeight="1">
      <c r="A5782" s="25"/>
      <c r="B5782" s="39"/>
      <c r="C5782" s="155"/>
      <c r="D5782" s="155"/>
      <c r="E5782" s="40"/>
      <c r="F5782" s="314"/>
      <c r="H5782" s="315"/>
      <c r="I5782" s="315"/>
      <c r="BA5782" s="30"/>
      <c r="BB5782" s="155"/>
      <c r="BC5782" s="314"/>
      <c r="BD5782" s="314"/>
      <c r="BE5782" s="314"/>
      <c r="BF5782" s="314"/>
      <c r="BG5782" s="314"/>
      <c r="BH5782" s="314"/>
      <c r="BI5782" s="314"/>
      <c r="BJ5782" s="314"/>
      <c r="BK5782" s="40"/>
      <c r="BL5782" s="40"/>
      <c r="BM5782" s="40"/>
      <c r="BN5782" s="40"/>
      <c r="BO5782" s="40"/>
      <c r="BP5782" s="155"/>
      <c r="BQ5782" s="314"/>
      <c r="BR5782" s="314"/>
      <c r="BS5782" s="314"/>
      <c r="BT5782" s="314"/>
      <c r="BU5782" s="314"/>
      <c r="BV5782" s="314"/>
      <c r="BW5782" s="314"/>
      <c r="BX5782" s="155"/>
    </row>
    <row r="5783" spans="1:76" ht="15.75" customHeight="1">
      <c r="A5783" s="25"/>
      <c r="B5783" s="39"/>
      <c r="C5783" s="155"/>
      <c r="D5783" s="155"/>
      <c r="E5783" s="40"/>
      <c r="F5783" s="314"/>
      <c r="H5783" s="315"/>
      <c r="I5783" s="315"/>
      <c r="BA5783" s="30"/>
      <c r="BB5783" s="155"/>
      <c r="BC5783" s="314"/>
      <c r="BD5783" s="314"/>
      <c r="BE5783" s="314"/>
      <c r="BF5783" s="314"/>
      <c r="BG5783" s="314"/>
      <c r="BH5783" s="314"/>
      <c r="BI5783" s="314"/>
      <c r="BJ5783" s="314"/>
      <c r="BK5783" s="40"/>
      <c r="BL5783" s="40"/>
      <c r="BM5783" s="40"/>
      <c r="BN5783" s="40"/>
      <c r="BO5783" s="40"/>
      <c r="BP5783" s="155"/>
      <c r="BQ5783" s="314"/>
      <c r="BR5783" s="314"/>
      <c r="BS5783" s="314"/>
      <c r="BT5783" s="314"/>
      <c r="BU5783" s="314"/>
      <c r="BV5783" s="314"/>
      <c r="BW5783" s="314"/>
      <c r="BX5783" s="155"/>
    </row>
    <row r="5784" spans="1:76" ht="15.75" customHeight="1">
      <c r="A5784" s="25"/>
      <c r="B5784" s="39"/>
      <c r="C5784" s="155"/>
      <c r="D5784" s="155"/>
      <c r="E5784" s="40"/>
      <c r="F5784" s="314"/>
      <c r="H5784" s="315"/>
      <c r="I5784" s="315"/>
      <c r="BA5784" s="30"/>
      <c r="BB5784" s="155"/>
      <c r="BC5784" s="314"/>
      <c r="BD5784" s="314"/>
      <c r="BE5784" s="314"/>
      <c r="BF5784" s="314"/>
      <c r="BG5784" s="314"/>
      <c r="BH5784" s="314"/>
      <c r="BI5784" s="314"/>
      <c r="BJ5784" s="314"/>
      <c r="BK5784" s="40"/>
      <c r="BL5784" s="40"/>
      <c r="BM5784" s="40"/>
      <c r="BN5784" s="40"/>
      <c r="BO5784" s="40"/>
      <c r="BP5784" s="155"/>
      <c r="BQ5784" s="314"/>
      <c r="BR5784" s="314"/>
      <c r="BS5784" s="314"/>
      <c r="BT5784" s="314"/>
      <c r="BU5784" s="314"/>
      <c r="BV5784" s="314"/>
      <c r="BW5784" s="314"/>
      <c r="BX5784" s="155"/>
    </row>
    <row r="5785" spans="1:76" ht="15.75" customHeight="1">
      <c r="A5785" s="25"/>
      <c r="B5785" s="39"/>
      <c r="C5785" s="155"/>
      <c r="D5785" s="155"/>
      <c r="E5785" s="40"/>
      <c r="F5785" s="314"/>
      <c r="H5785" s="315"/>
      <c r="I5785" s="315"/>
      <c r="BA5785" s="30"/>
      <c r="BB5785" s="155"/>
      <c r="BC5785" s="314"/>
      <c r="BD5785" s="314"/>
      <c r="BE5785" s="314"/>
      <c r="BF5785" s="314"/>
      <c r="BG5785" s="314"/>
      <c r="BH5785" s="314"/>
      <c r="BI5785" s="314"/>
      <c r="BJ5785" s="314"/>
      <c r="BK5785" s="40"/>
      <c r="BL5785" s="40"/>
      <c r="BM5785" s="40"/>
      <c r="BN5785" s="40"/>
      <c r="BO5785" s="40"/>
      <c r="BP5785" s="155"/>
      <c r="BQ5785" s="314"/>
      <c r="BR5785" s="314"/>
      <c r="BS5785" s="314"/>
      <c r="BT5785" s="314"/>
      <c r="BU5785" s="314"/>
      <c r="BV5785" s="314"/>
      <c r="BW5785" s="314"/>
      <c r="BX5785" s="155"/>
    </row>
    <row r="5786" spans="1:76" ht="15.75" customHeight="1">
      <c r="A5786" s="25"/>
      <c r="B5786" s="39"/>
      <c r="C5786" s="155"/>
      <c r="D5786" s="155"/>
      <c r="E5786" s="40"/>
      <c r="F5786" s="314"/>
      <c r="H5786" s="315"/>
      <c r="I5786" s="315"/>
      <c r="BA5786" s="30"/>
      <c r="BB5786" s="155"/>
      <c r="BC5786" s="314"/>
      <c r="BD5786" s="314"/>
      <c r="BE5786" s="314"/>
      <c r="BF5786" s="314"/>
      <c r="BG5786" s="314"/>
      <c r="BH5786" s="314"/>
      <c r="BI5786" s="314"/>
      <c r="BJ5786" s="314"/>
      <c r="BK5786" s="40"/>
      <c r="BL5786" s="40"/>
      <c r="BM5786" s="40"/>
      <c r="BN5786" s="40"/>
      <c r="BO5786" s="40"/>
      <c r="BP5786" s="155"/>
      <c r="BQ5786" s="314"/>
      <c r="BR5786" s="314"/>
      <c r="BS5786" s="314"/>
      <c r="BT5786" s="314"/>
      <c r="BU5786" s="314"/>
      <c r="BV5786" s="314"/>
      <c r="BW5786" s="314"/>
      <c r="BX5786" s="155"/>
    </row>
    <row r="5787" spans="1:76" ht="15.75" customHeight="1">
      <c r="A5787" s="25"/>
      <c r="B5787" s="39"/>
      <c r="C5787" s="155"/>
      <c r="D5787" s="155"/>
      <c r="E5787" s="40"/>
      <c r="F5787" s="314"/>
      <c r="H5787" s="315"/>
      <c r="I5787" s="315"/>
      <c r="BA5787" s="30"/>
      <c r="BB5787" s="155"/>
      <c r="BC5787" s="314"/>
      <c r="BD5787" s="314"/>
      <c r="BE5787" s="314"/>
      <c r="BF5787" s="314"/>
      <c r="BG5787" s="314"/>
      <c r="BH5787" s="314"/>
      <c r="BI5787" s="314"/>
      <c r="BJ5787" s="314"/>
      <c r="BK5787" s="40"/>
      <c r="BL5787" s="40"/>
      <c r="BM5787" s="40"/>
      <c r="BN5787" s="40"/>
      <c r="BO5787" s="40"/>
      <c r="BP5787" s="155"/>
      <c r="BQ5787" s="314"/>
      <c r="BR5787" s="314"/>
      <c r="BS5787" s="314"/>
      <c r="BT5787" s="314"/>
      <c r="BU5787" s="314"/>
      <c r="BV5787" s="314"/>
      <c r="BW5787" s="314"/>
      <c r="BX5787" s="155"/>
    </row>
    <row r="5788" spans="1:76" ht="15.75" customHeight="1">
      <c r="A5788" s="25"/>
      <c r="B5788" s="39"/>
      <c r="C5788" s="155"/>
      <c r="D5788" s="155"/>
      <c r="E5788" s="40"/>
      <c r="F5788" s="314"/>
      <c r="H5788" s="315"/>
      <c r="I5788" s="315"/>
      <c r="BA5788" s="30"/>
      <c r="BB5788" s="155"/>
      <c r="BC5788" s="314"/>
      <c r="BD5788" s="314"/>
      <c r="BE5788" s="314"/>
      <c r="BF5788" s="314"/>
      <c r="BG5788" s="314"/>
      <c r="BH5788" s="314"/>
      <c r="BI5788" s="314"/>
      <c r="BJ5788" s="314"/>
      <c r="BK5788" s="40"/>
      <c r="BL5788" s="40"/>
      <c r="BM5788" s="40"/>
      <c r="BN5788" s="40"/>
      <c r="BO5788" s="40"/>
      <c r="BP5788" s="155"/>
      <c r="BQ5788" s="314"/>
      <c r="BR5788" s="314"/>
      <c r="BS5788" s="314"/>
      <c r="BT5788" s="314"/>
      <c r="BU5788" s="314"/>
      <c r="BV5788" s="314"/>
      <c r="BW5788" s="314"/>
      <c r="BX5788" s="155"/>
    </row>
    <row r="5789" spans="1:76" ht="15.75" customHeight="1">
      <c r="A5789" s="25"/>
      <c r="B5789" s="39"/>
      <c r="C5789" s="155"/>
      <c r="D5789" s="155"/>
      <c r="E5789" s="40"/>
      <c r="F5789" s="314"/>
      <c r="H5789" s="315"/>
      <c r="I5789" s="315"/>
      <c r="BA5789" s="30"/>
      <c r="BB5789" s="155"/>
      <c r="BC5789" s="314"/>
      <c r="BD5789" s="314"/>
      <c r="BE5789" s="314"/>
      <c r="BF5789" s="314"/>
      <c r="BG5789" s="314"/>
      <c r="BH5789" s="314"/>
      <c r="BI5789" s="314"/>
      <c r="BJ5789" s="314"/>
      <c r="BK5789" s="40"/>
      <c r="BL5789" s="40"/>
      <c r="BM5789" s="40"/>
      <c r="BN5789" s="40"/>
      <c r="BO5789" s="40"/>
      <c r="BP5789" s="155"/>
      <c r="BQ5789" s="314"/>
      <c r="BR5789" s="314"/>
      <c r="BS5789" s="314"/>
      <c r="BT5789" s="314"/>
      <c r="BU5789" s="314"/>
      <c r="BV5789" s="314"/>
      <c r="BW5789" s="314"/>
      <c r="BX5789" s="155"/>
    </row>
    <row r="5790" spans="1:76" ht="15.75" customHeight="1">
      <c r="A5790" s="25"/>
      <c r="B5790" s="39"/>
      <c r="C5790" s="155"/>
      <c r="D5790" s="155"/>
      <c r="E5790" s="40"/>
      <c r="F5790" s="314"/>
      <c r="H5790" s="315"/>
      <c r="I5790" s="315"/>
      <c r="BA5790" s="30"/>
      <c r="BB5790" s="155"/>
      <c r="BC5790" s="314"/>
      <c r="BD5790" s="314"/>
      <c r="BE5790" s="314"/>
      <c r="BF5790" s="314"/>
      <c r="BG5790" s="314"/>
      <c r="BH5790" s="314"/>
      <c r="BI5790" s="314"/>
      <c r="BJ5790" s="314"/>
      <c r="BK5790" s="40"/>
      <c r="BL5790" s="40"/>
      <c r="BM5790" s="40"/>
      <c r="BN5790" s="40"/>
      <c r="BO5790" s="40"/>
      <c r="BP5790" s="155"/>
      <c r="BQ5790" s="314"/>
      <c r="BR5790" s="314"/>
      <c r="BS5790" s="314"/>
      <c r="BT5790" s="314"/>
      <c r="BU5790" s="314"/>
      <c r="BV5790" s="314"/>
      <c r="BW5790" s="314"/>
      <c r="BX5790" s="155"/>
    </row>
    <row r="5791" spans="1:76" ht="15.75" customHeight="1">
      <c r="A5791" s="25"/>
      <c r="B5791" s="39"/>
      <c r="C5791" s="155"/>
      <c r="D5791" s="155"/>
      <c r="E5791" s="40"/>
      <c r="F5791" s="314"/>
      <c r="H5791" s="315"/>
      <c r="I5791" s="315"/>
      <c r="BA5791" s="30"/>
      <c r="BB5791" s="155"/>
      <c r="BC5791" s="314"/>
      <c r="BD5791" s="314"/>
      <c r="BE5791" s="314"/>
      <c r="BF5791" s="314"/>
      <c r="BG5791" s="314"/>
      <c r="BH5791" s="314"/>
      <c r="BI5791" s="314"/>
      <c r="BJ5791" s="314"/>
      <c r="BK5791" s="40"/>
      <c r="BL5791" s="40"/>
      <c r="BM5791" s="40"/>
      <c r="BN5791" s="40"/>
      <c r="BO5791" s="40"/>
      <c r="BP5791" s="155"/>
      <c r="BQ5791" s="314"/>
      <c r="BR5791" s="314"/>
      <c r="BS5791" s="314"/>
      <c r="BT5791" s="314"/>
      <c r="BU5791" s="314"/>
      <c r="BV5791" s="314"/>
      <c r="BW5791" s="314"/>
      <c r="BX5791" s="155"/>
    </row>
    <row r="5792" spans="1:76" ht="15.75" customHeight="1">
      <c r="A5792" s="25"/>
      <c r="B5792" s="39"/>
      <c r="C5792" s="155"/>
      <c r="D5792" s="155"/>
      <c r="E5792" s="40"/>
      <c r="F5792" s="314"/>
      <c r="H5792" s="315"/>
      <c r="I5792" s="315"/>
      <c r="BA5792" s="30"/>
      <c r="BB5792" s="155"/>
      <c r="BC5792" s="314"/>
      <c r="BD5792" s="314"/>
      <c r="BE5792" s="314"/>
      <c r="BF5792" s="314"/>
      <c r="BG5792" s="314"/>
      <c r="BH5792" s="314"/>
      <c r="BI5792" s="314"/>
      <c r="BJ5792" s="314"/>
      <c r="BK5792" s="40"/>
      <c r="BL5792" s="40"/>
      <c r="BM5792" s="40"/>
      <c r="BN5792" s="40"/>
      <c r="BO5792" s="40"/>
      <c r="BP5792" s="155"/>
      <c r="BQ5792" s="314"/>
      <c r="BR5792" s="314"/>
      <c r="BS5792" s="314"/>
      <c r="BT5792" s="314"/>
      <c r="BU5792" s="314"/>
      <c r="BV5792" s="314"/>
      <c r="BW5792" s="314"/>
      <c r="BX5792" s="155"/>
    </row>
    <row r="5793" spans="1:76" ht="15.75" customHeight="1">
      <c r="A5793" s="25"/>
      <c r="B5793" s="39"/>
      <c r="C5793" s="155"/>
      <c r="D5793" s="155"/>
      <c r="E5793" s="40"/>
      <c r="F5793" s="314"/>
      <c r="H5793" s="315"/>
      <c r="I5793" s="315"/>
      <c r="BA5793" s="30"/>
      <c r="BB5793" s="155"/>
      <c r="BC5793" s="314"/>
      <c r="BD5793" s="314"/>
      <c r="BE5793" s="314"/>
      <c r="BF5793" s="314"/>
      <c r="BG5793" s="314"/>
      <c r="BH5793" s="314"/>
      <c r="BI5793" s="314"/>
      <c r="BJ5793" s="314"/>
      <c r="BK5793" s="40"/>
      <c r="BL5793" s="40"/>
      <c r="BM5793" s="40"/>
      <c r="BN5793" s="40"/>
      <c r="BO5793" s="40"/>
      <c r="BP5793" s="155"/>
      <c r="BQ5793" s="314"/>
      <c r="BR5793" s="314"/>
      <c r="BS5793" s="314"/>
      <c r="BT5793" s="314"/>
      <c r="BU5793" s="314"/>
      <c r="BV5793" s="314"/>
      <c r="BW5793" s="314"/>
      <c r="BX5793" s="155"/>
    </row>
    <row r="5794" spans="1:76" ht="15.75" customHeight="1">
      <c r="A5794" s="25"/>
      <c r="B5794" s="39"/>
      <c r="C5794" s="155"/>
      <c r="D5794" s="155"/>
      <c r="E5794" s="40"/>
      <c r="F5794" s="314"/>
      <c r="H5794" s="315"/>
      <c r="I5794" s="315"/>
      <c r="BA5794" s="30"/>
      <c r="BB5794" s="155"/>
      <c r="BC5794" s="314"/>
      <c r="BD5794" s="314"/>
      <c r="BE5794" s="314"/>
      <c r="BF5794" s="314"/>
      <c r="BG5794" s="314"/>
      <c r="BH5794" s="314"/>
      <c r="BI5794" s="314"/>
      <c r="BJ5794" s="314"/>
      <c r="BK5794" s="40"/>
      <c r="BL5794" s="40"/>
      <c r="BM5794" s="40"/>
      <c r="BN5794" s="40"/>
      <c r="BO5794" s="40"/>
      <c r="BP5794" s="155"/>
      <c r="BQ5794" s="314"/>
      <c r="BR5794" s="314"/>
      <c r="BS5794" s="314"/>
      <c r="BT5794" s="314"/>
      <c r="BU5794" s="314"/>
      <c r="BV5794" s="314"/>
      <c r="BW5794" s="314"/>
      <c r="BX5794" s="155"/>
    </row>
    <row r="5795" spans="1:76" ht="15.75" customHeight="1">
      <c r="A5795" s="25"/>
      <c r="B5795" s="39"/>
      <c r="C5795" s="155"/>
      <c r="D5795" s="155"/>
      <c r="E5795" s="40"/>
      <c r="F5795" s="314"/>
      <c r="H5795" s="315"/>
      <c r="I5795" s="315"/>
      <c r="BA5795" s="30"/>
      <c r="BB5795" s="155"/>
      <c r="BC5795" s="322"/>
      <c r="BD5795" s="322"/>
      <c r="BE5795" s="322"/>
      <c r="BF5795" s="322"/>
      <c r="BG5795" s="322"/>
      <c r="BH5795" s="322"/>
      <c r="BI5795" s="322"/>
      <c r="BJ5795" s="322"/>
      <c r="BK5795" s="341"/>
      <c r="BL5795" s="40"/>
      <c r="BM5795" s="40"/>
      <c r="BN5795" s="40"/>
      <c r="BO5795" s="40"/>
      <c r="BP5795" s="155"/>
      <c r="BQ5795" s="314"/>
      <c r="BR5795" s="314"/>
      <c r="BS5795" s="314"/>
      <c r="BT5795" s="314"/>
      <c r="BU5795" s="314"/>
      <c r="BV5795" s="314"/>
      <c r="BW5795" s="314"/>
      <c r="BX5795" s="155"/>
    </row>
    <row r="5796" spans="1:76" ht="15.75" customHeight="1">
      <c r="A5796" s="25"/>
      <c r="B5796" s="39"/>
      <c r="C5796" s="155"/>
      <c r="D5796" s="155"/>
      <c r="E5796" s="40"/>
      <c r="F5796" s="314"/>
      <c r="H5796" s="315"/>
      <c r="I5796" s="315"/>
      <c r="BA5796" s="30"/>
      <c r="BB5796" s="155"/>
      <c r="BC5796" s="314"/>
      <c r="BD5796" s="314"/>
      <c r="BE5796" s="314"/>
      <c r="BF5796" s="314"/>
      <c r="BG5796" s="314"/>
      <c r="BH5796" s="314"/>
      <c r="BI5796" s="314"/>
      <c r="BJ5796" s="314"/>
      <c r="BK5796" s="40"/>
      <c r="BL5796" s="40"/>
      <c r="BM5796" s="40"/>
      <c r="BN5796" s="40"/>
      <c r="BO5796" s="40"/>
      <c r="BP5796" s="155"/>
      <c r="BQ5796" s="314"/>
      <c r="BR5796" s="314"/>
      <c r="BS5796" s="314"/>
      <c r="BT5796" s="314"/>
      <c r="BU5796" s="314"/>
      <c r="BV5796" s="314"/>
      <c r="BW5796" s="314"/>
      <c r="BX5796" s="155"/>
    </row>
    <row r="5797" spans="1:76" ht="15.75" customHeight="1">
      <c r="A5797" s="25"/>
      <c r="B5797" s="39"/>
      <c r="C5797" s="155"/>
      <c r="D5797" s="155"/>
      <c r="E5797" s="40"/>
      <c r="F5797" s="314"/>
      <c r="H5797" s="315"/>
      <c r="I5797" s="315"/>
      <c r="BA5797" s="30"/>
      <c r="BB5797" s="155"/>
      <c r="BC5797" s="314"/>
      <c r="BD5797" s="314"/>
      <c r="BE5797" s="314"/>
      <c r="BF5797" s="314"/>
      <c r="BG5797" s="314"/>
      <c r="BH5797" s="314"/>
      <c r="BI5797" s="314"/>
      <c r="BJ5797" s="314"/>
      <c r="BK5797" s="40"/>
      <c r="BL5797" s="40"/>
      <c r="BM5797" s="40"/>
      <c r="BN5797" s="40"/>
      <c r="BO5797" s="40"/>
      <c r="BP5797" s="155"/>
      <c r="BQ5797" s="314"/>
      <c r="BR5797" s="314"/>
      <c r="BS5797" s="314"/>
      <c r="BT5797" s="314"/>
      <c r="BU5797" s="314"/>
      <c r="BV5797" s="314"/>
      <c r="BW5797" s="314"/>
      <c r="BX5797" s="155"/>
    </row>
    <row r="5798" spans="1:76" ht="15.75" customHeight="1">
      <c r="A5798" s="25"/>
      <c r="B5798" s="39"/>
      <c r="C5798" s="155"/>
      <c r="D5798" s="155"/>
      <c r="E5798" s="40"/>
      <c r="F5798" s="314"/>
      <c r="H5798" s="315"/>
      <c r="I5798" s="315"/>
      <c r="BA5798" s="30"/>
      <c r="BB5798" s="155"/>
      <c r="BC5798" s="314"/>
      <c r="BD5798" s="314"/>
      <c r="BE5798" s="314"/>
      <c r="BF5798" s="314"/>
      <c r="BG5798" s="314"/>
      <c r="BH5798" s="314"/>
      <c r="BI5798" s="314"/>
      <c r="BJ5798" s="314"/>
      <c r="BK5798" s="40"/>
      <c r="BL5798" s="40"/>
      <c r="BM5798" s="40"/>
      <c r="BN5798" s="40"/>
      <c r="BO5798" s="40"/>
      <c r="BP5798" s="155"/>
      <c r="BQ5798" s="314"/>
      <c r="BR5798" s="314"/>
      <c r="BS5798" s="314"/>
      <c r="BT5798" s="314"/>
      <c r="BU5798" s="314"/>
      <c r="BV5798" s="314"/>
      <c r="BW5798" s="314"/>
      <c r="BX5798" s="155"/>
    </row>
    <row r="5799" spans="1:76" ht="15.75" customHeight="1">
      <c r="A5799" s="25"/>
      <c r="B5799" s="39"/>
      <c r="C5799" s="155"/>
      <c r="D5799" s="155"/>
      <c r="E5799" s="40"/>
      <c r="F5799" s="314"/>
      <c r="H5799" s="315"/>
      <c r="I5799" s="315"/>
      <c r="BA5799" s="30"/>
      <c r="BB5799" s="155"/>
      <c r="BC5799" s="314"/>
      <c r="BD5799" s="314"/>
      <c r="BE5799" s="314"/>
      <c r="BF5799" s="314"/>
      <c r="BG5799" s="314"/>
      <c r="BH5799" s="314"/>
      <c r="BI5799" s="314"/>
      <c r="BJ5799" s="314"/>
      <c r="BK5799" s="40"/>
      <c r="BL5799" s="40"/>
      <c r="BM5799" s="40"/>
      <c r="BN5799" s="40"/>
      <c r="BO5799" s="40"/>
      <c r="BP5799" s="155"/>
      <c r="BQ5799" s="314"/>
      <c r="BR5799" s="314"/>
      <c r="BS5799" s="314"/>
      <c r="BT5799" s="314"/>
      <c r="BU5799" s="314"/>
      <c r="BV5799" s="314"/>
      <c r="BW5799" s="314"/>
      <c r="BX5799" s="155"/>
    </row>
    <row r="5800" spans="1:76" ht="15.75" customHeight="1">
      <c r="A5800" s="25"/>
      <c r="B5800" s="39"/>
      <c r="C5800" s="155"/>
      <c r="D5800" s="155"/>
      <c r="E5800" s="40"/>
      <c r="F5800" s="314"/>
      <c r="H5800" s="315"/>
      <c r="I5800" s="315"/>
      <c r="BA5800" s="30"/>
      <c r="BB5800" s="155"/>
      <c r="BC5800" s="314"/>
      <c r="BD5800" s="314"/>
      <c r="BE5800" s="314"/>
      <c r="BF5800" s="314"/>
      <c r="BG5800" s="314"/>
      <c r="BH5800" s="314"/>
      <c r="BI5800" s="314"/>
      <c r="BJ5800" s="314"/>
      <c r="BK5800" s="40"/>
      <c r="BL5800" s="40"/>
      <c r="BM5800" s="40"/>
      <c r="BN5800" s="40"/>
      <c r="BO5800" s="40"/>
      <c r="BP5800" s="155"/>
      <c r="BQ5800" s="314"/>
      <c r="BR5800" s="314"/>
      <c r="BS5800" s="314"/>
      <c r="BT5800" s="314"/>
      <c r="BU5800" s="314"/>
      <c r="BV5800" s="314"/>
      <c r="BW5800" s="314"/>
      <c r="BX5800" s="155"/>
    </row>
    <row r="5801" spans="1:76" ht="15.75" customHeight="1">
      <c r="A5801" s="25"/>
      <c r="B5801" s="39"/>
      <c r="C5801" s="155"/>
      <c r="D5801" s="155"/>
      <c r="E5801" s="40"/>
      <c r="F5801" s="314"/>
      <c r="H5801" s="315"/>
      <c r="I5801" s="315"/>
      <c r="BA5801" s="30"/>
      <c r="BB5801" s="155"/>
      <c r="BC5801" s="314"/>
      <c r="BD5801" s="314"/>
      <c r="BE5801" s="314"/>
      <c r="BF5801" s="314"/>
      <c r="BG5801" s="314"/>
      <c r="BH5801" s="314"/>
      <c r="BI5801" s="314"/>
      <c r="BJ5801" s="314"/>
      <c r="BK5801" s="40"/>
      <c r="BL5801" s="40"/>
      <c r="BM5801" s="40"/>
      <c r="BN5801" s="40"/>
      <c r="BO5801" s="40"/>
      <c r="BP5801" s="155"/>
      <c r="BQ5801" s="314"/>
      <c r="BR5801" s="314"/>
      <c r="BS5801" s="314"/>
      <c r="BT5801" s="314"/>
      <c r="BU5801" s="314"/>
      <c r="BV5801" s="314"/>
      <c r="BW5801" s="314"/>
      <c r="BX5801" s="155"/>
    </row>
    <row r="5802" spans="1:76" ht="15.75" customHeight="1">
      <c r="A5802" s="25"/>
      <c r="B5802" s="39"/>
      <c r="C5802" s="155"/>
      <c r="D5802" s="155"/>
      <c r="E5802" s="40"/>
      <c r="F5802" s="314"/>
      <c r="H5802" s="315"/>
      <c r="I5802" s="315"/>
      <c r="BA5802" s="30"/>
      <c r="BB5802" s="155"/>
      <c r="BC5802" s="314"/>
      <c r="BD5802" s="314"/>
      <c r="BE5802" s="314"/>
      <c r="BF5802" s="314"/>
      <c r="BG5802" s="314"/>
      <c r="BH5802" s="314"/>
      <c r="BI5802" s="314"/>
      <c r="BJ5802" s="314"/>
      <c r="BK5802" s="40"/>
      <c r="BL5802" s="40"/>
      <c r="BM5802" s="40"/>
      <c r="BN5802" s="40"/>
      <c r="BO5802" s="40"/>
      <c r="BP5802" s="155"/>
      <c r="BQ5802" s="314"/>
      <c r="BR5802" s="314"/>
      <c r="BS5802" s="314"/>
      <c r="BT5802" s="314"/>
      <c r="BU5802" s="314"/>
      <c r="BV5802" s="314"/>
      <c r="BW5802" s="314"/>
      <c r="BX5802" s="155"/>
    </row>
    <row r="5803" spans="1:76" ht="15.75" customHeight="1">
      <c r="A5803" s="25"/>
      <c r="B5803" s="39"/>
      <c r="C5803" s="155"/>
      <c r="D5803" s="155"/>
      <c r="E5803" s="40"/>
      <c r="F5803" s="314"/>
      <c r="H5803" s="315"/>
      <c r="I5803" s="315"/>
      <c r="BA5803" s="30"/>
      <c r="BB5803" s="155"/>
      <c r="BC5803" s="314"/>
      <c r="BD5803" s="314"/>
      <c r="BE5803" s="314"/>
      <c r="BF5803" s="314"/>
      <c r="BG5803" s="314"/>
      <c r="BH5803" s="314"/>
      <c r="BI5803" s="314"/>
      <c r="BJ5803" s="314"/>
      <c r="BK5803" s="40"/>
      <c r="BL5803" s="40"/>
      <c r="BM5803" s="40"/>
      <c r="BN5803" s="40"/>
      <c r="BO5803" s="40"/>
      <c r="BP5803" s="155"/>
      <c r="BQ5803" s="314"/>
      <c r="BR5803" s="314"/>
      <c r="BS5803" s="314"/>
      <c r="BT5803" s="314"/>
      <c r="BU5803" s="314"/>
      <c r="BV5803" s="314"/>
      <c r="BW5803" s="314"/>
      <c r="BX5803" s="155"/>
    </row>
    <row r="5804" spans="1:76" ht="15.75" customHeight="1">
      <c r="A5804" s="25"/>
      <c r="B5804" s="39"/>
      <c r="C5804" s="155"/>
      <c r="D5804" s="155"/>
      <c r="E5804" s="40"/>
      <c r="F5804" s="314"/>
      <c r="H5804" s="315"/>
      <c r="I5804" s="315"/>
      <c r="BA5804" s="30"/>
      <c r="BB5804" s="155"/>
      <c r="BC5804" s="314"/>
      <c r="BD5804" s="314"/>
      <c r="BE5804" s="314"/>
      <c r="BF5804" s="314"/>
      <c r="BG5804" s="314"/>
      <c r="BH5804" s="314"/>
      <c r="BI5804" s="314"/>
      <c r="BJ5804" s="314"/>
      <c r="BK5804" s="40"/>
      <c r="BL5804" s="40"/>
      <c r="BM5804" s="40"/>
      <c r="BN5804" s="40"/>
      <c r="BO5804" s="40"/>
      <c r="BP5804" s="155"/>
      <c r="BQ5804" s="314"/>
      <c r="BR5804" s="314"/>
      <c r="BS5804" s="314"/>
      <c r="BT5804" s="314"/>
      <c r="BU5804" s="314"/>
      <c r="BV5804" s="314"/>
      <c r="BW5804" s="314"/>
      <c r="BX5804" s="155"/>
    </row>
    <row r="5805" spans="1:76" ht="15.75" customHeight="1">
      <c r="A5805" s="25"/>
      <c r="B5805" s="39"/>
      <c r="C5805" s="155"/>
      <c r="D5805" s="155"/>
      <c r="E5805" s="40"/>
      <c r="F5805" s="314"/>
      <c r="H5805" s="315"/>
      <c r="I5805" s="315"/>
      <c r="BA5805" s="30"/>
      <c r="BB5805" s="155"/>
      <c r="BC5805" s="314"/>
      <c r="BD5805" s="314"/>
      <c r="BE5805" s="314"/>
      <c r="BF5805" s="314"/>
      <c r="BG5805" s="314"/>
      <c r="BH5805" s="314"/>
      <c r="BI5805" s="314"/>
      <c r="BJ5805" s="314"/>
      <c r="BK5805" s="40"/>
      <c r="BL5805" s="40"/>
      <c r="BM5805" s="40"/>
      <c r="BN5805" s="40"/>
      <c r="BO5805" s="40"/>
      <c r="BP5805" s="155"/>
      <c r="BQ5805" s="314"/>
      <c r="BR5805" s="314"/>
      <c r="BS5805" s="314"/>
      <c r="BT5805" s="314"/>
      <c r="BU5805" s="314"/>
      <c r="BV5805" s="314"/>
      <c r="BW5805" s="314"/>
      <c r="BX5805" s="155"/>
    </row>
    <row r="5806" spans="1:76" ht="15.75" customHeight="1">
      <c r="A5806" s="25"/>
      <c r="B5806" s="39"/>
      <c r="C5806" s="155"/>
      <c r="D5806" s="155"/>
      <c r="E5806" s="40"/>
      <c r="F5806" s="314"/>
      <c r="H5806" s="315"/>
      <c r="I5806" s="315"/>
      <c r="BA5806" s="30"/>
      <c r="BB5806" s="155"/>
      <c r="BC5806" s="314"/>
      <c r="BD5806" s="314"/>
      <c r="BE5806" s="314"/>
      <c r="BF5806" s="314"/>
      <c r="BG5806" s="314"/>
      <c r="BH5806" s="314"/>
      <c r="BI5806" s="314"/>
      <c r="BJ5806" s="314"/>
      <c r="BK5806" s="40"/>
      <c r="BL5806" s="40"/>
      <c r="BM5806" s="40"/>
      <c r="BN5806" s="40"/>
      <c r="BO5806" s="40"/>
      <c r="BP5806" s="155"/>
      <c r="BQ5806" s="314"/>
      <c r="BR5806" s="314"/>
      <c r="BS5806" s="314"/>
      <c r="BT5806" s="314"/>
      <c r="BU5806" s="314"/>
      <c r="BV5806" s="314"/>
      <c r="BW5806" s="314"/>
      <c r="BX5806" s="155"/>
    </row>
    <row r="5807" spans="1:76" ht="15.75" customHeight="1">
      <c r="A5807" s="25"/>
      <c r="B5807" s="39"/>
      <c r="C5807" s="155"/>
      <c r="D5807" s="155"/>
      <c r="E5807" s="40"/>
      <c r="F5807" s="314"/>
      <c r="H5807" s="315"/>
      <c r="I5807" s="315"/>
      <c r="BA5807" s="30"/>
      <c r="BB5807" s="155"/>
      <c r="BC5807" s="314"/>
      <c r="BD5807" s="314"/>
      <c r="BE5807" s="314"/>
      <c r="BF5807" s="314"/>
      <c r="BG5807" s="314"/>
      <c r="BH5807" s="314"/>
      <c r="BI5807" s="314"/>
      <c r="BJ5807" s="314"/>
      <c r="BK5807" s="40"/>
      <c r="BL5807" s="40"/>
      <c r="BM5807" s="40"/>
      <c r="BN5807" s="40"/>
      <c r="BO5807" s="40"/>
      <c r="BP5807" s="155"/>
      <c r="BQ5807" s="314"/>
      <c r="BR5807" s="314"/>
      <c r="BS5807" s="314"/>
      <c r="BT5807" s="314"/>
      <c r="BU5807" s="314"/>
      <c r="BV5807" s="314"/>
      <c r="BW5807" s="314"/>
      <c r="BX5807" s="155"/>
    </row>
    <row r="5808" spans="1:76" ht="15.75" customHeight="1">
      <c r="A5808" s="25"/>
      <c r="B5808" s="39"/>
      <c r="C5808" s="155"/>
      <c r="D5808" s="155"/>
      <c r="E5808" s="40"/>
      <c r="F5808" s="314"/>
      <c r="H5808" s="315"/>
      <c r="I5808" s="315"/>
      <c r="BA5808" s="30"/>
      <c r="BB5808" s="155"/>
      <c r="BC5808" s="314"/>
      <c r="BD5808" s="314"/>
      <c r="BE5808" s="314"/>
      <c r="BF5808" s="314"/>
      <c r="BG5808" s="314"/>
      <c r="BH5808" s="314"/>
      <c r="BI5808" s="314"/>
      <c r="BJ5808" s="314"/>
      <c r="BK5808" s="40"/>
      <c r="BL5808" s="40"/>
      <c r="BM5808" s="40"/>
      <c r="BN5808" s="40"/>
      <c r="BO5808" s="40"/>
      <c r="BP5808" s="155"/>
      <c r="BQ5808" s="314"/>
      <c r="BR5808" s="314"/>
      <c r="BS5808" s="314"/>
      <c r="BT5808" s="314"/>
      <c r="BU5808" s="314"/>
      <c r="BV5808" s="314"/>
      <c r="BW5808" s="314"/>
      <c r="BX5808" s="155"/>
    </row>
    <row r="5809" spans="1:76" ht="15.75" customHeight="1">
      <c r="A5809" s="25"/>
      <c r="B5809" s="39"/>
      <c r="C5809" s="155"/>
      <c r="D5809" s="155"/>
      <c r="E5809" s="40"/>
      <c r="F5809" s="314"/>
      <c r="H5809" s="315"/>
      <c r="I5809" s="315"/>
      <c r="BA5809" s="30"/>
      <c r="BB5809" s="155"/>
      <c r="BC5809" s="314"/>
      <c r="BD5809" s="314"/>
      <c r="BE5809" s="314"/>
      <c r="BF5809" s="314"/>
      <c r="BG5809" s="314"/>
      <c r="BH5809" s="314"/>
      <c r="BI5809" s="314"/>
      <c r="BJ5809" s="314"/>
      <c r="BK5809" s="40"/>
      <c r="BL5809" s="40"/>
      <c r="BM5809" s="40"/>
      <c r="BN5809" s="40"/>
      <c r="BO5809" s="40"/>
      <c r="BP5809" s="155"/>
      <c r="BQ5809" s="314"/>
      <c r="BR5809" s="314"/>
      <c r="BS5809" s="314"/>
      <c r="BT5809" s="314"/>
      <c r="BU5809" s="314"/>
      <c r="BV5809" s="314"/>
      <c r="BW5809" s="314"/>
      <c r="BX5809" s="155"/>
    </row>
    <row r="5810" spans="1:76" ht="15.75" customHeight="1">
      <c r="A5810" s="25"/>
      <c r="B5810" s="39"/>
      <c r="C5810" s="155"/>
      <c r="D5810" s="155"/>
      <c r="E5810" s="40"/>
      <c r="F5810" s="314"/>
      <c r="H5810" s="315"/>
      <c r="I5810" s="315"/>
      <c r="BA5810" s="30"/>
      <c r="BB5810" s="155"/>
      <c r="BC5810" s="314"/>
      <c r="BD5810" s="314"/>
      <c r="BE5810" s="314"/>
      <c r="BF5810" s="314"/>
      <c r="BG5810" s="314"/>
      <c r="BH5810" s="314"/>
      <c r="BI5810" s="314"/>
      <c r="BJ5810" s="314"/>
      <c r="BK5810" s="40"/>
      <c r="BL5810" s="40"/>
      <c r="BM5810" s="40"/>
      <c r="BN5810" s="40"/>
      <c r="BO5810" s="40"/>
      <c r="BP5810" s="155"/>
      <c r="BQ5810" s="314"/>
      <c r="BR5810" s="314"/>
      <c r="BS5810" s="314"/>
      <c r="BT5810" s="314"/>
      <c r="BU5810" s="314"/>
      <c r="BV5810" s="314"/>
      <c r="BW5810" s="314"/>
      <c r="BX5810" s="155"/>
    </row>
    <row r="5811" spans="1:76" ht="15.75" customHeight="1">
      <c r="A5811" s="25"/>
      <c r="B5811" s="39"/>
      <c r="C5811" s="155"/>
      <c r="D5811" s="155"/>
      <c r="E5811" s="40"/>
      <c r="F5811" s="314"/>
      <c r="H5811" s="315"/>
      <c r="I5811" s="315"/>
      <c r="BA5811" s="30"/>
      <c r="BB5811" s="155"/>
      <c r="BC5811" s="314"/>
      <c r="BD5811" s="314"/>
      <c r="BE5811" s="314"/>
      <c r="BF5811" s="314"/>
      <c r="BG5811" s="314"/>
      <c r="BH5811" s="314"/>
      <c r="BI5811" s="314"/>
      <c r="BJ5811" s="314"/>
      <c r="BK5811" s="40"/>
      <c r="BL5811" s="40"/>
      <c r="BM5811" s="40"/>
      <c r="BN5811" s="40"/>
      <c r="BO5811" s="40"/>
      <c r="BP5811" s="155"/>
      <c r="BQ5811" s="314"/>
      <c r="BR5811" s="314"/>
      <c r="BS5811" s="314"/>
      <c r="BT5811" s="314"/>
      <c r="BU5811" s="314"/>
      <c r="BV5811" s="314"/>
      <c r="BW5811" s="314"/>
      <c r="BX5811" s="155"/>
    </row>
    <row r="5812" spans="1:76" ht="15.75" customHeight="1">
      <c r="A5812" s="25"/>
      <c r="B5812" s="39"/>
      <c r="C5812" s="155"/>
      <c r="D5812" s="155"/>
      <c r="E5812" s="40"/>
      <c r="F5812" s="314"/>
      <c r="H5812" s="315"/>
      <c r="I5812" s="315"/>
      <c r="BA5812" s="30"/>
      <c r="BB5812" s="155"/>
      <c r="BC5812" s="314"/>
      <c r="BD5812" s="314"/>
      <c r="BE5812" s="314"/>
      <c r="BF5812" s="314"/>
      <c r="BG5812" s="314"/>
      <c r="BH5812" s="314"/>
      <c r="BI5812" s="314"/>
      <c r="BJ5812" s="314"/>
      <c r="BK5812" s="40"/>
      <c r="BL5812" s="40"/>
      <c r="BM5812" s="40"/>
      <c r="BN5812" s="40"/>
      <c r="BO5812" s="40"/>
      <c r="BP5812" s="155"/>
      <c r="BQ5812" s="314"/>
      <c r="BR5812" s="314"/>
      <c r="BS5812" s="314"/>
      <c r="BT5812" s="314"/>
      <c r="BU5812" s="314"/>
      <c r="BV5812" s="314"/>
      <c r="BW5812" s="314"/>
      <c r="BX5812" s="155"/>
    </row>
    <row r="5813" spans="1:76" ht="15.75" customHeight="1">
      <c r="A5813" s="25"/>
      <c r="B5813" s="39"/>
      <c r="C5813" s="155"/>
      <c r="D5813" s="155"/>
      <c r="E5813" s="40"/>
      <c r="F5813" s="314"/>
      <c r="H5813" s="315"/>
      <c r="I5813" s="315"/>
      <c r="BA5813" s="30"/>
      <c r="BB5813" s="155"/>
      <c r="BC5813" s="314"/>
      <c r="BD5813" s="314"/>
      <c r="BE5813" s="314"/>
      <c r="BF5813" s="314"/>
      <c r="BG5813" s="314"/>
      <c r="BH5813" s="314"/>
      <c r="BI5813" s="314"/>
      <c r="BJ5813" s="314"/>
      <c r="BK5813" s="40"/>
      <c r="BL5813" s="40"/>
      <c r="BM5813" s="40"/>
      <c r="BN5813" s="40"/>
      <c r="BO5813" s="40"/>
      <c r="BP5813" s="155"/>
      <c r="BQ5813" s="314"/>
      <c r="BR5813" s="314"/>
      <c r="BS5813" s="314"/>
      <c r="BT5813" s="314"/>
      <c r="BU5813" s="314"/>
      <c r="BV5813" s="314"/>
      <c r="BW5813" s="314"/>
      <c r="BX5813" s="155"/>
    </row>
    <row r="5814" spans="1:76" ht="15.75" customHeight="1">
      <c r="A5814" s="25"/>
      <c r="B5814" s="39"/>
      <c r="C5814" s="155"/>
      <c r="D5814" s="155"/>
      <c r="E5814" s="40"/>
      <c r="F5814" s="314"/>
      <c r="H5814" s="315"/>
      <c r="I5814" s="315"/>
      <c r="BA5814" s="30"/>
      <c r="BB5814" s="155"/>
      <c r="BC5814" s="314"/>
      <c r="BD5814" s="314"/>
      <c r="BE5814" s="314"/>
      <c r="BF5814" s="314"/>
      <c r="BG5814" s="314"/>
      <c r="BH5814" s="314"/>
      <c r="BI5814" s="314"/>
      <c r="BJ5814" s="314"/>
      <c r="BK5814" s="40"/>
      <c r="BL5814" s="40"/>
      <c r="BM5814" s="40"/>
      <c r="BN5814" s="40"/>
      <c r="BO5814" s="40"/>
      <c r="BP5814" s="155"/>
      <c r="BQ5814" s="314"/>
      <c r="BR5814" s="314"/>
      <c r="BS5814" s="314"/>
      <c r="BT5814" s="314"/>
      <c r="BU5814" s="314"/>
      <c r="BV5814" s="314"/>
      <c r="BW5814" s="314"/>
      <c r="BX5814" s="155"/>
    </row>
    <row r="5815" spans="1:76" ht="15.75" customHeight="1">
      <c r="A5815" s="25"/>
      <c r="B5815" s="39"/>
      <c r="C5815" s="155"/>
      <c r="D5815" s="155"/>
      <c r="E5815" s="40"/>
      <c r="F5815" s="314"/>
      <c r="H5815" s="315"/>
      <c r="I5815" s="315"/>
      <c r="BA5815" s="30"/>
      <c r="BB5815" s="155"/>
      <c r="BC5815" s="314"/>
      <c r="BD5815" s="314"/>
      <c r="BE5815" s="314"/>
      <c r="BF5815" s="314"/>
      <c r="BG5815" s="314"/>
      <c r="BH5815" s="314"/>
      <c r="BI5815" s="314"/>
      <c r="BJ5815" s="314"/>
      <c r="BK5815" s="40"/>
      <c r="BL5815" s="40"/>
      <c r="BM5815" s="40"/>
      <c r="BN5815" s="40"/>
      <c r="BO5815" s="40"/>
      <c r="BP5815" s="155"/>
      <c r="BQ5815" s="314"/>
      <c r="BR5815" s="314"/>
      <c r="BS5815" s="314"/>
      <c r="BT5815" s="314"/>
      <c r="BU5815" s="314"/>
      <c r="BV5815" s="314"/>
      <c r="BW5815" s="314"/>
      <c r="BX5815" s="155"/>
    </row>
    <row r="5816" spans="1:76" ht="15.75" customHeight="1">
      <c r="A5816" s="25"/>
      <c r="B5816" s="39"/>
      <c r="C5816" s="155"/>
      <c r="D5816" s="155"/>
      <c r="E5816" s="40"/>
      <c r="F5816" s="314"/>
      <c r="H5816" s="315"/>
      <c r="I5816" s="315"/>
      <c r="BA5816" s="30"/>
      <c r="BB5816" s="155"/>
      <c r="BC5816" s="322"/>
      <c r="BD5816" s="322"/>
      <c r="BE5816" s="322"/>
      <c r="BF5816" s="322"/>
      <c r="BG5816" s="322"/>
      <c r="BH5816" s="322"/>
      <c r="BI5816" s="322"/>
      <c r="BJ5816" s="322"/>
      <c r="BK5816" s="341"/>
      <c r="BL5816" s="40"/>
      <c r="BM5816" s="40"/>
      <c r="BN5816" s="40"/>
      <c r="BO5816" s="40"/>
      <c r="BP5816" s="155"/>
      <c r="BQ5816" s="314"/>
      <c r="BR5816" s="314"/>
      <c r="BS5816" s="314"/>
      <c r="BT5816" s="314"/>
      <c r="BU5816" s="314"/>
      <c r="BV5816" s="314"/>
      <c r="BW5816" s="314"/>
      <c r="BX5816" s="155"/>
    </row>
    <row r="5817" spans="1:76" ht="15.75" customHeight="1">
      <c r="A5817" s="25"/>
      <c r="B5817" s="39"/>
      <c r="C5817" s="155"/>
      <c r="D5817" s="155"/>
      <c r="E5817" s="40"/>
      <c r="F5817" s="314"/>
      <c r="H5817" s="315"/>
      <c r="I5817" s="315"/>
      <c r="BA5817" s="30"/>
      <c r="BB5817" s="155"/>
      <c r="BC5817" s="314"/>
      <c r="BD5817" s="314"/>
      <c r="BE5817" s="314"/>
      <c r="BF5817" s="314"/>
      <c r="BG5817" s="314"/>
      <c r="BH5817" s="314"/>
      <c r="BI5817" s="314"/>
      <c r="BJ5817" s="314"/>
      <c r="BK5817" s="40"/>
      <c r="BL5817" s="40"/>
      <c r="BM5817" s="40"/>
      <c r="BN5817" s="40"/>
      <c r="BO5817" s="40"/>
      <c r="BP5817" s="155"/>
      <c r="BQ5817" s="314"/>
      <c r="BR5817" s="314"/>
      <c r="BS5817" s="314"/>
      <c r="BT5817" s="314"/>
      <c r="BU5817" s="314"/>
      <c r="BV5817" s="314"/>
      <c r="BW5817" s="314"/>
      <c r="BX5817" s="155"/>
    </row>
    <row r="5818" spans="1:76" ht="15.75" customHeight="1">
      <c r="A5818" s="25"/>
      <c r="B5818" s="39"/>
      <c r="C5818" s="155"/>
      <c r="D5818" s="155"/>
      <c r="E5818" s="40"/>
      <c r="F5818" s="314"/>
      <c r="H5818" s="315"/>
      <c r="I5818" s="315"/>
      <c r="BA5818" s="30"/>
      <c r="BB5818" s="155"/>
      <c r="BC5818" s="314"/>
      <c r="BD5818" s="314"/>
      <c r="BE5818" s="314"/>
      <c r="BF5818" s="314"/>
      <c r="BG5818" s="314"/>
      <c r="BH5818" s="314"/>
      <c r="BI5818" s="314"/>
      <c r="BJ5818" s="314"/>
      <c r="BK5818" s="40"/>
      <c r="BL5818" s="40"/>
      <c r="BM5818" s="40"/>
      <c r="BN5818" s="40"/>
      <c r="BO5818" s="40"/>
      <c r="BP5818" s="155"/>
      <c r="BQ5818" s="314"/>
      <c r="BR5818" s="314"/>
      <c r="BS5818" s="314"/>
      <c r="BT5818" s="314"/>
      <c r="BU5818" s="314"/>
      <c r="BV5818" s="314"/>
      <c r="BW5818" s="314"/>
      <c r="BX5818" s="155"/>
    </row>
    <row r="5819" spans="1:76" ht="15.75" customHeight="1">
      <c r="A5819" s="25"/>
      <c r="B5819" s="39"/>
      <c r="C5819" s="155"/>
      <c r="D5819" s="155"/>
      <c r="E5819" s="40"/>
      <c r="F5819" s="314"/>
      <c r="H5819" s="315"/>
      <c r="I5819" s="315"/>
      <c r="BA5819" s="30"/>
      <c r="BB5819" s="155"/>
      <c r="BC5819" s="314"/>
      <c r="BD5819" s="314"/>
      <c r="BE5819" s="314"/>
      <c r="BF5819" s="314"/>
      <c r="BG5819" s="314"/>
      <c r="BH5819" s="314"/>
      <c r="BI5819" s="314"/>
      <c r="BJ5819" s="314"/>
      <c r="BK5819" s="40"/>
      <c r="BL5819" s="40"/>
      <c r="BM5819" s="40"/>
      <c r="BN5819" s="40"/>
      <c r="BO5819" s="40"/>
      <c r="BP5819" s="155"/>
      <c r="BQ5819" s="314"/>
      <c r="BR5819" s="314"/>
      <c r="BS5819" s="314"/>
      <c r="BT5819" s="314"/>
      <c r="BU5819" s="314"/>
      <c r="BV5819" s="314"/>
      <c r="BW5819" s="314"/>
      <c r="BX5819" s="155"/>
    </row>
    <row r="5820" spans="1:76" ht="15.75" customHeight="1">
      <c r="A5820" s="25"/>
      <c r="B5820" s="39"/>
      <c r="C5820" s="155"/>
      <c r="D5820" s="155"/>
      <c r="E5820" s="40"/>
      <c r="F5820" s="314"/>
      <c r="H5820" s="315"/>
      <c r="I5820" s="315"/>
      <c r="BA5820" s="30"/>
      <c r="BB5820" s="155"/>
      <c r="BC5820" s="314"/>
      <c r="BD5820" s="314"/>
      <c r="BE5820" s="314"/>
      <c r="BF5820" s="314"/>
      <c r="BG5820" s="314"/>
      <c r="BH5820" s="314"/>
      <c r="BI5820" s="314"/>
      <c r="BJ5820" s="314"/>
      <c r="BK5820" s="40"/>
      <c r="BL5820" s="40"/>
      <c r="BM5820" s="40"/>
      <c r="BN5820" s="40"/>
      <c r="BO5820" s="40"/>
      <c r="BP5820" s="155"/>
      <c r="BQ5820" s="314"/>
      <c r="BR5820" s="314"/>
      <c r="BS5820" s="314"/>
      <c r="BT5820" s="314"/>
      <c r="BU5820" s="314"/>
      <c r="BV5820" s="314"/>
      <c r="BW5820" s="314"/>
      <c r="BX5820" s="155"/>
    </row>
    <row r="5821" spans="1:76" ht="15.75" customHeight="1">
      <c r="A5821" s="25"/>
      <c r="B5821" s="39"/>
      <c r="C5821" s="155"/>
      <c r="D5821" s="155"/>
      <c r="E5821" s="40"/>
      <c r="F5821" s="314"/>
      <c r="H5821" s="315"/>
      <c r="I5821" s="315"/>
      <c r="BA5821" s="30"/>
      <c r="BB5821" s="155"/>
      <c r="BC5821" s="314"/>
      <c r="BD5821" s="314"/>
      <c r="BE5821" s="314"/>
      <c r="BF5821" s="314"/>
      <c r="BG5821" s="314"/>
      <c r="BH5821" s="314"/>
      <c r="BI5821" s="314"/>
      <c r="BJ5821" s="314"/>
      <c r="BK5821" s="40"/>
      <c r="BL5821" s="40"/>
      <c r="BM5821" s="40"/>
      <c r="BN5821" s="40"/>
      <c r="BO5821" s="40"/>
      <c r="BP5821" s="155"/>
      <c r="BQ5821" s="314"/>
      <c r="BR5821" s="314"/>
      <c r="BS5821" s="314"/>
      <c r="BT5821" s="314"/>
      <c r="BU5821" s="314"/>
      <c r="BV5821" s="314"/>
      <c r="BW5821" s="314"/>
      <c r="BX5821" s="155"/>
    </row>
    <row r="5822" spans="1:76" ht="15.75" customHeight="1">
      <c r="A5822" s="25"/>
      <c r="B5822" s="39"/>
      <c r="C5822" s="155"/>
      <c r="D5822" s="155"/>
      <c r="E5822" s="40"/>
      <c r="F5822" s="314"/>
      <c r="H5822" s="315"/>
      <c r="I5822" s="315"/>
      <c r="BA5822" s="30"/>
      <c r="BB5822" s="155"/>
      <c r="BC5822" s="314"/>
      <c r="BD5822" s="314"/>
      <c r="BE5822" s="314"/>
      <c r="BF5822" s="314"/>
      <c r="BG5822" s="314"/>
      <c r="BH5822" s="314"/>
      <c r="BI5822" s="314"/>
      <c r="BJ5822" s="314"/>
      <c r="BK5822" s="40"/>
      <c r="BL5822" s="40"/>
      <c r="BM5822" s="40"/>
      <c r="BN5822" s="40"/>
      <c r="BO5822" s="40"/>
      <c r="BP5822" s="155"/>
      <c r="BQ5822" s="314"/>
      <c r="BR5822" s="314"/>
      <c r="BS5822" s="314"/>
      <c r="BT5822" s="314"/>
      <c r="BU5822" s="314"/>
      <c r="BV5822" s="314"/>
      <c r="BW5822" s="314"/>
      <c r="BX5822" s="155"/>
    </row>
    <row r="5823" spans="1:76" ht="15.75" customHeight="1">
      <c r="A5823" s="25"/>
      <c r="B5823" s="39"/>
      <c r="C5823" s="155"/>
      <c r="D5823" s="155"/>
      <c r="E5823" s="40"/>
      <c r="F5823" s="314"/>
      <c r="H5823" s="315"/>
      <c r="I5823" s="315"/>
      <c r="BA5823" s="30"/>
      <c r="BB5823" s="155"/>
      <c r="BC5823" s="314"/>
      <c r="BD5823" s="314"/>
      <c r="BE5823" s="314"/>
      <c r="BF5823" s="314"/>
      <c r="BG5823" s="314"/>
      <c r="BH5823" s="314"/>
      <c r="BI5823" s="314"/>
      <c r="BJ5823" s="314"/>
      <c r="BK5823" s="40"/>
      <c r="BL5823" s="40"/>
      <c r="BM5823" s="40"/>
      <c r="BN5823" s="40"/>
      <c r="BO5823" s="40"/>
      <c r="BP5823" s="155"/>
      <c r="BQ5823" s="314"/>
      <c r="BR5823" s="314"/>
      <c r="BS5823" s="314"/>
      <c r="BT5823" s="314"/>
      <c r="BU5823" s="314"/>
      <c r="BV5823" s="314"/>
      <c r="BW5823" s="314"/>
      <c r="BX5823" s="155"/>
    </row>
    <row r="5824" spans="1:76" ht="15.75" customHeight="1">
      <c r="A5824" s="25"/>
      <c r="B5824" s="39"/>
      <c r="C5824" s="155"/>
      <c r="D5824" s="155"/>
      <c r="E5824" s="40"/>
      <c r="F5824" s="314"/>
      <c r="H5824" s="315"/>
      <c r="I5824" s="315"/>
      <c r="BA5824" s="30"/>
      <c r="BB5824" s="155"/>
      <c r="BC5824" s="314"/>
      <c r="BD5824" s="314"/>
      <c r="BE5824" s="314"/>
      <c r="BF5824" s="314"/>
      <c r="BG5824" s="314"/>
      <c r="BH5824" s="314"/>
      <c r="BI5824" s="314"/>
      <c r="BJ5824" s="314"/>
      <c r="BK5824" s="40"/>
      <c r="BL5824" s="40"/>
      <c r="BM5824" s="40"/>
      <c r="BN5824" s="40"/>
      <c r="BO5824" s="40"/>
      <c r="BP5824" s="155"/>
      <c r="BQ5824" s="314"/>
      <c r="BR5824" s="314"/>
      <c r="BS5824" s="314"/>
      <c r="BT5824" s="314"/>
      <c r="BU5824" s="314"/>
      <c r="BV5824" s="314"/>
      <c r="BW5824" s="314"/>
      <c r="BX5824" s="155"/>
    </row>
    <row r="5825" spans="1:76" ht="15.75" customHeight="1">
      <c r="A5825" s="25"/>
      <c r="B5825" s="39"/>
      <c r="C5825" s="155"/>
      <c r="D5825" s="155"/>
      <c r="E5825" s="40"/>
      <c r="F5825" s="314"/>
      <c r="H5825" s="315"/>
      <c r="I5825" s="315"/>
      <c r="BA5825" s="30"/>
      <c r="BB5825" s="155"/>
      <c r="BC5825" s="314"/>
      <c r="BD5825" s="314"/>
      <c r="BE5825" s="314"/>
      <c r="BF5825" s="314"/>
      <c r="BG5825" s="314"/>
      <c r="BH5825" s="314"/>
      <c r="BI5825" s="314"/>
      <c r="BJ5825" s="314"/>
      <c r="BK5825" s="40"/>
      <c r="BL5825" s="40"/>
      <c r="BM5825" s="40"/>
      <c r="BN5825" s="40"/>
      <c r="BO5825" s="40"/>
      <c r="BP5825" s="155"/>
      <c r="BQ5825" s="314"/>
      <c r="BR5825" s="314"/>
      <c r="BS5825" s="314"/>
      <c r="BT5825" s="314"/>
      <c r="BU5825" s="314"/>
      <c r="BV5825" s="314"/>
      <c r="BW5825" s="314"/>
      <c r="BX5825" s="155"/>
    </row>
    <row r="5826" spans="1:76" ht="15.75" customHeight="1">
      <c r="A5826" s="25"/>
      <c r="B5826" s="39"/>
      <c r="C5826" s="155"/>
      <c r="D5826" s="155"/>
      <c r="E5826" s="40"/>
      <c r="F5826" s="314"/>
      <c r="H5826" s="315"/>
      <c r="I5826" s="315"/>
      <c r="BA5826" s="30"/>
      <c r="BB5826" s="155"/>
      <c r="BC5826" s="314"/>
      <c r="BD5826" s="314"/>
      <c r="BE5826" s="314"/>
      <c r="BF5826" s="314"/>
      <c r="BG5826" s="314"/>
      <c r="BH5826" s="314"/>
      <c r="BI5826" s="314"/>
      <c r="BJ5826" s="314"/>
      <c r="BK5826" s="40"/>
      <c r="BL5826" s="40"/>
      <c r="BM5826" s="40"/>
      <c r="BN5826" s="40"/>
      <c r="BO5826" s="40"/>
      <c r="BP5826" s="155"/>
      <c r="BQ5826" s="314"/>
      <c r="BR5826" s="314"/>
      <c r="BS5826" s="314"/>
      <c r="BT5826" s="314"/>
      <c r="BU5826" s="314"/>
      <c r="BV5826" s="314"/>
      <c r="BW5826" s="314"/>
      <c r="BX5826" s="155"/>
    </row>
    <row r="5827" spans="1:76" ht="15.75" customHeight="1">
      <c r="A5827" s="25"/>
      <c r="B5827" s="39"/>
      <c r="C5827" s="155"/>
      <c r="D5827" s="155"/>
      <c r="E5827" s="40"/>
      <c r="F5827" s="314"/>
      <c r="H5827" s="315"/>
      <c r="I5827" s="315"/>
      <c r="BA5827" s="30"/>
      <c r="BB5827" s="155"/>
      <c r="BC5827" s="314"/>
      <c r="BD5827" s="314"/>
      <c r="BE5827" s="314"/>
      <c r="BF5827" s="314"/>
      <c r="BG5827" s="314"/>
      <c r="BH5827" s="314"/>
      <c r="BI5827" s="314"/>
      <c r="BJ5827" s="314"/>
      <c r="BK5827" s="40"/>
      <c r="BL5827" s="40"/>
      <c r="BM5827" s="40"/>
      <c r="BN5827" s="40"/>
      <c r="BO5827" s="40"/>
      <c r="BP5827" s="155"/>
      <c r="BQ5827" s="314"/>
      <c r="BR5827" s="314"/>
      <c r="BS5827" s="314"/>
      <c r="BT5827" s="314"/>
      <c r="BU5827" s="314"/>
      <c r="BV5827" s="314"/>
      <c r="BW5827" s="314"/>
      <c r="BX5827" s="155"/>
    </row>
    <row r="5828" spans="1:76" ht="15.75" customHeight="1">
      <c r="A5828" s="25"/>
      <c r="B5828" s="39"/>
      <c r="C5828" s="155"/>
      <c r="D5828" s="155"/>
      <c r="E5828" s="40"/>
      <c r="F5828" s="314"/>
      <c r="H5828" s="315"/>
      <c r="I5828" s="315"/>
      <c r="BA5828" s="30"/>
      <c r="BB5828" s="155"/>
      <c r="BC5828" s="314"/>
      <c r="BD5828" s="314"/>
      <c r="BE5828" s="314"/>
      <c r="BF5828" s="314"/>
      <c r="BG5828" s="314"/>
      <c r="BH5828" s="314"/>
      <c r="BI5828" s="314"/>
      <c r="BJ5828" s="314"/>
      <c r="BK5828" s="40"/>
      <c r="BL5828" s="40"/>
      <c r="BM5828" s="40"/>
      <c r="BN5828" s="40"/>
      <c r="BO5828" s="40"/>
      <c r="BP5828" s="155"/>
      <c r="BQ5828" s="314"/>
      <c r="BR5828" s="314"/>
      <c r="BS5828" s="314"/>
      <c r="BT5828" s="314"/>
      <c r="BU5828" s="314"/>
      <c r="BV5828" s="314"/>
      <c r="BW5828" s="314"/>
      <c r="BX5828" s="155"/>
    </row>
    <row r="5829" spans="1:76" ht="15.75" customHeight="1">
      <c r="A5829" s="25"/>
      <c r="B5829" s="39"/>
      <c r="C5829" s="155"/>
      <c r="D5829" s="155"/>
      <c r="E5829" s="40"/>
      <c r="F5829" s="314"/>
      <c r="H5829" s="315"/>
      <c r="I5829" s="315"/>
      <c r="BA5829" s="30"/>
      <c r="BB5829" s="155"/>
      <c r="BC5829" s="314"/>
      <c r="BD5829" s="314"/>
      <c r="BE5829" s="314"/>
      <c r="BF5829" s="314"/>
      <c r="BG5829" s="314"/>
      <c r="BH5829" s="314"/>
      <c r="BI5829" s="314"/>
      <c r="BJ5829" s="314"/>
      <c r="BK5829" s="40"/>
      <c r="BL5829" s="40"/>
      <c r="BM5829" s="40"/>
      <c r="BN5829" s="40"/>
      <c r="BO5829" s="40"/>
      <c r="BP5829" s="155"/>
      <c r="BQ5829" s="314"/>
      <c r="BR5829" s="314"/>
      <c r="BS5829" s="314"/>
      <c r="BT5829" s="314"/>
      <c r="BU5829" s="314"/>
      <c r="BV5829" s="314"/>
      <c r="BW5829" s="314"/>
      <c r="BX5829" s="155"/>
    </row>
    <row r="5830" spans="1:76" ht="15.75" customHeight="1">
      <c r="A5830" s="25"/>
      <c r="B5830" s="39"/>
      <c r="C5830" s="155"/>
      <c r="D5830" s="155"/>
      <c r="E5830" s="40"/>
      <c r="F5830" s="314"/>
      <c r="H5830" s="315"/>
      <c r="I5830" s="315"/>
      <c r="BA5830" s="30"/>
      <c r="BB5830" s="155"/>
      <c r="BC5830" s="314"/>
      <c r="BD5830" s="314"/>
      <c r="BE5830" s="314"/>
      <c r="BF5830" s="314"/>
      <c r="BG5830" s="314"/>
      <c r="BH5830" s="314"/>
      <c r="BI5830" s="314"/>
      <c r="BJ5830" s="314"/>
      <c r="BK5830" s="40"/>
      <c r="BL5830" s="40"/>
      <c r="BM5830" s="40"/>
      <c r="BN5830" s="40"/>
      <c r="BO5830" s="40"/>
      <c r="BP5830" s="155"/>
      <c r="BQ5830" s="314"/>
      <c r="BR5830" s="314"/>
      <c r="BS5830" s="314"/>
      <c r="BT5830" s="314"/>
      <c r="BU5830" s="314"/>
      <c r="BV5830" s="314"/>
      <c r="BW5830" s="314"/>
      <c r="BX5830" s="155"/>
    </row>
    <row r="5831" spans="1:76" ht="15.75" customHeight="1">
      <c r="A5831" s="25"/>
      <c r="B5831" s="39"/>
      <c r="C5831" s="155"/>
      <c r="D5831" s="155"/>
      <c r="E5831" s="40"/>
      <c r="F5831" s="314"/>
      <c r="H5831" s="315"/>
      <c r="I5831" s="315"/>
      <c r="BA5831" s="30"/>
      <c r="BB5831" s="155"/>
      <c r="BC5831" s="314"/>
      <c r="BD5831" s="314"/>
      <c r="BE5831" s="314"/>
      <c r="BF5831" s="314"/>
      <c r="BG5831" s="314"/>
      <c r="BH5831" s="314"/>
      <c r="BI5831" s="314"/>
      <c r="BJ5831" s="314"/>
      <c r="BK5831" s="40"/>
      <c r="BL5831" s="40"/>
      <c r="BM5831" s="40"/>
      <c r="BN5831" s="40"/>
      <c r="BO5831" s="40"/>
      <c r="BP5831" s="155"/>
      <c r="BQ5831" s="314"/>
      <c r="BR5831" s="314"/>
      <c r="BS5831" s="314"/>
      <c r="BT5831" s="314"/>
      <c r="BU5831" s="314"/>
      <c r="BV5831" s="314"/>
      <c r="BW5831" s="314"/>
      <c r="BX5831" s="155"/>
    </row>
    <row r="5832" spans="1:76" ht="15.75" customHeight="1">
      <c r="A5832" s="25"/>
      <c r="B5832" s="39"/>
      <c r="C5832" s="155"/>
      <c r="D5832" s="155"/>
      <c r="E5832" s="40"/>
      <c r="F5832" s="314"/>
      <c r="H5832" s="315"/>
      <c r="I5832" s="315"/>
      <c r="BA5832" s="30"/>
      <c r="BB5832" s="155"/>
      <c r="BC5832" s="314"/>
      <c r="BD5832" s="314"/>
      <c r="BE5832" s="314"/>
      <c r="BF5832" s="314"/>
      <c r="BG5832" s="314"/>
      <c r="BH5832" s="314"/>
      <c r="BI5832" s="314"/>
      <c r="BJ5832" s="314"/>
      <c r="BK5832" s="40"/>
      <c r="BL5832" s="40"/>
      <c r="BM5832" s="40"/>
      <c r="BN5832" s="40"/>
      <c r="BO5832" s="40"/>
      <c r="BP5832" s="155"/>
      <c r="BQ5832" s="314"/>
      <c r="BR5832" s="314"/>
      <c r="BS5832" s="314"/>
      <c r="BT5832" s="314"/>
      <c r="BU5832" s="314"/>
      <c r="BV5832" s="314"/>
      <c r="BW5832" s="314"/>
      <c r="BX5832" s="155"/>
    </row>
    <row r="5833" spans="1:76" ht="15.75" customHeight="1">
      <c r="A5833" s="25"/>
      <c r="B5833" s="39"/>
      <c r="C5833" s="155"/>
      <c r="D5833" s="155"/>
      <c r="E5833" s="40"/>
      <c r="F5833" s="314"/>
      <c r="H5833" s="315"/>
      <c r="I5833" s="315"/>
      <c r="BA5833" s="30"/>
      <c r="BB5833" s="155"/>
      <c r="BC5833" s="314"/>
      <c r="BD5833" s="314"/>
      <c r="BE5833" s="314"/>
      <c r="BF5833" s="314"/>
      <c r="BG5833" s="314"/>
      <c r="BH5833" s="314"/>
      <c r="BI5833" s="314"/>
      <c r="BJ5833" s="314"/>
      <c r="BK5833" s="40"/>
      <c r="BL5833" s="40"/>
      <c r="BM5833" s="40"/>
      <c r="BN5833" s="40"/>
      <c r="BO5833" s="40"/>
      <c r="BP5833" s="155"/>
      <c r="BQ5833" s="314"/>
      <c r="BR5833" s="314"/>
      <c r="BS5833" s="314"/>
      <c r="BT5833" s="314"/>
      <c r="BU5833" s="314"/>
      <c r="BV5833" s="314"/>
      <c r="BW5833" s="314"/>
      <c r="BX5833" s="155"/>
    </row>
    <row r="5834" spans="1:76" ht="15.75" customHeight="1">
      <c r="A5834" s="25"/>
      <c r="B5834" s="39"/>
      <c r="C5834" s="155"/>
      <c r="D5834" s="155"/>
      <c r="E5834" s="40"/>
      <c r="F5834" s="314"/>
      <c r="H5834" s="315"/>
      <c r="I5834" s="315"/>
      <c r="BA5834" s="30"/>
      <c r="BB5834" s="155"/>
      <c r="BC5834" s="322"/>
      <c r="BD5834" s="322"/>
      <c r="BE5834" s="322"/>
      <c r="BF5834" s="322"/>
      <c r="BG5834" s="322"/>
      <c r="BH5834" s="322"/>
      <c r="BI5834" s="322"/>
      <c r="BJ5834" s="322"/>
      <c r="BK5834" s="341"/>
      <c r="BL5834" s="40"/>
      <c r="BM5834" s="40"/>
      <c r="BN5834" s="40"/>
      <c r="BO5834" s="40"/>
      <c r="BP5834" s="155"/>
      <c r="BQ5834" s="314"/>
      <c r="BR5834" s="314"/>
      <c r="BS5834" s="314"/>
      <c r="BT5834" s="314"/>
      <c r="BU5834" s="314"/>
      <c r="BV5834" s="314"/>
      <c r="BW5834" s="314"/>
      <c r="BX5834" s="155"/>
    </row>
    <row r="5835" spans="1:76" ht="15.75" customHeight="1">
      <c r="A5835" s="25"/>
      <c r="B5835" s="39"/>
      <c r="C5835" s="155"/>
      <c r="D5835" s="155"/>
      <c r="E5835" s="40"/>
      <c r="F5835" s="314"/>
      <c r="H5835" s="315"/>
      <c r="I5835" s="315"/>
      <c r="BA5835" s="30"/>
      <c r="BB5835" s="155"/>
      <c r="BC5835" s="314"/>
      <c r="BD5835" s="314"/>
      <c r="BE5835" s="314"/>
      <c r="BF5835" s="314"/>
      <c r="BG5835" s="314"/>
      <c r="BH5835" s="314"/>
      <c r="BI5835" s="314"/>
      <c r="BJ5835" s="314"/>
      <c r="BK5835" s="40"/>
      <c r="BL5835" s="40"/>
      <c r="BM5835" s="40"/>
      <c r="BN5835" s="40"/>
      <c r="BO5835" s="40"/>
      <c r="BP5835" s="155"/>
      <c r="BQ5835" s="314"/>
      <c r="BR5835" s="314"/>
      <c r="BS5835" s="314"/>
      <c r="BT5835" s="314"/>
      <c r="BU5835" s="314"/>
      <c r="BV5835" s="314"/>
      <c r="BW5835" s="314"/>
      <c r="BX5835" s="155"/>
    </row>
    <row r="5836" spans="1:76" ht="15.75" customHeight="1">
      <c r="A5836" s="25"/>
      <c r="B5836" s="39"/>
      <c r="C5836" s="155"/>
      <c r="D5836" s="155"/>
      <c r="E5836" s="40"/>
      <c r="F5836" s="314"/>
      <c r="H5836" s="315"/>
      <c r="I5836" s="315"/>
      <c r="BA5836" s="30"/>
      <c r="BB5836" s="155"/>
      <c r="BC5836" s="314"/>
      <c r="BD5836" s="314"/>
      <c r="BE5836" s="314"/>
      <c r="BF5836" s="314"/>
      <c r="BG5836" s="314"/>
      <c r="BH5836" s="314"/>
      <c r="BI5836" s="314"/>
      <c r="BJ5836" s="314"/>
      <c r="BK5836" s="40"/>
      <c r="BL5836" s="40"/>
      <c r="BM5836" s="40"/>
      <c r="BN5836" s="40"/>
      <c r="BO5836" s="40"/>
      <c r="BP5836" s="155"/>
      <c r="BQ5836" s="314"/>
      <c r="BR5836" s="314"/>
      <c r="BS5836" s="314"/>
      <c r="BT5836" s="314"/>
      <c r="BU5836" s="314"/>
      <c r="BV5836" s="314"/>
      <c r="BW5836" s="314"/>
      <c r="BX5836" s="155"/>
    </row>
    <row r="5837" spans="1:76" ht="15.75" customHeight="1">
      <c r="A5837" s="25"/>
      <c r="B5837" s="39"/>
      <c r="C5837" s="155"/>
      <c r="D5837" s="155"/>
      <c r="E5837" s="40"/>
      <c r="F5837" s="314"/>
      <c r="H5837" s="315"/>
      <c r="I5837" s="315"/>
      <c r="BA5837" s="30"/>
      <c r="BB5837" s="155"/>
      <c r="BC5837" s="314"/>
      <c r="BD5837" s="314"/>
      <c r="BE5837" s="314"/>
      <c r="BF5837" s="314"/>
      <c r="BG5837" s="314"/>
      <c r="BH5837" s="314"/>
      <c r="BI5837" s="314"/>
      <c r="BJ5837" s="314"/>
      <c r="BK5837" s="40"/>
      <c r="BL5837" s="40"/>
      <c r="BM5837" s="40"/>
      <c r="BN5837" s="40"/>
      <c r="BO5837" s="40"/>
      <c r="BP5837" s="155"/>
      <c r="BQ5837" s="314"/>
      <c r="BR5837" s="314"/>
      <c r="BS5837" s="314"/>
      <c r="BT5837" s="314"/>
      <c r="BU5837" s="314"/>
      <c r="BV5837" s="314"/>
      <c r="BW5837" s="314"/>
      <c r="BX5837" s="155"/>
    </row>
    <row r="5838" spans="1:76" ht="15.75" customHeight="1">
      <c r="A5838" s="25"/>
      <c r="B5838" s="39"/>
      <c r="C5838" s="155"/>
      <c r="D5838" s="155"/>
      <c r="E5838" s="40"/>
      <c r="F5838" s="314"/>
      <c r="H5838" s="315"/>
      <c r="I5838" s="315"/>
      <c r="BA5838" s="30"/>
      <c r="BB5838" s="155"/>
      <c r="BC5838" s="314"/>
      <c r="BD5838" s="314"/>
      <c r="BE5838" s="314"/>
      <c r="BF5838" s="314"/>
      <c r="BG5838" s="314"/>
      <c r="BH5838" s="314"/>
      <c r="BI5838" s="314"/>
      <c r="BJ5838" s="314"/>
      <c r="BK5838" s="40"/>
      <c r="BL5838" s="40"/>
      <c r="BM5838" s="40"/>
      <c r="BN5838" s="40"/>
      <c r="BO5838" s="40"/>
      <c r="BP5838" s="155"/>
      <c r="BQ5838" s="314"/>
      <c r="BR5838" s="314"/>
      <c r="BS5838" s="314"/>
      <c r="BT5838" s="314"/>
      <c r="BU5838" s="314"/>
      <c r="BV5838" s="314"/>
      <c r="BW5838" s="314"/>
      <c r="BX5838" s="155"/>
    </row>
    <row r="5839" spans="1:76" ht="15.75" customHeight="1">
      <c r="A5839" s="25"/>
      <c r="B5839" s="39"/>
      <c r="C5839" s="155"/>
      <c r="D5839" s="155"/>
      <c r="E5839" s="40"/>
      <c r="F5839" s="314"/>
      <c r="H5839" s="315"/>
      <c r="I5839" s="315"/>
      <c r="BA5839" s="30"/>
      <c r="BB5839" s="155"/>
      <c r="BC5839" s="314"/>
      <c r="BD5839" s="314"/>
      <c r="BE5839" s="314"/>
      <c r="BF5839" s="314"/>
      <c r="BG5839" s="314"/>
      <c r="BH5839" s="314"/>
      <c r="BI5839" s="314"/>
      <c r="BJ5839" s="314"/>
      <c r="BK5839" s="40"/>
      <c r="BL5839" s="40"/>
      <c r="BM5839" s="40"/>
      <c r="BN5839" s="40"/>
      <c r="BO5839" s="40"/>
      <c r="BP5839" s="155"/>
      <c r="BQ5839" s="314"/>
      <c r="BR5839" s="314"/>
      <c r="BS5839" s="314"/>
      <c r="BT5839" s="314"/>
      <c r="BU5839" s="314"/>
      <c r="BV5839" s="314"/>
      <c r="BW5839" s="314"/>
      <c r="BX5839" s="155"/>
    </row>
    <row r="5840" spans="1:76" ht="15.75" customHeight="1">
      <c r="A5840" s="25"/>
      <c r="B5840" s="39"/>
      <c r="C5840" s="155"/>
      <c r="D5840" s="155"/>
      <c r="E5840" s="40"/>
      <c r="F5840" s="314"/>
      <c r="H5840" s="315"/>
      <c r="I5840" s="315"/>
      <c r="BA5840" s="30"/>
      <c r="BB5840" s="155"/>
      <c r="BC5840" s="314"/>
      <c r="BD5840" s="314"/>
      <c r="BE5840" s="314"/>
      <c r="BF5840" s="314"/>
      <c r="BG5840" s="314"/>
      <c r="BH5840" s="314"/>
      <c r="BI5840" s="314"/>
      <c r="BJ5840" s="314"/>
      <c r="BK5840" s="40"/>
      <c r="BL5840" s="40"/>
      <c r="BM5840" s="40"/>
      <c r="BN5840" s="40"/>
      <c r="BO5840" s="40"/>
      <c r="BP5840" s="155"/>
      <c r="BQ5840" s="314"/>
      <c r="BR5840" s="314"/>
      <c r="BS5840" s="314"/>
      <c r="BT5840" s="314"/>
      <c r="BU5840" s="314"/>
      <c r="BV5840" s="314"/>
      <c r="BW5840" s="314"/>
      <c r="BX5840" s="155"/>
    </row>
    <row r="5841" spans="1:76" ht="15.75" customHeight="1">
      <c r="A5841" s="25"/>
      <c r="B5841" s="39"/>
      <c r="C5841" s="155"/>
      <c r="D5841" s="155"/>
      <c r="E5841" s="40"/>
      <c r="F5841" s="314"/>
      <c r="H5841" s="315"/>
      <c r="I5841" s="315"/>
      <c r="BA5841" s="30"/>
      <c r="BB5841" s="155"/>
      <c r="BC5841" s="314"/>
      <c r="BD5841" s="314"/>
      <c r="BE5841" s="314"/>
      <c r="BF5841" s="314"/>
      <c r="BG5841" s="314"/>
      <c r="BH5841" s="314"/>
      <c r="BI5841" s="314"/>
      <c r="BJ5841" s="314"/>
      <c r="BK5841" s="40"/>
      <c r="BL5841" s="40"/>
      <c r="BM5841" s="40"/>
      <c r="BN5841" s="40"/>
      <c r="BO5841" s="40"/>
      <c r="BP5841" s="155"/>
      <c r="BQ5841" s="314"/>
      <c r="BR5841" s="314"/>
      <c r="BS5841" s="314"/>
      <c r="BT5841" s="314"/>
      <c r="BU5841" s="314"/>
      <c r="BV5841" s="314"/>
      <c r="BW5841" s="314"/>
      <c r="BX5841" s="155"/>
    </row>
    <row r="5842" spans="1:76" ht="15.75" customHeight="1">
      <c r="A5842" s="25"/>
      <c r="B5842" s="39"/>
      <c r="C5842" s="155"/>
      <c r="D5842" s="155"/>
      <c r="E5842" s="40"/>
      <c r="F5842" s="314"/>
      <c r="H5842" s="315"/>
      <c r="I5842" s="315"/>
      <c r="BA5842" s="30"/>
      <c r="BB5842" s="155"/>
      <c r="BC5842" s="314"/>
      <c r="BD5842" s="314"/>
      <c r="BE5842" s="314"/>
      <c r="BF5842" s="314"/>
      <c r="BG5842" s="314"/>
      <c r="BH5842" s="314"/>
      <c r="BI5842" s="314"/>
      <c r="BJ5842" s="314"/>
      <c r="BK5842" s="40"/>
      <c r="BL5842" s="40"/>
      <c r="BM5842" s="40"/>
      <c r="BN5842" s="40"/>
      <c r="BO5842" s="40"/>
      <c r="BP5842" s="155"/>
      <c r="BQ5842" s="314"/>
      <c r="BR5842" s="314"/>
      <c r="BS5842" s="314"/>
      <c r="BT5842" s="314"/>
      <c r="BU5842" s="314"/>
      <c r="BV5842" s="314"/>
      <c r="BW5842" s="314"/>
      <c r="BX5842" s="155"/>
    </row>
    <row r="5843" spans="1:76" ht="15.75" customHeight="1">
      <c r="A5843" s="25"/>
      <c r="B5843" s="39"/>
      <c r="C5843" s="155"/>
      <c r="D5843" s="155"/>
      <c r="E5843" s="40"/>
      <c r="F5843" s="314"/>
      <c r="H5843" s="315"/>
      <c r="I5843" s="315"/>
      <c r="BA5843" s="30"/>
      <c r="BB5843" s="155"/>
      <c r="BC5843" s="314"/>
      <c r="BD5843" s="314"/>
      <c r="BE5843" s="314"/>
      <c r="BF5843" s="314"/>
      <c r="BG5843" s="314"/>
      <c r="BH5843" s="314"/>
      <c r="BI5843" s="314"/>
      <c r="BJ5843" s="314"/>
      <c r="BK5843" s="40"/>
      <c r="BL5843" s="40"/>
      <c r="BM5843" s="40"/>
      <c r="BN5843" s="40"/>
      <c r="BO5843" s="40"/>
      <c r="BP5843" s="155"/>
      <c r="BQ5843" s="314"/>
      <c r="BR5843" s="314"/>
      <c r="BS5843" s="314"/>
      <c r="BT5843" s="314"/>
      <c r="BU5843" s="314"/>
      <c r="BV5843" s="314"/>
      <c r="BW5843" s="314"/>
      <c r="BX5843" s="155"/>
    </row>
    <row r="5844" spans="1:76" ht="15.75" customHeight="1">
      <c r="A5844" s="25"/>
      <c r="B5844" s="39"/>
      <c r="C5844" s="155"/>
      <c r="D5844" s="155"/>
      <c r="E5844" s="40"/>
      <c r="F5844" s="314"/>
      <c r="H5844" s="315"/>
      <c r="I5844" s="315"/>
      <c r="BA5844" s="30"/>
      <c r="BB5844" s="155"/>
      <c r="BC5844" s="314"/>
      <c r="BD5844" s="314"/>
      <c r="BE5844" s="314"/>
      <c r="BF5844" s="314"/>
      <c r="BG5844" s="314"/>
      <c r="BH5844" s="314"/>
      <c r="BI5844" s="314"/>
      <c r="BJ5844" s="314"/>
      <c r="BK5844" s="40"/>
      <c r="BL5844" s="40"/>
      <c r="BM5844" s="40"/>
      <c r="BN5844" s="40"/>
      <c r="BO5844" s="40"/>
      <c r="BP5844" s="155"/>
      <c r="BQ5844" s="314"/>
      <c r="BR5844" s="314"/>
      <c r="BS5844" s="314"/>
      <c r="BT5844" s="314"/>
      <c r="BU5844" s="314"/>
      <c r="BV5844" s="314"/>
      <c r="BW5844" s="314"/>
      <c r="BX5844" s="155"/>
    </row>
    <row r="5845" spans="1:76" ht="15.75" customHeight="1">
      <c r="A5845" s="25"/>
      <c r="B5845" s="39"/>
      <c r="C5845" s="155"/>
      <c r="D5845" s="155"/>
      <c r="E5845" s="40"/>
      <c r="F5845" s="314"/>
      <c r="H5845" s="315"/>
      <c r="I5845" s="315"/>
      <c r="BA5845" s="30"/>
      <c r="BB5845" s="155"/>
      <c r="BC5845" s="314"/>
      <c r="BD5845" s="314"/>
      <c r="BE5845" s="314"/>
      <c r="BF5845" s="314"/>
      <c r="BG5845" s="314"/>
      <c r="BH5845" s="314"/>
      <c r="BI5845" s="314"/>
      <c r="BJ5845" s="314"/>
      <c r="BK5845" s="40"/>
      <c r="BL5845" s="40"/>
      <c r="BM5845" s="40"/>
      <c r="BN5845" s="40"/>
      <c r="BO5845" s="40"/>
      <c r="BP5845" s="155"/>
      <c r="BQ5845" s="314"/>
      <c r="BR5845" s="314"/>
      <c r="BS5845" s="314"/>
      <c r="BT5845" s="314"/>
      <c r="BU5845" s="314"/>
      <c r="BV5845" s="314"/>
      <c r="BW5845" s="314"/>
      <c r="BX5845" s="155"/>
    </row>
    <row r="5846" spans="1:76" ht="15.75" customHeight="1">
      <c r="A5846" s="25"/>
      <c r="B5846" s="39"/>
      <c r="C5846" s="155"/>
      <c r="D5846" s="155"/>
      <c r="E5846" s="40"/>
      <c r="F5846" s="314"/>
      <c r="H5846" s="315"/>
      <c r="I5846" s="315"/>
      <c r="BA5846" s="30"/>
      <c r="BB5846" s="155"/>
      <c r="BC5846" s="314"/>
      <c r="BD5846" s="314"/>
      <c r="BE5846" s="314"/>
      <c r="BF5846" s="314"/>
      <c r="BG5846" s="314"/>
      <c r="BH5846" s="314"/>
      <c r="BI5846" s="314"/>
      <c r="BJ5846" s="314"/>
      <c r="BK5846" s="40"/>
      <c r="BL5846" s="40"/>
      <c r="BM5846" s="40"/>
      <c r="BN5846" s="40"/>
      <c r="BO5846" s="40"/>
      <c r="BP5846" s="155"/>
      <c r="BQ5846" s="314"/>
      <c r="BR5846" s="314"/>
      <c r="BS5846" s="314"/>
      <c r="BT5846" s="314"/>
      <c r="BU5846" s="314"/>
      <c r="BV5846" s="314"/>
      <c r="BW5846" s="314"/>
      <c r="BX5846" s="155"/>
    </row>
    <row r="5847" spans="1:76" ht="15.75" customHeight="1">
      <c r="A5847" s="25"/>
      <c r="B5847" s="39"/>
      <c r="C5847" s="155"/>
      <c r="D5847" s="155"/>
      <c r="E5847" s="40"/>
      <c r="F5847" s="314"/>
      <c r="H5847" s="315"/>
      <c r="I5847" s="315"/>
      <c r="BA5847" s="30"/>
      <c r="BB5847" s="155"/>
      <c r="BC5847" s="314"/>
      <c r="BD5847" s="314"/>
      <c r="BE5847" s="314"/>
      <c r="BF5847" s="314"/>
      <c r="BG5847" s="314"/>
      <c r="BH5847" s="314"/>
      <c r="BI5847" s="314"/>
      <c r="BJ5847" s="314"/>
      <c r="BK5847" s="40"/>
      <c r="BL5847" s="40"/>
      <c r="BM5847" s="40"/>
      <c r="BN5847" s="40"/>
      <c r="BO5847" s="40"/>
      <c r="BP5847" s="155"/>
      <c r="BQ5847" s="314"/>
      <c r="BR5847" s="314"/>
      <c r="BS5847" s="314"/>
      <c r="BT5847" s="314"/>
      <c r="BU5847" s="314"/>
      <c r="BV5847" s="314"/>
      <c r="BW5847" s="314"/>
      <c r="BX5847" s="155"/>
    </row>
    <row r="5848" spans="1:76" ht="15.75" customHeight="1">
      <c r="A5848" s="25"/>
      <c r="B5848" s="39"/>
      <c r="C5848" s="155"/>
      <c r="D5848" s="155"/>
      <c r="E5848" s="40"/>
      <c r="F5848" s="314"/>
      <c r="H5848" s="315"/>
      <c r="I5848" s="315"/>
      <c r="BA5848" s="30"/>
      <c r="BB5848" s="155"/>
      <c r="BC5848" s="314"/>
      <c r="BD5848" s="314"/>
      <c r="BE5848" s="314"/>
      <c r="BF5848" s="314"/>
      <c r="BG5848" s="314"/>
      <c r="BH5848" s="314"/>
      <c r="BI5848" s="314"/>
      <c r="BJ5848" s="314"/>
      <c r="BK5848" s="40"/>
      <c r="BL5848" s="40"/>
      <c r="BM5848" s="40"/>
      <c r="BN5848" s="40"/>
      <c r="BO5848" s="40"/>
      <c r="BP5848" s="155"/>
      <c r="BQ5848" s="314"/>
      <c r="BR5848" s="314"/>
      <c r="BS5848" s="314"/>
      <c r="BT5848" s="314"/>
      <c r="BU5848" s="314"/>
      <c r="BV5848" s="314"/>
      <c r="BW5848" s="314"/>
      <c r="BX5848" s="155"/>
    </row>
    <row r="5849" spans="1:76" ht="15.75" customHeight="1">
      <c r="A5849" s="25"/>
      <c r="B5849" s="39"/>
      <c r="C5849" s="155"/>
      <c r="D5849" s="155"/>
      <c r="E5849" s="40"/>
      <c r="F5849" s="314"/>
      <c r="H5849" s="315"/>
      <c r="I5849" s="315"/>
      <c r="BA5849" s="30"/>
      <c r="BB5849" s="155"/>
      <c r="BC5849" s="314"/>
      <c r="BD5849" s="314"/>
      <c r="BE5849" s="314"/>
      <c r="BF5849" s="314"/>
      <c r="BG5849" s="314"/>
      <c r="BH5849" s="314"/>
      <c r="BI5849" s="314"/>
      <c r="BJ5849" s="314"/>
      <c r="BK5849" s="40"/>
      <c r="BL5849" s="40"/>
      <c r="BM5849" s="40"/>
      <c r="BN5849" s="40"/>
      <c r="BO5849" s="40"/>
      <c r="BP5849" s="155"/>
      <c r="BQ5849" s="314"/>
      <c r="BR5849" s="314"/>
      <c r="BS5849" s="314"/>
      <c r="BT5849" s="314"/>
      <c r="BU5849" s="314"/>
      <c r="BV5849" s="314"/>
      <c r="BW5849" s="314"/>
      <c r="BX5849" s="155"/>
    </row>
    <row r="5850" spans="1:76" ht="15.75" customHeight="1">
      <c r="A5850" s="25"/>
      <c r="B5850" s="39"/>
      <c r="C5850" s="155"/>
      <c r="D5850" s="155"/>
      <c r="E5850" s="40"/>
      <c r="F5850" s="314"/>
      <c r="H5850" s="315"/>
      <c r="I5850" s="315"/>
      <c r="BA5850" s="30"/>
      <c r="BB5850" s="155"/>
      <c r="BC5850" s="314"/>
      <c r="BD5850" s="314"/>
      <c r="BE5850" s="314"/>
      <c r="BF5850" s="314"/>
      <c r="BG5850" s="314"/>
      <c r="BH5850" s="314"/>
      <c r="BI5850" s="314"/>
      <c r="BJ5850" s="314"/>
      <c r="BK5850" s="40"/>
      <c r="BL5850" s="40"/>
      <c r="BM5850" s="40"/>
      <c r="BN5850" s="40"/>
      <c r="BO5850" s="40"/>
      <c r="BP5850" s="155"/>
      <c r="BQ5850" s="314"/>
      <c r="BR5850" s="314"/>
      <c r="BS5850" s="314"/>
      <c r="BT5850" s="314"/>
      <c r="BU5850" s="314"/>
      <c r="BV5850" s="314"/>
      <c r="BW5850" s="314"/>
      <c r="BX5850" s="155"/>
    </row>
    <row r="5851" spans="1:76" ht="15.75" customHeight="1">
      <c r="A5851" s="25"/>
      <c r="B5851" s="39"/>
      <c r="C5851" s="155"/>
      <c r="D5851" s="155"/>
      <c r="E5851" s="40"/>
      <c r="F5851" s="314"/>
      <c r="H5851" s="315"/>
      <c r="I5851" s="315"/>
      <c r="BA5851" s="30"/>
      <c r="BB5851" s="155"/>
      <c r="BC5851" s="314"/>
      <c r="BD5851" s="314"/>
      <c r="BE5851" s="314"/>
      <c r="BF5851" s="314"/>
      <c r="BG5851" s="314"/>
      <c r="BH5851" s="314"/>
      <c r="BI5851" s="314"/>
      <c r="BJ5851" s="314"/>
      <c r="BK5851" s="40"/>
      <c r="BL5851" s="40"/>
      <c r="BM5851" s="40"/>
      <c r="BN5851" s="40"/>
      <c r="BO5851" s="40"/>
      <c r="BP5851" s="155"/>
      <c r="BQ5851" s="314"/>
      <c r="BR5851" s="314"/>
      <c r="BS5851" s="314"/>
      <c r="BT5851" s="314"/>
      <c r="BU5851" s="314"/>
      <c r="BV5851" s="314"/>
      <c r="BW5851" s="314"/>
      <c r="BX5851" s="155"/>
    </row>
    <row r="5852" spans="1:76" ht="15.75" customHeight="1">
      <c r="A5852" s="25"/>
      <c r="B5852" s="39"/>
      <c r="C5852" s="155"/>
      <c r="D5852" s="155"/>
      <c r="E5852" s="40"/>
      <c r="F5852" s="314"/>
      <c r="H5852" s="315"/>
      <c r="I5852" s="315"/>
      <c r="BA5852" s="30"/>
      <c r="BB5852" s="155"/>
      <c r="BC5852" s="322"/>
      <c r="BD5852" s="322"/>
      <c r="BE5852" s="322"/>
      <c r="BF5852" s="322"/>
      <c r="BG5852" s="322"/>
      <c r="BH5852" s="322"/>
      <c r="BI5852" s="322"/>
      <c r="BJ5852" s="322"/>
      <c r="BK5852" s="341"/>
      <c r="BL5852" s="40"/>
      <c r="BM5852" s="40"/>
      <c r="BN5852" s="40"/>
      <c r="BO5852" s="40"/>
      <c r="BP5852" s="155"/>
      <c r="BQ5852" s="314"/>
      <c r="BR5852" s="314"/>
      <c r="BS5852" s="314"/>
      <c r="BT5852" s="314"/>
      <c r="BU5852" s="314"/>
      <c r="BV5852" s="314"/>
      <c r="BW5852" s="314"/>
      <c r="BX5852" s="155"/>
    </row>
    <row r="5853" spans="1:76" ht="15.75" customHeight="1">
      <c r="A5853" s="25"/>
      <c r="B5853" s="39"/>
      <c r="C5853" s="155"/>
      <c r="D5853" s="155"/>
      <c r="E5853" s="40"/>
      <c r="F5853" s="314"/>
      <c r="H5853" s="315"/>
      <c r="I5853" s="315"/>
      <c r="BA5853" s="30"/>
      <c r="BB5853" s="155"/>
      <c r="BC5853" s="314"/>
      <c r="BD5853" s="314"/>
      <c r="BE5853" s="314"/>
      <c r="BF5853" s="314"/>
      <c r="BG5853" s="314"/>
      <c r="BH5853" s="314"/>
      <c r="BI5853" s="314"/>
      <c r="BJ5853" s="314"/>
      <c r="BK5853" s="40"/>
      <c r="BL5853" s="40"/>
      <c r="BM5853" s="40"/>
      <c r="BN5853" s="40"/>
      <c r="BO5853" s="40"/>
      <c r="BP5853" s="155"/>
      <c r="BQ5853" s="314"/>
      <c r="BR5853" s="314"/>
      <c r="BS5853" s="314"/>
      <c r="BT5853" s="314"/>
      <c r="BU5853" s="314"/>
      <c r="BV5853" s="314"/>
      <c r="BW5853" s="314"/>
      <c r="BX5853" s="155"/>
    </row>
    <row r="5854" spans="1:76" ht="15.75" customHeight="1">
      <c r="A5854" s="25"/>
      <c r="B5854" s="39"/>
      <c r="C5854" s="155"/>
      <c r="D5854" s="155"/>
      <c r="E5854" s="40"/>
      <c r="F5854" s="314"/>
      <c r="H5854" s="315"/>
      <c r="I5854" s="315"/>
      <c r="BA5854" s="30"/>
      <c r="BB5854" s="155"/>
      <c r="BC5854" s="314"/>
      <c r="BD5854" s="314"/>
      <c r="BE5854" s="314"/>
      <c r="BF5854" s="314"/>
      <c r="BG5854" s="314"/>
      <c r="BH5854" s="314"/>
      <c r="BI5854" s="314"/>
      <c r="BJ5854" s="314"/>
      <c r="BK5854" s="40"/>
      <c r="BL5854" s="40"/>
      <c r="BM5854" s="40"/>
      <c r="BN5854" s="40"/>
      <c r="BO5854" s="40"/>
      <c r="BP5854" s="155"/>
      <c r="BQ5854" s="314"/>
      <c r="BR5854" s="314"/>
      <c r="BS5854" s="314"/>
      <c r="BT5854" s="314"/>
      <c r="BU5854" s="314"/>
      <c r="BV5854" s="314"/>
      <c r="BW5854" s="314"/>
      <c r="BX5854" s="155"/>
    </row>
    <row r="5855" spans="1:76" ht="15.75" customHeight="1">
      <c r="A5855" s="25"/>
      <c r="B5855" s="39"/>
      <c r="C5855" s="155"/>
      <c r="D5855" s="155"/>
      <c r="E5855" s="40"/>
      <c r="F5855" s="314"/>
      <c r="H5855" s="315"/>
      <c r="I5855" s="315"/>
      <c r="BA5855" s="30"/>
      <c r="BB5855" s="155"/>
      <c r="BC5855" s="314"/>
      <c r="BD5855" s="314"/>
      <c r="BE5855" s="314"/>
      <c r="BF5855" s="314"/>
      <c r="BG5855" s="314"/>
      <c r="BH5855" s="314"/>
      <c r="BI5855" s="314"/>
      <c r="BJ5855" s="314"/>
      <c r="BK5855" s="40"/>
      <c r="BL5855" s="40"/>
      <c r="BM5855" s="40"/>
      <c r="BN5855" s="40"/>
      <c r="BO5855" s="40"/>
      <c r="BP5855" s="155"/>
      <c r="BQ5855" s="314"/>
      <c r="BR5855" s="314"/>
      <c r="BS5855" s="314"/>
      <c r="BT5855" s="314"/>
      <c r="BU5855" s="314"/>
      <c r="BV5855" s="314"/>
      <c r="BW5855" s="314"/>
      <c r="BX5855" s="155"/>
    </row>
    <row r="5856" spans="1:76" ht="15.75" customHeight="1">
      <c r="A5856" s="25"/>
      <c r="B5856" s="39"/>
      <c r="C5856" s="155"/>
      <c r="D5856" s="155"/>
      <c r="E5856" s="40"/>
      <c r="F5856" s="314"/>
      <c r="H5856" s="315"/>
      <c r="I5856" s="315"/>
      <c r="BA5856" s="30"/>
      <c r="BB5856" s="155"/>
      <c r="BC5856" s="314"/>
      <c r="BD5856" s="314"/>
      <c r="BE5856" s="314"/>
      <c r="BF5856" s="314"/>
      <c r="BG5856" s="314"/>
      <c r="BH5856" s="314"/>
      <c r="BI5856" s="314"/>
      <c r="BJ5856" s="314"/>
      <c r="BK5856" s="40"/>
      <c r="BL5856" s="40"/>
      <c r="BM5856" s="40"/>
      <c r="BN5856" s="40"/>
      <c r="BO5856" s="40"/>
      <c r="BP5856" s="155"/>
      <c r="BQ5856" s="314"/>
      <c r="BR5856" s="314"/>
      <c r="BS5856" s="314"/>
      <c r="BT5856" s="314"/>
      <c r="BU5856" s="314"/>
      <c r="BV5856" s="314"/>
      <c r="BW5856" s="314"/>
      <c r="BX5856" s="155"/>
    </row>
    <row r="5857" spans="1:76" ht="15.75" customHeight="1">
      <c r="A5857" s="25"/>
      <c r="B5857" s="39"/>
      <c r="C5857" s="155"/>
      <c r="D5857" s="155"/>
      <c r="E5857" s="40"/>
      <c r="F5857" s="314"/>
      <c r="H5857" s="315"/>
      <c r="I5857" s="315"/>
      <c r="BA5857" s="30"/>
      <c r="BB5857" s="155"/>
      <c r="BC5857" s="314"/>
      <c r="BD5857" s="314"/>
      <c r="BE5857" s="314"/>
      <c r="BF5857" s="314"/>
      <c r="BG5857" s="314"/>
      <c r="BH5857" s="314"/>
      <c r="BI5857" s="314"/>
      <c r="BJ5857" s="314"/>
      <c r="BK5857" s="40"/>
      <c r="BL5857" s="40"/>
      <c r="BM5857" s="40"/>
      <c r="BN5857" s="40"/>
      <c r="BO5857" s="40"/>
      <c r="BP5857" s="155"/>
      <c r="BQ5857" s="314"/>
      <c r="BR5857" s="314"/>
      <c r="BS5857" s="314"/>
      <c r="BT5857" s="314"/>
      <c r="BU5857" s="314"/>
      <c r="BV5857" s="314"/>
      <c r="BW5857" s="314"/>
      <c r="BX5857" s="155"/>
    </row>
    <row r="5858" spans="1:76" ht="15.75" customHeight="1">
      <c r="A5858" s="25"/>
      <c r="B5858" s="39"/>
      <c r="C5858" s="155"/>
      <c r="D5858" s="155"/>
      <c r="E5858" s="40"/>
      <c r="F5858" s="314"/>
      <c r="H5858" s="315"/>
      <c r="I5858" s="315"/>
      <c r="BA5858" s="30"/>
      <c r="BB5858" s="155"/>
      <c r="BC5858" s="314"/>
      <c r="BD5858" s="314"/>
      <c r="BE5858" s="314"/>
      <c r="BF5858" s="314"/>
      <c r="BG5858" s="314"/>
      <c r="BH5858" s="314"/>
      <c r="BI5858" s="314"/>
      <c r="BJ5858" s="314"/>
      <c r="BK5858" s="40"/>
      <c r="BL5858" s="40"/>
      <c r="BM5858" s="40"/>
      <c r="BN5858" s="40"/>
      <c r="BO5858" s="40"/>
      <c r="BP5858" s="155"/>
      <c r="BQ5858" s="314"/>
      <c r="BR5858" s="314"/>
      <c r="BS5858" s="314"/>
      <c r="BT5858" s="314"/>
      <c r="BU5858" s="314"/>
      <c r="BV5858" s="314"/>
      <c r="BW5858" s="314"/>
      <c r="BX5858" s="155"/>
    </row>
    <row r="5859" spans="1:76" ht="15.75" customHeight="1">
      <c r="A5859" s="25"/>
      <c r="B5859" s="39"/>
      <c r="C5859" s="155"/>
      <c r="D5859" s="155"/>
      <c r="E5859" s="40"/>
      <c r="F5859" s="314"/>
      <c r="H5859" s="315"/>
      <c r="I5859" s="315"/>
      <c r="BA5859" s="30"/>
      <c r="BB5859" s="155"/>
      <c r="BC5859" s="314"/>
      <c r="BD5859" s="314"/>
      <c r="BE5859" s="314"/>
      <c r="BF5859" s="314"/>
      <c r="BG5859" s="314"/>
      <c r="BH5859" s="314"/>
      <c r="BI5859" s="314"/>
      <c r="BJ5859" s="314"/>
      <c r="BK5859" s="40"/>
      <c r="BL5859" s="40"/>
      <c r="BM5859" s="40"/>
      <c r="BN5859" s="40"/>
      <c r="BO5859" s="40"/>
      <c r="BP5859" s="155"/>
      <c r="BQ5859" s="314"/>
      <c r="BR5859" s="314"/>
      <c r="BS5859" s="314"/>
      <c r="BT5859" s="314"/>
      <c r="BU5859" s="314"/>
      <c r="BV5859" s="314"/>
      <c r="BW5859" s="314"/>
      <c r="BX5859" s="155"/>
    </row>
    <row r="5860" spans="1:76" ht="15.75" customHeight="1">
      <c r="A5860" s="25"/>
      <c r="B5860" s="39"/>
      <c r="C5860" s="155"/>
      <c r="D5860" s="155"/>
      <c r="E5860" s="40"/>
      <c r="F5860" s="314"/>
      <c r="H5860" s="315"/>
      <c r="I5860" s="315"/>
      <c r="BA5860" s="30"/>
      <c r="BB5860" s="155"/>
      <c r="BC5860" s="314"/>
      <c r="BD5860" s="314"/>
      <c r="BE5860" s="314"/>
      <c r="BF5860" s="314"/>
      <c r="BG5860" s="314"/>
      <c r="BH5860" s="314"/>
      <c r="BI5860" s="314"/>
      <c r="BJ5860" s="314"/>
      <c r="BK5860" s="40"/>
      <c r="BL5860" s="40"/>
      <c r="BM5860" s="40"/>
      <c r="BN5860" s="40"/>
      <c r="BO5860" s="40"/>
      <c r="BP5860" s="155"/>
      <c r="BQ5860" s="314"/>
      <c r="BR5860" s="314"/>
      <c r="BS5860" s="314"/>
      <c r="BT5860" s="314"/>
      <c r="BU5860" s="314"/>
      <c r="BV5860" s="314"/>
      <c r="BW5860" s="314"/>
      <c r="BX5860" s="155"/>
    </row>
    <row r="5861" spans="1:76" ht="15.75" customHeight="1">
      <c r="A5861" s="25"/>
      <c r="B5861" s="39"/>
      <c r="C5861" s="155"/>
      <c r="D5861" s="155"/>
      <c r="E5861" s="40"/>
      <c r="F5861" s="314"/>
      <c r="H5861" s="315"/>
      <c r="I5861" s="315"/>
      <c r="BA5861" s="30"/>
      <c r="BB5861" s="155"/>
      <c r="BC5861" s="314"/>
      <c r="BD5861" s="314"/>
      <c r="BE5861" s="314"/>
      <c r="BF5861" s="314"/>
      <c r="BG5861" s="314"/>
      <c r="BH5861" s="314"/>
      <c r="BI5861" s="314"/>
      <c r="BJ5861" s="314"/>
      <c r="BK5861" s="40"/>
      <c r="BL5861" s="40"/>
      <c r="BM5861" s="40"/>
      <c r="BN5861" s="40"/>
      <c r="BO5861" s="40"/>
      <c r="BP5861" s="155"/>
      <c r="BQ5861" s="314"/>
      <c r="BR5861" s="314"/>
      <c r="BS5861" s="314"/>
      <c r="BT5861" s="314"/>
      <c r="BU5861" s="314"/>
      <c r="BV5861" s="314"/>
      <c r="BW5861" s="314"/>
      <c r="BX5861" s="155"/>
    </row>
    <row r="5862" spans="1:76" ht="15.75" customHeight="1">
      <c r="A5862" s="25"/>
      <c r="B5862" s="39"/>
      <c r="C5862" s="155"/>
      <c r="D5862" s="155"/>
      <c r="E5862" s="40"/>
      <c r="F5862" s="314"/>
      <c r="H5862" s="315"/>
      <c r="I5862" s="315"/>
      <c r="BA5862" s="30"/>
      <c r="BB5862" s="155"/>
      <c r="BC5862" s="314"/>
      <c r="BD5862" s="314"/>
      <c r="BE5862" s="314"/>
      <c r="BF5862" s="314"/>
      <c r="BG5862" s="314"/>
      <c r="BH5862" s="314"/>
      <c r="BI5862" s="314"/>
      <c r="BJ5862" s="314"/>
      <c r="BK5862" s="40"/>
      <c r="BL5862" s="40"/>
      <c r="BM5862" s="40"/>
      <c r="BN5862" s="40"/>
      <c r="BO5862" s="40"/>
      <c r="BP5862" s="155"/>
      <c r="BQ5862" s="314"/>
      <c r="BR5862" s="314"/>
      <c r="BS5862" s="314"/>
      <c r="BT5862" s="314"/>
      <c r="BU5862" s="314"/>
      <c r="BV5862" s="314"/>
      <c r="BW5862" s="314"/>
      <c r="BX5862" s="155"/>
    </row>
    <row r="5863" spans="1:76" ht="15.75" customHeight="1">
      <c r="A5863" s="25"/>
      <c r="B5863" s="39"/>
      <c r="C5863" s="155"/>
      <c r="D5863" s="155"/>
      <c r="E5863" s="40"/>
      <c r="F5863" s="314"/>
      <c r="H5863" s="315"/>
      <c r="I5863" s="315"/>
      <c r="BA5863" s="30"/>
      <c r="BB5863" s="155"/>
      <c r="BC5863" s="314"/>
      <c r="BD5863" s="314"/>
      <c r="BE5863" s="314"/>
      <c r="BF5863" s="314"/>
      <c r="BG5863" s="314"/>
      <c r="BH5863" s="314"/>
      <c r="BI5863" s="314"/>
      <c r="BJ5863" s="314"/>
      <c r="BK5863" s="40"/>
      <c r="BL5863" s="40"/>
      <c r="BM5863" s="40"/>
      <c r="BN5863" s="40"/>
      <c r="BO5863" s="40"/>
      <c r="BP5863" s="155"/>
      <c r="BQ5863" s="314"/>
      <c r="BR5863" s="314"/>
      <c r="BS5863" s="314"/>
      <c r="BT5863" s="314"/>
      <c r="BU5863" s="314"/>
      <c r="BV5863" s="314"/>
      <c r="BW5863" s="314"/>
      <c r="BX5863" s="155"/>
    </row>
    <row r="5864" spans="1:76" ht="15.75" customHeight="1">
      <c r="A5864" s="25"/>
      <c r="B5864" s="39"/>
      <c r="C5864" s="155"/>
      <c r="D5864" s="155"/>
      <c r="E5864" s="40"/>
      <c r="F5864" s="314"/>
      <c r="H5864" s="315"/>
      <c r="I5864" s="315"/>
      <c r="BA5864" s="30"/>
      <c r="BB5864" s="155"/>
      <c r="BC5864" s="314"/>
      <c r="BD5864" s="314"/>
      <c r="BE5864" s="314"/>
      <c r="BF5864" s="314"/>
      <c r="BG5864" s="314"/>
      <c r="BH5864" s="314"/>
      <c r="BI5864" s="314"/>
      <c r="BJ5864" s="314"/>
      <c r="BK5864" s="40"/>
      <c r="BL5864" s="40"/>
      <c r="BM5864" s="40"/>
      <c r="BN5864" s="40"/>
      <c r="BO5864" s="40"/>
      <c r="BP5864" s="155"/>
      <c r="BQ5864" s="314"/>
      <c r="BR5864" s="314"/>
      <c r="BS5864" s="314"/>
      <c r="BT5864" s="314"/>
      <c r="BU5864" s="314"/>
      <c r="BV5864" s="314"/>
      <c r="BW5864" s="314"/>
      <c r="BX5864" s="155"/>
    </row>
    <row r="5865" spans="1:76" ht="15.75" customHeight="1">
      <c r="A5865" s="25"/>
      <c r="B5865" s="39"/>
      <c r="C5865" s="155"/>
      <c r="D5865" s="155"/>
      <c r="E5865" s="40"/>
      <c r="F5865" s="314"/>
      <c r="H5865" s="315"/>
      <c r="I5865" s="315"/>
      <c r="BA5865" s="30"/>
      <c r="BB5865" s="155"/>
      <c r="BC5865" s="314"/>
      <c r="BD5865" s="314"/>
      <c r="BE5865" s="314"/>
      <c r="BF5865" s="314"/>
      <c r="BG5865" s="314"/>
      <c r="BH5865" s="314"/>
      <c r="BI5865" s="314"/>
      <c r="BJ5865" s="314"/>
      <c r="BK5865" s="40"/>
      <c r="BL5865" s="40"/>
      <c r="BM5865" s="40"/>
      <c r="BN5865" s="40"/>
      <c r="BO5865" s="40"/>
      <c r="BP5865" s="155"/>
      <c r="BQ5865" s="314"/>
      <c r="BR5865" s="314"/>
      <c r="BS5865" s="314"/>
      <c r="BT5865" s="314"/>
      <c r="BU5865" s="314"/>
      <c r="BV5865" s="314"/>
      <c r="BW5865" s="314"/>
      <c r="BX5865" s="155"/>
    </row>
    <row r="5866" spans="1:76" ht="15.75" customHeight="1">
      <c r="A5866" s="25"/>
      <c r="B5866" s="39"/>
      <c r="C5866" s="155"/>
      <c r="D5866" s="155"/>
      <c r="E5866" s="40"/>
      <c r="F5866" s="314"/>
      <c r="H5866" s="315"/>
      <c r="I5866" s="315"/>
      <c r="BA5866" s="30"/>
      <c r="BB5866" s="155"/>
      <c r="BC5866" s="314"/>
      <c r="BD5866" s="314"/>
      <c r="BE5866" s="314"/>
      <c r="BF5866" s="314"/>
      <c r="BG5866" s="314"/>
      <c r="BH5866" s="314"/>
      <c r="BI5866" s="314"/>
      <c r="BJ5866" s="314"/>
      <c r="BK5866" s="40"/>
      <c r="BL5866" s="40"/>
      <c r="BM5866" s="40"/>
      <c r="BN5866" s="40"/>
      <c r="BO5866" s="40"/>
      <c r="BP5866" s="155"/>
      <c r="BQ5866" s="314"/>
      <c r="BR5866" s="314"/>
      <c r="BS5866" s="314"/>
      <c r="BT5866" s="314"/>
      <c r="BU5866" s="314"/>
      <c r="BV5866" s="314"/>
      <c r="BW5866" s="314"/>
      <c r="BX5866" s="155"/>
    </row>
    <row r="5867" spans="1:76" ht="15.75" customHeight="1">
      <c r="A5867" s="25"/>
      <c r="B5867" s="39"/>
      <c r="C5867" s="155"/>
      <c r="D5867" s="155"/>
      <c r="E5867" s="40"/>
      <c r="F5867" s="314"/>
      <c r="H5867" s="315"/>
      <c r="I5867" s="315"/>
      <c r="BA5867" s="30"/>
      <c r="BB5867" s="155"/>
      <c r="BC5867" s="314"/>
      <c r="BD5867" s="314"/>
      <c r="BE5867" s="314"/>
      <c r="BF5867" s="314"/>
      <c r="BG5867" s="314"/>
      <c r="BH5867" s="314"/>
      <c r="BI5867" s="314"/>
      <c r="BJ5867" s="314"/>
      <c r="BK5867" s="40"/>
      <c r="BL5867" s="40"/>
      <c r="BM5867" s="40"/>
      <c r="BN5867" s="40"/>
      <c r="BO5867" s="40"/>
      <c r="BP5867" s="155"/>
      <c r="BQ5867" s="314"/>
      <c r="BR5867" s="314"/>
      <c r="BS5867" s="314"/>
      <c r="BT5867" s="314"/>
      <c r="BU5867" s="314"/>
      <c r="BV5867" s="314"/>
      <c r="BW5867" s="314"/>
      <c r="BX5867" s="155"/>
    </row>
    <row r="5868" spans="1:76" ht="15.75" customHeight="1">
      <c r="A5868" s="25"/>
      <c r="B5868" s="39"/>
      <c r="C5868" s="155"/>
      <c r="D5868" s="155"/>
      <c r="E5868" s="40"/>
      <c r="F5868" s="314"/>
      <c r="H5868" s="315"/>
      <c r="I5868" s="315"/>
      <c r="BA5868" s="30"/>
      <c r="BB5868" s="155"/>
      <c r="BC5868" s="314"/>
      <c r="BD5868" s="314"/>
      <c r="BE5868" s="314"/>
      <c r="BF5868" s="314"/>
      <c r="BG5868" s="314"/>
      <c r="BH5868" s="314"/>
      <c r="BI5868" s="314"/>
      <c r="BJ5868" s="314"/>
      <c r="BK5868" s="40"/>
      <c r="BL5868" s="40"/>
      <c r="BM5868" s="40"/>
      <c r="BN5868" s="40"/>
      <c r="BO5868" s="40"/>
      <c r="BP5868" s="155"/>
      <c r="BQ5868" s="314"/>
      <c r="BR5868" s="314"/>
      <c r="BS5868" s="314"/>
      <c r="BT5868" s="314"/>
      <c r="BU5868" s="314"/>
      <c r="BV5868" s="314"/>
      <c r="BW5868" s="314"/>
      <c r="BX5868" s="155"/>
    </row>
    <row r="5869" spans="1:76" ht="15.75" customHeight="1">
      <c r="A5869" s="25"/>
      <c r="B5869" s="39"/>
      <c r="C5869" s="155"/>
      <c r="D5869" s="155"/>
      <c r="E5869" s="40"/>
      <c r="F5869" s="314"/>
      <c r="H5869" s="315"/>
      <c r="I5869" s="315"/>
      <c r="BA5869" s="30"/>
      <c r="BB5869" s="155"/>
      <c r="BC5869" s="314"/>
      <c r="BD5869" s="314"/>
      <c r="BE5869" s="314"/>
      <c r="BF5869" s="314"/>
      <c r="BG5869" s="314"/>
      <c r="BH5869" s="314"/>
      <c r="BI5869" s="314"/>
      <c r="BJ5869" s="314"/>
      <c r="BK5869" s="40"/>
      <c r="BL5869" s="40"/>
      <c r="BM5869" s="40"/>
      <c r="BN5869" s="40"/>
      <c r="BO5869" s="40"/>
      <c r="BP5869" s="155"/>
      <c r="BQ5869" s="314"/>
      <c r="BR5869" s="314"/>
      <c r="BS5869" s="314"/>
      <c r="BT5869" s="314"/>
      <c r="BU5869" s="314"/>
      <c r="BV5869" s="314"/>
      <c r="BW5869" s="314"/>
      <c r="BX5869" s="155"/>
    </row>
    <row r="5870" spans="1:76" ht="15.75" customHeight="1">
      <c r="A5870" s="25"/>
      <c r="B5870" s="39"/>
      <c r="C5870" s="155"/>
      <c r="D5870" s="155"/>
      <c r="E5870" s="40"/>
      <c r="F5870" s="314"/>
      <c r="H5870" s="315"/>
      <c r="I5870" s="315"/>
      <c r="BA5870" s="30"/>
      <c r="BB5870" s="155"/>
      <c r="BC5870" s="322"/>
      <c r="BD5870" s="322"/>
      <c r="BE5870" s="322"/>
      <c r="BF5870" s="322"/>
      <c r="BG5870" s="322"/>
      <c r="BH5870" s="322"/>
      <c r="BI5870" s="322"/>
      <c r="BJ5870" s="322"/>
      <c r="BK5870" s="341"/>
      <c r="BL5870" s="40"/>
      <c r="BM5870" s="40"/>
      <c r="BN5870" s="40"/>
      <c r="BO5870" s="40"/>
      <c r="BP5870" s="155"/>
      <c r="BQ5870" s="314"/>
      <c r="BR5870" s="314"/>
      <c r="BS5870" s="314"/>
      <c r="BT5870" s="314"/>
      <c r="BU5870" s="314"/>
      <c r="BV5870" s="314"/>
      <c r="BW5870" s="314"/>
      <c r="BX5870" s="155"/>
    </row>
    <row r="5871" spans="1:76" ht="15.75" customHeight="1">
      <c r="A5871" s="25"/>
      <c r="B5871" s="39"/>
      <c r="C5871" s="155"/>
      <c r="D5871" s="155"/>
      <c r="E5871" s="40"/>
      <c r="F5871" s="314"/>
      <c r="H5871" s="315"/>
      <c r="I5871" s="315"/>
      <c r="BA5871" s="30"/>
      <c r="BB5871" s="155"/>
      <c r="BC5871" s="314"/>
      <c r="BD5871" s="314"/>
      <c r="BE5871" s="314"/>
      <c r="BF5871" s="314"/>
      <c r="BG5871" s="314"/>
      <c r="BH5871" s="314"/>
      <c r="BI5871" s="314"/>
      <c r="BJ5871" s="314"/>
      <c r="BK5871" s="40"/>
      <c r="BL5871" s="40"/>
      <c r="BM5871" s="40"/>
      <c r="BN5871" s="40"/>
      <c r="BO5871" s="40"/>
      <c r="BP5871" s="155"/>
      <c r="BQ5871" s="314"/>
      <c r="BR5871" s="314"/>
      <c r="BS5871" s="314"/>
      <c r="BT5871" s="314"/>
      <c r="BU5871" s="314"/>
      <c r="BV5871" s="314"/>
      <c r="BW5871" s="314"/>
      <c r="BX5871" s="155"/>
    </row>
    <row r="5872" spans="1:76" ht="15.75" customHeight="1">
      <c r="A5872" s="25"/>
      <c r="B5872" s="39"/>
      <c r="C5872" s="155"/>
      <c r="D5872" s="155"/>
      <c r="E5872" s="40"/>
      <c r="F5872" s="314"/>
      <c r="H5872" s="315"/>
      <c r="I5872" s="315"/>
      <c r="BA5872" s="30"/>
      <c r="BB5872" s="155"/>
      <c r="BC5872" s="314"/>
      <c r="BD5872" s="314"/>
      <c r="BE5872" s="314"/>
      <c r="BF5872" s="314"/>
      <c r="BG5872" s="314"/>
      <c r="BH5872" s="314"/>
      <c r="BI5872" s="314"/>
      <c r="BJ5872" s="314"/>
      <c r="BK5872" s="40"/>
      <c r="BL5872" s="40"/>
      <c r="BM5872" s="40"/>
      <c r="BN5872" s="40"/>
      <c r="BO5872" s="40"/>
      <c r="BP5872" s="155"/>
      <c r="BQ5872" s="314"/>
      <c r="BR5872" s="314"/>
      <c r="BS5872" s="314"/>
      <c r="BT5872" s="314"/>
      <c r="BU5872" s="314"/>
      <c r="BV5872" s="314"/>
      <c r="BW5872" s="314"/>
      <c r="BX5872" s="155"/>
    </row>
    <row r="5873" spans="1:76" ht="15.75" customHeight="1">
      <c r="A5873" s="25"/>
      <c r="B5873" s="39"/>
      <c r="C5873" s="155"/>
      <c r="D5873" s="155"/>
      <c r="E5873" s="40"/>
      <c r="F5873" s="314"/>
      <c r="H5873" s="315"/>
      <c r="I5873" s="315"/>
      <c r="BA5873" s="30"/>
      <c r="BB5873" s="155"/>
      <c r="BC5873" s="314"/>
      <c r="BD5873" s="314"/>
      <c r="BE5873" s="314"/>
      <c r="BF5873" s="314"/>
      <c r="BG5873" s="314"/>
      <c r="BH5873" s="314"/>
      <c r="BI5873" s="314"/>
      <c r="BJ5873" s="314"/>
      <c r="BK5873" s="40"/>
      <c r="BL5873" s="40"/>
      <c r="BM5873" s="40"/>
      <c r="BN5873" s="40"/>
      <c r="BO5873" s="40"/>
      <c r="BP5873" s="155"/>
      <c r="BQ5873" s="314"/>
      <c r="BR5873" s="314"/>
      <c r="BS5873" s="314"/>
      <c r="BT5873" s="314"/>
      <c r="BU5873" s="314"/>
      <c r="BV5873" s="314"/>
      <c r="BW5873" s="314"/>
      <c r="BX5873" s="155"/>
    </row>
    <row r="5874" spans="1:76" ht="15.75" customHeight="1">
      <c r="A5874" s="25"/>
      <c r="B5874" s="39"/>
      <c r="C5874" s="155"/>
      <c r="D5874" s="155"/>
      <c r="E5874" s="40"/>
      <c r="F5874" s="314"/>
      <c r="H5874" s="315"/>
      <c r="I5874" s="315"/>
      <c r="BA5874" s="30"/>
      <c r="BB5874" s="155"/>
      <c r="BC5874" s="314"/>
      <c r="BD5874" s="314"/>
      <c r="BE5874" s="314"/>
      <c r="BF5874" s="314"/>
      <c r="BG5874" s="314"/>
      <c r="BH5874" s="314"/>
      <c r="BI5874" s="314"/>
      <c r="BJ5874" s="314"/>
      <c r="BK5874" s="40"/>
      <c r="BL5874" s="40"/>
      <c r="BM5874" s="40"/>
      <c r="BN5874" s="40"/>
      <c r="BO5874" s="40"/>
      <c r="BP5874" s="155"/>
      <c r="BQ5874" s="314"/>
      <c r="BR5874" s="314"/>
      <c r="BS5874" s="314"/>
      <c r="BT5874" s="314"/>
      <c r="BU5874" s="314"/>
      <c r="BV5874" s="314"/>
      <c r="BW5874" s="314"/>
      <c r="BX5874" s="155"/>
    </row>
    <row r="5875" spans="1:76" ht="15.75" customHeight="1">
      <c r="A5875" s="25"/>
      <c r="B5875" s="39"/>
      <c r="C5875" s="155"/>
      <c r="D5875" s="155"/>
      <c r="E5875" s="40"/>
      <c r="F5875" s="314"/>
      <c r="H5875" s="315"/>
      <c r="I5875" s="315"/>
      <c r="BA5875" s="30"/>
      <c r="BB5875" s="155"/>
      <c r="BC5875" s="314"/>
      <c r="BD5875" s="314"/>
      <c r="BE5875" s="314"/>
      <c r="BF5875" s="314"/>
      <c r="BG5875" s="314"/>
      <c r="BH5875" s="314"/>
      <c r="BI5875" s="314"/>
      <c r="BJ5875" s="314"/>
      <c r="BK5875" s="40"/>
      <c r="BL5875" s="40"/>
      <c r="BM5875" s="40"/>
      <c r="BN5875" s="40"/>
      <c r="BO5875" s="40"/>
      <c r="BP5875" s="155"/>
      <c r="BQ5875" s="314"/>
      <c r="BR5875" s="314"/>
      <c r="BS5875" s="314"/>
      <c r="BT5875" s="314"/>
      <c r="BU5875" s="314"/>
      <c r="BV5875" s="314"/>
      <c r="BW5875" s="314"/>
      <c r="BX5875" s="155"/>
    </row>
    <row r="5876" spans="1:76" ht="15.75" customHeight="1">
      <c r="A5876" s="25"/>
      <c r="B5876" s="39"/>
      <c r="C5876" s="155"/>
      <c r="D5876" s="155"/>
      <c r="E5876" s="40"/>
      <c r="F5876" s="314"/>
      <c r="H5876" s="315"/>
      <c r="I5876" s="315"/>
      <c r="BA5876" s="30"/>
      <c r="BB5876" s="155"/>
      <c r="BC5876" s="314"/>
      <c r="BD5876" s="314"/>
      <c r="BE5876" s="314"/>
      <c r="BF5876" s="314"/>
      <c r="BG5876" s="314"/>
      <c r="BH5876" s="314"/>
      <c r="BI5876" s="314"/>
      <c r="BJ5876" s="314"/>
      <c r="BK5876" s="40"/>
      <c r="BL5876" s="40"/>
      <c r="BM5876" s="40"/>
      <c r="BN5876" s="40"/>
      <c r="BO5876" s="40"/>
      <c r="BP5876" s="155"/>
      <c r="BQ5876" s="314"/>
      <c r="BR5876" s="314"/>
      <c r="BS5876" s="314"/>
      <c r="BT5876" s="314"/>
      <c r="BU5876" s="314"/>
      <c r="BV5876" s="314"/>
      <c r="BW5876" s="314"/>
      <c r="BX5876" s="155"/>
    </row>
    <row r="5877" spans="1:76" ht="15.75" customHeight="1">
      <c r="A5877" s="25"/>
      <c r="B5877" s="39"/>
      <c r="C5877" s="155"/>
      <c r="D5877" s="155"/>
      <c r="E5877" s="40"/>
      <c r="F5877" s="314"/>
      <c r="H5877" s="315"/>
      <c r="I5877" s="315"/>
      <c r="BA5877" s="30"/>
      <c r="BB5877" s="155"/>
      <c r="BC5877" s="314"/>
      <c r="BD5877" s="314"/>
      <c r="BE5877" s="314"/>
      <c r="BF5877" s="314"/>
      <c r="BG5877" s="314"/>
      <c r="BH5877" s="314"/>
      <c r="BI5877" s="314"/>
      <c r="BJ5877" s="314"/>
      <c r="BK5877" s="40"/>
      <c r="BL5877" s="40"/>
      <c r="BM5877" s="40"/>
      <c r="BN5877" s="40"/>
      <c r="BO5877" s="40"/>
      <c r="BP5877" s="155"/>
      <c r="BQ5877" s="314"/>
      <c r="BR5877" s="314"/>
      <c r="BS5877" s="314"/>
      <c r="BT5877" s="314"/>
      <c r="BU5877" s="314"/>
      <c r="BV5877" s="314"/>
      <c r="BW5877" s="314"/>
      <c r="BX5877" s="155"/>
    </row>
    <row r="5878" spans="1:76" ht="15.75" customHeight="1">
      <c r="A5878" s="25"/>
      <c r="B5878" s="39"/>
      <c r="C5878" s="155"/>
      <c r="D5878" s="155"/>
      <c r="E5878" s="40"/>
      <c r="F5878" s="314"/>
      <c r="H5878" s="315"/>
      <c r="I5878" s="315"/>
      <c r="BA5878" s="30"/>
      <c r="BB5878" s="155"/>
      <c r="BC5878" s="314"/>
      <c r="BD5878" s="314"/>
      <c r="BE5878" s="314"/>
      <c r="BF5878" s="314"/>
      <c r="BG5878" s="314"/>
      <c r="BH5878" s="314"/>
      <c r="BI5878" s="314"/>
      <c r="BJ5878" s="314"/>
      <c r="BK5878" s="40"/>
      <c r="BL5878" s="40"/>
      <c r="BM5878" s="40"/>
      <c r="BN5878" s="40"/>
      <c r="BO5878" s="40"/>
      <c r="BP5878" s="155"/>
      <c r="BQ5878" s="314"/>
      <c r="BR5878" s="314"/>
      <c r="BS5878" s="314"/>
      <c r="BT5878" s="314"/>
      <c r="BU5878" s="314"/>
      <c r="BV5878" s="314"/>
      <c r="BW5878" s="314"/>
      <c r="BX5878" s="155"/>
    </row>
    <row r="5879" spans="1:76" ht="15.75" customHeight="1">
      <c r="A5879" s="25"/>
      <c r="B5879" s="39"/>
      <c r="C5879" s="155"/>
      <c r="D5879" s="155"/>
      <c r="E5879" s="40"/>
      <c r="F5879" s="314"/>
      <c r="H5879" s="315"/>
      <c r="I5879" s="315"/>
      <c r="BA5879" s="30"/>
      <c r="BB5879" s="155"/>
      <c r="BC5879" s="314"/>
      <c r="BD5879" s="314"/>
      <c r="BE5879" s="314"/>
      <c r="BF5879" s="314"/>
      <c r="BG5879" s="314"/>
      <c r="BH5879" s="314"/>
      <c r="BI5879" s="314"/>
      <c r="BJ5879" s="314"/>
      <c r="BK5879" s="40"/>
      <c r="BL5879" s="40"/>
      <c r="BM5879" s="40"/>
      <c r="BN5879" s="40"/>
      <c r="BO5879" s="40"/>
      <c r="BP5879" s="155"/>
      <c r="BQ5879" s="314"/>
      <c r="BR5879" s="314"/>
      <c r="BS5879" s="314"/>
      <c r="BT5879" s="314"/>
      <c r="BU5879" s="314"/>
      <c r="BV5879" s="314"/>
      <c r="BW5879" s="314"/>
      <c r="BX5879" s="155"/>
    </row>
    <row r="5880" spans="1:76" ht="15.75" customHeight="1">
      <c r="A5880" s="25"/>
      <c r="B5880" s="39"/>
      <c r="C5880" s="155"/>
      <c r="D5880" s="155"/>
      <c r="E5880" s="40"/>
      <c r="F5880" s="314"/>
      <c r="H5880" s="315"/>
      <c r="I5880" s="315"/>
      <c r="BA5880" s="30"/>
      <c r="BB5880" s="155"/>
      <c r="BC5880" s="314"/>
      <c r="BD5880" s="314"/>
      <c r="BE5880" s="314"/>
      <c r="BF5880" s="314"/>
      <c r="BG5880" s="314"/>
      <c r="BH5880" s="314"/>
      <c r="BI5880" s="314"/>
      <c r="BJ5880" s="314"/>
      <c r="BK5880" s="40"/>
      <c r="BL5880" s="40"/>
      <c r="BM5880" s="40"/>
      <c r="BN5880" s="40"/>
      <c r="BO5880" s="40"/>
      <c r="BP5880" s="155"/>
      <c r="BQ5880" s="314"/>
      <c r="BR5880" s="314"/>
      <c r="BS5880" s="314"/>
      <c r="BT5880" s="314"/>
      <c r="BU5880" s="314"/>
      <c r="BV5880" s="314"/>
      <c r="BW5880" s="314"/>
      <c r="BX5880" s="155"/>
    </row>
    <row r="5881" spans="1:76" ht="15.75" customHeight="1">
      <c r="A5881" s="25"/>
      <c r="B5881" s="39"/>
      <c r="C5881" s="155"/>
      <c r="D5881" s="155"/>
      <c r="E5881" s="40"/>
      <c r="F5881" s="314"/>
      <c r="H5881" s="315"/>
      <c r="I5881" s="315"/>
      <c r="BA5881" s="30"/>
      <c r="BB5881" s="155"/>
      <c r="BC5881" s="314"/>
      <c r="BD5881" s="314"/>
      <c r="BE5881" s="314"/>
      <c r="BF5881" s="314"/>
      <c r="BG5881" s="314"/>
      <c r="BH5881" s="314"/>
      <c r="BI5881" s="314"/>
      <c r="BJ5881" s="314"/>
      <c r="BK5881" s="40"/>
      <c r="BL5881" s="40"/>
      <c r="BM5881" s="40"/>
      <c r="BN5881" s="40"/>
      <c r="BO5881" s="40"/>
      <c r="BP5881" s="155"/>
      <c r="BQ5881" s="314"/>
      <c r="BR5881" s="314"/>
      <c r="BS5881" s="314"/>
      <c r="BT5881" s="314"/>
      <c r="BU5881" s="314"/>
      <c r="BV5881" s="314"/>
      <c r="BW5881" s="314"/>
      <c r="BX5881" s="155"/>
    </row>
    <row r="5882" spans="1:76" ht="15.75" customHeight="1">
      <c r="A5882" s="25"/>
      <c r="B5882" s="39"/>
      <c r="C5882" s="155"/>
      <c r="D5882" s="155"/>
      <c r="E5882" s="40"/>
      <c r="F5882" s="314"/>
      <c r="H5882" s="315"/>
      <c r="I5882" s="315"/>
      <c r="BA5882" s="30"/>
      <c r="BB5882" s="155"/>
      <c r="BC5882" s="314"/>
      <c r="BD5882" s="314"/>
      <c r="BE5882" s="314"/>
      <c r="BF5882" s="314"/>
      <c r="BG5882" s="314"/>
      <c r="BH5882" s="314"/>
      <c r="BI5882" s="314"/>
      <c r="BJ5882" s="314"/>
      <c r="BK5882" s="40"/>
      <c r="BL5882" s="40"/>
      <c r="BM5882" s="40"/>
      <c r="BN5882" s="40"/>
      <c r="BO5882" s="40"/>
      <c r="BP5882" s="155"/>
      <c r="BQ5882" s="314"/>
      <c r="BR5882" s="314"/>
      <c r="BS5882" s="314"/>
      <c r="BT5882" s="314"/>
      <c r="BU5882" s="314"/>
      <c r="BV5882" s="314"/>
      <c r="BW5882" s="314"/>
      <c r="BX5882" s="155"/>
    </row>
    <row r="5883" spans="1:76" ht="15.75" customHeight="1">
      <c r="A5883" s="25"/>
      <c r="B5883" s="39"/>
      <c r="C5883" s="155"/>
      <c r="D5883" s="155"/>
      <c r="E5883" s="40"/>
      <c r="F5883" s="314"/>
      <c r="H5883" s="315"/>
      <c r="I5883" s="315"/>
      <c r="BA5883" s="30"/>
      <c r="BB5883" s="155"/>
      <c r="BC5883" s="314"/>
      <c r="BD5883" s="314"/>
      <c r="BE5883" s="314"/>
      <c r="BF5883" s="314"/>
      <c r="BG5883" s="314"/>
      <c r="BH5883" s="314"/>
      <c r="BI5883" s="314"/>
      <c r="BJ5883" s="314"/>
      <c r="BK5883" s="40"/>
      <c r="BL5883" s="40"/>
      <c r="BM5883" s="40"/>
      <c r="BN5883" s="40"/>
      <c r="BO5883" s="40"/>
      <c r="BP5883" s="155"/>
      <c r="BQ5883" s="314"/>
      <c r="BR5883" s="314"/>
      <c r="BS5883" s="314"/>
      <c r="BT5883" s="314"/>
      <c r="BU5883" s="314"/>
      <c r="BV5883" s="314"/>
      <c r="BW5883" s="314"/>
      <c r="BX5883" s="155"/>
    </row>
    <row r="5884" spans="1:76" ht="15.75" customHeight="1">
      <c r="A5884" s="25"/>
      <c r="B5884" s="39"/>
      <c r="C5884" s="155"/>
      <c r="D5884" s="155"/>
      <c r="E5884" s="40"/>
      <c r="F5884" s="314"/>
      <c r="H5884" s="315"/>
      <c r="I5884" s="315"/>
      <c r="BA5884" s="30"/>
      <c r="BB5884" s="155"/>
      <c r="BC5884" s="314"/>
      <c r="BD5884" s="314"/>
      <c r="BE5884" s="314"/>
      <c r="BF5884" s="314"/>
      <c r="BG5884" s="314"/>
      <c r="BH5884" s="314"/>
      <c r="BI5884" s="314"/>
      <c r="BJ5884" s="314"/>
      <c r="BK5884" s="40"/>
      <c r="BL5884" s="40"/>
      <c r="BM5884" s="40"/>
      <c r="BN5884" s="40"/>
      <c r="BO5884" s="40"/>
      <c r="BP5884" s="155"/>
      <c r="BQ5884" s="314"/>
      <c r="BR5884" s="314"/>
      <c r="BS5884" s="314"/>
      <c r="BT5884" s="314"/>
      <c r="BU5884" s="314"/>
      <c r="BV5884" s="314"/>
      <c r="BW5884" s="314"/>
      <c r="BX5884" s="155"/>
    </row>
    <row r="5885" spans="1:76" ht="15.75" customHeight="1">
      <c r="A5885" s="25"/>
      <c r="B5885" s="39"/>
      <c r="C5885" s="155"/>
      <c r="D5885" s="155"/>
      <c r="E5885" s="40"/>
      <c r="F5885" s="314"/>
      <c r="H5885" s="315"/>
      <c r="I5885" s="315"/>
      <c r="BA5885" s="30"/>
      <c r="BB5885" s="155"/>
      <c r="BC5885" s="314"/>
      <c r="BD5885" s="314"/>
      <c r="BE5885" s="314"/>
      <c r="BF5885" s="314"/>
      <c r="BG5885" s="314"/>
      <c r="BH5885" s="314"/>
      <c r="BI5885" s="314"/>
      <c r="BJ5885" s="314"/>
      <c r="BK5885" s="40"/>
      <c r="BL5885" s="40"/>
      <c r="BM5885" s="40"/>
      <c r="BN5885" s="40"/>
      <c r="BO5885" s="40"/>
      <c r="BP5885" s="155"/>
      <c r="BQ5885" s="314"/>
      <c r="BR5885" s="314"/>
      <c r="BS5885" s="314"/>
      <c r="BT5885" s="314"/>
      <c r="BU5885" s="314"/>
      <c r="BV5885" s="314"/>
      <c r="BW5885" s="314"/>
      <c r="BX5885" s="155"/>
    </row>
    <row r="5886" spans="1:76" ht="15.75" customHeight="1">
      <c r="A5886" s="25"/>
      <c r="B5886" s="39"/>
      <c r="C5886" s="155"/>
      <c r="D5886" s="155"/>
      <c r="E5886" s="40"/>
      <c r="F5886" s="314"/>
      <c r="H5886" s="315"/>
      <c r="I5886" s="315"/>
      <c r="BA5886" s="30"/>
      <c r="BB5886" s="155"/>
      <c r="BC5886" s="314"/>
      <c r="BD5886" s="314"/>
      <c r="BE5886" s="314"/>
      <c r="BF5886" s="314"/>
      <c r="BG5886" s="314"/>
      <c r="BH5886" s="314"/>
      <c r="BI5886" s="314"/>
      <c r="BJ5886" s="314"/>
      <c r="BK5886" s="40"/>
      <c r="BL5886" s="40"/>
      <c r="BM5886" s="40"/>
      <c r="BN5886" s="40"/>
      <c r="BO5886" s="40"/>
      <c r="BP5886" s="155"/>
      <c r="BQ5886" s="314"/>
      <c r="BR5886" s="314"/>
      <c r="BS5886" s="314"/>
      <c r="BT5886" s="314"/>
      <c r="BU5886" s="314"/>
      <c r="BV5886" s="314"/>
      <c r="BW5886" s="314"/>
      <c r="BX5886" s="155"/>
    </row>
    <row r="5887" spans="1:76" ht="15.75" customHeight="1">
      <c r="A5887" s="25"/>
      <c r="B5887" s="39"/>
      <c r="C5887" s="155"/>
      <c r="D5887" s="155"/>
      <c r="E5887" s="40"/>
      <c r="F5887" s="314"/>
      <c r="H5887" s="315"/>
      <c r="I5887" s="315"/>
      <c r="BA5887" s="30"/>
      <c r="BB5887" s="155"/>
      <c r="BC5887" s="314"/>
      <c r="BD5887" s="314"/>
      <c r="BE5887" s="314"/>
      <c r="BF5887" s="314"/>
      <c r="BG5887" s="314"/>
      <c r="BH5887" s="314"/>
      <c r="BI5887" s="314"/>
      <c r="BJ5887" s="314"/>
      <c r="BK5887" s="40"/>
      <c r="BL5887" s="40"/>
      <c r="BM5887" s="40"/>
      <c r="BN5887" s="40"/>
      <c r="BO5887" s="40"/>
      <c r="BP5887" s="155"/>
      <c r="BQ5887" s="314"/>
      <c r="BR5887" s="314"/>
      <c r="BS5887" s="314"/>
      <c r="BT5887" s="314"/>
      <c r="BU5887" s="314"/>
      <c r="BV5887" s="314"/>
      <c r="BW5887" s="314"/>
      <c r="BX5887" s="155"/>
    </row>
    <row r="5888" spans="1:76" ht="15.75" customHeight="1">
      <c r="A5888" s="25"/>
      <c r="B5888" s="39"/>
      <c r="C5888" s="155"/>
      <c r="D5888" s="155"/>
      <c r="E5888" s="40"/>
      <c r="F5888" s="314"/>
      <c r="H5888" s="315"/>
      <c r="I5888" s="315"/>
      <c r="BA5888" s="30"/>
      <c r="BB5888" s="155"/>
      <c r="BC5888" s="322"/>
      <c r="BD5888" s="322"/>
      <c r="BE5888" s="322"/>
      <c r="BF5888" s="322"/>
      <c r="BG5888" s="322"/>
      <c r="BH5888" s="322"/>
      <c r="BI5888" s="322"/>
      <c r="BJ5888" s="322"/>
      <c r="BK5888" s="341"/>
      <c r="BL5888" s="40"/>
      <c r="BM5888" s="40"/>
      <c r="BN5888" s="40"/>
      <c r="BO5888" s="40"/>
      <c r="BP5888" s="155"/>
      <c r="BQ5888" s="314"/>
      <c r="BR5888" s="314"/>
      <c r="BS5888" s="314"/>
      <c r="BT5888" s="314"/>
      <c r="BU5888" s="314"/>
      <c r="BV5888" s="314"/>
      <c r="BW5888" s="314"/>
      <c r="BX5888" s="155"/>
    </row>
    <row r="5889" spans="1:76" ht="15.75" customHeight="1">
      <c r="A5889" s="25"/>
      <c r="B5889" s="39"/>
      <c r="C5889" s="155"/>
      <c r="D5889" s="155"/>
      <c r="E5889" s="40"/>
      <c r="F5889" s="314"/>
      <c r="H5889" s="315"/>
      <c r="I5889" s="315"/>
      <c r="BA5889" s="30"/>
      <c r="BB5889" s="155"/>
      <c r="BC5889" s="314"/>
      <c r="BD5889" s="314"/>
      <c r="BE5889" s="314"/>
      <c r="BF5889" s="314"/>
      <c r="BG5889" s="314"/>
      <c r="BH5889" s="314"/>
      <c r="BI5889" s="314"/>
      <c r="BJ5889" s="314"/>
      <c r="BK5889" s="40"/>
      <c r="BL5889" s="40"/>
      <c r="BM5889" s="40"/>
      <c r="BN5889" s="40"/>
      <c r="BO5889" s="40"/>
      <c r="BP5889" s="155"/>
      <c r="BQ5889" s="314"/>
      <c r="BR5889" s="314"/>
      <c r="BS5889" s="314"/>
      <c r="BT5889" s="314"/>
      <c r="BU5889" s="314"/>
      <c r="BV5889" s="314"/>
      <c r="BW5889" s="314"/>
      <c r="BX5889" s="155"/>
    </row>
    <row r="5890" spans="1:76" ht="15.75" customHeight="1">
      <c r="A5890" s="25"/>
      <c r="B5890" s="39"/>
      <c r="C5890" s="155"/>
      <c r="D5890" s="155"/>
      <c r="E5890" s="40"/>
      <c r="F5890" s="314"/>
      <c r="H5890" s="315"/>
      <c r="I5890" s="315"/>
      <c r="BA5890" s="30"/>
      <c r="BB5890" s="155"/>
      <c r="BC5890" s="314"/>
      <c r="BD5890" s="314"/>
      <c r="BE5890" s="314"/>
      <c r="BF5890" s="314"/>
      <c r="BG5890" s="314"/>
      <c r="BH5890" s="314"/>
      <c r="BI5890" s="314"/>
      <c r="BJ5890" s="314"/>
      <c r="BK5890" s="40"/>
      <c r="BL5890" s="40"/>
      <c r="BM5890" s="40"/>
      <c r="BN5890" s="40"/>
      <c r="BO5890" s="40"/>
      <c r="BP5890" s="155"/>
      <c r="BQ5890" s="314"/>
      <c r="BR5890" s="314"/>
      <c r="BS5890" s="314"/>
      <c r="BT5890" s="314"/>
      <c r="BU5890" s="314"/>
      <c r="BV5890" s="314"/>
      <c r="BW5890" s="314"/>
      <c r="BX5890" s="155"/>
    </row>
    <row r="5891" spans="1:76" ht="15.75" customHeight="1">
      <c r="A5891" s="25"/>
      <c r="B5891" s="39"/>
      <c r="C5891" s="155"/>
      <c r="D5891" s="155"/>
      <c r="E5891" s="40"/>
      <c r="F5891" s="314"/>
      <c r="H5891" s="315"/>
      <c r="I5891" s="315"/>
      <c r="BA5891" s="30"/>
      <c r="BB5891" s="155"/>
      <c r="BC5891" s="314"/>
      <c r="BD5891" s="314"/>
      <c r="BE5891" s="314"/>
      <c r="BF5891" s="314"/>
      <c r="BG5891" s="314"/>
      <c r="BH5891" s="314"/>
      <c r="BI5891" s="314"/>
      <c r="BJ5891" s="314"/>
      <c r="BK5891" s="40"/>
      <c r="BL5891" s="40"/>
      <c r="BM5891" s="40"/>
      <c r="BN5891" s="40"/>
      <c r="BO5891" s="40"/>
      <c r="BP5891" s="155"/>
      <c r="BQ5891" s="314"/>
      <c r="BR5891" s="314"/>
      <c r="BS5891" s="314"/>
      <c r="BT5891" s="314"/>
      <c r="BU5891" s="314"/>
      <c r="BV5891" s="314"/>
      <c r="BW5891" s="314"/>
      <c r="BX5891" s="155"/>
    </row>
    <row r="5892" spans="1:76" ht="15.75" customHeight="1">
      <c r="A5892" s="25"/>
      <c r="B5892" s="39"/>
      <c r="C5892" s="155"/>
      <c r="D5892" s="155"/>
      <c r="E5892" s="40"/>
      <c r="F5892" s="314"/>
      <c r="H5892" s="315"/>
      <c r="I5892" s="315"/>
      <c r="BA5892" s="30"/>
      <c r="BB5892" s="155"/>
      <c r="BC5892" s="314"/>
      <c r="BD5892" s="314"/>
      <c r="BE5892" s="314"/>
      <c r="BF5892" s="314"/>
      <c r="BG5892" s="314"/>
      <c r="BH5892" s="314"/>
      <c r="BI5892" s="314"/>
      <c r="BJ5892" s="314"/>
      <c r="BK5892" s="40"/>
      <c r="BL5892" s="40"/>
      <c r="BM5892" s="40"/>
      <c r="BN5892" s="40"/>
      <c r="BO5892" s="40"/>
      <c r="BP5892" s="155"/>
      <c r="BQ5892" s="314"/>
      <c r="BR5892" s="314"/>
      <c r="BS5892" s="314"/>
      <c r="BT5892" s="314"/>
      <c r="BU5892" s="314"/>
      <c r="BV5892" s="314"/>
      <c r="BW5892" s="314"/>
      <c r="BX5892" s="155"/>
    </row>
    <row r="5893" spans="1:76" ht="15.75" customHeight="1">
      <c r="A5893" s="25"/>
      <c r="B5893" s="39"/>
      <c r="C5893" s="155"/>
      <c r="D5893" s="155"/>
      <c r="E5893" s="40"/>
      <c r="F5893" s="314"/>
      <c r="H5893" s="315"/>
      <c r="I5893" s="315"/>
      <c r="BA5893" s="30"/>
      <c r="BB5893" s="155"/>
      <c r="BC5893" s="314"/>
      <c r="BD5893" s="314"/>
      <c r="BE5893" s="314"/>
      <c r="BF5893" s="314"/>
      <c r="BG5893" s="314"/>
      <c r="BH5893" s="314"/>
      <c r="BI5893" s="314"/>
      <c r="BJ5893" s="314"/>
      <c r="BK5893" s="40"/>
      <c r="BL5893" s="40"/>
      <c r="BM5893" s="40"/>
      <c r="BN5893" s="40"/>
      <c r="BO5893" s="40"/>
      <c r="BP5893" s="155"/>
      <c r="BQ5893" s="314"/>
      <c r="BR5893" s="314"/>
      <c r="BS5893" s="314"/>
      <c r="BT5893" s="314"/>
      <c r="BU5893" s="314"/>
      <c r="BV5893" s="314"/>
      <c r="BW5893" s="314"/>
      <c r="BX5893" s="155"/>
    </row>
    <row r="5894" spans="1:76" ht="15.75" customHeight="1">
      <c r="A5894" s="25"/>
      <c r="B5894" s="39"/>
      <c r="C5894" s="155"/>
      <c r="D5894" s="155"/>
      <c r="E5894" s="40"/>
      <c r="F5894" s="314"/>
      <c r="H5894" s="315"/>
      <c r="I5894" s="315"/>
      <c r="BA5894" s="30"/>
      <c r="BB5894" s="155"/>
      <c r="BC5894" s="314"/>
      <c r="BD5894" s="314"/>
      <c r="BE5894" s="314"/>
      <c r="BF5894" s="314"/>
      <c r="BG5894" s="314"/>
      <c r="BH5894" s="314"/>
      <c r="BI5894" s="314"/>
      <c r="BJ5894" s="314"/>
      <c r="BK5894" s="40"/>
      <c r="BL5894" s="40"/>
      <c r="BM5894" s="40"/>
      <c r="BN5894" s="40"/>
      <c r="BO5894" s="40"/>
      <c r="BP5894" s="155"/>
      <c r="BQ5894" s="314"/>
      <c r="BR5894" s="314"/>
      <c r="BS5894" s="314"/>
      <c r="BT5894" s="314"/>
      <c r="BU5894" s="314"/>
      <c r="BV5894" s="314"/>
      <c r="BW5894" s="314"/>
      <c r="BX5894" s="155"/>
    </row>
    <row r="5895" spans="1:76" ht="15.75" customHeight="1">
      <c r="A5895" s="25"/>
      <c r="B5895" s="39"/>
      <c r="C5895" s="155"/>
      <c r="D5895" s="155"/>
      <c r="E5895" s="40"/>
      <c r="F5895" s="314"/>
      <c r="H5895" s="315"/>
      <c r="I5895" s="315"/>
      <c r="BA5895" s="30"/>
      <c r="BB5895" s="155"/>
      <c r="BC5895" s="314"/>
      <c r="BD5895" s="314"/>
      <c r="BE5895" s="314"/>
      <c r="BF5895" s="314"/>
      <c r="BG5895" s="314"/>
      <c r="BH5895" s="314"/>
      <c r="BI5895" s="314"/>
      <c r="BJ5895" s="314"/>
      <c r="BK5895" s="40"/>
      <c r="BL5895" s="40"/>
      <c r="BM5895" s="40"/>
      <c r="BN5895" s="40"/>
      <c r="BO5895" s="40"/>
      <c r="BP5895" s="155"/>
      <c r="BQ5895" s="314"/>
      <c r="BR5895" s="314"/>
      <c r="BS5895" s="314"/>
      <c r="BT5895" s="314"/>
      <c r="BU5895" s="314"/>
      <c r="BV5895" s="314"/>
      <c r="BW5895" s="314"/>
      <c r="BX5895" s="155"/>
    </row>
    <row r="5896" spans="1:76" ht="15.75" customHeight="1">
      <c r="A5896" s="25"/>
      <c r="B5896" s="39"/>
      <c r="C5896" s="155"/>
      <c r="D5896" s="155"/>
      <c r="E5896" s="40"/>
      <c r="F5896" s="314"/>
      <c r="H5896" s="315"/>
      <c r="I5896" s="315"/>
      <c r="BA5896" s="30"/>
      <c r="BB5896" s="155"/>
      <c r="BC5896" s="314"/>
      <c r="BD5896" s="314"/>
      <c r="BE5896" s="314"/>
      <c r="BF5896" s="314"/>
      <c r="BG5896" s="314"/>
      <c r="BH5896" s="314"/>
      <c r="BI5896" s="314"/>
      <c r="BJ5896" s="314"/>
      <c r="BK5896" s="40"/>
      <c r="BL5896" s="40"/>
      <c r="BM5896" s="40"/>
      <c r="BN5896" s="40"/>
      <c r="BO5896" s="40"/>
      <c r="BP5896" s="155"/>
      <c r="BQ5896" s="314"/>
      <c r="BR5896" s="314"/>
      <c r="BS5896" s="314"/>
      <c r="BT5896" s="314"/>
      <c r="BU5896" s="314"/>
      <c r="BV5896" s="314"/>
      <c r="BW5896" s="314"/>
      <c r="BX5896" s="155"/>
    </row>
    <row r="5897" spans="1:76" ht="15.75" customHeight="1">
      <c r="A5897" s="25"/>
      <c r="B5897" s="39"/>
      <c r="C5897" s="155"/>
      <c r="D5897" s="155"/>
      <c r="E5897" s="40"/>
      <c r="F5897" s="314"/>
      <c r="H5897" s="315"/>
      <c r="I5897" s="315"/>
      <c r="BA5897" s="30"/>
      <c r="BB5897" s="155"/>
      <c r="BC5897" s="314"/>
      <c r="BD5897" s="314"/>
      <c r="BE5897" s="314"/>
      <c r="BF5897" s="314"/>
      <c r="BG5897" s="314"/>
      <c r="BH5897" s="314"/>
      <c r="BI5897" s="314"/>
      <c r="BJ5897" s="314"/>
      <c r="BK5897" s="40"/>
      <c r="BL5897" s="40"/>
      <c r="BM5897" s="40"/>
      <c r="BN5897" s="40"/>
      <c r="BO5897" s="40"/>
      <c r="BP5897" s="155"/>
      <c r="BQ5897" s="314"/>
      <c r="BR5897" s="314"/>
      <c r="BS5897" s="314"/>
      <c r="BT5897" s="314"/>
      <c r="BU5897" s="314"/>
      <c r="BV5897" s="314"/>
      <c r="BW5897" s="314"/>
      <c r="BX5897" s="155"/>
    </row>
    <row r="5898" spans="1:76" ht="15.75" customHeight="1">
      <c r="A5898" s="25"/>
      <c r="B5898" s="39"/>
      <c r="C5898" s="155"/>
      <c r="D5898" s="155"/>
      <c r="E5898" s="40"/>
      <c r="F5898" s="314"/>
      <c r="H5898" s="315"/>
      <c r="I5898" s="315"/>
      <c r="BA5898" s="30"/>
      <c r="BB5898" s="155"/>
      <c r="BC5898" s="314"/>
      <c r="BD5898" s="314"/>
      <c r="BE5898" s="314"/>
      <c r="BF5898" s="314"/>
      <c r="BG5898" s="314"/>
      <c r="BH5898" s="314"/>
      <c r="BI5898" s="314"/>
      <c r="BJ5898" s="314"/>
      <c r="BK5898" s="40"/>
      <c r="BL5898" s="40"/>
      <c r="BM5898" s="40"/>
      <c r="BN5898" s="40"/>
      <c r="BO5898" s="40"/>
      <c r="BP5898" s="155"/>
      <c r="BQ5898" s="314"/>
      <c r="BR5898" s="314"/>
      <c r="BS5898" s="314"/>
      <c r="BT5898" s="314"/>
      <c r="BU5898" s="314"/>
      <c r="BV5898" s="314"/>
      <c r="BW5898" s="314"/>
      <c r="BX5898" s="155"/>
    </row>
    <row r="5899" spans="1:76" ht="15.75" customHeight="1">
      <c r="A5899" s="25"/>
      <c r="B5899" s="39"/>
      <c r="C5899" s="155"/>
      <c r="D5899" s="155"/>
      <c r="E5899" s="40"/>
      <c r="F5899" s="314"/>
      <c r="H5899" s="315"/>
      <c r="I5899" s="315"/>
      <c r="BA5899" s="30"/>
      <c r="BB5899" s="155"/>
      <c r="BC5899" s="314"/>
      <c r="BD5899" s="314"/>
      <c r="BE5899" s="314"/>
      <c r="BF5899" s="314"/>
      <c r="BG5899" s="314"/>
      <c r="BH5899" s="314"/>
      <c r="BI5899" s="314"/>
      <c r="BJ5899" s="314"/>
      <c r="BK5899" s="40"/>
      <c r="BL5899" s="40"/>
      <c r="BM5899" s="40"/>
      <c r="BN5899" s="40"/>
      <c r="BO5899" s="40"/>
      <c r="BP5899" s="155"/>
      <c r="BQ5899" s="314"/>
      <c r="BR5899" s="314"/>
      <c r="BS5899" s="314"/>
      <c r="BT5899" s="314"/>
      <c r="BU5899" s="314"/>
      <c r="BV5899" s="314"/>
      <c r="BW5899" s="314"/>
      <c r="BX5899" s="155"/>
    </row>
    <row r="5900" spans="1:76" ht="15.75" customHeight="1">
      <c r="A5900" s="25"/>
      <c r="B5900" s="39"/>
      <c r="C5900" s="155"/>
      <c r="D5900" s="155"/>
      <c r="E5900" s="40"/>
      <c r="F5900" s="314"/>
      <c r="H5900" s="315"/>
      <c r="I5900" s="315"/>
      <c r="BA5900" s="30"/>
      <c r="BB5900" s="155"/>
      <c r="BC5900" s="314"/>
      <c r="BD5900" s="314"/>
      <c r="BE5900" s="314"/>
      <c r="BF5900" s="314"/>
      <c r="BG5900" s="314"/>
      <c r="BH5900" s="314"/>
      <c r="BI5900" s="314"/>
      <c r="BJ5900" s="314"/>
      <c r="BK5900" s="40"/>
      <c r="BL5900" s="40"/>
      <c r="BM5900" s="40"/>
      <c r="BN5900" s="40"/>
      <c r="BO5900" s="40"/>
      <c r="BP5900" s="155"/>
      <c r="BQ5900" s="314"/>
      <c r="BR5900" s="314"/>
      <c r="BS5900" s="314"/>
      <c r="BT5900" s="314"/>
      <c r="BU5900" s="314"/>
      <c r="BV5900" s="314"/>
      <c r="BW5900" s="314"/>
      <c r="BX5900" s="155"/>
    </row>
    <row r="5901" spans="1:76" ht="15.75" customHeight="1">
      <c r="A5901" s="25"/>
      <c r="B5901" s="39"/>
      <c r="C5901" s="155"/>
      <c r="D5901" s="155"/>
      <c r="E5901" s="40"/>
      <c r="F5901" s="314"/>
      <c r="H5901" s="315"/>
      <c r="I5901" s="315"/>
      <c r="BA5901" s="30"/>
      <c r="BB5901" s="155"/>
      <c r="BC5901" s="314"/>
      <c r="BD5901" s="314"/>
      <c r="BE5901" s="314"/>
      <c r="BF5901" s="314"/>
      <c r="BG5901" s="314"/>
      <c r="BH5901" s="314"/>
      <c r="BI5901" s="314"/>
      <c r="BJ5901" s="314"/>
      <c r="BK5901" s="40"/>
      <c r="BL5901" s="40"/>
      <c r="BM5901" s="40"/>
      <c r="BN5901" s="40"/>
      <c r="BO5901" s="40"/>
      <c r="BP5901" s="155"/>
      <c r="BQ5901" s="314"/>
      <c r="BR5901" s="314"/>
      <c r="BS5901" s="314"/>
      <c r="BT5901" s="314"/>
      <c r="BU5901" s="314"/>
      <c r="BV5901" s="314"/>
      <c r="BW5901" s="314"/>
      <c r="BX5901" s="155"/>
    </row>
    <row r="5902" spans="1:76" ht="15.75" customHeight="1">
      <c r="A5902" s="25"/>
      <c r="B5902" s="39"/>
      <c r="C5902" s="155"/>
      <c r="D5902" s="155"/>
      <c r="E5902" s="40"/>
      <c r="F5902" s="314"/>
      <c r="H5902" s="315"/>
      <c r="I5902" s="315"/>
      <c r="BA5902" s="30"/>
      <c r="BB5902" s="155"/>
      <c r="BC5902" s="314"/>
      <c r="BD5902" s="314"/>
      <c r="BE5902" s="314"/>
      <c r="BF5902" s="314"/>
      <c r="BG5902" s="314"/>
      <c r="BH5902" s="314"/>
      <c r="BI5902" s="314"/>
      <c r="BJ5902" s="314"/>
      <c r="BK5902" s="40"/>
      <c r="BL5902" s="40"/>
      <c r="BM5902" s="40"/>
      <c r="BN5902" s="40"/>
      <c r="BO5902" s="40"/>
      <c r="BP5902" s="155"/>
      <c r="BQ5902" s="314"/>
      <c r="BR5902" s="314"/>
      <c r="BS5902" s="314"/>
      <c r="BT5902" s="314"/>
      <c r="BU5902" s="314"/>
      <c r="BV5902" s="314"/>
      <c r="BW5902" s="314"/>
      <c r="BX5902" s="155"/>
    </row>
    <row r="5903" spans="1:76" ht="15.75" customHeight="1">
      <c r="A5903" s="25"/>
      <c r="B5903" s="39"/>
      <c r="C5903" s="155"/>
      <c r="D5903" s="155"/>
      <c r="E5903" s="40"/>
      <c r="F5903" s="314"/>
      <c r="H5903" s="315"/>
      <c r="I5903" s="315"/>
      <c r="BA5903" s="30"/>
      <c r="BB5903" s="155"/>
      <c r="BC5903" s="314"/>
      <c r="BD5903" s="314"/>
      <c r="BE5903" s="314"/>
      <c r="BF5903" s="314"/>
      <c r="BG5903" s="314"/>
      <c r="BH5903" s="314"/>
      <c r="BI5903" s="314"/>
      <c r="BJ5903" s="314"/>
      <c r="BK5903" s="40"/>
      <c r="BL5903" s="40"/>
      <c r="BM5903" s="40"/>
      <c r="BN5903" s="40"/>
      <c r="BO5903" s="40"/>
      <c r="BP5903" s="155"/>
      <c r="BQ5903" s="314"/>
      <c r="BR5903" s="314"/>
      <c r="BS5903" s="314"/>
      <c r="BT5903" s="314"/>
      <c r="BU5903" s="314"/>
      <c r="BV5903" s="314"/>
      <c r="BW5903" s="314"/>
      <c r="BX5903" s="155"/>
    </row>
    <row r="5904" spans="1:76" ht="15.75" customHeight="1">
      <c r="A5904" s="25"/>
      <c r="B5904" s="39"/>
      <c r="C5904" s="155"/>
      <c r="D5904" s="155"/>
      <c r="E5904" s="40"/>
      <c r="F5904" s="314"/>
      <c r="H5904" s="315"/>
      <c r="I5904" s="315"/>
      <c r="BA5904" s="30"/>
      <c r="BB5904" s="155"/>
      <c r="BC5904" s="314"/>
      <c r="BD5904" s="314"/>
      <c r="BE5904" s="314"/>
      <c r="BF5904" s="314"/>
      <c r="BG5904" s="314"/>
      <c r="BH5904" s="314"/>
      <c r="BI5904" s="314"/>
      <c r="BJ5904" s="314"/>
      <c r="BK5904" s="40"/>
      <c r="BL5904" s="40"/>
      <c r="BM5904" s="40"/>
      <c r="BN5904" s="40"/>
      <c r="BO5904" s="40"/>
      <c r="BP5904" s="155"/>
      <c r="BQ5904" s="314"/>
      <c r="BR5904" s="314"/>
      <c r="BS5904" s="314"/>
      <c r="BT5904" s="314"/>
      <c r="BU5904" s="314"/>
      <c r="BV5904" s="314"/>
      <c r="BW5904" s="314"/>
      <c r="BX5904" s="155"/>
    </row>
    <row r="5905" spans="1:76" ht="15.75" customHeight="1">
      <c r="A5905" s="25"/>
      <c r="B5905" s="39"/>
      <c r="C5905" s="155"/>
      <c r="D5905" s="155"/>
      <c r="E5905" s="40"/>
      <c r="F5905" s="314"/>
      <c r="H5905" s="315"/>
      <c r="I5905" s="315"/>
      <c r="BA5905" s="30"/>
      <c r="BB5905" s="155"/>
      <c r="BC5905" s="314"/>
      <c r="BD5905" s="314"/>
      <c r="BE5905" s="314"/>
      <c r="BF5905" s="314"/>
      <c r="BG5905" s="314"/>
      <c r="BH5905" s="314"/>
      <c r="BI5905" s="314"/>
      <c r="BJ5905" s="314"/>
      <c r="BK5905" s="40"/>
      <c r="BL5905" s="40"/>
      <c r="BM5905" s="40"/>
      <c r="BN5905" s="40"/>
      <c r="BO5905" s="40"/>
      <c r="BP5905" s="155"/>
      <c r="BQ5905" s="314"/>
      <c r="BR5905" s="314"/>
      <c r="BS5905" s="314"/>
      <c r="BT5905" s="314"/>
      <c r="BU5905" s="314"/>
      <c r="BV5905" s="314"/>
      <c r="BW5905" s="314"/>
      <c r="BX5905" s="155"/>
    </row>
    <row r="5906" spans="1:76" ht="15.75" customHeight="1">
      <c r="A5906" s="25"/>
      <c r="B5906" s="39"/>
      <c r="C5906" s="155"/>
      <c r="D5906" s="155"/>
      <c r="E5906" s="40"/>
      <c r="F5906" s="314"/>
      <c r="H5906" s="315"/>
      <c r="I5906" s="315"/>
      <c r="BA5906" s="30"/>
      <c r="BB5906" s="155"/>
      <c r="BC5906" s="314"/>
      <c r="BD5906" s="314"/>
      <c r="BE5906" s="314"/>
      <c r="BF5906" s="314"/>
      <c r="BG5906" s="314"/>
      <c r="BH5906" s="314"/>
      <c r="BI5906" s="314"/>
      <c r="BJ5906" s="314"/>
      <c r="BK5906" s="40"/>
      <c r="BL5906" s="40"/>
      <c r="BM5906" s="40"/>
      <c r="BN5906" s="40"/>
      <c r="BO5906" s="40"/>
      <c r="BP5906" s="155"/>
      <c r="BQ5906" s="314"/>
      <c r="BR5906" s="314"/>
      <c r="BS5906" s="314"/>
      <c r="BT5906" s="314"/>
      <c r="BU5906" s="314"/>
      <c r="BV5906" s="314"/>
      <c r="BW5906" s="314"/>
      <c r="BX5906" s="155"/>
    </row>
    <row r="5907" spans="1:76" ht="15.75" customHeight="1">
      <c r="A5907" s="25"/>
      <c r="B5907" s="39"/>
      <c r="C5907" s="155"/>
      <c r="D5907" s="155"/>
      <c r="E5907" s="40"/>
      <c r="F5907" s="314"/>
      <c r="H5907" s="315"/>
      <c r="I5907" s="315"/>
      <c r="BA5907" s="30"/>
      <c r="BB5907" s="155"/>
      <c r="BC5907" s="314"/>
      <c r="BD5907" s="314"/>
      <c r="BE5907" s="314"/>
      <c r="BF5907" s="314"/>
      <c r="BG5907" s="314"/>
      <c r="BH5907" s="314"/>
      <c r="BI5907" s="314"/>
      <c r="BJ5907" s="314"/>
      <c r="BK5907" s="40"/>
      <c r="BL5907" s="40"/>
      <c r="BM5907" s="40"/>
      <c r="BN5907" s="40"/>
      <c r="BO5907" s="40"/>
      <c r="BP5907" s="155"/>
      <c r="BQ5907" s="314"/>
      <c r="BR5907" s="314"/>
      <c r="BS5907" s="314"/>
      <c r="BT5907" s="314"/>
      <c r="BU5907" s="314"/>
      <c r="BV5907" s="314"/>
      <c r="BW5907" s="314"/>
      <c r="BX5907" s="155"/>
    </row>
    <row r="5908" spans="1:76" ht="15.75" customHeight="1">
      <c r="A5908" s="25"/>
      <c r="B5908" s="39"/>
      <c r="C5908" s="155"/>
      <c r="D5908" s="155"/>
      <c r="E5908" s="40"/>
      <c r="F5908" s="314"/>
      <c r="H5908" s="315"/>
      <c r="I5908" s="315"/>
      <c r="BA5908" s="30"/>
      <c r="BB5908" s="155"/>
      <c r="BC5908" s="314"/>
      <c r="BD5908" s="314"/>
      <c r="BE5908" s="314"/>
      <c r="BF5908" s="314"/>
      <c r="BG5908" s="314"/>
      <c r="BH5908" s="314"/>
      <c r="BI5908" s="314"/>
      <c r="BJ5908" s="314"/>
      <c r="BK5908" s="40"/>
      <c r="BL5908" s="40"/>
      <c r="BM5908" s="40"/>
      <c r="BN5908" s="40"/>
      <c r="BO5908" s="40"/>
      <c r="BP5908" s="155"/>
      <c r="BQ5908" s="314"/>
      <c r="BR5908" s="314"/>
      <c r="BS5908" s="314"/>
      <c r="BT5908" s="314"/>
      <c r="BU5908" s="314"/>
      <c r="BV5908" s="314"/>
      <c r="BW5908" s="314"/>
      <c r="BX5908" s="155"/>
    </row>
    <row r="5909" spans="1:76" ht="15.75" customHeight="1">
      <c r="A5909" s="25"/>
      <c r="B5909" s="39"/>
      <c r="C5909" s="155"/>
      <c r="D5909" s="155"/>
      <c r="E5909" s="40"/>
      <c r="F5909" s="314"/>
      <c r="H5909" s="315"/>
      <c r="I5909" s="315"/>
      <c r="BA5909" s="30"/>
      <c r="BB5909" s="155"/>
      <c r="BC5909" s="314"/>
      <c r="BD5909" s="314"/>
      <c r="BE5909" s="314"/>
      <c r="BF5909" s="314"/>
      <c r="BG5909" s="314"/>
      <c r="BH5909" s="314"/>
      <c r="BI5909" s="314"/>
      <c r="BJ5909" s="314"/>
      <c r="BK5909" s="40"/>
      <c r="BL5909" s="40"/>
      <c r="BM5909" s="40"/>
      <c r="BN5909" s="40"/>
      <c r="BO5909" s="40"/>
      <c r="BP5909" s="155"/>
      <c r="BQ5909" s="314"/>
      <c r="BR5909" s="314"/>
      <c r="BS5909" s="314"/>
      <c r="BT5909" s="314"/>
      <c r="BU5909" s="314"/>
      <c r="BV5909" s="314"/>
      <c r="BW5909" s="314"/>
      <c r="BX5909" s="155"/>
    </row>
    <row r="5910" spans="1:76" ht="15.75" customHeight="1">
      <c r="A5910" s="25"/>
      <c r="B5910" s="39"/>
      <c r="C5910" s="155"/>
      <c r="D5910" s="155"/>
      <c r="E5910" s="40"/>
      <c r="F5910" s="314"/>
      <c r="H5910" s="315"/>
      <c r="I5910" s="315"/>
      <c r="BA5910" s="30"/>
      <c r="BB5910" s="155"/>
      <c r="BC5910" s="314"/>
      <c r="BD5910" s="314"/>
      <c r="BE5910" s="314"/>
      <c r="BF5910" s="314"/>
      <c r="BG5910" s="314"/>
      <c r="BH5910" s="314"/>
      <c r="BI5910" s="314"/>
      <c r="BJ5910" s="314"/>
      <c r="BK5910" s="40"/>
      <c r="BL5910" s="40"/>
      <c r="BM5910" s="40"/>
      <c r="BN5910" s="40"/>
      <c r="BO5910" s="40"/>
      <c r="BP5910" s="155"/>
      <c r="BQ5910" s="314"/>
      <c r="BR5910" s="314"/>
      <c r="BS5910" s="314"/>
      <c r="BT5910" s="314"/>
      <c r="BU5910" s="314"/>
      <c r="BV5910" s="314"/>
      <c r="BW5910" s="314"/>
      <c r="BX5910" s="155"/>
    </row>
    <row r="5911" spans="1:76" ht="15.75" customHeight="1">
      <c r="A5911" s="25"/>
      <c r="B5911" s="39"/>
      <c r="C5911" s="155"/>
      <c r="D5911" s="155"/>
      <c r="E5911" s="40"/>
      <c r="F5911" s="314"/>
      <c r="H5911" s="315"/>
      <c r="I5911" s="315"/>
      <c r="BA5911" s="30"/>
      <c r="BB5911" s="155"/>
      <c r="BC5911" s="314"/>
      <c r="BD5911" s="314"/>
      <c r="BE5911" s="314"/>
      <c r="BF5911" s="314"/>
      <c r="BG5911" s="314"/>
      <c r="BH5911" s="314"/>
      <c r="BI5911" s="314"/>
      <c r="BJ5911" s="314"/>
      <c r="BK5911" s="40"/>
      <c r="BL5911" s="40"/>
      <c r="BM5911" s="40"/>
      <c r="BN5911" s="40"/>
      <c r="BO5911" s="40"/>
      <c r="BP5911" s="155"/>
      <c r="BQ5911" s="314"/>
      <c r="BR5911" s="314"/>
      <c r="BS5911" s="314"/>
      <c r="BT5911" s="314"/>
      <c r="BU5911" s="314"/>
      <c r="BV5911" s="314"/>
      <c r="BW5911" s="314"/>
      <c r="BX5911" s="155"/>
    </row>
    <row r="5912" spans="1:76" ht="15.75" customHeight="1">
      <c r="A5912" s="25"/>
      <c r="B5912" s="39"/>
      <c r="C5912" s="155"/>
      <c r="D5912" s="155"/>
      <c r="E5912" s="40"/>
      <c r="F5912" s="314"/>
      <c r="H5912" s="315"/>
      <c r="I5912" s="315"/>
      <c r="BA5912" s="30"/>
      <c r="BB5912" s="155"/>
      <c r="BC5912" s="314"/>
      <c r="BD5912" s="314"/>
      <c r="BE5912" s="314"/>
      <c r="BF5912" s="314"/>
      <c r="BG5912" s="314"/>
      <c r="BH5912" s="314"/>
      <c r="BI5912" s="314"/>
      <c r="BJ5912" s="314"/>
      <c r="BK5912" s="40"/>
      <c r="BL5912" s="40"/>
      <c r="BM5912" s="40"/>
      <c r="BN5912" s="40"/>
      <c r="BO5912" s="40"/>
      <c r="BP5912" s="155"/>
      <c r="BQ5912" s="314"/>
      <c r="BR5912" s="314"/>
      <c r="BS5912" s="314"/>
      <c r="BT5912" s="314"/>
      <c r="BU5912" s="314"/>
      <c r="BV5912" s="314"/>
      <c r="BW5912" s="314"/>
      <c r="BX5912" s="155"/>
    </row>
    <row r="5913" spans="1:76" ht="15.75" customHeight="1">
      <c r="A5913" s="25"/>
      <c r="B5913" s="39"/>
      <c r="C5913" s="155"/>
      <c r="D5913" s="155"/>
      <c r="E5913" s="40"/>
      <c r="F5913" s="314"/>
      <c r="H5913" s="315"/>
      <c r="I5913" s="315"/>
      <c r="BA5913" s="30"/>
      <c r="BB5913" s="155"/>
      <c r="BC5913" s="314"/>
      <c r="BD5913" s="314"/>
      <c r="BE5913" s="314"/>
      <c r="BF5913" s="314"/>
      <c r="BG5913" s="314"/>
      <c r="BH5913" s="314"/>
      <c r="BI5913" s="314"/>
      <c r="BJ5913" s="314"/>
      <c r="BK5913" s="40"/>
      <c r="BL5913" s="40"/>
      <c r="BM5913" s="40"/>
      <c r="BN5913" s="40"/>
      <c r="BO5913" s="40"/>
      <c r="BP5913" s="155"/>
      <c r="BQ5913" s="314"/>
      <c r="BR5913" s="314"/>
      <c r="BS5913" s="314"/>
      <c r="BT5913" s="314"/>
      <c r="BU5913" s="314"/>
      <c r="BV5913" s="314"/>
      <c r="BW5913" s="314"/>
      <c r="BX5913" s="155"/>
    </row>
    <row r="5914" spans="1:76" ht="15.75" customHeight="1">
      <c r="A5914" s="25"/>
      <c r="B5914" s="39"/>
      <c r="C5914" s="155"/>
      <c r="D5914" s="155"/>
      <c r="E5914" s="40"/>
      <c r="F5914" s="314"/>
      <c r="H5914" s="315"/>
      <c r="I5914" s="315"/>
      <c r="BA5914" s="30"/>
      <c r="BB5914" s="155"/>
      <c r="BC5914" s="314"/>
      <c r="BD5914" s="314"/>
      <c r="BE5914" s="314"/>
      <c r="BF5914" s="314"/>
      <c r="BG5914" s="314"/>
      <c r="BH5914" s="314"/>
      <c r="BI5914" s="314"/>
      <c r="BJ5914" s="314"/>
      <c r="BK5914" s="40"/>
      <c r="BL5914" s="40"/>
      <c r="BM5914" s="40"/>
      <c r="BN5914" s="40"/>
      <c r="BO5914" s="40"/>
      <c r="BP5914" s="155"/>
      <c r="BQ5914" s="314"/>
      <c r="BR5914" s="314"/>
      <c r="BS5914" s="314"/>
      <c r="BT5914" s="314"/>
      <c r="BU5914" s="314"/>
      <c r="BV5914" s="314"/>
      <c r="BW5914" s="314"/>
      <c r="BX5914" s="155"/>
    </row>
    <row r="5915" spans="1:76" ht="15.75" customHeight="1">
      <c r="A5915" s="25"/>
      <c r="B5915" s="39"/>
      <c r="C5915" s="155"/>
      <c r="D5915" s="155"/>
      <c r="E5915" s="40"/>
      <c r="F5915" s="314"/>
      <c r="H5915" s="315"/>
      <c r="I5915" s="315"/>
      <c r="BA5915" s="30"/>
      <c r="BB5915" s="155"/>
      <c r="BC5915" s="314"/>
      <c r="BD5915" s="314"/>
      <c r="BE5915" s="314"/>
      <c r="BF5915" s="314"/>
      <c r="BG5915" s="314"/>
      <c r="BH5915" s="314"/>
      <c r="BI5915" s="314"/>
      <c r="BJ5915" s="314"/>
      <c r="BK5915" s="40"/>
      <c r="BL5915" s="40"/>
      <c r="BM5915" s="40"/>
      <c r="BN5915" s="40"/>
      <c r="BO5915" s="40"/>
      <c r="BP5915" s="155"/>
      <c r="BQ5915" s="314"/>
      <c r="BR5915" s="314"/>
      <c r="BS5915" s="314"/>
      <c r="BT5915" s="314"/>
      <c r="BU5915" s="314"/>
      <c r="BV5915" s="314"/>
      <c r="BW5915" s="314"/>
      <c r="BX5915" s="155"/>
    </row>
    <row r="5916" spans="1:76" ht="15.75" customHeight="1">
      <c r="A5916" s="25"/>
      <c r="B5916" s="39"/>
      <c r="C5916" s="155"/>
      <c r="D5916" s="155"/>
      <c r="E5916" s="40"/>
      <c r="F5916" s="314"/>
      <c r="H5916" s="315"/>
      <c r="I5916" s="315"/>
      <c r="BA5916" s="30"/>
      <c r="BB5916" s="155"/>
      <c r="BC5916" s="314"/>
      <c r="BD5916" s="314"/>
      <c r="BE5916" s="314"/>
      <c r="BF5916" s="314"/>
      <c r="BG5916" s="314"/>
      <c r="BH5916" s="314"/>
      <c r="BI5916" s="314"/>
      <c r="BJ5916" s="314"/>
      <c r="BK5916" s="40"/>
      <c r="BL5916" s="40"/>
      <c r="BM5916" s="40"/>
      <c r="BN5916" s="40"/>
      <c r="BO5916" s="40"/>
      <c r="BP5916" s="155"/>
      <c r="BQ5916" s="314"/>
      <c r="BR5916" s="314"/>
      <c r="BS5916" s="314"/>
      <c r="BT5916" s="314"/>
      <c r="BU5916" s="314"/>
      <c r="BV5916" s="314"/>
      <c r="BW5916" s="314"/>
      <c r="BX5916" s="155"/>
    </row>
    <row r="5917" spans="1:76" ht="15.75" customHeight="1">
      <c r="A5917" s="25"/>
      <c r="B5917" s="39"/>
      <c r="C5917" s="155"/>
      <c r="D5917" s="155"/>
      <c r="E5917" s="40"/>
      <c r="F5917" s="314"/>
      <c r="H5917" s="315"/>
      <c r="I5917" s="315"/>
      <c r="BA5917" s="30"/>
      <c r="BB5917" s="155"/>
      <c r="BC5917" s="314"/>
      <c r="BD5917" s="314"/>
      <c r="BE5917" s="314"/>
      <c r="BF5917" s="314"/>
      <c r="BG5917" s="314"/>
      <c r="BH5917" s="314"/>
      <c r="BI5917" s="314"/>
      <c r="BJ5917" s="314"/>
      <c r="BK5917" s="40"/>
      <c r="BL5917" s="40"/>
      <c r="BM5917" s="40"/>
      <c r="BN5917" s="40"/>
      <c r="BO5917" s="40"/>
      <c r="BP5917" s="155"/>
      <c r="BQ5917" s="314"/>
      <c r="BR5917" s="314"/>
      <c r="BS5917" s="314"/>
      <c r="BT5917" s="314"/>
      <c r="BU5917" s="314"/>
      <c r="BV5917" s="314"/>
      <c r="BW5917" s="314"/>
      <c r="BX5917" s="155"/>
    </row>
    <row r="5918" spans="1:76" ht="15.75" customHeight="1">
      <c r="A5918" s="25"/>
      <c r="B5918" s="39"/>
      <c r="C5918" s="155"/>
      <c r="D5918" s="155"/>
      <c r="E5918" s="40"/>
      <c r="F5918" s="314"/>
      <c r="H5918" s="315"/>
      <c r="I5918" s="315"/>
      <c r="BA5918" s="30"/>
      <c r="BB5918" s="155"/>
      <c r="BC5918" s="314"/>
      <c r="BD5918" s="314"/>
      <c r="BE5918" s="314"/>
      <c r="BF5918" s="314"/>
      <c r="BG5918" s="314"/>
      <c r="BH5918" s="314"/>
      <c r="BI5918" s="314"/>
      <c r="BJ5918" s="314"/>
      <c r="BK5918" s="40"/>
      <c r="BL5918" s="40"/>
      <c r="BM5918" s="40"/>
      <c r="BN5918" s="40"/>
      <c r="BO5918" s="40"/>
      <c r="BP5918" s="155"/>
      <c r="BQ5918" s="314"/>
      <c r="BR5918" s="314"/>
      <c r="BS5918" s="314"/>
      <c r="BT5918" s="314"/>
      <c r="BU5918" s="314"/>
      <c r="BV5918" s="314"/>
      <c r="BW5918" s="314"/>
      <c r="BX5918" s="155"/>
    </row>
    <row r="5919" spans="1:76" ht="15.75" customHeight="1">
      <c r="A5919" s="25"/>
      <c r="B5919" s="39"/>
      <c r="C5919" s="155"/>
      <c r="D5919" s="155"/>
      <c r="E5919" s="40"/>
      <c r="F5919" s="314"/>
      <c r="H5919" s="315"/>
      <c r="I5919" s="315"/>
      <c r="BA5919" s="30"/>
      <c r="BB5919" s="155"/>
      <c r="BC5919" s="314"/>
      <c r="BD5919" s="314"/>
      <c r="BE5919" s="314"/>
      <c r="BF5919" s="314"/>
      <c r="BG5919" s="314"/>
      <c r="BH5919" s="314"/>
      <c r="BI5919" s="314"/>
      <c r="BJ5919" s="314"/>
      <c r="BK5919" s="40"/>
      <c r="BL5919" s="40"/>
      <c r="BM5919" s="40"/>
      <c r="BN5919" s="40"/>
      <c r="BO5919" s="40"/>
      <c r="BP5919" s="155"/>
      <c r="BQ5919" s="314"/>
      <c r="BR5919" s="314"/>
      <c r="BS5919" s="314"/>
      <c r="BT5919" s="314"/>
      <c r="BU5919" s="314"/>
      <c r="BV5919" s="314"/>
      <c r="BW5919" s="314"/>
      <c r="BX5919" s="155"/>
    </row>
    <row r="5920" spans="1:76" ht="15.75" customHeight="1">
      <c r="A5920" s="25"/>
      <c r="B5920" s="39"/>
      <c r="C5920" s="155"/>
      <c r="D5920" s="155"/>
      <c r="E5920" s="40"/>
      <c r="F5920" s="314"/>
      <c r="H5920" s="315"/>
      <c r="I5920" s="315"/>
      <c r="BA5920" s="30"/>
      <c r="BB5920" s="155"/>
      <c r="BC5920" s="314"/>
      <c r="BD5920" s="314"/>
      <c r="BE5920" s="314"/>
      <c r="BF5920" s="314"/>
      <c r="BG5920" s="314"/>
      <c r="BH5920" s="314"/>
      <c r="BI5920" s="314"/>
      <c r="BJ5920" s="314"/>
      <c r="BK5920" s="40"/>
      <c r="BL5920" s="40"/>
      <c r="BM5920" s="40"/>
      <c r="BN5920" s="40"/>
      <c r="BO5920" s="40"/>
      <c r="BP5920" s="155"/>
      <c r="BQ5920" s="314"/>
      <c r="BR5920" s="314"/>
      <c r="BS5920" s="314"/>
      <c r="BT5920" s="314"/>
      <c r="BU5920" s="314"/>
      <c r="BV5920" s="314"/>
      <c r="BW5920" s="314"/>
      <c r="BX5920" s="155"/>
    </row>
    <row r="5921" spans="1:76" ht="15.75" customHeight="1">
      <c r="A5921" s="25"/>
      <c r="B5921" s="39"/>
      <c r="C5921" s="155"/>
      <c r="D5921" s="155"/>
      <c r="E5921" s="40"/>
      <c r="F5921" s="314"/>
      <c r="H5921" s="315"/>
      <c r="I5921" s="315"/>
      <c r="BA5921" s="30"/>
      <c r="BB5921" s="155"/>
      <c r="BC5921" s="314"/>
      <c r="BD5921" s="314"/>
      <c r="BE5921" s="314"/>
      <c r="BF5921" s="314"/>
      <c r="BG5921" s="314"/>
      <c r="BH5921" s="314"/>
      <c r="BI5921" s="314"/>
      <c r="BJ5921" s="314"/>
      <c r="BK5921" s="40"/>
      <c r="BL5921" s="40"/>
      <c r="BM5921" s="40"/>
      <c r="BN5921" s="40"/>
      <c r="BO5921" s="40"/>
      <c r="BP5921" s="155"/>
      <c r="BQ5921" s="314"/>
      <c r="BR5921" s="314"/>
      <c r="BS5921" s="314"/>
      <c r="BT5921" s="314"/>
      <c r="BU5921" s="314"/>
      <c r="BV5921" s="314"/>
      <c r="BW5921" s="314"/>
      <c r="BX5921" s="155"/>
    </row>
    <row r="5922" spans="1:76" ht="15.75" customHeight="1">
      <c r="A5922" s="25"/>
      <c r="B5922" s="39"/>
      <c r="C5922" s="155"/>
      <c r="D5922" s="155"/>
      <c r="E5922" s="40"/>
      <c r="F5922" s="314"/>
      <c r="H5922" s="315"/>
      <c r="I5922" s="315"/>
      <c r="BA5922" s="30"/>
      <c r="BB5922" s="155"/>
      <c r="BC5922" s="314"/>
      <c r="BD5922" s="314"/>
      <c r="BE5922" s="314"/>
      <c r="BF5922" s="314"/>
      <c r="BG5922" s="314"/>
      <c r="BH5922" s="314"/>
      <c r="BI5922" s="314"/>
      <c r="BJ5922" s="314"/>
      <c r="BK5922" s="40"/>
      <c r="BL5922" s="40"/>
      <c r="BM5922" s="40"/>
      <c r="BN5922" s="40"/>
      <c r="BO5922" s="40"/>
      <c r="BP5922" s="155"/>
      <c r="BQ5922" s="314"/>
      <c r="BR5922" s="314"/>
      <c r="BS5922" s="314"/>
      <c r="BT5922" s="314"/>
      <c r="BU5922" s="314"/>
      <c r="BV5922" s="314"/>
      <c r="BW5922" s="314"/>
      <c r="BX5922" s="155"/>
    </row>
    <row r="5923" spans="1:76" ht="15.75" customHeight="1">
      <c r="A5923" s="25"/>
      <c r="B5923" s="39"/>
      <c r="C5923" s="155"/>
      <c r="D5923" s="155"/>
      <c r="E5923" s="40"/>
      <c r="F5923" s="314"/>
      <c r="H5923" s="315"/>
      <c r="I5923" s="315"/>
      <c r="BA5923" s="30"/>
      <c r="BB5923" s="155"/>
      <c r="BC5923" s="314"/>
      <c r="BD5923" s="314"/>
      <c r="BE5923" s="314"/>
      <c r="BF5923" s="314"/>
      <c r="BG5923" s="314"/>
      <c r="BH5923" s="314"/>
      <c r="BI5923" s="314"/>
      <c r="BJ5923" s="314"/>
      <c r="BK5923" s="40"/>
      <c r="BL5923" s="40"/>
      <c r="BM5923" s="40"/>
      <c r="BN5923" s="40"/>
      <c r="BO5923" s="40"/>
      <c r="BP5923" s="155"/>
      <c r="BQ5923" s="314"/>
      <c r="BR5923" s="314"/>
      <c r="BS5923" s="314"/>
      <c r="BT5923" s="314"/>
      <c r="BU5923" s="314"/>
      <c r="BV5923" s="314"/>
      <c r="BW5923" s="314"/>
      <c r="BX5923" s="155"/>
    </row>
    <row r="5924" spans="1:76" ht="15.75" customHeight="1">
      <c r="A5924" s="25"/>
      <c r="B5924" s="39"/>
      <c r="C5924" s="155"/>
      <c r="D5924" s="155"/>
      <c r="E5924" s="40"/>
      <c r="F5924" s="314"/>
      <c r="H5924" s="315"/>
      <c r="I5924" s="315"/>
      <c r="BA5924" s="30"/>
      <c r="BB5924" s="155"/>
      <c r="BC5924" s="314"/>
      <c r="BD5924" s="314"/>
      <c r="BE5924" s="314"/>
      <c r="BF5924" s="314"/>
      <c r="BG5924" s="314"/>
      <c r="BH5924" s="314"/>
      <c r="BI5924" s="314"/>
      <c r="BJ5924" s="314"/>
      <c r="BK5924" s="40"/>
      <c r="BL5924" s="40"/>
      <c r="BM5924" s="40"/>
      <c r="BN5924" s="40"/>
      <c r="BO5924" s="40"/>
      <c r="BP5924" s="155"/>
      <c r="BQ5924" s="314"/>
      <c r="BR5924" s="314"/>
      <c r="BS5924" s="314"/>
      <c r="BT5924" s="314"/>
      <c r="BU5924" s="314"/>
      <c r="BV5924" s="314"/>
      <c r="BW5924" s="314"/>
      <c r="BX5924" s="155"/>
    </row>
    <row r="5925" spans="1:76" ht="15.75" customHeight="1">
      <c r="A5925" s="25"/>
      <c r="B5925" s="39"/>
      <c r="C5925" s="155"/>
      <c r="D5925" s="155"/>
      <c r="E5925" s="40"/>
      <c r="F5925" s="314"/>
      <c r="H5925" s="315"/>
      <c r="I5925" s="315"/>
      <c r="BA5925" s="30"/>
      <c r="BB5925" s="155"/>
      <c r="BC5925" s="314"/>
      <c r="BD5925" s="314"/>
      <c r="BE5925" s="314"/>
      <c r="BF5925" s="314"/>
      <c r="BG5925" s="314"/>
      <c r="BH5925" s="314"/>
      <c r="BI5925" s="314"/>
      <c r="BJ5925" s="314"/>
      <c r="BK5925" s="40"/>
      <c r="BL5925" s="40"/>
      <c r="BM5925" s="40"/>
      <c r="BN5925" s="40"/>
      <c r="BO5925" s="40"/>
      <c r="BP5925" s="155"/>
      <c r="BQ5925" s="314"/>
      <c r="BR5925" s="314"/>
      <c r="BS5925" s="314"/>
      <c r="BT5925" s="314"/>
      <c r="BU5925" s="314"/>
      <c r="BV5925" s="314"/>
      <c r="BW5925" s="314"/>
      <c r="BX5925" s="155"/>
    </row>
    <row r="5926" spans="1:76" ht="15.75" customHeight="1">
      <c r="A5926" s="25"/>
      <c r="B5926" s="39"/>
      <c r="C5926" s="155"/>
      <c r="D5926" s="155"/>
      <c r="E5926" s="40"/>
      <c r="F5926" s="314"/>
      <c r="H5926" s="315"/>
      <c r="I5926" s="315"/>
      <c r="BA5926" s="30"/>
      <c r="BB5926" s="155"/>
      <c r="BC5926" s="314"/>
      <c r="BD5926" s="314"/>
      <c r="BE5926" s="314"/>
      <c r="BF5926" s="314"/>
      <c r="BG5926" s="314"/>
      <c r="BH5926" s="314"/>
      <c r="BI5926" s="314"/>
      <c r="BJ5926" s="314"/>
      <c r="BK5926" s="40"/>
      <c r="BL5926" s="40"/>
      <c r="BM5926" s="40"/>
      <c r="BN5926" s="40"/>
      <c r="BO5926" s="40"/>
      <c r="BP5926" s="155"/>
      <c r="BQ5926" s="314"/>
      <c r="BR5926" s="314"/>
      <c r="BS5926" s="314"/>
      <c r="BT5926" s="314"/>
      <c r="BU5926" s="314"/>
      <c r="BV5926" s="314"/>
      <c r="BW5926" s="314"/>
      <c r="BX5926" s="155"/>
    </row>
    <row r="5927" spans="1:76" ht="15.75" customHeight="1">
      <c r="A5927" s="25"/>
      <c r="B5927" s="39"/>
      <c r="C5927" s="155"/>
      <c r="D5927" s="155"/>
      <c r="E5927" s="40"/>
      <c r="F5927" s="314"/>
      <c r="H5927" s="315"/>
      <c r="I5927" s="315"/>
      <c r="BA5927" s="30"/>
      <c r="BB5927" s="155"/>
      <c r="BC5927" s="314"/>
      <c r="BD5927" s="314"/>
      <c r="BE5927" s="314"/>
      <c r="BF5927" s="314"/>
      <c r="BG5927" s="314"/>
      <c r="BH5927" s="314"/>
      <c r="BI5927" s="314"/>
      <c r="BJ5927" s="314"/>
      <c r="BK5927" s="40"/>
      <c r="BL5927" s="40"/>
      <c r="BM5927" s="40"/>
      <c r="BN5927" s="40"/>
      <c r="BO5927" s="40"/>
      <c r="BP5927" s="155"/>
      <c r="BQ5927" s="314"/>
      <c r="BR5927" s="314"/>
      <c r="BS5927" s="314"/>
      <c r="BT5927" s="314"/>
      <c r="BU5927" s="314"/>
      <c r="BV5927" s="314"/>
      <c r="BW5927" s="314"/>
      <c r="BX5927" s="155"/>
    </row>
    <row r="5928" spans="1:76" ht="15.75" customHeight="1">
      <c r="A5928" s="25"/>
      <c r="B5928" s="39"/>
      <c r="C5928" s="155"/>
      <c r="D5928" s="155"/>
      <c r="E5928" s="40"/>
      <c r="F5928" s="314"/>
      <c r="H5928" s="315"/>
      <c r="I5928" s="315"/>
      <c r="BA5928" s="30"/>
      <c r="BB5928" s="155"/>
      <c r="BC5928" s="314"/>
      <c r="BD5928" s="314"/>
      <c r="BE5928" s="314"/>
      <c r="BF5928" s="314"/>
      <c r="BG5928" s="314"/>
      <c r="BH5928" s="314"/>
      <c r="BI5928" s="314"/>
      <c r="BJ5928" s="314"/>
      <c r="BK5928" s="40"/>
      <c r="BL5928" s="40"/>
      <c r="BM5928" s="40"/>
      <c r="BN5928" s="40"/>
      <c r="BO5928" s="40"/>
      <c r="BP5928" s="155"/>
      <c r="BQ5928" s="314"/>
      <c r="BR5928" s="314"/>
      <c r="BS5928" s="314"/>
      <c r="BT5928" s="314"/>
      <c r="BU5928" s="314"/>
      <c r="BV5928" s="314"/>
      <c r="BW5928" s="314"/>
      <c r="BX5928" s="155"/>
    </row>
    <row r="5929" spans="1:76" ht="15.75" customHeight="1">
      <c r="A5929" s="25"/>
      <c r="B5929" s="39"/>
      <c r="C5929" s="155"/>
      <c r="D5929" s="155"/>
      <c r="E5929" s="40"/>
      <c r="F5929" s="314"/>
      <c r="H5929" s="315"/>
      <c r="I5929" s="315"/>
      <c r="BA5929" s="30"/>
      <c r="BB5929" s="155"/>
      <c r="BC5929" s="314"/>
      <c r="BD5929" s="314"/>
      <c r="BE5929" s="314"/>
      <c r="BF5929" s="314"/>
      <c r="BG5929" s="314"/>
      <c r="BH5929" s="314"/>
      <c r="BI5929" s="314"/>
      <c r="BJ5929" s="314"/>
      <c r="BK5929" s="40"/>
      <c r="BL5929" s="40"/>
      <c r="BM5929" s="40"/>
      <c r="BN5929" s="40"/>
      <c r="BO5929" s="40"/>
      <c r="BP5929" s="155"/>
      <c r="BQ5929" s="314"/>
      <c r="BR5929" s="314"/>
      <c r="BS5929" s="314"/>
      <c r="BT5929" s="314"/>
      <c r="BU5929" s="314"/>
      <c r="BV5929" s="314"/>
      <c r="BW5929" s="314"/>
      <c r="BX5929" s="155"/>
    </row>
    <row r="5930" spans="1:76" ht="15.75" customHeight="1">
      <c r="A5930" s="25"/>
      <c r="B5930" s="39"/>
      <c r="C5930" s="155"/>
      <c r="D5930" s="155"/>
      <c r="E5930" s="40"/>
      <c r="F5930" s="314"/>
      <c r="H5930" s="315"/>
      <c r="I5930" s="315"/>
      <c r="BA5930" s="30"/>
      <c r="BB5930" s="155"/>
      <c r="BC5930" s="314"/>
      <c r="BD5930" s="314"/>
      <c r="BE5930" s="314"/>
      <c r="BF5930" s="314"/>
      <c r="BG5930" s="314"/>
      <c r="BH5930" s="314"/>
      <c r="BI5930" s="314"/>
      <c r="BJ5930" s="314"/>
      <c r="BK5930" s="40"/>
      <c r="BL5930" s="40"/>
      <c r="BM5930" s="40"/>
      <c r="BN5930" s="40"/>
      <c r="BO5930" s="40"/>
      <c r="BP5930" s="155"/>
      <c r="BQ5930" s="314"/>
      <c r="BR5930" s="314"/>
      <c r="BS5930" s="314"/>
      <c r="BT5930" s="314"/>
      <c r="BU5930" s="314"/>
      <c r="BV5930" s="314"/>
      <c r="BW5930" s="314"/>
      <c r="BX5930" s="155"/>
    </row>
    <row r="5931" spans="1:76" ht="15.75" customHeight="1">
      <c r="A5931" s="25"/>
      <c r="B5931" s="39"/>
      <c r="C5931" s="155"/>
      <c r="D5931" s="155"/>
      <c r="E5931" s="40"/>
      <c r="F5931" s="314"/>
      <c r="H5931" s="315"/>
      <c r="I5931" s="315"/>
      <c r="BA5931" s="30"/>
      <c r="BB5931" s="155"/>
      <c r="BC5931" s="314"/>
      <c r="BD5931" s="314"/>
      <c r="BE5931" s="314"/>
      <c r="BF5931" s="314"/>
      <c r="BG5931" s="314"/>
      <c r="BH5931" s="314"/>
      <c r="BI5931" s="314"/>
      <c r="BJ5931" s="314"/>
      <c r="BK5931" s="40"/>
      <c r="BL5931" s="40"/>
      <c r="BM5931" s="40"/>
      <c r="BN5931" s="40"/>
      <c r="BO5931" s="40"/>
      <c r="BP5931" s="155"/>
      <c r="BQ5931" s="314"/>
      <c r="BR5931" s="314"/>
      <c r="BS5931" s="314"/>
      <c r="BT5931" s="314"/>
      <c r="BU5931" s="314"/>
      <c r="BV5931" s="314"/>
      <c r="BW5931" s="314"/>
      <c r="BX5931" s="155"/>
    </row>
    <row r="5932" spans="1:76" ht="15.75" customHeight="1">
      <c r="A5932" s="25"/>
      <c r="B5932" s="39"/>
      <c r="C5932" s="155"/>
      <c r="D5932" s="155"/>
      <c r="E5932" s="40"/>
      <c r="F5932" s="314"/>
      <c r="H5932" s="315"/>
      <c r="I5932" s="315"/>
      <c r="BA5932" s="30"/>
      <c r="BB5932" s="155"/>
      <c r="BC5932" s="314"/>
      <c r="BD5932" s="314"/>
      <c r="BE5932" s="314"/>
      <c r="BF5932" s="314"/>
      <c r="BG5932" s="314"/>
      <c r="BH5932" s="314"/>
      <c r="BI5932" s="314"/>
      <c r="BJ5932" s="314"/>
      <c r="BK5932" s="40"/>
      <c r="BL5932" s="40"/>
      <c r="BM5932" s="40"/>
      <c r="BN5932" s="40"/>
      <c r="BO5932" s="40"/>
      <c r="BP5932" s="155"/>
      <c r="BQ5932" s="314"/>
      <c r="BR5932" s="314"/>
      <c r="BS5932" s="314"/>
      <c r="BT5932" s="314"/>
      <c r="BU5932" s="314"/>
      <c r="BV5932" s="314"/>
      <c r="BW5932" s="314"/>
      <c r="BX5932" s="155"/>
    </row>
    <row r="5933" spans="1:76" ht="15.75" customHeight="1">
      <c r="A5933" s="25"/>
      <c r="B5933" s="39"/>
      <c r="C5933" s="155"/>
      <c r="D5933" s="155"/>
      <c r="E5933" s="40"/>
      <c r="F5933" s="314"/>
      <c r="H5933" s="315"/>
      <c r="I5933" s="315"/>
      <c r="BA5933" s="30"/>
      <c r="BB5933" s="155"/>
      <c r="BC5933" s="314"/>
      <c r="BD5933" s="314"/>
      <c r="BE5933" s="314"/>
      <c r="BF5933" s="314"/>
      <c r="BG5933" s="314"/>
      <c r="BH5933" s="314"/>
      <c r="BI5933" s="314"/>
      <c r="BJ5933" s="314"/>
      <c r="BK5933" s="40"/>
      <c r="BL5933" s="40"/>
      <c r="BM5933" s="40"/>
      <c r="BN5933" s="40"/>
      <c r="BO5933" s="40"/>
      <c r="BP5933" s="155"/>
      <c r="BQ5933" s="314"/>
      <c r="BR5933" s="314"/>
      <c r="BS5933" s="314"/>
      <c r="BT5933" s="314"/>
      <c r="BU5933" s="314"/>
      <c r="BV5933" s="314"/>
      <c r="BW5933" s="314"/>
      <c r="BX5933" s="155"/>
    </row>
    <row r="5934" spans="1:76" ht="15.75" customHeight="1">
      <c r="A5934" s="25"/>
      <c r="B5934" s="39"/>
      <c r="C5934" s="155"/>
      <c r="D5934" s="155"/>
      <c r="E5934" s="40"/>
      <c r="F5934" s="314"/>
      <c r="H5934" s="315"/>
      <c r="I5934" s="315"/>
      <c r="BA5934" s="30"/>
      <c r="BB5934" s="155"/>
      <c r="BC5934" s="314"/>
      <c r="BD5934" s="314"/>
      <c r="BE5934" s="314"/>
      <c r="BF5934" s="314"/>
      <c r="BG5934" s="314"/>
      <c r="BH5934" s="314"/>
      <c r="BI5934" s="314"/>
      <c r="BJ5934" s="314"/>
      <c r="BK5934" s="40"/>
      <c r="BL5934" s="40"/>
      <c r="BM5934" s="40"/>
      <c r="BN5934" s="40"/>
      <c r="BO5934" s="40"/>
      <c r="BP5934" s="155"/>
      <c r="BQ5934" s="314"/>
      <c r="BR5934" s="314"/>
      <c r="BS5934" s="314"/>
      <c r="BT5934" s="314"/>
      <c r="BU5934" s="314"/>
      <c r="BV5934" s="314"/>
      <c r="BW5934" s="314"/>
      <c r="BX5934" s="155"/>
    </row>
    <row r="5935" spans="1:76" ht="15.75" customHeight="1">
      <c r="A5935" s="25"/>
      <c r="B5935" s="39"/>
      <c r="C5935" s="155"/>
      <c r="D5935" s="155"/>
      <c r="E5935" s="40"/>
      <c r="F5935" s="314"/>
      <c r="H5935" s="315"/>
      <c r="I5935" s="315"/>
      <c r="BA5935" s="30"/>
      <c r="BB5935" s="155"/>
      <c r="BC5935" s="314"/>
      <c r="BD5935" s="314"/>
      <c r="BE5935" s="314"/>
      <c r="BF5935" s="314"/>
      <c r="BG5935" s="314"/>
      <c r="BH5935" s="314"/>
      <c r="BI5935" s="314"/>
      <c r="BJ5935" s="314"/>
      <c r="BK5935" s="40"/>
      <c r="BL5935" s="40"/>
      <c r="BM5935" s="40"/>
      <c r="BN5935" s="40"/>
      <c r="BO5935" s="40"/>
      <c r="BP5935" s="155"/>
      <c r="BQ5935" s="314"/>
      <c r="BR5935" s="314"/>
      <c r="BS5935" s="314"/>
      <c r="BT5935" s="314"/>
      <c r="BU5935" s="314"/>
      <c r="BV5935" s="314"/>
      <c r="BW5935" s="314"/>
      <c r="BX5935" s="155"/>
    </row>
    <row r="5936" spans="1:76" ht="15.75" customHeight="1">
      <c r="A5936" s="25"/>
      <c r="B5936" s="39"/>
      <c r="C5936" s="155"/>
      <c r="D5936" s="155"/>
      <c r="E5936" s="40"/>
      <c r="F5936" s="314"/>
      <c r="H5936" s="315"/>
      <c r="I5936" s="315"/>
      <c r="BA5936" s="30"/>
      <c r="BB5936" s="155"/>
      <c r="BC5936" s="314"/>
      <c r="BD5936" s="314"/>
      <c r="BE5936" s="314"/>
      <c r="BF5936" s="314"/>
      <c r="BG5936" s="314"/>
      <c r="BH5936" s="314"/>
      <c r="BI5936" s="314"/>
      <c r="BJ5936" s="314"/>
      <c r="BK5936" s="40"/>
      <c r="BL5936" s="40"/>
      <c r="BM5936" s="40"/>
      <c r="BN5936" s="40"/>
      <c r="BO5936" s="40"/>
      <c r="BP5936" s="155"/>
      <c r="BQ5936" s="314"/>
      <c r="BR5936" s="314"/>
      <c r="BS5936" s="314"/>
      <c r="BT5936" s="314"/>
      <c r="BU5936" s="314"/>
      <c r="BV5936" s="314"/>
      <c r="BW5936" s="314"/>
      <c r="BX5936" s="155"/>
    </row>
    <row r="5937" spans="1:76" ht="15.75" customHeight="1">
      <c r="A5937" s="25"/>
      <c r="B5937" s="39"/>
      <c r="C5937" s="155"/>
      <c r="D5937" s="155"/>
      <c r="E5937" s="40"/>
      <c r="F5937" s="314"/>
      <c r="H5937" s="315"/>
      <c r="I5937" s="315"/>
      <c r="BA5937" s="30"/>
      <c r="BB5937" s="155"/>
      <c r="BC5937" s="314"/>
      <c r="BD5937" s="314"/>
      <c r="BE5937" s="314"/>
      <c r="BF5937" s="314"/>
      <c r="BG5937" s="314"/>
      <c r="BH5937" s="314"/>
      <c r="BI5937" s="314"/>
      <c r="BJ5937" s="314"/>
      <c r="BK5937" s="40"/>
      <c r="BL5937" s="40"/>
      <c r="BM5937" s="40"/>
      <c r="BN5937" s="40"/>
      <c r="BO5937" s="40"/>
      <c r="BP5937" s="155"/>
      <c r="BQ5937" s="314"/>
      <c r="BR5937" s="314"/>
      <c r="BS5937" s="314"/>
      <c r="BT5937" s="314"/>
      <c r="BU5937" s="314"/>
      <c r="BV5937" s="314"/>
      <c r="BW5937" s="314"/>
      <c r="BX5937" s="155"/>
    </row>
    <row r="5938" spans="1:76" ht="15.75" customHeight="1">
      <c r="A5938" s="25"/>
      <c r="B5938" s="39"/>
      <c r="C5938" s="155"/>
      <c r="D5938" s="155"/>
      <c r="E5938" s="40"/>
      <c r="F5938" s="314"/>
      <c r="H5938" s="315"/>
      <c r="I5938" s="315"/>
      <c r="BA5938" s="30"/>
      <c r="BB5938" s="155"/>
      <c r="BC5938" s="314"/>
      <c r="BD5938" s="314"/>
      <c r="BE5938" s="314"/>
      <c r="BF5938" s="314"/>
      <c r="BG5938" s="314"/>
      <c r="BH5938" s="314"/>
      <c r="BI5938" s="314"/>
      <c r="BJ5938" s="314"/>
      <c r="BK5938" s="40"/>
      <c r="BL5938" s="40"/>
      <c r="BM5938" s="40"/>
      <c r="BN5938" s="40"/>
      <c r="BO5938" s="40"/>
      <c r="BP5938" s="155"/>
      <c r="BQ5938" s="314"/>
      <c r="BR5938" s="314"/>
      <c r="BS5938" s="314"/>
      <c r="BT5938" s="314"/>
      <c r="BU5938" s="314"/>
      <c r="BV5938" s="314"/>
      <c r="BW5938" s="314"/>
      <c r="BX5938" s="155"/>
    </row>
    <row r="5939" spans="1:76" ht="15.75" customHeight="1">
      <c r="A5939" s="25"/>
      <c r="B5939" s="39"/>
      <c r="C5939" s="155"/>
      <c r="D5939" s="155"/>
      <c r="E5939" s="40"/>
      <c r="F5939" s="314"/>
      <c r="H5939" s="315"/>
      <c r="I5939" s="315"/>
      <c r="BA5939" s="30"/>
      <c r="BB5939" s="155"/>
      <c r="BC5939" s="314"/>
      <c r="BD5939" s="314"/>
      <c r="BE5939" s="314"/>
      <c r="BF5939" s="314"/>
      <c r="BG5939" s="314"/>
      <c r="BH5939" s="314"/>
      <c r="BI5939" s="314"/>
      <c r="BJ5939" s="314"/>
      <c r="BK5939" s="40"/>
      <c r="BL5939" s="40"/>
      <c r="BM5939" s="40"/>
      <c r="BN5939" s="40"/>
      <c r="BO5939" s="40"/>
      <c r="BP5939" s="155"/>
      <c r="BQ5939" s="314"/>
      <c r="BR5939" s="314"/>
      <c r="BS5939" s="314"/>
      <c r="BT5939" s="314"/>
      <c r="BU5939" s="314"/>
      <c r="BV5939" s="314"/>
      <c r="BW5939" s="314"/>
      <c r="BX5939" s="155"/>
    </row>
    <row r="5940" spans="1:76" ht="15.75" customHeight="1">
      <c r="A5940" s="25"/>
      <c r="B5940" s="39"/>
      <c r="C5940" s="155"/>
      <c r="D5940" s="155"/>
      <c r="E5940" s="40"/>
      <c r="F5940" s="314"/>
      <c r="H5940" s="315"/>
      <c r="I5940" s="315"/>
      <c r="BA5940" s="30"/>
      <c r="BB5940" s="155"/>
      <c r="BC5940" s="314"/>
      <c r="BD5940" s="314"/>
      <c r="BE5940" s="314"/>
      <c r="BF5940" s="314"/>
      <c r="BG5940" s="314"/>
      <c r="BH5940" s="314"/>
      <c r="BI5940" s="314"/>
      <c r="BJ5940" s="314"/>
      <c r="BK5940" s="40"/>
      <c r="BL5940" s="40"/>
      <c r="BM5940" s="40"/>
      <c r="BN5940" s="40"/>
      <c r="BO5940" s="40"/>
      <c r="BP5940" s="155"/>
      <c r="BQ5940" s="314"/>
      <c r="BR5940" s="314"/>
      <c r="BS5940" s="314"/>
      <c r="BT5940" s="314"/>
      <c r="BU5940" s="314"/>
      <c r="BV5940" s="314"/>
      <c r="BW5940" s="314"/>
      <c r="BX5940" s="155"/>
    </row>
    <row r="5941" spans="1:76" ht="15.75" customHeight="1">
      <c r="A5941" s="25"/>
      <c r="B5941" s="39"/>
      <c r="C5941" s="155"/>
      <c r="D5941" s="155"/>
      <c r="E5941" s="40"/>
      <c r="F5941" s="314"/>
      <c r="H5941" s="315"/>
      <c r="I5941" s="315"/>
      <c r="BA5941" s="30"/>
      <c r="BB5941" s="155"/>
      <c r="BC5941" s="314"/>
      <c r="BD5941" s="314"/>
      <c r="BE5941" s="314"/>
      <c r="BF5941" s="314"/>
      <c r="BG5941" s="314"/>
      <c r="BH5941" s="314"/>
      <c r="BI5941" s="314"/>
      <c r="BJ5941" s="314"/>
      <c r="BK5941" s="40"/>
      <c r="BL5941" s="40"/>
      <c r="BM5941" s="40"/>
      <c r="BN5941" s="40"/>
      <c r="BO5941" s="40"/>
      <c r="BP5941" s="155"/>
      <c r="BQ5941" s="314"/>
      <c r="BR5941" s="314"/>
      <c r="BS5941" s="314"/>
      <c r="BT5941" s="314"/>
      <c r="BU5941" s="314"/>
      <c r="BV5941" s="314"/>
      <c r="BW5941" s="314"/>
      <c r="BX5941" s="155"/>
    </row>
    <row r="5942" spans="1:76" ht="15.75" customHeight="1">
      <c r="A5942" s="25"/>
      <c r="B5942" s="39"/>
      <c r="C5942" s="155"/>
      <c r="D5942" s="155"/>
      <c r="E5942" s="40"/>
      <c r="F5942" s="314"/>
      <c r="H5942" s="315"/>
      <c r="I5942" s="315"/>
      <c r="BA5942" s="30"/>
      <c r="BB5942" s="155"/>
      <c r="BC5942" s="314"/>
      <c r="BD5942" s="314"/>
      <c r="BE5942" s="314"/>
      <c r="BF5942" s="314"/>
      <c r="BG5942" s="314"/>
      <c r="BH5942" s="314"/>
      <c r="BI5942" s="314"/>
      <c r="BJ5942" s="314"/>
      <c r="BK5942" s="40"/>
      <c r="BL5942" s="40"/>
      <c r="BM5942" s="40"/>
      <c r="BN5942" s="40"/>
      <c r="BO5942" s="40"/>
      <c r="BP5942" s="155"/>
      <c r="BQ5942" s="314"/>
      <c r="BR5942" s="314"/>
      <c r="BS5942" s="314"/>
      <c r="BT5942" s="314"/>
      <c r="BU5942" s="314"/>
      <c r="BV5942" s="314"/>
      <c r="BW5942" s="314"/>
      <c r="BX5942" s="155"/>
    </row>
    <row r="5943" spans="1:76" ht="15.75" customHeight="1">
      <c r="A5943" s="25"/>
      <c r="B5943" s="39"/>
      <c r="C5943" s="155"/>
      <c r="D5943" s="155"/>
      <c r="E5943" s="40"/>
      <c r="F5943" s="314"/>
      <c r="H5943" s="315"/>
      <c r="I5943" s="315"/>
      <c r="BA5943" s="30"/>
      <c r="BB5943" s="155"/>
      <c r="BC5943" s="314"/>
      <c r="BD5943" s="314"/>
      <c r="BE5943" s="314"/>
      <c r="BF5943" s="314"/>
      <c r="BG5943" s="314"/>
      <c r="BH5943" s="314"/>
      <c r="BI5943" s="314"/>
      <c r="BJ5943" s="314"/>
      <c r="BK5943" s="40"/>
      <c r="BL5943" s="40"/>
      <c r="BM5943" s="40"/>
      <c r="BN5943" s="40"/>
      <c r="BO5943" s="40"/>
      <c r="BP5943" s="155"/>
      <c r="BQ5943" s="314"/>
      <c r="BR5943" s="314"/>
      <c r="BS5943" s="314"/>
      <c r="BT5943" s="314"/>
      <c r="BU5943" s="314"/>
      <c r="BV5943" s="314"/>
      <c r="BW5943" s="314"/>
      <c r="BX5943" s="155"/>
    </row>
    <row r="5944" spans="1:76" ht="15.75" customHeight="1">
      <c r="A5944" s="25"/>
      <c r="B5944" s="39"/>
      <c r="C5944" s="155"/>
      <c r="D5944" s="155"/>
      <c r="E5944" s="40"/>
      <c r="F5944" s="314"/>
      <c r="H5944" s="315"/>
      <c r="I5944" s="315"/>
      <c r="BA5944" s="30"/>
      <c r="BB5944" s="155"/>
      <c r="BC5944" s="314"/>
      <c r="BD5944" s="314"/>
      <c r="BE5944" s="314"/>
      <c r="BF5944" s="314"/>
      <c r="BG5944" s="314"/>
      <c r="BH5944" s="314"/>
      <c r="BI5944" s="314"/>
      <c r="BJ5944" s="314"/>
      <c r="BK5944" s="40"/>
      <c r="BL5944" s="40"/>
      <c r="BM5944" s="40"/>
      <c r="BN5944" s="40"/>
      <c r="BO5944" s="40"/>
      <c r="BP5944" s="155"/>
      <c r="BQ5944" s="314"/>
      <c r="BR5944" s="314"/>
      <c r="BS5944" s="314"/>
      <c r="BT5944" s="314"/>
      <c r="BU5944" s="314"/>
      <c r="BV5944" s="314"/>
      <c r="BW5944" s="314"/>
      <c r="BX5944" s="155"/>
    </row>
    <row r="5945" spans="1:76" ht="15.75" customHeight="1">
      <c r="A5945" s="25"/>
      <c r="B5945" s="39"/>
      <c r="C5945" s="155"/>
      <c r="D5945" s="155"/>
      <c r="E5945" s="40"/>
      <c r="F5945" s="314"/>
      <c r="H5945" s="315"/>
      <c r="I5945" s="315"/>
      <c r="BA5945" s="30"/>
      <c r="BB5945" s="155"/>
      <c r="BC5945" s="314"/>
      <c r="BD5945" s="314"/>
      <c r="BE5945" s="314"/>
      <c r="BF5945" s="314"/>
      <c r="BG5945" s="314"/>
      <c r="BH5945" s="314"/>
      <c r="BI5945" s="314"/>
      <c r="BJ5945" s="314"/>
      <c r="BK5945" s="40"/>
      <c r="BL5945" s="40"/>
      <c r="BM5945" s="40"/>
      <c r="BN5945" s="40"/>
      <c r="BO5945" s="40"/>
      <c r="BP5945" s="155"/>
      <c r="BQ5945" s="314"/>
      <c r="BR5945" s="314"/>
      <c r="BS5945" s="314"/>
      <c r="BT5945" s="314"/>
      <c r="BU5945" s="314"/>
      <c r="BV5945" s="314"/>
      <c r="BW5945" s="314"/>
      <c r="BX5945" s="155"/>
    </row>
    <row r="5946" spans="1:76" ht="15.75" customHeight="1">
      <c r="A5946" s="25"/>
      <c r="B5946" s="39"/>
      <c r="C5946" s="155"/>
      <c r="D5946" s="155"/>
      <c r="E5946" s="40"/>
      <c r="F5946" s="314"/>
      <c r="H5946" s="315"/>
      <c r="I5946" s="315"/>
      <c r="BA5946" s="30"/>
      <c r="BB5946" s="155"/>
      <c r="BC5946" s="314"/>
      <c r="BD5946" s="314"/>
      <c r="BE5946" s="314"/>
      <c r="BF5946" s="314"/>
      <c r="BG5946" s="314"/>
      <c r="BH5946" s="314"/>
      <c r="BI5946" s="314"/>
      <c r="BJ5946" s="314"/>
      <c r="BK5946" s="40"/>
      <c r="BL5946" s="40"/>
      <c r="BM5946" s="40"/>
      <c r="BN5946" s="40"/>
      <c r="BO5946" s="40"/>
      <c r="BP5946" s="155"/>
      <c r="BQ5946" s="314"/>
      <c r="BR5946" s="314"/>
      <c r="BS5946" s="314"/>
      <c r="BT5946" s="314"/>
      <c r="BU5946" s="314"/>
      <c r="BV5946" s="314"/>
      <c r="BW5946" s="314"/>
      <c r="BX5946" s="155"/>
    </row>
    <row r="5947" spans="1:76" ht="15.75" customHeight="1">
      <c r="A5947" s="25"/>
      <c r="B5947" s="39"/>
      <c r="C5947" s="155"/>
      <c r="D5947" s="155"/>
      <c r="E5947" s="40"/>
      <c r="F5947" s="314"/>
      <c r="H5947" s="315"/>
      <c r="I5947" s="315"/>
      <c r="BA5947" s="30"/>
      <c r="BB5947" s="155"/>
      <c r="BC5947" s="314"/>
      <c r="BD5947" s="314"/>
      <c r="BE5947" s="314"/>
      <c r="BF5947" s="314"/>
      <c r="BG5947" s="314"/>
      <c r="BH5947" s="314"/>
      <c r="BI5947" s="314"/>
      <c r="BJ5947" s="314"/>
      <c r="BK5947" s="40"/>
      <c r="BL5947" s="40"/>
      <c r="BM5947" s="40"/>
      <c r="BN5947" s="40"/>
      <c r="BO5947" s="40"/>
      <c r="BP5947" s="155"/>
      <c r="BQ5947" s="314"/>
      <c r="BR5947" s="314"/>
      <c r="BS5947" s="314"/>
      <c r="BT5947" s="314"/>
      <c r="BU5947" s="314"/>
      <c r="BV5947" s="314"/>
      <c r="BW5947" s="314"/>
      <c r="BX5947" s="155"/>
    </row>
    <row r="5948" spans="1:76" ht="15.75" customHeight="1">
      <c r="A5948" s="25"/>
      <c r="B5948" s="39"/>
      <c r="C5948" s="155"/>
      <c r="D5948" s="155"/>
      <c r="E5948" s="40"/>
      <c r="F5948" s="314"/>
      <c r="H5948" s="315"/>
      <c r="I5948" s="315"/>
      <c r="BA5948" s="30"/>
      <c r="BB5948" s="155"/>
      <c r="BC5948" s="314"/>
      <c r="BD5948" s="314"/>
      <c r="BE5948" s="314"/>
      <c r="BF5948" s="314"/>
      <c r="BG5948" s="314"/>
      <c r="BH5948" s="314"/>
      <c r="BI5948" s="314"/>
      <c r="BJ5948" s="314"/>
      <c r="BK5948" s="40"/>
      <c r="BL5948" s="40"/>
      <c r="BM5948" s="40"/>
      <c r="BN5948" s="40"/>
      <c r="BO5948" s="40"/>
      <c r="BP5948" s="155"/>
      <c r="BQ5948" s="314"/>
      <c r="BR5948" s="314"/>
      <c r="BS5948" s="314"/>
      <c r="BT5948" s="314"/>
      <c r="BU5948" s="314"/>
      <c r="BV5948" s="314"/>
      <c r="BW5948" s="314"/>
      <c r="BX5948" s="155"/>
    </row>
    <row r="5949" spans="1:76" ht="15.75" customHeight="1">
      <c r="A5949" s="25"/>
      <c r="B5949" s="39"/>
      <c r="C5949" s="155"/>
      <c r="D5949" s="155"/>
      <c r="E5949" s="40"/>
      <c r="F5949" s="314"/>
      <c r="H5949" s="315"/>
      <c r="I5949" s="315"/>
      <c r="BA5949" s="30"/>
      <c r="BB5949" s="155"/>
      <c r="BC5949" s="314"/>
      <c r="BD5949" s="314"/>
      <c r="BE5949" s="314"/>
      <c r="BF5949" s="314"/>
      <c r="BG5949" s="314"/>
      <c r="BH5949" s="314"/>
      <c r="BI5949" s="314"/>
      <c r="BJ5949" s="314"/>
      <c r="BK5949" s="40"/>
      <c r="BL5949" s="40"/>
      <c r="BM5949" s="40"/>
      <c r="BN5949" s="40"/>
      <c r="BO5949" s="40"/>
      <c r="BP5949" s="155"/>
      <c r="BQ5949" s="314"/>
      <c r="BR5949" s="314"/>
      <c r="BS5949" s="314"/>
      <c r="BT5949" s="314"/>
      <c r="BU5949" s="314"/>
      <c r="BV5949" s="314"/>
      <c r="BW5949" s="314"/>
      <c r="BX5949" s="155"/>
    </row>
    <row r="5950" spans="1:76" ht="15.75" customHeight="1">
      <c r="A5950" s="25"/>
      <c r="B5950" s="39"/>
      <c r="C5950" s="155"/>
      <c r="D5950" s="155"/>
      <c r="E5950" s="40"/>
      <c r="F5950" s="314"/>
      <c r="H5950" s="315"/>
      <c r="I5950" s="315"/>
      <c r="BA5950" s="30"/>
      <c r="BB5950" s="155"/>
      <c r="BC5950" s="314"/>
      <c r="BD5950" s="314"/>
      <c r="BE5950" s="314"/>
      <c r="BF5950" s="314"/>
      <c r="BG5950" s="314"/>
      <c r="BH5950" s="314"/>
      <c r="BI5950" s="314"/>
      <c r="BJ5950" s="314"/>
      <c r="BK5950" s="40"/>
      <c r="BL5950" s="40"/>
      <c r="BM5950" s="40"/>
      <c r="BN5950" s="40"/>
      <c r="BO5950" s="40"/>
      <c r="BP5950" s="155"/>
      <c r="BQ5950" s="314"/>
      <c r="BR5950" s="314"/>
      <c r="BS5950" s="314"/>
      <c r="BT5950" s="314"/>
      <c r="BU5950" s="314"/>
      <c r="BV5950" s="314"/>
      <c r="BW5950" s="314"/>
      <c r="BX5950" s="155"/>
    </row>
    <row r="5951" spans="1:76" ht="15.75" customHeight="1">
      <c r="A5951" s="25"/>
      <c r="B5951" s="39"/>
      <c r="C5951" s="155"/>
      <c r="D5951" s="155"/>
      <c r="E5951" s="40"/>
      <c r="F5951" s="314"/>
      <c r="H5951" s="315"/>
      <c r="I5951" s="315"/>
      <c r="BA5951" s="30"/>
      <c r="BB5951" s="155"/>
      <c r="BC5951" s="314"/>
      <c r="BD5951" s="314"/>
      <c r="BE5951" s="314"/>
      <c r="BF5951" s="314"/>
      <c r="BG5951" s="314"/>
      <c r="BH5951" s="314"/>
      <c r="BI5951" s="314"/>
      <c r="BJ5951" s="314"/>
      <c r="BK5951" s="40"/>
      <c r="BL5951" s="40"/>
      <c r="BM5951" s="40"/>
      <c r="BN5951" s="40"/>
      <c r="BO5951" s="40"/>
      <c r="BP5951" s="155"/>
      <c r="BQ5951" s="314"/>
      <c r="BR5951" s="314"/>
      <c r="BS5951" s="314"/>
      <c r="BT5951" s="314"/>
      <c r="BU5951" s="314"/>
      <c r="BV5951" s="314"/>
      <c r="BW5951" s="314"/>
      <c r="BX5951" s="155"/>
    </row>
    <row r="5952" spans="1:76" ht="15.75" customHeight="1">
      <c r="A5952" s="25"/>
      <c r="B5952" s="39"/>
      <c r="C5952" s="155"/>
      <c r="D5952" s="155"/>
      <c r="E5952" s="40"/>
      <c r="F5952" s="314"/>
      <c r="H5952" s="315"/>
      <c r="I5952" s="315"/>
      <c r="BA5952" s="30"/>
      <c r="BB5952" s="155"/>
      <c r="BC5952" s="314"/>
      <c r="BD5952" s="314"/>
      <c r="BE5952" s="314"/>
      <c r="BF5952" s="314"/>
      <c r="BG5952" s="314"/>
      <c r="BH5952" s="314"/>
      <c r="BI5952" s="314"/>
      <c r="BJ5952" s="314"/>
      <c r="BK5952" s="40"/>
      <c r="BL5952" s="40"/>
      <c r="BM5952" s="40"/>
      <c r="BN5952" s="40"/>
      <c r="BO5952" s="40"/>
      <c r="BP5952" s="155"/>
      <c r="BQ5952" s="314"/>
      <c r="BR5952" s="314"/>
      <c r="BS5952" s="314"/>
      <c r="BT5952" s="314"/>
      <c r="BU5952" s="314"/>
      <c r="BV5952" s="314"/>
      <c r="BW5952" s="314"/>
      <c r="BX5952" s="155"/>
    </row>
    <row r="5953" spans="1:76" ht="15.75" customHeight="1">
      <c r="A5953" s="25"/>
      <c r="B5953" s="39"/>
      <c r="C5953" s="155"/>
      <c r="D5953" s="155"/>
      <c r="E5953" s="40"/>
      <c r="F5953" s="314"/>
      <c r="H5953" s="315"/>
      <c r="I5953" s="315"/>
      <c r="BA5953" s="30"/>
      <c r="BB5953" s="155"/>
      <c r="BC5953" s="314"/>
      <c r="BD5953" s="314"/>
      <c r="BE5953" s="314"/>
      <c r="BF5953" s="314"/>
      <c r="BG5953" s="314"/>
      <c r="BH5953" s="314"/>
      <c r="BI5953" s="314"/>
      <c r="BJ5953" s="314"/>
      <c r="BK5953" s="40"/>
      <c r="BL5953" s="40"/>
      <c r="BM5953" s="40"/>
      <c r="BN5953" s="40"/>
      <c r="BO5953" s="40"/>
      <c r="BP5953" s="155"/>
      <c r="BQ5953" s="314"/>
      <c r="BR5953" s="314"/>
      <c r="BS5953" s="314"/>
      <c r="BT5953" s="314"/>
      <c r="BU5953" s="314"/>
      <c r="BV5953" s="314"/>
      <c r="BW5953" s="314"/>
      <c r="BX5953" s="155"/>
    </row>
    <row r="5954" spans="1:76" ht="15.75" customHeight="1">
      <c r="A5954" s="25"/>
      <c r="B5954" s="39"/>
      <c r="C5954" s="155"/>
      <c r="D5954" s="155"/>
      <c r="E5954" s="40"/>
      <c r="F5954" s="314"/>
      <c r="H5954" s="315"/>
      <c r="I5954" s="315"/>
      <c r="BA5954" s="30"/>
      <c r="BB5954" s="155"/>
      <c r="BC5954" s="314"/>
      <c r="BD5954" s="314"/>
      <c r="BE5954" s="314"/>
      <c r="BF5954" s="314"/>
      <c r="BG5954" s="314"/>
      <c r="BH5954" s="314"/>
      <c r="BI5954" s="314"/>
      <c r="BJ5954" s="314"/>
      <c r="BK5954" s="40"/>
      <c r="BL5954" s="40"/>
      <c r="BM5954" s="40"/>
      <c r="BN5954" s="40"/>
      <c r="BO5954" s="40"/>
      <c r="BP5954" s="155"/>
      <c r="BQ5954" s="314"/>
      <c r="BR5954" s="314"/>
      <c r="BS5954" s="314"/>
      <c r="BT5954" s="314"/>
      <c r="BU5954" s="314"/>
      <c r="BV5954" s="314"/>
      <c r="BW5954" s="314"/>
      <c r="BX5954" s="155"/>
    </row>
    <row r="5955" spans="1:76" ht="15.75" customHeight="1">
      <c r="A5955" s="25"/>
      <c r="B5955" s="39"/>
      <c r="C5955" s="155"/>
      <c r="D5955" s="155"/>
      <c r="E5955" s="40"/>
      <c r="F5955" s="314"/>
      <c r="H5955" s="315"/>
      <c r="I5955" s="315"/>
      <c r="BA5955" s="30"/>
      <c r="BB5955" s="155"/>
      <c r="BC5955" s="314"/>
      <c r="BD5955" s="314"/>
      <c r="BE5955" s="314"/>
      <c r="BF5955" s="314"/>
      <c r="BG5955" s="314"/>
      <c r="BH5955" s="314"/>
      <c r="BI5955" s="314"/>
      <c r="BJ5955" s="314"/>
      <c r="BK5955" s="40"/>
      <c r="BL5955" s="40"/>
      <c r="BM5955" s="40"/>
      <c r="BN5955" s="40"/>
      <c r="BO5955" s="40"/>
      <c r="BP5955" s="155"/>
      <c r="BQ5955" s="314"/>
      <c r="BR5955" s="314"/>
      <c r="BS5955" s="314"/>
      <c r="BT5955" s="314"/>
      <c r="BU5955" s="314"/>
      <c r="BV5955" s="314"/>
      <c r="BW5955" s="314"/>
      <c r="BX5955" s="155"/>
    </row>
    <row r="5956" spans="1:76" ht="15.75" customHeight="1">
      <c r="A5956" s="25"/>
      <c r="B5956" s="39"/>
      <c r="C5956" s="155"/>
      <c r="D5956" s="155"/>
      <c r="E5956" s="40"/>
      <c r="F5956" s="314"/>
      <c r="H5956" s="315"/>
      <c r="I5956" s="315"/>
      <c r="BA5956" s="30"/>
      <c r="BB5956" s="155"/>
      <c r="BC5956" s="314"/>
      <c r="BD5956" s="314"/>
      <c r="BE5956" s="314"/>
      <c r="BF5956" s="314"/>
      <c r="BG5956" s="314"/>
      <c r="BH5956" s="314"/>
      <c r="BI5956" s="314"/>
      <c r="BJ5956" s="314"/>
      <c r="BK5956" s="40"/>
      <c r="BL5956" s="40"/>
      <c r="BM5956" s="40"/>
      <c r="BN5956" s="40"/>
      <c r="BO5956" s="40"/>
      <c r="BP5956" s="155"/>
      <c r="BQ5956" s="314"/>
      <c r="BR5956" s="314"/>
      <c r="BS5956" s="314"/>
      <c r="BT5956" s="314"/>
      <c r="BU5956" s="314"/>
      <c r="BV5956" s="314"/>
      <c r="BW5956" s="314"/>
      <c r="BX5956" s="155"/>
    </row>
    <row r="5957" spans="1:76" ht="15.75" customHeight="1">
      <c r="A5957" s="25"/>
      <c r="B5957" s="39"/>
      <c r="C5957" s="155"/>
      <c r="D5957" s="155"/>
      <c r="E5957" s="40"/>
      <c r="F5957" s="314"/>
      <c r="H5957" s="315"/>
      <c r="I5957" s="315"/>
      <c r="BA5957" s="30"/>
      <c r="BB5957" s="155"/>
      <c r="BC5957" s="314"/>
      <c r="BD5957" s="314"/>
      <c r="BE5957" s="314"/>
      <c r="BF5957" s="314"/>
      <c r="BG5957" s="314"/>
      <c r="BH5957" s="314"/>
      <c r="BI5957" s="314"/>
      <c r="BJ5957" s="314"/>
      <c r="BK5957" s="40"/>
      <c r="BL5957" s="40"/>
      <c r="BM5957" s="40"/>
      <c r="BN5957" s="40"/>
      <c r="BO5957" s="40"/>
      <c r="BP5957" s="155"/>
      <c r="BQ5957" s="314"/>
      <c r="BR5957" s="314"/>
      <c r="BS5957" s="314"/>
      <c r="BT5957" s="314"/>
      <c r="BU5957" s="314"/>
      <c r="BV5957" s="314"/>
      <c r="BW5957" s="314"/>
      <c r="BX5957" s="155"/>
    </row>
    <row r="5958" spans="1:76" ht="15.75" customHeight="1">
      <c r="A5958" s="25"/>
      <c r="B5958" s="39"/>
      <c r="C5958" s="155"/>
      <c r="D5958" s="155"/>
      <c r="E5958" s="40"/>
      <c r="F5958" s="314"/>
      <c r="H5958" s="315"/>
      <c r="I5958" s="315"/>
      <c r="BA5958" s="30"/>
      <c r="BB5958" s="155"/>
      <c r="BC5958" s="314"/>
      <c r="BD5958" s="314"/>
      <c r="BE5958" s="314"/>
      <c r="BF5958" s="314"/>
      <c r="BG5958" s="314"/>
      <c r="BH5958" s="314"/>
      <c r="BI5958" s="314"/>
      <c r="BJ5958" s="314"/>
      <c r="BK5958" s="40"/>
      <c r="BL5958" s="40"/>
      <c r="BM5958" s="40"/>
      <c r="BN5958" s="40"/>
      <c r="BO5958" s="40"/>
      <c r="BP5958" s="155"/>
      <c r="BQ5958" s="314"/>
      <c r="BR5958" s="314"/>
      <c r="BS5958" s="314"/>
      <c r="BT5958" s="314"/>
      <c r="BU5958" s="314"/>
      <c r="BV5958" s="314"/>
      <c r="BW5958" s="314"/>
      <c r="BX5958" s="155"/>
    </row>
    <row r="5959" spans="1:76" ht="15.75" customHeight="1">
      <c r="A5959" s="25"/>
      <c r="B5959" s="39"/>
      <c r="C5959" s="155"/>
      <c r="D5959" s="155"/>
      <c r="E5959" s="40"/>
      <c r="F5959" s="314"/>
      <c r="H5959" s="315"/>
      <c r="I5959" s="315"/>
      <c r="BA5959" s="30"/>
      <c r="BB5959" s="155"/>
      <c r="BC5959" s="314"/>
      <c r="BD5959" s="314"/>
      <c r="BE5959" s="314"/>
      <c r="BF5959" s="314"/>
      <c r="BG5959" s="314"/>
      <c r="BH5959" s="314"/>
      <c r="BI5959" s="314"/>
      <c r="BJ5959" s="314"/>
      <c r="BK5959" s="40"/>
      <c r="BL5959" s="40"/>
      <c r="BM5959" s="40"/>
      <c r="BN5959" s="40"/>
      <c r="BO5959" s="40"/>
      <c r="BP5959" s="155"/>
      <c r="BQ5959" s="314"/>
      <c r="BR5959" s="314"/>
      <c r="BS5959" s="314"/>
      <c r="BT5959" s="314"/>
      <c r="BU5959" s="314"/>
      <c r="BV5959" s="314"/>
      <c r="BW5959" s="314"/>
      <c r="BX5959" s="155"/>
    </row>
    <row r="5960" spans="1:76" ht="15.75" customHeight="1">
      <c r="A5960" s="25"/>
      <c r="B5960" s="39"/>
      <c r="C5960" s="155"/>
      <c r="D5960" s="155"/>
      <c r="E5960" s="40"/>
      <c r="F5960" s="314"/>
      <c r="H5960" s="315"/>
      <c r="I5960" s="315"/>
      <c r="BA5960" s="30"/>
      <c r="BB5960" s="155"/>
      <c r="BC5960" s="314"/>
      <c r="BD5960" s="314"/>
      <c r="BE5960" s="314"/>
      <c r="BF5960" s="314"/>
      <c r="BG5960" s="314"/>
      <c r="BH5960" s="314"/>
      <c r="BI5960" s="314"/>
      <c r="BJ5960" s="314"/>
      <c r="BK5960" s="40"/>
      <c r="BL5960" s="40"/>
      <c r="BM5960" s="40"/>
      <c r="BN5960" s="40"/>
      <c r="BO5960" s="40"/>
      <c r="BP5960" s="155"/>
      <c r="BQ5960" s="314"/>
      <c r="BR5960" s="314"/>
      <c r="BS5960" s="314"/>
      <c r="BT5960" s="314"/>
      <c r="BU5960" s="314"/>
      <c r="BV5960" s="314"/>
      <c r="BW5960" s="314"/>
      <c r="BX5960" s="155"/>
    </row>
    <row r="5961" spans="1:76" ht="15.75" customHeight="1">
      <c r="A5961" s="25"/>
      <c r="B5961" s="39"/>
      <c r="C5961" s="155"/>
      <c r="D5961" s="155"/>
      <c r="E5961" s="40"/>
      <c r="F5961" s="314"/>
      <c r="H5961" s="315"/>
      <c r="I5961" s="315"/>
      <c r="BA5961" s="30"/>
      <c r="BB5961" s="155"/>
      <c r="BC5961" s="314"/>
      <c r="BD5961" s="314"/>
      <c r="BE5961" s="314"/>
      <c r="BF5961" s="314"/>
      <c r="BG5961" s="314"/>
      <c r="BH5961" s="314"/>
      <c r="BI5961" s="314"/>
      <c r="BJ5961" s="314"/>
      <c r="BK5961" s="40"/>
      <c r="BL5961" s="40"/>
      <c r="BM5961" s="40"/>
      <c r="BN5961" s="40"/>
      <c r="BO5961" s="40"/>
      <c r="BP5961" s="155"/>
      <c r="BQ5961" s="314"/>
      <c r="BR5961" s="314"/>
      <c r="BS5961" s="314"/>
      <c r="BT5961" s="314"/>
      <c r="BU5961" s="314"/>
      <c r="BV5961" s="314"/>
      <c r="BW5961" s="314"/>
      <c r="BX5961" s="155"/>
    </row>
    <row r="5962" spans="1:76" ht="15.75" customHeight="1">
      <c r="A5962" s="25"/>
      <c r="B5962" s="39"/>
      <c r="C5962" s="155"/>
      <c r="D5962" s="155"/>
      <c r="E5962" s="40"/>
      <c r="F5962" s="314"/>
      <c r="H5962" s="315"/>
      <c r="I5962" s="315"/>
      <c r="BA5962" s="30"/>
      <c r="BB5962" s="155"/>
      <c r="BC5962" s="314"/>
      <c r="BD5962" s="314"/>
      <c r="BE5962" s="314"/>
      <c r="BF5962" s="314"/>
      <c r="BG5962" s="314"/>
      <c r="BH5962" s="314"/>
      <c r="BI5962" s="314"/>
      <c r="BJ5962" s="314"/>
      <c r="BK5962" s="40"/>
      <c r="BL5962" s="40"/>
      <c r="BM5962" s="40"/>
      <c r="BN5962" s="40"/>
      <c r="BO5962" s="40"/>
      <c r="BP5962" s="155"/>
      <c r="BQ5962" s="314"/>
      <c r="BR5962" s="314"/>
      <c r="BS5962" s="314"/>
      <c r="BT5962" s="314"/>
      <c r="BU5962" s="314"/>
      <c r="BV5962" s="314"/>
      <c r="BW5962" s="314"/>
      <c r="BX5962" s="155"/>
    </row>
    <row r="5963" spans="1:76" ht="15.75" customHeight="1">
      <c r="A5963" s="25"/>
      <c r="B5963" s="39"/>
      <c r="C5963" s="155"/>
      <c r="D5963" s="155"/>
      <c r="E5963" s="40"/>
      <c r="F5963" s="314"/>
      <c r="H5963" s="315"/>
      <c r="I5963" s="315"/>
      <c r="BA5963" s="30"/>
      <c r="BB5963" s="155"/>
      <c r="BC5963" s="314"/>
      <c r="BD5963" s="314"/>
      <c r="BE5963" s="314"/>
      <c r="BF5963" s="314"/>
      <c r="BG5963" s="314"/>
      <c r="BH5963" s="314"/>
      <c r="BI5963" s="314"/>
      <c r="BJ5963" s="314"/>
      <c r="BK5963" s="40"/>
      <c r="BL5963" s="40"/>
      <c r="BM5963" s="40"/>
      <c r="BN5963" s="40"/>
      <c r="BO5963" s="40"/>
      <c r="BP5963" s="155"/>
      <c r="BQ5963" s="314"/>
      <c r="BR5963" s="314"/>
      <c r="BS5963" s="314"/>
      <c r="BT5963" s="314"/>
      <c r="BU5963" s="314"/>
      <c r="BV5963" s="314"/>
      <c r="BW5963" s="314"/>
      <c r="BX5963" s="155"/>
    </row>
    <row r="5964" spans="1:76" ht="15.75" customHeight="1">
      <c r="A5964" s="25"/>
      <c r="B5964" s="39"/>
      <c r="C5964" s="155"/>
      <c r="D5964" s="155"/>
      <c r="E5964" s="40"/>
      <c r="F5964" s="314"/>
      <c r="H5964" s="315"/>
      <c r="I5964" s="315"/>
      <c r="BA5964" s="30"/>
      <c r="BB5964" s="155"/>
      <c r="BC5964" s="314"/>
      <c r="BD5964" s="314"/>
      <c r="BE5964" s="314"/>
      <c r="BF5964" s="314"/>
      <c r="BG5964" s="314"/>
      <c r="BH5964" s="314"/>
      <c r="BI5964" s="314"/>
      <c r="BJ5964" s="314"/>
      <c r="BK5964" s="40"/>
      <c r="BL5964" s="40"/>
      <c r="BM5964" s="40"/>
      <c r="BN5964" s="40"/>
      <c r="BO5964" s="40"/>
      <c r="BP5964" s="155"/>
      <c r="BQ5964" s="314"/>
      <c r="BR5964" s="314"/>
      <c r="BS5964" s="314"/>
      <c r="BT5964" s="314"/>
      <c r="BU5964" s="314"/>
      <c r="BV5964" s="314"/>
      <c r="BW5964" s="314"/>
      <c r="BX5964" s="155"/>
    </row>
    <row r="5965" spans="1:76" ht="15.75" customHeight="1">
      <c r="A5965" s="25"/>
      <c r="B5965" s="39"/>
      <c r="C5965" s="155"/>
      <c r="D5965" s="155"/>
      <c r="E5965" s="40"/>
      <c r="F5965" s="314"/>
      <c r="H5965" s="315"/>
      <c r="I5965" s="315"/>
      <c r="BA5965" s="30"/>
      <c r="BB5965" s="155"/>
      <c r="BC5965" s="314"/>
      <c r="BD5965" s="314"/>
      <c r="BE5965" s="314"/>
      <c r="BF5965" s="314"/>
      <c r="BG5965" s="314"/>
      <c r="BH5965" s="314"/>
      <c r="BI5965" s="314"/>
      <c r="BJ5965" s="314"/>
      <c r="BK5965" s="40"/>
      <c r="BL5965" s="40"/>
      <c r="BM5965" s="40"/>
      <c r="BN5965" s="40"/>
      <c r="BO5965" s="40"/>
      <c r="BP5965" s="155"/>
      <c r="BQ5965" s="314"/>
      <c r="BR5965" s="314"/>
      <c r="BS5965" s="314"/>
      <c r="BT5965" s="314"/>
      <c r="BU5965" s="314"/>
      <c r="BV5965" s="314"/>
      <c r="BW5965" s="314"/>
      <c r="BX5965" s="155"/>
    </row>
    <row r="5966" spans="1:76" ht="15.75" customHeight="1">
      <c r="A5966" s="25"/>
      <c r="B5966" s="39"/>
      <c r="C5966" s="155"/>
      <c r="D5966" s="155"/>
      <c r="E5966" s="40"/>
      <c r="F5966" s="314"/>
      <c r="H5966" s="315"/>
      <c r="I5966" s="315"/>
      <c r="BA5966" s="30"/>
      <c r="BB5966" s="155"/>
      <c r="BC5966" s="314"/>
      <c r="BD5966" s="314"/>
      <c r="BE5966" s="314"/>
      <c r="BF5966" s="314"/>
      <c r="BG5966" s="314"/>
      <c r="BH5966" s="314"/>
      <c r="BI5966" s="314"/>
      <c r="BJ5966" s="314"/>
      <c r="BK5966" s="40"/>
      <c r="BL5966" s="40"/>
      <c r="BM5966" s="40"/>
      <c r="BN5966" s="40"/>
      <c r="BO5966" s="40"/>
      <c r="BP5966" s="155"/>
      <c r="BQ5966" s="314"/>
      <c r="BR5966" s="314"/>
      <c r="BS5966" s="314"/>
      <c r="BT5966" s="314"/>
      <c r="BU5966" s="314"/>
      <c r="BV5966" s="314"/>
      <c r="BW5966" s="314"/>
      <c r="BX5966" s="155"/>
    </row>
    <row r="5967" spans="1:76" ht="15.75" customHeight="1">
      <c r="A5967" s="25"/>
      <c r="B5967" s="39"/>
      <c r="C5967" s="155"/>
      <c r="D5967" s="155"/>
      <c r="E5967" s="40"/>
      <c r="F5967" s="314"/>
      <c r="H5967" s="315"/>
      <c r="I5967" s="315"/>
      <c r="BA5967" s="30"/>
      <c r="BB5967" s="155"/>
      <c r="BC5967" s="314"/>
      <c r="BD5967" s="314"/>
      <c r="BE5967" s="314"/>
      <c r="BF5967" s="314"/>
      <c r="BG5967" s="314"/>
      <c r="BH5967" s="314"/>
      <c r="BI5967" s="314"/>
      <c r="BJ5967" s="314"/>
      <c r="BK5967" s="40"/>
      <c r="BL5967" s="40"/>
      <c r="BM5967" s="40"/>
      <c r="BN5967" s="40"/>
      <c r="BO5967" s="40"/>
      <c r="BP5967" s="155"/>
      <c r="BQ5967" s="314"/>
      <c r="BR5967" s="314"/>
      <c r="BS5967" s="314"/>
      <c r="BT5967" s="314"/>
      <c r="BU5967" s="314"/>
      <c r="BV5967" s="314"/>
      <c r="BW5967" s="314"/>
      <c r="BX5967" s="155"/>
    </row>
    <row r="5968" spans="1:76" ht="15.75" customHeight="1">
      <c r="A5968" s="25"/>
      <c r="B5968" s="39"/>
      <c r="C5968" s="155"/>
      <c r="D5968" s="155"/>
      <c r="E5968" s="40"/>
      <c r="F5968" s="314"/>
      <c r="H5968" s="315"/>
      <c r="I5968" s="315"/>
      <c r="BA5968" s="30"/>
      <c r="BB5968" s="155"/>
      <c r="BC5968" s="314"/>
      <c r="BD5968" s="314"/>
      <c r="BE5968" s="314"/>
      <c r="BF5968" s="314"/>
      <c r="BG5968" s="314"/>
      <c r="BH5968" s="314"/>
      <c r="BI5968" s="314"/>
      <c r="BJ5968" s="314"/>
      <c r="BK5968" s="40"/>
      <c r="BL5968" s="40"/>
      <c r="BM5968" s="40"/>
      <c r="BN5968" s="40"/>
      <c r="BO5968" s="40"/>
      <c r="BP5968" s="155"/>
      <c r="BQ5968" s="314"/>
      <c r="BR5968" s="314"/>
      <c r="BS5968" s="314"/>
      <c r="BT5968" s="314"/>
      <c r="BU5968" s="314"/>
      <c r="BV5968" s="314"/>
      <c r="BW5968" s="314"/>
      <c r="BX5968" s="155"/>
    </row>
    <row r="5969" spans="1:76" ht="15.75" customHeight="1">
      <c r="A5969" s="25"/>
      <c r="B5969" s="39"/>
      <c r="C5969" s="155"/>
      <c r="D5969" s="155"/>
      <c r="E5969" s="40"/>
      <c r="F5969" s="314"/>
      <c r="H5969" s="315"/>
      <c r="I5969" s="315"/>
      <c r="BA5969" s="30"/>
      <c r="BB5969" s="155"/>
      <c r="BC5969" s="314"/>
      <c r="BD5969" s="314"/>
      <c r="BE5969" s="314"/>
      <c r="BF5969" s="314"/>
      <c r="BG5969" s="314"/>
      <c r="BH5969" s="314"/>
      <c r="BI5969" s="314"/>
      <c r="BJ5969" s="314"/>
      <c r="BK5969" s="40"/>
      <c r="BL5969" s="40"/>
      <c r="BM5969" s="40"/>
      <c r="BN5969" s="40"/>
      <c r="BO5969" s="40"/>
      <c r="BP5969" s="155"/>
      <c r="BQ5969" s="314"/>
      <c r="BR5969" s="314"/>
      <c r="BS5969" s="314"/>
      <c r="BT5969" s="314"/>
      <c r="BU5969" s="314"/>
      <c r="BV5969" s="314"/>
      <c r="BW5969" s="314"/>
      <c r="BX5969" s="155"/>
    </row>
    <row r="5970" spans="1:76" ht="15.75" customHeight="1">
      <c r="A5970" s="25"/>
      <c r="B5970" s="39"/>
      <c r="C5970" s="155"/>
      <c r="D5970" s="155"/>
      <c r="E5970" s="40"/>
      <c r="F5970" s="314"/>
      <c r="H5970" s="315"/>
      <c r="I5970" s="315"/>
      <c r="BA5970" s="30"/>
      <c r="BB5970" s="155"/>
      <c r="BC5970" s="314"/>
      <c r="BD5970" s="314"/>
      <c r="BE5970" s="314"/>
      <c r="BF5970" s="314"/>
      <c r="BG5970" s="314"/>
      <c r="BH5970" s="314"/>
      <c r="BI5970" s="314"/>
      <c r="BJ5970" s="314"/>
      <c r="BK5970" s="40"/>
      <c r="BL5970" s="40"/>
      <c r="BM5970" s="40"/>
      <c r="BN5970" s="40"/>
      <c r="BO5970" s="40"/>
      <c r="BP5970" s="155"/>
      <c r="BQ5970" s="314"/>
      <c r="BR5970" s="314"/>
      <c r="BS5970" s="314"/>
      <c r="BT5970" s="314"/>
      <c r="BU5970" s="314"/>
      <c r="BV5970" s="314"/>
      <c r="BW5970" s="314"/>
      <c r="BX5970" s="155"/>
    </row>
    <row r="5971" spans="1:76" ht="15.75" customHeight="1">
      <c r="A5971" s="25"/>
      <c r="B5971" s="39"/>
      <c r="C5971" s="155"/>
      <c r="D5971" s="155"/>
      <c r="E5971" s="40"/>
      <c r="F5971" s="314"/>
      <c r="H5971" s="315"/>
      <c r="I5971" s="315"/>
      <c r="BA5971" s="30"/>
      <c r="BB5971" s="155"/>
      <c r="BC5971" s="314"/>
      <c r="BD5971" s="314"/>
      <c r="BE5971" s="314"/>
      <c r="BF5971" s="314"/>
      <c r="BG5971" s="314"/>
      <c r="BH5971" s="314"/>
      <c r="BI5971" s="314"/>
      <c r="BJ5971" s="314"/>
      <c r="BK5971" s="40"/>
      <c r="BL5971" s="40"/>
      <c r="BM5971" s="40"/>
      <c r="BN5971" s="40"/>
      <c r="BO5971" s="40"/>
      <c r="BP5971" s="155"/>
      <c r="BQ5971" s="314"/>
      <c r="BR5971" s="314"/>
      <c r="BS5971" s="314"/>
      <c r="BT5971" s="314"/>
      <c r="BU5971" s="314"/>
      <c r="BV5971" s="314"/>
      <c r="BW5971" s="314"/>
      <c r="BX5971" s="155"/>
    </row>
    <row r="5972" spans="1:76" ht="15.75" customHeight="1">
      <c r="A5972" s="25"/>
      <c r="B5972" s="39"/>
      <c r="C5972" s="155"/>
      <c r="D5972" s="155"/>
      <c r="E5972" s="40"/>
      <c r="F5972" s="314"/>
      <c r="H5972" s="315"/>
      <c r="I5972" s="315"/>
      <c r="BA5972" s="30"/>
      <c r="BB5972" s="155"/>
      <c r="BC5972" s="314"/>
      <c r="BD5972" s="314"/>
      <c r="BE5972" s="314"/>
      <c r="BF5972" s="314"/>
      <c r="BG5972" s="314"/>
      <c r="BH5972" s="314"/>
      <c r="BI5972" s="314"/>
      <c r="BJ5972" s="314"/>
      <c r="BK5972" s="40"/>
      <c r="BL5972" s="40"/>
      <c r="BM5972" s="40"/>
      <c r="BN5972" s="40"/>
      <c r="BO5972" s="40"/>
      <c r="BP5972" s="155"/>
      <c r="BQ5972" s="314"/>
      <c r="BR5972" s="314"/>
      <c r="BS5972" s="314"/>
      <c r="BT5972" s="314"/>
      <c r="BU5972" s="314"/>
      <c r="BV5972" s="314"/>
      <c r="BW5972" s="314"/>
      <c r="BX5972" s="155"/>
    </row>
    <row r="5973" spans="1:76" ht="15.75" customHeight="1">
      <c r="A5973" s="25"/>
      <c r="B5973" s="39"/>
      <c r="C5973" s="155"/>
      <c r="D5973" s="155"/>
      <c r="E5973" s="40"/>
      <c r="F5973" s="314"/>
      <c r="H5973" s="315"/>
      <c r="I5973" s="315"/>
      <c r="BA5973" s="30"/>
      <c r="BB5973" s="155"/>
      <c r="BC5973" s="314"/>
      <c r="BD5973" s="314"/>
      <c r="BE5973" s="314"/>
      <c r="BF5973" s="314"/>
      <c r="BG5973" s="314"/>
      <c r="BH5973" s="314"/>
      <c r="BI5973" s="314"/>
      <c r="BJ5973" s="314"/>
      <c r="BK5973" s="40"/>
      <c r="BL5973" s="40"/>
      <c r="BM5973" s="40"/>
      <c r="BN5973" s="40"/>
      <c r="BO5973" s="40"/>
      <c r="BP5973" s="155"/>
      <c r="BQ5973" s="314"/>
      <c r="BR5973" s="314"/>
      <c r="BS5973" s="314"/>
      <c r="BT5973" s="314"/>
      <c r="BU5973" s="314"/>
      <c r="BV5973" s="314"/>
      <c r="BW5973" s="314"/>
      <c r="BX5973" s="155"/>
    </row>
    <row r="5974" spans="1:76" ht="15.75" customHeight="1">
      <c r="A5974" s="25"/>
      <c r="B5974" s="39"/>
      <c r="C5974" s="155"/>
      <c r="D5974" s="155"/>
      <c r="E5974" s="40"/>
      <c r="F5974" s="314"/>
      <c r="H5974" s="315"/>
      <c r="I5974" s="315"/>
      <c r="BA5974" s="30"/>
      <c r="BB5974" s="155"/>
      <c r="BC5974" s="314"/>
      <c r="BD5974" s="314"/>
      <c r="BE5974" s="314"/>
      <c r="BF5974" s="314"/>
      <c r="BG5974" s="314"/>
      <c r="BH5974" s="314"/>
      <c r="BI5974" s="314"/>
      <c r="BJ5974" s="314"/>
      <c r="BK5974" s="40"/>
      <c r="BL5974" s="40"/>
      <c r="BM5974" s="40"/>
      <c r="BN5974" s="40"/>
      <c r="BO5974" s="40"/>
      <c r="BP5974" s="155"/>
      <c r="BQ5974" s="314"/>
      <c r="BR5974" s="314"/>
      <c r="BS5974" s="314"/>
      <c r="BT5974" s="314"/>
      <c r="BU5974" s="314"/>
      <c r="BV5974" s="314"/>
      <c r="BW5974" s="314"/>
      <c r="BX5974" s="155"/>
    </row>
    <row r="5975" spans="1:76" ht="15.75" customHeight="1">
      <c r="A5975" s="25"/>
      <c r="B5975" s="39"/>
      <c r="C5975" s="155"/>
      <c r="D5975" s="155"/>
      <c r="E5975" s="40"/>
      <c r="F5975" s="314"/>
      <c r="H5975" s="315"/>
      <c r="I5975" s="315"/>
      <c r="BA5975" s="30"/>
      <c r="BB5975" s="155"/>
      <c r="BC5975" s="314"/>
      <c r="BD5975" s="314"/>
      <c r="BE5975" s="314"/>
      <c r="BF5975" s="314"/>
      <c r="BG5975" s="314"/>
      <c r="BH5975" s="314"/>
      <c r="BI5975" s="314"/>
      <c r="BJ5975" s="314"/>
      <c r="BK5975" s="40"/>
      <c r="BL5975" s="40"/>
      <c r="BM5975" s="40"/>
      <c r="BN5975" s="40"/>
      <c r="BO5975" s="40"/>
      <c r="BP5975" s="155"/>
      <c r="BQ5975" s="314"/>
      <c r="BR5975" s="314"/>
      <c r="BS5975" s="314"/>
      <c r="BT5975" s="314"/>
      <c r="BU5975" s="314"/>
      <c r="BV5975" s="314"/>
      <c r="BW5975" s="314"/>
      <c r="BX5975" s="155"/>
    </row>
    <row r="5976" spans="1:76" ht="15.75" customHeight="1">
      <c r="A5976" s="25"/>
      <c r="B5976" s="39"/>
      <c r="C5976" s="155"/>
      <c r="D5976" s="155"/>
      <c r="E5976" s="40"/>
      <c r="F5976" s="314"/>
      <c r="H5976" s="315"/>
      <c r="I5976" s="315"/>
      <c r="BA5976" s="30"/>
      <c r="BB5976" s="155"/>
      <c r="BC5976" s="314"/>
      <c r="BD5976" s="314"/>
      <c r="BE5976" s="314"/>
      <c r="BF5976" s="314"/>
      <c r="BG5976" s="314"/>
      <c r="BH5976" s="314"/>
      <c r="BI5976" s="314"/>
      <c r="BJ5976" s="314"/>
      <c r="BK5976" s="40"/>
      <c r="BL5976" s="40"/>
      <c r="BM5976" s="40"/>
      <c r="BN5976" s="40"/>
      <c r="BO5976" s="40"/>
      <c r="BP5976" s="155"/>
      <c r="BQ5976" s="314"/>
      <c r="BR5976" s="314"/>
      <c r="BS5976" s="314"/>
      <c r="BT5976" s="314"/>
      <c r="BU5976" s="314"/>
      <c r="BV5976" s="314"/>
      <c r="BW5976" s="314"/>
      <c r="BX5976" s="155"/>
    </row>
    <row r="5977" spans="1:76" ht="15.75" customHeight="1">
      <c r="A5977" s="25"/>
      <c r="B5977" s="39"/>
      <c r="C5977" s="155"/>
      <c r="D5977" s="155"/>
      <c r="E5977" s="40"/>
      <c r="F5977" s="314"/>
      <c r="H5977" s="315"/>
      <c r="I5977" s="315"/>
      <c r="BA5977" s="30"/>
      <c r="BB5977" s="155"/>
      <c r="BC5977" s="314"/>
      <c r="BD5977" s="314"/>
      <c r="BE5977" s="314"/>
      <c r="BF5977" s="314"/>
      <c r="BG5977" s="314"/>
      <c r="BH5977" s="314"/>
      <c r="BI5977" s="314"/>
      <c r="BJ5977" s="314"/>
      <c r="BK5977" s="40"/>
      <c r="BL5977" s="40"/>
      <c r="BM5977" s="40"/>
      <c r="BN5977" s="40"/>
      <c r="BO5977" s="40"/>
      <c r="BP5977" s="155"/>
      <c r="BQ5977" s="314"/>
      <c r="BR5977" s="314"/>
      <c r="BS5977" s="314"/>
      <c r="BT5977" s="314"/>
      <c r="BU5977" s="314"/>
      <c r="BV5977" s="314"/>
      <c r="BW5977" s="314"/>
      <c r="BX5977" s="155"/>
    </row>
    <row r="5978" spans="1:76" ht="15.75" customHeight="1">
      <c r="A5978" s="25"/>
      <c r="B5978" s="39"/>
      <c r="C5978" s="155"/>
      <c r="D5978" s="155"/>
      <c r="E5978" s="40"/>
      <c r="F5978" s="314"/>
      <c r="H5978" s="315"/>
      <c r="I5978" s="315"/>
      <c r="BA5978" s="30"/>
      <c r="BB5978" s="155"/>
      <c r="BC5978" s="314"/>
      <c r="BD5978" s="314"/>
      <c r="BE5978" s="314"/>
      <c r="BF5978" s="314"/>
      <c r="BG5978" s="314"/>
      <c r="BH5978" s="314"/>
      <c r="BI5978" s="314"/>
      <c r="BJ5978" s="314"/>
      <c r="BK5978" s="40"/>
      <c r="BL5978" s="40"/>
      <c r="BM5978" s="40"/>
      <c r="BN5978" s="40"/>
      <c r="BO5978" s="40"/>
      <c r="BP5978" s="155"/>
      <c r="BQ5978" s="314"/>
      <c r="BR5978" s="314"/>
      <c r="BS5978" s="314"/>
      <c r="BT5978" s="314"/>
      <c r="BU5978" s="314"/>
      <c r="BV5978" s="314"/>
      <c r="BW5978" s="314"/>
      <c r="BX5978" s="155"/>
    </row>
    <row r="5979" spans="1:76" ht="15.75" customHeight="1">
      <c r="A5979" s="25"/>
      <c r="B5979" s="39"/>
      <c r="C5979" s="155"/>
      <c r="D5979" s="155"/>
      <c r="E5979" s="40"/>
      <c r="F5979" s="314"/>
      <c r="H5979" s="315"/>
      <c r="I5979" s="315"/>
      <c r="BA5979" s="30"/>
      <c r="BB5979" s="155"/>
      <c r="BC5979" s="314"/>
      <c r="BD5979" s="314"/>
      <c r="BE5979" s="314"/>
      <c r="BF5979" s="314"/>
      <c r="BG5979" s="314"/>
      <c r="BH5979" s="314"/>
      <c r="BI5979" s="314"/>
      <c r="BJ5979" s="314"/>
      <c r="BK5979" s="40"/>
      <c r="BL5979" s="40"/>
      <c r="BM5979" s="40"/>
      <c r="BN5979" s="40"/>
      <c r="BO5979" s="40"/>
      <c r="BP5979" s="155"/>
      <c r="BQ5979" s="314"/>
      <c r="BR5979" s="314"/>
      <c r="BS5979" s="314"/>
      <c r="BT5979" s="314"/>
      <c r="BU5979" s="314"/>
      <c r="BV5979" s="314"/>
      <c r="BW5979" s="314"/>
      <c r="BX5979" s="155"/>
    </row>
    <row r="5980" spans="1:76" ht="15.75" customHeight="1">
      <c r="A5980" s="25"/>
      <c r="B5980" s="39"/>
      <c r="C5980" s="155"/>
      <c r="D5980" s="155"/>
      <c r="E5980" s="40"/>
      <c r="F5980" s="314"/>
      <c r="H5980" s="315"/>
      <c r="I5980" s="315"/>
      <c r="BA5980" s="30"/>
      <c r="BB5980" s="155"/>
      <c r="BC5980" s="314"/>
      <c r="BD5980" s="314"/>
      <c r="BE5980" s="314"/>
      <c r="BF5980" s="314"/>
      <c r="BG5980" s="314"/>
      <c r="BH5980" s="314"/>
      <c r="BI5980" s="314"/>
      <c r="BJ5980" s="314"/>
      <c r="BK5980" s="40"/>
      <c r="BL5980" s="40"/>
      <c r="BM5980" s="40"/>
      <c r="BN5980" s="40"/>
      <c r="BO5980" s="40"/>
      <c r="BP5980" s="155"/>
      <c r="BQ5980" s="314"/>
      <c r="BR5980" s="314"/>
      <c r="BS5980" s="314"/>
      <c r="BT5980" s="314"/>
      <c r="BU5980" s="314"/>
      <c r="BV5980" s="314"/>
      <c r="BW5980" s="314"/>
      <c r="BX5980" s="155"/>
    </row>
    <row r="5981" spans="1:76" ht="15.75" customHeight="1">
      <c r="A5981" s="25"/>
      <c r="B5981" s="39"/>
      <c r="C5981" s="155"/>
      <c r="D5981" s="155"/>
      <c r="E5981" s="40"/>
      <c r="F5981" s="314"/>
      <c r="H5981" s="315"/>
      <c r="I5981" s="315"/>
      <c r="BA5981" s="30"/>
      <c r="BB5981" s="155"/>
      <c r="BC5981" s="314"/>
      <c r="BD5981" s="314"/>
      <c r="BE5981" s="314"/>
      <c r="BF5981" s="314"/>
      <c r="BG5981" s="314"/>
      <c r="BH5981" s="314"/>
      <c r="BI5981" s="314"/>
      <c r="BJ5981" s="314"/>
      <c r="BK5981" s="40"/>
      <c r="BL5981" s="40"/>
      <c r="BM5981" s="40"/>
      <c r="BN5981" s="40"/>
      <c r="BO5981" s="40"/>
      <c r="BP5981" s="155"/>
      <c r="BQ5981" s="314"/>
      <c r="BR5981" s="314"/>
      <c r="BS5981" s="314"/>
      <c r="BT5981" s="314"/>
      <c r="BU5981" s="314"/>
      <c r="BV5981" s="314"/>
      <c r="BW5981" s="314"/>
      <c r="BX5981" s="155"/>
    </row>
    <row r="5982" spans="1:76" ht="15.75" customHeight="1">
      <c r="A5982" s="25"/>
      <c r="B5982" s="39"/>
      <c r="C5982" s="155"/>
      <c r="D5982" s="155"/>
      <c r="E5982" s="40"/>
      <c r="F5982" s="314"/>
      <c r="H5982" s="315"/>
      <c r="I5982" s="315"/>
      <c r="BA5982" s="30"/>
      <c r="BB5982" s="155"/>
      <c r="BC5982" s="314"/>
      <c r="BD5982" s="314"/>
      <c r="BE5982" s="314"/>
      <c r="BF5982" s="314"/>
      <c r="BG5982" s="314"/>
      <c r="BH5982" s="314"/>
      <c r="BI5982" s="314"/>
      <c r="BJ5982" s="314"/>
      <c r="BK5982" s="40"/>
      <c r="BL5982" s="40"/>
      <c r="BM5982" s="40"/>
      <c r="BN5982" s="40"/>
      <c r="BO5982" s="40"/>
      <c r="BP5982" s="155"/>
      <c r="BQ5982" s="314"/>
      <c r="BR5982" s="314"/>
      <c r="BS5982" s="314"/>
      <c r="BT5982" s="314"/>
      <c r="BU5982" s="314"/>
      <c r="BV5982" s="314"/>
      <c r="BW5982" s="314"/>
      <c r="BX5982" s="155"/>
    </row>
    <row r="5983" spans="1:76" ht="15.75" customHeight="1">
      <c r="A5983" s="25"/>
      <c r="B5983" s="39"/>
      <c r="C5983" s="155"/>
      <c r="D5983" s="155"/>
      <c r="E5983" s="40"/>
      <c r="F5983" s="314"/>
      <c r="H5983" s="315"/>
      <c r="I5983" s="315"/>
      <c r="BA5983" s="30"/>
      <c r="BB5983" s="155"/>
      <c r="BC5983" s="314"/>
      <c r="BD5983" s="314"/>
      <c r="BE5983" s="314"/>
      <c r="BF5983" s="314"/>
      <c r="BG5983" s="314"/>
      <c r="BH5983" s="314"/>
      <c r="BI5983" s="314"/>
      <c r="BJ5983" s="314"/>
      <c r="BK5983" s="40"/>
      <c r="BL5983" s="40"/>
      <c r="BM5983" s="40"/>
      <c r="BN5983" s="40"/>
      <c r="BO5983" s="40"/>
      <c r="BP5983" s="155"/>
      <c r="BQ5983" s="314"/>
      <c r="BR5983" s="314"/>
      <c r="BS5983" s="314"/>
      <c r="BT5983" s="314"/>
      <c r="BU5983" s="314"/>
      <c r="BV5983" s="314"/>
      <c r="BW5983" s="314"/>
      <c r="BX5983" s="155"/>
    </row>
    <row r="5984" spans="1:76" ht="15.75" customHeight="1">
      <c r="A5984" s="25"/>
      <c r="B5984" s="39"/>
      <c r="C5984" s="155"/>
      <c r="D5984" s="155"/>
      <c r="E5984" s="40"/>
      <c r="F5984" s="314"/>
      <c r="H5984" s="315"/>
      <c r="I5984" s="315"/>
      <c r="BA5984" s="30"/>
      <c r="BB5984" s="155"/>
      <c r="BC5984" s="314"/>
      <c r="BD5984" s="314"/>
      <c r="BE5984" s="314"/>
      <c r="BF5984" s="314"/>
      <c r="BG5984" s="314"/>
      <c r="BH5984" s="314"/>
      <c r="BI5984" s="314"/>
      <c r="BJ5984" s="314"/>
      <c r="BK5984" s="40"/>
      <c r="BL5984" s="40"/>
      <c r="BM5984" s="40"/>
      <c r="BN5984" s="40"/>
      <c r="BO5984" s="40"/>
      <c r="BP5984" s="155"/>
      <c r="BQ5984" s="314"/>
      <c r="BR5984" s="314"/>
      <c r="BS5984" s="314"/>
      <c r="BT5984" s="314"/>
      <c r="BU5984" s="314"/>
      <c r="BV5984" s="314"/>
      <c r="BW5984" s="314"/>
      <c r="BX5984" s="155"/>
    </row>
    <row r="5985" spans="1:76" ht="15.75" customHeight="1">
      <c r="A5985" s="25"/>
      <c r="B5985" s="39"/>
      <c r="C5985" s="155"/>
      <c r="D5985" s="155"/>
      <c r="E5985" s="40"/>
      <c r="F5985" s="314"/>
      <c r="H5985" s="315"/>
      <c r="I5985" s="315"/>
      <c r="BA5985" s="30"/>
      <c r="BB5985" s="155"/>
      <c r="BC5985" s="314"/>
      <c r="BD5985" s="314"/>
      <c r="BE5985" s="314"/>
      <c r="BF5985" s="314"/>
      <c r="BG5985" s="314"/>
      <c r="BH5985" s="314"/>
      <c r="BI5985" s="314"/>
      <c r="BJ5985" s="314"/>
      <c r="BK5985" s="40"/>
      <c r="BL5985" s="40"/>
      <c r="BM5985" s="40"/>
      <c r="BN5985" s="40"/>
      <c r="BO5985" s="40"/>
      <c r="BP5985" s="155"/>
      <c r="BQ5985" s="314"/>
      <c r="BR5985" s="314"/>
      <c r="BS5985" s="314"/>
      <c r="BT5985" s="314"/>
      <c r="BU5985" s="314"/>
      <c r="BV5985" s="314"/>
      <c r="BW5985" s="314"/>
      <c r="BX5985" s="155"/>
    </row>
    <row r="5986" spans="1:76" ht="15.75" customHeight="1">
      <c r="A5986" s="25"/>
      <c r="B5986" s="39"/>
      <c r="C5986" s="155"/>
      <c r="D5986" s="155"/>
      <c r="E5986" s="40"/>
      <c r="F5986" s="314"/>
      <c r="H5986" s="315"/>
      <c r="I5986" s="315"/>
      <c r="BA5986" s="30"/>
      <c r="BB5986" s="155"/>
      <c r="BC5986" s="314"/>
      <c r="BD5986" s="314"/>
      <c r="BE5986" s="314"/>
      <c r="BF5986" s="314"/>
      <c r="BG5986" s="314"/>
      <c r="BH5986" s="314"/>
      <c r="BI5986" s="314"/>
      <c r="BJ5986" s="314"/>
      <c r="BK5986" s="40"/>
      <c r="BL5986" s="40"/>
      <c r="BM5986" s="40"/>
      <c r="BN5986" s="40"/>
      <c r="BO5986" s="40"/>
      <c r="BP5986" s="155"/>
      <c r="BQ5986" s="314"/>
      <c r="BR5986" s="314"/>
      <c r="BS5986" s="314"/>
      <c r="BT5986" s="314"/>
      <c r="BU5986" s="314"/>
      <c r="BV5986" s="314"/>
      <c r="BW5986" s="314"/>
      <c r="BX5986" s="155"/>
    </row>
    <row r="5987" spans="1:76" ht="15.75" customHeight="1">
      <c r="A5987" s="25"/>
      <c r="B5987" s="39"/>
      <c r="C5987" s="155"/>
      <c r="D5987" s="155"/>
      <c r="E5987" s="40"/>
      <c r="F5987" s="314"/>
      <c r="H5987" s="315"/>
      <c r="I5987" s="315"/>
      <c r="BA5987" s="30"/>
      <c r="BB5987" s="155"/>
      <c r="BC5987" s="314"/>
      <c r="BD5987" s="314"/>
      <c r="BE5987" s="314"/>
      <c r="BF5987" s="314"/>
      <c r="BG5987" s="314"/>
      <c r="BH5987" s="314"/>
      <c r="BI5987" s="314"/>
      <c r="BJ5987" s="314"/>
      <c r="BK5987" s="40"/>
      <c r="BL5987" s="40"/>
      <c r="BM5987" s="40"/>
      <c r="BN5987" s="40"/>
      <c r="BO5987" s="40"/>
      <c r="BP5987" s="155"/>
      <c r="BQ5987" s="314"/>
      <c r="BR5987" s="314"/>
      <c r="BS5987" s="314"/>
      <c r="BT5987" s="314"/>
      <c r="BU5987" s="314"/>
      <c r="BV5987" s="314"/>
      <c r="BW5987" s="314"/>
      <c r="BX5987" s="155"/>
    </row>
    <row r="5988" spans="1:76" ht="15.75" customHeight="1">
      <c r="A5988" s="25"/>
      <c r="B5988" s="39"/>
      <c r="C5988" s="155"/>
      <c r="D5988" s="155"/>
      <c r="E5988" s="40"/>
      <c r="F5988" s="314"/>
      <c r="H5988" s="315"/>
      <c r="I5988" s="315"/>
      <c r="BA5988" s="30"/>
      <c r="BB5988" s="155"/>
      <c r="BC5988" s="314"/>
      <c r="BD5988" s="314"/>
      <c r="BE5988" s="314"/>
      <c r="BF5988" s="314"/>
      <c r="BG5988" s="314"/>
      <c r="BH5988" s="314"/>
      <c r="BI5988" s="314"/>
      <c r="BJ5988" s="314"/>
      <c r="BK5988" s="40"/>
      <c r="BL5988" s="40"/>
      <c r="BM5988" s="40"/>
      <c r="BN5988" s="40"/>
      <c r="BO5988" s="40"/>
      <c r="BP5988" s="155"/>
      <c r="BQ5988" s="314"/>
      <c r="BR5988" s="314"/>
      <c r="BS5988" s="314"/>
      <c r="BT5988" s="314"/>
      <c r="BU5988" s="314"/>
      <c r="BV5988" s="314"/>
      <c r="BW5988" s="314"/>
      <c r="BX5988" s="155"/>
    </row>
    <row r="5989" spans="1:76" ht="15.75" customHeight="1">
      <c r="A5989" s="25"/>
      <c r="B5989" s="39"/>
      <c r="C5989" s="155"/>
      <c r="D5989" s="155"/>
      <c r="E5989" s="40"/>
      <c r="F5989" s="314"/>
      <c r="H5989" s="315"/>
      <c r="I5989" s="315"/>
      <c r="BA5989" s="30"/>
      <c r="BB5989" s="155"/>
      <c r="BC5989" s="314"/>
      <c r="BD5989" s="314"/>
      <c r="BE5989" s="314"/>
      <c r="BF5989" s="314"/>
      <c r="BG5989" s="314"/>
      <c r="BH5989" s="314"/>
      <c r="BI5989" s="314"/>
      <c r="BJ5989" s="314"/>
      <c r="BK5989" s="40"/>
      <c r="BL5989" s="40"/>
      <c r="BM5989" s="40"/>
      <c r="BN5989" s="40"/>
      <c r="BO5989" s="40"/>
      <c r="BP5989" s="155"/>
      <c r="BQ5989" s="314"/>
      <c r="BR5989" s="314"/>
      <c r="BS5989" s="314"/>
      <c r="BT5989" s="314"/>
      <c r="BU5989" s="314"/>
      <c r="BV5989" s="314"/>
      <c r="BW5989" s="314"/>
      <c r="BX5989" s="155"/>
    </row>
    <row r="5990" spans="1:76" ht="15.75" customHeight="1">
      <c r="A5990" s="25"/>
      <c r="B5990" s="39"/>
      <c r="C5990" s="155"/>
      <c r="D5990" s="155"/>
      <c r="E5990" s="40"/>
      <c r="F5990" s="314"/>
      <c r="H5990" s="315"/>
      <c r="I5990" s="315"/>
      <c r="BA5990" s="30"/>
      <c r="BB5990" s="155"/>
      <c r="BC5990" s="314"/>
      <c r="BD5990" s="314"/>
      <c r="BE5990" s="314"/>
      <c r="BF5990" s="314"/>
      <c r="BG5990" s="314"/>
      <c r="BH5990" s="314"/>
      <c r="BI5990" s="314"/>
      <c r="BJ5990" s="314"/>
      <c r="BK5990" s="40"/>
      <c r="BL5990" s="40"/>
      <c r="BM5990" s="40"/>
      <c r="BN5990" s="40"/>
      <c r="BO5990" s="40"/>
      <c r="BP5990" s="155"/>
      <c r="BQ5990" s="314"/>
      <c r="BR5990" s="314"/>
      <c r="BS5990" s="314"/>
      <c r="BT5990" s="314"/>
      <c r="BU5990" s="314"/>
      <c r="BV5990" s="314"/>
      <c r="BW5990" s="314"/>
      <c r="BX5990" s="155"/>
    </row>
    <row r="5991" spans="1:76" ht="15.75" customHeight="1">
      <c r="A5991" s="25"/>
      <c r="B5991" s="39"/>
      <c r="C5991" s="155"/>
      <c r="D5991" s="155"/>
      <c r="E5991" s="40"/>
      <c r="F5991" s="314"/>
      <c r="H5991" s="315"/>
      <c r="I5991" s="315"/>
      <c r="BA5991" s="30"/>
      <c r="BB5991" s="155"/>
      <c r="BC5991" s="314"/>
      <c r="BD5991" s="314"/>
      <c r="BE5991" s="314"/>
      <c r="BF5991" s="314"/>
      <c r="BG5991" s="314"/>
      <c r="BH5991" s="314"/>
      <c r="BI5991" s="314"/>
      <c r="BJ5991" s="314"/>
      <c r="BK5991" s="40"/>
      <c r="BL5991" s="40"/>
      <c r="BM5991" s="40"/>
      <c r="BN5991" s="40"/>
      <c r="BO5991" s="40"/>
      <c r="BP5991" s="155"/>
      <c r="BQ5991" s="314"/>
      <c r="BR5991" s="314"/>
      <c r="BS5991" s="314"/>
      <c r="BT5991" s="314"/>
      <c r="BU5991" s="314"/>
      <c r="BV5991" s="314"/>
      <c r="BW5991" s="314"/>
      <c r="BX5991" s="155"/>
    </row>
    <row r="5992" spans="1:76" ht="15.75" customHeight="1">
      <c r="A5992" s="25"/>
      <c r="B5992" s="39"/>
      <c r="C5992" s="155"/>
      <c r="D5992" s="155"/>
      <c r="E5992" s="40"/>
      <c r="F5992" s="314"/>
      <c r="H5992" s="315"/>
      <c r="I5992" s="315"/>
      <c r="BA5992" s="30"/>
      <c r="BB5992" s="155"/>
      <c r="BC5992" s="314"/>
      <c r="BD5992" s="314"/>
      <c r="BE5992" s="314"/>
      <c r="BF5992" s="314"/>
      <c r="BG5992" s="314"/>
      <c r="BH5992" s="314"/>
      <c r="BI5992" s="314"/>
      <c r="BJ5992" s="314"/>
      <c r="BK5992" s="40"/>
      <c r="BL5992" s="40"/>
      <c r="BM5992" s="40"/>
      <c r="BN5992" s="40"/>
      <c r="BO5992" s="40"/>
      <c r="BP5992" s="155"/>
      <c r="BQ5992" s="314"/>
      <c r="BR5992" s="314"/>
      <c r="BS5992" s="314"/>
      <c r="BT5992" s="314"/>
      <c r="BU5992" s="314"/>
      <c r="BV5992" s="314"/>
      <c r="BW5992" s="314"/>
      <c r="BX5992" s="155"/>
    </row>
    <row r="5993" spans="1:76" ht="15.75" customHeight="1">
      <c r="A5993" s="25"/>
      <c r="B5993" s="39"/>
      <c r="C5993" s="155"/>
      <c r="D5993" s="155"/>
      <c r="E5993" s="40"/>
      <c r="F5993" s="314"/>
      <c r="H5993" s="315"/>
      <c r="I5993" s="315"/>
      <c r="BA5993" s="30"/>
      <c r="BB5993" s="155"/>
      <c r="BC5993" s="314"/>
      <c r="BD5993" s="314"/>
      <c r="BE5993" s="314"/>
      <c r="BF5993" s="314"/>
      <c r="BG5993" s="314"/>
      <c r="BH5993" s="314"/>
      <c r="BI5993" s="314"/>
      <c r="BJ5993" s="314"/>
      <c r="BK5993" s="40"/>
      <c r="BL5993" s="40"/>
      <c r="BM5993" s="40"/>
      <c r="BN5993" s="40"/>
      <c r="BO5993" s="40"/>
      <c r="BP5993" s="155"/>
      <c r="BQ5993" s="314"/>
      <c r="BR5993" s="314"/>
      <c r="BS5993" s="314"/>
      <c r="BT5993" s="314"/>
      <c r="BU5993" s="314"/>
      <c r="BV5993" s="314"/>
      <c r="BW5993" s="314"/>
      <c r="BX5993" s="155"/>
    </row>
    <row r="5994" spans="1:76" ht="15.75" customHeight="1">
      <c r="A5994" s="25"/>
      <c r="B5994" s="39"/>
      <c r="C5994" s="155"/>
      <c r="D5994" s="155"/>
      <c r="E5994" s="40"/>
      <c r="F5994" s="314"/>
      <c r="H5994" s="315"/>
      <c r="I5994" s="315"/>
      <c r="BA5994" s="30"/>
      <c r="BB5994" s="155"/>
      <c r="BC5994" s="314"/>
      <c r="BD5994" s="314"/>
      <c r="BE5994" s="314"/>
      <c r="BF5994" s="314"/>
      <c r="BG5994" s="314"/>
      <c r="BH5994" s="314"/>
      <c r="BI5994" s="314"/>
      <c r="BJ5994" s="314"/>
      <c r="BK5994" s="40"/>
      <c r="BL5994" s="40"/>
      <c r="BM5994" s="40"/>
      <c r="BN5994" s="40"/>
      <c r="BO5994" s="40"/>
      <c r="BP5994" s="155"/>
      <c r="BQ5994" s="314"/>
      <c r="BR5994" s="314"/>
      <c r="BS5994" s="314"/>
      <c r="BT5994" s="314"/>
      <c r="BU5994" s="314"/>
      <c r="BV5994" s="314"/>
      <c r="BW5994" s="314"/>
      <c r="BX5994" s="155"/>
    </row>
    <row r="5995" spans="1:76" ht="15.75" customHeight="1">
      <c r="A5995" s="25"/>
      <c r="B5995" s="39"/>
      <c r="C5995" s="155"/>
      <c r="D5995" s="155"/>
      <c r="E5995" s="40"/>
      <c r="F5995" s="314"/>
      <c r="H5995" s="315"/>
      <c r="I5995" s="315"/>
      <c r="BA5995" s="30"/>
      <c r="BB5995" s="155"/>
      <c r="BC5995" s="314"/>
      <c r="BD5995" s="314"/>
      <c r="BE5995" s="314"/>
      <c r="BF5995" s="314"/>
      <c r="BG5995" s="314"/>
      <c r="BH5995" s="314"/>
      <c r="BI5995" s="314"/>
      <c r="BJ5995" s="314"/>
      <c r="BK5995" s="40"/>
      <c r="BL5995" s="40"/>
      <c r="BM5995" s="40"/>
      <c r="BN5995" s="40"/>
      <c r="BO5995" s="40"/>
      <c r="BP5995" s="155"/>
      <c r="BQ5995" s="314"/>
      <c r="BR5995" s="314"/>
      <c r="BS5995" s="314"/>
      <c r="BT5995" s="314"/>
      <c r="BU5995" s="314"/>
      <c r="BV5995" s="314"/>
      <c r="BW5995" s="314"/>
      <c r="BX5995" s="155"/>
    </row>
    <row r="5996" spans="1:76" ht="15.75" customHeight="1">
      <c r="A5996" s="25"/>
      <c r="B5996" s="39"/>
      <c r="C5996" s="155"/>
      <c r="D5996" s="155"/>
      <c r="E5996" s="40"/>
      <c r="F5996" s="314"/>
      <c r="H5996" s="315"/>
      <c r="I5996" s="315"/>
      <c r="BA5996" s="30"/>
      <c r="BB5996" s="155"/>
      <c r="BC5996" s="314"/>
      <c r="BD5996" s="314"/>
      <c r="BE5996" s="314"/>
      <c r="BF5996" s="314"/>
      <c r="BG5996" s="314"/>
      <c r="BH5996" s="314"/>
      <c r="BI5996" s="314"/>
      <c r="BJ5996" s="314"/>
      <c r="BK5996" s="40"/>
      <c r="BL5996" s="40"/>
      <c r="BM5996" s="40"/>
      <c r="BN5996" s="40"/>
      <c r="BO5996" s="40"/>
      <c r="BP5996" s="155"/>
      <c r="BQ5996" s="314"/>
      <c r="BR5996" s="314"/>
      <c r="BS5996" s="314"/>
      <c r="BT5996" s="314"/>
      <c r="BU5996" s="314"/>
      <c r="BV5996" s="314"/>
      <c r="BW5996" s="314"/>
      <c r="BX5996" s="155"/>
    </row>
    <row r="5997" spans="1:76" ht="15.75" customHeight="1">
      <c r="A5997" s="25"/>
      <c r="B5997" s="39"/>
      <c r="C5997" s="155"/>
      <c r="D5997" s="155"/>
      <c r="E5997" s="40"/>
      <c r="F5997" s="314"/>
      <c r="H5997" s="315"/>
      <c r="I5997" s="315"/>
      <c r="BA5997" s="30"/>
      <c r="BB5997" s="155"/>
      <c r="BC5997" s="314"/>
      <c r="BD5997" s="314"/>
      <c r="BE5997" s="314"/>
      <c r="BF5997" s="314"/>
      <c r="BG5997" s="314"/>
      <c r="BH5997" s="314"/>
      <c r="BI5997" s="314"/>
      <c r="BJ5997" s="314"/>
      <c r="BK5997" s="40"/>
      <c r="BL5997" s="40"/>
      <c r="BM5997" s="40"/>
      <c r="BN5997" s="40"/>
      <c r="BO5997" s="40"/>
      <c r="BP5997" s="155"/>
      <c r="BQ5997" s="314"/>
      <c r="BR5997" s="314"/>
      <c r="BS5997" s="314"/>
      <c r="BT5997" s="314"/>
      <c r="BU5997" s="314"/>
      <c r="BV5997" s="314"/>
      <c r="BW5997" s="314"/>
      <c r="BX5997" s="155"/>
    </row>
    <row r="5998" spans="1:76" ht="15.75" customHeight="1">
      <c r="A5998" s="25"/>
      <c r="B5998" s="39"/>
      <c r="C5998" s="155"/>
      <c r="D5998" s="155"/>
      <c r="E5998" s="40"/>
      <c r="F5998" s="314"/>
      <c r="H5998" s="315"/>
      <c r="I5998" s="315"/>
      <c r="BA5998" s="30"/>
      <c r="BB5998" s="155"/>
      <c r="BC5998" s="314"/>
      <c r="BD5998" s="314"/>
      <c r="BE5998" s="314"/>
      <c r="BF5998" s="314"/>
      <c r="BG5998" s="314"/>
      <c r="BH5998" s="314"/>
      <c r="BI5998" s="314"/>
      <c r="BJ5998" s="314"/>
      <c r="BK5998" s="40"/>
      <c r="BL5998" s="40"/>
      <c r="BM5998" s="40"/>
      <c r="BN5998" s="40"/>
      <c r="BO5998" s="40"/>
      <c r="BP5998" s="155"/>
      <c r="BQ5998" s="314"/>
      <c r="BR5998" s="314"/>
      <c r="BS5998" s="314"/>
      <c r="BT5998" s="314"/>
      <c r="BU5998" s="314"/>
      <c r="BV5998" s="314"/>
      <c r="BW5998" s="314"/>
      <c r="BX5998" s="155"/>
    </row>
    <row r="5999" spans="1:76" ht="15.75" customHeight="1">
      <c r="A5999" s="25"/>
      <c r="B5999" s="39"/>
      <c r="C5999" s="155"/>
      <c r="D5999" s="155"/>
      <c r="E5999" s="40"/>
      <c r="F5999" s="314"/>
      <c r="H5999" s="315"/>
      <c r="I5999" s="315"/>
      <c r="BA5999" s="30"/>
      <c r="BB5999" s="155"/>
      <c r="BC5999" s="314"/>
      <c r="BD5999" s="314"/>
      <c r="BE5999" s="314"/>
      <c r="BF5999" s="314"/>
      <c r="BG5999" s="314"/>
      <c r="BH5999" s="314"/>
      <c r="BI5999" s="314"/>
      <c r="BJ5999" s="314"/>
      <c r="BK5999" s="40"/>
      <c r="BL5999" s="40"/>
      <c r="BM5999" s="40"/>
      <c r="BN5999" s="40"/>
      <c r="BO5999" s="40"/>
      <c r="BP5999" s="155"/>
      <c r="BQ5999" s="314"/>
      <c r="BR5999" s="314"/>
      <c r="BS5999" s="314"/>
      <c r="BT5999" s="314"/>
      <c r="BU5999" s="314"/>
      <c r="BV5999" s="314"/>
      <c r="BW5999" s="314"/>
      <c r="BX5999" s="155"/>
    </row>
    <row r="6000" spans="1:76" ht="15.75" customHeight="1">
      <c r="A6000" s="25"/>
      <c r="B6000" s="39"/>
      <c r="C6000" s="155"/>
      <c r="D6000" s="155"/>
      <c r="E6000" s="40"/>
      <c r="F6000" s="314"/>
      <c r="H6000" s="315"/>
      <c r="I6000" s="315"/>
      <c r="BA6000" s="30"/>
      <c r="BB6000" s="155"/>
      <c r="BC6000" s="314"/>
      <c r="BD6000" s="314"/>
      <c r="BE6000" s="314"/>
      <c r="BF6000" s="314"/>
      <c r="BG6000" s="314"/>
      <c r="BH6000" s="314"/>
      <c r="BI6000" s="314"/>
      <c r="BJ6000" s="314"/>
      <c r="BK6000" s="40"/>
      <c r="BL6000" s="40"/>
      <c r="BM6000" s="40"/>
      <c r="BN6000" s="40"/>
      <c r="BO6000" s="40"/>
      <c r="BP6000" s="155"/>
      <c r="BQ6000" s="314"/>
      <c r="BR6000" s="314"/>
      <c r="BS6000" s="314"/>
      <c r="BT6000" s="314"/>
      <c r="BU6000" s="314"/>
      <c r="BV6000" s="314"/>
      <c r="BW6000" s="314"/>
      <c r="BX6000" s="155"/>
    </row>
    <row r="6001" spans="1:76" ht="15.75" customHeight="1">
      <c r="A6001" s="25"/>
      <c r="B6001" s="39"/>
      <c r="C6001" s="155"/>
      <c r="D6001" s="155"/>
      <c r="E6001" s="40"/>
      <c r="F6001" s="314"/>
      <c r="H6001" s="315"/>
      <c r="I6001" s="315"/>
      <c r="BA6001" s="30"/>
      <c r="BB6001" s="155"/>
      <c r="BC6001" s="314"/>
      <c r="BD6001" s="314"/>
      <c r="BE6001" s="314"/>
      <c r="BF6001" s="314"/>
      <c r="BG6001" s="314"/>
      <c r="BH6001" s="314"/>
      <c r="BI6001" s="314"/>
      <c r="BJ6001" s="314"/>
      <c r="BK6001" s="40"/>
      <c r="BL6001" s="40"/>
      <c r="BM6001" s="40"/>
      <c r="BN6001" s="40"/>
      <c r="BO6001" s="40"/>
      <c r="BP6001" s="155"/>
      <c r="BQ6001" s="314"/>
      <c r="BR6001" s="314"/>
      <c r="BS6001" s="314"/>
      <c r="BT6001" s="314"/>
      <c r="BU6001" s="314"/>
      <c r="BV6001" s="314"/>
      <c r="BW6001" s="314"/>
      <c r="BX6001" s="155"/>
    </row>
    <row r="6002" spans="1:76" ht="15.75" customHeight="1">
      <c r="A6002" s="25"/>
      <c r="B6002" s="39"/>
      <c r="C6002" s="155"/>
      <c r="D6002" s="155"/>
      <c r="E6002" s="40"/>
      <c r="F6002" s="314"/>
      <c r="H6002" s="315"/>
      <c r="I6002" s="315"/>
      <c r="BA6002" s="30"/>
      <c r="BB6002" s="155"/>
      <c r="BC6002" s="314"/>
      <c r="BD6002" s="314"/>
      <c r="BE6002" s="314"/>
      <c r="BF6002" s="314"/>
      <c r="BG6002" s="314"/>
      <c r="BH6002" s="314"/>
      <c r="BI6002" s="314"/>
      <c r="BJ6002" s="314"/>
      <c r="BK6002" s="40"/>
      <c r="BL6002" s="40"/>
      <c r="BM6002" s="40"/>
      <c r="BN6002" s="40"/>
      <c r="BO6002" s="40"/>
      <c r="BP6002" s="155"/>
      <c r="BQ6002" s="314"/>
      <c r="BR6002" s="314"/>
      <c r="BS6002" s="314"/>
      <c r="BT6002" s="314"/>
      <c r="BU6002" s="314"/>
      <c r="BV6002" s="314"/>
      <c r="BW6002" s="314"/>
      <c r="BX6002" s="155"/>
    </row>
    <row r="6003" spans="1:76" ht="15.75" customHeight="1">
      <c r="A6003" s="25"/>
      <c r="B6003" s="39"/>
      <c r="C6003" s="155"/>
      <c r="D6003" s="155"/>
      <c r="E6003" s="40"/>
      <c r="F6003" s="314"/>
      <c r="H6003" s="315"/>
      <c r="I6003" s="315"/>
      <c r="BA6003" s="30"/>
      <c r="BB6003" s="155"/>
      <c r="BC6003" s="314"/>
      <c r="BD6003" s="314"/>
      <c r="BE6003" s="314"/>
      <c r="BF6003" s="314"/>
      <c r="BG6003" s="314"/>
      <c r="BH6003" s="314"/>
      <c r="BI6003" s="314"/>
      <c r="BJ6003" s="314"/>
      <c r="BK6003" s="40"/>
      <c r="BL6003" s="40"/>
      <c r="BM6003" s="40"/>
      <c r="BN6003" s="40"/>
      <c r="BO6003" s="40"/>
      <c r="BP6003" s="155"/>
      <c r="BQ6003" s="314"/>
      <c r="BR6003" s="314"/>
      <c r="BS6003" s="314"/>
      <c r="BT6003" s="314"/>
      <c r="BU6003" s="314"/>
      <c r="BV6003" s="314"/>
      <c r="BW6003" s="314"/>
      <c r="BX6003" s="155"/>
    </row>
    <row r="6004" spans="1:76" ht="15.75" customHeight="1">
      <c r="A6004" s="25"/>
      <c r="B6004" s="39"/>
      <c r="C6004" s="155"/>
      <c r="D6004" s="155"/>
      <c r="E6004" s="40"/>
      <c r="F6004" s="314"/>
      <c r="H6004" s="315"/>
      <c r="I6004" s="315"/>
      <c r="BA6004" s="30"/>
      <c r="BB6004" s="155"/>
      <c r="BC6004" s="314"/>
      <c r="BD6004" s="314"/>
      <c r="BE6004" s="314"/>
      <c r="BF6004" s="314"/>
      <c r="BG6004" s="314"/>
      <c r="BH6004" s="314"/>
      <c r="BI6004" s="314"/>
      <c r="BJ6004" s="314"/>
      <c r="BK6004" s="40"/>
      <c r="BL6004" s="40"/>
      <c r="BM6004" s="40"/>
      <c r="BN6004" s="40"/>
      <c r="BO6004" s="40"/>
      <c r="BP6004" s="155"/>
      <c r="BQ6004" s="314"/>
      <c r="BR6004" s="314"/>
      <c r="BS6004" s="314"/>
      <c r="BT6004" s="314"/>
      <c r="BU6004" s="314"/>
      <c r="BV6004" s="314"/>
      <c r="BW6004" s="314"/>
      <c r="BX6004" s="155"/>
    </row>
    <row r="6005" spans="1:76" ht="15.75" customHeight="1">
      <c r="A6005" s="25"/>
      <c r="B6005" s="39"/>
      <c r="C6005" s="155"/>
      <c r="D6005" s="155"/>
      <c r="E6005" s="40"/>
      <c r="F6005" s="314"/>
      <c r="H6005" s="315"/>
      <c r="I6005" s="315"/>
      <c r="BA6005" s="30"/>
      <c r="BB6005" s="155"/>
      <c r="BC6005" s="314"/>
      <c r="BD6005" s="314"/>
      <c r="BE6005" s="314"/>
      <c r="BF6005" s="314"/>
      <c r="BG6005" s="314"/>
      <c r="BH6005" s="314"/>
      <c r="BI6005" s="314"/>
      <c r="BJ6005" s="314"/>
      <c r="BK6005" s="40"/>
      <c r="BL6005" s="40"/>
      <c r="BM6005" s="40"/>
      <c r="BN6005" s="40"/>
      <c r="BO6005" s="40"/>
      <c r="BP6005" s="155"/>
      <c r="BQ6005" s="314"/>
      <c r="BR6005" s="314"/>
      <c r="BS6005" s="314"/>
      <c r="BT6005" s="314"/>
      <c r="BU6005" s="314"/>
      <c r="BV6005" s="314"/>
      <c r="BW6005" s="314"/>
      <c r="BX6005" s="155"/>
    </row>
    <row r="6006" spans="1:76" ht="15.75" customHeight="1">
      <c r="A6006" s="25"/>
      <c r="B6006" s="39"/>
      <c r="C6006" s="155"/>
      <c r="D6006" s="155"/>
      <c r="E6006" s="40"/>
      <c r="F6006" s="314"/>
      <c r="H6006" s="315"/>
      <c r="I6006" s="315"/>
      <c r="BA6006" s="30"/>
      <c r="BB6006" s="155"/>
      <c r="BC6006" s="314"/>
      <c r="BD6006" s="314"/>
      <c r="BE6006" s="314"/>
      <c r="BF6006" s="314"/>
      <c r="BG6006" s="314"/>
      <c r="BH6006" s="314"/>
      <c r="BI6006" s="314"/>
      <c r="BJ6006" s="314"/>
      <c r="BK6006" s="40"/>
      <c r="BL6006" s="40"/>
      <c r="BM6006" s="40"/>
      <c r="BN6006" s="40"/>
      <c r="BO6006" s="40"/>
      <c r="BP6006" s="155"/>
      <c r="BQ6006" s="314"/>
      <c r="BR6006" s="314"/>
      <c r="BS6006" s="314"/>
      <c r="BT6006" s="314"/>
      <c r="BU6006" s="314"/>
      <c r="BV6006" s="314"/>
      <c r="BW6006" s="314"/>
      <c r="BX6006" s="155"/>
    </row>
    <row r="6007" spans="1:76" ht="15.75" customHeight="1">
      <c r="A6007" s="25"/>
      <c r="B6007" s="39"/>
      <c r="C6007" s="155"/>
      <c r="D6007" s="155"/>
      <c r="E6007" s="40"/>
      <c r="F6007" s="314"/>
      <c r="H6007" s="315"/>
      <c r="I6007" s="315"/>
      <c r="BA6007" s="30"/>
      <c r="BB6007" s="155"/>
      <c r="BC6007" s="314"/>
      <c r="BD6007" s="314"/>
      <c r="BE6007" s="314"/>
      <c r="BF6007" s="314"/>
      <c r="BG6007" s="314"/>
      <c r="BH6007" s="314"/>
      <c r="BI6007" s="314"/>
      <c r="BJ6007" s="314"/>
      <c r="BK6007" s="40"/>
      <c r="BL6007" s="40"/>
      <c r="BM6007" s="40"/>
      <c r="BN6007" s="40"/>
      <c r="BO6007" s="40"/>
      <c r="BP6007" s="155"/>
      <c r="BQ6007" s="314"/>
      <c r="BR6007" s="314"/>
      <c r="BS6007" s="314"/>
      <c r="BT6007" s="314"/>
      <c r="BU6007" s="314"/>
      <c r="BV6007" s="314"/>
      <c r="BW6007" s="314"/>
      <c r="BX6007" s="155"/>
    </row>
    <row r="6008" spans="1:76" ht="15.75" customHeight="1">
      <c r="A6008" s="25"/>
      <c r="B6008" s="39"/>
      <c r="C6008" s="155"/>
      <c r="D6008" s="155"/>
      <c r="E6008" s="40"/>
      <c r="F6008" s="314"/>
      <c r="H6008" s="315"/>
      <c r="I6008" s="315"/>
      <c r="BA6008" s="30"/>
      <c r="BB6008" s="155"/>
      <c r="BC6008" s="314"/>
      <c r="BD6008" s="314"/>
      <c r="BE6008" s="314"/>
      <c r="BF6008" s="314"/>
      <c r="BG6008" s="314"/>
      <c r="BH6008" s="314"/>
      <c r="BI6008" s="314"/>
      <c r="BJ6008" s="314"/>
      <c r="BK6008" s="40"/>
      <c r="BL6008" s="40"/>
      <c r="BM6008" s="40"/>
      <c r="BN6008" s="40"/>
      <c r="BO6008" s="40"/>
      <c r="BP6008" s="155"/>
      <c r="BQ6008" s="314"/>
      <c r="BR6008" s="314"/>
      <c r="BS6008" s="314"/>
      <c r="BT6008" s="314"/>
      <c r="BU6008" s="314"/>
      <c r="BV6008" s="314"/>
      <c r="BW6008" s="314"/>
      <c r="BX6008" s="155"/>
    </row>
    <row r="6009" spans="1:76" ht="15.75" customHeight="1">
      <c r="A6009" s="25"/>
      <c r="B6009" s="39"/>
      <c r="C6009" s="155"/>
      <c r="D6009" s="155"/>
      <c r="E6009" s="40"/>
      <c r="F6009" s="314"/>
      <c r="H6009" s="315"/>
      <c r="I6009" s="315"/>
      <c r="BA6009" s="30"/>
      <c r="BB6009" s="155"/>
      <c r="BC6009" s="314"/>
      <c r="BD6009" s="314"/>
      <c r="BE6009" s="314"/>
      <c r="BF6009" s="314"/>
      <c r="BG6009" s="314"/>
      <c r="BH6009" s="314"/>
      <c r="BI6009" s="314"/>
      <c r="BJ6009" s="314"/>
      <c r="BK6009" s="40"/>
      <c r="BL6009" s="40"/>
      <c r="BM6009" s="40"/>
      <c r="BN6009" s="40"/>
      <c r="BO6009" s="40"/>
      <c r="BP6009" s="155"/>
      <c r="BQ6009" s="314"/>
      <c r="BR6009" s="314"/>
      <c r="BS6009" s="314"/>
      <c r="BT6009" s="314"/>
      <c r="BU6009" s="314"/>
      <c r="BV6009" s="314"/>
      <c r="BW6009" s="314"/>
      <c r="BX6009" s="155"/>
    </row>
    <row r="6010" spans="1:76" ht="15.75" customHeight="1">
      <c r="A6010" s="25"/>
      <c r="B6010" s="39"/>
      <c r="C6010" s="155"/>
      <c r="D6010" s="155"/>
      <c r="E6010" s="40"/>
      <c r="F6010" s="314"/>
      <c r="H6010" s="315"/>
      <c r="I6010" s="315"/>
      <c r="BA6010" s="30"/>
      <c r="BB6010" s="155"/>
      <c r="BC6010" s="314"/>
      <c r="BD6010" s="314"/>
      <c r="BE6010" s="314"/>
      <c r="BF6010" s="314"/>
      <c r="BG6010" s="314"/>
      <c r="BH6010" s="314"/>
      <c r="BI6010" s="314"/>
      <c r="BJ6010" s="314"/>
      <c r="BK6010" s="40"/>
      <c r="BL6010" s="40"/>
      <c r="BM6010" s="40"/>
      <c r="BN6010" s="40"/>
      <c r="BO6010" s="40"/>
      <c r="BP6010" s="155"/>
      <c r="BQ6010" s="314"/>
      <c r="BR6010" s="314"/>
      <c r="BS6010" s="314"/>
      <c r="BT6010" s="314"/>
      <c r="BU6010" s="314"/>
      <c r="BV6010" s="314"/>
      <c r="BW6010" s="314"/>
      <c r="BX6010" s="155"/>
    </row>
    <row r="6011" spans="1:76" ht="15.75" customHeight="1">
      <c r="A6011" s="25"/>
      <c r="B6011" s="39"/>
      <c r="C6011" s="155"/>
      <c r="D6011" s="155"/>
      <c r="E6011" s="40"/>
      <c r="F6011" s="314"/>
      <c r="H6011" s="315"/>
      <c r="I6011" s="315"/>
      <c r="BA6011" s="30"/>
      <c r="BB6011" s="155"/>
      <c r="BC6011" s="314"/>
      <c r="BD6011" s="314"/>
      <c r="BE6011" s="314"/>
      <c r="BF6011" s="314"/>
      <c r="BG6011" s="314"/>
      <c r="BH6011" s="314"/>
      <c r="BI6011" s="314"/>
      <c r="BJ6011" s="314"/>
      <c r="BK6011" s="40"/>
      <c r="BL6011" s="40"/>
      <c r="BM6011" s="40"/>
      <c r="BN6011" s="40"/>
      <c r="BO6011" s="40"/>
      <c r="BP6011" s="155"/>
      <c r="BQ6011" s="314"/>
      <c r="BR6011" s="314"/>
      <c r="BS6011" s="314"/>
      <c r="BT6011" s="314"/>
      <c r="BU6011" s="314"/>
      <c r="BV6011" s="314"/>
      <c r="BW6011" s="314"/>
      <c r="BX6011" s="155"/>
    </row>
    <row r="6012" spans="1:76" ht="15.75" customHeight="1">
      <c r="A6012" s="25"/>
      <c r="B6012" s="39"/>
      <c r="C6012" s="155"/>
      <c r="D6012" s="155"/>
      <c r="E6012" s="40"/>
      <c r="F6012" s="314"/>
      <c r="H6012" s="315"/>
      <c r="I6012" s="315"/>
      <c r="BA6012" s="30"/>
      <c r="BB6012" s="155"/>
      <c r="BC6012" s="314"/>
      <c r="BD6012" s="314"/>
      <c r="BE6012" s="314"/>
      <c r="BF6012" s="314"/>
      <c r="BG6012" s="314"/>
      <c r="BH6012" s="314"/>
      <c r="BI6012" s="314"/>
      <c r="BJ6012" s="314"/>
      <c r="BK6012" s="40"/>
      <c r="BL6012" s="40"/>
      <c r="BM6012" s="40"/>
      <c r="BN6012" s="40"/>
      <c r="BO6012" s="40"/>
      <c r="BP6012" s="155"/>
      <c r="BQ6012" s="314"/>
      <c r="BR6012" s="314"/>
      <c r="BS6012" s="314"/>
      <c r="BT6012" s="314"/>
      <c r="BU6012" s="314"/>
      <c r="BV6012" s="314"/>
      <c r="BW6012" s="314"/>
      <c r="BX6012" s="155"/>
    </row>
    <row r="6013" spans="1:76" ht="15.75" customHeight="1">
      <c r="A6013" s="25"/>
      <c r="B6013" s="39"/>
      <c r="C6013" s="155"/>
      <c r="D6013" s="155"/>
      <c r="E6013" s="40"/>
      <c r="F6013" s="314"/>
      <c r="H6013" s="315"/>
      <c r="I6013" s="315"/>
      <c r="BA6013" s="30"/>
      <c r="BB6013" s="155"/>
      <c r="BC6013" s="314"/>
      <c r="BD6013" s="314"/>
      <c r="BE6013" s="314"/>
      <c r="BF6013" s="314"/>
      <c r="BG6013" s="314"/>
      <c r="BH6013" s="314"/>
      <c r="BI6013" s="314"/>
      <c r="BJ6013" s="314"/>
      <c r="BK6013" s="40"/>
      <c r="BL6013" s="40"/>
      <c r="BM6013" s="40"/>
      <c r="BN6013" s="40"/>
      <c r="BO6013" s="40"/>
      <c r="BP6013" s="155"/>
      <c r="BQ6013" s="314"/>
      <c r="BR6013" s="314"/>
      <c r="BS6013" s="314"/>
      <c r="BT6013" s="314"/>
      <c r="BU6013" s="314"/>
      <c r="BV6013" s="314"/>
      <c r="BW6013" s="314"/>
      <c r="BX6013" s="155"/>
    </row>
    <row r="6014" spans="1:76" ht="15.75" customHeight="1">
      <c r="A6014" s="25"/>
      <c r="B6014" s="39"/>
      <c r="C6014" s="155"/>
      <c r="D6014" s="155"/>
      <c r="E6014" s="40"/>
      <c r="F6014" s="314"/>
      <c r="H6014" s="315"/>
      <c r="I6014" s="315"/>
      <c r="BA6014" s="30"/>
      <c r="BB6014" s="155"/>
      <c r="BC6014" s="314"/>
      <c r="BD6014" s="314"/>
      <c r="BE6014" s="314"/>
      <c r="BF6014" s="314"/>
      <c r="BG6014" s="314"/>
      <c r="BH6014" s="314"/>
      <c r="BI6014" s="314"/>
      <c r="BJ6014" s="314"/>
      <c r="BK6014" s="40"/>
      <c r="BL6014" s="40"/>
      <c r="BM6014" s="40"/>
      <c r="BN6014" s="40"/>
      <c r="BO6014" s="40"/>
      <c r="BP6014" s="155"/>
      <c r="BQ6014" s="314"/>
      <c r="BR6014" s="314"/>
      <c r="BS6014" s="314"/>
      <c r="BT6014" s="314"/>
      <c r="BU6014" s="314"/>
      <c r="BV6014" s="314"/>
      <c r="BW6014" s="314"/>
      <c r="BX6014" s="155"/>
    </row>
    <row r="6015" spans="1:76" ht="15.75" customHeight="1">
      <c r="A6015" s="25"/>
      <c r="B6015" s="39"/>
      <c r="C6015" s="155"/>
      <c r="D6015" s="155"/>
      <c r="E6015" s="40"/>
      <c r="F6015" s="314"/>
      <c r="H6015" s="315"/>
      <c r="I6015" s="315"/>
      <c r="BA6015" s="30"/>
      <c r="BB6015" s="155"/>
      <c r="BC6015" s="314"/>
      <c r="BD6015" s="314"/>
      <c r="BE6015" s="314"/>
      <c r="BF6015" s="314"/>
      <c r="BG6015" s="314"/>
      <c r="BH6015" s="314"/>
      <c r="BI6015" s="314"/>
      <c r="BJ6015" s="314"/>
      <c r="BK6015" s="40"/>
      <c r="BL6015" s="40"/>
      <c r="BM6015" s="40"/>
      <c r="BN6015" s="40"/>
      <c r="BO6015" s="40"/>
      <c r="BP6015" s="155"/>
      <c r="BQ6015" s="314"/>
      <c r="BR6015" s="314"/>
      <c r="BS6015" s="314"/>
      <c r="BT6015" s="314"/>
      <c r="BU6015" s="314"/>
      <c r="BV6015" s="314"/>
      <c r="BW6015" s="314"/>
      <c r="BX6015" s="155"/>
    </row>
    <row r="6016" spans="1:76" ht="15.75" customHeight="1">
      <c r="A6016" s="25"/>
      <c r="B6016" s="39"/>
      <c r="C6016" s="155"/>
      <c r="D6016" s="155"/>
      <c r="E6016" s="40"/>
      <c r="F6016" s="314"/>
      <c r="H6016" s="315"/>
      <c r="I6016" s="315"/>
      <c r="BA6016" s="30"/>
      <c r="BB6016" s="155"/>
      <c r="BC6016" s="314"/>
      <c r="BD6016" s="314"/>
      <c r="BE6016" s="314"/>
      <c r="BF6016" s="314"/>
      <c r="BG6016" s="314"/>
      <c r="BH6016" s="314"/>
      <c r="BI6016" s="314"/>
      <c r="BJ6016" s="314"/>
      <c r="BK6016" s="40"/>
      <c r="BL6016" s="40"/>
      <c r="BM6016" s="40"/>
      <c r="BN6016" s="40"/>
      <c r="BO6016" s="40"/>
      <c r="BP6016" s="155"/>
      <c r="BQ6016" s="314"/>
      <c r="BR6016" s="314"/>
      <c r="BS6016" s="314"/>
      <c r="BT6016" s="314"/>
      <c r="BU6016" s="314"/>
      <c r="BV6016" s="314"/>
      <c r="BW6016" s="314"/>
      <c r="BX6016" s="155"/>
    </row>
    <row r="6017" spans="1:76" ht="15.75" customHeight="1">
      <c r="A6017" s="25"/>
      <c r="B6017" s="39"/>
      <c r="C6017" s="155"/>
      <c r="D6017" s="155"/>
      <c r="E6017" s="40"/>
      <c r="F6017" s="314"/>
      <c r="H6017" s="315"/>
      <c r="I6017" s="315"/>
      <c r="BA6017" s="30"/>
      <c r="BB6017" s="155"/>
      <c r="BC6017" s="314"/>
      <c r="BD6017" s="314"/>
      <c r="BE6017" s="314"/>
      <c r="BF6017" s="314"/>
      <c r="BG6017" s="314"/>
      <c r="BH6017" s="314"/>
      <c r="BI6017" s="314"/>
      <c r="BJ6017" s="314"/>
      <c r="BK6017" s="40"/>
      <c r="BL6017" s="40"/>
      <c r="BM6017" s="40"/>
      <c r="BN6017" s="40"/>
      <c r="BO6017" s="40"/>
      <c r="BP6017" s="155"/>
      <c r="BQ6017" s="314"/>
      <c r="BR6017" s="314"/>
      <c r="BS6017" s="314"/>
      <c r="BT6017" s="314"/>
      <c r="BU6017" s="314"/>
      <c r="BV6017" s="314"/>
      <c r="BW6017" s="314"/>
      <c r="BX6017" s="155"/>
    </row>
    <row r="6018" spans="1:76" ht="15.75" customHeight="1">
      <c r="A6018" s="25"/>
      <c r="B6018" s="39"/>
      <c r="C6018" s="155"/>
      <c r="D6018" s="155"/>
      <c r="E6018" s="40"/>
      <c r="F6018" s="314"/>
      <c r="H6018" s="315"/>
      <c r="I6018" s="315"/>
      <c r="BA6018" s="30"/>
      <c r="BB6018" s="155"/>
      <c r="BC6018" s="314"/>
      <c r="BD6018" s="314"/>
      <c r="BE6018" s="314"/>
      <c r="BF6018" s="314"/>
      <c r="BG6018" s="314"/>
      <c r="BH6018" s="314"/>
      <c r="BI6018" s="314"/>
      <c r="BJ6018" s="314"/>
      <c r="BK6018" s="40"/>
      <c r="BL6018" s="40"/>
      <c r="BM6018" s="40"/>
      <c r="BN6018" s="40"/>
      <c r="BO6018" s="40"/>
      <c r="BP6018" s="155"/>
      <c r="BQ6018" s="314"/>
      <c r="BR6018" s="314"/>
      <c r="BS6018" s="314"/>
      <c r="BT6018" s="314"/>
      <c r="BU6018" s="314"/>
      <c r="BV6018" s="314"/>
      <c r="BW6018" s="314"/>
      <c r="BX6018" s="155"/>
    </row>
    <row r="6019" spans="1:76" ht="15.75" customHeight="1">
      <c r="A6019" s="25"/>
      <c r="B6019" s="39"/>
      <c r="C6019" s="155"/>
      <c r="D6019" s="155"/>
      <c r="E6019" s="40"/>
      <c r="F6019" s="314"/>
      <c r="H6019" s="315"/>
      <c r="I6019" s="315"/>
      <c r="BA6019" s="30"/>
      <c r="BB6019" s="155"/>
      <c r="BC6019" s="314"/>
      <c r="BD6019" s="314"/>
      <c r="BE6019" s="314"/>
      <c r="BF6019" s="314"/>
      <c r="BG6019" s="314"/>
      <c r="BH6019" s="314"/>
      <c r="BI6019" s="314"/>
      <c r="BJ6019" s="314"/>
      <c r="BK6019" s="40"/>
      <c r="BL6019" s="40"/>
      <c r="BM6019" s="40"/>
      <c r="BN6019" s="40"/>
      <c r="BO6019" s="40"/>
      <c r="BP6019" s="155"/>
      <c r="BQ6019" s="314"/>
      <c r="BR6019" s="314"/>
      <c r="BS6019" s="314"/>
      <c r="BT6019" s="314"/>
      <c r="BU6019" s="314"/>
      <c r="BV6019" s="314"/>
      <c r="BW6019" s="314"/>
      <c r="BX6019" s="155"/>
    </row>
    <row r="6020" spans="1:76" ht="15.75" customHeight="1">
      <c r="A6020" s="25"/>
      <c r="B6020" s="39"/>
      <c r="C6020" s="155"/>
      <c r="D6020" s="155"/>
      <c r="E6020" s="40"/>
      <c r="F6020" s="314"/>
      <c r="H6020" s="315"/>
      <c r="I6020" s="315"/>
      <c r="BA6020" s="30"/>
      <c r="BB6020" s="155"/>
      <c r="BC6020" s="314"/>
      <c r="BD6020" s="314"/>
      <c r="BE6020" s="314"/>
      <c r="BF6020" s="314"/>
      <c r="BG6020" s="314"/>
      <c r="BH6020" s="314"/>
      <c r="BI6020" s="314"/>
      <c r="BJ6020" s="314"/>
      <c r="BK6020" s="40"/>
      <c r="BL6020" s="40"/>
      <c r="BM6020" s="40"/>
      <c r="BN6020" s="40"/>
      <c r="BO6020" s="40"/>
      <c r="BP6020" s="155"/>
      <c r="BQ6020" s="314"/>
      <c r="BR6020" s="314"/>
      <c r="BS6020" s="314"/>
      <c r="BT6020" s="314"/>
      <c r="BU6020" s="314"/>
      <c r="BV6020" s="314"/>
      <c r="BW6020" s="314"/>
      <c r="BX6020" s="155"/>
    </row>
    <row r="6021" spans="1:76" ht="15.75" customHeight="1">
      <c r="A6021" s="25"/>
      <c r="B6021" s="39"/>
      <c r="C6021" s="155"/>
      <c r="D6021" s="155"/>
      <c r="E6021" s="40"/>
      <c r="F6021" s="314"/>
      <c r="H6021" s="315"/>
      <c r="I6021" s="315"/>
      <c r="BA6021" s="30"/>
      <c r="BB6021" s="155"/>
      <c r="BC6021" s="314"/>
      <c r="BD6021" s="314"/>
      <c r="BE6021" s="314"/>
      <c r="BF6021" s="314"/>
      <c r="BG6021" s="314"/>
      <c r="BH6021" s="314"/>
      <c r="BI6021" s="314"/>
      <c r="BJ6021" s="314"/>
      <c r="BK6021" s="40"/>
      <c r="BL6021" s="40"/>
      <c r="BM6021" s="40"/>
      <c r="BN6021" s="40"/>
      <c r="BO6021" s="40"/>
      <c r="BP6021" s="155"/>
      <c r="BQ6021" s="314"/>
      <c r="BR6021" s="314"/>
      <c r="BS6021" s="314"/>
      <c r="BT6021" s="314"/>
      <c r="BU6021" s="314"/>
      <c r="BV6021" s="314"/>
      <c r="BW6021" s="314"/>
      <c r="BX6021" s="155"/>
    </row>
    <row r="6022" spans="1:76" ht="15.75" customHeight="1">
      <c r="A6022" s="25"/>
      <c r="B6022" s="39"/>
      <c r="C6022" s="155"/>
      <c r="D6022" s="155"/>
      <c r="E6022" s="40"/>
      <c r="F6022" s="314"/>
      <c r="H6022" s="315"/>
      <c r="I6022" s="315"/>
      <c r="BA6022" s="30"/>
      <c r="BB6022" s="155"/>
      <c r="BC6022" s="314"/>
      <c r="BD6022" s="314"/>
      <c r="BE6022" s="314"/>
      <c r="BF6022" s="314"/>
      <c r="BG6022" s="314"/>
      <c r="BH6022" s="314"/>
      <c r="BI6022" s="314"/>
      <c r="BJ6022" s="314"/>
      <c r="BK6022" s="40"/>
      <c r="BL6022" s="40"/>
      <c r="BM6022" s="40"/>
      <c r="BN6022" s="40"/>
      <c r="BO6022" s="40"/>
      <c r="BP6022" s="155"/>
      <c r="BQ6022" s="314"/>
      <c r="BR6022" s="314"/>
      <c r="BS6022" s="314"/>
      <c r="BT6022" s="314"/>
      <c r="BU6022" s="314"/>
      <c r="BV6022" s="314"/>
      <c r="BW6022" s="314"/>
      <c r="BX6022" s="155"/>
    </row>
    <row r="6023" spans="1:76" ht="15.75" customHeight="1">
      <c r="A6023" s="25"/>
      <c r="B6023" s="39"/>
      <c r="C6023" s="155"/>
      <c r="D6023" s="155"/>
      <c r="E6023" s="40"/>
      <c r="F6023" s="314"/>
      <c r="H6023" s="315"/>
      <c r="I6023" s="315"/>
      <c r="BA6023" s="30"/>
      <c r="BB6023" s="155"/>
      <c r="BC6023" s="314"/>
      <c r="BD6023" s="314"/>
      <c r="BE6023" s="314"/>
      <c r="BF6023" s="314"/>
      <c r="BG6023" s="314"/>
      <c r="BH6023" s="314"/>
      <c r="BI6023" s="314"/>
      <c r="BJ6023" s="314"/>
      <c r="BK6023" s="40"/>
      <c r="BL6023" s="40"/>
      <c r="BM6023" s="40"/>
      <c r="BN6023" s="40"/>
      <c r="BO6023" s="40"/>
      <c r="BP6023" s="155"/>
      <c r="BQ6023" s="314"/>
      <c r="BR6023" s="314"/>
      <c r="BS6023" s="314"/>
      <c r="BT6023" s="314"/>
      <c r="BU6023" s="314"/>
      <c r="BV6023" s="314"/>
      <c r="BW6023" s="314"/>
      <c r="BX6023" s="155"/>
    </row>
    <row r="6024" spans="1:76" ht="15.75" customHeight="1">
      <c r="A6024" s="25"/>
      <c r="B6024" s="39"/>
      <c r="C6024" s="155"/>
      <c r="D6024" s="155"/>
      <c r="E6024" s="40"/>
      <c r="F6024" s="314"/>
      <c r="H6024" s="315"/>
      <c r="I6024" s="315"/>
      <c r="BA6024" s="30"/>
      <c r="BB6024" s="155"/>
      <c r="BC6024" s="314"/>
      <c r="BD6024" s="314"/>
      <c r="BE6024" s="314"/>
      <c r="BF6024" s="314"/>
      <c r="BG6024" s="314"/>
      <c r="BH6024" s="314"/>
      <c r="BI6024" s="314"/>
      <c r="BJ6024" s="314"/>
      <c r="BK6024" s="40"/>
      <c r="BL6024" s="40"/>
      <c r="BM6024" s="40"/>
      <c r="BN6024" s="40"/>
      <c r="BO6024" s="40"/>
      <c r="BP6024" s="155"/>
      <c r="BQ6024" s="314"/>
      <c r="BR6024" s="314"/>
      <c r="BS6024" s="314"/>
      <c r="BT6024" s="314"/>
      <c r="BU6024" s="314"/>
      <c r="BV6024" s="314"/>
      <c r="BW6024" s="314"/>
      <c r="BX6024" s="155"/>
    </row>
    <row r="6025" spans="1:76" ht="15.75" customHeight="1">
      <c r="A6025" s="25"/>
      <c r="B6025" s="39"/>
      <c r="C6025" s="155"/>
      <c r="D6025" s="155"/>
      <c r="E6025" s="40"/>
      <c r="F6025" s="314"/>
      <c r="H6025" s="315"/>
      <c r="I6025" s="315"/>
      <c r="BA6025" s="30"/>
      <c r="BB6025" s="155"/>
      <c r="BC6025" s="314"/>
      <c r="BD6025" s="314"/>
      <c r="BE6025" s="314"/>
      <c r="BF6025" s="314"/>
      <c r="BG6025" s="314"/>
      <c r="BH6025" s="314"/>
      <c r="BI6025" s="314"/>
      <c r="BJ6025" s="314"/>
      <c r="BK6025" s="40"/>
      <c r="BL6025" s="40"/>
      <c r="BM6025" s="40"/>
      <c r="BN6025" s="40"/>
      <c r="BO6025" s="40"/>
      <c r="BP6025" s="155"/>
      <c r="BQ6025" s="314"/>
      <c r="BR6025" s="314"/>
      <c r="BS6025" s="314"/>
      <c r="BT6025" s="314"/>
      <c r="BU6025" s="314"/>
      <c r="BV6025" s="314"/>
      <c r="BW6025" s="314"/>
      <c r="BX6025" s="155"/>
    </row>
    <row r="6026" spans="1:76" ht="15.75" customHeight="1">
      <c r="A6026" s="25"/>
      <c r="B6026" s="39"/>
      <c r="C6026" s="155"/>
      <c r="D6026" s="155"/>
      <c r="E6026" s="40"/>
      <c r="F6026" s="314"/>
      <c r="H6026" s="315"/>
      <c r="I6026" s="315"/>
      <c r="BA6026" s="30"/>
      <c r="BB6026" s="155"/>
      <c r="BC6026" s="314"/>
      <c r="BD6026" s="314"/>
      <c r="BE6026" s="314"/>
      <c r="BF6026" s="314"/>
      <c r="BG6026" s="314"/>
      <c r="BH6026" s="314"/>
      <c r="BI6026" s="314"/>
      <c r="BJ6026" s="314"/>
      <c r="BK6026" s="40"/>
      <c r="BL6026" s="40"/>
      <c r="BM6026" s="40"/>
      <c r="BN6026" s="40"/>
      <c r="BO6026" s="40"/>
      <c r="BP6026" s="155"/>
      <c r="BQ6026" s="314"/>
      <c r="BR6026" s="314"/>
      <c r="BS6026" s="314"/>
      <c r="BT6026" s="314"/>
      <c r="BU6026" s="314"/>
      <c r="BV6026" s="314"/>
      <c r="BW6026" s="314"/>
      <c r="BX6026" s="155"/>
    </row>
    <row r="6027" spans="1:76" ht="15.75" customHeight="1">
      <c r="A6027" s="25"/>
      <c r="B6027" s="39"/>
      <c r="C6027" s="155"/>
      <c r="D6027" s="155"/>
      <c r="E6027" s="40"/>
      <c r="F6027" s="314"/>
      <c r="H6027" s="315"/>
      <c r="I6027" s="315"/>
      <c r="BA6027" s="30"/>
      <c r="BB6027" s="155"/>
      <c r="BC6027" s="314"/>
      <c r="BD6027" s="314"/>
      <c r="BE6027" s="314"/>
      <c r="BF6027" s="314"/>
      <c r="BG6027" s="314"/>
      <c r="BH6027" s="314"/>
      <c r="BI6027" s="314"/>
      <c r="BJ6027" s="314"/>
      <c r="BK6027" s="40"/>
      <c r="BL6027" s="40"/>
      <c r="BM6027" s="40"/>
      <c r="BN6027" s="40"/>
      <c r="BO6027" s="40"/>
      <c r="BP6027" s="155"/>
      <c r="BQ6027" s="314"/>
      <c r="BR6027" s="314"/>
      <c r="BS6027" s="314"/>
      <c r="BT6027" s="314"/>
      <c r="BU6027" s="314"/>
      <c r="BV6027" s="314"/>
      <c r="BW6027" s="314"/>
      <c r="BX6027" s="155"/>
    </row>
    <row r="6028" spans="1:76" ht="15.75" customHeight="1">
      <c r="A6028" s="25"/>
      <c r="B6028" s="39"/>
      <c r="C6028" s="155"/>
      <c r="D6028" s="155"/>
      <c r="E6028" s="40"/>
      <c r="F6028" s="314"/>
      <c r="H6028" s="315"/>
      <c r="I6028" s="315"/>
      <c r="BA6028" s="30"/>
      <c r="BB6028" s="155"/>
      <c r="BC6028" s="314"/>
      <c r="BD6028" s="314"/>
      <c r="BE6028" s="314"/>
      <c r="BF6028" s="314"/>
      <c r="BG6028" s="314"/>
      <c r="BH6028" s="314"/>
      <c r="BI6028" s="314"/>
      <c r="BJ6028" s="314"/>
      <c r="BK6028" s="40"/>
      <c r="BL6028" s="40"/>
      <c r="BM6028" s="40"/>
      <c r="BN6028" s="40"/>
      <c r="BO6028" s="40"/>
      <c r="BP6028" s="155"/>
      <c r="BQ6028" s="314"/>
      <c r="BR6028" s="314"/>
      <c r="BS6028" s="314"/>
      <c r="BT6028" s="314"/>
      <c r="BU6028" s="314"/>
      <c r="BV6028" s="314"/>
      <c r="BW6028" s="314"/>
      <c r="BX6028" s="155"/>
    </row>
    <row r="6029" spans="1:76" ht="15.75" customHeight="1">
      <c r="A6029" s="25"/>
      <c r="B6029" s="39"/>
      <c r="C6029" s="155"/>
      <c r="D6029" s="155"/>
      <c r="E6029" s="40"/>
      <c r="F6029" s="314"/>
      <c r="H6029" s="315"/>
      <c r="I6029" s="315"/>
      <c r="BA6029" s="30"/>
      <c r="BB6029" s="155"/>
      <c r="BC6029" s="314"/>
      <c r="BD6029" s="314"/>
      <c r="BE6029" s="314"/>
      <c r="BF6029" s="314"/>
      <c r="BG6029" s="314"/>
      <c r="BH6029" s="314"/>
      <c r="BI6029" s="314"/>
      <c r="BJ6029" s="314"/>
      <c r="BK6029" s="40"/>
      <c r="BL6029" s="40"/>
      <c r="BM6029" s="40"/>
      <c r="BN6029" s="40"/>
      <c r="BO6029" s="40"/>
      <c r="BP6029" s="155"/>
      <c r="BQ6029" s="314"/>
      <c r="BR6029" s="314"/>
      <c r="BS6029" s="314"/>
      <c r="BT6029" s="314"/>
      <c r="BU6029" s="314"/>
      <c r="BV6029" s="314"/>
      <c r="BW6029" s="314"/>
      <c r="BX6029" s="155"/>
    </row>
    <row r="6030" spans="1:76" ht="15.75" customHeight="1">
      <c r="A6030" s="25"/>
      <c r="B6030" s="39"/>
      <c r="C6030" s="155"/>
      <c r="D6030" s="155"/>
      <c r="E6030" s="40"/>
      <c r="F6030" s="314"/>
      <c r="H6030" s="315"/>
      <c r="I6030" s="315"/>
      <c r="BA6030" s="30"/>
      <c r="BB6030" s="155"/>
      <c r="BC6030" s="314"/>
      <c r="BD6030" s="314"/>
      <c r="BE6030" s="314"/>
      <c r="BF6030" s="314"/>
      <c r="BG6030" s="314"/>
      <c r="BH6030" s="314"/>
      <c r="BI6030" s="314"/>
      <c r="BJ6030" s="314"/>
      <c r="BK6030" s="40"/>
      <c r="BL6030" s="40"/>
      <c r="BM6030" s="40"/>
      <c r="BN6030" s="40"/>
      <c r="BO6030" s="40"/>
      <c r="BP6030" s="155"/>
      <c r="BQ6030" s="314"/>
      <c r="BR6030" s="314"/>
      <c r="BS6030" s="314"/>
      <c r="BT6030" s="314"/>
      <c r="BU6030" s="314"/>
      <c r="BV6030" s="314"/>
      <c r="BW6030" s="314"/>
      <c r="BX6030" s="155"/>
    </row>
    <row r="6031" spans="1:76" ht="15.75" customHeight="1">
      <c r="A6031" s="25"/>
      <c r="B6031" s="39"/>
      <c r="C6031" s="155"/>
      <c r="D6031" s="155"/>
      <c r="E6031" s="40"/>
      <c r="F6031" s="314"/>
      <c r="H6031" s="315"/>
      <c r="I6031" s="315"/>
      <c r="BA6031" s="30"/>
      <c r="BB6031" s="155"/>
      <c r="BC6031" s="314"/>
      <c r="BD6031" s="314"/>
      <c r="BE6031" s="314"/>
      <c r="BF6031" s="314"/>
      <c r="BG6031" s="314"/>
      <c r="BH6031" s="314"/>
      <c r="BI6031" s="314"/>
      <c r="BJ6031" s="314"/>
      <c r="BK6031" s="40"/>
      <c r="BL6031" s="40"/>
      <c r="BM6031" s="40"/>
      <c r="BN6031" s="40"/>
      <c r="BO6031" s="40"/>
      <c r="BP6031" s="155"/>
      <c r="BQ6031" s="314"/>
      <c r="BR6031" s="314"/>
      <c r="BS6031" s="314"/>
      <c r="BT6031" s="314"/>
      <c r="BU6031" s="314"/>
      <c r="BV6031" s="314"/>
      <c r="BW6031" s="314"/>
      <c r="BX6031" s="155"/>
    </row>
    <row r="6032" spans="1:76" ht="15.75" customHeight="1">
      <c r="A6032" s="25"/>
      <c r="B6032" s="39"/>
      <c r="C6032" s="155"/>
      <c r="D6032" s="155"/>
      <c r="E6032" s="40"/>
      <c r="F6032" s="314"/>
      <c r="H6032" s="315"/>
      <c r="I6032" s="315"/>
      <c r="BA6032" s="30"/>
      <c r="BB6032" s="155"/>
      <c r="BC6032" s="314"/>
      <c r="BD6032" s="314"/>
      <c r="BE6032" s="314"/>
      <c r="BF6032" s="314"/>
      <c r="BG6032" s="314"/>
      <c r="BH6032" s="314"/>
      <c r="BI6032" s="314"/>
      <c r="BJ6032" s="314"/>
      <c r="BK6032" s="40"/>
      <c r="BL6032" s="40"/>
      <c r="BM6032" s="40"/>
      <c r="BN6032" s="40"/>
      <c r="BO6032" s="40"/>
      <c r="BP6032" s="155"/>
      <c r="BQ6032" s="314"/>
      <c r="BR6032" s="314"/>
      <c r="BS6032" s="314"/>
      <c r="BT6032" s="314"/>
      <c r="BU6032" s="314"/>
      <c r="BV6032" s="314"/>
      <c r="BW6032" s="314"/>
      <c r="BX6032" s="155"/>
    </row>
    <row r="6033" spans="1:76" ht="15.75" customHeight="1">
      <c r="A6033" s="25"/>
      <c r="B6033" s="39"/>
      <c r="C6033" s="155"/>
      <c r="D6033" s="155"/>
      <c r="E6033" s="40"/>
      <c r="F6033" s="314"/>
      <c r="H6033" s="315"/>
      <c r="I6033" s="315"/>
      <c r="BA6033" s="30"/>
      <c r="BB6033" s="155"/>
      <c r="BC6033" s="314"/>
      <c r="BD6033" s="314"/>
      <c r="BE6033" s="314"/>
      <c r="BF6033" s="314"/>
      <c r="BG6033" s="314"/>
      <c r="BH6033" s="314"/>
      <c r="BI6033" s="314"/>
      <c r="BJ6033" s="314"/>
      <c r="BK6033" s="40"/>
      <c r="BL6033" s="40"/>
      <c r="BM6033" s="40"/>
      <c r="BN6033" s="40"/>
      <c r="BO6033" s="40"/>
      <c r="BP6033" s="155"/>
      <c r="BQ6033" s="314"/>
      <c r="BR6033" s="314"/>
      <c r="BS6033" s="314"/>
      <c r="BT6033" s="314"/>
      <c r="BU6033" s="314"/>
      <c r="BV6033" s="314"/>
      <c r="BW6033" s="314"/>
      <c r="BX6033" s="155"/>
    </row>
    <row r="6034" spans="1:76" ht="15.75" customHeight="1">
      <c r="A6034" s="25"/>
      <c r="B6034" s="39"/>
      <c r="C6034" s="155"/>
      <c r="D6034" s="155"/>
      <c r="E6034" s="40"/>
      <c r="F6034" s="314"/>
      <c r="H6034" s="315"/>
      <c r="I6034" s="315"/>
      <c r="BA6034" s="30"/>
      <c r="BB6034" s="155"/>
      <c r="BC6034" s="314"/>
      <c r="BD6034" s="314"/>
      <c r="BE6034" s="314"/>
      <c r="BF6034" s="314"/>
      <c r="BG6034" s="314"/>
      <c r="BH6034" s="314"/>
      <c r="BI6034" s="314"/>
      <c r="BJ6034" s="314"/>
      <c r="BK6034" s="40"/>
      <c r="BL6034" s="40"/>
      <c r="BM6034" s="40"/>
      <c r="BN6034" s="40"/>
      <c r="BO6034" s="40"/>
      <c r="BP6034" s="155"/>
      <c r="BQ6034" s="314"/>
      <c r="BR6034" s="314"/>
      <c r="BS6034" s="314"/>
      <c r="BT6034" s="314"/>
      <c r="BU6034" s="314"/>
      <c r="BV6034" s="314"/>
      <c r="BW6034" s="314"/>
      <c r="BX6034" s="155"/>
    </row>
    <row r="6035" spans="1:76" ht="15.75" customHeight="1">
      <c r="A6035" s="25"/>
      <c r="B6035" s="39"/>
      <c r="C6035" s="155"/>
      <c r="D6035" s="155"/>
      <c r="E6035" s="40"/>
      <c r="F6035" s="314"/>
      <c r="H6035" s="315"/>
      <c r="I6035" s="315"/>
      <c r="BA6035" s="30"/>
      <c r="BB6035" s="155"/>
      <c r="BC6035" s="314"/>
      <c r="BD6035" s="314"/>
      <c r="BE6035" s="314"/>
      <c r="BF6035" s="314"/>
      <c r="BG6035" s="314"/>
      <c r="BH6035" s="314"/>
      <c r="BI6035" s="314"/>
      <c r="BJ6035" s="314"/>
      <c r="BK6035" s="40"/>
      <c r="BL6035" s="40"/>
      <c r="BM6035" s="40"/>
      <c r="BN6035" s="40"/>
      <c r="BO6035" s="40"/>
      <c r="BP6035" s="155"/>
      <c r="BQ6035" s="314"/>
      <c r="BR6035" s="314"/>
      <c r="BS6035" s="314"/>
      <c r="BT6035" s="314"/>
      <c r="BU6035" s="314"/>
      <c r="BV6035" s="314"/>
      <c r="BW6035" s="314"/>
      <c r="BX6035" s="155"/>
    </row>
    <row r="6036" spans="1:76" ht="15.75" customHeight="1">
      <c r="A6036" s="25"/>
      <c r="B6036" s="39"/>
      <c r="C6036" s="155"/>
      <c r="D6036" s="155"/>
      <c r="E6036" s="40"/>
      <c r="F6036" s="314"/>
      <c r="H6036" s="315"/>
      <c r="I6036" s="315"/>
      <c r="BA6036" s="30"/>
      <c r="BB6036" s="155"/>
      <c r="BC6036" s="314"/>
      <c r="BD6036" s="314"/>
      <c r="BE6036" s="314"/>
      <c r="BF6036" s="314"/>
      <c r="BG6036" s="314"/>
      <c r="BH6036" s="314"/>
      <c r="BI6036" s="314"/>
      <c r="BJ6036" s="314"/>
      <c r="BK6036" s="40"/>
      <c r="BL6036" s="40"/>
      <c r="BM6036" s="40"/>
      <c r="BN6036" s="40"/>
      <c r="BO6036" s="40"/>
      <c r="BP6036" s="155"/>
      <c r="BQ6036" s="314"/>
      <c r="BR6036" s="314"/>
      <c r="BS6036" s="314"/>
      <c r="BT6036" s="314"/>
      <c r="BU6036" s="314"/>
      <c r="BV6036" s="314"/>
      <c r="BW6036" s="314"/>
      <c r="BX6036" s="155"/>
    </row>
    <row r="6037" spans="1:76" ht="15.75" customHeight="1">
      <c r="A6037" s="25"/>
      <c r="B6037" s="39"/>
      <c r="C6037" s="155"/>
      <c r="D6037" s="155"/>
      <c r="E6037" s="40"/>
      <c r="F6037" s="314"/>
      <c r="H6037" s="315"/>
      <c r="I6037" s="315"/>
      <c r="BA6037" s="30"/>
      <c r="BB6037" s="155"/>
      <c r="BC6037" s="314"/>
      <c r="BD6037" s="314"/>
      <c r="BE6037" s="314"/>
      <c r="BF6037" s="314"/>
      <c r="BG6037" s="314"/>
      <c r="BH6037" s="314"/>
      <c r="BI6037" s="314"/>
      <c r="BJ6037" s="314"/>
      <c r="BK6037" s="40"/>
      <c r="BL6037" s="40"/>
      <c r="BM6037" s="40"/>
      <c r="BN6037" s="40"/>
      <c r="BO6037" s="40"/>
      <c r="BP6037" s="155"/>
      <c r="BQ6037" s="314"/>
      <c r="BR6037" s="314"/>
      <c r="BS6037" s="314"/>
      <c r="BT6037" s="314"/>
      <c r="BU6037" s="314"/>
      <c r="BV6037" s="314"/>
      <c r="BW6037" s="314"/>
      <c r="BX6037" s="155"/>
    </row>
    <row r="6038" spans="1:76" ht="15.75" customHeight="1">
      <c r="A6038" s="25"/>
      <c r="B6038" s="39"/>
      <c r="C6038" s="155"/>
      <c r="D6038" s="155"/>
      <c r="E6038" s="40"/>
      <c r="F6038" s="314"/>
      <c r="H6038" s="315"/>
      <c r="I6038" s="315"/>
      <c r="BA6038" s="30"/>
      <c r="BB6038" s="155"/>
      <c r="BC6038" s="314"/>
      <c r="BD6038" s="314"/>
      <c r="BE6038" s="314"/>
      <c r="BF6038" s="314"/>
      <c r="BG6038" s="314"/>
      <c r="BH6038" s="314"/>
      <c r="BI6038" s="314"/>
      <c r="BJ6038" s="314"/>
      <c r="BK6038" s="40"/>
      <c r="BL6038" s="40"/>
      <c r="BM6038" s="40"/>
      <c r="BN6038" s="40"/>
      <c r="BO6038" s="40"/>
      <c r="BP6038" s="155"/>
      <c r="BQ6038" s="314"/>
      <c r="BR6038" s="314"/>
      <c r="BS6038" s="314"/>
      <c r="BT6038" s="314"/>
      <c r="BU6038" s="314"/>
      <c r="BV6038" s="314"/>
      <c r="BW6038" s="314"/>
      <c r="BX6038" s="155"/>
    </row>
    <row r="6039" spans="1:76" ht="15.75" customHeight="1">
      <c r="A6039" s="25"/>
      <c r="B6039" s="39"/>
      <c r="C6039" s="155"/>
      <c r="D6039" s="155"/>
      <c r="E6039" s="40"/>
      <c r="F6039" s="314"/>
      <c r="H6039" s="315"/>
      <c r="I6039" s="315"/>
      <c r="BA6039" s="30"/>
      <c r="BB6039" s="155"/>
      <c r="BC6039" s="314"/>
      <c r="BD6039" s="314"/>
      <c r="BE6039" s="314"/>
      <c r="BF6039" s="314"/>
      <c r="BG6039" s="314"/>
      <c r="BH6039" s="314"/>
      <c r="BI6039" s="314"/>
      <c r="BJ6039" s="314"/>
      <c r="BK6039" s="40"/>
      <c r="BL6039" s="40"/>
      <c r="BM6039" s="40"/>
      <c r="BN6039" s="40"/>
      <c r="BO6039" s="40"/>
      <c r="BP6039" s="155"/>
      <c r="BQ6039" s="314"/>
      <c r="BR6039" s="314"/>
      <c r="BS6039" s="314"/>
      <c r="BT6039" s="314"/>
      <c r="BU6039" s="314"/>
      <c r="BV6039" s="314"/>
      <c r="BW6039" s="314"/>
      <c r="BX6039" s="155"/>
    </row>
    <row r="6040" spans="1:76" ht="15.75" customHeight="1">
      <c r="A6040" s="25"/>
      <c r="B6040" s="39"/>
      <c r="C6040" s="155"/>
      <c r="D6040" s="155"/>
      <c r="E6040" s="40"/>
      <c r="F6040" s="314"/>
      <c r="H6040" s="315"/>
      <c r="I6040" s="315"/>
      <c r="BA6040" s="30"/>
      <c r="BB6040" s="155"/>
      <c r="BC6040" s="314"/>
      <c r="BD6040" s="314"/>
      <c r="BE6040" s="314"/>
      <c r="BF6040" s="314"/>
      <c r="BG6040" s="314"/>
      <c r="BH6040" s="314"/>
      <c r="BI6040" s="314"/>
      <c r="BJ6040" s="314"/>
      <c r="BK6040" s="40"/>
      <c r="BL6040" s="40"/>
      <c r="BM6040" s="40"/>
      <c r="BN6040" s="40"/>
      <c r="BO6040" s="40"/>
      <c r="BP6040" s="155"/>
      <c r="BQ6040" s="314"/>
      <c r="BR6040" s="314"/>
      <c r="BS6040" s="314"/>
      <c r="BT6040" s="314"/>
      <c r="BU6040" s="314"/>
      <c r="BV6040" s="314"/>
      <c r="BW6040" s="314"/>
      <c r="BX6040" s="155"/>
    </row>
    <row r="6041" spans="1:76" ht="15.75" customHeight="1">
      <c r="A6041" s="25"/>
      <c r="B6041" s="39"/>
      <c r="C6041" s="155"/>
      <c r="D6041" s="155"/>
      <c r="E6041" s="40"/>
      <c r="F6041" s="314"/>
      <c r="H6041" s="315"/>
      <c r="I6041" s="315"/>
      <c r="BA6041" s="30"/>
      <c r="BB6041" s="155"/>
      <c r="BC6041" s="314"/>
      <c r="BD6041" s="314"/>
      <c r="BE6041" s="314"/>
      <c r="BF6041" s="314"/>
      <c r="BG6041" s="314"/>
      <c r="BH6041" s="314"/>
      <c r="BI6041" s="314"/>
      <c r="BJ6041" s="314"/>
      <c r="BK6041" s="40"/>
      <c r="BL6041" s="40"/>
      <c r="BM6041" s="40"/>
      <c r="BN6041" s="40"/>
      <c r="BO6041" s="40"/>
      <c r="BP6041" s="155"/>
      <c r="BQ6041" s="314"/>
      <c r="BR6041" s="314"/>
      <c r="BS6041" s="314"/>
      <c r="BT6041" s="314"/>
      <c r="BU6041" s="314"/>
      <c r="BV6041" s="314"/>
      <c r="BW6041" s="314"/>
      <c r="BX6041" s="155"/>
    </row>
    <row r="6042" spans="1:76" ht="15.75" customHeight="1">
      <c r="A6042" s="25"/>
      <c r="B6042" s="39"/>
      <c r="C6042" s="155"/>
      <c r="D6042" s="155"/>
      <c r="E6042" s="40"/>
      <c r="F6042" s="314"/>
      <c r="H6042" s="315"/>
      <c r="I6042" s="315"/>
      <c r="BA6042" s="30"/>
      <c r="BB6042" s="155"/>
      <c r="BC6042" s="314"/>
      <c r="BD6042" s="314"/>
      <c r="BE6042" s="314"/>
      <c r="BF6042" s="314"/>
      <c r="BG6042" s="314"/>
      <c r="BH6042" s="314"/>
      <c r="BI6042" s="314"/>
      <c r="BJ6042" s="314"/>
      <c r="BK6042" s="40"/>
      <c r="BL6042" s="40"/>
      <c r="BM6042" s="40"/>
      <c r="BN6042" s="40"/>
      <c r="BO6042" s="40"/>
      <c r="BP6042" s="155"/>
      <c r="BQ6042" s="314"/>
      <c r="BR6042" s="314"/>
      <c r="BS6042" s="314"/>
      <c r="BT6042" s="314"/>
      <c r="BU6042" s="314"/>
      <c r="BV6042" s="314"/>
      <c r="BW6042" s="314"/>
      <c r="BX6042" s="155"/>
    </row>
    <row r="6043" spans="1:76" ht="15.75" customHeight="1">
      <c r="A6043" s="25"/>
      <c r="B6043" s="39"/>
      <c r="C6043" s="155"/>
      <c r="D6043" s="155"/>
      <c r="E6043" s="40"/>
      <c r="F6043" s="314"/>
      <c r="H6043" s="315"/>
      <c r="I6043" s="315"/>
      <c r="BA6043" s="30"/>
      <c r="BB6043" s="155"/>
      <c r="BC6043" s="314"/>
      <c r="BD6043" s="314"/>
      <c r="BE6043" s="314"/>
      <c r="BF6043" s="314"/>
      <c r="BG6043" s="314"/>
      <c r="BH6043" s="314"/>
      <c r="BI6043" s="314"/>
      <c r="BJ6043" s="314"/>
      <c r="BK6043" s="40"/>
      <c r="BL6043" s="40"/>
      <c r="BM6043" s="40"/>
      <c r="BN6043" s="40"/>
      <c r="BO6043" s="40"/>
      <c r="BP6043" s="155"/>
      <c r="BQ6043" s="314"/>
      <c r="BR6043" s="314"/>
      <c r="BS6043" s="314"/>
      <c r="BT6043" s="314"/>
      <c r="BU6043" s="314"/>
      <c r="BV6043" s="314"/>
      <c r="BW6043" s="314"/>
      <c r="BX6043" s="155"/>
    </row>
    <row r="6044" spans="1:76" ht="15.75" customHeight="1">
      <c r="A6044" s="25"/>
      <c r="B6044" s="39"/>
      <c r="C6044" s="155"/>
      <c r="D6044" s="155"/>
      <c r="E6044" s="40"/>
      <c r="F6044" s="314"/>
      <c r="H6044" s="315"/>
      <c r="I6044" s="315"/>
      <c r="BA6044" s="30"/>
      <c r="BB6044" s="155"/>
      <c r="BC6044" s="314"/>
      <c r="BD6044" s="314"/>
      <c r="BE6044" s="314"/>
      <c r="BF6044" s="314"/>
      <c r="BG6044" s="314"/>
      <c r="BH6044" s="314"/>
      <c r="BI6044" s="314"/>
      <c r="BJ6044" s="314"/>
      <c r="BK6044" s="40"/>
      <c r="BL6044" s="40"/>
      <c r="BM6044" s="40"/>
      <c r="BN6044" s="40"/>
      <c r="BO6044" s="40"/>
      <c r="BP6044" s="155"/>
      <c r="BQ6044" s="314"/>
      <c r="BR6044" s="314"/>
      <c r="BS6044" s="314"/>
      <c r="BT6044" s="314"/>
      <c r="BU6044" s="314"/>
      <c r="BV6044" s="314"/>
      <c r="BW6044" s="314"/>
      <c r="BX6044" s="155"/>
    </row>
    <row r="6045" spans="1:76" ht="15.75" customHeight="1">
      <c r="A6045" s="25"/>
      <c r="B6045" s="39"/>
      <c r="C6045" s="155"/>
      <c r="D6045" s="155"/>
      <c r="E6045" s="40"/>
      <c r="F6045" s="314"/>
      <c r="H6045" s="315"/>
      <c r="I6045" s="315"/>
      <c r="BA6045" s="30"/>
      <c r="BB6045" s="155"/>
      <c r="BC6045" s="314"/>
      <c r="BD6045" s="314"/>
      <c r="BE6045" s="314"/>
      <c r="BF6045" s="314"/>
      <c r="BG6045" s="314"/>
      <c r="BH6045" s="314"/>
      <c r="BI6045" s="314"/>
      <c r="BJ6045" s="314"/>
      <c r="BK6045" s="40"/>
      <c r="BL6045" s="40"/>
      <c r="BM6045" s="40"/>
      <c r="BN6045" s="40"/>
      <c r="BO6045" s="40"/>
      <c r="BP6045" s="155"/>
      <c r="BQ6045" s="314"/>
      <c r="BR6045" s="314"/>
      <c r="BS6045" s="314"/>
      <c r="BT6045" s="314"/>
      <c r="BU6045" s="314"/>
      <c r="BV6045" s="314"/>
      <c r="BW6045" s="314"/>
      <c r="BX6045" s="155"/>
    </row>
    <row r="6046" spans="1:76" ht="15.75" customHeight="1">
      <c r="A6046" s="25"/>
      <c r="B6046" s="39"/>
      <c r="C6046" s="155"/>
      <c r="D6046" s="155"/>
      <c r="E6046" s="40"/>
      <c r="F6046" s="314"/>
      <c r="H6046" s="315"/>
      <c r="I6046" s="315"/>
      <c r="BA6046" s="30"/>
      <c r="BB6046" s="155"/>
      <c r="BC6046" s="314"/>
      <c r="BD6046" s="314"/>
      <c r="BE6046" s="314"/>
      <c r="BF6046" s="314"/>
      <c r="BG6046" s="314"/>
      <c r="BH6046" s="314"/>
      <c r="BI6046" s="314"/>
      <c r="BJ6046" s="314"/>
      <c r="BK6046" s="40"/>
      <c r="BL6046" s="40"/>
      <c r="BM6046" s="40"/>
      <c r="BN6046" s="40"/>
      <c r="BO6046" s="40"/>
      <c r="BP6046" s="155"/>
      <c r="BQ6046" s="314"/>
      <c r="BR6046" s="314"/>
      <c r="BS6046" s="314"/>
      <c r="BT6046" s="314"/>
      <c r="BU6046" s="314"/>
      <c r="BV6046" s="314"/>
      <c r="BW6046" s="314"/>
      <c r="BX6046" s="155"/>
    </row>
    <row r="6047" spans="1:76" ht="15.75" customHeight="1">
      <c r="A6047" s="25"/>
      <c r="B6047" s="39"/>
      <c r="C6047" s="155"/>
      <c r="D6047" s="155"/>
      <c r="E6047" s="40"/>
      <c r="F6047" s="314"/>
      <c r="H6047" s="315"/>
      <c r="I6047" s="315"/>
      <c r="BA6047" s="30"/>
      <c r="BB6047" s="155"/>
      <c r="BC6047" s="314"/>
      <c r="BD6047" s="314"/>
      <c r="BE6047" s="314"/>
      <c r="BF6047" s="314"/>
      <c r="BG6047" s="314"/>
      <c r="BH6047" s="314"/>
      <c r="BI6047" s="314"/>
      <c r="BJ6047" s="314"/>
      <c r="BK6047" s="40"/>
      <c r="BL6047" s="40"/>
      <c r="BM6047" s="40"/>
      <c r="BN6047" s="40"/>
      <c r="BO6047" s="40"/>
      <c r="BP6047" s="155"/>
      <c r="BQ6047" s="314"/>
      <c r="BR6047" s="314"/>
      <c r="BS6047" s="314"/>
      <c r="BT6047" s="314"/>
      <c r="BU6047" s="314"/>
      <c r="BV6047" s="314"/>
      <c r="BW6047" s="314"/>
      <c r="BX6047" s="155"/>
    </row>
    <row r="6048" spans="1:76" ht="15.75" customHeight="1">
      <c r="A6048" s="25"/>
      <c r="B6048" s="39"/>
      <c r="C6048" s="155"/>
      <c r="D6048" s="155"/>
      <c r="E6048" s="40"/>
      <c r="F6048" s="314"/>
      <c r="H6048" s="315"/>
      <c r="I6048" s="315"/>
      <c r="BA6048" s="30"/>
      <c r="BB6048" s="155"/>
      <c r="BC6048" s="314"/>
      <c r="BD6048" s="314"/>
      <c r="BE6048" s="314"/>
      <c r="BF6048" s="314"/>
      <c r="BG6048" s="314"/>
      <c r="BH6048" s="314"/>
      <c r="BI6048" s="314"/>
      <c r="BJ6048" s="314"/>
      <c r="BK6048" s="40"/>
      <c r="BL6048" s="40"/>
      <c r="BM6048" s="40"/>
      <c r="BN6048" s="40"/>
      <c r="BO6048" s="40"/>
      <c r="BP6048" s="155"/>
      <c r="BQ6048" s="314"/>
      <c r="BR6048" s="314"/>
      <c r="BS6048" s="314"/>
      <c r="BT6048" s="314"/>
      <c r="BU6048" s="314"/>
      <c r="BV6048" s="314"/>
      <c r="BW6048" s="314"/>
      <c r="BX6048" s="155"/>
    </row>
    <row r="6049" spans="1:76" ht="15.75" customHeight="1">
      <c r="A6049" s="25"/>
      <c r="B6049" s="39"/>
      <c r="C6049" s="155"/>
      <c r="D6049" s="155"/>
      <c r="E6049" s="40"/>
      <c r="F6049" s="314"/>
      <c r="H6049" s="315"/>
      <c r="I6049" s="315"/>
      <c r="BA6049" s="30"/>
      <c r="BB6049" s="155"/>
      <c r="BC6049" s="314"/>
      <c r="BD6049" s="314"/>
      <c r="BE6049" s="314"/>
      <c r="BF6049" s="314"/>
      <c r="BG6049" s="314"/>
      <c r="BH6049" s="314"/>
      <c r="BI6049" s="314"/>
      <c r="BJ6049" s="314"/>
      <c r="BK6049" s="40"/>
      <c r="BL6049" s="40"/>
      <c r="BM6049" s="40"/>
      <c r="BN6049" s="40"/>
      <c r="BO6049" s="40"/>
      <c r="BP6049" s="155"/>
      <c r="BQ6049" s="314"/>
      <c r="BR6049" s="314"/>
      <c r="BS6049" s="314"/>
      <c r="BT6049" s="314"/>
      <c r="BU6049" s="314"/>
      <c r="BV6049" s="314"/>
      <c r="BW6049" s="314"/>
      <c r="BX6049" s="155"/>
    </row>
    <row r="6050" spans="1:76" ht="15.75" customHeight="1">
      <c r="A6050" s="25"/>
      <c r="B6050" s="39"/>
      <c r="C6050" s="155"/>
      <c r="D6050" s="155"/>
      <c r="E6050" s="40"/>
      <c r="F6050" s="314"/>
      <c r="H6050" s="315"/>
      <c r="I6050" s="315"/>
      <c r="BA6050" s="30"/>
      <c r="BB6050" s="155"/>
      <c r="BC6050" s="314"/>
      <c r="BD6050" s="314"/>
      <c r="BE6050" s="314"/>
      <c r="BF6050" s="314"/>
      <c r="BG6050" s="314"/>
      <c r="BH6050" s="314"/>
      <c r="BI6050" s="314"/>
      <c r="BJ6050" s="314"/>
      <c r="BK6050" s="40"/>
      <c r="BL6050" s="40"/>
      <c r="BM6050" s="40"/>
      <c r="BN6050" s="40"/>
      <c r="BO6050" s="40"/>
      <c r="BP6050" s="155"/>
      <c r="BQ6050" s="314"/>
      <c r="BR6050" s="314"/>
      <c r="BS6050" s="314"/>
      <c r="BT6050" s="314"/>
      <c r="BU6050" s="314"/>
      <c r="BV6050" s="314"/>
      <c r="BW6050" s="314"/>
      <c r="BX6050" s="155"/>
    </row>
    <row r="6051" spans="1:76" ht="15.75" customHeight="1">
      <c r="A6051" s="25"/>
      <c r="B6051" s="39"/>
      <c r="C6051" s="155"/>
      <c r="D6051" s="155"/>
      <c r="E6051" s="40"/>
      <c r="F6051" s="314"/>
      <c r="H6051" s="315"/>
      <c r="I6051" s="315"/>
      <c r="BA6051" s="30"/>
      <c r="BB6051" s="155"/>
      <c r="BC6051" s="314"/>
      <c r="BD6051" s="314"/>
      <c r="BE6051" s="314"/>
      <c r="BF6051" s="314"/>
      <c r="BG6051" s="314"/>
      <c r="BH6051" s="314"/>
      <c r="BI6051" s="314"/>
      <c r="BJ6051" s="314"/>
      <c r="BK6051" s="40"/>
      <c r="BL6051" s="40"/>
      <c r="BM6051" s="40"/>
      <c r="BN6051" s="40"/>
      <c r="BO6051" s="40"/>
      <c r="BP6051" s="155"/>
      <c r="BQ6051" s="314"/>
      <c r="BR6051" s="314"/>
      <c r="BS6051" s="314"/>
      <c r="BT6051" s="314"/>
      <c r="BU6051" s="314"/>
      <c r="BV6051" s="314"/>
      <c r="BW6051" s="314"/>
      <c r="BX6051" s="155"/>
    </row>
    <row r="6052" spans="1:76" ht="15.75" customHeight="1">
      <c r="A6052" s="25"/>
      <c r="B6052" s="39"/>
      <c r="C6052" s="155"/>
      <c r="D6052" s="155"/>
      <c r="E6052" s="40"/>
      <c r="F6052" s="314"/>
      <c r="H6052" s="315"/>
      <c r="I6052" s="315"/>
      <c r="BA6052" s="30"/>
      <c r="BB6052" s="155"/>
      <c r="BC6052" s="314"/>
      <c r="BD6052" s="314"/>
      <c r="BE6052" s="314"/>
      <c r="BF6052" s="314"/>
      <c r="BG6052" s="314"/>
      <c r="BH6052" s="314"/>
      <c r="BI6052" s="314"/>
      <c r="BJ6052" s="314"/>
      <c r="BK6052" s="40"/>
      <c r="BL6052" s="40"/>
      <c r="BM6052" s="40"/>
      <c r="BN6052" s="40"/>
      <c r="BO6052" s="40"/>
      <c r="BP6052" s="155"/>
      <c r="BQ6052" s="314"/>
      <c r="BR6052" s="314"/>
      <c r="BS6052" s="314"/>
      <c r="BT6052" s="314"/>
      <c r="BU6052" s="314"/>
      <c r="BV6052" s="314"/>
      <c r="BW6052" s="314"/>
      <c r="BX6052" s="155"/>
    </row>
    <row r="6053" spans="1:76" ht="15.75" customHeight="1">
      <c r="A6053" s="25"/>
      <c r="B6053" s="39"/>
      <c r="C6053" s="155"/>
      <c r="D6053" s="155"/>
      <c r="E6053" s="40"/>
      <c r="F6053" s="314"/>
      <c r="H6053" s="315"/>
      <c r="I6053" s="315"/>
      <c r="BA6053" s="30"/>
      <c r="BB6053" s="155"/>
      <c r="BC6053" s="314"/>
      <c r="BD6053" s="314"/>
      <c r="BE6053" s="314"/>
      <c r="BF6053" s="314"/>
      <c r="BG6053" s="314"/>
      <c r="BH6053" s="314"/>
      <c r="BI6053" s="314"/>
      <c r="BJ6053" s="314"/>
      <c r="BK6053" s="40"/>
      <c r="BL6053" s="40"/>
      <c r="BM6053" s="40"/>
      <c r="BN6053" s="40"/>
      <c r="BO6053" s="40"/>
      <c r="BP6053" s="155"/>
      <c r="BQ6053" s="314"/>
      <c r="BR6053" s="314"/>
      <c r="BS6053" s="314"/>
      <c r="BT6053" s="314"/>
      <c r="BU6053" s="314"/>
      <c r="BV6053" s="314"/>
      <c r="BW6053" s="314"/>
      <c r="BX6053" s="155"/>
    </row>
    <row r="6054" spans="1:76" ht="15.75" customHeight="1">
      <c r="A6054" s="25"/>
      <c r="B6054" s="39"/>
      <c r="C6054" s="155"/>
      <c r="D6054" s="155"/>
      <c r="E6054" s="40"/>
      <c r="F6054" s="314"/>
      <c r="H6054" s="315"/>
      <c r="I6054" s="315"/>
      <c r="BA6054" s="30"/>
      <c r="BB6054" s="155"/>
      <c r="BC6054" s="314"/>
      <c r="BD6054" s="314"/>
      <c r="BE6054" s="314"/>
      <c r="BF6054" s="314"/>
      <c r="BG6054" s="314"/>
      <c r="BH6054" s="314"/>
      <c r="BI6054" s="314"/>
      <c r="BJ6054" s="314"/>
      <c r="BK6054" s="40"/>
      <c r="BL6054" s="40"/>
      <c r="BM6054" s="40"/>
      <c r="BN6054" s="40"/>
      <c r="BO6054" s="40"/>
      <c r="BP6054" s="155"/>
      <c r="BQ6054" s="314"/>
      <c r="BR6054" s="314"/>
      <c r="BS6054" s="314"/>
      <c r="BT6054" s="314"/>
      <c r="BU6054" s="314"/>
      <c r="BV6054" s="314"/>
      <c r="BW6054" s="314"/>
      <c r="BX6054" s="155"/>
    </row>
    <row r="6055" spans="1:76" ht="15.75" customHeight="1">
      <c r="A6055" s="25"/>
      <c r="B6055" s="39"/>
      <c r="C6055" s="155"/>
      <c r="D6055" s="155"/>
      <c r="E6055" s="40"/>
      <c r="F6055" s="314"/>
      <c r="H6055" s="315"/>
      <c r="I6055" s="315"/>
      <c r="BA6055" s="30"/>
      <c r="BB6055" s="155"/>
      <c r="BC6055" s="314"/>
      <c r="BD6055" s="314"/>
      <c r="BE6055" s="314"/>
      <c r="BF6055" s="314"/>
      <c r="BG6055" s="314"/>
      <c r="BH6055" s="314"/>
      <c r="BI6055" s="314"/>
      <c r="BJ6055" s="314"/>
      <c r="BK6055" s="40"/>
      <c r="BL6055" s="40"/>
      <c r="BM6055" s="40"/>
      <c r="BN6055" s="40"/>
      <c r="BO6055" s="40"/>
      <c r="BP6055" s="155"/>
      <c r="BQ6055" s="314"/>
      <c r="BR6055" s="314"/>
      <c r="BS6055" s="314"/>
      <c r="BT6055" s="314"/>
      <c r="BU6055" s="314"/>
      <c r="BV6055" s="314"/>
      <c r="BW6055" s="314"/>
      <c r="BX6055" s="155"/>
    </row>
    <row r="6056" spans="1:76" ht="15.75" customHeight="1">
      <c r="A6056" s="25"/>
      <c r="B6056" s="39"/>
      <c r="C6056" s="155"/>
      <c r="D6056" s="155"/>
      <c r="E6056" s="40"/>
      <c r="F6056" s="314"/>
      <c r="H6056" s="315"/>
      <c r="I6056" s="315"/>
      <c r="BA6056" s="30"/>
      <c r="BB6056" s="155"/>
      <c r="BC6056" s="314"/>
      <c r="BD6056" s="314"/>
      <c r="BE6056" s="314"/>
      <c r="BF6056" s="314"/>
      <c r="BG6056" s="314"/>
      <c r="BH6056" s="314"/>
      <c r="BI6056" s="314"/>
      <c r="BJ6056" s="314"/>
      <c r="BK6056" s="40"/>
      <c r="BL6056" s="40"/>
      <c r="BM6056" s="40"/>
      <c r="BN6056" s="40"/>
      <c r="BO6056" s="40"/>
      <c r="BP6056" s="155"/>
      <c r="BQ6056" s="314"/>
      <c r="BR6056" s="314"/>
      <c r="BS6056" s="314"/>
      <c r="BT6056" s="314"/>
      <c r="BU6056" s="314"/>
      <c r="BV6056" s="314"/>
      <c r="BW6056" s="314"/>
      <c r="BX6056" s="155"/>
    </row>
    <row r="6057" spans="1:76" ht="15.75" customHeight="1">
      <c r="A6057" s="25"/>
      <c r="B6057" s="39"/>
      <c r="C6057" s="155"/>
      <c r="D6057" s="155"/>
      <c r="E6057" s="40"/>
      <c r="F6057" s="314"/>
      <c r="H6057" s="315"/>
      <c r="I6057" s="315"/>
      <c r="BA6057" s="30"/>
      <c r="BB6057" s="155"/>
      <c r="BC6057" s="314"/>
      <c r="BD6057" s="314"/>
      <c r="BE6057" s="314"/>
      <c r="BF6057" s="314"/>
      <c r="BG6057" s="314"/>
      <c r="BH6057" s="314"/>
      <c r="BI6057" s="314"/>
      <c r="BJ6057" s="314"/>
      <c r="BK6057" s="40"/>
      <c r="BL6057" s="40"/>
      <c r="BM6057" s="40"/>
      <c r="BN6057" s="40"/>
      <c r="BO6057" s="40"/>
      <c r="BP6057" s="155"/>
      <c r="BQ6057" s="314"/>
      <c r="BR6057" s="314"/>
      <c r="BS6057" s="314"/>
      <c r="BT6057" s="314"/>
      <c r="BU6057" s="314"/>
      <c r="BV6057" s="314"/>
      <c r="BW6057" s="314"/>
      <c r="BX6057" s="155"/>
    </row>
    <row r="6058" spans="1:76" ht="15.75" customHeight="1">
      <c r="A6058" s="25"/>
      <c r="B6058" s="39"/>
      <c r="C6058" s="155"/>
      <c r="D6058" s="155"/>
      <c r="E6058" s="40"/>
      <c r="F6058" s="314"/>
      <c r="H6058" s="315"/>
      <c r="I6058" s="315"/>
      <c r="BA6058" s="30"/>
      <c r="BB6058" s="155"/>
      <c r="BC6058" s="314"/>
      <c r="BD6058" s="314"/>
      <c r="BE6058" s="314"/>
      <c r="BF6058" s="314"/>
      <c r="BG6058" s="314"/>
      <c r="BH6058" s="314"/>
      <c r="BI6058" s="314"/>
      <c r="BJ6058" s="314"/>
      <c r="BK6058" s="40"/>
      <c r="BL6058" s="40"/>
      <c r="BM6058" s="40"/>
      <c r="BN6058" s="40"/>
      <c r="BO6058" s="40"/>
      <c r="BP6058" s="155"/>
      <c r="BQ6058" s="314"/>
      <c r="BR6058" s="314"/>
      <c r="BS6058" s="314"/>
      <c r="BT6058" s="314"/>
      <c r="BU6058" s="314"/>
      <c r="BV6058" s="314"/>
      <c r="BW6058" s="314"/>
      <c r="BX6058" s="155"/>
    </row>
    <row r="6059" spans="1:76" ht="15.75" customHeight="1">
      <c r="A6059" s="25"/>
      <c r="B6059" s="39"/>
      <c r="C6059" s="155"/>
      <c r="D6059" s="155"/>
      <c r="E6059" s="40"/>
      <c r="F6059" s="314"/>
      <c r="H6059" s="315"/>
      <c r="I6059" s="315"/>
      <c r="BA6059" s="30"/>
      <c r="BB6059" s="155"/>
      <c r="BC6059" s="314"/>
      <c r="BD6059" s="314"/>
      <c r="BE6059" s="314"/>
      <c r="BF6059" s="314"/>
      <c r="BG6059" s="314"/>
      <c r="BH6059" s="314"/>
      <c r="BI6059" s="314"/>
      <c r="BJ6059" s="314"/>
      <c r="BK6059" s="40"/>
      <c r="BL6059" s="40"/>
      <c r="BM6059" s="40"/>
      <c r="BN6059" s="40"/>
      <c r="BO6059" s="40"/>
      <c r="BP6059" s="155"/>
      <c r="BQ6059" s="314"/>
      <c r="BR6059" s="314"/>
      <c r="BS6059" s="314"/>
      <c r="BT6059" s="314"/>
      <c r="BU6059" s="314"/>
      <c r="BV6059" s="314"/>
      <c r="BW6059" s="314"/>
      <c r="BX6059" s="155"/>
    </row>
    <row r="6060" spans="1:76" ht="15.75" customHeight="1">
      <c r="A6060" s="25"/>
      <c r="B6060" s="39"/>
      <c r="C6060" s="155"/>
      <c r="D6060" s="155"/>
      <c r="E6060" s="40"/>
      <c r="F6060" s="314"/>
      <c r="H6060" s="315"/>
      <c r="I6060" s="315"/>
      <c r="BA6060" s="30"/>
      <c r="BB6060" s="155"/>
      <c r="BC6060" s="314"/>
      <c r="BD6060" s="314"/>
      <c r="BE6060" s="314"/>
      <c r="BF6060" s="314"/>
      <c r="BG6060" s="314"/>
      <c r="BH6060" s="314"/>
      <c r="BI6060" s="314"/>
      <c r="BJ6060" s="314"/>
      <c r="BK6060" s="40"/>
      <c r="BL6060" s="40"/>
      <c r="BM6060" s="40"/>
      <c r="BN6060" s="40"/>
      <c r="BO6060" s="40"/>
      <c r="BP6060" s="155"/>
      <c r="BQ6060" s="314"/>
      <c r="BR6060" s="314"/>
      <c r="BS6060" s="314"/>
      <c r="BT6060" s="314"/>
      <c r="BU6060" s="314"/>
      <c r="BV6060" s="314"/>
      <c r="BW6060" s="314"/>
      <c r="BX6060" s="155"/>
    </row>
    <row r="6061" spans="1:76" ht="15.75" customHeight="1">
      <c r="A6061" s="25"/>
      <c r="B6061" s="39"/>
      <c r="C6061" s="155"/>
      <c r="D6061" s="155"/>
      <c r="E6061" s="40"/>
      <c r="F6061" s="314"/>
      <c r="H6061" s="315"/>
      <c r="I6061" s="315"/>
      <c r="BA6061" s="30"/>
      <c r="BB6061" s="155"/>
      <c r="BC6061" s="314"/>
      <c r="BD6061" s="314"/>
      <c r="BE6061" s="314"/>
      <c r="BF6061" s="314"/>
      <c r="BG6061" s="314"/>
      <c r="BH6061" s="314"/>
      <c r="BI6061" s="314"/>
      <c r="BJ6061" s="314"/>
      <c r="BK6061" s="40"/>
      <c r="BL6061" s="40"/>
      <c r="BM6061" s="40"/>
      <c r="BN6061" s="40"/>
      <c r="BO6061" s="40"/>
      <c r="BP6061" s="155"/>
      <c r="BQ6061" s="314"/>
      <c r="BR6061" s="314"/>
      <c r="BS6061" s="314"/>
      <c r="BT6061" s="314"/>
      <c r="BU6061" s="314"/>
      <c r="BV6061" s="314"/>
      <c r="BW6061" s="314"/>
      <c r="BX6061" s="155"/>
    </row>
    <row r="6062" spans="1:76" ht="15.75" customHeight="1">
      <c r="A6062" s="25"/>
      <c r="B6062" s="39"/>
      <c r="C6062" s="155"/>
      <c r="D6062" s="155"/>
      <c r="E6062" s="40"/>
      <c r="F6062" s="314"/>
      <c r="H6062" s="315"/>
      <c r="I6062" s="315"/>
      <c r="BA6062" s="30"/>
      <c r="BB6062" s="155"/>
      <c r="BC6062" s="314"/>
      <c r="BD6062" s="314"/>
      <c r="BE6062" s="314"/>
      <c r="BF6062" s="314"/>
      <c r="BG6062" s="314"/>
      <c r="BH6062" s="314"/>
      <c r="BI6062" s="314"/>
      <c r="BJ6062" s="314"/>
      <c r="BK6062" s="40"/>
      <c r="BL6062" s="40"/>
      <c r="BM6062" s="40"/>
      <c r="BN6062" s="40"/>
      <c r="BO6062" s="40"/>
      <c r="BP6062" s="155"/>
      <c r="BQ6062" s="314"/>
      <c r="BR6062" s="314"/>
      <c r="BS6062" s="314"/>
      <c r="BT6062" s="314"/>
      <c r="BU6062" s="314"/>
      <c r="BV6062" s="314"/>
      <c r="BW6062" s="314"/>
      <c r="BX6062" s="155"/>
    </row>
    <row r="6063" spans="1:76" ht="15.75" customHeight="1">
      <c r="A6063" s="25"/>
      <c r="B6063" s="39"/>
      <c r="C6063" s="155"/>
      <c r="D6063" s="155"/>
      <c r="E6063" s="40"/>
      <c r="F6063" s="314"/>
      <c r="H6063" s="315"/>
      <c r="I6063" s="315"/>
      <c r="BA6063" s="30"/>
      <c r="BB6063" s="155"/>
      <c r="BC6063" s="314"/>
      <c r="BD6063" s="314"/>
      <c r="BE6063" s="314"/>
      <c r="BF6063" s="314"/>
      <c r="BG6063" s="314"/>
      <c r="BH6063" s="314"/>
      <c r="BI6063" s="314"/>
      <c r="BJ6063" s="314"/>
      <c r="BK6063" s="40"/>
      <c r="BL6063" s="40"/>
      <c r="BM6063" s="40"/>
      <c r="BN6063" s="40"/>
      <c r="BO6063" s="40"/>
      <c r="BP6063" s="155"/>
      <c r="BQ6063" s="314"/>
      <c r="BR6063" s="314"/>
      <c r="BS6063" s="314"/>
      <c r="BT6063" s="314"/>
      <c r="BU6063" s="314"/>
      <c r="BV6063" s="314"/>
      <c r="BW6063" s="314"/>
      <c r="BX6063" s="155"/>
    </row>
    <row r="6064" spans="1:76" ht="15.75" customHeight="1">
      <c r="A6064" s="25"/>
      <c r="B6064" s="39"/>
      <c r="C6064" s="155"/>
      <c r="D6064" s="155"/>
      <c r="E6064" s="40"/>
      <c r="F6064" s="314"/>
      <c r="H6064" s="315"/>
      <c r="I6064" s="315"/>
      <c r="BA6064" s="30"/>
      <c r="BB6064" s="155"/>
      <c r="BC6064" s="314"/>
      <c r="BD6064" s="314"/>
      <c r="BE6064" s="314"/>
      <c r="BF6064" s="314"/>
      <c r="BG6064" s="314"/>
      <c r="BH6064" s="314"/>
      <c r="BI6064" s="314"/>
      <c r="BJ6064" s="314"/>
      <c r="BK6064" s="40"/>
      <c r="BL6064" s="40"/>
      <c r="BM6064" s="40"/>
      <c r="BN6064" s="40"/>
      <c r="BO6064" s="40"/>
      <c r="BP6064" s="155"/>
      <c r="BQ6064" s="314"/>
      <c r="BR6064" s="314"/>
      <c r="BS6064" s="314"/>
      <c r="BT6064" s="314"/>
      <c r="BU6064" s="314"/>
      <c r="BV6064" s="314"/>
      <c r="BW6064" s="314"/>
      <c r="BX6064" s="155"/>
    </row>
    <row r="6065" spans="1:76" ht="15.75" customHeight="1">
      <c r="A6065" s="25"/>
      <c r="B6065" s="39"/>
      <c r="C6065" s="155"/>
      <c r="D6065" s="155"/>
      <c r="E6065" s="40"/>
      <c r="F6065" s="314"/>
      <c r="H6065" s="315"/>
      <c r="I6065" s="315"/>
      <c r="BA6065" s="30"/>
      <c r="BB6065" s="155"/>
      <c r="BC6065" s="314"/>
      <c r="BD6065" s="314"/>
      <c r="BE6065" s="314"/>
      <c r="BF6065" s="314"/>
      <c r="BG6065" s="314"/>
      <c r="BH6065" s="314"/>
      <c r="BI6065" s="314"/>
      <c r="BJ6065" s="314"/>
      <c r="BK6065" s="40"/>
      <c r="BL6065" s="40"/>
      <c r="BM6065" s="40"/>
      <c r="BN6065" s="40"/>
      <c r="BO6065" s="40"/>
      <c r="BP6065" s="155"/>
      <c r="BQ6065" s="314"/>
      <c r="BR6065" s="314"/>
      <c r="BS6065" s="314"/>
      <c r="BT6065" s="314"/>
      <c r="BU6065" s="314"/>
      <c r="BV6065" s="314"/>
      <c r="BW6065" s="314"/>
      <c r="BX6065" s="155"/>
    </row>
    <row r="6066" spans="1:76" ht="15.75" customHeight="1">
      <c r="A6066" s="25"/>
      <c r="B6066" s="39"/>
      <c r="C6066" s="155"/>
      <c r="D6066" s="155"/>
      <c r="E6066" s="40"/>
      <c r="F6066" s="314"/>
      <c r="H6066" s="315"/>
      <c r="I6066" s="315"/>
      <c r="BA6066" s="30"/>
      <c r="BB6066" s="155"/>
      <c r="BC6066" s="314"/>
      <c r="BD6066" s="314"/>
      <c r="BE6066" s="314"/>
      <c r="BF6066" s="314"/>
      <c r="BG6066" s="314"/>
      <c r="BH6066" s="314"/>
      <c r="BI6066" s="314"/>
      <c r="BJ6066" s="314"/>
      <c r="BK6066" s="40"/>
      <c r="BL6066" s="40"/>
      <c r="BM6066" s="40"/>
      <c r="BN6066" s="40"/>
      <c r="BO6066" s="40"/>
      <c r="BP6066" s="155"/>
      <c r="BQ6066" s="314"/>
      <c r="BR6066" s="314"/>
      <c r="BS6066" s="314"/>
      <c r="BT6066" s="314"/>
      <c r="BU6066" s="314"/>
      <c r="BV6066" s="314"/>
      <c r="BW6066" s="314"/>
      <c r="BX6066" s="155"/>
    </row>
    <row r="6067" spans="1:76" ht="15.75" customHeight="1">
      <c r="A6067" s="25"/>
      <c r="B6067" s="39"/>
      <c r="C6067" s="155"/>
      <c r="D6067" s="155"/>
      <c r="E6067" s="40"/>
      <c r="F6067" s="314"/>
      <c r="H6067" s="315"/>
      <c r="I6067" s="315"/>
      <c r="BA6067" s="30"/>
      <c r="BB6067" s="155"/>
      <c r="BC6067" s="314"/>
      <c r="BD6067" s="314"/>
      <c r="BE6067" s="314"/>
      <c r="BF6067" s="314"/>
      <c r="BG6067" s="314"/>
      <c r="BH6067" s="314"/>
      <c r="BI6067" s="314"/>
      <c r="BJ6067" s="314"/>
      <c r="BK6067" s="40"/>
      <c r="BL6067" s="40"/>
      <c r="BM6067" s="40"/>
      <c r="BN6067" s="40"/>
      <c r="BO6067" s="40"/>
      <c r="BP6067" s="155"/>
      <c r="BQ6067" s="314"/>
      <c r="BR6067" s="314"/>
      <c r="BS6067" s="314"/>
      <c r="BT6067" s="314"/>
      <c r="BU6067" s="314"/>
      <c r="BV6067" s="314"/>
      <c r="BW6067" s="314"/>
      <c r="BX6067" s="155"/>
    </row>
    <row r="6068" spans="1:76" ht="15.75" customHeight="1">
      <c r="A6068" s="25"/>
      <c r="B6068" s="39"/>
      <c r="C6068" s="155"/>
      <c r="D6068" s="155"/>
      <c r="E6068" s="40"/>
      <c r="F6068" s="314"/>
      <c r="H6068" s="315"/>
      <c r="I6068" s="315"/>
      <c r="BA6068" s="30"/>
      <c r="BB6068" s="155"/>
      <c r="BC6068" s="314"/>
      <c r="BD6068" s="314"/>
      <c r="BE6068" s="314"/>
      <c r="BF6068" s="314"/>
      <c r="BG6068" s="314"/>
      <c r="BH6068" s="314"/>
      <c r="BI6068" s="314"/>
      <c r="BJ6068" s="314"/>
      <c r="BK6068" s="40"/>
      <c r="BL6068" s="40"/>
      <c r="BM6068" s="40"/>
      <c r="BN6068" s="40"/>
      <c r="BO6068" s="40"/>
      <c r="BP6068" s="155"/>
      <c r="BQ6068" s="314"/>
      <c r="BR6068" s="314"/>
      <c r="BS6068" s="314"/>
      <c r="BT6068" s="314"/>
      <c r="BU6068" s="314"/>
      <c r="BV6068" s="314"/>
      <c r="BW6068" s="314"/>
      <c r="BX6068" s="155"/>
    </row>
    <row r="6069" spans="1:76" ht="15.75" customHeight="1">
      <c r="A6069" s="25"/>
      <c r="B6069" s="39"/>
      <c r="C6069" s="155"/>
      <c r="D6069" s="155"/>
      <c r="E6069" s="40"/>
      <c r="F6069" s="314"/>
      <c r="H6069" s="315"/>
      <c r="I6069" s="315"/>
      <c r="BA6069" s="30"/>
      <c r="BB6069" s="155"/>
      <c r="BC6069" s="314"/>
      <c r="BD6069" s="314"/>
      <c r="BE6069" s="314"/>
      <c r="BF6069" s="314"/>
      <c r="BG6069" s="314"/>
      <c r="BH6069" s="314"/>
      <c r="BI6069" s="314"/>
      <c r="BJ6069" s="314"/>
      <c r="BK6069" s="40"/>
      <c r="BL6069" s="40"/>
      <c r="BM6069" s="40"/>
      <c r="BN6069" s="40"/>
      <c r="BO6069" s="40"/>
      <c r="BP6069" s="155"/>
      <c r="BQ6069" s="314"/>
      <c r="BR6069" s="314"/>
      <c r="BS6069" s="314"/>
      <c r="BT6069" s="314"/>
      <c r="BU6069" s="314"/>
      <c r="BV6069" s="314"/>
      <c r="BW6069" s="314"/>
      <c r="BX6069" s="155"/>
    </row>
    <row r="6070" spans="1:76" ht="15.75" customHeight="1">
      <c r="A6070" s="25"/>
      <c r="B6070" s="39"/>
      <c r="C6070" s="155"/>
      <c r="D6070" s="155"/>
      <c r="E6070" s="40"/>
      <c r="F6070" s="314"/>
      <c r="H6070" s="315"/>
      <c r="I6070" s="315"/>
      <c r="BA6070" s="30"/>
      <c r="BB6070" s="155"/>
      <c r="BC6070" s="314"/>
      <c r="BD6070" s="314"/>
      <c r="BE6070" s="314"/>
      <c r="BF6070" s="314"/>
      <c r="BG6070" s="314"/>
      <c r="BH6070" s="314"/>
      <c r="BI6070" s="314"/>
      <c r="BJ6070" s="314"/>
      <c r="BK6070" s="40"/>
      <c r="BL6070" s="40"/>
      <c r="BM6070" s="40"/>
      <c r="BN6070" s="40"/>
      <c r="BO6070" s="40"/>
      <c r="BP6070" s="155"/>
      <c r="BQ6070" s="314"/>
      <c r="BR6070" s="314"/>
      <c r="BS6070" s="314"/>
      <c r="BT6070" s="314"/>
      <c r="BU6070" s="314"/>
      <c r="BV6070" s="314"/>
      <c r="BW6070" s="314"/>
      <c r="BX6070" s="155"/>
    </row>
    <row r="6071" spans="1:76" ht="15.75" customHeight="1">
      <c r="A6071" s="25"/>
      <c r="B6071" s="39"/>
      <c r="C6071" s="155"/>
      <c r="D6071" s="155"/>
      <c r="E6071" s="40"/>
      <c r="F6071" s="314"/>
      <c r="H6071" s="315"/>
      <c r="I6071" s="315"/>
      <c r="BA6071" s="30"/>
      <c r="BB6071" s="155"/>
      <c r="BC6071" s="314"/>
      <c r="BD6071" s="314"/>
      <c r="BE6071" s="314"/>
      <c r="BF6071" s="314"/>
      <c r="BG6071" s="314"/>
      <c r="BH6071" s="314"/>
      <c r="BI6071" s="314"/>
      <c r="BJ6071" s="314"/>
      <c r="BK6071" s="40"/>
      <c r="BL6071" s="40"/>
      <c r="BM6071" s="40"/>
      <c r="BN6071" s="40"/>
      <c r="BO6071" s="40"/>
      <c r="BP6071" s="155"/>
      <c r="BQ6071" s="314"/>
      <c r="BR6071" s="314"/>
      <c r="BS6071" s="314"/>
      <c r="BT6071" s="314"/>
      <c r="BU6071" s="314"/>
      <c r="BV6071" s="314"/>
      <c r="BW6071" s="314"/>
      <c r="BX6071" s="155"/>
    </row>
    <row r="6072" spans="1:76" ht="15.75" customHeight="1">
      <c r="A6072" s="25"/>
      <c r="B6072" s="39"/>
      <c r="C6072" s="155"/>
      <c r="D6072" s="155"/>
      <c r="E6072" s="40"/>
      <c r="F6072" s="314"/>
      <c r="H6072" s="315"/>
      <c r="I6072" s="315"/>
      <c r="BA6072" s="30"/>
      <c r="BB6072" s="155"/>
      <c r="BC6072" s="314"/>
      <c r="BD6072" s="314"/>
      <c r="BE6072" s="314"/>
      <c r="BF6072" s="314"/>
      <c r="BG6072" s="314"/>
      <c r="BH6072" s="314"/>
      <c r="BI6072" s="314"/>
      <c r="BJ6072" s="314"/>
      <c r="BK6072" s="40"/>
      <c r="BL6072" s="40"/>
      <c r="BM6072" s="40"/>
      <c r="BN6072" s="40"/>
      <c r="BO6072" s="40"/>
      <c r="BP6072" s="155"/>
      <c r="BQ6072" s="314"/>
      <c r="BR6072" s="314"/>
      <c r="BS6072" s="314"/>
      <c r="BT6072" s="314"/>
      <c r="BU6072" s="314"/>
      <c r="BV6072" s="314"/>
      <c r="BW6072" s="314"/>
      <c r="BX6072" s="155"/>
    </row>
    <row r="6073" spans="1:76" ht="15.75" customHeight="1">
      <c r="A6073" s="25"/>
      <c r="B6073" s="39"/>
      <c r="C6073" s="155"/>
      <c r="D6073" s="155"/>
      <c r="E6073" s="40"/>
      <c r="F6073" s="314"/>
      <c r="H6073" s="315"/>
      <c r="I6073" s="315"/>
      <c r="BA6073" s="30"/>
      <c r="BB6073" s="155"/>
      <c r="BC6073" s="314"/>
      <c r="BD6073" s="314"/>
      <c r="BE6073" s="314"/>
      <c r="BF6073" s="314"/>
      <c r="BG6073" s="314"/>
      <c r="BH6073" s="314"/>
      <c r="BI6073" s="314"/>
      <c r="BJ6073" s="314"/>
      <c r="BK6073" s="40"/>
      <c r="BL6073" s="40"/>
      <c r="BM6073" s="40"/>
      <c r="BN6073" s="40"/>
      <c r="BO6073" s="40"/>
      <c r="BP6073" s="155"/>
      <c r="BQ6073" s="314"/>
      <c r="BR6073" s="314"/>
      <c r="BS6073" s="314"/>
      <c r="BT6073" s="314"/>
      <c r="BU6073" s="314"/>
      <c r="BV6073" s="314"/>
      <c r="BW6073" s="314"/>
      <c r="BX6073" s="155"/>
    </row>
    <row r="6074" spans="1:76" ht="15.75" customHeight="1">
      <c r="A6074" s="25"/>
      <c r="B6074" s="39"/>
      <c r="C6074" s="155"/>
      <c r="D6074" s="155"/>
      <c r="E6074" s="40"/>
      <c r="F6074" s="314"/>
      <c r="H6074" s="315"/>
      <c r="I6074" s="315"/>
      <c r="BA6074" s="30"/>
      <c r="BB6074" s="155"/>
      <c r="BC6074" s="314"/>
      <c r="BD6074" s="314"/>
      <c r="BE6074" s="314"/>
      <c r="BF6074" s="314"/>
      <c r="BG6074" s="314"/>
      <c r="BH6074" s="314"/>
      <c r="BI6074" s="314"/>
      <c r="BJ6074" s="314"/>
      <c r="BK6074" s="40"/>
      <c r="BL6074" s="40"/>
      <c r="BM6074" s="40"/>
      <c r="BN6074" s="40"/>
      <c r="BO6074" s="40"/>
      <c r="BP6074" s="155"/>
      <c r="BQ6074" s="314"/>
      <c r="BR6074" s="314"/>
      <c r="BS6074" s="314"/>
      <c r="BT6074" s="314"/>
      <c r="BU6074" s="314"/>
      <c r="BV6074" s="314"/>
      <c r="BW6074" s="314"/>
      <c r="BX6074" s="155"/>
    </row>
    <row r="6075" spans="1:76" ht="15.75" customHeight="1">
      <c r="A6075" s="25"/>
      <c r="B6075" s="39"/>
      <c r="C6075" s="155"/>
      <c r="D6075" s="155"/>
      <c r="E6075" s="40"/>
      <c r="F6075" s="314"/>
      <c r="H6075" s="315"/>
      <c r="I6075" s="315"/>
      <c r="BA6075" s="30"/>
      <c r="BB6075" s="155"/>
      <c r="BC6075" s="314"/>
      <c r="BD6075" s="314"/>
      <c r="BE6075" s="314"/>
      <c r="BF6075" s="314"/>
      <c r="BG6075" s="314"/>
      <c r="BH6075" s="314"/>
      <c r="BI6075" s="314"/>
      <c r="BJ6075" s="314"/>
      <c r="BK6075" s="40"/>
      <c r="BL6075" s="40"/>
      <c r="BM6075" s="40"/>
      <c r="BN6075" s="40"/>
      <c r="BO6075" s="40"/>
      <c r="BP6075" s="155"/>
      <c r="BQ6075" s="314"/>
      <c r="BR6075" s="314"/>
      <c r="BS6075" s="314"/>
      <c r="BT6075" s="314"/>
      <c r="BU6075" s="314"/>
      <c r="BV6075" s="314"/>
      <c r="BW6075" s="314"/>
      <c r="BX6075" s="155"/>
    </row>
    <row r="6076" spans="1:76" ht="15.75" customHeight="1">
      <c r="A6076" s="25"/>
      <c r="B6076" s="39"/>
      <c r="C6076" s="155"/>
      <c r="D6076" s="155"/>
      <c r="E6076" s="40"/>
      <c r="F6076" s="314"/>
      <c r="H6076" s="315"/>
      <c r="I6076" s="315"/>
      <c r="BA6076" s="30"/>
      <c r="BB6076" s="155"/>
      <c r="BC6076" s="314"/>
      <c r="BD6076" s="314"/>
      <c r="BE6076" s="314"/>
      <c r="BF6076" s="314"/>
      <c r="BG6076" s="314"/>
      <c r="BH6076" s="314"/>
      <c r="BI6076" s="314"/>
      <c r="BJ6076" s="314"/>
      <c r="BK6076" s="40"/>
      <c r="BL6076" s="40"/>
      <c r="BM6076" s="40"/>
      <c r="BN6076" s="40"/>
      <c r="BO6076" s="40"/>
      <c r="BP6076" s="155"/>
      <c r="BQ6076" s="314"/>
      <c r="BR6076" s="314"/>
      <c r="BS6076" s="314"/>
      <c r="BT6076" s="314"/>
      <c r="BU6076" s="314"/>
      <c r="BV6076" s="314"/>
      <c r="BW6076" s="314"/>
      <c r="BX6076" s="155"/>
    </row>
    <row r="6077" spans="1:76" ht="15.75" customHeight="1">
      <c r="A6077" s="25"/>
      <c r="B6077" s="39"/>
      <c r="C6077" s="155"/>
      <c r="D6077" s="155"/>
      <c r="E6077" s="40"/>
      <c r="F6077" s="314"/>
      <c r="H6077" s="315"/>
      <c r="I6077" s="315"/>
      <c r="BA6077" s="30"/>
      <c r="BB6077" s="155"/>
      <c r="BC6077" s="314"/>
      <c r="BD6077" s="314"/>
      <c r="BE6077" s="314"/>
      <c r="BF6077" s="314"/>
      <c r="BG6077" s="314"/>
      <c r="BH6077" s="314"/>
      <c r="BI6077" s="314"/>
      <c r="BJ6077" s="314"/>
      <c r="BK6077" s="40"/>
      <c r="BL6077" s="40"/>
      <c r="BM6077" s="40"/>
      <c r="BN6077" s="40"/>
      <c r="BO6077" s="40"/>
      <c r="BP6077" s="155"/>
      <c r="BQ6077" s="314"/>
      <c r="BR6077" s="314"/>
      <c r="BS6077" s="314"/>
      <c r="BT6077" s="314"/>
      <c r="BU6077" s="314"/>
      <c r="BV6077" s="314"/>
      <c r="BW6077" s="314"/>
      <c r="BX6077" s="155"/>
    </row>
    <row r="6078" spans="1:76" ht="15.75" customHeight="1">
      <c r="A6078" s="25"/>
      <c r="B6078" s="39"/>
      <c r="C6078" s="155"/>
      <c r="D6078" s="155"/>
      <c r="E6078" s="40"/>
      <c r="F6078" s="314"/>
      <c r="H6078" s="315"/>
      <c r="I6078" s="315"/>
      <c r="BA6078" s="30"/>
      <c r="BB6078" s="155"/>
      <c r="BC6078" s="314"/>
      <c r="BD6078" s="314"/>
      <c r="BE6078" s="314"/>
      <c r="BF6078" s="314"/>
      <c r="BG6078" s="314"/>
      <c r="BH6078" s="314"/>
      <c r="BI6078" s="314"/>
      <c r="BJ6078" s="314"/>
      <c r="BK6078" s="40"/>
      <c r="BL6078" s="40"/>
      <c r="BM6078" s="40"/>
      <c r="BN6078" s="40"/>
      <c r="BO6078" s="40"/>
      <c r="BP6078" s="155"/>
      <c r="BQ6078" s="314"/>
      <c r="BR6078" s="314"/>
      <c r="BS6078" s="314"/>
      <c r="BT6078" s="314"/>
      <c r="BU6078" s="314"/>
      <c r="BV6078" s="314"/>
      <c r="BW6078" s="314"/>
      <c r="BX6078" s="155"/>
    </row>
    <row r="6079" spans="1:76" ht="15.75" customHeight="1">
      <c r="A6079" s="25"/>
      <c r="B6079" s="39"/>
      <c r="C6079" s="155"/>
      <c r="D6079" s="155"/>
      <c r="E6079" s="40"/>
      <c r="F6079" s="314"/>
      <c r="H6079" s="315"/>
      <c r="I6079" s="315"/>
      <c r="BA6079" s="30"/>
      <c r="BB6079" s="155"/>
      <c r="BC6079" s="314"/>
      <c r="BD6079" s="314"/>
      <c r="BE6079" s="314"/>
      <c r="BF6079" s="314"/>
      <c r="BG6079" s="314"/>
      <c r="BH6079" s="314"/>
      <c r="BI6079" s="314"/>
      <c r="BJ6079" s="314"/>
      <c r="BK6079" s="40"/>
      <c r="BL6079" s="40"/>
      <c r="BM6079" s="40"/>
      <c r="BN6079" s="40"/>
      <c r="BO6079" s="40"/>
      <c r="BP6079" s="155"/>
      <c r="BQ6079" s="314"/>
      <c r="BR6079" s="314"/>
      <c r="BS6079" s="314"/>
      <c r="BT6079" s="314"/>
      <c r="BU6079" s="314"/>
      <c r="BV6079" s="314"/>
      <c r="BW6079" s="314"/>
      <c r="BX6079" s="155"/>
    </row>
    <row r="6080" spans="1:76" ht="15.75" customHeight="1">
      <c r="A6080" s="25"/>
      <c r="B6080" s="39"/>
      <c r="C6080" s="155"/>
      <c r="D6080" s="155"/>
      <c r="E6080" s="40"/>
      <c r="F6080" s="314"/>
      <c r="H6080" s="315"/>
      <c r="I6080" s="315"/>
      <c r="BA6080" s="30"/>
      <c r="BB6080" s="155"/>
      <c r="BC6080" s="314"/>
      <c r="BD6080" s="314"/>
      <c r="BE6080" s="314"/>
      <c r="BF6080" s="314"/>
      <c r="BG6080" s="314"/>
      <c r="BH6080" s="314"/>
      <c r="BI6080" s="314"/>
      <c r="BJ6080" s="314"/>
      <c r="BK6080" s="40"/>
      <c r="BL6080" s="40"/>
      <c r="BM6080" s="40"/>
      <c r="BN6080" s="40"/>
      <c r="BO6080" s="40"/>
      <c r="BP6080" s="155"/>
      <c r="BQ6080" s="314"/>
      <c r="BR6080" s="314"/>
      <c r="BS6080" s="314"/>
      <c r="BT6080" s="314"/>
      <c r="BU6080" s="314"/>
      <c r="BV6080" s="314"/>
      <c r="BW6080" s="314"/>
      <c r="BX6080" s="155"/>
    </row>
    <row r="6081" spans="1:76" ht="15.75" customHeight="1">
      <c r="A6081" s="25"/>
      <c r="B6081" s="39"/>
      <c r="C6081" s="155"/>
      <c r="D6081" s="155"/>
      <c r="E6081" s="40"/>
      <c r="F6081" s="314"/>
      <c r="H6081" s="315"/>
      <c r="I6081" s="315"/>
      <c r="BA6081" s="30"/>
      <c r="BB6081" s="155"/>
      <c r="BC6081" s="314"/>
      <c r="BD6081" s="314"/>
      <c r="BE6081" s="314"/>
      <c r="BF6081" s="314"/>
      <c r="BG6081" s="314"/>
      <c r="BH6081" s="314"/>
      <c r="BI6081" s="314"/>
      <c r="BJ6081" s="314"/>
      <c r="BK6081" s="40"/>
      <c r="BL6081" s="40"/>
      <c r="BM6081" s="40"/>
      <c r="BN6081" s="40"/>
      <c r="BO6081" s="40"/>
      <c r="BP6081" s="155"/>
      <c r="BQ6081" s="314"/>
      <c r="BR6081" s="314"/>
      <c r="BS6081" s="314"/>
      <c r="BT6081" s="314"/>
      <c r="BU6081" s="314"/>
      <c r="BV6081" s="314"/>
      <c r="BW6081" s="314"/>
      <c r="BX6081" s="155"/>
    </row>
    <row r="6082" spans="1:76" ht="15.75" customHeight="1">
      <c r="A6082" s="25"/>
      <c r="B6082" s="39"/>
      <c r="C6082" s="155"/>
      <c r="D6082" s="155"/>
      <c r="E6082" s="40"/>
      <c r="F6082" s="314"/>
      <c r="H6082" s="315"/>
      <c r="I6082" s="315"/>
      <c r="BA6082" s="30"/>
      <c r="BB6082" s="155"/>
      <c r="BC6082" s="314"/>
      <c r="BD6082" s="314"/>
      <c r="BE6082" s="314"/>
      <c r="BF6082" s="314"/>
      <c r="BG6082" s="314"/>
      <c r="BH6082" s="314"/>
      <c r="BI6082" s="314"/>
      <c r="BJ6082" s="314"/>
      <c r="BK6082" s="40"/>
      <c r="BL6082" s="40"/>
      <c r="BM6082" s="40"/>
      <c r="BN6082" s="40"/>
      <c r="BO6082" s="40"/>
      <c r="BP6082" s="155"/>
      <c r="BQ6082" s="314"/>
      <c r="BR6082" s="314"/>
      <c r="BS6082" s="314"/>
      <c r="BT6082" s="314"/>
      <c r="BU6082" s="314"/>
      <c r="BV6082" s="314"/>
      <c r="BW6082" s="314"/>
      <c r="BX6082" s="155"/>
    </row>
    <row r="6083" spans="1:76" ht="15.75" customHeight="1">
      <c r="A6083" s="25"/>
      <c r="B6083" s="39"/>
      <c r="C6083" s="155"/>
      <c r="D6083" s="155"/>
      <c r="E6083" s="40"/>
      <c r="F6083" s="314"/>
      <c r="H6083" s="315"/>
      <c r="I6083" s="315"/>
      <c r="BA6083" s="30"/>
      <c r="BB6083" s="155"/>
      <c r="BC6083" s="314"/>
      <c r="BD6083" s="314"/>
      <c r="BE6083" s="314"/>
      <c r="BF6083" s="314"/>
      <c r="BG6083" s="314"/>
      <c r="BH6083" s="314"/>
      <c r="BI6083" s="314"/>
      <c r="BJ6083" s="314"/>
      <c r="BK6083" s="40"/>
      <c r="BL6083" s="40"/>
      <c r="BM6083" s="40"/>
      <c r="BN6083" s="40"/>
      <c r="BO6083" s="40"/>
      <c r="BP6083" s="155"/>
      <c r="BQ6083" s="314"/>
      <c r="BR6083" s="314"/>
      <c r="BS6083" s="314"/>
      <c r="BT6083" s="314"/>
      <c r="BU6083" s="314"/>
      <c r="BV6083" s="314"/>
      <c r="BW6083" s="314"/>
      <c r="BX6083" s="155"/>
    </row>
    <row r="6084" spans="1:76" ht="15.75" customHeight="1">
      <c r="A6084" s="25"/>
      <c r="B6084" s="39"/>
      <c r="C6084" s="155"/>
      <c r="D6084" s="155"/>
      <c r="E6084" s="40"/>
      <c r="F6084" s="314"/>
      <c r="H6084" s="315"/>
      <c r="I6084" s="315"/>
      <c r="BA6084" s="30"/>
      <c r="BB6084" s="155"/>
      <c r="BC6084" s="314"/>
      <c r="BD6084" s="314"/>
      <c r="BE6084" s="314"/>
      <c r="BF6084" s="314"/>
      <c r="BG6084" s="314"/>
      <c r="BH6084" s="314"/>
      <c r="BI6084" s="314"/>
      <c r="BJ6084" s="314"/>
      <c r="BK6084" s="40"/>
      <c r="BL6084" s="40"/>
      <c r="BM6084" s="40"/>
      <c r="BN6084" s="40"/>
      <c r="BO6084" s="40"/>
      <c r="BP6084" s="155"/>
      <c r="BQ6084" s="314"/>
      <c r="BR6084" s="314"/>
      <c r="BS6084" s="314"/>
      <c r="BT6084" s="314"/>
      <c r="BU6084" s="314"/>
      <c r="BV6084" s="314"/>
      <c r="BW6084" s="314"/>
      <c r="BX6084" s="155"/>
    </row>
    <row r="6085" spans="1:76" ht="15.75" customHeight="1">
      <c r="A6085" s="25"/>
      <c r="B6085" s="39"/>
      <c r="C6085" s="155"/>
      <c r="D6085" s="155"/>
      <c r="E6085" s="40"/>
      <c r="F6085" s="314"/>
      <c r="H6085" s="315"/>
      <c r="I6085" s="315"/>
      <c r="BA6085" s="30"/>
      <c r="BB6085" s="155"/>
      <c r="BC6085" s="314"/>
      <c r="BD6085" s="314"/>
      <c r="BE6085" s="314"/>
      <c r="BF6085" s="314"/>
      <c r="BG6085" s="314"/>
      <c r="BH6085" s="314"/>
      <c r="BI6085" s="314"/>
      <c r="BJ6085" s="314"/>
      <c r="BK6085" s="40"/>
      <c r="BL6085" s="40"/>
      <c r="BM6085" s="40"/>
      <c r="BN6085" s="40"/>
      <c r="BO6085" s="40"/>
      <c r="BP6085" s="155"/>
      <c r="BQ6085" s="314"/>
      <c r="BR6085" s="314"/>
      <c r="BS6085" s="314"/>
      <c r="BT6085" s="314"/>
      <c r="BU6085" s="314"/>
      <c r="BV6085" s="314"/>
      <c r="BW6085" s="314"/>
      <c r="BX6085" s="155"/>
    </row>
    <row r="6086" spans="1:76" ht="15.75" customHeight="1">
      <c r="A6086" s="25"/>
      <c r="B6086" s="39"/>
      <c r="C6086" s="155"/>
      <c r="D6086" s="155"/>
      <c r="E6086" s="40"/>
      <c r="F6086" s="314"/>
      <c r="H6086" s="315"/>
      <c r="I6086" s="315"/>
      <c r="BA6086" s="30"/>
      <c r="BB6086" s="155"/>
      <c r="BC6086" s="314"/>
      <c r="BD6086" s="314"/>
      <c r="BE6086" s="314"/>
      <c r="BF6086" s="314"/>
      <c r="BG6086" s="314"/>
      <c r="BH6086" s="314"/>
      <c r="BI6086" s="314"/>
      <c r="BJ6086" s="314"/>
      <c r="BK6086" s="40"/>
      <c r="BL6086" s="40"/>
      <c r="BM6086" s="40"/>
      <c r="BN6086" s="40"/>
      <c r="BO6086" s="40"/>
      <c r="BP6086" s="155"/>
      <c r="BQ6086" s="314"/>
      <c r="BR6086" s="314"/>
      <c r="BS6086" s="314"/>
      <c r="BT6086" s="314"/>
      <c r="BU6086" s="314"/>
      <c r="BV6086" s="314"/>
      <c r="BW6086" s="314"/>
      <c r="BX6086" s="155"/>
    </row>
    <row r="6087" spans="1:76" ht="15.75" customHeight="1">
      <c r="A6087" s="25"/>
      <c r="B6087" s="39"/>
      <c r="C6087" s="155"/>
      <c r="D6087" s="155"/>
      <c r="E6087" s="40"/>
      <c r="F6087" s="314"/>
      <c r="H6087" s="315"/>
      <c r="I6087" s="315"/>
      <c r="BA6087" s="30"/>
      <c r="BB6087" s="155"/>
      <c r="BC6087" s="314"/>
      <c r="BD6087" s="314"/>
      <c r="BE6087" s="314"/>
      <c r="BF6087" s="314"/>
      <c r="BG6087" s="314"/>
      <c r="BH6087" s="314"/>
      <c r="BI6087" s="314"/>
      <c r="BJ6087" s="314"/>
      <c r="BK6087" s="40"/>
      <c r="BL6087" s="40"/>
      <c r="BM6087" s="40"/>
      <c r="BN6087" s="40"/>
      <c r="BO6087" s="40"/>
      <c r="BP6087" s="155"/>
      <c r="BQ6087" s="314"/>
      <c r="BR6087" s="314"/>
      <c r="BS6087" s="314"/>
      <c r="BT6087" s="314"/>
      <c r="BU6087" s="314"/>
      <c r="BV6087" s="314"/>
      <c r="BW6087" s="314"/>
      <c r="BX6087" s="155"/>
    </row>
    <row r="6088" spans="1:76" ht="15.75" customHeight="1">
      <c r="A6088" s="25"/>
      <c r="B6088" s="39"/>
      <c r="C6088" s="155"/>
      <c r="D6088" s="155"/>
      <c r="E6088" s="40"/>
      <c r="F6088" s="314"/>
      <c r="H6088" s="315"/>
      <c r="I6088" s="315"/>
      <c r="BA6088" s="30"/>
      <c r="BB6088" s="155"/>
      <c r="BC6088" s="314"/>
      <c r="BD6088" s="314"/>
      <c r="BE6088" s="314"/>
      <c r="BF6088" s="314"/>
      <c r="BG6088" s="314"/>
      <c r="BH6088" s="314"/>
      <c r="BI6088" s="314"/>
      <c r="BJ6088" s="314"/>
      <c r="BK6088" s="40"/>
      <c r="BL6088" s="40"/>
      <c r="BM6088" s="40"/>
      <c r="BN6088" s="40"/>
      <c r="BO6088" s="40"/>
      <c r="BP6088" s="155"/>
      <c r="BQ6088" s="314"/>
      <c r="BR6088" s="314"/>
      <c r="BS6088" s="314"/>
      <c r="BT6088" s="314"/>
      <c r="BU6088" s="314"/>
      <c r="BV6088" s="314"/>
      <c r="BW6088" s="314"/>
      <c r="BX6088" s="155"/>
    </row>
    <row r="6089" spans="1:76" ht="15.75" customHeight="1">
      <c r="A6089" s="25"/>
      <c r="B6089" s="39"/>
      <c r="C6089" s="155"/>
      <c r="D6089" s="155"/>
      <c r="E6089" s="40"/>
      <c r="F6089" s="314"/>
      <c r="H6089" s="315"/>
      <c r="I6089" s="315"/>
      <c r="BA6089" s="30"/>
      <c r="BB6089" s="155"/>
      <c r="BC6089" s="314"/>
      <c r="BD6089" s="314"/>
      <c r="BE6089" s="314"/>
      <c r="BF6089" s="314"/>
      <c r="BG6089" s="314"/>
      <c r="BH6089" s="314"/>
      <c r="BI6089" s="314"/>
      <c r="BJ6089" s="314"/>
      <c r="BK6089" s="40"/>
      <c r="BL6089" s="40"/>
      <c r="BM6089" s="40"/>
      <c r="BN6089" s="40"/>
      <c r="BO6089" s="40"/>
      <c r="BP6089" s="155"/>
      <c r="BQ6089" s="314"/>
      <c r="BR6089" s="314"/>
      <c r="BS6089" s="314"/>
      <c r="BT6089" s="314"/>
      <c r="BU6089" s="314"/>
      <c r="BV6089" s="314"/>
      <c r="BW6089" s="314"/>
      <c r="BX6089" s="155"/>
    </row>
    <row r="6090" spans="1:76" ht="15.75" customHeight="1">
      <c r="A6090" s="25"/>
      <c r="B6090" s="39"/>
      <c r="C6090" s="155"/>
      <c r="D6090" s="155"/>
      <c r="E6090" s="40"/>
      <c r="F6090" s="314"/>
      <c r="H6090" s="315"/>
      <c r="I6090" s="315"/>
      <c r="BA6090" s="30"/>
      <c r="BB6090" s="155"/>
      <c r="BC6090" s="314"/>
      <c r="BD6090" s="314"/>
      <c r="BE6090" s="314"/>
      <c r="BF6090" s="314"/>
      <c r="BG6090" s="314"/>
      <c r="BH6090" s="314"/>
      <c r="BI6090" s="314"/>
      <c r="BJ6090" s="314"/>
      <c r="BK6090" s="40"/>
      <c r="BL6090" s="40"/>
      <c r="BM6090" s="40"/>
      <c r="BN6090" s="40"/>
      <c r="BO6090" s="40"/>
      <c r="BP6090" s="155"/>
      <c r="BQ6090" s="314"/>
      <c r="BR6090" s="314"/>
      <c r="BS6090" s="314"/>
      <c r="BT6090" s="314"/>
      <c r="BU6090" s="314"/>
      <c r="BV6090" s="314"/>
      <c r="BW6090" s="314"/>
      <c r="BX6090" s="155"/>
    </row>
    <row r="6091" spans="1:76" ht="15.75" customHeight="1">
      <c r="A6091" s="25"/>
      <c r="B6091" s="39"/>
      <c r="C6091" s="155"/>
      <c r="D6091" s="155"/>
      <c r="E6091" s="40"/>
      <c r="F6091" s="314"/>
      <c r="H6091" s="315"/>
      <c r="I6091" s="315"/>
      <c r="BA6091" s="30"/>
      <c r="BB6091" s="155"/>
      <c r="BC6091" s="314"/>
      <c r="BD6091" s="314"/>
      <c r="BE6091" s="314"/>
      <c r="BF6091" s="314"/>
      <c r="BG6091" s="314"/>
      <c r="BH6091" s="314"/>
      <c r="BI6091" s="314"/>
      <c r="BJ6091" s="314"/>
      <c r="BK6091" s="40"/>
      <c r="BL6091" s="40"/>
      <c r="BM6091" s="40"/>
      <c r="BN6091" s="40"/>
      <c r="BO6091" s="40"/>
      <c r="BP6091" s="155"/>
      <c r="BQ6091" s="314"/>
      <c r="BR6091" s="314"/>
      <c r="BS6091" s="314"/>
      <c r="BT6091" s="314"/>
      <c r="BU6091" s="314"/>
      <c r="BV6091" s="314"/>
      <c r="BW6091" s="314"/>
      <c r="BX6091" s="155"/>
    </row>
    <row r="6092" spans="1:76" ht="15.75" customHeight="1">
      <c r="A6092" s="25"/>
      <c r="B6092" s="39"/>
      <c r="C6092" s="155"/>
      <c r="D6092" s="155"/>
      <c r="E6092" s="40"/>
      <c r="F6092" s="314"/>
      <c r="H6092" s="315"/>
      <c r="I6092" s="315"/>
      <c r="BA6092" s="30"/>
      <c r="BB6092" s="155"/>
      <c r="BC6092" s="314"/>
      <c r="BD6092" s="314"/>
      <c r="BE6092" s="314"/>
      <c r="BF6092" s="314"/>
      <c r="BG6092" s="314"/>
      <c r="BH6092" s="314"/>
      <c r="BI6092" s="314"/>
      <c r="BJ6092" s="314"/>
      <c r="BK6092" s="40"/>
      <c r="BL6092" s="40"/>
      <c r="BM6092" s="40"/>
      <c r="BN6092" s="40"/>
      <c r="BO6092" s="40"/>
      <c r="BP6092" s="155"/>
      <c r="BQ6092" s="314"/>
      <c r="BR6092" s="314"/>
      <c r="BS6092" s="314"/>
      <c r="BT6092" s="314"/>
      <c r="BU6092" s="314"/>
      <c r="BV6092" s="314"/>
      <c r="BW6092" s="314"/>
      <c r="BX6092" s="155"/>
    </row>
    <row r="6093" spans="1:76" ht="15.75" customHeight="1">
      <c r="A6093" s="25"/>
      <c r="B6093" s="39"/>
      <c r="C6093" s="155"/>
      <c r="D6093" s="155"/>
      <c r="E6093" s="40"/>
      <c r="F6093" s="314"/>
      <c r="H6093" s="315"/>
      <c r="I6093" s="315"/>
      <c r="BA6093" s="30"/>
      <c r="BB6093" s="155"/>
      <c r="BC6093" s="314"/>
      <c r="BD6093" s="314"/>
      <c r="BE6093" s="314"/>
      <c r="BF6093" s="314"/>
      <c r="BG6093" s="314"/>
      <c r="BH6093" s="314"/>
      <c r="BI6093" s="314"/>
      <c r="BJ6093" s="314"/>
      <c r="BK6093" s="40"/>
      <c r="BL6093" s="40"/>
      <c r="BM6093" s="40"/>
      <c r="BN6093" s="40"/>
      <c r="BO6093" s="40"/>
      <c r="BP6093" s="155"/>
      <c r="BQ6093" s="314"/>
      <c r="BR6093" s="314"/>
      <c r="BS6093" s="314"/>
      <c r="BT6093" s="314"/>
      <c r="BU6093" s="314"/>
      <c r="BV6093" s="314"/>
      <c r="BW6093" s="314"/>
      <c r="BX6093" s="155"/>
    </row>
    <row r="6094" spans="1:76" ht="15.75" customHeight="1">
      <c r="A6094" s="25"/>
      <c r="B6094" s="39"/>
      <c r="C6094" s="155"/>
      <c r="D6094" s="155"/>
      <c r="E6094" s="40"/>
      <c r="F6094" s="314"/>
      <c r="H6094" s="315"/>
      <c r="I6094" s="315"/>
      <c r="BA6094" s="30"/>
      <c r="BB6094" s="155"/>
      <c r="BC6094" s="314"/>
      <c r="BD6094" s="314"/>
      <c r="BE6094" s="314"/>
      <c r="BF6094" s="314"/>
      <c r="BG6094" s="314"/>
      <c r="BH6094" s="314"/>
      <c r="BI6094" s="314"/>
      <c r="BJ6094" s="314"/>
      <c r="BK6094" s="40"/>
      <c r="BL6094" s="40"/>
      <c r="BM6094" s="40"/>
      <c r="BN6094" s="40"/>
      <c r="BO6094" s="40"/>
      <c r="BP6094" s="155"/>
      <c r="BQ6094" s="314"/>
      <c r="BR6094" s="314"/>
      <c r="BS6094" s="314"/>
      <c r="BT6094" s="314"/>
      <c r="BU6094" s="314"/>
      <c r="BV6094" s="314"/>
      <c r="BW6094" s="314"/>
      <c r="BX6094" s="155"/>
    </row>
    <row r="6095" spans="1:76" ht="15.75" customHeight="1">
      <c r="A6095" s="25"/>
      <c r="B6095" s="39"/>
      <c r="C6095" s="155"/>
      <c r="D6095" s="155"/>
      <c r="E6095" s="40"/>
      <c r="F6095" s="314"/>
      <c r="H6095" s="315"/>
      <c r="I6095" s="315"/>
      <c r="BA6095" s="30"/>
      <c r="BB6095" s="155"/>
      <c r="BC6095" s="314"/>
      <c r="BD6095" s="314"/>
      <c r="BE6095" s="314"/>
      <c r="BF6095" s="314"/>
      <c r="BG6095" s="314"/>
      <c r="BH6095" s="314"/>
      <c r="BI6095" s="314"/>
      <c r="BJ6095" s="314"/>
      <c r="BK6095" s="40"/>
      <c r="BL6095" s="40"/>
      <c r="BM6095" s="40"/>
      <c r="BN6095" s="40"/>
      <c r="BO6095" s="40"/>
      <c r="BP6095" s="155"/>
      <c r="BQ6095" s="314"/>
      <c r="BR6095" s="314"/>
      <c r="BS6095" s="314"/>
      <c r="BT6095" s="314"/>
      <c r="BU6095" s="314"/>
      <c r="BV6095" s="314"/>
      <c r="BW6095" s="314"/>
      <c r="BX6095" s="155"/>
    </row>
    <row r="6096" spans="1:76" ht="15.75" customHeight="1">
      <c r="A6096" s="25"/>
      <c r="B6096" s="39"/>
      <c r="C6096" s="155"/>
      <c r="D6096" s="155"/>
      <c r="E6096" s="40"/>
      <c r="F6096" s="314"/>
      <c r="H6096" s="315"/>
      <c r="I6096" s="315"/>
      <c r="BA6096" s="30"/>
      <c r="BB6096" s="155"/>
      <c r="BC6096" s="314"/>
      <c r="BD6096" s="314"/>
      <c r="BE6096" s="314"/>
      <c r="BF6096" s="314"/>
      <c r="BG6096" s="314"/>
      <c r="BH6096" s="314"/>
      <c r="BI6096" s="314"/>
      <c r="BJ6096" s="314"/>
      <c r="BK6096" s="40"/>
      <c r="BL6096" s="40"/>
      <c r="BM6096" s="40"/>
      <c r="BN6096" s="40"/>
      <c r="BO6096" s="40"/>
      <c r="BP6096" s="155"/>
      <c r="BQ6096" s="314"/>
      <c r="BR6096" s="314"/>
      <c r="BS6096" s="314"/>
      <c r="BT6096" s="314"/>
      <c r="BU6096" s="314"/>
      <c r="BV6096" s="314"/>
      <c r="BW6096" s="314"/>
      <c r="BX6096" s="155"/>
    </row>
    <row r="6097" spans="1:76" ht="15.75" customHeight="1">
      <c r="A6097" s="25"/>
      <c r="B6097" s="39"/>
      <c r="C6097" s="155"/>
      <c r="D6097" s="155"/>
      <c r="E6097" s="40"/>
      <c r="F6097" s="314"/>
      <c r="H6097" s="315"/>
      <c r="I6097" s="315"/>
      <c r="BA6097" s="30"/>
      <c r="BB6097" s="155"/>
      <c r="BC6097" s="314"/>
      <c r="BD6097" s="314"/>
      <c r="BE6097" s="314"/>
      <c r="BF6097" s="314"/>
      <c r="BG6097" s="314"/>
      <c r="BH6097" s="314"/>
      <c r="BI6097" s="314"/>
      <c r="BJ6097" s="314"/>
      <c r="BK6097" s="40"/>
      <c r="BL6097" s="40"/>
      <c r="BM6097" s="40"/>
      <c r="BN6097" s="40"/>
      <c r="BO6097" s="40"/>
      <c r="BP6097" s="155"/>
      <c r="BQ6097" s="314"/>
      <c r="BR6097" s="314"/>
      <c r="BS6097" s="314"/>
      <c r="BT6097" s="314"/>
      <c r="BU6097" s="314"/>
      <c r="BV6097" s="314"/>
      <c r="BW6097" s="314"/>
      <c r="BX6097" s="155"/>
    </row>
    <row r="6098" spans="1:76" ht="15.75" customHeight="1">
      <c r="A6098" s="25"/>
      <c r="B6098" s="39"/>
      <c r="C6098" s="155"/>
      <c r="D6098" s="155"/>
      <c r="E6098" s="40"/>
      <c r="F6098" s="314"/>
      <c r="H6098" s="315"/>
      <c r="I6098" s="315"/>
      <c r="BA6098" s="30"/>
      <c r="BB6098" s="155"/>
      <c r="BC6098" s="314"/>
      <c r="BD6098" s="314"/>
      <c r="BE6098" s="314"/>
      <c r="BF6098" s="314"/>
      <c r="BG6098" s="314"/>
      <c r="BH6098" s="314"/>
      <c r="BI6098" s="314"/>
      <c r="BJ6098" s="314"/>
      <c r="BK6098" s="40"/>
      <c r="BL6098" s="40"/>
      <c r="BM6098" s="40"/>
      <c r="BN6098" s="40"/>
      <c r="BO6098" s="40"/>
      <c r="BP6098" s="155"/>
      <c r="BQ6098" s="314"/>
      <c r="BR6098" s="314"/>
      <c r="BS6098" s="314"/>
      <c r="BT6098" s="314"/>
      <c r="BU6098" s="314"/>
      <c r="BV6098" s="314"/>
      <c r="BW6098" s="314"/>
      <c r="BX6098" s="155"/>
    </row>
    <row r="6099" spans="1:76" ht="15.75" customHeight="1">
      <c r="A6099" s="25"/>
      <c r="B6099" s="39"/>
      <c r="C6099" s="155"/>
      <c r="D6099" s="155"/>
      <c r="E6099" s="40"/>
      <c r="F6099" s="314"/>
      <c r="H6099" s="315"/>
      <c r="I6099" s="315"/>
      <c r="BA6099" s="30"/>
      <c r="BB6099" s="155"/>
      <c r="BC6099" s="314"/>
      <c r="BD6099" s="314"/>
      <c r="BE6099" s="314"/>
      <c r="BF6099" s="314"/>
      <c r="BG6099" s="314"/>
      <c r="BH6099" s="314"/>
      <c r="BI6099" s="314"/>
      <c r="BJ6099" s="314"/>
      <c r="BK6099" s="40"/>
      <c r="BL6099" s="40"/>
      <c r="BM6099" s="40"/>
      <c r="BN6099" s="40"/>
      <c r="BO6099" s="40"/>
      <c r="BP6099" s="155"/>
      <c r="BQ6099" s="314"/>
      <c r="BR6099" s="314"/>
      <c r="BS6099" s="314"/>
      <c r="BT6099" s="314"/>
      <c r="BU6099" s="314"/>
      <c r="BV6099" s="314"/>
      <c r="BW6099" s="314"/>
      <c r="BX6099" s="155"/>
    </row>
    <row r="6100" spans="1:76" ht="15.75" customHeight="1">
      <c r="A6100" s="25"/>
      <c r="B6100" s="39"/>
      <c r="C6100" s="155"/>
      <c r="D6100" s="155"/>
      <c r="E6100" s="40"/>
      <c r="F6100" s="314"/>
      <c r="H6100" s="315"/>
      <c r="I6100" s="315"/>
      <c r="BA6100" s="30"/>
      <c r="BB6100" s="155"/>
      <c r="BC6100" s="314"/>
      <c r="BD6100" s="314"/>
      <c r="BE6100" s="314"/>
      <c r="BF6100" s="314"/>
      <c r="BG6100" s="314"/>
      <c r="BH6100" s="314"/>
      <c r="BI6100" s="314"/>
      <c r="BJ6100" s="314"/>
      <c r="BK6100" s="40"/>
      <c r="BL6100" s="40"/>
      <c r="BM6100" s="40"/>
      <c r="BN6100" s="40"/>
      <c r="BO6100" s="40"/>
      <c r="BP6100" s="155"/>
      <c r="BQ6100" s="314"/>
      <c r="BR6100" s="314"/>
      <c r="BS6100" s="314"/>
      <c r="BT6100" s="314"/>
      <c r="BU6100" s="314"/>
      <c r="BV6100" s="314"/>
      <c r="BW6100" s="314"/>
      <c r="BX6100" s="155"/>
    </row>
    <row r="6101" spans="1:76" ht="15.75" customHeight="1">
      <c r="A6101" s="25"/>
      <c r="B6101" s="39"/>
      <c r="C6101" s="155"/>
      <c r="D6101" s="155"/>
      <c r="E6101" s="40"/>
      <c r="F6101" s="314"/>
      <c r="H6101" s="315"/>
      <c r="I6101" s="315"/>
      <c r="BA6101" s="30"/>
      <c r="BB6101" s="155"/>
      <c r="BC6101" s="314"/>
      <c r="BD6101" s="314"/>
      <c r="BE6101" s="314"/>
      <c r="BF6101" s="314"/>
      <c r="BG6101" s="314"/>
      <c r="BH6101" s="314"/>
      <c r="BI6101" s="314"/>
      <c r="BJ6101" s="314"/>
      <c r="BK6101" s="40"/>
      <c r="BL6101" s="40"/>
      <c r="BM6101" s="40"/>
      <c r="BN6101" s="40"/>
      <c r="BO6101" s="40"/>
      <c r="BP6101" s="155"/>
      <c r="BQ6101" s="314"/>
      <c r="BR6101" s="314"/>
      <c r="BS6101" s="314"/>
      <c r="BT6101" s="314"/>
      <c r="BU6101" s="314"/>
      <c r="BV6101" s="314"/>
      <c r="BW6101" s="314"/>
      <c r="BX6101" s="155"/>
    </row>
    <row r="6102" spans="1:76" ht="15.75" customHeight="1">
      <c r="A6102" s="25"/>
      <c r="B6102" s="39"/>
      <c r="C6102" s="155"/>
      <c r="D6102" s="155"/>
      <c r="E6102" s="40"/>
      <c r="F6102" s="314"/>
      <c r="H6102" s="315"/>
      <c r="I6102" s="315"/>
      <c r="BA6102" s="30"/>
      <c r="BB6102" s="155"/>
      <c r="BC6102" s="314"/>
      <c r="BD6102" s="314"/>
      <c r="BE6102" s="314"/>
      <c r="BF6102" s="314"/>
      <c r="BG6102" s="314"/>
      <c r="BH6102" s="314"/>
      <c r="BI6102" s="314"/>
      <c r="BJ6102" s="314"/>
      <c r="BK6102" s="40"/>
      <c r="BL6102" s="40"/>
      <c r="BM6102" s="40"/>
      <c r="BN6102" s="40"/>
      <c r="BO6102" s="40"/>
      <c r="BP6102" s="155"/>
      <c r="BQ6102" s="314"/>
      <c r="BR6102" s="314"/>
      <c r="BS6102" s="314"/>
      <c r="BT6102" s="314"/>
      <c r="BU6102" s="314"/>
      <c r="BV6102" s="314"/>
      <c r="BW6102" s="314"/>
      <c r="BX6102" s="155"/>
    </row>
    <row r="6103" spans="1:76" ht="15.75" customHeight="1">
      <c r="A6103" s="25"/>
      <c r="B6103" s="39"/>
      <c r="C6103" s="155"/>
      <c r="D6103" s="155"/>
      <c r="E6103" s="40"/>
      <c r="F6103" s="314"/>
      <c r="H6103" s="315"/>
      <c r="I6103" s="315"/>
      <c r="BA6103" s="30"/>
      <c r="BB6103" s="155"/>
      <c r="BC6103" s="314"/>
      <c r="BD6103" s="314"/>
      <c r="BE6103" s="314"/>
      <c r="BF6103" s="314"/>
      <c r="BG6103" s="314"/>
      <c r="BH6103" s="314"/>
      <c r="BI6103" s="314"/>
      <c r="BJ6103" s="314"/>
      <c r="BK6103" s="40"/>
      <c r="BL6103" s="40"/>
      <c r="BM6103" s="40"/>
      <c r="BN6103" s="40"/>
      <c r="BO6103" s="40"/>
      <c r="BP6103" s="155"/>
      <c r="BQ6103" s="314"/>
      <c r="BR6103" s="314"/>
      <c r="BS6103" s="314"/>
      <c r="BT6103" s="314"/>
      <c r="BU6103" s="314"/>
      <c r="BV6103" s="314"/>
      <c r="BW6103" s="314"/>
      <c r="BX6103" s="155"/>
    </row>
    <row r="6104" spans="1:76" ht="15.75" customHeight="1">
      <c r="A6104" s="25"/>
      <c r="B6104" s="39"/>
      <c r="C6104" s="155"/>
      <c r="D6104" s="155"/>
      <c r="E6104" s="40"/>
      <c r="F6104" s="314"/>
      <c r="H6104" s="315"/>
      <c r="I6104" s="315"/>
      <c r="BA6104" s="30"/>
      <c r="BB6104" s="155"/>
      <c r="BC6104" s="314"/>
      <c r="BD6104" s="314"/>
      <c r="BE6104" s="314"/>
      <c r="BF6104" s="314"/>
      <c r="BG6104" s="314"/>
      <c r="BH6104" s="314"/>
      <c r="BI6104" s="314"/>
      <c r="BJ6104" s="314"/>
      <c r="BK6104" s="40"/>
      <c r="BL6104" s="40"/>
      <c r="BM6104" s="40"/>
      <c r="BN6104" s="40"/>
      <c r="BO6104" s="40"/>
      <c r="BP6104" s="155"/>
      <c r="BQ6104" s="314"/>
      <c r="BR6104" s="314"/>
      <c r="BS6104" s="314"/>
      <c r="BT6104" s="314"/>
      <c r="BU6104" s="314"/>
      <c r="BV6104" s="314"/>
      <c r="BW6104" s="314"/>
      <c r="BX6104" s="155"/>
    </row>
    <row r="6105" spans="1:76" ht="15.75" customHeight="1">
      <c r="A6105" s="25"/>
      <c r="B6105" s="39"/>
      <c r="C6105" s="155"/>
      <c r="D6105" s="155"/>
      <c r="E6105" s="40"/>
      <c r="F6105" s="314"/>
      <c r="H6105" s="315"/>
      <c r="I6105" s="315"/>
      <c r="BA6105" s="30"/>
      <c r="BB6105" s="155"/>
      <c r="BC6105" s="314"/>
      <c r="BD6105" s="314"/>
      <c r="BE6105" s="314"/>
      <c r="BF6105" s="314"/>
      <c r="BG6105" s="314"/>
      <c r="BH6105" s="314"/>
      <c r="BI6105" s="314"/>
      <c r="BJ6105" s="314"/>
      <c r="BK6105" s="40"/>
      <c r="BL6105" s="40"/>
      <c r="BM6105" s="40"/>
      <c r="BN6105" s="40"/>
      <c r="BO6105" s="40"/>
      <c r="BP6105" s="155"/>
      <c r="BQ6105" s="314"/>
      <c r="BR6105" s="314"/>
      <c r="BS6105" s="314"/>
      <c r="BT6105" s="314"/>
      <c r="BU6105" s="314"/>
      <c r="BV6105" s="314"/>
      <c r="BW6105" s="314"/>
      <c r="BX6105" s="155"/>
    </row>
    <row r="6106" spans="1:76" ht="15.75" customHeight="1">
      <c r="A6106" s="25"/>
      <c r="B6106" s="39"/>
      <c r="C6106" s="155"/>
      <c r="D6106" s="155"/>
      <c r="E6106" s="40"/>
      <c r="F6106" s="314"/>
      <c r="H6106" s="315"/>
      <c r="I6106" s="315"/>
      <c r="BA6106" s="30"/>
      <c r="BB6106" s="155"/>
      <c r="BC6106" s="314"/>
      <c r="BD6106" s="314"/>
      <c r="BE6106" s="314"/>
      <c r="BF6106" s="314"/>
      <c r="BG6106" s="314"/>
      <c r="BH6106" s="314"/>
      <c r="BI6106" s="314"/>
      <c r="BJ6106" s="314"/>
      <c r="BK6106" s="40"/>
      <c r="BL6106" s="40"/>
      <c r="BM6106" s="40"/>
      <c r="BN6106" s="40"/>
      <c r="BO6106" s="40"/>
      <c r="BP6106" s="155"/>
      <c r="BQ6106" s="314"/>
      <c r="BR6106" s="314"/>
      <c r="BS6106" s="314"/>
      <c r="BT6106" s="314"/>
      <c r="BU6106" s="314"/>
      <c r="BV6106" s="314"/>
      <c r="BW6106" s="314"/>
      <c r="BX6106" s="155"/>
    </row>
    <row r="6107" spans="1:76" ht="15.75" customHeight="1">
      <c r="A6107" s="25"/>
      <c r="B6107" s="39"/>
      <c r="C6107" s="155"/>
      <c r="D6107" s="155"/>
      <c r="E6107" s="40"/>
      <c r="F6107" s="314"/>
      <c r="H6107" s="315"/>
      <c r="I6107" s="315"/>
      <c r="BA6107" s="30"/>
      <c r="BB6107" s="155"/>
      <c r="BC6107" s="314"/>
      <c r="BD6107" s="314"/>
      <c r="BE6107" s="314"/>
      <c r="BF6107" s="314"/>
      <c r="BG6107" s="314"/>
      <c r="BH6107" s="314"/>
      <c r="BI6107" s="314"/>
      <c r="BJ6107" s="314"/>
      <c r="BK6107" s="40"/>
      <c r="BL6107" s="40"/>
      <c r="BM6107" s="40"/>
      <c r="BN6107" s="40"/>
      <c r="BO6107" s="40"/>
      <c r="BP6107" s="155"/>
      <c r="BQ6107" s="314"/>
      <c r="BR6107" s="314"/>
      <c r="BS6107" s="314"/>
      <c r="BT6107" s="314"/>
      <c r="BU6107" s="314"/>
      <c r="BV6107" s="314"/>
      <c r="BW6107" s="314"/>
      <c r="BX6107" s="155"/>
    </row>
    <row r="6108" spans="1:76" ht="15.75" customHeight="1">
      <c r="A6108" s="25"/>
      <c r="B6108" s="39"/>
      <c r="C6108" s="155"/>
      <c r="D6108" s="155"/>
      <c r="E6108" s="40"/>
      <c r="F6108" s="314"/>
      <c r="H6108" s="315"/>
      <c r="I6108" s="315"/>
      <c r="BA6108" s="30"/>
      <c r="BB6108" s="155"/>
      <c r="BC6108" s="314"/>
      <c r="BD6108" s="314"/>
      <c r="BE6108" s="314"/>
      <c r="BF6108" s="314"/>
      <c r="BG6108" s="314"/>
      <c r="BH6108" s="314"/>
      <c r="BI6108" s="314"/>
      <c r="BJ6108" s="314"/>
      <c r="BK6108" s="40"/>
      <c r="BL6108" s="40"/>
      <c r="BM6108" s="40"/>
      <c r="BN6108" s="40"/>
      <c r="BO6108" s="40"/>
      <c r="BP6108" s="155"/>
      <c r="BQ6108" s="314"/>
      <c r="BR6108" s="314"/>
      <c r="BS6108" s="314"/>
      <c r="BT6108" s="314"/>
      <c r="BU6108" s="314"/>
      <c r="BV6108" s="314"/>
      <c r="BW6108" s="314"/>
      <c r="BX6108" s="155"/>
    </row>
    <row r="6109" spans="1:76" ht="15.75" customHeight="1">
      <c r="A6109" s="25"/>
      <c r="B6109" s="39"/>
      <c r="C6109" s="155"/>
      <c r="D6109" s="155"/>
      <c r="E6109" s="40"/>
      <c r="F6109" s="314"/>
      <c r="H6109" s="315"/>
      <c r="I6109" s="315"/>
      <c r="BA6109" s="30"/>
      <c r="BB6109" s="155"/>
      <c r="BC6109" s="314"/>
      <c r="BD6109" s="314"/>
      <c r="BE6109" s="314"/>
      <c r="BF6109" s="314"/>
      <c r="BG6109" s="314"/>
      <c r="BH6109" s="314"/>
      <c r="BI6109" s="314"/>
      <c r="BJ6109" s="314"/>
      <c r="BK6109" s="40"/>
      <c r="BL6109" s="40"/>
      <c r="BM6109" s="40"/>
      <c r="BN6109" s="40"/>
      <c r="BO6109" s="40"/>
      <c r="BP6109" s="155"/>
      <c r="BQ6109" s="314"/>
      <c r="BR6109" s="314"/>
      <c r="BS6109" s="314"/>
      <c r="BT6109" s="314"/>
      <c r="BU6109" s="314"/>
      <c r="BV6109" s="314"/>
      <c r="BW6109" s="314"/>
      <c r="BX6109" s="155"/>
    </row>
    <row r="6110" spans="1:76" ht="15.75" customHeight="1">
      <c r="A6110" s="25"/>
      <c r="B6110" s="39"/>
      <c r="C6110" s="155"/>
      <c r="D6110" s="155"/>
      <c r="E6110" s="40"/>
      <c r="F6110" s="314"/>
      <c r="H6110" s="315"/>
      <c r="I6110" s="315"/>
      <c r="BA6110" s="30"/>
      <c r="BB6110" s="155"/>
      <c r="BC6110" s="314"/>
      <c r="BD6110" s="314"/>
      <c r="BE6110" s="314"/>
      <c r="BF6110" s="314"/>
      <c r="BG6110" s="314"/>
      <c r="BH6110" s="314"/>
      <c r="BI6110" s="314"/>
      <c r="BJ6110" s="314"/>
      <c r="BK6110" s="40"/>
      <c r="BL6110" s="40"/>
      <c r="BM6110" s="40"/>
      <c r="BN6110" s="40"/>
      <c r="BO6110" s="40"/>
      <c r="BP6110" s="155"/>
      <c r="BQ6110" s="314"/>
      <c r="BR6110" s="314"/>
      <c r="BS6110" s="314"/>
      <c r="BT6110" s="314"/>
      <c r="BU6110" s="314"/>
      <c r="BV6110" s="314"/>
      <c r="BW6110" s="314"/>
      <c r="BX6110" s="155"/>
    </row>
    <row r="6111" spans="1:76" ht="15.75" customHeight="1">
      <c r="A6111" s="25"/>
      <c r="B6111" s="39"/>
      <c r="C6111" s="155"/>
      <c r="D6111" s="155"/>
      <c r="E6111" s="40"/>
      <c r="F6111" s="314"/>
      <c r="H6111" s="315"/>
      <c r="I6111" s="315"/>
      <c r="BA6111" s="30"/>
      <c r="BB6111" s="155"/>
      <c r="BC6111" s="314"/>
      <c r="BD6111" s="314"/>
      <c r="BE6111" s="314"/>
      <c r="BF6111" s="314"/>
      <c r="BG6111" s="314"/>
      <c r="BH6111" s="314"/>
      <c r="BI6111" s="314"/>
      <c r="BJ6111" s="314"/>
      <c r="BK6111" s="40"/>
      <c r="BL6111" s="40"/>
      <c r="BM6111" s="40"/>
      <c r="BN6111" s="40"/>
      <c r="BO6111" s="40"/>
      <c r="BP6111" s="155"/>
      <c r="BQ6111" s="314"/>
      <c r="BR6111" s="314"/>
      <c r="BS6111" s="314"/>
      <c r="BT6111" s="314"/>
      <c r="BU6111" s="314"/>
      <c r="BV6111" s="314"/>
      <c r="BW6111" s="314"/>
      <c r="BX6111" s="155"/>
    </row>
    <row r="6112" spans="1:76" ht="15.75" customHeight="1">
      <c r="A6112" s="25"/>
      <c r="B6112" s="39"/>
      <c r="C6112" s="155"/>
      <c r="D6112" s="155"/>
      <c r="E6112" s="40"/>
      <c r="F6112" s="314"/>
      <c r="H6112" s="315"/>
      <c r="I6112" s="315"/>
      <c r="BA6112" s="30"/>
      <c r="BB6112" s="155"/>
      <c r="BC6112" s="314"/>
      <c r="BD6112" s="314"/>
      <c r="BE6112" s="314"/>
      <c r="BF6112" s="314"/>
      <c r="BG6112" s="314"/>
      <c r="BH6112" s="314"/>
      <c r="BI6112" s="314"/>
      <c r="BJ6112" s="314"/>
      <c r="BK6112" s="40"/>
      <c r="BL6112" s="40"/>
      <c r="BM6112" s="40"/>
      <c r="BN6112" s="40"/>
      <c r="BO6112" s="40"/>
      <c r="BP6112" s="155"/>
      <c r="BQ6112" s="314"/>
      <c r="BR6112" s="314"/>
      <c r="BS6112" s="314"/>
      <c r="BT6112" s="314"/>
      <c r="BU6112" s="314"/>
      <c r="BV6112" s="314"/>
      <c r="BW6112" s="314"/>
      <c r="BX6112" s="155"/>
    </row>
    <row r="6113" spans="1:76" ht="15.75" customHeight="1">
      <c r="A6113" s="25"/>
      <c r="B6113" s="39"/>
      <c r="C6113" s="155"/>
      <c r="D6113" s="155"/>
      <c r="E6113" s="40"/>
      <c r="F6113" s="314"/>
      <c r="H6113" s="315"/>
      <c r="I6113" s="315"/>
      <c r="BA6113" s="30"/>
      <c r="BB6113" s="155"/>
      <c r="BC6113" s="314"/>
      <c r="BD6113" s="314"/>
      <c r="BE6113" s="314"/>
      <c r="BF6113" s="314"/>
      <c r="BG6113" s="314"/>
      <c r="BH6113" s="314"/>
      <c r="BI6113" s="314"/>
      <c r="BJ6113" s="314"/>
      <c r="BK6113" s="40"/>
      <c r="BL6113" s="40"/>
      <c r="BM6113" s="40"/>
      <c r="BN6113" s="40"/>
      <c r="BO6113" s="40"/>
      <c r="BP6113" s="155"/>
      <c r="BQ6113" s="314"/>
      <c r="BR6113" s="314"/>
      <c r="BS6113" s="314"/>
      <c r="BT6113" s="314"/>
      <c r="BU6113" s="314"/>
      <c r="BV6113" s="314"/>
      <c r="BW6113" s="314"/>
      <c r="BX6113" s="155"/>
    </row>
    <row r="6114" spans="1:76" ht="15.75" customHeight="1">
      <c r="A6114" s="25"/>
      <c r="B6114" s="39"/>
      <c r="C6114" s="155"/>
      <c r="D6114" s="155"/>
      <c r="E6114" s="40"/>
      <c r="F6114" s="314"/>
      <c r="H6114" s="315"/>
      <c r="I6114" s="315"/>
      <c r="BA6114" s="30"/>
      <c r="BB6114" s="155"/>
      <c r="BC6114" s="314"/>
      <c r="BD6114" s="314"/>
      <c r="BE6114" s="314"/>
      <c r="BF6114" s="314"/>
      <c r="BG6114" s="314"/>
      <c r="BH6114" s="314"/>
      <c r="BI6114" s="314"/>
      <c r="BJ6114" s="314"/>
      <c r="BK6114" s="40"/>
      <c r="BL6114" s="40"/>
      <c r="BM6114" s="40"/>
      <c r="BN6114" s="40"/>
      <c r="BO6114" s="40"/>
      <c r="BP6114" s="155"/>
      <c r="BQ6114" s="314"/>
      <c r="BR6114" s="314"/>
      <c r="BS6114" s="314"/>
      <c r="BT6114" s="314"/>
      <c r="BU6114" s="314"/>
      <c r="BV6114" s="314"/>
      <c r="BW6114" s="314"/>
      <c r="BX6114" s="155"/>
    </row>
    <row r="6115" spans="1:76" ht="15.75" customHeight="1">
      <c r="A6115" s="25"/>
      <c r="B6115" s="39"/>
      <c r="C6115" s="155"/>
      <c r="D6115" s="155"/>
      <c r="E6115" s="40"/>
      <c r="F6115" s="314"/>
      <c r="H6115" s="315"/>
      <c r="I6115" s="315"/>
      <c r="BA6115" s="30"/>
      <c r="BB6115" s="155"/>
      <c r="BC6115" s="314"/>
      <c r="BD6115" s="314"/>
      <c r="BE6115" s="314"/>
      <c r="BF6115" s="314"/>
      <c r="BG6115" s="314"/>
      <c r="BH6115" s="314"/>
      <c r="BI6115" s="314"/>
      <c r="BJ6115" s="314"/>
      <c r="BK6115" s="40"/>
      <c r="BL6115" s="40"/>
      <c r="BM6115" s="40"/>
      <c r="BN6115" s="40"/>
      <c r="BO6115" s="40"/>
      <c r="BP6115" s="155"/>
      <c r="BQ6115" s="314"/>
      <c r="BR6115" s="314"/>
      <c r="BS6115" s="314"/>
      <c r="BT6115" s="314"/>
      <c r="BU6115" s="314"/>
      <c r="BV6115" s="314"/>
      <c r="BW6115" s="314"/>
      <c r="BX6115" s="155"/>
    </row>
    <row r="6116" spans="1:76" ht="15.75" customHeight="1">
      <c r="A6116" s="25"/>
      <c r="B6116" s="39"/>
      <c r="C6116" s="155"/>
      <c r="D6116" s="155"/>
      <c r="E6116" s="40"/>
      <c r="F6116" s="314"/>
      <c r="H6116" s="315"/>
      <c r="I6116" s="315"/>
      <c r="BA6116" s="30"/>
      <c r="BB6116" s="155"/>
      <c r="BC6116" s="314"/>
      <c r="BD6116" s="314"/>
      <c r="BE6116" s="314"/>
      <c r="BF6116" s="314"/>
      <c r="BG6116" s="314"/>
      <c r="BH6116" s="314"/>
      <c r="BI6116" s="314"/>
      <c r="BJ6116" s="314"/>
      <c r="BK6116" s="40"/>
      <c r="BL6116" s="40"/>
      <c r="BM6116" s="40"/>
      <c r="BN6116" s="40"/>
      <c r="BO6116" s="40"/>
      <c r="BP6116" s="155"/>
      <c r="BQ6116" s="314"/>
      <c r="BR6116" s="314"/>
      <c r="BS6116" s="314"/>
      <c r="BT6116" s="314"/>
      <c r="BU6116" s="314"/>
      <c r="BV6116" s="314"/>
      <c r="BW6116" s="314"/>
      <c r="BX6116" s="155"/>
    </row>
    <row r="6117" spans="1:76" ht="15.75" customHeight="1">
      <c r="A6117" s="25"/>
      <c r="B6117" s="39"/>
      <c r="C6117" s="155"/>
      <c r="D6117" s="155"/>
      <c r="E6117" s="40"/>
      <c r="F6117" s="314"/>
      <c r="H6117" s="315"/>
      <c r="I6117" s="315"/>
      <c r="BA6117" s="30"/>
      <c r="BB6117" s="155"/>
      <c r="BC6117" s="314"/>
      <c r="BD6117" s="314"/>
      <c r="BE6117" s="314"/>
      <c r="BF6117" s="314"/>
      <c r="BG6117" s="314"/>
      <c r="BH6117" s="314"/>
      <c r="BI6117" s="314"/>
      <c r="BJ6117" s="314"/>
      <c r="BK6117" s="40"/>
      <c r="BL6117" s="40"/>
      <c r="BM6117" s="40"/>
      <c r="BN6117" s="40"/>
      <c r="BO6117" s="40"/>
      <c r="BP6117" s="155"/>
      <c r="BQ6117" s="314"/>
      <c r="BR6117" s="314"/>
      <c r="BS6117" s="314"/>
      <c r="BT6117" s="314"/>
      <c r="BU6117" s="314"/>
      <c r="BV6117" s="314"/>
      <c r="BW6117" s="314"/>
      <c r="BX6117" s="155"/>
    </row>
    <row r="6118" spans="1:76" ht="15.75" customHeight="1">
      <c r="A6118" s="25"/>
      <c r="B6118" s="39"/>
      <c r="C6118" s="155"/>
      <c r="D6118" s="155"/>
      <c r="E6118" s="40"/>
      <c r="F6118" s="314"/>
      <c r="H6118" s="315"/>
      <c r="I6118" s="315"/>
      <c r="BA6118" s="30"/>
      <c r="BB6118" s="155"/>
      <c r="BC6118" s="314"/>
      <c r="BD6118" s="314"/>
      <c r="BE6118" s="314"/>
      <c r="BF6118" s="314"/>
      <c r="BG6118" s="314"/>
      <c r="BH6118" s="314"/>
      <c r="BI6118" s="314"/>
      <c r="BJ6118" s="314"/>
      <c r="BK6118" s="40"/>
      <c r="BL6118" s="40"/>
      <c r="BM6118" s="40"/>
      <c r="BN6118" s="40"/>
      <c r="BO6118" s="40"/>
      <c r="BP6118" s="155"/>
      <c r="BQ6118" s="314"/>
      <c r="BR6118" s="314"/>
      <c r="BS6118" s="314"/>
      <c r="BT6118" s="314"/>
      <c r="BU6118" s="314"/>
      <c r="BV6118" s="314"/>
      <c r="BW6118" s="314"/>
      <c r="BX6118" s="155"/>
    </row>
    <row r="6119" spans="1:76" ht="15.75" customHeight="1">
      <c r="A6119" s="25"/>
      <c r="B6119" s="39"/>
      <c r="C6119" s="155"/>
      <c r="D6119" s="155"/>
      <c r="E6119" s="40"/>
      <c r="F6119" s="314"/>
      <c r="H6119" s="315"/>
      <c r="I6119" s="315"/>
      <c r="BA6119" s="30"/>
      <c r="BB6119" s="155"/>
      <c r="BC6119" s="314"/>
      <c r="BD6119" s="314"/>
      <c r="BE6119" s="314"/>
      <c r="BF6119" s="314"/>
      <c r="BG6119" s="314"/>
      <c r="BH6119" s="314"/>
      <c r="BI6119" s="314"/>
      <c r="BJ6119" s="314"/>
      <c r="BK6119" s="40"/>
      <c r="BL6119" s="40"/>
      <c r="BM6119" s="40"/>
      <c r="BN6119" s="40"/>
      <c r="BO6119" s="40"/>
      <c r="BP6119" s="155"/>
      <c r="BQ6119" s="314"/>
      <c r="BR6119" s="314"/>
      <c r="BS6119" s="314"/>
      <c r="BT6119" s="314"/>
      <c r="BU6119" s="314"/>
      <c r="BV6119" s="314"/>
      <c r="BW6119" s="314"/>
      <c r="BX6119" s="155"/>
    </row>
    <row r="6120" spans="1:76" ht="15.75" customHeight="1">
      <c r="A6120" s="25"/>
      <c r="B6120" s="39"/>
      <c r="C6120" s="155"/>
      <c r="D6120" s="155"/>
      <c r="E6120" s="40"/>
      <c r="F6120" s="314"/>
      <c r="H6120" s="315"/>
      <c r="I6120" s="315"/>
      <c r="BA6120" s="30"/>
      <c r="BB6120" s="155"/>
      <c r="BC6120" s="314"/>
      <c r="BD6120" s="314"/>
      <c r="BE6120" s="314"/>
      <c r="BF6120" s="314"/>
      <c r="BG6120" s="314"/>
      <c r="BH6120" s="314"/>
      <c r="BI6120" s="314"/>
      <c r="BJ6120" s="314"/>
      <c r="BK6120" s="40"/>
      <c r="BL6120" s="40"/>
      <c r="BM6120" s="40"/>
      <c r="BN6120" s="40"/>
      <c r="BO6120" s="40"/>
      <c r="BP6120" s="155"/>
      <c r="BQ6120" s="314"/>
      <c r="BR6120" s="314"/>
      <c r="BS6120" s="314"/>
      <c r="BT6120" s="314"/>
      <c r="BU6120" s="314"/>
      <c r="BV6120" s="314"/>
      <c r="BW6120" s="314"/>
      <c r="BX6120" s="155"/>
    </row>
    <row r="6121" spans="1:76" ht="15.75" customHeight="1">
      <c r="A6121" s="25"/>
      <c r="B6121" s="39"/>
      <c r="C6121" s="155"/>
      <c r="D6121" s="155"/>
      <c r="E6121" s="40"/>
      <c r="F6121" s="314"/>
      <c r="H6121" s="315"/>
      <c r="I6121" s="315"/>
      <c r="BA6121" s="30"/>
      <c r="BB6121" s="155"/>
      <c r="BC6121" s="314"/>
      <c r="BD6121" s="314"/>
      <c r="BE6121" s="314"/>
      <c r="BF6121" s="314"/>
      <c r="BG6121" s="314"/>
      <c r="BH6121" s="314"/>
      <c r="BI6121" s="314"/>
      <c r="BJ6121" s="314"/>
      <c r="BK6121" s="40"/>
      <c r="BL6121" s="40"/>
      <c r="BM6121" s="40"/>
      <c r="BN6121" s="40"/>
      <c r="BO6121" s="40"/>
      <c r="BP6121" s="155"/>
      <c r="BQ6121" s="314"/>
      <c r="BR6121" s="314"/>
      <c r="BS6121" s="314"/>
      <c r="BT6121" s="314"/>
      <c r="BU6121" s="314"/>
      <c r="BV6121" s="314"/>
      <c r="BW6121" s="314"/>
      <c r="BX6121" s="155"/>
    </row>
    <row r="6122" spans="1:76" ht="15.75" customHeight="1">
      <c r="A6122" s="25"/>
      <c r="B6122" s="39"/>
      <c r="C6122" s="155"/>
      <c r="D6122" s="155"/>
      <c r="E6122" s="40"/>
      <c r="F6122" s="314"/>
      <c r="H6122" s="315"/>
      <c r="I6122" s="315"/>
      <c r="BA6122" s="30"/>
      <c r="BB6122" s="155"/>
      <c r="BC6122" s="314"/>
      <c r="BD6122" s="314"/>
      <c r="BE6122" s="314"/>
      <c r="BF6122" s="314"/>
      <c r="BG6122" s="314"/>
      <c r="BH6122" s="314"/>
      <c r="BI6122" s="314"/>
      <c r="BJ6122" s="314"/>
      <c r="BK6122" s="40"/>
      <c r="BL6122" s="40"/>
      <c r="BM6122" s="40"/>
      <c r="BN6122" s="40"/>
      <c r="BO6122" s="40"/>
      <c r="BP6122" s="155"/>
      <c r="BQ6122" s="314"/>
      <c r="BR6122" s="314"/>
      <c r="BS6122" s="314"/>
      <c r="BT6122" s="314"/>
      <c r="BU6122" s="314"/>
      <c r="BV6122" s="314"/>
      <c r="BW6122" s="314"/>
      <c r="BX6122" s="155"/>
    </row>
    <row r="6123" spans="1:76" ht="15.75" customHeight="1">
      <c r="A6123" s="25"/>
      <c r="B6123" s="39"/>
      <c r="C6123" s="155"/>
      <c r="D6123" s="155"/>
      <c r="E6123" s="40"/>
      <c r="F6123" s="314"/>
      <c r="H6123" s="315"/>
      <c r="I6123" s="315"/>
      <c r="BA6123" s="30"/>
      <c r="BB6123" s="155"/>
      <c r="BC6123" s="314"/>
      <c r="BD6123" s="314"/>
      <c r="BE6123" s="314"/>
      <c r="BF6123" s="314"/>
      <c r="BG6123" s="314"/>
      <c r="BH6123" s="314"/>
      <c r="BI6123" s="314"/>
      <c r="BJ6123" s="314"/>
      <c r="BK6123" s="40"/>
      <c r="BL6123" s="40"/>
      <c r="BM6123" s="40"/>
      <c r="BN6123" s="40"/>
      <c r="BO6123" s="40"/>
      <c r="BP6123" s="155"/>
      <c r="BQ6123" s="314"/>
      <c r="BR6123" s="314"/>
      <c r="BS6123" s="314"/>
      <c r="BT6123" s="314"/>
      <c r="BU6123" s="314"/>
      <c r="BV6123" s="314"/>
      <c r="BW6123" s="314"/>
      <c r="BX6123" s="155"/>
    </row>
    <row r="6124" spans="1:76" ht="15.75" customHeight="1">
      <c r="A6124" s="25"/>
      <c r="B6124" s="39"/>
      <c r="C6124" s="155"/>
      <c r="D6124" s="155"/>
      <c r="E6124" s="40"/>
      <c r="F6124" s="314"/>
      <c r="H6124" s="315"/>
      <c r="I6124" s="315"/>
      <c r="BA6124" s="30"/>
      <c r="BB6124" s="155"/>
      <c r="BC6124" s="314"/>
      <c r="BD6124" s="314"/>
      <c r="BE6124" s="314"/>
      <c r="BF6124" s="314"/>
      <c r="BG6124" s="314"/>
      <c r="BH6124" s="314"/>
      <c r="BI6124" s="314"/>
      <c r="BJ6124" s="314"/>
      <c r="BK6124" s="40"/>
      <c r="BL6124" s="40"/>
      <c r="BM6124" s="40"/>
      <c r="BN6124" s="40"/>
      <c r="BO6124" s="40"/>
      <c r="BP6124" s="155"/>
      <c r="BQ6124" s="314"/>
      <c r="BR6124" s="314"/>
      <c r="BS6124" s="314"/>
      <c r="BT6124" s="314"/>
      <c r="BU6124" s="314"/>
      <c r="BV6124" s="314"/>
      <c r="BW6124" s="314"/>
      <c r="BX6124" s="155"/>
    </row>
    <row r="6125" spans="1:76" ht="15.75" customHeight="1">
      <c r="A6125" s="25"/>
      <c r="B6125" s="39"/>
      <c r="C6125" s="155"/>
      <c r="D6125" s="155"/>
      <c r="E6125" s="40"/>
      <c r="F6125" s="314"/>
      <c r="H6125" s="315"/>
      <c r="I6125" s="315"/>
      <c r="BA6125" s="30"/>
      <c r="BB6125" s="155"/>
      <c r="BC6125" s="314"/>
      <c r="BD6125" s="314"/>
      <c r="BE6125" s="314"/>
      <c r="BF6125" s="314"/>
      <c r="BG6125" s="314"/>
      <c r="BH6125" s="314"/>
      <c r="BI6125" s="314"/>
      <c r="BJ6125" s="314"/>
      <c r="BK6125" s="40"/>
      <c r="BL6125" s="40"/>
      <c r="BM6125" s="40"/>
      <c r="BN6125" s="40"/>
      <c r="BO6125" s="40"/>
      <c r="BP6125" s="155"/>
      <c r="BQ6125" s="314"/>
      <c r="BR6125" s="314"/>
      <c r="BS6125" s="314"/>
      <c r="BT6125" s="314"/>
      <c r="BU6125" s="314"/>
      <c r="BV6125" s="314"/>
      <c r="BW6125" s="314"/>
      <c r="BX6125" s="155"/>
    </row>
    <row r="6126" spans="1:76" ht="15.75" customHeight="1">
      <c r="A6126" s="25"/>
      <c r="B6126" s="39"/>
      <c r="C6126" s="155"/>
      <c r="D6126" s="155"/>
      <c r="E6126" s="40"/>
      <c r="F6126" s="314"/>
      <c r="H6126" s="315"/>
      <c r="I6126" s="315"/>
      <c r="BA6126" s="30"/>
      <c r="BB6126" s="155"/>
      <c r="BC6126" s="314"/>
      <c r="BD6126" s="314"/>
      <c r="BE6126" s="314"/>
      <c r="BF6126" s="314"/>
      <c r="BG6126" s="314"/>
      <c r="BH6126" s="314"/>
      <c r="BI6126" s="314"/>
      <c r="BJ6126" s="314"/>
      <c r="BK6126" s="40"/>
      <c r="BL6126" s="40"/>
      <c r="BM6126" s="40"/>
      <c r="BN6126" s="40"/>
      <c r="BO6126" s="40"/>
      <c r="BP6126" s="155"/>
      <c r="BQ6126" s="314"/>
      <c r="BR6126" s="314"/>
      <c r="BS6126" s="314"/>
      <c r="BT6126" s="314"/>
      <c r="BU6126" s="314"/>
      <c r="BV6126" s="314"/>
      <c r="BW6126" s="314"/>
      <c r="BX6126" s="155"/>
    </row>
    <row r="6127" spans="1:76" ht="15.75" customHeight="1">
      <c r="A6127" s="25"/>
      <c r="B6127" s="39"/>
      <c r="C6127" s="155"/>
      <c r="D6127" s="155"/>
      <c r="E6127" s="40"/>
      <c r="F6127" s="314"/>
      <c r="H6127" s="315"/>
      <c r="I6127" s="315"/>
      <c r="BA6127" s="30"/>
      <c r="BB6127" s="155"/>
      <c r="BC6127" s="314"/>
      <c r="BD6127" s="314"/>
      <c r="BE6127" s="314"/>
      <c r="BF6127" s="314"/>
      <c r="BG6127" s="314"/>
      <c r="BH6127" s="314"/>
      <c r="BI6127" s="314"/>
      <c r="BJ6127" s="314"/>
      <c r="BK6127" s="40"/>
      <c r="BL6127" s="40"/>
      <c r="BM6127" s="40"/>
      <c r="BN6127" s="40"/>
      <c r="BO6127" s="40"/>
      <c r="BP6127" s="155"/>
      <c r="BQ6127" s="314"/>
      <c r="BR6127" s="314"/>
      <c r="BS6127" s="314"/>
      <c r="BT6127" s="314"/>
      <c r="BU6127" s="314"/>
      <c r="BV6127" s="314"/>
      <c r="BW6127" s="314"/>
      <c r="BX6127" s="155"/>
    </row>
    <row r="6128" spans="1:76" ht="15.75" customHeight="1">
      <c r="A6128" s="25"/>
      <c r="B6128" s="39"/>
      <c r="C6128" s="155"/>
      <c r="D6128" s="155"/>
      <c r="E6128" s="40"/>
      <c r="F6128" s="314"/>
      <c r="H6128" s="315"/>
      <c r="I6128" s="315"/>
      <c r="BA6128" s="30"/>
      <c r="BB6128" s="155"/>
      <c r="BC6128" s="314"/>
      <c r="BD6128" s="314"/>
      <c r="BE6128" s="314"/>
      <c r="BF6128" s="314"/>
      <c r="BG6128" s="314"/>
      <c r="BH6128" s="314"/>
      <c r="BI6128" s="314"/>
      <c r="BJ6128" s="314"/>
      <c r="BK6128" s="40"/>
      <c r="BL6128" s="40"/>
      <c r="BM6128" s="40"/>
      <c r="BN6128" s="40"/>
      <c r="BO6128" s="40"/>
      <c r="BP6128" s="155"/>
      <c r="BQ6128" s="314"/>
      <c r="BR6128" s="314"/>
      <c r="BS6128" s="314"/>
      <c r="BT6128" s="314"/>
      <c r="BU6128" s="314"/>
      <c r="BV6128" s="314"/>
      <c r="BW6128" s="314"/>
      <c r="BX6128" s="155"/>
    </row>
    <row r="6129" spans="1:76" ht="15.75" customHeight="1">
      <c r="A6129" s="25"/>
      <c r="B6129" s="39"/>
      <c r="C6129" s="155"/>
      <c r="D6129" s="155"/>
      <c r="E6129" s="40"/>
      <c r="F6129" s="314"/>
      <c r="H6129" s="315"/>
      <c r="I6129" s="315"/>
      <c r="BA6129" s="30"/>
      <c r="BB6129" s="155"/>
      <c r="BC6129" s="314"/>
      <c r="BD6129" s="314"/>
      <c r="BE6129" s="314"/>
      <c r="BF6129" s="314"/>
      <c r="BG6129" s="314"/>
      <c r="BH6129" s="314"/>
      <c r="BI6129" s="314"/>
      <c r="BJ6129" s="314"/>
      <c r="BK6129" s="40"/>
      <c r="BL6129" s="40"/>
      <c r="BM6129" s="40"/>
      <c r="BN6129" s="40"/>
      <c r="BO6129" s="40"/>
      <c r="BP6129" s="155"/>
      <c r="BQ6129" s="314"/>
      <c r="BR6129" s="314"/>
      <c r="BS6129" s="314"/>
      <c r="BT6129" s="314"/>
      <c r="BU6129" s="314"/>
      <c r="BV6129" s="314"/>
      <c r="BW6129" s="314"/>
      <c r="BX6129" s="155"/>
    </row>
    <row r="6130" spans="1:76" ht="15.75" customHeight="1">
      <c r="A6130" s="25"/>
      <c r="B6130" s="39"/>
      <c r="C6130" s="155"/>
      <c r="D6130" s="155"/>
      <c r="E6130" s="40"/>
      <c r="F6130" s="314"/>
      <c r="H6130" s="315"/>
      <c r="I6130" s="315"/>
      <c r="BA6130" s="30"/>
      <c r="BB6130" s="155"/>
      <c r="BC6130" s="314"/>
      <c r="BD6130" s="314"/>
      <c r="BE6130" s="314"/>
      <c r="BF6130" s="314"/>
      <c r="BG6130" s="314"/>
      <c r="BH6130" s="314"/>
      <c r="BI6130" s="314"/>
      <c r="BJ6130" s="314"/>
      <c r="BK6130" s="40"/>
      <c r="BL6130" s="40"/>
      <c r="BM6130" s="40"/>
      <c r="BN6130" s="40"/>
      <c r="BO6130" s="40"/>
      <c r="BP6130" s="155"/>
      <c r="BQ6130" s="314"/>
      <c r="BR6130" s="314"/>
      <c r="BS6130" s="314"/>
      <c r="BT6130" s="314"/>
      <c r="BU6130" s="314"/>
      <c r="BV6130" s="314"/>
      <c r="BW6130" s="314"/>
      <c r="BX6130" s="155"/>
    </row>
    <row r="6131" spans="1:76" ht="15.75" customHeight="1">
      <c r="A6131" s="25"/>
      <c r="B6131" s="39"/>
      <c r="C6131" s="155"/>
      <c r="D6131" s="155"/>
      <c r="E6131" s="40"/>
      <c r="F6131" s="314"/>
      <c r="H6131" s="315"/>
      <c r="I6131" s="315"/>
      <c r="BA6131" s="30"/>
      <c r="BB6131" s="155"/>
      <c r="BC6131" s="314"/>
      <c r="BD6131" s="314"/>
      <c r="BE6131" s="314"/>
      <c r="BF6131" s="314"/>
      <c r="BG6131" s="314"/>
      <c r="BH6131" s="314"/>
      <c r="BI6131" s="314"/>
      <c r="BJ6131" s="314"/>
      <c r="BK6131" s="40"/>
      <c r="BL6131" s="40"/>
      <c r="BM6131" s="40"/>
      <c r="BN6131" s="40"/>
      <c r="BO6131" s="40"/>
      <c r="BP6131" s="155"/>
      <c r="BQ6131" s="314"/>
      <c r="BR6131" s="314"/>
      <c r="BS6131" s="314"/>
      <c r="BT6131" s="314"/>
      <c r="BU6131" s="314"/>
      <c r="BV6131" s="314"/>
      <c r="BW6131" s="314"/>
      <c r="BX6131" s="155"/>
    </row>
    <row r="6132" spans="1:76" ht="15.75" customHeight="1">
      <c r="A6132" s="25"/>
      <c r="B6132" s="39"/>
      <c r="C6132" s="155"/>
      <c r="D6132" s="155"/>
      <c r="E6132" s="40"/>
      <c r="F6132" s="314"/>
      <c r="H6132" s="315"/>
      <c r="I6132" s="315"/>
      <c r="BA6132" s="30"/>
      <c r="BB6132" s="155"/>
      <c r="BC6132" s="314"/>
      <c r="BD6132" s="314"/>
      <c r="BE6132" s="314"/>
      <c r="BF6132" s="314"/>
      <c r="BG6132" s="314"/>
      <c r="BH6132" s="314"/>
      <c r="BI6132" s="314"/>
      <c r="BJ6132" s="314"/>
      <c r="BK6132" s="40"/>
      <c r="BL6132" s="40"/>
      <c r="BM6132" s="40"/>
      <c r="BN6132" s="40"/>
      <c r="BO6132" s="40"/>
      <c r="BP6132" s="155"/>
      <c r="BQ6132" s="314"/>
      <c r="BR6132" s="314"/>
      <c r="BS6132" s="314"/>
      <c r="BT6132" s="314"/>
      <c r="BU6132" s="314"/>
      <c r="BV6132" s="314"/>
      <c r="BW6132" s="314"/>
      <c r="BX6132" s="155"/>
    </row>
    <row r="6133" spans="1:76" ht="15.75" customHeight="1">
      <c r="A6133" s="25"/>
      <c r="B6133" s="39"/>
      <c r="C6133" s="155"/>
      <c r="D6133" s="155"/>
      <c r="E6133" s="40"/>
      <c r="F6133" s="314"/>
      <c r="H6133" s="315"/>
      <c r="I6133" s="315"/>
      <c r="BA6133" s="30"/>
      <c r="BB6133" s="155"/>
      <c r="BC6133" s="314"/>
      <c r="BD6133" s="314"/>
      <c r="BE6133" s="314"/>
      <c r="BF6133" s="314"/>
      <c r="BG6133" s="314"/>
      <c r="BH6133" s="314"/>
      <c r="BI6133" s="314"/>
      <c r="BJ6133" s="314"/>
      <c r="BK6133" s="40"/>
      <c r="BL6133" s="40"/>
      <c r="BM6133" s="40"/>
      <c r="BN6133" s="40"/>
      <c r="BO6133" s="40"/>
      <c r="BP6133" s="155"/>
      <c r="BQ6133" s="314"/>
      <c r="BR6133" s="314"/>
      <c r="BS6133" s="314"/>
      <c r="BT6133" s="314"/>
      <c r="BU6133" s="314"/>
      <c r="BV6133" s="314"/>
      <c r="BW6133" s="314"/>
      <c r="BX6133" s="155"/>
    </row>
    <row r="6134" spans="1:76" ht="15.75" customHeight="1">
      <c r="A6134" s="25"/>
      <c r="B6134" s="39"/>
      <c r="C6134" s="155"/>
      <c r="D6134" s="155"/>
      <c r="E6134" s="40"/>
      <c r="F6134" s="314"/>
      <c r="H6134" s="315"/>
      <c r="I6134" s="315"/>
      <c r="BA6134" s="30"/>
      <c r="BB6134" s="155"/>
      <c r="BC6134" s="314"/>
      <c r="BD6134" s="314"/>
      <c r="BE6134" s="314"/>
      <c r="BF6134" s="314"/>
      <c r="BG6134" s="314"/>
      <c r="BH6134" s="314"/>
      <c r="BI6134" s="314"/>
      <c r="BJ6134" s="314"/>
      <c r="BK6134" s="40"/>
      <c r="BL6134" s="40"/>
      <c r="BM6134" s="40"/>
      <c r="BN6134" s="40"/>
      <c r="BO6134" s="40"/>
      <c r="BP6134" s="155"/>
      <c r="BQ6134" s="314"/>
      <c r="BR6134" s="314"/>
      <c r="BS6134" s="314"/>
      <c r="BT6134" s="314"/>
      <c r="BU6134" s="314"/>
      <c r="BV6134" s="314"/>
      <c r="BW6134" s="314"/>
      <c r="BX6134" s="155"/>
    </row>
    <row r="6135" spans="1:76" ht="15.75" customHeight="1">
      <c r="A6135" s="25"/>
      <c r="B6135" s="39"/>
      <c r="C6135" s="155"/>
      <c r="D6135" s="155"/>
      <c r="E6135" s="40"/>
      <c r="F6135" s="314"/>
      <c r="H6135" s="315"/>
      <c r="I6135" s="315"/>
      <c r="BA6135" s="30"/>
      <c r="BB6135" s="155"/>
      <c r="BC6135" s="314"/>
      <c r="BD6135" s="314"/>
      <c r="BE6135" s="314"/>
      <c r="BF6135" s="314"/>
      <c r="BG6135" s="314"/>
      <c r="BH6135" s="314"/>
      <c r="BI6135" s="314"/>
      <c r="BJ6135" s="314"/>
      <c r="BK6135" s="40"/>
      <c r="BL6135" s="40"/>
      <c r="BM6135" s="40"/>
      <c r="BN6135" s="40"/>
      <c r="BO6135" s="40"/>
      <c r="BP6135" s="155"/>
      <c r="BQ6135" s="314"/>
      <c r="BR6135" s="314"/>
      <c r="BS6135" s="314"/>
      <c r="BT6135" s="314"/>
      <c r="BU6135" s="314"/>
      <c r="BV6135" s="314"/>
      <c r="BW6135" s="314"/>
      <c r="BX6135" s="155"/>
    </row>
    <row r="6136" spans="1:76" ht="15.75" customHeight="1">
      <c r="A6136" s="25"/>
      <c r="B6136" s="39"/>
      <c r="C6136" s="155"/>
      <c r="D6136" s="155"/>
      <c r="E6136" s="40"/>
      <c r="F6136" s="314"/>
      <c r="H6136" s="315"/>
      <c r="I6136" s="315"/>
      <c r="BA6136" s="30"/>
      <c r="BB6136" s="155"/>
      <c r="BC6136" s="314"/>
      <c r="BD6136" s="314"/>
      <c r="BE6136" s="314"/>
      <c r="BF6136" s="314"/>
      <c r="BG6136" s="314"/>
      <c r="BH6136" s="314"/>
      <c r="BI6136" s="314"/>
      <c r="BJ6136" s="314"/>
      <c r="BK6136" s="40"/>
      <c r="BL6136" s="40"/>
      <c r="BM6136" s="40"/>
      <c r="BN6136" s="40"/>
      <c r="BO6136" s="40"/>
      <c r="BP6136" s="155"/>
      <c r="BQ6136" s="314"/>
      <c r="BR6136" s="314"/>
      <c r="BS6136" s="314"/>
      <c r="BT6136" s="314"/>
      <c r="BU6136" s="314"/>
      <c r="BV6136" s="314"/>
      <c r="BW6136" s="314"/>
      <c r="BX6136" s="155"/>
    </row>
    <row r="6137" spans="1:76" ht="15.75" customHeight="1">
      <c r="A6137" s="25"/>
      <c r="B6137" s="39"/>
      <c r="C6137" s="155"/>
      <c r="D6137" s="155"/>
      <c r="E6137" s="40"/>
      <c r="F6137" s="314"/>
      <c r="H6137" s="315"/>
      <c r="I6137" s="315"/>
      <c r="BA6137" s="30"/>
      <c r="BB6137" s="155"/>
      <c r="BC6137" s="314"/>
      <c r="BD6137" s="314"/>
      <c r="BE6137" s="314"/>
      <c r="BF6137" s="314"/>
      <c r="BG6137" s="314"/>
      <c r="BH6137" s="314"/>
      <c r="BI6137" s="314"/>
      <c r="BJ6137" s="314"/>
      <c r="BK6137" s="40"/>
      <c r="BL6137" s="40"/>
      <c r="BM6137" s="40"/>
      <c r="BN6137" s="40"/>
      <c r="BO6137" s="40"/>
      <c r="BP6137" s="155"/>
      <c r="BQ6137" s="314"/>
      <c r="BR6137" s="314"/>
      <c r="BS6137" s="314"/>
      <c r="BT6137" s="314"/>
      <c r="BU6137" s="314"/>
      <c r="BV6137" s="314"/>
      <c r="BW6137" s="314"/>
      <c r="BX6137" s="155"/>
    </row>
    <row r="6138" spans="1:76" ht="15.75" customHeight="1">
      <c r="A6138" s="25"/>
      <c r="B6138" s="39"/>
      <c r="C6138" s="155"/>
      <c r="D6138" s="155"/>
      <c r="E6138" s="40"/>
      <c r="F6138" s="314"/>
      <c r="H6138" s="315"/>
      <c r="I6138" s="315"/>
      <c r="BA6138" s="30"/>
      <c r="BB6138" s="155"/>
      <c r="BC6138" s="314"/>
      <c r="BD6138" s="314"/>
      <c r="BE6138" s="314"/>
      <c r="BF6138" s="314"/>
      <c r="BG6138" s="314"/>
      <c r="BH6138" s="314"/>
      <c r="BI6138" s="314"/>
      <c r="BJ6138" s="314"/>
      <c r="BK6138" s="40"/>
      <c r="BL6138" s="40"/>
      <c r="BM6138" s="40"/>
      <c r="BN6138" s="40"/>
      <c r="BO6138" s="40"/>
      <c r="BP6138" s="155"/>
      <c r="BQ6138" s="314"/>
      <c r="BR6138" s="314"/>
      <c r="BS6138" s="314"/>
      <c r="BT6138" s="314"/>
      <c r="BU6138" s="314"/>
      <c r="BV6138" s="314"/>
      <c r="BW6138" s="314"/>
      <c r="BX6138" s="155"/>
    </row>
    <row r="6139" spans="1:76" ht="15.75" customHeight="1">
      <c r="A6139" s="25"/>
      <c r="B6139" s="39"/>
      <c r="C6139" s="155"/>
      <c r="D6139" s="155"/>
      <c r="E6139" s="40"/>
      <c r="F6139" s="314"/>
      <c r="H6139" s="315"/>
      <c r="I6139" s="315"/>
      <c r="BA6139" s="30"/>
      <c r="BB6139" s="155"/>
      <c r="BC6139" s="314"/>
      <c r="BD6139" s="314"/>
      <c r="BE6139" s="314"/>
      <c r="BF6139" s="314"/>
      <c r="BG6139" s="314"/>
      <c r="BH6139" s="314"/>
      <c r="BI6139" s="314"/>
      <c r="BJ6139" s="314"/>
      <c r="BK6139" s="40"/>
      <c r="BL6139" s="40"/>
      <c r="BM6139" s="40"/>
      <c r="BN6139" s="40"/>
      <c r="BO6139" s="40"/>
      <c r="BP6139" s="155"/>
      <c r="BQ6139" s="314"/>
      <c r="BR6139" s="314"/>
      <c r="BS6139" s="314"/>
      <c r="BT6139" s="314"/>
      <c r="BU6139" s="314"/>
      <c r="BV6139" s="314"/>
      <c r="BW6139" s="314"/>
      <c r="BX6139" s="155"/>
    </row>
    <row r="6140" spans="1:76" ht="15.75" customHeight="1">
      <c r="A6140" s="25"/>
      <c r="B6140" s="39"/>
      <c r="C6140" s="155"/>
      <c r="D6140" s="155"/>
      <c r="E6140" s="40"/>
      <c r="F6140" s="314"/>
      <c r="H6140" s="315"/>
      <c r="I6140" s="315"/>
      <c r="BA6140" s="30"/>
      <c r="BB6140" s="155"/>
      <c r="BC6140" s="314"/>
      <c r="BD6140" s="314"/>
      <c r="BE6140" s="314"/>
      <c r="BF6140" s="314"/>
      <c r="BG6140" s="314"/>
      <c r="BH6140" s="314"/>
      <c r="BI6140" s="314"/>
      <c r="BJ6140" s="314"/>
      <c r="BK6140" s="40"/>
      <c r="BL6140" s="40"/>
      <c r="BM6140" s="40"/>
      <c r="BN6140" s="40"/>
      <c r="BO6140" s="40"/>
      <c r="BP6140" s="155"/>
      <c r="BQ6140" s="314"/>
      <c r="BR6140" s="314"/>
      <c r="BS6140" s="314"/>
      <c r="BT6140" s="314"/>
      <c r="BU6140" s="314"/>
      <c r="BV6140" s="314"/>
      <c r="BW6140" s="314"/>
      <c r="BX6140" s="155"/>
    </row>
    <row r="6141" spans="1:76" ht="15.75" customHeight="1">
      <c r="A6141" s="25"/>
      <c r="B6141" s="39"/>
      <c r="C6141" s="155"/>
      <c r="D6141" s="155"/>
      <c r="E6141" s="40"/>
      <c r="F6141" s="314"/>
      <c r="H6141" s="315"/>
      <c r="I6141" s="315"/>
      <c r="BA6141" s="30"/>
      <c r="BB6141" s="155"/>
      <c r="BC6141" s="314"/>
      <c r="BD6141" s="314"/>
      <c r="BE6141" s="314"/>
      <c r="BF6141" s="314"/>
      <c r="BG6141" s="314"/>
      <c r="BH6141" s="314"/>
      <c r="BI6141" s="314"/>
      <c r="BJ6141" s="314"/>
      <c r="BK6141" s="40"/>
      <c r="BL6141" s="40"/>
      <c r="BM6141" s="40"/>
      <c r="BN6141" s="40"/>
      <c r="BO6141" s="40"/>
      <c r="BP6141" s="155"/>
      <c r="BQ6141" s="314"/>
      <c r="BR6141" s="314"/>
      <c r="BS6141" s="314"/>
      <c r="BT6141" s="314"/>
      <c r="BU6141" s="314"/>
      <c r="BV6141" s="314"/>
      <c r="BW6141" s="314"/>
      <c r="BX6141" s="155"/>
    </row>
    <row r="6142" spans="1:76" ht="15.75" customHeight="1">
      <c r="A6142" s="25"/>
      <c r="B6142" s="39"/>
      <c r="C6142" s="155"/>
      <c r="D6142" s="155"/>
      <c r="E6142" s="40"/>
      <c r="F6142" s="314"/>
      <c r="H6142" s="315"/>
      <c r="I6142" s="315"/>
      <c r="BA6142" s="30"/>
      <c r="BB6142" s="155"/>
      <c r="BC6142" s="314"/>
      <c r="BD6142" s="314"/>
      <c r="BE6142" s="314"/>
      <c r="BF6142" s="314"/>
      <c r="BG6142" s="314"/>
      <c r="BH6142" s="314"/>
      <c r="BI6142" s="314"/>
      <c r="BJ6142" s="314"/>
      <c r="BK6142" s="40"/>
      <c r="BL6142" s="40"/>
      <c r="BM6142" s="40"/>
      <c r="BN6142" s="40"/>
      <c r="BO6142" s="40"/>
      <c r="BP6142" s="155"/>
      <c r="BQ6142" s="314"/>
      <c r="BR6142" s="314"/>
      <c r="BS6142" s="314"/>
      <c r="BT6142" s="314"/>
      <c r="BU6142" s="314"/>
      <c r="BV6142" s="314"/>
      <c r="BW6142" s="314"/>
      <c r="BX6142" s="155"/>
    </row>
    <row r="6143" spans="1:76" ht="15.75" customHeight="1">
      <c r="A6143" s="25"/>
      <c r="B6143" s="39"/>
      <c r="C6143" s="155"/>
      <c r="D6143" s="155"/>
      <c r="E6143" s="40"/>
      <c r="F6143" s="314"/>
      <c r="H6143" s="315"/>
      <c r="I6143" s="315"/>
      <c r="BA6143" s="30"/>
      <c r="BB6143" s="155"/>
      <c r="BC6143" s="314"/>
      <c r="BD6143" s="314"/>
      <c r="BE6143" s="314"/>
      <c r="BF6143" s="314"/>
      <c r="BG6143" s="314"/>
      <c r="BH6143" s="314"/>
      <c r="BI6143" s="314"/>
      <c r="BJ6143" s="314"/>
      <c r="BK6143" s="40"/>
      <c r="BL6143" s="40"/>
      <c r="BM6143" s="40"/>
      <c r="BN6143" s="40"/>
      <c r="BO6143" s="40"/>
      <c r="BP6143" s="155"/>
      <c r="BQ6143" s="314"/>
      <c r="BR6143" s="314"/>
      <c r="BS6143" s="314"/>
      <c r="BT6143" s="314"/>
      <c r="BU6143" s="314"/>
      <c r="BV6143" s="314"/>
      <c r="BW6143" s="314"/>
      <c r="BX6143" s="155"/>
    </row>
    <row r="6144" spans="1:76" ht="15.75" customHeight="1">
      <c r="A6144" s="25"/>
      <c r="B6144" s="39"/>
      <c r="C6144" s="155"/>
      <c r="D6144" s="155"/>
      <c r="E6144" s="40"/>
      <c r="F6144" s="314"/>
      <c r="H6144" s="315"/>
      <c r="I6144" s="315"/>
      <c r="BA6144" s="30"/>
      <c r="BB6144" s="155"/>
      <c r="BC6144" s="314"/>
      <c r="BD6144" s="314"/>
      <c r="BE6144" s="314"/>
      <c r="BF6144" s="314"/>
      <c r="BG6144" s="314"/>
      <c r="BH6144" s="314"/>
      <c r="BI6144" s="314"/>
      <c r="BJ6144" s="314"/>
      <c r="BK6144" s="40"/>
      <c r="BL6144" s="40"/>
      <c r="BM6144" s="40"/>
      <c r="BN6144" s="40"/>
      <c r="BO6144" s="40"/>
      <c r="BP6144" s="155"/>
      <c r="BQ6144" s="314"/>
      <c r="BR6144" s="314"/>
      <c r="BS6144" s="314"/>
      <c r="BT6144" s="314"/>
      <c r="BU6144" s="314"/>
      <c r="BV6144" s="314"/>
      <c r="BW6144" s="314"/>
      <c r="BX6144" s="155"/>
    </row>
    <row r="6145" spans="1:76" ht="15.75" customHeight="1">
      <c r="A6145" s="25"/>
      <c r="B6145" s="39"/>
      <c r="C6145" s="155"/>
      <c r="D6145" s="155"/>
      <c r="E6145" s="40"/>
      <c r="F6145" s="314"/>
      <c r="H6145" s="315"/>
      <c r="I6145" s="315"/>
      <c r="BA6145" s="30"/>
      <c r="BB6145" s="155"/>
      <c r="BC6145" s="314"/>
      <c r="BD6145" s="314"/>
      <c r="BE6145" s="314"/>
      <c r="BF6145" s="314"/>
      <c r="BG6145" s="314"/>
      <c r="BH6145" s="314"/>
      <c r="BI6145" s="314"/>
      <c r="BJ6145" s="314"/>
      <c r="BK6145" s="40"/>
      <c r="BL6145" s="40"/>
      <c r="BM6145" s="40"/>
      <c r="BN6145" s="40"/>
      <c r="BO6145" s="40"/>
      <c r="BP6145" s="155"/>
      <c r="BQ6145" s="314"/>
      <c r="BR6145" s="314"/>
      <c r="BS6145" s="314"/>
      <c r="BT6145" s="314"/>
      <c r="BU6145" s="314"/>
      <c r="BV6145" s="314"/>
      <c r="BW6145" s="314"/>
      <c r="BX6145" s="155"/>
    </row>
    <row r="6146" spans="1:76" ht="15.75" customHeight="1">
      <c r="A6146" s="25"/>
      <c r="B6146" s="39"/>
      <c r="C6146" s="155"/>
      <c r="D6146" s="155"/>
      <c r="E6146" s="40"/>
      <c r="F6146" s="314"/>
      <c r="H6146" s="315"/>
      <c r="I6146" s="315"/>
      <c r="BA6146" s="30"/>
      <c r="BB6146" s="155"/>
      <c r="BC6146" s="314"/>
      <c r="BD6146" s="314"/>
      <c r="BE6146" s="314"/>
      <c r="BF6146" s="314"/>
      <c r="BG6146" s="314"/>
      <c r="BH6146" s="314"/>
      <c r="BI6146" s="314"/>
      <c r="BJ6146" s="314"/>
      <c r="BK6146" s="40"/>
      <c r="BL6146" s="40"/>
      <c r="BM6146" s="40"/>
      <c r="BN6146" s="40"/>
      <c r="BO6146" s="40"/>
      <c r="BP6146" s="155"/>
      <c r="BQ6146" s="314"/>
      <c r="BR6146" s="314"/>
      <c r="BS6146" s="314"/>
      <c r="BT6146" s="314"/>
      <c r="BU6146" s="314"/>
      <c r="BV6146" s="314"/>
      <c r="BW6146" s="314"/>
      <c r="BX6146" s="155"/>
    </row>
    <row r="6147" spans="1:76" ht="15.75" customHeight="1">
      <c r="A6147" s="25"/>
      <c r="B6147" s="39"/>
      <c r="C6147" s="155"/>
      <c r="D6147" s="155"/>
      <c r="E6147" s="40"/>
      <c r="F6147" s="314"/>
      <c r="H6147" s="315"/>
      <c r="I6147" s="315"/>
      <c r="BA6147" s="30"/>
      <c r="BB6147" s="155"/>
      <c r="BC6147" s="314"/>
      <c r="BD6147" s="314"/>
      <c r="BE6147" s="314"/>
      <c r="BF6147" s="314"/>
      <c r="BG6147" s="314"/>
      <c r="BH6147" s="314"/>
      <c r="BI6147" s="314"/>
      <c r="BJ6147" s="314"/>
      <c r="BK6147" s="40"/>
      <c r="BL6147" s="40"/>
      <c r="BM6147" s="40"/>
      <c r="BN6147" s="40"/>
      <c r="BO6147" s="40"/>
      <c r="BP6147" s="155"/>
      <c r="BQ6147" s="314"/>
      <c r="BR6147" s="314"/>
      <c r="BS6147" s="314"/>
      <c r="BT6147" s="314"/>
      <c r="BU6147" s="314"/>
      <c r="BV6147" s="314"/>
      <c r="BW6147" s="314"/>
      <c r="BX6147" s="155"/>
    </row>
    <row r="6148" spans="1:76" ht="15.75" customHeight="1">
      <c r="A6148" s="25"/>
      <c r="B6148" s="39"/>
      <c r="C6148" s="155"/>
      <c r="D6148" s="155"/>
      <c r="E6148" s="40"/>
      <c r="F6148" s="314"/>
      <c r="H6148" s="315"/>
      <c r="I6148" s="315"/>
      <c r="BA6148" s="30"/>
      <c r="BB6148" s="155"/>
      <c r="BC6148" s="314"/>
      <c r="BD6148" s="314"/>
      <c r="BE6148" s="314"/>
      <c r="BF6148" s="314"/>
      <c r="BG6148" s="314"/>
      <c r="BH6148" s="314"/>
      <c r="BI6148" s="314"/>
      <c r="BJ6148" s="314"/>
      <c r="BK6148" s="40"/>
      <c r="BL6148" s="40"/>
      <c r="BM6148" s="40"/>
      <c r="BN6148" s="40"/>
      <c r="BO6148" s="40"/>
      <c r="BP6148" s="155"/>
      <c r="BQ6148" s="314"/>
      <c r="BR6148" s="314"/>
      <c r="BS6148" s="314"/>
      <c r="BT6148" s="314"/>
      <c r="BU6148" s="314"/>
      <c r="BV6148" s="314"/>
      <c r="BW6148" s="314"/>
      <c r="BX6148" s="155"/>
    </row>
    <row r="6149" spans="1:76" ht="15.75" customHeight="1">
      <c r="A6149" s="25"/>
      <c r="B6149" s="39"/>
      <c r="C6149" s="155"/>
      <c r="D6149" s="155"/>
      <c r="E6149" s="40"/>
      <c r="F6149" s="314"/>
      <c r="H6149" s="315"/>
      <c r="I6149" s="315"/>
      <c r="BA6149" s="30"/>
      <c r="BB6149" s="155"/>
      <c r="BC6149" s="314"/>
      <c r="BD6149" s="314"/>
      <c r="BE6149" s="314"/>
      <c r="BF6149" s="314"/>
      <c r="BG6149" s="314"/>
      <c r="BH6149" s="314"/>
      <c r="BI6149" s="314"/>
      <c r="BJ6149" s="314"/>
      <c r="BK6149" s="40"/>
      <c r="BL6149" s="40"/>
      <c r="BM6149" s="40"/>
      <c r="BN6149" s="40"/>
      <c r="BO6149" s="40"/>
      <c r="BP6149" s="155"/>
      <c r="BQ6149" s="314"/>
      <c r="BR6149" s="314"/>
      <c r="BS6149" s="314"/>
      <c r="BT6149" s="314"/>
      <c r="BU6149" s="314"/>
      <c r="BV6149" s="314"/>
      <c r="BW6149" s="314"/>
      <c r="BX6149" s="155"/>
    </row>
    <row r="6150" spans="1:76" ht="15.75" customHeight="1">
      <c r="A6150" s="25"/>
      <c r="B6150" s="39"/>
      <c r="C6150" s="155"/>
      <c r="D6150" s="155"/>
      <c r="E6150" s="40"/>
      <c r="F6150" s="314"/>
      <c r="H6150" s="315"/>
      <c r="I6150" s="315"/>
      <c r="BA6150" s="30"/>
      <c r="BB6150" s="155"/>
      <c r="BC6150" s="314"/>
      <c r="BD6150" s="314"/>
      <c r="BE6150" s="314"/>
      <c r="BF6150" s="314"/>
      <c r="BG6150" s="314"/>
      <c r="BH6150" s="314"/>
      <c r="BI6150" s="314"/>
      <c r="BJ6150" s="314"/>
      <c r="BK6150" s="40"/>
      <c r="BL6150" s="40"/>
      <c r="BM6150" s="40"/>
      <c r="BN6150" s="40"/>
      <c r="BO6150" s="40"/>
      <c r="BP6150" s="155"/>
      <c r="BQ6150" s="314"/>
      <c r="BR6150" s="314"/>
      <c r="BS6150" s="314"/>
      <c r="BT6150" s="314"/>
      <c r="BU6150" s="314"/>
      <c r="BV6150" s="314"/>
      <c r="BW6150" s="314"/>
      <c r="BX6150" s="155"/>
    </row>
    <row r="6151" spans="1:76" ht="15.75" customHeight="1">
      <c r="A6151" s="25"/>
      <c r="B6151" s="39"/>
      <c r="C6151" s="155"/>
      <c r="D6151" s="155"/>
      <c r="E6151" s="40"/>
      <c r="F6151" s="314"/>
      <c r="H6151" s="315"/>
      <c r="I6151" s="315"/>
      <c r="BA6151" s="30"/>
      <c r="BB6151" s="155"/>
      <c r="BC6151" s="314"/>
      <c r="BD6151" s="314"/>
      <c r="BE6151" s="314"/>
      <c r="BF6151" s="314"/>
      <c r="BG6151" s="314"/>
      <c r="BH6151" s="314"/>
      <c r="BI6151" s="314"/>
      <c r="BJ6151" s="314"/>
      <c r="BK6151" s="40"/>
      <c r="BL6151" s="40"/>
      <c r="BM6151" s="40"/>
      <c r="BN6151" s="40"/>
      <c r="BO6151" s="40"/>
      <c r="BP6151" s="155"/>
      <c r="BQ6151" s="314"/>
      <c r="BR6151" s="314"/>
      <c r="BS6151" s="314"/>
      <c r="BT6151" s="314"/>
      <c r="BU6151" s="314"/>
      <c r="BV6151" s="314"/>
      <c r="BW6151" s="314"/>
      <c r="BX6151" s="155"/>
    </row>
    <row r="6152" spans="1:76" ht="15.75" customHeight="1">
      <c r="A6152" s="25"/>
      <c r="B6152" s="39"/>
      <c r="C6152" s="155"/>
      <c r="D6152" s="155"/>
      <c r="E6152" s="40"/>
      <c r="F6152" s="314"/>
      <c r="H6152" s="315"/>
      <c r="I6152" s="315"/>
      <c r="BA6152" s="30"/>
      <c r="BB6152" s="155"/>
      <c r="BC6152" s="314"/>
      <c r="BD6152" s="314"/>
      <c r="BE6152" s="314"/>
      <c r="BF6152" s="314"/>
      <c r="BG6152" s="314"/>
      <c r="BH6152" s="314"/>
      <c r="BI6152" s="314"/>
      <c r="BJ6152" s="314"/>
      <c r="BK6152" s="40"/>
      <c r="BL6152" s="40"/>
      <c r="BM6152" s="40"/>
      <c r="BN6152" s="40"/>
      <c r="BO6152" s="40"/>
      <c r="BP6152" s="155"/>
      <c r="BQ6152" s="314"/>
      <c r="BR6152" s="314"/>
      <c r="BS6152" s="314"/>
      <c r="BT6152" s="314"/>
      <c r="BU6152" s="314"/>
      <c r="BV6152" s="314"/>
      <c r="BW6152" s="314"/>
      <c r="BX6152" s="155"/>
    </row>
    <row r="6153" spans="1:76" ht="15.75" customHeight="1">
      <c r="A6153" s="25"/>
      <c r="B6153" s="39"/>
      <c r="C6153" s="155"/>
      <c r="D6153" s="155"/>
      <c r="E6153" s="40"/>
      <c r="F6153" s="314"/>
      <c r="H6153" s="315"/>
      <c r="I6153" s="315"/>
      <c r="BA6153" s="30"/>
      <c r="BB6153" s="155"/>
      <c r="BC6153" s="314"/>
      <c r="BD6153" s="314"/>
      <c r="BE6153" s="314"/>
      <c r="BF6153" s="314"/>
      <c r="BG6153" s="314"/>
      <c r="BH6153" s="314"/>
      <c r="BI6153" s="314"/>
      <c r="BJ6153" s="314"/>
      <c r="BK6153" s="40"/>
      <c r="BL6153" s="40"/>
      <c r="BM6153" s="40"/>
      <c r="BN6153" s="40"/>
      <c r="BO6153" s="40"/>
      <c r="BP6153" s="155"/>
      <c r="BQ6153" s="314"/>
      <c r="BR6153" s="314"/>
      <c r="BS6153" s="314"/>
      <c r="BT6153" s="314"/>
      <c r="BU6153" s="314"/>
      <c r="BV6153" s="314"/>
      <c r="BW6153" s="314"/>
      <c r="BX6153" s="155"/>
    </row>
    <row r="6154" spans="1:76" ht="15.75" customHeight="1">
      <c r="A6154" s="25"/>
      <c r="B6154" s="39"/>
      <c r="C6154" s="155"/>
      <c r="D6154" s="155"/>
      <c r="E6154" s="40"/>
      <c r="F6154" s="314"/>
      <c r="H6154" s="315"/>
      <c r="I6154" s="315"/>
      <c r="BA6154" s="30"/>
      <c r="BB6154" s="155"/>
      <c r="BC6154" s="314"/>
      <c r="BD6154" s="314"/>
      <c r="BE6154" s="314"/>
      <c r="BF6154" s="314"/>
      <c r="BG6154" s="314"/>
      <c r="BH6154" s="314"/>
      <c r="BI6154" s="314"/>
      <c r="BJ6154" s="314"/>
      <c r="BK6154" s="40"/>
      <c r="BL6154" s="40"/>
      <c r="BM6154" s="40"/>
      <c r="BN6154" s="40"/>
      <c r="BO6154" s="40"/>
      <c r="BP6154" s="155"/>
      <c r="BQ6154" s="314"/>
      <c r="BR6154" s="314"/>
      <c r="BS6154" s="314"/>
      <c r="BT6154" s="314"/>
      <c r="BU6154" s="314"/>
      <c r="BV6154" s="314"/>
      <c r="BW6154" s="314"/>
      <c r="BX6154" s="155"/>
    </row>
    <row r="6155" spans="1:76" ht="15.75" customHeight="1">
      <c r="A6155" s="25"/>
      <c r="B6155" s="39"/>
      <c r="C6155" s="155"/>
      <c r="D6155" s="155"/>
      <c r="E6155" s="40"/>
      <c r="F6155" s="314"/>
      <c r="H6155" s="315"/>
      <c r="I6155" s="315"/>
      <c r="BA6155" s="30"/>
      <c r="BB6155" s="155"/>
      <c r="BC6155" s="314"/>
      <c r="BD6155" s="314"/>
      <c r="BE6155" s="314"/>
      <c r="BF6155" s="314"/>
      <c r="BG6155" s="314"/>
      <c r="BH6155" s="314"/>
      <c r="BI6155" s="314"/>
      <c r="BJ6155" s="314"/>
      <c r="BK6155" s="40"/>
      <c r="BL6155" s="40"/>
      <c r="BM6155" s="40"/>
      <c r="BN6155" s="40"/>
      <c r="BO6155" s="40"/>
      <c r="BP6155" s="155"/>
      <c r="BQ6155" s="314"/>
      <c r="BR6155" s="314"/>
      <c r="BS6155" s="314"/>
      <c r="BT6155" s="314"/>
      <c r="BU6155" s="314"/>
      <c r="BV6155" s="314"/>
      <c r="BW6155" s="314"/>
      <c r="BX6155" s="155"/>
    </row>
    <row r="6156" spans="1:76" ht="15.75" customHeight="1">
      <c r="A6156" s="25"/>
      <c r="B6156" s="39"/>
      <c r="C6156" s="155"/>
      <c r="D6156" s="155"/>
      <c r="E6156" s="40"/>
      <c r="F6156" s="314"/>
      <c r="H6156" s="315"/>
      <c r="I6156" s="315"/>
      <c r="BA6156" s="30"/>
      <c r="BB6156" s="155"/>
      <c r="BC6156" s="314"/>
      <c r="BD6156" s="314"/>
      <c r="BE6156" s="314"/>
      <c r="BF6156" s="314"/>
      <c r="BG6156" s="314"/>
      <c r="BH6156" s="314"/>
      <c r="BI6156" s="314"/>
      <c r="BJ6156" s="314"/>
      <c r="BK6156" s="40"/>
      <c r="BL6156" s="40"/>
      <c r="BM6156" s="40"/>
      <c r="BN6156" s="40"/>
      <c r="BO6156" s="40"/>
      <c r="BP6156" s="155"/>
      <c r="BQ6156" s="314"/>
      <c r="BR6156" s="314"/>
      <c r="BS6156" s="314"/>
      <c r="BT6156" s="314"/>
      <c r="BU6156" s="314"/>
      <c r="BV6156" s="314"/>
      <c r="BW6156" s="314"/>
      <c r="BX6156" s="155"/>
    </row>
    <row r="6157" spans="1:76" ht="15.75" customHeight="1">
      <c r="A6157" s="25"/>
      <c r="B6157" s="39"/>
      <c r="C6157" s="155"/>
      <c r="D6157" s="155"/>
      <c r="E6157" s="40"/>
      <c r="F6157" s="314"/>
      <c r="H6157" s="315"/>
      <c r="I6157" s="315"/>
      <c r="BA6157" s="30"/>
      <c r="BB6157" s="155"/>
      <c r="BC6157" s="314"/>
      <c r="BD6157" s="314"/>
      <c r="BE6157" s="314"/>
      <c r="BF6157" s="314"/>
      <c r="BG6157" s="314"/>
      <c r="BH6157" s="314"/>
      <c r="BI6157" s="314"/>
      <c r="BJ6157" s="314"/>
      <c r="BK6157" s="40"/>
      <c r="BL6157" s="40"/>
      <c r="BM6157" s="40"/>
      <c r="BN6157" s="40"/>
      <c r="BO6157" s="40"/>
      <c r="BP6157" s="155"/>
      <c r="BQ6157" s="314"/>
      <c r="BR6157" s="314"/>
      <c r="BS6157" s="314"/>
      <c r="BT6157" s="314"/>
      <c r="BU6157" s="314"/>
      <c r="BV6157" s="314"/>
      <c r="BW6157" s="314"/>
      <c r="BX6157" s="155"/>
    </row>
    <row r="6158" spans="1:76" ht="15.75" customHeight="1">
      <c r="A6158" s="25"/>
      <c r="B6158" s="39"/>
      <c r="C6158" s="155"/>
      <c r="D6158" s="155"/>
      <c r="E6158" s="40"/>
      <c r="F6158" s="314"/>
      <c r="H6158" s="315"/>
      <c r="I6158" s="315"/>
      <c r="BA6158" s="30"/>
      <c r="BB6158" s="155"/>
      <c r="BC6158" s="314"/>
      <c r="BD6158" s="314"/>
      <c r="BE6158" s="314"/>
      <c r="BF6158" s="314"/>
      <c r="BG6158" s="314"/>
      <c r="BH6158" s="314"/>
      <c r="BI6158" s="314"/>
      <c r="BJ6158" s="314"/>
      <c r="BK6158" s="40"/>
      <c r="BL6158" s="40"/>
      <c r="BM6158" s="40"/>
      <c r="BN6158" s="40"/>
      <c r="BO6158" s="40"/>
      <c r="BP6158" s="155"/>
      <c r="BQ6158" s="314"/>
      <c r="BR6158" s="314"/>
      <c r="BS6158" s="314"/>
      <c r="BT6158" s="314"/>
      <c r="BU6158" s="314"/>
      <c r="BV6158" s="314"/>
      <c r="BW6158" s="314"/>
      <c r="BX6158" s="155"/>
    </row>
    <row r="6159" spans="1:76" ht="15.75" customHeight="1">
      <c r="A6159" s="25"/>
      <c r="B6159" s="39"/>
      <c r="C6159" s="155"/>
      <c r="D6159" s="155"/>
      <c r="E6159" s="40"/>
      <c r="F6159" s="314"/>
      <c r="H6159" s="315"/>
      <c r="I6159" s="315"/>
      <c r="BA6159" s="30"/>
      <c r="BB6159" s="155"/>
      <c r="BC6159" s="314"/>
      <c r="BD6159" s="314"/>
      <c r="BE6159" s="314"/>
      <c r="BF6159" s="314"/>
      <c r="BG6159" s="314"/>
      <c r="BH6159" s="314"/>
      <c r="BI6159" s="314"/>
      <c r="BJ6159" s="314"/>
      <c r="BK6159" s="40"/>
      <c r="BL6159" s="40"/>
      <c r="BM6159" s="40"/>
      <c r="BN6159" s="40"/>
      <c r="BO6159" s="40"/>
      <c r="BP6159" s="155"/>
      <c r="BQ6159" s="314"/>
      <c r="BR6159" s="314"/>
      <c r="BS6159" s="314"/>
      <c r="BT6159" s="314"/>
      <c r="BU6159" s="314"/>
      <c r="BV6159" s="314"/>
      <c r="BW6159" s="314"/>
      <c r="BX6159" s="155"/>
    </row>
    <row r="6160" spans="1:76" ht="15.75" customHeight="1">
      <c r="A6160" s="25"/>
      <c r="B6160" s="39"/>
      <c r="C6160" s="155"/>
      <c r="D6160" s="155"/>
      <c r="E6160" s="40"/>
      <c r="F6160" s="314"/>
      <c r="H6160" s="315"/>
      <c r="I6160" s="315"/>
      <c r="BA6160" s="30"/>
      <c r="BB6160" s="155"/>
      <c r="BC6160" s="314"/>
      <c r="BD6160" s="314"/>
      <c r="BE6160" s="314"/>
      <c r="BF6160" s="314"/>
      <c r="BG6160" s="314"/>
      <c r="BH6160" s="314"/>
      <c r="BI6160" s="314"/>
      <c r="BJ6160" s="314"/>
      <c r="BK6160" s="40"/>
      <c r="BL6160" s="40"/>
      <c r="BM6160" s="40"/>
      <c r="BN6160" s="40"/>
      <c r="BO6160" s="40"/>
      <c r="BP6160" s="155"/>
      <c r="BQ6160" s="314"/>
      <c r="BR6160" s="314"/>
      <c r="BS6160" s="314"/>
      <c r="BT6160" s="314"/>
      <c r="BU6160" s="314"/>
      <c r="BV6160" s="314"/>
      <c r="BW6160" s="314"/>
      <c r="BX6160" s="155"/>
    </row>
    <row r="6161" spans="1:76" ht="15.75" customHeight="1">
      <c r="A6161" s="25"/>
      <c r="B6161" s="39"/>
      <c r="C6161" s="155"/>
      <c r="D6161" s="155"/>
      <c r="E6161" s="40"/>
      <c r="F6161" s="314"/>
      <c r="H6161" s="315"/>
      <c r="I6161" s="315"/>
      <c r="BA6161" s="30"/>
      <c r="BB6161" s="155"/>
      <c r="BC6161" s="314"/>
      <c r="BD6161" s="314"/>
      <c r="BE6161" s="314"/>
      <c r="BF6161" s="314"/>
      <c r="BG6161" s="314"/>
      <c r="BH6161" s="314"/>
      <c r="BI6161" s="314"/>
      <c r="BJ6161" s="314"/>
      <c r="BK6161" s="40"/>
      <c r="BL6161" s="40"/>
      <c r="BM6161" s="40"/>
      <c r="BN6161" s="40"/>
      <c r="BO6161" s="40"/>
      <c r="BP6161" s="155"/>
      <c r="BQ6161" s="314"/>
      <c r="BR6161" s="314"/>
      <c r="BS6161" s="314"/>
      <c r="BT6161" s="314"/>
      <c r="BU6161" s="314"/>
      <c r="BV6161" s="314"/>
      <c r="BW6161" s="314"/>
      <c r="BX6161" s="155"/>
    </row>
    <row r="6162" spans="1:76" ht="15.75" customHeight="1">
      <c r="A6162" s="25"/>
      <c r="B6162" s="39"/>
      <c r="C6162" s="155"/>
      <c r="D6162" s="155"/>
      <c r="E6162" s="40"/>
      <c r="F6162" s="314"/>
      <c r="H6162" s="315"/>
      <c r="I6162" s="315"/>
      <c r="BA6162" s="30"/>
      <c r="BB6162" s="155"/>
      <c r="BC6162" s="314"/>
      <c r="BD6162" s="314"/>
      <c r="BE6162" s="314"/>
      <c r="BF6162" s="314"/>
      <c r="BG6162" s="314"/>
      <c r="BH6162" s="314"/>
      <c r="BI6162" s="314"/>
      <c r="BJ6162" s="314"/>
      <c r="BK6162" s="40"/>
      <c r="BL6162" s="40"/>
      <c r="BM6162" s="40"/>
      <c r="BN6162" s="40"/>
      <c r="BO6162" s="40"/>
      <c r="BP6162" s="155"/>
      <c r="BQ6162" s="314"/>
      <c r="BR6162" s="314"/>
      <c r="BS6162" s="314"/>
      <c r="BT6162" s="314"/>
      <c r="BU6162" s="314"/>
      <c r="BV6162" s="314"/>
      <c r="BW6162" s="314"/>
      <c r="BX6162" s="155"/>
    </row>
    <row r="6163" spans="1:76" ht="15.75" customHeight="1">
      <c r="A6163" s="25"/>
      <c r="B6163" s="39"/>
      <c r="C6163" s="155"/>
      <c r="D6163" s="155"/>
      <c r="E6163" s="40"/>
      <c r="F6163" s="314"/>
      <c r="H6163" s="315"/>
      <c r="I6163" s="315"/>
      <c r="BA6163" s="30"/>
      <c r="BB6163" s="155"/>
      <c r="BC6163" s="314"/>
      <c r="BD6163" s="314"/>
      <c r="BE6163" s="314"/>
      <c r="BF6163" s="314"/>
      <c r="BG6163" s="314"/>
      <c r="BH6163" s="314"/>
      <c r="BI6163" s="314"/>
      <c r="BJ6163" s="314"/>
      <c r="BK6163" s="40"/>
      <c r="BL6163" s="40"/>
      <c r="BM6163" s="40"/>
      <c r="BN6163" s="40"/>
      <c r="BO6163" s="40"/>
      <c r="BP6163" s="155"/>
      <c r="BQ6163" s="314"/>
      <c r="BR6163" s="314"/>
      <c r="BS6163" s="314"/>
      <c r="BT6163" s="314"/>
      <c r="BU6163" s="314"/>
      <c r="BV6163" s="314"/>
      <c r="BW6163" s="314"/>
      <c r="BX6163" s="155"/>
    </row>
    <row r="6164" spans="1:76" ht="15.75" customHeight="1">
      <c r="A6164" s="25"/>
      <c r="B6164" s="39"/>
      <c r="C6164" s="155"/>
      <c r="D6164" s="155"/>
      <c r="E6164" s="40"/>
      <c r="F6164" s="314"/>
      <c r="H6164" s="315"/>
      <c r="I6164" s="315"/>
      <c r="BA6164" s="30"/>
      <c r="BB6164" s="155"/>
      <c r="BC6164" s="314"/>
      <c r="BD6164" s="314"/>
      <c r="BE6164" s="314"/>
      <c r="BF6164" s="314"/>
      <c r="BG6164" s="314"/>
      <c r="BH6164" s="314"/>
      <c r="BI6164" s="314"/>
      <c r="BJ6164" s="314"/>
      <c r="BK6164" s="40"/>
      <c r="BL6164" s="40"/>
      <c r="BM6164" s="40"/>
      <c r="BN6164" s="40"/>
      <c r="BO6164" s="40"/>
      <c r="BP6164" s="155"/>
      <c r="BQ6164" s="314"/>
      <c r="BR6164" s="314"/>
      <c r="BS6164" s="314"/>
      <c r="BT6164" s="314"/>
      <c r="BU6164" s="314"/>
      <c r="BV6164" s="314"/>
      <c r="BW6164" s="314"/>
      <c r="BX6164" s="155"/>
    </row>
    <row r="6165" spans="1:76" ht="15.75" customHeight="1">
      <c r="A6165" s="25"/>
      <c r="B6165" s="39"/>
      <c r="C6165" s="155"/>
      <c r="D6165" s="155"/>
      <c r="E6165" s="40"/>
      <c r="F6165" s="314"/>
      <c r="H6165" s="315"/>
      <c r="I6165" s="315"/>
      <c r="BA6165" s="30"/>
      <c r="BB6165" s="155"/>
      <c r="BC6165" s="314"/>
      <c r="BD6165" s="314"/>
      <c r="BE6165" s="314"/>
      <c r="BF6165" s="314"/>
      <c r="BG6165" s="314"/>
      <c r="BH6165" s="314"/>
      <c r="BI6165" s="314"/>
      <c r="BJ6165" s="314"/>
      <c r="BK6165" s="40"/>
      <c r="BL6165" s="40"/>
      <c r="BM6165" s="40"/>
      <c r="BN6165" s="40"/>
      <c r="BO6165" s="40"/>
      <c r="BP6165" s="155"/>
      <c r="BQ6165" s="314"/>
      <c r="BR6165" s="314"/>
      <c r="BS6165" s="314"/>
      <c r="BT6165" s="314"/>
      <c r="BU6165" s="314"/>
      <c r="BV6165" s="314"/>
      <c r="BW6165" s="314"/>
      <c r="BX6165" s="155"/>
    </row>
    <row r="6166" spans="1:76" ht="15.75" customHeight="1">
      <c r="A6166" s="25"/>
      <c r="B6166" s="39"/>
      <c r="C6166" s="155"/>
      <c r="D6166" s="155"/>
      <c r="E6166" s="40"/>
      <c r="F6166" s="314"/>
      <c r="H6166" s="315"/>
      <c r="I6166" s="315"/>
      <c r="BA6166" s="30"/>
      <c r="BB6166" s="155"/>
      <c r="BC6166" s="314"/>
      <c r="BD6166" s="314"/>
      <c r="BE6166" s="314"/>
      <c r="BF6166" s="314"/>
      <c r="BG6166" s="314"/>
      <c r="BH6166" s="314"/>
      <c r="BI6166" s="314"/>
      <c r="BJ6166" s="314"/>
      <c r="BK6166" s="40"/>
      <c r="BL6166" s="40"/>
      <c r="BM6166" s="40"/>
      <c r="BN6166" s="40"/>
      <c r="BO6166" s="40"/>
      <c r="BP6166" s="155"/>
      <c r="BQ6166" s="314"/>
      <c r="BR6166" s="314"/>
      <c r="BS6166" s="314"/>
      <c r="BT6166" s="314"/>
      <c r="BU6166" s="314"/>
      <c r="BV6166" s="314"/>
      <c r="BW6166" s="314"/>
      <c r="BX6166" s="155"/>
    </row>
    <row r="6167" spans="1:76" ht="15.75" customHeight="1">
      <c r="A6167" s="25"/>
      <c r="B6167" s="39"/>
      <c r="C6167" s="155"/>
      <c r="D6167" s="155"/>
      <c r="E6167" s="40"/>
      <c r="F6167" s="314"/>
      <c r="H6167" s="315"/>
      <c r="I6167" s="315"/>
      <c r="BA6167" s="30"/>
      <c r="BB6167" s="155"/>
      <c r="BC6167" s="314"/>
      <c r="BD6167" s="314"/>
      <c r="BE6167" s="314"/>
      <c r="BF6167" s="314"/>
      <c r="BG6167" s="314"/>
      <c r="BH6167" s="314"/>
      <c r="BI6167" s="314"/>
      <c r="BJ6167" s="314"/>
      <c r="BK6167" s="40"/>
      <c r="BL6167" s="40"/>
      <c r="BM6167" s="40"/>
      <c r="BN6167" s="40"/>
      <c r="BO6167" s="40"/>
      <c r="BP6167" s="155"/>
      <c r="BQ6167" s="314"/>
      <c r="BR6167" s="314"/>
      <c r="BS6167" s="314"/>
      <c r="BT6167" s="314"/>
      <c r="BU6167" s="314"/>
      <c r="BV6167" s="314"/>
      <c r="BW6167" s="314"/>
      <c r="BX6167" s="155"/>
    </row>
    <row r="6168" spans="1:76" ht="15.75" customHeight="1">
      <c r="A6168" s="25"/>
      <c r="B6168" s="39"/>
      <c r="C6168" s="155"/>
      <c r="D6168" s="155"/>
      <c r="E6168" s="40"/>
      <c r="F6168" s="314"/>
      <c r="H6168" s="315"/>
      <c r="I6168" s="315"/>
      <c r="BA6168" s="30"/>
      <c r="BB6168" s="155"/>
      <c r="BC6168" s="314"/>
      <c r="BD6168" s="314"/>
      <c r="BE6168" s="314"/>
      <c r="BF6168" s="314"/>
      <c r="BG6168" s="314"/>
      <c r="BH6168" s="314"/>
      <c r="BI6168" s="314"/>
      <c r="BJ6168" s="314"/>
      <c r="BK6168" s="40"/>
      <c r="BL6168" s="40"/>
      <c r="BM6168" s="40"/>
      <c r="BN6168" s="40"/>
      <c r="BO6168" s="40"/>
      <c r="BP6168" s="155"/>
      <c r="BQ6168" s="314"/>
      <c r="BR6168" s="314"/>
      <c r="BS6168" s="314"/>
      <c r="BT6168" s="314"/>
      <c r="BU6168" s="314"/>
      <c r="BV6168" s="314"/>
      <c r="BW6168" s="314"/>
      <c r="BX6168" s="155"/>
    </row>
    <row r="6169" spans="1:76" ht="15.75" customHeight="1">
      <c r="A6169" s="25"/>
      <c r="B6169" s="39"/>
      <c r="C6169" s="155"/>
      <c r="D6169" s="155"/>
      <c r="E6169" s="40"/>
      <c r="F6169" s="314"/>
      <c r="H6169" s="315"/>
      <c r="I6169" s="315"/>
      <c r="BA6169" s="30"/>
      <c r="BB6169" s="155"/>
      <c r="BC6169" s="314"/>
      <c r="BD6169" s="314"/>
      <c r="BE6169" s="314"/>
      <c r="BF6169" s="314"/>
      <c r="BG6169" s="314"/>
      <c r="BH6169" s="314"/>
      <c r="BI6169" s="314"/>
      <c r="BJ6169" s="314"/>
      <c r="BK6169" s="40"/>
      <c r="BL6169" s="40"/>
      <c r="BM6169" s="40"/>
      <c r="BN6169" s="40"/>
      <c r="BO6169" s="40"/>
      <c r="BP6169" s="155"/>
      <c r="BQ6169" s="314"/>
      <c r="BR6169" s="314"/>
      <c r="BS6169" s="314"/>
      <c r="BT6169" s="314"/>
      <c r="BU6169" s="314"/>
      <c r="BV6169" s="314"/>
      <c r="BW6169" s="314"/>
      <c r="BX6169" s="155"/>
    </row>
    <row r="6170" spans="1:76" ht="15.75" customHeight="1">
      <c r="A6170" s="25"/>
      <c r="B6170" s="39"/>
      <c r="C6170" s="155"/>
      <c r="D6170" s="155"/>
      <c r="E6170" s="40"/>
      <c r="F6170" s="314"/>
      <c r="H6170" s="315"/>
      <c r="I6170" s="315"/>
      <c r="BA6170" s="30"/>
      <c r="BB6170" s="155"/>
      <c r="BC6170" s="314"/>
      <c r="BD6170" s="314"/>
      <c r="BE6170" s="314"/>
      <c r="BF6170" s="314"/>
      <c r="BG6170" s="314"/>
      <c r="BH6170" s="314"/>
      <c r="BI6170" s="314"/>
      <c r="BJ6170" s="314"/>
      <c r="BK6170" s="40"/>
      <c r="BL6170" s="40"/>
      <c r="BM6170" s="40"/>
      <c r="BN6170" s="40"/>
      <c r="BO6170" s="40"/>
      <c r="BP6170" s="155"/>
      <c r="BQ6170" s="314"/>
      <c r="BR6170" s="314"/>
      <c r="BS6170" s="314"/>
      <c r="BT6170" s="314"/>
      <c r="BU6170" s="314"/>
      <c r="BV6170" s="314"/>
      <c r="BW6170" s="314"/>
      <c r="BX6170" s="155"/>
    </row>
    <row r="6171" spans="1:76" ht="15.75" customHeight="1">
      <c r="A6171" s="25"/>
      <c r="B6171" s="39"/>
      <c r="C6171" s="155"/>
      <c r="D6171" s="155"/>
      <c r="E6171" s="40"/>
      <c r="F6171" s="314"/>
      <c r="H6171" s="315"/>
      <c r="I6171" s="315"/>
      <c r="BA6171" s="30"/>
      <c r="BB6171" s="155"/>
      <c r="BC6171" s="314"/>
      <c r="BD6171" s="314"/>
      <c r="BE6171" s="314"/>
      <c r="BF6171" s="314"/>
      <c r="BG6171" s="314"/>
      <c r="BH6171" s="314"/>
      <c r="BI6171" s="314"/>
      <c r="BJ6171" s="314"/>
      <c r="BK6171" s="40"/>
      <c r="BL6171" s="40"/>
      <c r="BM6171" s="40"/>
      <c r="BN6171" s="40"/>
      <c r="BO6171" s="40"/>
      <c r="BP6171" s="155"/>
      <c r="BQ6171" s="314"/>
      <c r="BR6171" s="314"/>
      <c r="BS6171" s="314"/>
      <c r="BT6171" s="314"/>
      <c r="BU6171" s="314"/>
      <c r="BV6171" s="314"/>
      <c r="BW6171" s="314"/>
      <c r="BX6171" s="155"/>
    </row>
    <row r="6172" spans="1:76" ht="15.75" customHeight="1">
      <c r="A6172" s="25"/>
      <c r="B6172" s="39"/>
      <c r="C6172" s="155"/>
      <c r="D6172" s="155"/>
      <c r="E6172" s="40"/>
      <c r="F6172" s="314"/>
      <c r="H6172" s="315"/>
      <c r="I6172" s="315"/>
      <c r="BA6172" s="30"/>
      <c r="BB6172" s="155"/>
      <c r="BC6172" s="314"/>
      <c r="BD6172" s="314"/>
      <c r="BE6172" s="314"/>
      <c r="BF6172" s="314"/>
      <c r="BG6172" s="314"/>
      <c r="BH6172" s="314"/>
      <c r="BI6172" s="314"/>
      <c r="BJ6172" s="314"/>
      <c r="BK6172" s="40"/>
      <c r="BL6172" s="40"/>
      <c r="BM6172" s="40"/>
      <c r="BN6172" s="40"/>
      <c r="BO6172" s="40"/>
      <c r="BP6172" s="155"/>
      <c r="BQ6172" s="314"/>
      <c r="BR6172" s="314"/>
      <c r="BS6172" s="314"/>
      <c r="BT6172" s="314"/>
      <c r="BU6172" s="314"/>
      <c r="BV6172" s="314"/>
      <c r="BW6172" s="314"/>
      <c r="BX6172" s="155"/>
    </row>
    <row r="6173" spans="1:76" ht="15.75" customHeight="1">
      <c r="A6173" s="25"/>
      <c r="B6173" s="39"/>
      <c r="C6173" s="155"/>
      <c r="D6173" s="155"/>
      <c r="E6173" s="40"/>
      <c r="F6173" s="314"/>
      <c r="H6173" s="315"/>
      <c r="I6173" s="315"/>
      <c r="BA6173" s="30"/>
      <c r="BB6173" s="155"/>
      <c r="BC6173" s="314"/>
      <c r="BD6173" s="314"/>
      <c r="BE6173" s="314"/>
      <c r="BF6173" s="314"/>
      <c r="BG6173" s="314"/>
      <c r="BH6173" s="314"/>
      <c r="BI6173" s="314"/>
      <c r="BJ6173" s="314"/>
      <c r="BK6173" s="40"/>
      <c r="BL6173" s="40"/>
      <c r="BM6173" s="40"/>
      <c r="BN6173" s="40"/>
      <c r="BO6173" s="40"/>
      <c r="BP6173" s="155"/>
      <c r="BQ6173" s="314"/>
      <c r="BR6173" s="314"/>
      <c r="BS6173" s="314"/>
      <c r="BT6173" s="314"/>
      <c r="BU6173" s="314"/>
      <c r="BV6173" s="314"/>
      <c r="BW6173" s="314"/>
      <c r="BX6173" s="155"/>
    </row>
    <row r="6174" spans="1:76" ht="15.75" customHeight="1">
      <c r="A6174" s="25"/>
      <c r="B6174" s="39"/>
      <c r="C6174" s="155"/>
      <c r="D6174" s="155"/>
      <c r="E6174" s="40"/>
      <c r="F6174" s="314"/>
      <c r="H6174" s="315"/>
      <c r="I6174" s="315"/>
      <c r="BA6174" s="30"/>
      <c r="BB6174" s="155"/>
      <c r="BC6174" s="314"/>
      <c r="BD6174" s="314"/>
      <c r="BE6174" s="314"/>
      <c r="BF6174" s="314"/>
      <c r="BG6174" s="314"/>
      <c r="BH6174" s="314"/>
      <c r="BI6174" s="314"/>
      <c r="BJ6174" s="314"/>
      <c r="BK6174" s="40"/>
      <c r="BL6174" s="40"/>
      <c r="BM6174" s="40"/>
      <c r="BN6174" s="40"/>
      <c r="BO6174" s="40"/>
      <c r="BP6174" s="155"/>
      <c r="BQ6174" s="314"/>
      <c r="BR6174" s="314"/>
      <c r="BS6174" s="314"/>
      <c r="BT6174" s="314"/>
      <c r="BU6174" s="314"/>
      <c r="BV6174" s="314"/>
      <c r="BW6174" s="314"/>
      <c r="BX6174" s="155"/>
    </row>
    <row r="6175" spans="1:76" ht="15.75" customHeight="1">
      <c r="A6175" s="25"/>
      <c r="B6175" s="39"/>
      <c r="C6175" s="155"/>
      <c r="D6175" s="155"/>
      <c r="E6175" s="40"/>
      <c r="F6175" s="314"/>
      <c r="H6175" s="315"/>
      <c r="I6175" s="315"/>
      <c r="BA6175" s="30"/>
      <c r="BB6175" s="155"/>
      <c r="BC6175" s="314"/>
      <c r="BD6175" s="314"/>
      <c r="BE6175" s="314"/>
      <c r="BF6175" s="314"/>
      <c r="BG6175" s="314"/>
      <c r="BH6175" s="314"/>
      <c r="BI6175" s="314"/>
      <c r="BJ6175" s="314"/>
      <c r="BK6175" s="40"/>
      <c r="BL6175" s="40"/>
      <c r="BM6175" s="40"/>
      <c r="BN6175" s="40"/>
      <c r="BO6175" s="40"/>
      <c r="BP6175" s="155"/>
      <c r="BQ6175" s="314"/>
      <c r="BR6175" s="314"/>
      <c r="BS6175" s="314"/>
      <c r="BT6175" s="314"/>
      <c r="BU6175" s="314"/>
      <c r="BV6175" s="314"/>
      <c r="BW6175" s="314"/>
      <c r="BX6175" s="155"/>
    </row>
    <row r="6176" spans="1:76" ht="15.75" customHeight="1">
      <c r="A6176" s="25"/>
      <c r="B6176" s="39"/>
      <c r="C6176" s="155"/>
      <c r="D6176" s="155"/>
      <c r="E6176" s="40"/>
      <c r="F6176" s="314"/>
      <c r="H6176" s="315"/>
      <c r="I6176" s="315"/>
      <c r="BA6176" s="30"/>
      <c r="BB6176" s="155"/>
      <c r="BC6176" s="314"/>
      <c r="BD6176" s="314"/>
      <c r="BE6176" s="314"/>
      <c r="BF6176" s="314"/>
      <c r="BG6176" s="314"/>
      <c r="BH6176" s="314"/>
      <c r="BI6176" s="314"/>
      <c r="BJ6176" s="314"/>
      <c r="BK6176" s="40"/>
      <c r="BL6176" s="40"/>
      <c r="BM6176" s="40"/>
      <c r="BN6176" s="40"/>
      <c r="BO6176" s="40"/>
      <c r="BP6176" s="155"/>
      <c r="BQ6176" s="314"/>
      <c r="BR6176" s="314"/>
      <c r="BS6176" s="314"/>
      <c r="BT6176" s="314"/>
      <c r="BU6176" s="314"/>
      <c r="BV6176" s="314"/>
      <c r="BW6176" s="314"/>
      <c r="BX6176" s="155"/>
    </row>
    <row r="6177" spans="1:76" ht="15.75" customHeight="1">
      <c r="A6177" s="25"/>
      <c r="B6177" s="39"/>
      <c r="C6177" s="155"/>
      <c r="D6177" s="155"/>
      <c r="E6177" s="40"/>
      <c r="F6177" s="314"/>
      <c r="H6177" s="315"/>
      <c r="I6177" s="315"/>
      <c r="BA6177" s="30"/>
      <c r="BB6177" s="155"/>
      <c r="BC6177" s="314"/>
      <c r="BD6177" s="314"/>
      <c r="BE6177" s="314"/>
      <c r="BF6177" s="314"/>
      <c r="BG6177" s="314"/>
      <c r="BH6177" s="314"/>
      <c r="BI6177" s="314"/>
      <c r="BJ6177" s="314"/>
      <c r="BK6177" s="40"/>
      <c r="BL6177" s="40"/>
      <c r="BM6177" s="40"/>
      <c r="BN6177" s="40"/>
      <c r="BO6177" s="40"/>
      <c r="BP6177" s="155"/>
      <c r="BQ6177" s="314"/>
      <c r="BR6177" s="314"/>
      <c r="BS6177" s="314"/>
      <c r="BT6177" s="314"/>
      <c r="BU6177" s="314"/>
      <c r="BV6177" s="314"/>
      <c r="BW6177" s="314"/>
      <c r="BX6177" s="155"/>
    </row>
    <row r="6178" spans="1:76" ht="15.75" customHeight="1">
      <c r="A6178" s="25"/>
      <c r="B6178" s="39"/>
      <c r="C6178" s="155"/>
      <c r="D6178" s="155"/>
      <c r="E6178" s="40"/>
      <c r="F6178" s="314"/>
      <c r="H6178" s="315"/>
      <c r="I6178" s="315"/>
      <c r="BA6178" s="30"/>
      <c r="BB6178" s="155"/>
      <c r="BC6178" s="314"/>
      <c r="BD6178" s="314"/>
      <c r="BE6178" s="314"/>
      <c r="BF6178" s="314"/>
      <c r="BG6178" s="314"/>
      <c r="BH6178" s="314"/>
      <c r="BI6178" s="314"/>
      <c r="BJ6178" s="314"/>
      <c r="BK6178" s="40"/>
      <c r="BL6178" s="40"/>
      <c r="BM6178" s="40"/>
      <c r="BN6178" s="40"/>
      <c r="BO6178" s="40"/>
      <c r="BP6178" s="155"/>
      <c r="BQ6178" s="314"/>
      <c r="BR6178" s="314"/>
      <c r="BS6178" s="314"/>
      <c r="BT6178" s="314"/>
      <c r="BU6178" s="314"/>
      <c r="BV6178" s="314"/>
      <c r="BW6178" s="314"/>
      <c r="BX6178" s="155"/>
    </row>
    <row r="6179" spans="1:76" ht="15.75" customHeight="1">
      <c r="A6179" s="25"/>
      <c r="B6179" s="39"/>
      <c r="C6179" s="155"/>
      <c r="D6179" s="155"/>
      <c r="E6179" s="40"/>
      <c r="F6179" s="314"/>
      <c r="H6179" s="315"/>
      <c r="I6179" s="315"/>
      <c r="BA6179" s="30"/>
      <c r="BB6179" s="155"/>
      <c r="BC6179" s="314"/>
      <c r="BD6179" s="314"/>
      <c r="BE6179" s="314"/>
      <c r="BF6179" s="314"/>
      <c r="BG6179" s="314"/>
      <c r="BH6179" s="314"/>
      <c r="BI6179" s="314"/>
      <c r="BJ6179" s="314"/>
      <c r="BK6179" s="40"/>
      <c r="BL6179" s="40"/>
      <c r="BM6179" s="40"/>
      <c r="BN6179" s="40"/>
      <c r="BO6179" s="40"/>
      <c r="BP6179" s="155"/>
      <c r="BQ6179" s="314"/>
      <c r="BR6179" s="314"/>
      <c r="BS6179" s="314"/>
      <c r="BT6179" s="314"/>
      <c r="BU6179" s="314"/>
      <c r="BV6179" s="314"/>
      <c r="BW6179" s="314"/>
      <c r="BX6179" s="155"/>
    </row>
    <row r="6180" spans="1:76" ht="15.75" customHeight="1">
      <c r="A6180" s="25"/>
      <c r="B6180" s="39"/>
      <c r="C6180" s="155"/>
      <c r="D6180" s="155"/>
      <c r="E6180" s="40"/>
      <c r="F6180" s="314"/>
      <c r="H6180" s="315"/>
      <c r="I6180" s="315"/>
      <c r="BA6180" s="30"/>
      <c r="BB6180" s="155"/>
      <c r="BC6180" s="314"/>
      <c r="BD6180" s="314"/>
      <c r="BE6180" s="314"/>
      <c r="BF6180" s="314"/>
      <c r="BG6180" s="314"/>
      <c r="BH6180" s="314"/>
      <c r="BI6180" s="314"/>
      <c r="BJ6180" s="314"/>
      <c r="BK6180" s="40"/>
      <c r="BL6180" s="40"/>
      <c r="BM6180" s="40"/>
      <c r="BN6180" s="40"/>
      <c r="BO6180" s="40"/>
      <c r="BP6180" s="155"/>
      <c r="BQ6180" s="314"/>
      <c r="BR6180" s="314"/>
      <c r="BS6180" s="314"/>
      <c r="BT6180" s="314"/>
      <c r="BU6180" s="314"/>
      <c r="BV6180" s="314"/>
      <c r="BW6180" s="314"/>
      <c r="BX6180" s="155"/>
    </row>
    <row r="6181" spans="1:76" ht="15.75" customHeight="1">
      <c r="A6181" s="25"/>
      <c r="B6181" s="39"/>
      <c r="C6181" s="155"/>
      <c r="D6181" s="155"/>
      <c r="E6181" s="40"/>
      <c r="F6181" s="314"/>
      <c r="H6181" s="315"/>
      <c r="I6181" s="315"/>
      <c r="BA6181" s="30"/>
      <c r="BB6181" s="155"/>
      <c r="BC6181" s="314"/>
      <c r="BD6181" s="314"/>
      <c r="BE6181" s="314"/>
      <c r="BF6181" s="314"/>
      <c r="BG6181" s="314"/>
      <c r="BH6181" s="314"/>
      <c r="BI6181" s="314"/>
      <c r="BJ6181" s="314"/>
      <c r="BK6181" s="40"/>
      <c r="BL6181" s="40"/>
      <c r="BM6181" s="40"/>
      <c r="BN6181" s="40"/>
      <c r="BO6181" s="40"/>
      <c r="BP6181" s="155"/>
      <c r="BQ6181" s="314"/>
      <c r="BR6181" s="314"/>
      <c r="BS6181" s="314"/>
      <c r="BT6181" s="314"/>
      <c r="BU6181" s="314"/>
      <c r="BV6181" s="314"/>
      <c r="BW6181" s="314"/>
      <c r="BX6181" s="155"/>
    </row>
    <row r="6182" spans="1:76" ht="15.75" customHeight="1">
      <c r="A6182" s="25"/>
      <c r="B6182" s="39"/>
      <c r="C6182" s="155"/>
      <c r="D6182" s="155"/>
      <c r="E6182" s="40"/>
      <c r="F6182" s="314"/>
      <c r="H6182" s="315"/>
      <c r="I6182" s="315"/>
      <c r="BA6182" s="30"/>
      <c r="BB6182" s="155"/>
      <c r="BC6182" s="314"/>
      <c r="BD6182" s="314"/>
      <c r="BE6182" s="314"/>
      <c r="BF6182" s="314"/>
      <c r="BG6182" s="314"/>
      <c r="BH6182" s="314"/>
      <c r="BI6182" s="314"/>
      <c r="BJ6182" s="314"/>
      <c r="BK6182" s="40"/>
      <c r="BL6182" s="40"/>
      <c r="BM6182" s="40"/>
      <c r="BN6182" s="40"/>
      <c r="BO6182" s="40"/>
      <c r="BP6182" s="155"/>
      <c r="BQ6182" s="314"/>
      <c r="BR6182" s="314"/>
      <c r="BS6182" s="314"/>
      <c r="BT6182" s="314"/>
      <c r="BU6182" s="314"/>
      <c r="BV6182" s="314"/>
      <c r="BW6182" s="314"/>
      <c r="BX6182" s="155"/>
    </row>
    <row r="6183" spans="1:76" ht="15.75" customHeight="1">
      <c r="A6183" s="25"/>
      <c r="B6183" s="39"/>
      <c r="C6183" s="155"/>
      <c r="D6183" s="155"/>
      <c r="E6183" s="40"/>
      <c r="F6183" s="314"/>
      <c r="H6183" s="315"/>
      <c r="I6183" s="315"/>
      <c r="BA6183" s="30"/>
      <c r="BB6183" s="155"/>
      <c r="BC6183" s="314"/>
      <c r="BD6183" s="314"/>
      <c r="BE6183" s="314"/>
      <c r="BF6183" s="314"/>
      <c r="BG6183" s="314"/>
      <c r="BH6183" s="314"/>
      <c r="BI6183" s="314"/>
      <c r="BJ6183" s="314"/>
      <c r="BK6183" s="40"/>
      <c r="BL6183" s="40"/>
      <c r="BM6183" s="40"/>
      <c r="BN6183" s="40"/>
      <c r="BO6183" s="40"/>
      <c r="BP6183" s="155"/>
      <c r="BQ6183" s="314"/>
      <c r="BR6183" s="314"/>
      <c r="BS6183" s="314"/>
      <c r="BT6183" s="314"/>
      <c r="BU6183" s="314"/>
      <c r="BV6183" s="314"/>
      <c r="BW6183" s="314"/>
      <c r="BX6183" s="155"/>
    </row>
    <row r="6184" spans="1:76" ht="15.75" customHeight="1">
      <c r="A6184" s="25"/>
      <c r="B6184" s="39"/>
      <c r="C6184" s="155"/>
      <c r="D6184" s="155"/>
      <c r="E6184" s="40"/>
      <c r="F6184" s="314"/>
      <c r="H6184" s="315"/>
      <c r="I6184" s="315"/>
      <c r="BA6184" s="30"/>
      <c r="BB6184" s="155"/>
      <c r="BC6184" s="314"/>
      <c r="BD6184" s="314"/>
      <c r="BE6184" s="314"/>
      <c r="BF6184" s="314"/>
      <c r="BG6184" s="314"/>
      <c r="BH6184" s="314"/>
      <c r="BI6184" s="314"/>
      <c r="BJ6184" s="314"/>
      <c r="BK6184" s="40"/>
      <c r="BL6184" s="40"/>
      <c r="BM6184" s="40"/>
      <c r="BN6184" s="40"/>
      <c r="BO6184" s="40"/>
      <c r="BP6184" s="155"/>
      <c r="BQ6184" s="314"/>
      <c r="BR6184" s="314"/>
      <c r="BS6184" s="314"/>
      <c r="BT6184" s="314"/>
      <c r="BU6184" s="314"/>
      <c r="BV6184" s="314"/>
      <c r="BW6184" s="314"/>
      <c r="BX6184" s="155"/>
    </row>
    <row r="6185" spans="1:76" ht="15.75" customHeight="1">
      <c r="A6185" s="25"/>
      <c r="B6185" s="39"/>
      <c r="C6185" s="155"/>
      <c r="D6185" s="155"/>
      <c r="E6185" s="40"/>
      <c r="F6185" s="314"/>
      <c r="H6185" s="315"/>
      <c r="I6185" s="315"/>
      <c r="BA6185" s="30"/>
      <c r="BB6185" s="155"/>
      <c r="BC6185" s="314"/>
      <c r="BD6185" s="314"/>
      <c r="BE6185" s="314"/>
      <c r="BF6185" s="314"/>
      <c r="BG6185" s="314"/>
      <c r="BH6185" s="314"/>
      <c r="BI6185" s="314"/>
      <c r="BJ6185" s="314"/>
      <c r="BK6185" s="40"/>
      <c r="BL6185" s="40"/>
      <c r="BM6185" s="40"/>
      <c r="BN6185" s="40"/>
      <c r="BO6185" s="40"/>
      <c r="BP6185" s="155"/>
      <c r="BQ6185" s="314"/>
      <c r="BR6185" s="314"/>
      <c r="BS6185" s="314"/>
      <c r="BT6185" s="314"/>
      <c r="BU6185" s="314"/>
      <c r="BV6185" s="314"/>
      <c r="BW6185" s="314"/>
      <c r="BX6185" s="155"/>
    </row>
    <row r="6186" spans="1:76" ht="15.75" customHeight="1">
      <c r="A6186" s="25"/>
      <c r="B6186" s="39"/>
      <c r="C6186" s="155"/>
      <c r="D6186" s="155"/>
      <c r="E6186" s="40"/>
      <c r="F6186" s="314"/>
      <c r="H6186" s="315"/>
      <c r="I6186" s="315"/>
      <c r="BA6186" s="30"/>
      <c r="BB6186" s="155"/>
      <c r="BC6186" s="314"/>
      <c r="BD6186" s="314"/>
      <c r="BE6186" s="314"/>
      <c r="BF6186" s="314"/>
      <c r="BG6186" s="314"/>
      <c r="BH6186" s="314"/>
      <c r="BI6186" s="314"/>
      <c r="BJ6186" s="314"/>
      <c r="BK6186" s="40"/>
      <c r="BL6186" s="40"/>
      <c r="BM6186" s="40"/>
      <c r="BN6186" s="40"/>
      <c r="BO6186" s="40"/>
      <c r="BP6186" s="155"/>
      <c r="BQ6186" s="314"/>
      <c r="BR6186" s="314"/>
      <c r="BS6186" s="314"/>
      <c r="BT6186" s="314"/>
      <c r="BU6186" s="314"/>
      <c r="BV6186" s="314"/>
      <c r="BW6186" s="314"/>
      <c r="BX6186" s="155"/>
    </row>
    <row r="6187" spans="1:76" ht="15.75" customHeight="1">
      <c r="A6187" s="25"/>
      <c r="B6187" s="39"/>
      <c r="C6187" s="155"/>
      <c r="D6187" s="155"/>
      <c r="E6187" s="40"/>
      <c r="F6187" s="314"/>
      <c r="H6187" s="315"/>
      <c r="I6187" s="315"/>
      <c r="BA6187" s="30"/>
      <c r="BB6187" s="155"/>
      <c r="BC6187" s="314"/>
      <c r="BD6187" s="314"/>
      <c r="BE6187" s="314"/>
      <c r="BF6187" s="314"/>
      <c r="BG6187" s="314"/>
      <c r="BH6187" s="314"/>
      <c r="BI6187" s="314"/>
      <c r="BJ6187" s="314"/>
      <c r="BK6187" s="40"/>
      <c r="BL6187" s="40"/>
      <c r="BM6187" s="40"/>
      <c r="BN6187" s="40"/>
      <c r="BO6187" s="40"/>
      <c r="BP6187" s="155"/>
      <c r="BQ6187" s="314"/>
      <c r="BR6187" s="314"/>
      <c r="BS6187" s="314"/>
      <c r="BT6187" s="314"/>
      <c r="BU6187" s="314"/>
      <c r="BV6187" s="314"/>
      <c r="BW6187" s="314"/>
      <c r="BX6187" s="155"/>
    </row>
    <row r="6188" spans="1:76" ht="15.75" customHeight="1">
      <c r="A6188" s="25"/>
      <c r="B6188" s="39"/>
      <c r="C6188" s="155"/>
      <c r="D6188" s="155"/>
      <c r="E6188" s="40"/>
      <c r="F6188" s="314"/>
      <c r="H6188" s="315"/>
      <c r="I6188" s="315"/>
      <c r="BA6188" s="30"/>
      <c r="BB6188" s="155"/>
      <c r="BC6188" s="314"/>
      <c r="BD6188" s="314"/>
      <c r="BE6188" s="314"/>
      <c r="BF6188" s="314"/>
      <c r="BG6188" s="314"/>
      <c r="BH6188" s="314"/>
      <c r="BI6188" s="314"/>
      <c r="BJ6188" s="314"/>
      <c r="BK6188" s="40"/>
      <c r="BL6188" s="40"/>
      <c r="BM6188" s="40"/>
      <c r="BN6188" s="40"/>
      <c r="BO6188" s="40"/>
      <c r="BP6188" s="155"/>
      <c r="BQ6188" s="314"/>
      <c r="BR6188" s="314"/>
      <c r="BS6188" s="314"/>
      <c r="BT6188" s="314"/>
      <c r="BU6188" s="314"/>
      <c r="BV6188" s="314"/>
      <c r="BW6188" s="314"/>
      <c r="BX6188" s="155"/>
    </row>
    <row r="6189" spans="1:76" ht="15.75" customHeight="1">
      <c r="A6189" s="25"/>
      <c r="B6189" s="39"/>
      <c r="C6189" s="155"/>
      <c r="D6189" s="155"/>
      <c r="E6189" s="40"/>
      <c r="F6189" s="314"/>
      <c r="H6189" s="315"/>
      <c r="I6189" s="315"/>
      <c r="BA6189" s="30"/>
      <c r="BB6189" s="155"/>
      <c r="BC6189" s="314"/>
      <c r="BD6189" s="314"/>
      <c r="BE6189" s="314"/>
      <c r="BF6189" s="314"/>
      <c r="BG6189" s="314"/>
      <c r="BH6189" s="314"/>
      <c r="BI6189" s="314"/>
      <c r="BJ6189" s="314"/>
      <c r="BK6189" s="40"/>
      <c r="BL6189" s="40"/>
      <c r="BM6189" s="40"/>
      <c r="BN6189" s="40"/>
      <c r="BO6189" s="40"/>
      <c r="BP6189" s="155"/>
      <c r="BQ6189" s="314"/>
      <c r="BR6189" s="314"/>
      <c r="BS6189" s="314"/>
      <c r="BT6189" s="314"/>
      <c r="BU6189" s="314"/>
      <c r="BV6189" s="314"/>
      <c r="BW6189" s="314"/>
      <c r="BX6189" s="155"/>
    </row>
    <row r="6190" spans="1:76" ht="15.75" customHeight="1">
      <c r="A6190" s="25"/>
      <c r="B6190" s="39"/>
      <c r="C6190" s="155"/>
      <c r="D6190" s="155"/>
      <c r="E6190" s="40"/>
      <c r="F6190" s="314"/>
      <c r="H6190" s="315"/>
      <c r="I6190" s="315"/>
      <c r="BA6190" s="30"/>
      <c r="BB6190" s="155"/>
      <c r="BC6190" s="314"/>
      <c r="BD6190" s="314"/>
      <c r="BE6190" s="314"/>
      <c r="BF6190" s="314"/>
      <c r="BG6190" s="314"/>
      <c r="BH6190" s="314"/>
      <c r="BI6190" s="314"/>
      <c r="BJ6190" s="314"/>
      <c r="BK6190" s="40"/>
      <c r="BL6190" s="40"/>
      <c r="BM6190" s="40"/>
      <c r="BN6190" s="40"/>
      <c r="BO6190" s="40"/>
      <c r="BP6190" s="155"/>
      <c r="BQ6190" s="314"/>
      <c r="BR6190" s="314"/>
      <c r="BS6190" s="314"/>
      <c r="BT6190" s="314"/>
      <c r="BU6190" s="314"/>
      <c r="BV6190" s="314"/>
      <c r="BW6190" s="314"/>
      <c r="BX6190" s="155"/>
    </row>
    <row r="6191" spans="1:76" ht="15.75" customHeight="1">
      <c r="A6191" s="25"/>
      <c r="B6191" s="39"/>
      <c r="C6191" s="155"/>
      <c r="D6191" s="155"/>
      <c r="E6191" s="40"/>
      <c r="F6191" s="314"/>
      <c r="H6191" s="315"/>
      <c r="I6191" s="315"/>
      <c r="BA6191" s="30"/>
      <c r="BB6191" s="155"/>
      <c r="BC6191" s="314"/>
      <c r="BD6191" s="314"/>
      <c r="BE6191" s="314"/>
      <c r="BF6191" s="314"/>
      <c r="BG6191" s="314"/>
      <c r="BH6191" s="314"/>
      <c r="BI6191" s="314"/>
      <c r="BJ6191" s="314"/>
      <c r="BK6191" s="40"/>
      <c r="BL6191" s="40"/>
      <c r="BM6191" s="40"/>
      <c r="BN6191" s="40"/>
      <c r="BO6191" s="40"/>
      <c r="BP6191" s="155"/>
      <c r="BQ6191" s="314"/>
      <c r="BR6191" s="314"/>
      <c r="BS6191" s="314"/>
      <c r="BT6191" s="314"/>
      <c r="BU6191" s="314"/>
      <c r="BV6191" s="314"/>
      <c r="BW6191" s="314"/>
      <c r="BX6191" s="155"/>
    </row>
    <row r="6192" spans="1:76" ht="15.75" customHeight="1">
      <c r="A6192" s="25"/>
      <c r="B6192" s="39"/>
      <c r="C6192" s="155"/>
      <c r="D6192" s="155"/>
      <c r="E6192" s="40"/>
      <c r="F6192" s="314"/>
      <c r="H6192" s="315"/>
      <c r="I6192" s="315"/>
      <c r="BA6192" s="30"/>
      <c r="BB6192" s="155"/>
      <c r="BC6192" s="314"/>
      <c r="BD6192" s="314"/>
      <c r="BE6192" s="314"/>
      <c r="BF6192" s="314"/>
      <c r="BG6192" s="314"/>
      <c r="BH6192" s="314"/>
      <c r="BI6192" s="314"/>
      <c r="BJ6192" s="314"/>
      <c r="BK6192" s="40"/>
      <c r="BL6192" s="40"/>
      <c r="BM6192" s="40"/>
      <c r="BN6192" s="40"/>
      <c r="BO6192" s="40"/>
      <c r="BP6192" s="155"/>
      <c r="BQ6192" s="314"/>
      <c r="BR6192" s="314"/>
      <c r="BS6192" s="314"/>
      <c r="BT6192" s="314"/>
      <c r="BU6192" s="314"/>
      <c r="BV6192" s="314"/>
      <c r="BW6192" s="314"/>
      <c r="BX6192" s="155"/>
    </row>
    <row r="6193" spans="1:76" ht="15.75" customHeight="1">
      <c r="A6193" s="25"/>
      <c r="B6193" s="39"/>
      <c r="C6193" s="155"/>
      <c r="D6193" s="155"/>
      <c r="E6193" s="40"/>
      <c r="F6193" s="314"/>
      <c r="H6193" s="315"/>
      <c r="I6193" s="315"/>
      <c r="BA6193" s="30"/>
      <c r="BB6193" s="155"/>
      <c r="BC6193" s="314"/>
      <c r="BD6193" s="314"/>
      <c r="BE6193" s="314"/>
      <c r="BF6193" s="314"/>
      <c r="BG6193" s="314"/>
      <c r="BH6193" s="314"/>
      <c r="BI6193" s="314"/>
      <c r="BJ6193" s="314"/>
      <c r="BK6193" s="40"/>
      <c r="BL6193" s="40"/>
      <c r="BM6193" s="40"/>
      <c r="BN6193" s="40"/>
      <c r="BO6193" s="40"/>
      <c r="BP6193" s="155"/>
      <c r="BQ6193" s="314"/>
      <c r="BR6193" s="314"/>
      <c r="BS6193" s="314"/>
      <c r="BT6193" s="314"/>
      <c r="BU6193" s="314"/>
      <c r="BV6193" s="314"/>
      <c r="BW6193" s="314"/>
      <c r="BX6193" s="155"/>
    </row>
    <row r="6194" spans="1:76" ht="15.75" customHeight="1">
      <c r="A6194" s="25"/>
      <c r="B6194" s="39"/>
      <c r="C6194" s="155"/>
      <c r="D6194" s="155"/>
      <c r="E6194" s="40"/>
      <c r="F6194" s="314"/>
      <c r="H6194" s="315"/>
      <c r="I6194" s="315"/>
      <c r="BA6194" s="30"/>
      <c r="BB6194" s="155"/>
      <c r="BC6194" s="314"/>
      <c r="BD6194" s="314"/>
      <c r="BE6194" s="314"/>
      <c r="BF6194" s="314"/>
      <c r="BG6194" s="314"/>
      <c r="BH6194" s="314"/>
      <c r="BI6194" s="314"/>
      <c r="BJ6194" s="314"/>
      <c r="BK6194" s="40"/>
      <c r="BL6194" s="40"/>
      <c r="BM6194" s="40"/>
      <c r="BN6194" s="40"/>
      <c r="BO6194" s="40"/>
      <c r="BP6194" s="155"/>
      <c r="BQ6194" s="314"/>
      <c r="BR6194" s="314"/>
      <c r="BS6194" s="314"/>
      <c r="BT6194" s="314"/>
      <c r="BU6194" s="314"/>
      <c r="BV6194" s="314"/>
      <c r="BW6194" s="314"/>
      <c r="BX6194" s="155"/>
    </row>
    <row r="6195" spans="1:76" ht="15.75" customHeight="1">
      <c r="A6195" s="25"/>
      <c r="B6195" s="39"/>
      <c r="C6195" s="155"/>
      <c r="D6195" s="155"/>
      <c r="E6195" s="40"/>
      <c r="F6195" s="314"/>
      <c r="H6195" s="315"/>
      <c r="I6195" s="315"/>
      <c r="BA6195" s="30"/>
      <c r="BB6195" s="155"/>
      <c r="BC6195" s="314"/>
      <c r="BD6195" s="314"/>
      <c r="BE6195" s="314"/>
      <c r="BF6195" s="314"/>
      <c r="BG6195" s="314"/>
      <c r="BH6195" s="314"/>
      <c r="BI6195" s="314"/>
      <c r="BJ6195" s="314"/>
      <c r="BK6195" s="40"/>
      <c r="BL6195" s="40"/>
      <c r="BM6195" s="40"/>
      <c r="BN6195" s="40"/>
      <c r="BO6195" s="40"/>
      <c r="BP6195" s="155"/>
      <c r="BQ6195" s="314"/>
      <c r="BR6195" s="314"/>
      <c r="BS6195" s="314"/>
      <c r="BT6195" s="314"/>
      <c r="BU6195" s="314"/>
      <c r="BV6195" s="314"/>
      <c r="BW6195" s="314"/>
      <c r="BX6195" s="155"/>
    </row>
    <row r="6196" spans="1:76" ht="15.75" customHeight="1">
      <c r="A6196" s="25"/>
      <c r="B6196" s="39"/>
      <c r="C6196" s="155"/>
      <c r="D6196" s="155"/>
      <c r="E6196" s="40"/>
      <c r="F6196" s="314"/>
      <c r="H6196" s="315"/>
      <c r="I6196" s="315"/>
      <c r="BA6196" s="30"/>
      <c r="BB6196" s="155"/>
      <c r="BC6196" s="314"/>
      <c r="BD6196" s="314"/>
      <c r="BE6196" s="314"/>
      <c r="BF6196" s="314"/>
      <c r="BG6196" s="314"/>
      <c r="BH6196" s="314"/>
      <c r="BI6196" s="314"/>
      <c r="BJ6196" s="314"/>
      <c r="BK6196" s="40"/>
      <c r="BL6196" s="40"/>
      <c r="BM6196" s="40"/>
      <c r="BN6196" s="40"/>
      <c r="BO6196" s="40"/>
      <c r="BP6196" s="155"/>
      <c r="BQ6196" s="314"/>
      <c r="BR6196" s="314"/>
      <c r="BS6196" s="314"/>
      <c r="BT6196" s="314"/>
      <c r="BU6196" s="314"/>
      <c r="BV6196" s="314"/>
      <c r="BW6196" s="314"/>
      <c r="BX6196" s="155"/>
    </row>
    <row r="6197" spans="1:76" ht="15.75" customHeight="1">
      <c r="A6197" s="25"/>
      <c r="B6197" s="39"/>
      <c r="C6197" s="155"/>
      <c r="D6197" s="155"/>
      <c r="E6197" s="40"/>
      <c r="F6197" s="314"/>
      <c r="H6197" s="315"/>
      <c r="I6197" s="315"/>
      <c r="BA6197" s="30"/>
      <c r="BB6197" s="155"/>
      <c r="BC6197" s="314"/>
      <c r="BD6197" s="314"/>
      <c r="BE6197" s="314"/>
      <c r="BF6197" s="314"/>
      <c r="BG6197" s="314"/>
      <c r="BH6197" s="314"/>
      <c r="BI6197" s="314"/>
      <c r="BJ6197" s="314"/>
      <c r="BK6197" s="40"/>
      <c r="BL6197" s="40"/>
      <c r="BM6197" s="40"/>
      <c r="BN6197" s="40"/>
      <c r="BO6197" s="40"/>
      <c r="BP6197" s="155"/>
      <c r="BQ6197" s="314"/>
      <c r="BR6197" s="314"/>
      <c r="BS6197" s="314"/>
      <c r="BT6197" s="314"/>
      <c r="BU6197" s="314"/>
      <c r="BV6197" s="314"/>
      <c r="BW6197" s="314"/>
      <c r="BX6197" s="155"/>
    </row>
    <row r="6198" spans="1:76" ht="15.75" customHeight="1">
      <c r="A6198" s="25"/>
      <c r="B6198" s="39"/>
      <c r="C6198" s="155"/>
      <c r="D6198" s="155"/>
      <c r="E6198" s="40"/>
      <c r="F6198" s="314"/>
      <c r="H6198" s="315"/>
      <c r="I6198" s="315"/>
      <c r="BA6198" s="30"/>
      <c r="BB6198" s="155"/>
      <c r="BC6198" s="314"/>
      <c r="BD6198" s="314"/>
      <c r="BE6198" s="314"/>
      <c r="BF6198" s="314"/>
      <c r="BG6198" s="314"/>
      <c r="BH6198" s="314"/>
      <c r="BI6198" s="314"/>
      <c r="BJ6198" s="314"/>
      <c r="BK6198" s="40"/>
      <c r="BL6198" s="40"/>
      <c r="BM6198" s="40"/>
      <c r="BN6198" s="40"/>
      <c r="BO6198" s="40"/>
      <c r="BP6198" s="155"/>
      <c r="BQ6198" s="314"/>
      <c r="BR6198" s="314"/>
      <c r="BS6198" s="314"/>
      <c r="BT6198" s="314"/>
      <c r="BU6198" s="314"/>
      <c r="BV6198" s="314"/>
      <c r="BW6198" s="314"/>
      <c r="BX6198" s="155"/>
    </row>
    <row r="6199" spans="1:76" ht="15.75" customHeight="1">
      <c r="A6199" s="25"/>
      <c r="B6199" s="39"/>
      <c r="C6199" s="155"/>
      <c r="D6199" s="155"/>
      <c r="E6199" s="40"/>
      <c r="F6199" s="314"/>
      <c r="H6199" s="315"/>
      <c r="I6199" s="315"/>
      <c r="BA6199" s="30"/>
      <c r="BB6199" s="155"/>
      <c r="BC6199" s="314"/>
      <c r="BD6199" s="314"/>
      <c r="BE6199" s="314"/>
      <c r="BF6199" s="314"/>
      <c r="BG6199" s="314"/>
      <c r="BH6199" s="314"/>
      <c r="BI6199" s="314"/>
      <c r="BJ6199" s="314"/>
      <c r="BK6199" s="40"/>
      <c r="BL6199" s="40"/>
      <c r="BM6199" s="40"/>
      <c r="BN6199" s="40"/>
      <c r="BO6199" s="40"/>
      <c r="BP6199" s="155"/>
      <c r="BQ6199" s="314"/>
      <c r="BR6199" s="314"/>
      <c r="BS6199" s="314"/>
      <c r="BT6199" s="314"/>
      <c r="BU6199" s="314"/>
      <c r="BV6199" s="314"/>
      <c r="BW6199" s="314"/>
      <c r="BX6199" s="155"/>
    </row>
    <row r="6200" spans="1:76" ht="15.75" customHeight="1">
      <c r="A6200" s="25"/>
      <c r="B6200" s="39"/>
      <c r="C6200" s="155"/>
      <c r="D6200" s="155"/>
      <c r="E6200" s="40"/>
      <c r="F6200" s="314"/>
      <c r="H6200" s="315"/>
      <c r="I6200" s="315"/>
      <c r="BA6200" s="30"/>
      <c r="BB6200" s="155"/>
      <c r="BC6200" s="314"/>
      <c r="BD6200" s="314"/>
      <c r="BE6200" s="314"/>
      <c r="BF6200" s="314"/>
      <c r="BG6200" s="314"/>
      <c r="BH6200" s="314"/>
      <c r="BI6200" s="314"/>
      <c r="BJ6200" s="314"/>
      <c r="BK6200" s="40"/>
      <c r="BL6200" s="40"/>
      <c r="BM6200" s="40"/>
      <c r="BN6200" s="40"/>
      <c r="BO6200" s="40"/>
      <c r="BP6200" s="155"/>
      <c r="BQ6200" s="314"/>
      <c r="BR6200" s="314"/>
      <c r="BS6200" s="314"/>
      <c r="BT6200" s="314"/>
      <c r="BU6200" s="314"/>
      <c r="BV6200" s="314"/>
      <c r="BW6200" s="314"/>
      <c r="BX6200" s="155"/>
    </row>
    <row r="6201" spans="1:76" ht="15.75" customHeight="1">
      <c r="A6201" s="25"/>
      <c r="B6201" s="39"/>
      <c r="C6201" s="155"/>
      <c r="D6201" s="155"/>
      <c r="E6201" s="40"/>
      <c r="F6201" s="314"/>
      <c r="H6201" s="315"/>
      <c r="I6201" s="315"/>
      <c r="BA6201" s="30"/>
      <c r="BB6201" s="155"/>
      <c r="BC6201" s="314"/>
      <c r="BD6201" s="314"/>
      <c r="BE6201" s="314"/>
      <c r="BF6201" s="314"/>
      <c r="BG6201" s="314"/>
      <c r="BH6201" s="314"/>
      <c r="BI6201" s="314"/>
      <c r="BJ6201" s="314"/>
      <c r="BK6201" s="40"/>
      <c r="BL6201" s="40"/>
      <c r="BM6201" s="40"/>
      <c r="BN6201" s="40"/>
      <c r="BO6201" s="40"/>
      <c r="BP6201" s="155"/>
      <c r="BQ6201" s="314"/>
      <c r="BR6201" s="314"/>
      <c r="BS6201" s="314"/>
      <c r="BT6201" s="314"/>
      <c r="BU6201" s="314"/>
      <c r="BV6201" s="314"/>
      <c r="BW6201" s="314"/>
      <c r="BX6201" s="155"/>
    </row>
    <row r="6202" spans="1:76" ht="15.75" customHeight="1">
      <c r="A6202" s="25"/>
      <c r="B6202" s="39"/>
      <c r="C6202" s="155"/>
      <c r="D6202" s="155"/>
      <c r="E6202" s="40"/>
      <c r="F6202" s="314"/>
      <c r="H6202" s="315"/>
      <c r="I6202" s="315"/>
      <c r="BA6202" s="30"/>
      <c r="BB6202" s="155"/>
      <c r="BC6202" s="314"/>
      <c r="BD6202" s="314"/>
      <c r="BE6202" s="314"/>
      <c r="BF6202" s="314"/>
      <c r="BG6202" s="314"/>
      <c r="BH6202" s="314"/>
      <c r="BI6202" s="314"/>
      <c r="BJ6202" s="314"/>
      <c r="BK6202" s="40"/>
      <c r="BL6202" s="40"/>
      <c r="BM6202" s="40"/>
      <c r="BN6202" s="40"/>
      <c r="BO6202" s="40"/>
      <c r="BP6202" s="155"/>
      <c r="BQ6202" s="314"/>
      <c r="BR6202" s="314"/>
      <c r="BS6202" s="314"/>
      <c r="BT6202" s="314"/>
      <c r="BU6202" s="314"/>
      <c r="BV6202" s="314"/>
      <c r="BW6202" s="314"/>
      <c r="BX6202" s="155"/>
    </row>
    <row r="6203" spans="1:76" ht="15.75" customHeight="1">
      <c r="A6203" s="25"/>
      <c r="B6203" s="39"/>
      <c r="C6203" s="155"/>
      <c r="D6203" s="155"/>
      <c r="E6203" s="40"/>
      <c r="F6203" s="314"/>
      <c r="H6203" s="315"/>
      <c r="I6203" s="315"/>
      <c r="BA6203" s="30"/>
      <c r="BB6203" s="155"/>
      <c r="BC6203" s="314"/>
      <c r="BD6203" s="314"/>
      <c r="BE6203" s="314"/>
      <c r="BF6203" s="314"/>
      <c r="BG6203" s="314"/>
      <c r="BH6203" s="314"/>
      <c r="BI6203" s="314"/>
      <c r="BJ6203" s="314"/>
      <c r="BK6203" s="40"/>
      <c r="BL6203" s="40"/>
      <c r="BM6203" s="40"/>
      <c r="BN6203" s="40"/>
      <c r="BO6203" s="40"/>
      <c r="BP6203" s="155"/>
      <c r="BQ6203" s="314"/>
      <c r="BR6203" s="314"/>
      <c r="BS6203" s="314"/>
      <c r="BT6203" s="314"/>
      <c r="BU6203" s="314"/>
      <c r="BV6203" s="314"/>
      <c r="BW6203" s="314"/>
      <c r="BX6203" s="155"/>
    </row>
    <row r="6204" spans="1:76" ht="15.75" customHeight="1">
      <c r="A6204" s="25"/>
      <c r="B6204" s="39"/>
      <c r="C6204" s="155"/>
      <c r="D6204" s="155"/>
      <c r="E6204" s="40"/>
      <c r="F6204" s="314"/>
      <c r="H6204" s="315"/>
      <c r="I6204" s="315"/>
      <c r="BA6204" s="30"/>
      <c r="BB6204" s="155"/>
      <c r="BC6204" s="314"/>
      <c r="BD6204" s="314"/>
      <c r="BE6204" s="314"/>
      <c r="BF6204" s="314"/>
      <c r="BG6204" s="314"/>
      <c r="BH6204" s="314"/>
      <c r="BI6204" s="314"/>
      <c r="BJ6204" s="314"/>
      <c r="BK6204" s="40"/>
      <c r="BL6204" s="40"/>
      <c r="BM6204" s="40"/>
      <c r="BN6204" s="40"/>
      <c r="BO6204" s="40"/>
      <c r="BP6204" s="155"/>
      <c r="BQ6204" s="314"/>
      <c r="BR6204" s="314"/>
      <c r="BS6204" s="314"/>
      <c r="BT6204" s="314"/>
      <c r="BU6204" s="314"/>
      <c r="BV6204" s="314"/>
      <c r="BW6204" s="314"/>
      <c r="BX6204" s="155"/>
    </row>
    <row r="6205" spans="1:76" ht="15.75" customHeight="1">
      <c r="A6205" s="25"/>
      <c r="B6205" s="39"/>
      <c r="C6205" s="155"/>
      <c r="D6205" s="155"/>
      <c r="E6205" s="40"/>
      <c r="F6205" s="314"/>
      <c r="H6205" s="315"/>
      <c r="I6205" s="315"/>
      <c r="BA6205" s="30"/>
      <c r="BB6205" s="155"/>
      <c r="BC6205" s="314"/>
      <c r="BD6205" s="314"/>
      <c r="BE6205" s="314"/>
      <c r="BF6205" s="314"/>
      <c r="BG6205" s="314"/>
      <c r="BH6205" s="314"/>
      <c r="BI6205" s="314"/>
      <c r="BJ6205" s="314"/>
      <c r="BK6205" s="40"/>
      <c r="BL6205" s="40"/>
      <c r="BM6205" s="40"/>
      <c r="BN6205" s="40"/>
      <c r="BO6205" s="40"/>
      <c r="BP6205" s="155"/>
      <c r="BQ6205" s="314"/>
      <c r="BR6205" s="314"/>
      <c r="BS6205" s="314"/>
      <c r="BT6205" s="314"/>
      <c r="BU6205" s="314"/>
      <c r="BV6205" s="314"/>
      <c r="BW6205" s="314"/>
      <c r="BX6205" s="155"/>
    </row>
    <row r="6206" spans="1:76" ht="15.75" customHeight="1">
      <c r="A6206" s="25"/>
      <c r="B6206" s="39"/>
      <c r="C6206" s="155"/>
      <c r="D6206" s="155"/>
      <c r="E6206" s="40"/>
      <c r="F6206" s="314"/>
      <c r="H6206" s="315"/>
      <c r="I6206" s="315"/>
      <c r="BA6206" s="30"/>
      <c r="BB6206" s="155"/>
      <c r="BC6206" s="314"/>
      <c r="BD6206" s="314"/>
      <c r="BE6206" s="314"/>
      <c r="BF6206" s="314"/>
      <c r="BG6206" s="314"/>
      <c r="BH6206" s="314"/>
      <c r="BI6206" s="314"/>
      <c r="BJ6206" s="314"/>
      <c r="BK6206" s="40"/>
      <c r="BL6206" s="40"/>
      <c r="BM6206" s="40"/>
      <c r="BN6206" s="40"/>
      <c r="BO6206" s="40"/>
      <c r="BP6206" s="155"/>
      <c r="BQ6206" s="314"/>
      <c r="BR6206" s="314"/>
      <c r="BS6206" s="314"/>
      <c r="BT6206" s="314"/>
      <c r="BU6206" s="314"/>
      <c r="BV6206" s="314"/>
      <c r="BW6206" s="314"/>
      <c r="BX6206" s="155"/>
    </row>
    <row r="6207" spans="1:76" ht="15.75" customHeight="1">
      <c r="A6207" s="25"/>
      <c r="B6207" s="39"/>
      <c r="C6207" s="155"/>
      <c r="D6207" s="155"/>
      <c r="E6207" s="40"/>
      <c r="F6207" s="314"/>
      <c r="H6207" s="315"/>
      <c r="I6207" s="315"/>
      <c r="BA6207" s="30"/>
      <c r="BB6207" s="155"/>
      <c r="BC6207" s="314"/>
      <c r="BD6207" s="314"/>
      <c r="BE6207" s="314"/>
      <c r="BF6207" s="314"/>
      <c r="BG6207" s="314"/>
      <c r="BH6207" s="314"/>
      <c r="BI6207" s="314"/>
      <c r="BJ6207" s="314"/>
      <c r="BK6207" s="40"/>
      <c r="BL6207" s="40"/>
      <c r="BM6207" s="40"/>
      <c r="BN6207" s="40"/>
      <c r="BO6207" s="40"/>
      <c r="BP6207" s="155"/>
      <c r="BQ6207" s="314"/>
      <c r="BR6207" s="314"/>
      <c r="BS6207" s="314"/>
      <c r="BT6207" s="314"/>
      <c r="BU6207" s="314"/>
      <c r="BV6207" s="314"/>
      <c r="BW6207" s="314"/>
      <c r="BX6207" s="155"/>
    </row>
    <row r="6208" spans="1:76" ht="15.75" customHeight="1">
      <c r="A6208" s="25"/>
      <c r="B6208" s="39"/>
      <c r="C6208" s="155"/>
      <c r="D6208" s="155"/>
      <c r="E6208" s="40"/>
      <c r="F6208" s="314"/>
      <c r="H6208" s="315"/>
      <c r="I6208" s="315"/>
      <c r="BA6208" s="30"/>
      <c r="BB6208" s="155"/>
      <c r="BC6208" s="314"/>
      <c r="BD6208" s="314"/>
      <c r="BE6208" s="314"/>
      <c r="BF6208" s="314"/>
      <c r="BG6208" s="314"/>
      <c r="BH6208" s="314"/>
      <c r="BI6208" s="314"/>
      <c r="BJ6208" s="314"/>
      <c r="BK6208" s="40"/>
      <c r="BL6208" s="40"/>
      <c r="BM6208" s="40"/>
      <c r="BN6208" s="40"/>
      <c r="BO6208" s="40"/>
      <c r="BP6208" s="155"/>
      <c r="BQ6208" s="314"/>
      <c r="BR6208" s="314"/>
      <c r="BS6208" s="314"/>
      <c r="BT6208" s="314"/>
      <c r="BU6208" s="314"/>
      <c r="BV6208" s="314"/>
      <c r="BW6208" s="314"/>
      <c r="BX6208" s="155"/>
    </row>
    <row r="6209" spans="1:76" ht="15.75" customHeight="1">
      <c r="A6209" s="25"/>
      <c r="B6209" s="39"/>
      <c r="C6209" s="155"/>
      <c r="D6209" s="155"/>
      <c r="E6209" s="40"/>
      <c r="F6209" s="314"/>
      <c r="H6209" s="315"/>
      <c r="I6209" s="315"/>
      <c r="BA6209" s="30"/>
      <c r="BB6209" s="155"/>
      <c r="BC6209" s="314"/>
      <c r="BD6209" s="314"/>
      <c r="BE6209" s="314"/>
      <c r="BF6209" s="314"/>
      <c r="BG6209" s="314"/>
      <c r="BH6209" s="314"/>
      <c r="BI6209" s="314"/>
      <c r="BJ6209" s="314"/>
      <c r="BK6209" s="40"/>
      <c r="BL6209" s="40"/>
      <c r="BM6209" s="40"/>
      <c r="BN6209" s="40"/>
      <c r="BO6209" s="40"/>
      <c r="BP6209" s="155"/>
      <c r="BQ6209" s="314"/>
      <c r="BR6209" s="314"/>
      <c r="BS6209" s="314"/>
      <c r="BT6209" s="314"/>
      <c r="BU6209" s="314"/>
      <c r="BV6209" s="314"/>
      <c r="BW6209" s="314"/>
      <c r="BX6209" s="155"/>
    </row>
    <row r="6210" spans="1:76" ht="15.75" customHeight="1">
      <c r="A6210" s="25"/>
      <c r="B6210" s="39"/>
      <c r="C6210" s="155"/>
      <c r="D6210" s="155"/>
      <c r="E6210" s="40"/>
      <c r="F6210" s="314"/>
      <c r="H6210" s="315"/>
      <c r="I6210" s="315"/>
      <c r="BA6210" s="30"/>
      <c r="BB6210" s="155"/>
      <c r="BC6210" s="314"/>
      <c r="BD6210" s="314"/>
      <c r="BE6210" s="314"/>
      <c r="BF6210" s="314"/>
      <c r="BG6210" s="314"/>
      <c r="BH6210" s="314"/>
      <c r="BI6210" s="314"/>
      <c r="BJ6210" s="314"/>
      <c r="BK6210" s="40"/>
      <c r="BL6210" s="40"/>
      <c r="BM6210" s="40"/>
      <c r="BN6210" s="40"/>
      <c r="BO6210" s="40"/>
      <c r="BP6210" s="155"/>
      <c r="BQ6210" s="314"/>
      <c r="BR6210" s="314"/>
      <c r="BS6210" s="314"/>
      <c r="BT6210" s="314"/>
      <c r="BU6210" s="314"/>
      <c r="BV6210" s="314"/>
      <c r="BW6210" s="314"/>
      <c r="BX6210" s="155"/>
    </row>
    <row r="6211" spans="1:76" ht="15.75" customHeight="1">
      <c r="A6211" s="25"/>
      <c r="B6211" s="39"/>
      <c r="C6211" s="155"/>
      <c r="D6211" s="155"/>
      <c r="E6211" s="40"/>
      <c r="F6211" s="314"/>
      <c r="H6211" s="315"/>
      <c r="I6211" s="315"/>
      <c r="BA6211" s="30"/>
      <c r="BB6211" s="155"/>
      <c r="BC6211" s="314"/>
      <c r="BD6211" s="314"/>
      <c r="BE6211" s="314"/>
      <c r="BF6211" s="314"/>
      <c r="BG6211" s="314"/>
      <c r="BH6211" s="314"/>
      <c r="BI6211" s="314"/>
      <c r="BJ6211" s="314"/>
      <c r="BK6211" s="40"/>
      <c r="BL6211" s="40"/>
      <c r="BM6211" s="40"/>
      <c r="BN6211" s="40"/>
      <c r="BO6211" s="40"/>
      <c r="BP6211" s="155"/>
      <c r="BQ6211" s="314"/>
      <c r="BR6211" s="314"/>
      <c r="BS6211" s="314"/>
      <c r="BT6211" s="314"/>
      <c r="BU6211" s="314"/>
      <c r="BV6211" s="314"/>
      <c r="BW6211" s="314"/>
      <c r="BX6211" s="155"/>
    </row>
    <row r="6212" spans="1:76" ht="15.75" customHeight="1">
      <c r="A6212" s="25"/>
      <c r="B6212" s="39"/>
      <c r="C6212" s="155"/>
      <c r="D6212" s="155"/>
      <c r="E6212" s="40"/>
      <c r="F6212" s="314"/>
      <c r="H6212" s="315"/>
      <c r="I6212" s="315"/>
      <c r="BA6212" s="30"/>
      <c r="BB6212" s="155"/>
      <c r="BC6212" s="314"/>
      <c r="BD6212" s="314"/>
      <c r="BE6212" s="314"/>
      <c r="BF6212" s="314"/>
      <c r="BG6212" s="314"/>
      <c r="BH6212" s="314"/>
      <c r="BI6212" s="314"/>
      <c r="BJ6212" s="314"/>
      <c r="BK6212" s="40"/>
      <c r="BL6212" s="40"/>
      <c r="BM6212" s="40"/>
      <c r="BN6212" s="40"/>
      <c r="BO6212" s="40"/>
      <c r="BP6212" s="155"/>
      <c r="BQ6212" s="314"/>
      <c r="BR6212" s="314"/>
      <c r="BS6212" s="314"/>
      <c r="BT6212" s="314"/>
      <c r="BU6212" s="314"/>
      <c r="BV6212" s="314"/>
      <c r="BW6212" s="314"/>
      <c r="BX6212" s="155"/>
    </row>
    <row r="6213" spans="1:76" ht="15.75" customHeight="1">
      <c r="A6213" s="25"/>
      <c r="B6213" s="39"/>
      <c r="C6213" s="155"/>
      <c r="D6213" s="155"/>
      <c r="E6213" s="40"/>
      <c r="F6213" s="314"/>
      <c r="H6213" s="315"/>
      <c r="I6213" s="315"/>
      <c r="BA6213" s="30"/>
      <c r="BB6213" s="155"/>
      <c r="BC6213" s="314"/>
      <c r="BD6213" s="314"/>
      <c r="BE6213" s="314"/>
      <c r="BF6213" s="314"/>
      <c r="BG6213" s="314"/>
      <c r="BH6213" s="314"/>
      <c r="BI6213" s="314"/>
      <c r="BJ6213" s="314"/>
      <c r="BK6213" s="40"/>
      <c r="BL6213" s="40"/>
      <c r="BM6213" s="40"/>
      <c r="BN6213" s="40"/>
      <c r="BO6213" s="40"/>
      <c r="BP6213" s="155"/>
      <c r="BQ6213" s="314"/>
      <c r="BR6213" s="314"/>
      <c r="BS6213" s="314"/>
      <c r="BT6213" s="314"/>
      <c r="BU6213" s="314"/>
      <c r="BV6213" s="314"/>
      <c r="BW6213" s="314"/>
      <c r="BX6213" s="155"/>
    </row>
    <row r="6214" spans="1:76" ht="15.75" customHeight="1">
      <c r="A6214" s="25"/>
      <c r="B6214" s="39"/>
      <c r="C6214" s="155"/>
      <c r="D6214" s="155"/>
      <c r="E6214" s="40"/>
      <c r="F6214" s="314"/>
      <c r="H6214" s="315"/>
      <c r="I6214" s="315"/>
      <c r="BA6214" s="30"/>
      <c r="BB6214" s="155"/>
      <c r="BC6214" s="314"/>
      <c r="BD6214" s="314"/>
      <c r="BE6214" s="314"/>
      <c r="BF6214" s="314"/>
      <c r="BG6214" s="314"/>
      <c r="BH6214" s="314"/>
      <c r="BI6214" s="314"/>
      <c r="BJ6214" s="314"/>
      <c r="BK6214" s="40"/>
      <c r="BL6214" s="40"/>
      <c r="BM6214" s="40"/>
      <c r="BN6214" s="40"/>
      <c r="BO6214" s="40"/>
      <c r="BP6214" s="155"/>
      <c r="BQ6214" s="314"/>
      <c r="BR6214" s="314"/>
      <c r="BS6214" s="314"/>
      <c r="BT6214" s="314"/>
      <c r="BU6214" s="314"/>
      <c r="BV6214" s="314"/>
      <c r="BW6214" s="314"/>
      <c r="BX6214" s="155"/>
    </row>
    <row r="6215" spans="1:76" ht="15.75" customHeight="1">
      <c r="A6215" s="25"/>
      <c r="B6215" s="39"/>
      <c r="C6215" s="155"/>
      <c r="D6215" s="155"/>
      <c r="E6215" s="40"/>
      <c r="F6215" s="314"/>
      <c r="H6215" s="315"/>
      <c r="I6215" s="315"/>
      <c r="BA6215" s="30"/>
      <c r="BB6215" s="155"/>
      <c r="BC6215" s="314"/>
      <c r="BD6215" s="314"/>
      <c r="BE6215" s="314"/>
      <c r="BF6215" s="314"/>
      <c r="BG6215" s="314"/>
      <c r="BH6215" s="314"/>
      <c r="BI6215" s="314"/>
      <c r="BJ6215" s="314"/>
      <c r="BK6215" s="40"/>
      <c r="BL6215" s="40"/>
      <c r="BM6215" s="40"/>
      <c r="BN6215" s="40"/>
      <c r="BO6215" s="40"/>
      <c r="BP6215" s="155"/>
      <c r="BQ6215" s="314"/>
      <c r="BR6215" s="314"/>
      <c r="BS6215" s="314"/>
      <c r="BT6215" s="314"/>
      <c r="BU6215" s="314"/>
      <c r="BV6215" s="314"/>
      <c r="BW6215" s="314"/>
      <c r="BX6215" s="155"/>
    </row>
    <row r="6216" spans="1:76" ht="15.75" customHeight="1">
      <c r="A6216" s="25"/>
      <c r="B6216" s="39"/>
      <c r="C6216" s="155"/>
      <c r="D6216" s="155"/>
      <c r="E6216" s="40"/>
      <c r="F6216" s="314"/>
      <c r="H6216" s="315"/>
      <c r="I6216" s="315"/>
      <c r="BA6216" s="30"/>
      <c r="BB6216" s="155"/>
      <c r="BC6216" s="314"/>
      <c r="BD6216" s="314"/>
      <c r="BE6216" s="314"/>
      <c r="BF6216" s="314"/>
      <c r="BG6216" s="314"/>
      <c r="BH6216" s="314"/>
      <c r="BI6216" s="314"/>
      <c r="BJ6216" s="314"/>
      <c r="BK6216" s="40"/>
      <c r="BL6216" s="40"/>
      <c r="BM6216" s="40"/>
      <c r="BN6216" s="40"/>
      <c r="BO6216" s="40"/>
      <c r="BP6216" s="155"/>
      <c r="BQ6216" s="314"/>
      <c r="BR6216" s="314"/>
      <c r="BS6216" s="314"/>
      <c r="BT6216" s="314"/>
      <c r="BU6216" s="314"/>
      <c r="BV6216" s="314"/>
      <c r="BW6216" s="314"/>
      <c r="BX6216" s="155"/>
    </row>
    <row r="6217" spans="1:76" ht="15.75" customHeight="1">
      <c r="A6217" s="25"/>
      <c r="B6217" s="39"/>
      <c r="C6217" s="155"/>
      <c r="D6217" s="155"/>
      <c r="E6217" s="40"/>
      <c r="F6217" s="314"/>
      <c r="H6217" s="315"/>
      <c r="I6217" s="315"/>
      <c r="BA6217" s="30"/>
      <c r="BB6217" s="155"/>
      <c r="BC6217" s="314"/>
      <c r="BD6217" s="314"/>
      <c r="BE6217" s="314"/>
      <c r="BF6217" s="314"/>
      <c r="BG6217" s="314"/>
      <c r="BH6217" s="314"/>
      <c r="BI6217" s="314"/>
      <c r="BJ6217" s="314"/>
      <c r="BK6217" s="40"/>
      <c r="BL6217" s="40"/>
      <c r="BM6217" s="40"/>
      <c r="BN6217" s="40"/>
      <c r="BO6217" s="40"/>
      <c r="BP6217" s="155"/>
      <c r="BQ6217" s="314"/>
      <c r="BR6217" s="314"/>
      <c r="BS6217" s="314"/>
      <c r="BT6217" s="314"/>
      <c r="BU6217" s="314"/>
      <c r="BV6217" s="314"/>
      <c r="BW6217" s="314"/>
      <c r="BX6217" s="155"/>
    </row>
    <row r="6218" spans="1:76" ht="15.75" customHeight="1">
      <c r="A6218" s="25"/>
      <c r="B6218" s="39"/>
      <c r="C6218" s="155"/>
      <c r="D6218" s="155"/>
      <c r="E6218" s="40"/>
      <c r="F6218" s="314"/>
      <c r="H6218" s="315"/>
      <c r="I6218" s="315"/>
      <c r="BA6218" s="30"/>
      <c r="BB6218" s="155"/>
      <c r="BC6218" s="314"/>
      <c r="BD6218" s="314"/>
      <c r="BE6218" s="314"/>
      <c r="BF6218" s="314"/>
      <c r="BG6218" s="314"/>
      <c r="BH6218" s="314"/>
      <c r="BI6218" s="314"/>
      <c r="BJ6218" s="314"/>
      <c r="BK6218" s="40"/>
      <c r="BL6218" s="40"/>
      <c r="BM6218" s="40"/>
      <c r="BN6218" s="40"/>
      <c r="BO6218" s="40"/>
      <c r="BP6218" s="155"/>
      <c r="BQ6218" s="314"/>
      <c r="BR6218" s="314"/>
      <c r="BS6218" s="314"/>
      <c r="BT6218" s="314"/>
      <c r="BU6218" s="314"/>
      <c r="BV6218" s="314"/>
      <c r="BW6218" s="314"/>
      <c r="BX6218" s="155"/>
    </row>
    <row r="6219" spans="1:76" ht="15.75" customHeight="1">
      <c r="A6219" s="25"/>
      <c r="B6219" s="39"/>
      <c r="C6219" s="155"/>
      <c r="D6219" s="155"/>
      <c r="E6219" s="40"/>
      <c r="F6219" s="314"/>
      <c r="H6219" s="315"/>
      <c r="I6219" s="315"/>
      <c r="BA6219" s="30"/>
      <c r="BB6219" s="155"/>
      <c r="BC6219" s="314"/>
      <c r="BD6219" s="314"/>
      <c r="BE6219" s="314"/>
      <c r="BF6219" s="314"/>
      <c r="BG6219" s="314"/>
      <c r="BH6219" s="314"/>
      <c r="BI6219" s="314"/>
      <c r="BJ6219" s="314"/>
      <c r="BK6219" s="40"/>
      <c r="BL6219" s="40"/>
      <c r="BM6219" s="40"/>
      <c r="BN6219" s="40"/>
      <c r="BO6219" s="40"/>
      <c r="BP6219" s="155"/>
      <c r="BQ6219" s="314"/>
      <c r="BR6219" s="314"/>
      <c r="BS6219" s="314"/>
      <c r="BT6219" s="314"/>
      <c r="BU6219" s="314"/>
      <c r="BV6219" s="314"/>
      <c r="BW6219" s="314"/>
      <c r="BX6219" s="155"/>
    </row>
    <row r="6220" spans="1:76" ht="15.75" customHeight="1">
      <c r="A6220" s="25"/>
      <c r="B6220" s="39"/>
      <c r="C6220" s="155"/>
      <c r="D6220" s="155"/>
      <c r="E6220" s="40"/>
      <c r="F6220" s="314"/>
      <c r="H6220" s="315"/>
      <c r="I6220" s="315"/>
      <c r="BA6220" s="30"/>
      <c r="BB6220" s="155"/>
      <c r="BC6220" s="314"/>
      <c r="BD6220" s="314"/>
      <c r="BE6220" s="314"/>
      <c r="BF6220" s="314"/>
      <c r="BG6220" s="314"/>
      <c r="BH6220" s="314"/>
      <c r="BI6220" s="314"/>
      <c r="BJ6220" s="314"/>
      <c r="BK6220" s="40"/>
      <c r="BL6220" s="40"/>
      <c r="BM6220" s="40"/>
      <c r="BN6220" s="40"/>
      <c r="BO6220" s="40"/>
      <c r="BP6220" s="155"/>
      <c r="BQ6220" s="314"/>
      <c r="BR6220" s="314"/>
      <c r="BS6220" s="314"/>
      <c r="BT6220" s="314"/>
      <c r="BU6220" s="314"/>
      <c r="BV6220" s="314"/>
      <c r="BW6220" s="314"/>
      <c r="BX6220" s="155"/>
    </row>
    <row r="6221" spans="1:76" ht="15.75" customHeight="1">
      <c r="A6221" s="25"/>
      <c r="B6221" s="39"/>
      <c r="C6221" s="155"/>
      <c r="D6221" s="155"/>
      <c r="E6221" s="40"/>
      <c r="F6221" s="314"/>
      <c r="H6221" s="315"/>
      <c r="I6221" s="315"/>
      <c r="BA6221" s="30"/>
      <c r="BB6221" s="155"/>
      <c r="BC6221" s="314"/>
      <c r="BD6221" s="314"/>
      <c r="BE6221" s="314"/>
      <c r="BF6221" s="314"/>
      <c r="BG6221" s="314"/>
      <c r="BH6221" s="314"/>
      <c r="BI6221" s="314"/>
      <c r="BJ6221" s="314"/>
      <c r="BK6221" s="40"/>
      <c r="BL6221" s="40"/>
      <c r="BM6221" s="40"/>
      <c r="BN6221" s="40"/>
      <c r="BO6221" s="40"/>
      <c r="BP6221" s="155"/>
      <c r="BQ6221" s="314"/>
      <c r="BR6221" s="314"/>
      <c r="BS6221" s="314"/>
      <c r="BT6221" s="314"/>
      <c r="BU6221" s="314"/>
      <c r="BV6221" s="314"/>
      <c r="BW6221" s="314"/>
      <c r="BX6221" s="155"/>
    </row>
    <row r="6222" spans="1:76" ht="15.75" customHeight="1">
      <c r="A6222" s="25"/>
      <c r="B6222" s="39"/>
      <c r="C6222" s="155"/>
      <c r="D6222" s="155"/>
      <c r="E6222" s="40"/>
      <c r="F6222" s="314"/>
      <c r="H6222" s="315"/>
      <c r="I6222" s="315"/>
      <c r="BA6222" s="30"/>
      <c r="BB6222" s="155"/>
      <c r="BC6222" s="314"/>
      <c r="BD6222" s="314"/>
      <c r="BE6222" s="314"/>
      <c r="BF6222" s="314"/>
      <c r="BG6222" s="314"/>
      <c r="BH6222" s="314"/>
      <c r="BI6222" s="314"/>
      <c r="BJ6222" s="314"/>
      <c r="BK6222" s="40"/>
      <c r="BL6222" s="40"/>
      <c r="BM6222" s="40"/>
      <c r="BN6222" s="40"/>
      <c r="BO6222" s="40"/>
      <c r="BP6222" s="155"/>
      <c r="BQ6222" s="314"/>
      <c r="BR6222" s="314"/>
      <c r="BS6222" s="314"/>
      <c r="BT6222" s="314"/>
      <c r="BU6222" s="314"/>
      <c r="BV6222" s="314"/>
      <c r="BW6222" s="314"/>
      <c r="BX6222" s="155"/>
    </row>
    <row r="6223" spans="1:76" ht="15.75" customHeight="1">
      <c r="A6223" s="25"/>
      <c r="B6223" s="39"/>
      <c r="C6223" s="155"/>
      <c r="D6223" s="155"/>
      <c r="E6223" s="40"/>
      <c r="F6223" s="314"/>
      <c r="H6223" s="315"/>
      <c r="I6223" s="315"/>
      <c r="BA6223" s="30"/>
      <c r="BB6223" s="155"/>
      <c r="BC6223" s="314"/>
      <c r="BD6223" s="314"/>
      <c r="BE6223" s="314"/>
      <c r="BF6223" s="314"/>
      <c r="BG6223" s="314"/>
      <c r="BH6223" s="314"/>
      <c r="BI6223" s="314"/>
      <c r="BJ6223" s="314"/>
      <c r="BK6223" s="40"/>
      <c r="BL6223" s="40"/>
      <c r="BM6223" s="40"/>
      <c r="BN6223" s="40"/>
      <c r="BO6223" s="40"/>
      <c r="BP6223" s="155"/>
      <c r="BQ6223" s="314"/>
      <c r="BR6223" s="314"/>
      <c r="BS6223" s="314"/>
      <c r="BT6223" s="314"/>
      <c r="BU6223" s="314"/>
      <c r="BV6223" s="314"/>
      <c r="BW6223" s="314"/>
      <c r="BX6223" s="155"/>
    </row>
    <row r="6224" spans="1:76" ht="15.75" customHeight="1">
      <c r="A6224" s="25"/>
      <c r="B6224" s="39"/>
      <c r="C6224" s="155"/>
      <c r="D6224" s="155"/>
      <c r="E6224" s="40"/>
      <c r="F6224" s="314"/>
      <c r="H6224" s="315"/>
      <c r="I6224" s="315"/>
      <c r="BA6224" s="30"/>
      <c r="BB6224" s="155"/>
      <c r="BC6224" s="314"/>
      <c r="BD6224" s="314"/>
      <c r="BE6224" s="314"/>
      <c r="BF6224" s="314"/>
      <c r="BG6224" s="314"/>
      <c r="BH6224" s="314"/>
      <c r="BI6224" s="314"/>
      <c r="BJ6224" s="314"/>
      <c r="BK6224" s="40"/>
      <c r="BL6224" s="40"/>
      <c r="BM6224" s="40"/>
      <c r="BN6224" s="40"/>
      <c r="BO6224" s="40"/>
      <c r="BP6224" s="155"/>
      <c r="BQ6224" s="314"/>
      <c r="BR6224" s="314"/>
      <c r="BS6224" s="314"/>
      <c r="BT6224" s="314"/>
      <c r="BU6224" s="314"/>
      <c r="BV6224" s="314"/>
      <c r="BW6224" s="314"/>
      <c r="BX6224" s="155"/>
    </row>
    <row r="6225" spans="1:76" ht="15.75" customHeight="1">
      <c r="A6225" s="25"/>
      <c r="B6225" s="39"/>
      <c r="C6225" s="155"/>
      <c r="D6225" s="155"/>
      <c r="E6225" s="40"/>
      <c r="F6225" s="314"/>
      <c r="H6225" s="315"/>
      <c r="I6225" s="315"/>
      <c r="BA6225" s="30"/>
      <c r="BB6225" s="155"/>
      <c r="BC6225" s="314"/>
      <c r="BD6225" s="314"/>
      <c r="BE6225" s="314"/>
      <c r="BF6225" s="314"/>
      <c r="BG6225" s="314"/>
      <c r="BH6225" s="314"/>
      <c r="BI6225" s="314"/>
      <c r="BJ6225" s="314"/>
      <c r="BK6225" s="40"/>
      <c r="BL6225" s="40"/>
      <c r="BM6225" s="40"/>
      <c r="BN6225" s="40"/>
      <c r="BO6225" s="40"/>
      <c r="BP6225" s="155"/>
      <c r="BQ6225" s="314"/>
      <c r="BR6225" s="314"/>
      <c r="BS6225" s="314"/>
      <c r="BT6225" s="314"/>
      <c r="BU6225" s="314"/>
      <c r="BV6225" s="314"/>
      <c r="BW6225" s="314"/>
      <c r="BX6225" s="155"/>
    </row>
    <row r="6226" spans="1:76" ht="15.75" customHeight="1">
      <c r="A6226" s="25"/>
      <c r="B6226" s="39"/>
      <c r="C6226" s="155"/>
      <c r="D6226" s="155"/>
      <c r="E6226" s="40"/>
      <c r="F6226" s="314"/>
      <c r="H6226" s="315"/>
      <c r="I6226" s="315"/>
      <c r="BA6226" s="30"/>
      <c r="BB6226" s="155"/>
      <c r="BC6226" s="314"/>
      <c r="BD6226" s="314"/>
      <c r="BE6226" s="314"/>
      <c r="BF6226" s="314"/>
      <c r="BG6226" s="314"/>
      <c r="BH6226" s="314"/>
      <c r="BI6226" s="314"/>
      <c r="BJ6226" s="314"/>
      <c r="BK6226" s="40"/>
      <c r="BL6226" s="40"/>
      <c r="BM6226" s="40"/>
      <c r="BN6226" s="40"/>
      <c r="BO6226" s="40"/>
      <c r="BP6226" s="155"/>
      <c r="BQ6226" s="314"/>
      <c r="BR6226" s="314"/>
      <c r="BS6226" s="314"/>
      <c r="BT6226" s="314"/>
      <c r="BU6226" s="314"/>
      <c r="BV6226" s="314"/>
      <c r="BW6226" s="314"/>
      <c r="BX6226" s="155"/>
    </row>
    <row r="6227" spans="1:76" ht="15.75" customHeight="1">
      <c r="A6227" s="25"/>
      <c r="B6227" s="39"/>
      <c r="C6227" s="155"/>
      <c r="D6227" s="155"/>
      <c r="E6227" s="40"/>
      <c r="F6227" s="314"/>
      <c r="H6227" s="315"/>
      <c r="I6227" s="315"/>
      <c r="BA6227" s="30"/>
      <c r="BB6227" s="155"/>
      <c r="BC6227" s="314"/>
      <c r="BD6227" s="314"/>
      <c r="BE6227" s="314"/>
      <c r="BF6227" s="314"/>
      <c r="BG6227" s="314"/>
      <c r="BH6227" s="314"/>
      <c r="BI6227" s="314"/>
      <c r="BJ6227" s="314"/>
      <c r="BK6227" s="40"/>
      <c r="BL6227" s="40"/>
      <c r="BM6227" s="40"/>
      <c r="BN6227" s="40"/>
      <c r="BO6227" s="40"/>
      <c r="BP6227" s="155"/>
      <c r="BQ6227" s="314"/>
      <c r="BR6227" s="314"/>
      <c r="BS6227" s="314"/>
      <c r="BT6227" s="314"/>
      <c r="BU6227" s="314"/>
      <c r="BV6227" s="314"/>
      <c r="BW6227" s="314"/>
      <c r="BX6227" s="155"/>
    </row>
    <row r="6228" spans="1:76" ht="15.75" customHeight="1">
      <c r="A6228" s="25"/>
      <c r="B6228" s="39"/>
      <c r="C6228" s="155"/>
      <c r="D6228" s="155"/>
      <c r="E6228" s="40"/>
      <c r="F6228" s="314"/>
      <c r="H6228" s="315"/>
      <c r="I6228" s="315"/>
      <c r="BA6228" s="30"/>
      <c r="BB6228" s="155"/>
      <c r="BC6228" s="314"/>
      <c r="BD6228" s="314"/>
      <c r="BE6228" s="314"/>
      <c r="BF6228" s="314"/>
      <c r="BG6228" s="314"/>
      <c r="BH6228" s="314"/>
      <c r="BI6228" s="314"/>
      <c r="BJ6228" s="314"/>
      <c r="BK6228" s="40"/>
      <c r="BL6228" s="40"/>
      <c r="BM6228" s="40"/>
      <c r="BN6228" s="40"/>
      <c r="BO6228" s="40"/>
      <c r="BP6228" s="155"/>
      <c r="BQ6228" s="314"/>
      <c r="BR6228" s="314"/>
      <c r="BS6228" s="314"/>
      <c r="BT6228" s="314"/>
      <c r="BU6228" s="314"/>
      <c r="BV6228" s="314"/>
      <c r="BW6228" s="314"/>
      <c r="BX6228" s="155"/>
    </row>
    <row r="6229" spans="1:76" ht="15.75" customHeight="1">
      <c r="A6229" s="25"/>
      <c r="B6229" s="39"/>
      <c r="C6229" s="155"/>
      <c r="D6229" s="155"/>
      <c r="E6229" s="40"/>
      <c r="F6229" s="314"/>
      <c r="H6229" s="315"/>
      <c r="I6229" s="315"/>
      <c r="BA6229" s="30"/>
      <c r="BB6229" s="155"/>
      <c r="BC6229" s="314"/>
      <c r="BD6229" s="314"/>
      <c r="BE6229" s="314"/>
      <c r="BF6229" s="314"/>
      <c r="BG6229" s="314"/>
      <c r="BH6229" s="314"/>
      <c r="BI6229" s="314"/>
      <c r="BJ6229" s="314"/>
      <c r="BK6229" s="40"/>
      <c r="BL6229" s="40"/>
      <c r="BM6229" s="40"/>
      <c r="BN6229" s="40"/>
      <c r="BO6229" s="40"/>
      <c r="BP6229" s="155"/>
      <c r="BQ6229" s="314"/>
      <c r="BR6229" s="314"/>
      <c r="BS6229" s="314"/>
      <c r="BT6229" s="314"/>
      <c r="BU6229" s="314"/>
      <c r="BV6229" s="314"/>
      <c r="BW6229" s="314"/>
      <c r="BX6229" s="155"/>
    </row>
    <row r="6230" spans="1:76" ht="15.75" customHeight="1">
      <c r="A6230" s="25"/>
      <c r="B6230" s="39"/>
      <c r="C6230" s="155"/>
      <c r="D6230" s="155"/>
      <c r="E6230" s="40"/>
      <c r="F6230" s="314"/>
      <c r="H6230" s="315"/>
      <c r="I6230" s="315"/>
      <c r="BA6230" s="30"/>
      <c r="BB6230" s="155"/>
      <c r="BC6230" s="314"/>
      <c r="BD6230" s="314"/>
      <c r="BE6230" s="314"/>
      <c r="BF6230" s="314"/>
      <c r="BG6230" s="314"/>
      <c r="BH6230" s="314"/>
      <c r="BI6230" s="314"/>
      <c r="BJ6230" s="314"/>
      <c r="BK6230" s="40"/>
      <c r="BL6230" s="40"/>
      <c r="BM6230" s="40"/>
      <c r="BN6230" s="40"/>
      <c r="BO6230" s="40"/>
      <c r="BP6230" s="155"/>
      <c r="BQ6230" s="314"/>
      <c r="BR6230" s="314"/>
      <c r="BS6230" s="314"/>
      <c r="BT6230" s="314"/>
      <c r="BU6230" s="314"/>
      <c r="BV6230" s="314"/>
      <c r="BW6230" s="314"/>
      <c r="BX6230" s="155"/>
    </row>
    <row r="6231" spans="1:76" ht="15.75" customHeight="1">
      <c r="A6231" s="25"/>
      <c r="B6231" s="39"/>
      <c r="C6231" s="155"/>
      <c r="D6231" s="155"/>
      <c r="E6231" s="40"/>
      <c r="F6231" s="314"/>
      <c r="H6231" s="315"/>
      <c r="I6231" s="315"/>
      <c r="BA6231" s="30"/>
      <c r="BB6231" s="155"/>
      <c r="BC6231" s="314"/>
      <c r="BD6231" s="314"/>
      <c r="BE6231" s="314"/>
      <c r="BF6231" s="314"/>
      <c r="BG6231" s="314"/>
      <c r="BH6231" s="314"/>
      <c r="BI6231" s="314"/>
      <c r="BJ6231" s="314"/>
      <c r="BK6231" s="40"/>
      <c r="BL6231" s="40"/>
      <c r="BM6231" s="40"/>
      <c r="BN6231" s="40"/>
      <c r="BO6231" s="40"/>
      <c r="BP6231" s="155"/>
      <c r="BQ6231" s="314"/>
      <c r="BR6231" s="314"/>
      <c r="BS6231" s="314"/>
      <c r="BT6231" s="314"/>
      <c r="BU6231" s="314"/>
      <c r="BV6231" s="314"/>
      <c r="BW6231" s="314"/>
      <c r="BX6231" s="155"/>
    </row>
    <row r="6232" spans="1:76" ht="15.75" customHeight="1">
      <c r="A6232" s="25"/>
      <c r="B6232" s="39"/>
      <c r="C6232" s="155"/>
      <c r="D6232" s="155"/>
      <c r="E6232" s="40"/>
      <c r="F6232" s="314"/>
      <c r="H6232" s="315"/>
      <c r="I6232" s="315"/>
      <c r="BA6232" s="30"/>
      <c r="BB6232" s="155"/>
      <c r="BC6232" s="314"/>
      <c r="BD6232" s="314"/>
      <c r="BE6232" s="314"/>
      <c r="BF6232" s="314"/>
      <c r="BG6232" s="314"/>
      <c r="BH6232" s="314"/>
      <c r="BI6232" s="314"/>
      <c r="BJ6232" s="314"/>
      <c r="BK6232" s="40"/>
      <c r="BL6232" s="40"/>
      <c r="BM6232" s="40"/>
      <c r="BN6232" s="40"/>
      <c r="BO6232" s="40"/>
      <c r="BP6232" s="155"/>
      <c r="BQ6232" s="314"/>
      <c r="BR6232" s="314"/>
      <c r="BS6232" s="314"/>
      <c r="BT6232" s="314"/>
      <c r="BU6232" s="314"/>
      <c r="BV6232" s="314"/>
      <c r="BW6232" s="314"/>
      <c r="BX6232" s="155"/>
    </row>
    <row r="6233" spans="1:76" ht="15.75" customHeight="1">
      <c r="A6233" s="25"/>
      <c r="B6233" s="39"/>
      <c r="C6233" s="155"/>
      <c r="D6233" s="155"/>
      <c r="E6233" s="40"/>
      <c r="F6233" s="314"/>
      <c r="H6233" s="315"/>
      <c r="I6233" s="315"/>
      <c r="BA6233" s="30"/>
      <c r="BB6233" s="155"/>
      <c r="BC6233" s="314"/>
      <c r="BD6233" s="314"/>
      <c r="BE6233" s="314"/>
      <c r="BF6233" s="314"/>
      <c r="BG6233" s="314"/>
      <c r="BH6233" s="314"/>
      <c r="BI6233" s="314"/>
      <c r="BJ6233" s="314"/>
      <c r="BK6233" s="40"/>
      <c r="BL6233" s="40"/>
      <c r="BM6233" s="40"/>
      <c r="BN6233" s="40"/>
      <c r="BO6233" s="40"/>
      <c r="BP6233" s="155"/>
      <c r="BQ6233" s="314"/>
      <c r="BR6233" s="314"/>
      <c r="BS6233" s="314"/>
      <c r="BT6233" s="314"/>
      <c r="BU6233" s="314"/>
      <c r="BV6233" s="314"/>
      <c r="BW6233" s="314"/>
      <c r="BX6233" s="155"/>
    </row>
    <row r="6234" spans="1:76" ht="15.75" customHeight="1">
      <c r="A6234" s="25"/>
      <c r="B6234" s="39"/>
      <c r="C6234" s="155"/>
      <c r="D6234" s="155"/>
      <c r="E6234" s="40"/>
      <c r="F6234" s="314"/>
      <c r="H6234" s="315"/>
      <c r="I6234" s="315"/>
      <c r="BA6234" s="30"/>
      <c r="BB6234" s="155"/>
      <c r="BC6234" s="314"/>
      <c r="BD6234" s="314"/>
      <c r="BE6234" s="314"/>
      <c r="BF6234" s="314"/>
      <c r="BG6234" s="314"/>
      <c r="BH6234" s="314"/>
      <c r="BI6234" s="314"/>
      <c r="BJ6234" s="314"/>
      <c r="BK6234" s="40"/>
      <c r="BL6234" s="40"/>
      <c r="BM6234" s="40"/>
      <c r="BN6234" s="40"/>
      <c r="BO6234" s="40"/>
      <c r="BP6234" s="155"/>
      <c r="BQ6234" s="314"/>
      <c r="BR6234" s="314"/>
      <c r="BS6234" s="314"/>
      <c r="BT6234" s="314"/>
      <c r="BU6234" s="314"/>
      <c r="BV6234" s="314"/>
      <c r="BW6234" s="314"/>
      <c r="BX6234" s="155"/>
    </row>
    <row r="6235" spans="1:76" ht="15.75" customHeight="1">
      <c r="A6235" s="25"/>
      <c r="B6235" s="39"/>
      <c r="C6235" s="155"/>
      <c r="D6235" s="155"/>
      <c r="E6235" s="40"/>
      <c r="F6235" s="314"/>
      <c r="H6235" s="315"/>
      <c r="I6235" s="315"/>
      <c r="BA6235" s="30"/>
      <c r="BB6235" s="155"/>
      <c r="BC6235" s="314"/>
      <c r="BD6235" s="314"/>
      <c r="BE6235" s="314"/>
      <c r="BF6235" s="314"/>
      <c r="BG6235" s="314"/>
      <c r="BH6235" s="314"/>
      <c r="BI6235" s="314"/>
      <c r="BJ6235" s="314"/>
      <c r="BK6235" s="40"/>
      <c r="BL6235" s="40"/>
      <c r="BM6235" s="40"/>
      <c r="BN6235" s="40"/>
      <c r="BO6235" s="40"/>
      <c r="BP6235" s="155"/>
      <c r="BQ6235" s="314"/>
      <c r="BR6235" s="314"/>
      <c r="BS6235" s="314"/>
      <c r="BT6235" s="314"/>
      <c r="BU6235" s="314"/>
      <c r="BV6235" s="314"/>
      <c r="BW6235" s="314"/>
      <c r="BX6235" s="155"/>
    </row>
    <row r="6236" spans="1:76" ht="15.75" customHeight="1">
      <c r="A6236" s="25"/>
      <c r="B6236" s="39"/>
      <c r="C6236" s="155"/>
      <c r="D6236" s="155"/>
      <c r="E6236" s="40"/>
      <c r="F6236" s="314"/>
      <c r="H6236" s="315"/>
      <c r="I6236" s="315"/>
      <c r="BA6236" s="30"/>
      <c r="BB6236" s="155"/>
      <c r="BC6236" s="314"/>
      <c r="BD6236" s="314"/>
      <c r="BE6236" s="314"/>
      <c r="BF6236" s="314"/>
      <c r="BG6236" s="314"/>
      <c r="BH6236" s="314"/>
      <c r="BI6236" s="314"/>
      <c r="BJ6236" s="314"/>
      <c r="BK6236" s="40"/>
      <c r="BL6236" s="40"/>
      <c r="BM6236" s="40"/>
      <c r="BN6236" s="40"/>
      <c r="BO6236" s="40"/>
      <c r="BP6236" s="155"/>
      <c r="BQ6236" s="314"/>
      <c r="BR6236" s="314"/>
      <c r="BS6236" s="314"/>
      <c r="BT6236" s="314"/>
      <c r="BU6236" s="314"/>
      <c r="BV6236" s="314"/>
      <c r="BW6236" s="314"/>
      <c r="BX6236" s="155"/>
    </row>
    <row r="6237" spans="1:76" ht="15.75" customHeight="1">
      <c r="A6237" s="25"/>
      <c r="B6237" s="39"/>
      <c r="C6237" s="155"/>
      <c r="D6237" s="155"/>
      <c r="E6237" s="40"/>
      <c r="F6237" s="314"/>
      <c r="H6237" s="315"/>
      <c r="I6237" s="315"/>
      <c r="BA6237" s="30"/>
      <c r="BB6237" s="155"/>
      <c r="BC6237" s="314"/>
      <c r="BD6237" s="314"/>
      <c r="BE6237" s="314"/>
      <c r="BF6237" s="314"/>
      <c r="BG6237" s="314"/>
      <c r="BH6237" s="314"/>
      <c r="BI6237" s="314"/>
      <c r="BJ6237" s="314"/>
      <c r="BK6237" s="40"/>
      <c r="BL6237" s="40"/>
      <c r="BM6237" s="40"/>
      <c r="BN6237" s="40"/>
      <c r="BO6237" s="40"/>
      <c r="BP6237" s="155"/>
      <c r="BQ6237" s="314"/>
      <c r="BR6237" s="314"/>
      <c r="BS6237" s="314"/>
      <c r="BT6237" s="314"/>
      <c r="BU6237" s="314"/>
      <c r="BV6237" s="314"/>
      <c r="BW6237" s="314"/>
      <c r="BX6237" s="155"/>
    </row>
    <row r="6238" spans="1:76" ht="15.75" customHeight="1">
      <c r="A6238" s="25"/>
      <c r="B6238" s="39"/>
      <c r="C6238" s="155"/>
      <c r="D6238" s="155"/>
      <c r="E6238" s="40"/>
      <c r="F6238" s="314"/>
      <c r="H6238" s="315"/>
      <c r="I6238" s="315"/>
      <c r="BA6238" s="30"/>
      <c r="BB6238" s="155"/>
      <c r="BC6238" s="314"/>
      <c r="BD6238" s="314"/>
      <c r="BE6238" s="314"/>
      <c r="BF6238" s="314"/>
      <c r="BG6238" s="314"/>
      <c r="BH6238" s="314"/>
      <c r="BI6238" s="314"/>
      <c r="BJ6238" s="314"/>
      <c r="BK6238" s="40"/>
      <c r="BL6238" s="40"/>
      <c r="BM6238" s="40"/>
      <c r="BN6238" s="40"/>
      <c r="BO6238" s="40"/>
      <c r="BP6238" s="155"/>
      <c r="BQ6238" s="314"/>
      <c r="BR6238" s="314"/>
      <c r="BS6238" s="314"/>
      <c r="BT6238" s="314"/>
      <c r="BU6238" s="314"/>
      <c r="BV6238" s="314"/>
      <c r="BW6238" s="314"/>
      <c r="BX6238" s="155"/>
    </row>
    <row r="6239" spans="1:76" ht="15.75" customHeight="1">
      <c r="A6239" s="25"/>
      <c r="B6239" s="39"/>
      <c r="C6239" s="155"/>
      <c r="D6239" s="155"/>
      <c r="E6239" s="40"/>
      <c r="F6239" s="314"/>
      <c r="H6239" s="315"/>
      <c r="I6239" s="315"/>
      <c r="BA6239" s="30"/>
      <c r="BB6239" s="155"/>
      <c r="BC6239" s="314"/>
      <c r="BD6239" s="314"/>
      <c r="BE6239" s="314"/>
      <c r="BF6239" s="314"/>
      <c r="BG6239" s="314"/>
      <c r="BH6239" s="314"/>
      <c r="BI6239" s="314"/>
      <c r="BJ6239" s="314"/>
      <c r="BK6239" s="40"/>
      <c r="BL6239" s="40"/>
      <c r="BM6239" s="40"/>
      <c r="BN6239" s="40"/>
      <c r="BO6239" s="40"/>
      <c r="BP6239" s="155"/>
      <c r="BQ6239" s="314"/>
      <c r="BR6239" s="314"/>
      <c r="BS6239" s="314"/>
      <c r="BT6239" s="314"/>
      <c r="BU6239" s="314"/>
      <c r="BV6239" s="314"/>
      <c r="BW6239" s="314"/>
      <c r="BX6239" s="155"/>
    </row>
    <row r="6240" spans="1:76" ht="15.75" customHeight="1">
      <c r="A6240" s="25"/>
      <c r="B6240" s="39"/>
      <c r="C6240" s="155"/>
      <c r="D6240" s="155"/>
      <c r="E6240" s="40"/>
      <c r="F6240" s="314"/>
      <c r="H6240" s="315"/>
      <c r="I6240" s="315"/>
      <c r="BA6240" s="30"/>
      <c r="BB6240" s="155"/>
      <c r="BC6240" s="314"/>
      <c r="BD6240" s="314"/>
      <c r="BE6240" s="314"/>
      <c r="BF6240" s="314"/>
      <c r="BG6240" s="314"/>
      <c r="BH6240" s="314"/>
      <c r="BI6240" s="314"/>
      <c r="BJ6240" s="314"/>
      <c r="BK6240" s="40"/>
      <c r="BL6240" s="40"/>
      <c r="BM6240" s="40"/>
      <c r="BN6240" s="40"/>
      <c r="BO6240" s="40"/>
      <c r="BP6240" s="155"/>
      <c r="BQ6240" s="314"/>
      <c r="BR6240" s="314"/>
      <c r="BS6240" s="314"/>
      <c r="BT6240" s="314"/>
      <c r="BU6240" s="314"/>
      <c r="BV6240" s="314"/>
      <c r="BW6240" s="314"/>
      <c r="BX6240" s="155"/>
    </row>
    <row r="6241" spans="1:76" ht="15.75" customHeight="1">
      <c r="A6241" s="25"/>
      <c r="B6241" s="39"/>
      <c r="C6241" s="155"/>
      <c r="D6241" s="155"/>
      <c r="E6241" s="40"/>
      <c r="F6241" s="314"/>
      <c r="H6241" s="315"/>
      <c r="I6241" s="315"/>
      <c r="BA6241" s="30"/>
      <c r="BB6241" s="155"/>
      <c r="BC6241" s="314"/>
      <c r="BD6241" s="314"/>
      <c r="BE6241" s="314"/>
      <c r="BF6241" s="314"/>
      <c r="BG6241" s="314"/>
      <c r="BH6241" s="314"/>
      <c r="BI6241" s="314"/>
      <c r="BJ6241" s="314"/>
      <c r="BK6241" s="40"/>
      <c r="BL6241" s="40"/>
      <c r="BM6241" s="40"/>
      <c r="BN6241" s="40"/>
      <c r="BO6241" s="40"/>
      <c r="BP6241" s="155"/>
      <c r="BQ6241" s="314"/>
      <c r="BR6241" s="314"/>
      <c r="BS6241" s="314"/>
      <c r="BT6241" s="314"/>
      <c r="BU6241" s="314"/>
      <c r="BV6241" s="314"/>
      <c r="BW6241" s="314"/>
      <c r="BX6241" s="155"/>
    </row>
    <row r="6242" spans="1:76" ht="15.75" customHeight="1">
      <c r="A6242" s="25"/>
      <c r="B6242" s="39"/>
      <c r="C6242" s="155"/>
      <c r="D6242" s="155"/>
      <c r="E6242" s="40"/>
      <c r="F6242" s="314"/>
      <c r="H6242" s="315"/>
      <c r="I6242" s="315"/>
      <c r="BA6242" s="30"/>
      <c r="BB6242" s="155"/>
      <c r="BC6242" s="314"/>
      <c r="BD6242" s="314"/>
      <c r="BE6242" s="314"/>
      <c r="BF6242" s="314"/>
      <c r="BG6242" s="314"/>
      <c r="BH6242" s="314"/>
      <c r="BI6242" s="314"/>
      <c r="BJ6242" s="314"/>
      <c r="BK6242" s="40"/>
      <c r="BL6242" s="40"/>
      <c r="BM6242" s="40"/>
      <c r="BN6242" s="40"/>
      <c r="BO6242" s="40"/>
      <c r="BP6242" s="155"/>
      <c r="BQ6242" s="314"/>
      <c r="BR6242" s="314"/>
      <c r="BS6242" s="314"/>
      <c r="BT6242" s="314"/>
      <c r="BU6242" s="314"/>
      <c r="BV6242" s="314"/>
      <c r="BW6242" s="314"/>
      <c r="BX6242" s="155"/>
    </row>
    <row r="6243" spans="1:76" ht="15.75" customHeight="1">
      <c r="A6243" s="25"/>
      <c r="B6243" s="39"/>
      <c r="C6243" s="155"/>
      <c r="D6243" s="155"/>
      <c r="E6243" s="40"/>
      <c r="F6243" s="314"/>
      <c r="H6243" s="315"/>
      <c r="I6243" s="315"/>
      <c r="BA6243" s="30"/>
      <c r="BB6243" s="155"/>
      <c r="BC6243" s="314"/>
      <c r="BD6243" s="314"/>
      <c r="BE6243" s="314"/>
      <c r="BF6243" s="314"/>
      <c r="BG6243" s="314"/>
      <c r="BH6243" s="314"/>
      <c r="BI6243" s="314"/>
      <c r="BJ6243" s="314"/>
      <c r="BK6243" s="40"/>
      <c r="BL6243" s="40"/>
      <c r="BM6243" s="40"/>
      <c r="BN6243" s="40"/>
      <c r="BO6243" s="40"/>
      <c r="BP6243" s="155"/>
      <c r="BQ6243" s="314"/>
      <c r="BR6243" s="314"/>
      <c r="BS6243" s="314"/>
      <c r="BT6243" s="314"/>
      <c r="BU6243" s="314"/>
      <c r="BV6243" s="314"/>
      <c r="BW6243" s="314"/>
      <c r="BX6243" s="155"/>
    </row>
    <row r="6244" spans="1:76" ht="15.75" customHeight="1">
      <c r="A6244" s="25"/>
      <c r="B6244" s="39"/>
      <c r="C6244" s="155"/>
      <c r="D6244" s="155"/>
      <c r="E6244" s="40"/>
      <c r="F6244" s="314"/>
      <c r="H6244" s="315"/>
      <c r="I6244" s="315"/>
      <c r="BA6244" s="30"/>
      <c r="BB6244" s="155"/>
      <c r="BC6244" s="314"/>
      <c r="BD6244" s="314"/>
      <c r="BE6244" s="314"/>
      <c r="BF6244" s="314"/>
      <c r="BG6244" s="314"/>
      <c r="BH6244" s="314"/>
      <c r="BI6244" s="314"/>
      <c r="BJ6244" s="314"/>
      <c r="BK6244" s="40"/>
      <c r="BL6244" s="40"/>
      <c r="BM6244" s="40"/>
      <c r="BN6244" s="40"/>
      <c r="BO6244" s="40"/>
      <c r="BP6244" s="155"/>
      <c r="BQ6244" s="314"/>
      <c r="BR6244" s="314"/>
      <c r="BS6244" s="314"/>
      <c r="BT6244" s="314"/>
      <c r="BU6244" s="314"/>
      <c r="BV6244" s="314"/>
      <c r="BW6244" s="314"/>
      <c r="BX6244" s="155"/>
    </row>
    <row r="6245" spans="1:76" ht="15.75" customHeight="1">
      <c r="A6245" s="25"/>
      <c r="B6245" s="39"/>
      <c r="C6245" s="155"/>
      <c r="D6245" s="155"/>
      <c r="E6245" s="40"/>
      <c r="F6245" s="314"/>
      <c r="H6245" s="315"/>
      <c r="I6245" s="315"/>
      <c r="BA6245" s="30"/>
      <c r="BB6245" s="155"/>
      <c r="BC6245" s="314"/>
      <c r="BD6245" s="314"/>
      <c r="BE6245" s="314"/>
      <c r="BF6245" s="314"/>
      <c r="BG6245" s="314"/>
      <c r="BH6245" s="314"/>
      <c r="BI6245" s="314"/>
      <c r="BJ6245" s="314"/>
      <c r="BK6245" s="40"/>
      <c r="BL6245" s="40"/>
      <c r="BM6245" s="40"/>
      <c r="BN6245" s="40"/>
      <c r="BO6245" s="40"/>
      <c r="BP6245" s="155"/>
      <c r="BQ6245" s="314"/>
      <c r="BR6245" s="314"/>
      <c r="BS6245" s="314"/>
      <c r="BT6245" s="314"/>
      <c r="BU6245" s="314"/>
      <c r="BV6245" s="314"/>
      <c r="BW6245" s="314"/>
      <c r="BX6245" s="155"/>
    </row>
    <row r="6246" spans="1:76" ht="15.75" customHeight="1">
      <c r="A6246" s="25"/>
      <c r="B6246" s="39"/>
      <c r="C6246" s="155"/>
      <c r="D6246" s="155"/>
      <c r="E6246" s="40"/>
      <c r="F6246" s="314"/>
      <c r="H6246" s="315"/>
      <c r="I6246" s="315"/>
      <c r="BA6246" s="30"/>
      <c r="BB6246" s="155"/>
      <c r="BC6246" s="314"/>
      <c r="BD6246" s="314"/>
      <c r="BE6246" s="314"/>
      <c r="BF6246" s="314"/>
      <c r="BG6246" s="314"/>
      <c r="BH6246" s="314"/>
      <c r="BI6246" s="314"/>
      <c r="BJ6246" s="314"/>
      <c r="BK6246" s="40"/>
      <c r="BL6246" s="40"/>
      <c r="BM6246" s="40"/>
      <c r="BN6246" s="40"/>
      <c r="BO6246" s="40"/>
      <c r="BP6246" s="155"/>
      <c r="BQ6246" s="314"/>
      <c r="BR6246" s="314"/>
      <c r="BS6246" s="314"/>
      <c r="BT6246" s="314"/>
      <c r="BU6246" s="314"/>
      <c r="BV6246" s="314"/>
      <c r="BW6246" s="314"/>
      <c r="BX6246" s="155"/>
    </row>
    <row r="6247" spans="1:76" ht="15.75" customHeight="1">
      <c r="A6247" s="25"/>
      <c r="B6247" s="39"/>
      <c r="C6247" s="155"/>
      <c r="D6247" s="155"/>
      <c r="E6247" s="40"/>
      <c r="F6247" s="314"/>
      <c r="H6247" s="315"/>
      <c r="I6247" s="315"/>
      <c r="BA6247" s="30"/>
      <c r="BB6247" s="155"/>
      <c r="BC6247" s="314"/>
      <c r="BD6247" s="314"/>
      <c r="BE6247" s="314"/>
      <c r="BF6247" s="314"/>
      <c r="BG6247" s="314"/>
      <c r="BH6247" s="314"/>
      <c r="BI6247" s="314"/>
      <c r="BJ6247" s="314"/>
      <c r="BK6247" s="40"/>
      <c r="BL6247" s="40"/>
      <c r="BM6247" s="40"/>
      <c r="BN6247" s="40"/>
      <c r="BO6247" s="40"/>
      <c r="BP6247" s="155"/>
      <c r="BQ6247" s="314"/>
      <c r="BR6247" s="314"/>
      <c r="BS6247" s="314"/>
      <c r="BT6247" s="314"/>
      <c r="BU6247" s="314"/>
      <c r="BV6247" s="314"/>
      <c r="BW6247" s="314"/>
      <c r="BX6247" s="155"/>
    </row>
    <row r="6248" spans="1:76" ht="15.75" customHeight="1">
      <c r="A6248" s="25"/>
      <c r="B6248" s="39"/>
      <c r="C6248" s="155"/>
      <c r="D6248" s="155"/>
      <c r="E6248" s="40"/>
      <c r="F6248" s="314"/>
      <c r="H6248" s="315"/>
      <c r="I6248" s="315"/>
      <c r="BA6248" s="30"/>
      <c r="BB6248" s="155"/>
      <c r="BC6248" s="314"/>
      <c r="BD6248" s="314"/>
      <c r="BE6248" s="314"/>
      <c r="BF6248" s="314"/>
      <c r="BG6248" s="314"/>
      <c r="BH6248" s="314"/>
      <c r="BI6248" s="314"/>
      <c r="BJ6248" s="314"/>
      <c r="BK6248" s="40"/>
      <c r="BL6248" s="40"/>
      <c r="BM6248" s="40"/>
      <c r="BN6248" s="40"/>
      <c r="BO6248" s="40"/>
      <c r="BP6248" s="155"/>
      <c r="BQ6248" s="314"/>
      <c r="BR6248" s="314"/>
      <c r="BS6248" s="314"/>
      <c r="BT6248" s="314"/>
      <c r="BU6248" s="314"/>
      <c r="BV6248" s="314"/>
      <c r="BW6248" s="314"/>
      <c r="BX6248" s="155"/>
    </row>
    <row r="6249" spans="1:76" ht="15.75" customHeight="1">
      <c r="A6249" s="25"/>
      <c r="B6249" s="39"/>
      <c r="C6249" s="155"/>
      <c r="D6249" s="155"/>
      <c r="E6249" s="40"/>
      <c r="F6249" s="314"/>
      <c r="H6249" s="315"/>
      <c r="I6249" s="315"/>
      <c r="BA6249" s="30"/>
      <c r="BB6249" s="155"/>
      <c r="BC6249" s="314"/>
      <c r="BD6249" s="314"/>
      <c r="BE6249" s="314"/>
      <c r="BF6249" s="314"/>
      <c r="BG6249" s="314"/>
      <c r="BH6249" s="314"/>
      <c r="BI6249" s="314"/>
      <c r="BJ6249" s="314"/>
      <c r="BK6249" s="40"/>
      <c r="BL6249" s="40"/>
      <c r="BM6249" s="40"/>
      <c r="BN6249" s="40"/>
      <c r="BO6249" s="40"/>
      <c r="BP6249" s="155"/>
      <c r="BQ6249" s="314"/>
      <c r="BR6249" s="314"/>
      <c r="BS6249" s="314"/>
      <c r="BT6249" s="314"/>
      <c r="BU6249" s="314"/>
      <c r="BV6249" s="314"/>
      <c r="BW6249" s="314"/>
      <c r="BX6249" s="155"/>
    </row>
    <row r="6250" spans="1:76" ht="15.75" customHeight="1">
      <c r="A6250" s="25"/>
      <c r="B6250" s="39"/>
      <c r="C6250" s="155"/>
      <c r="D6250" s="155"/>
      <c r="E6250" s="40"/>
      <c r="F6250" s="314"/>
      <c r="H6250" s="315"/>
      <c r="I6250" s="315"/>
      <c r="BA6250" s="30"/>
      <c r="BB6250" s="155"/>
      <c r="BC6250" s="314"/>
      <c r="BD6250" s="314"/>
      <c r="BE6250" s="314"/>
      <c r="BF6250" s="314"/>
      <c r="BG6250" s="314"/>
      <c r="BH6250" s="314"/>
      <c r="BI6250" s="314"/>
      <c r="BJ6250" s="314"/>
      <c r="BK6250" s="40"/>
      <c r="BL6250" s="40"/>
      <c r="BM6250" s="40"/>
      <c r="BN6250" s="40"/>
      <c r="BO6250" s="40"/>
      <c r="BP6250" s="155"/>
      <c r="BQ6250" s="314"/>
      <c r="BR6250" s="314"/>
      <c r="BS6250" s="314"/>
      <c r="BT6250" s="314"/>
      <c r="BU6250" s="314"/>
      <c r="BV6250" s="314"/>
      <c r="BW6250" s="314"/>
      <c r="BX6250" s="155"/>
    </row>
    <row r="6251" spans="1:76" ht="15.75" customHeight="1">
      <c r="A6251" s="25"/>
      <c r="B6251" s="39"/>
      <c r="C6251" s="155"/>
      <c r="D6251" s="155"/>
      <c r="E6251" s="40"/>
      <c r="F6251" s="314"/>
      <c r="H6251" s="315"/>
      <c r="I6251" s="315"/>
      <c r="BA6251" s="30"/>
      <c r="BB6251" s="155"/>
      <c r="BC6251" s="314"/>
      <c r="BD6251" s="314"/>
      <c r="BE6251" s="314"/>
      <c r="BF6251" s="314"/>
      <c r="BG6251" s="314"/>
      <c r="BH6251" s="314"/>
      <c r="BI6251" s="314"/>
      <c r="BJ6251" s="314"/>
      <c r="BK6251" s="40"/>
      <c r="BL6251" s="40"/>
      <c r="BM6251" s="40"/>
      <c r="BN6251" s="40"/>
      <c r="BO6251" s="40"/>
      <c r="BP6251" s="155"/>
      <c r="BQ6251" s="314"/>
      <c r="BR6251" s="314"/>
      <c r="BS6251" s="314"/>
      <c r="BT6251" s="314"/>
      <c r="BU6251" s="314"/>
      <c r="BV6251" s="314"/>
      <c r="BW6251" s="314"/>
      <c r="BX6251" s="155"/>
    </row>
    <row r="6252" spans="1:76" ht="15.75" customHeight="1">
      <c r="A6252" s="25"/>
      <c r="B6252" s="39"/>
      <c r="C6252" s="155"/>
      <c r="D6252" s="155"/>
      <c r="E6252" s="40"/>
      <c r="F6252" s="314"/>
      <c r="H6252" s="315"/>
      <c r="I6252" s="315"/>
      <c r="BA6252" s="30"/>
      <c r="BB6252" s="155"/>
      <c r="BC6252" s="314"/>
      <c r="BD6252" s="314"/>
      <c r="BE6252" s="314"/>
      <c r="BF6252" s="314"/>
      <c r="BG6252" s="314"/>
      <c r="BH6252" s="314"/>
      <c r="BI6252" s="314"/>
      <c r="BJ6252" s="314"/>
      <c r="BK6252" s="40"/>
      <c r="BL6252" s="40"/>
      <c r="BM6252" s="40"/>
      <c r="BN6252" s="40"/>
      <c r="BO6252" s="40"/>
      <c r="BP6252" s="155"/>
      <c r="BQ6252" s="314"/>
      <c r="BR6252" s="314"/>
      <c r="BS6252" s="314"/>
      <c r="BT6252" s="314"/>
      <c r="BU6252" s="314"/>
      <c r="BV6252" s="314"/>
      <c r="BW6252" s="314"/>
      <c r="BX6252" s="155"/>
    </row>
    <row r="6253" spans="1:76" ht="15.75" customHeight="1">
      <c r="A6253" s="25"/>
      <c r="B6253" s="39"/>
      <c r="C6253" s="155"/>
      <c r="D6253" s="155"/>
      <c r="E6253" s="40"/>
      <c r="F6253" s="314"/>
      <c r="H6253" s="315"/>
      <c r="I6253" s="315"/>
      <c r="BA6253" s="30"/>
      <c r="BB6253" s="155"/>
      <c r="BC6253" s="314"/>
      <c r="BD6253" s="314"/>
      <c r="BE6253" s="314"/>
      <c r="BF6253" s="314"/>
      <c r="BG6253" s="314"/>
      <c r="BH6253" s="314"/>
      <c r="BI6253" s="314"/>
      <c r="BJ6253" s="314"/>
      <c r="BK6253" s="40"/>
      <c r="BL6253" s="40"/>
      <c r="BM6253" s="40"/>
      <c r="BN6253" s="40"/>
      <c r="BO6253" s="40"/>
      <c r="BP6253" s="155"/>
      <c r="BQ6253" s="314"/>
      <c r="BR6253" s="314"/>
      <c r="BS6253" s="314"/>
      <c r="BT6253" s="314"/>
      <c r="BU6253" s="314"/>
      <c r="BV6253" s="314"/>
      <c r="BW6253" s="314"/>
      <c r="BX6253" s="155"/>
    </row>
    <row r="6254" spans="1:76" ht="15.75" customHeight="1">
      <c r="A6254" s="25"/>
      <c r="B6254" s="39"/>
      <c r="C6254" s="155"/>
      <c r="D6254" s="155"/>
      <c r="E6254" s="40"/>
      <c r="F6254" s="314"/>
      <c r="H6254" s="315"/>
      <c r="I6254" s="315"/>
      <c r="BA6254" s="30"/>
      <c r="BB6254" s="155"/>
      <c r="BC6254" s="314"/>
      <c r="BD6254" s="314"/>
      <c r="BE6254" s="314"/>
      <c r="BF6254" s="314"/>
      <c r="BG6254" s="314"/>
      <c r="BH6254" s="314"/>
      <c r="BI6254" s="314"/>
      <c r="BJ6254" s="314"/>
      <c r="BK6254" s="40"/>
      <c r="BL6254" s="40"/>
      <c r="BM6254" s="40"/>
      <c r="BN6254" s="40"/>
      <c r="BO6254" s="40"/>
      <c r="BP6254" s="155"/>
      <c r="BQ6254" s="314"/>
      <c r="BR6254" s="314"/>
      <c r="BS6254" s="314"/>
      <c r="BT6254" s="314"/>
      <c r="BU6254" s="314"/>
      <c r="BV6254" s="314"/>
      <c r="BW6254" s="314"/>
      <c r="BX6254" s="155"/>
    </row>
    <row r="6255" spans="1:76" ht="15.75" customHeight="1">
      <c r="A6255" s="25"/>
      <c r="B6255" s="39"/>
      <c r="C6255" s="155"/>
      <c r="D6255" s="155"/>
      <c r="E6255" s="40"/>
      <c r="F6255" s="314"/>
      <c r="H6255" s="315"/>
      <c r="I6255" s="315"/>
      <c r="BA6255" s="30"/>
      <c r="BB6255" s="155"/>
      <c r="BC6255" s="314"/>
      <c r="BD6255" s="314"/>
      <c r="BE6255" s="314"/>
      <c r="BF6255" s="314"/>
      <c r="BG6255" s="314"/>
      <c r="BH6255" s="314"/>
      <c r="BI6255" s="314"/>
      <c r="BJ6255" s="314"/>
      <c r="BK6255" s="40"/>
      <c r="BL6255" s="40"/>
      <c r="BM6255" s="40"/>
      <c r="BN6255" s="40"/>
      <c r="BO6255" s="40"/>
      <c r="BP6255" s="155"/>
      <c r="BQ6255" s="314"/>
      <c r="BR6255" s="314"/>
      <c r="BS6255" s="314"/>
      <c r="BT6255" s="314"/>
      <c r="BU6255" s="314"/>
      <c r="BV6255" s="314"/>
      <c r="BW6255" s="314"/>
      <c r="BX6255" s="155"/>
    </row>
    <row r="6256" spans="1:76" ht="15.75" customHeight="1">
      <c r="A6256" s="25"/>
      <c r="B6256" s="39"/>
      <c r="C6256" s="155"/>
      <c r="D6256" s="155"/>
      <c r="E6256" s="40"/>
      <c r="F6256" s="314"/>
      <c r="H6256" s="315"/>
      <c r="I6256" s="315"/>
      <c r="BA6256" s="30"/>
      <c r="BB6256" s="155"/>
      <c r="BC6256" s="314"/>
      <c r="BD6256" s="314"/>
      <c r="BE6256" s="314"/>
      <c r="BF6256" s="314"/>
      <c r="BG6256" s="314"/>
      <c r="BH6256" s="314"/>
      <c r="BI6256" s="314"/>
      <c r="BJ6256" s="314"/>
      <c r="BK6256" s="40"/>
      <c r="BL6256" s="40"/>
      <c r="BM6256" s="40"/>
      <c r="BN6256" s="40"/>
      <c r="BO6256" s="40"/>
      <c r="BP6256" s="155"/>
      <c r="BQ6256" s="314"/>
      <c r="BR6256" s="314"/>
      <c r="BS6256" s="314"/>
      <c r="BT6256" s="314"/>
      <c r="BU6256" s="314"/>
      <c r="BV6256" s="314"/>
      <c r="BW6256" s="314"/>
      <c r="BX6256" s="155"/>
    </row>
    <row r="6257" spans="1:76" ht="15.75" customHeight="1">
      <c r="A6257" s="25"/>
      <c r="B6257" s="39"/>
      <c r="C6257" s="155"/>
      <c r="D6257" s="155"/>
      <c r="E6257" s="40"/>
      <c r="F6257" s="314"/>
      <c r="H6257" s="315"/>
      <c r="I6257" s="315"/>
      <c r="BA6257" s="30"/>
      <c r="BB6257" s="155"/>
      <c r="BC6257" s="314"/>
      <c r="BD6257" s="314"/>
      <c r="BE6257" s="314"/>
      <c r="BF6257" s="314"/>
      <c r="BG6257" s="314"/>
      <c r="BH6257" s="314"/>
      <c r="BI6257" s="314"/>
      <c r="BJ6257" s="314"/>
      <c r="BK6257" s="40"/>
      <c r="BL6257" s="40"/>
      <c r="BM6257" s="40"/>
      <c r="BN6257" s="40"/>
      <c r="BO6257" s="40"/>
      <c r="BP6257" s="155"/>
      <c r="BQ6257" s="314"/>
      <c r="BR6257" s="314"/>
      <c r="BS6257" s="314"/>
      <c r="BT6257" s="314"/>
      <c r="BU6257" s="314"/>
      <c r="BV6257" s="314"/>
      <c r="BW6257" s="314"/>
      <c r="BX6257" s="155"/>
    </row>
    <row r="6258" spans="1:76" ht="15.75" customHeight="1">
      <c r="A6258" s="25"/>
      <c r="B6258" s="39"/>
      <c r="C6258" s="155"/>
      <c r="D6258" s="155"/>
      <c r="E6258" s="40"/>
      <c r="F6258" s="314"/>
      <c r="H6258" s="315"/>
      <c r="I6258" s="315"/>
      <c r="BA6258" s="30"/>
      <c r="BB6258" s="155"/>
      <c r="BC6258" s="314"/>
      <c r="BD6258" s="314"/>
      <c r="BE6258" s="314"/>
      <c r="BF6258" s="314"/>
      <c r="BG6258" s="314"/>
      <c r="BH6258" s="314"/>
      <c r="BI6258" s="314"/>
      <c r="BJ6258" s="314"/>
      <c r="BK6258" s="40"/>
      <c r="BL6258" s="40"/>
      <c r="BM6258" s="40"/>
      <c r="BN6258" s="40"/>
      <c r="BO6258" s="40"/>
      <c r="BP6258" s="155"/>
      <c r="BQ6258" s="314"/>
      <c r="BR6258" s="314"/>
      <c r="BS6258" s="314"/>
      <c r="BT6258" s="314"/>
      <c r="BU6258" s="314"/>
      <c r="BV6258" s="314"/>
      <c r="BW6258" s="314"/>
      <c r="BX6258" s="155"/>
    </row>
    <row r="6259" spans="1:76" ht="15.75" customHeight="1">
      <c r="A6259" s="25"/>
      <c r="B6259" s="39"/>
      <c r="C6259" s="155"/>
      <c r="D6259" s="155"/>
      <c r="E6259" s="40"/>
      <c r="F6259" s="314"/>
      <c r="H6259" s="315"/>
      <c r="I6259" s="315"/>
      <c r="BA6259" s="30"/>
      <c r="BB6259" s="155"/>
      <c r="BC6259" s="314"/>
      <c r="BD6259" s="314"/>
      <c r="BE6259" s="314"/>
      <c r="BF6259" s="314"/>
      <c r="BG6259" s="314"/>
      <c r="BH6259" s="314"/>
      <c r="BI6259" s="314"/>
      <c r="BJ6259" s="314"/>
      <c r="BK6259" s="40"/>
      <c r="BL6259" s="40"/>
      <c r="BM6259" s="40"/>
      <c r="BN6259" s="40"/>
      <c r="BO6259" s="40"/>
      <c r="BP6259" s="155"/>
      <c r="BQ6259" s="314"/>
      <c r="BR6259" s="314"/>
      <c r="BS6259" s="314"/>
      <c r="BT6259" s="314"/>
      <c r="BU6259" s="314"/>
      <c r="BV6259" s="314"/>
      <c r="BW6259" s="314"/>
      <c r="BX6259" s="155"/>
    </row>
    <row r="6260" spans="1:76" ht="15.75" customHeight="1">
      <c r="A6260" s="25"/>
      <c r="B6260" s="39"/>
      <c r="C6260" s="155"/>
      <c r="D6260" s="155"/>
      <c r="E6260" s="40"/>
      <c r="F6260" s="314"/>
      <c r="H6260" s="315"/>
      <c r="I6260" s="315"/>
      <c r="BA6260" s="30"/>
      <c r="BB6260" s="155"/>
      <c r="BC6260" s="314"/>
      <c r="BD6260" s="314"/>
      <c r="BE6260" s="314"/>
      <c r="BF6260" s="314"/>
      <c r="BG6260" s="314"/>
      <c r="BH6260" s="314"/>
      <c r="BI6260" s="314"/>
      <c r="BJ6260" s="314"/>
      <c r="BK6260" s="40"/>
      <c r="BL6260" s="40"/>
      <c r="BM6260" s="40"/>
      <c r="BN6260" s="40"/>
      <c r="BO6260" s="40"/>
      <c r="BP6260" s="155"/>
      <c r="BQ6260" s="314"/>
      <c r="BR6260" s="314"/>
      <c r="BS6260" s="314"/>
      <c r="BT6260" s="314"/>
      <c r="BU6260" s="314"/>
      <c r="BV6260" s="314"/>
      <c r="BW6260" s="314"/>
      <c r="BX6260" s="155"/>
    </row>
    <row r="6261" spans="1:76" ht="15.75" customHeight="1">
      <c r="A6261" s="25"/>
      <c r="B6261" s="39"/>
      <c r="C6261" s="155"/>
      <c r="D6261" s="155"/>
      <c r="E6261" s="40"/>
      <c r="F6261" s="314"/>
      <c r="H6261" s="315"/>
      <c r="I6261" s="315"/>
      <c r="BA6261" s="30"/>
      <c r="BB6261" s="155"/>
      <c r="BC6261" s="314"/>
      <c r="BD6261" s="314"/>
      <c r="BE6261" s="314"/>
      <c r="BF6261" s="314"/>
      <c r="BG6261" s="314"/>
      <c r="BH6261" s="314"/>
      <c r="BI6261" s="314"/>
      <c r="BJ6261" s="314"/>
      <c r="BK6261" s="40"/>
      <c r="BL6261" s="40"/>
      <c r="BM6261" s="40"/>
      <c r="BN6261" s="40"/>
      <c r="BO6261" s="40"/>
      <c r="BP6261" s="155"/>
      <c r="BQ6261" s="314"/>
      <c r="BR6261" s="314"/>
      <c r="BS6261" s="314"/>
      <c r="BT6261" s="314"/>
      <c r="BU6261" s="314"/>
      <c r="BV6261" s="314"/>
      <c r="BW6261" s="314"/>
      <c r="BX6261" s="155"/>
    </row>
    <row r="6262" spans="1:76" ht="15.75" customHeight="1">
      <c r="A6262" s="25"/>
      <c r="B6262" s="39"/>
      <c r="C6262" s="155"/>
      <c r="D6262" s="155"/>
      <c r="E6262" s="40"/>
      <c r="F6262" s="314"/>
      <c r="H6262" s="315"/>
      <c r="I6262" s="315"/>
      <c r="BA6262" s="30"/>
      <c r="BB6262" s="155"/>
      <c r="BC6262" s="314"/>
      <c r="BD6262" s="314"/>
      <c r="BE6262" s="314"/>
      <c r="BF6262" s="314"/>
      <c r="BG6262" s="314"/>
      <c r="BH6262" s="314"/>
      <c r="BI6262" s="314"/>
      <c r="BJ6262" s="314"/>
      <c r="BK6262" s="40"/>
      <c r="BL6262" s="40"/>
      <c r="BM6262" s="40"/>
      <c r="BN6262" s="40"/>
      <c r="BO6262" s="40"/>
      <c r="BP6262" s="155"/>
      <c r="BQ6262" s="314"/>
      <c r="BR6262" s="314"/>
      <c r="BS6262" s="314"/>
      <c r="BT6262" s="314"/>
      <c r="BU6262" s="314"/>
      <c r="BV6262" s="314"/>
      <c r="BW6262" s="314"/>
      <c r="BX6262" s="155"/>
    </row>
    <row r="6263" spans="1:76" ht="15.75" customHeight="1">
      <c r="A6263" s="25"/>
      <c r="B6263" s="39"/>
      <c r="C6263" s="155"/>
      <c r="D6263" s="155"/>
      <c r="E6263" s="40"/>
      <c r="F6263" s="314"/>
      <c r="H6263" s="315"/>
      <c r="I6263" s="315"/>
      <c r="BA6263" s="30"/>
      <c r="BB6263" s="155"/>
      <c r="BC6263" s="314"/>
      <c r="BD6263" s="314"/>
      <c r="BE6263" s="314"/>
      <c r="BF6263" s="314"/>
      <c r="BG6263" s="314"/>
      <c r="BH6263" s="314"/>
      <c r="BI6263" s="314"/>
      <c r="BJ6263" s="314"/>
      <c r="BK6263" s="40"/>
      <c r="BL6263" s="40"/>
      <c r="BM6263" s="40"/>
      <c r="BN6263" s="40"/>
      <c r="BO6263" s="40"/>
      <c r="BP6263" s="155"/>
      <c r="BQ6263" s="314"/>
      <c r="BR6263" s="314"/>
      <c r="BS6263" s="314"/>
      <c r="BT6263" s="314"/>
      <c r="BU6263" s="314"/>
      <c r="BV6263" s="314"/>
      <c r="BW6263" s="314"/>
      <c r="BX6263" s="155"/>
    </row>
    <row r="6264" spans="1:76" ht="15.75" customHeight="1">
      <c r="A6264" s="25"/>
      <c r="B6264" s="39"/>
      <c r="C6264" s="155"/>
      <c r="D6264" s="155"/>
      <c r="E6264" s="40"/>
      <c r="F6264" s="314"/>
      <c r="H6264" s="315"/>
      <c r="I6264" s="315"/>
      <c r="BA6264" s="30"/>
      <c r="BB6264" s="155"/>
      <c r="BC6264" s="314"/>
      <c r="BD6264" s="314"/>
      <c r="BE6264" s="314"/>
      <c r="BF6264" s="314"/>
      <c r="BG6264" s="314"/>
      <c r="BH6264" s="314"/>
      <c r="BI6264" s="314"/>
      <c r="BJ6264" s="314"/>
      <c r="BK6264" s="40"/>
      <c r="BL6264" s="40"/>
      <c r="BM6264" s="40"/>
      <c r="BN6264" s="40"/>
      <c r="BO6264" s="40"/>
      <c r="BP6264" s="155"/>
      <c r="BQ6264" s="314"/>
      <c r="BR6264" s="314"/>
      <c r="BS6264" s="314"/>
      <c r="BT6264" s="314"/>
      <c r="BU6264" s="314"/>
      <c r="BV6264" s="314"/>
      <c r="BW6264" s="314"/>
      <c r="BX6264" s="155"/>
    </row>
    <row r="6265" spans="1:76" ht="15.75" customHeight="1">
      <c r="A6265" s="25"/>
      <c r="B6265" s="39"/>
      <c r="C6265" s="155"/>
      <c r="D6265" s="155"/>
      <c r="E6265" s="40"/>
      <c r="F6265" s="314"/>
      <c r="H6265" s="315"/>
      <c r="I6265" s="315"/>
      <c r="BA6265" s="30"/>
      <c r="BB6265" s="155"/>
      <c r="BC6265" s="314"/>
      <c r="BD6265" s="314"/>
      <c r="BE6265" s="314"/>
      <c r="BF6265" s="314"/>
      <c r="BG6265" s="314"/>
      <c r="BH6265" s="314"/>
      <c r="BI6265" s="314"/>
      <c r="BJ6265" s="314"/>
      <c r="BK6265" s="40"/>
      <c r="BL6265" s="40"/>
      <c r="BM6265" s="40"/>
      <c r="BN6265" s="40"/>
      <c r="BO6265" s="40"/>
      <c r="BP6265" s="155"/>
      <c r="BQ6265" s="314"/>
      <c r="BR6265" s="314"/>
      <c r="BS6265" s="314"/>
      <c r="BT6265" s="314"/>
      <c r="BU6265" s="314"/>
      <c r="BV6265" s="314"/>
      <c r="BW6265" s="314"/>
      <c r="BX6265" s="155"/>
    </row>
    <row r="6266" spans="1:76" ht="15.75" customHeight="1">
      <c r="A6266" s="25"/>
      <c r="B6266" s="39"/>
      <c r="C6266" s="155"/>
      <c r="D6266" s="155"/>
      <c r="E6266" s="40"/>
      <c r="F6266" s="314"/>
      <c r="H6266" s="315"/>
      <c r="I6266" s="315"/>
      <c r="BA6266" s="30"/>
      <c r="BB6266" s="155"/>
      <c r="BC6266" s="314"/>
      <c r="BD6266" s="314"/>
      <c r="BE6266" s="314"/>
      <c r="BF6266" s="314"/>
      <c r="BG6266" s="314"/>
      <c r="BH6266" s="314"/>
      <c r="BI6266" s="314"/>
      <c r="BJ6266" s="314"/>
      <c r="BK6266" s="40"/>
      <c r="BL6266" s="40"/>
      <c r="BM6266" s="40"/>
      <c r="BN6266" s="40"/>
      <c r="BO6266" s="40"/>
      <c r="BP6266" s="155"/>
      <c r="BQ6266" s="314"/>
      <c r="BR6266" s="314"/>
      <c r="BS6266" s="314"/>
      <c r="BT6266" s="314"/>
      <c r="BU6266" s="314"/>
      <c r="BV6266" s="314"/>
      <c r="BW6266" s="314"/>
      <c r="BX6266" s="155"/>
    </row>
    <row r="6267" spans="1:76" ht="15.75" customHeight="1">
      <c r="A6267" s="25"/>
      <c r="B6267" s="39"/>
      <c r="C6267" s="155"/>
      <c r="D6267" s="155"/>
      <c r="E6267" s="40"/>
      <c r="F6267" s="314"/>
      <c r="H6267" s="315"/>
      <c r="I6267" s="315"/>
      <c r="BA6267" s="30"/>
      <c r="BB6267" s="155"/>
      <c r="BC6267" s="314"/>
      <c r="BD6267" s="314"/>
      <c r="BE6267" s="314"/>
      <c r="BF6267" s="314"/>
      <c r="BG6267" s="314"/>
      <c r="BH6267" s="314"/>
      <c r="BI6267" s="314"/>
      <c r="BJ6267" s="314"/>
      <c r="BK6267" s="40"/>
      <c r="BL6267" s="40"/>
      <c r="BM6267" s="40"/>
      <c r="BN6267" s="40"/>
      <c r="BO6267" s="40"/>
      <c r="BP6267" s="155"/>
      <c r="BQ6267" s="314"/>
      <c r="BR6267" s="314"/>
      <c r="BS6267" s="314"/>
      <c r="BT6267" s="314"/>
      <c r="BU6267" s="314"/>
      <c r="BV6267" s="314"/>
      <c r="BW6267" s="314"/>
      <c r="BX6267" s="155"/>
    </row>
    <row r="6268" spans="1:76" ht="15.75" customHeight="1">
      <c r="A6268" s="25"/>
      <c r="B6268" s="39"/>
      <c r="C6268" s="155"/>
      <c r="D6268" s="155"/>
      <c r="E6268" s="40"/>
      <c r="F6268" s="314"/>
      <c r="H6268" s="315"/>
      <c r="I6268" s="315"/>
      <c r="BA6268" s="30"/>
      <c r="BB6268" s="155"/>
      <c r="BC6268" s="314"/>
      <c r="BD6268" s="314"/>
      <c r="BE6268" s="314"/>
      <c r="BF6268" s="314"/>
      <c r="BG6268" s="314"/>
      <c r="BH6268" s="314"/>
      <c r="BI6268" s="314"/>
      <c r="BJ6268" s="314"/>
      <c r="BK6268" s="40"/>
      <c r="BL6268" s="40"/>
      <c r="BM6268" s="40"/>
      <c r="BN6268" s="40"/>
      <c r="BO6268" s="40"/>
      <c r="BP6268" s="155"/>
      <c r="BQ6268" s="314"/>
      <c r="BR6268" s="314"/>
      <c r="BS6268" s="314"/>
      <c r="BT6268" s="314"/>
      <c r="BU6268" s="314"/>
      <c r="BV6268" s="314"/>
      <c r="BW6268" s="314"/>
      <c r="BX6268" s="155"/>
    </row>
    <row r="6269" spans="1:76" ht="15.75" customHeight="1">
      <c r="A6269" s="25"/>
      <c r="B6269" s="39"/>
      <c r="C6269" s="155"/>
      <c r="D6269" s="155"/>
      <c r="E6269" s="40"/>
      <c r="F6269" s="314"/>
      <c r="H6269" s="315"/>
      <c r="I6269" s="315"/>
      <c r="BA6269" s="30"/>
      <c r="BB6269" s="155"/>
      <c r="BC6269" s="314"/>
      <c r="BD6269" s="314"/>
      <c r="BE6269" s="314"/>
      <c r="BF6269" s="314"/>
      <c r="BG6269" s="314"/>
      <c r="BH6269" s="314"/>
      <c r="BI6269" s="314"/>
      <c r="BJ6269" s="314"/>
      <c r="BK6269" s="40"/>
      <c r="BL6269" s="40"/>
      <c r="BM6269" s="40"/>
      <c r="BN6269" s="40"/>
      <c r="BO6269" s="40"/>
      <c r="BP6269" s="155"/>
      <c r="BQ6269" s="314"/>
      <c r="BR6269" s="314"/>
      <c r="BS6269" s="314"/>
      <c r="BT6269" s="314"/>
      <c r="BU6269" s="314"/>
      <c r="BV6269" s="314"/>
      <c r="BW6269" s="314"/>
      <c r="BX6269" s="155"/>
    </row>
    <row r="6270" spans="1:76" ht="15.75" customHeight="1">
      <c r="A6270" s="25"/>
      <c r="B6270" s="39"/>
      <c r="C6270" s="155"/>
      <c r="D6270" s="155"/>
      <c r="E6270" s="40"/>
      <c r="F6270" s="314"/>
      <c r="H6270" s="315"/>
      <c r="I6270" s="315"/>
      <c r="BA6270" s="30"/>
      <c r="BB6270" s="155"/>
      <c r="BC6270" s="314"/>
      <c r="BD6270" s="314"/>
      <c r="BE6270" s="314"/>
      <c r="BF6270" s="314"/>
      <c r="BG6270" s="314"/>
      <c r="BH6270" s="314"/>
      <c r="BI6270" s="314"/>
      <c r="BJ6270" s="314"/>
      <c r="BK6270" s="40"/>
      <c r="BL6270" s="40"/>
      <c r="BM6270" s="40"/>
      <c r="BN6270" s="40"/>
      <c r="BO6270" s="40"/>
      <c r="BP6270" s="155"/>
      <c r="BQ6270" s="314"/>
      <c r="BR6270" s="314"/>
      <c r="BS6270" s="314"/>
      <c r="BT6270" s="314"/>
      <c r="BU6270" s="314"/>
      <c r="BV6270" s="314"/>
      <c r="BW6270" s="314"/>
      <c r="BX6270" s="155"/>
    </row>
    <row r="6271" spans="1:76" ht="15.75" customHeight="1">
      <c r="A6271" s="25"/>
      <c r="B6271" s="39"/>
      <c r="C6271" s="155"/>
      <c r="D6271" s="155"/>
      <c r="E6271" s="40"/>
      <c r="F6271" s="314"/>
      <c r="H6271" s="315"/>
      <c r="I6271" s="315"/>
      <c r="BA6271" s="30"/>
      <c r="BB6271" s="155"/>
      <c r="BC6271" s="314"/>
      <c r="BD6271" s="314"/>
      <c r="BE6271" s="314"/>
      <c r="BF6271" s="314"/>
      <c r="BG6271" s="314"/>
      <c r="BH6271" s="314"/>
      <c r="BI6271" s="314"/>
      <c r="BJ6271" s="314"/>
      <c r="BK6271" s="40"/>
      <c r="BL6271" s="40"/>
      <c r="BM6271" s="40"/>
      <c r="BN6271" s="40"/>
      <c r="BO6271" s="40"/>
      <c r="BP6271" s="155"/>
      <c r="BQ6271" s="314"/>
      <c r="BR6271" s="314"/>
      <c r="BS6271" s="314"/>
      <c r="BT6271" s="314"/>
      <c r="BU6271" s="314"/>
      <c r="BV6271" s="314"/>
      <c r="BW6271" s="314"/>
      <c r="BX6271" s="155"/>
    </row>
    <row r="6272" spans="1:76" ht="15.75" customHeight="1">
      <c r="A6272" s="25"/>
      <c r="B6272" s="39"/>
      <c r="C6272" s="155"/>
      <c r="D6272" s="155"/>
      <c r="E6272" s="40"/>
      <c r="F6272" s="314"/>
      <c r="H6272" s="315"/>
      <c r="I6272" s="315"/>
      <c r="BA6272" s="30"/>
      <c r="BB6272" s="155"/>
      <c r="BC6272" s="314"/>
      <c r="BD6272" s="314"/>
      <c r="BE6272" s="314"/>
      <c r="BF6272" s="314"/>
      <c r="BG6272" s="314"/>
      <c r="BH6272" s="314"/>
      <c r="BI6272" s="314"/>
      <c r="BJ6272" s="314"/>
      <c r="BK6272" s="40"/>
      <c r="BL6272" s="40"/>
      <c r="BM6272" s="40"/>
      <c r="BN6272" s="40"/>
      <c r="BO6272" s="40"/>
      <c r="BP6272" s="155"/>
      <c r="BQ6272" s="314"/>
      <c r="BR6272" s="314"/>
      <c r="BS6272" s="314"/>
      <c r="BT6272" s="314"/>
      <c r="BU6272" s="314"/>
      <c r="BV6272" s="314"/>
      <c r="BW6272" s="314"/>
      <c r="BX6272" s="155"/>
    </row>
    <row r="6273" spans="1:76" ht="15.75" customHeight="1">
      <c r="A6273" s="25"/>
      <c r="B6273" s="39"/>
      <c r="C6273" s="155"/>
      <c r="D6273" s="155"/>
      <c r="E6273" s="40"/>
      <c r="F6273" s="314"/>
      <c r="H6273" s="315"/>
      <c r="I6273" s="315"/>
      <c r="BA6273" s="30"/>
      <c r="BB6273" s="155"/>
      <c r="BC6273" s="314"/>
      <c r="BD6273" s="314"/>
      <c r="BE6273" s="314"/>
      <c r="BF6273" s="314"/>
      <c r="BG6273" s="314"/>
      <c r="BH6273" s="314"/>
      <c r="BI6273" s="314"/>
      <c r="BJ6273" s="314"/>
      <c r="BK6273" s="40"/>
      <c r="BL6273" s="40"/>
      <c r="BM6273" s="40"/>
      <c r="BN6273" s="40"/>
      <c r="BO6273" s="40"/>
      <c r="BP6273" s="155"/>
      <c r="BQ6273" s="314"/>
      <c r="BR6273" s="314"/>
      <c r="BS6273" s="314"/>
      <c r="BT6273" s="314"/>
      <c r="BU6273" s="314"/>
      <c r="BV6273" s="314"/>
      <c r="BW6273" s="314"/>
      <c r="BX6273" s="155"/>
    </row>
    <row r="6274" spans="1:76" ht="15.75" customHeight="1">
      <c r="A6274" s="25"/>
      <c r="B6274" s="39"/>
      <c r="C6274" s="155"/>
      <c r="D6274" s="155"/>
      <c r="E6274" s="40"/>
      <c r="F6274" s="314"/>
      <c r="H6274" s="315"/>
      <c r="I6274" s="315"/>
      <c r="BA6274" s="30"/>
      <c r="BB6274" s="155"/>
      <c r="BC6274" s="314"/>
      <c r="BD6274" s="314"/>
      <c r="BE6274" s="314"/>
      <c r="BF6274" s="314"/>
      <c r="BG6274" s="314"/>
      <c r="BH6274" s="314"/>
      <c r="BI6274" s="314"/>
      <c r="BJ6274" s="314"/>
      <c r="BK6274" s="40"/>
      <c r="BL6274" s="40"/>
      <c r="BM6274" s="40"/>
      <c r="BN6274" s="40"/>
      <c r="BO6274" s="40"/>
      <c r="BP6274" s="155"/>
      <c r="BQ6274" s="314"/>
      <c r="BR6274" s="314"/>
      <c r="BS6274" s="314"/>
      <c r="BT6274" s="314"/>
      <c r="BU6274" s="314"/>
      <c r="BV6274" s="314"/>
      <c r="BW6274" s="314"/>
      <c r="BX6274" s="155"/>
    </row>
    <row r="6275" spans="1:76" ht="15.75" customHeight="1">
      <c r="A6275" s="25"/>
      <c r="B6275" s="39"/>
      <c r="C6275" s="155"/>
      <c r="D6275" s="155"/>
      <c r="E6275" s="40"/>
      <c r="F6275" s="314"/>
      <c r="H6275" s="315"/>
      <c r="I6275" s="315"/>
      <c r="BA6275" s="30"/>
      <c r="BB6275" s="155"/>
      <c r="BC6275" s="314"/>
      <c r="BD6275" s="314"/>
      <c r="BE6275" s="314"/>
      <c r="BF6275" s="314"/>
      <c r="BG6275" s="314"/>
      <c r="BH6275" s="314"/>
      <c r="BI6275" s="314"/>
      <c r="BJ6275" s="314"/>
      <c r="BK6275" s="40"/>
      <c r="BL6275" s="40"/>
      <c r="BM6275" s="40"/>
      <c r="BN6275" s="40"/>
      <c r="BO6275" s="40"/>
      <c r="BP6275" s="155"/>
      <c r="BQ6275" s="314"/>
      <c r="BR6275" s="314"/>
      <c r="BS6275" s="314"/>
      <c r="BT6275" s="314"/>
      <c r="BU6275" s="314"/>
      <c r="BV6275" s="314"/>
      <c r="BW6275" s="314"/>
      <c r="BX6275" s="155"/>
    </row>
    <row r="6276" spans="1:76" ht="15.75" customHeight="1">
      <c r="A6276" s="25"/>
      <c r="B6276" s="39"/>
      <c r="C6276" s="155"/>
      <c r="D6276" s="155"/>
      <c r="E6276" s="40"/>
      <c r="F6276" s="314"/>
      <c r="H6276" s="315"/>
      <c r="I6276" s="315"/>
      <c r="BA6276" s="30"/>
      <c r="BB6276" s="155"/>
      <c r="BC6276" s="314"/>
      <c r="BD6276" s="314"/>
      <c r="BE6276" s="314"/>
      <c r="BF6276" s="314"/>
      <c r="BG6276" s="314"/>
      <c r="BH6276" s="314"/>
      <c r="BI6276" s="314"/>
      <c r="BJ6276" s="314"/>
      <c r="BK6276" s="40"/>
      <c r="BL6276" s="40"/>
      <c r="BM6276" s="40"/>
      <c r="BN6276" s="40"/>
      <c r="BO6276" s="40"/>
      <c r="BP6276" s="155"/>
      <c r="BQ6276" s="314"/>
      <c r="BR6276" s="314"/>
      <c r="BS6276" s="314"/>
      <c r="BT6276" s="314"/>
      <c r="BU6276" s="314"/>
      <c r="BV6276" s="314"/>
      <c r="BW6276" s="314"/>
      <c r="BX6276" s="155"/>
    </row>
    <row r="6277" spans="1:76" ht="15.75" customHeight="1">
      <c r="A6277" s="25"/>
      <c r="B6277" s="39"/>
      <c r="C6277" s="155"/>
      <c r="D6277" s="155"/>
      <c r="E6277" s="40"/>
      <c r="F6277" s="314"/>
      <c r="H6277" s="315"/>
      <c r="I6277" s="315"/>
      <c r="BA6277" s="30"/>
      <c r="BB6277" s="155"/>
      <c r="BC6277" s="314"/>
      <c r="BD6277" s="314"/>
      <c r="BE6277" s="314"/>
      <c r="BF6277" s="314"/>
      <c r="BG6277" s="314"/>
      <c r="BH6277" s="314"/>
      <c r="BI6277" s="314"/>
      <c r="BJ6277" s="314"/>
      <c r="BK6277" s="40"/>
      <c r="BL6277" s="40"/>
      <c r="BM6277" s="40"/>
      <c r="BN6277" s="40"/>
      <c r="BO6277" s="40"/>
      <c r="BP6277" s="155"/>
      <c r="BQ6277" s="314"/>
      <c r="BR6277" s="314"/>
      <c r="BS6277" s="314"/>
      <c r="BT6277" s="314"/>
      <c r="BU6277" s="314"/>
      <c r="BV6277" s="314"/>
      <c r="BW6277" s="314"/>
      <c r="BX6277" s="155"/>
    </row>
    <row r="6278" spans="1:76" ht="15.75" customHeight="1">
      <c r="A6278" s="25"/>
      <c r="B6278" s="39"/>
      <c r="C6278" s="155"/>
      <c r="D6278" s="155"/>
      <c r="E6278" s="40"/>
      <c r="F6278" s="314"/>
      <c r="H6278" s="315"/>
      <c r="I6278" s="315"/>
      <c r="BA6278" s="30"/>
      <c r="BB6278" s="155"/>
      <c r="BC6278" s="314"/>
      <c r="BD6278" s="314"/>
      <c r="BE6278" s="314"/>
      <c r="BF6278" s="314"/>
      <c r="BG6278" s="314"/>
      <c r="BH6278" s="314"/>
      <c r="BI6278" s="314"/>
      <c r="BJ6278" s="314"/>
      <c r="BK6278" s="40"/>
      <c r="BL6278" s="40"/>
      <c r="BM6278" s="40"/>
      <c r="BN6278" s="40"/>
      <c r="BO6278" s="40"/>
      <c r="BP6278" s="155"/>
      <c r="BQ6278" s="314"/>
      <c r="BR6278" s="314"/>
      <c r="BS6278" s="314"/>
      <c r="BT6278" s="314"/>
      <c r="BU6278" s="314"/>
      <c r="BV6278" s="314"/>
      <c r="BW6278" s="314"/>
      <c r="BX6278" s="155"/>
    </row>
    <row r="6279" spans="1:76" ht="15.75" customHeight="1">
      <c r="A6279" s="25"/>
      <c r="B6279" s="39"/>
      <c r="C6279" s="155"/>
      <c r="D6279" s="155"/>
      <c r="E6279" s="40"/>
      <c r="F6279" s="314"/>
      <c r="H6279" s="315"/>
      <c r="I6279" s="315"/>
      <c r="BA6279" s="30"/>
      <c r="BB6279" s="155"/>
      <c r="BC6279" s="314"/>
      <c r="BD6279" s="314"/>
      <c r="BE6279" s="314"/>
      <c r="BF6279" s="314"/>
      <c r="BG6279" s="314"/>
      <c r="BH6279" s="314"/>
      <c r="BI6279" s="314"/>
      <c r="BJ6279" s="314"/>
      <c r="BK6279" s="40"/>
      <c r="BL6279" s="40"/>
      <c r="BM6279" s="40"/>
      <c r="BN6279" s="40"/>
      <c r="BO6279" s="40"/>
      <c r="BP6279" s="155"/>
      <c r="BQ6279" s="314"/>
      <c r="BR6279" s="314"/>
      <c r="BS6279" s="314"/>
      <c r="BT6279" s="314"/>
      <c r="BU6279" s="314"/>
      <c r="BV6279" s="314"/>
      <c r="BW6279" s="314"/>
      <c r="BX6279" s="155"/>
    </row>
    <row r="6280" spans="1:76" ht="15.75" customHeight="1">
      <c r="A6280" s="25"/>
      <c r="B6280" s="39"/>
      <c r="C6280" s="155"/>
      <c r="D6280" s="155"/>
      <c r="E6280" s="40"/>
      <c r="F6280" s="314"/>
      <c r="H6280" s="315"/>
      <c r="I6280" s="315"/>
      <c r="BA6280" s="30"/>
      <c r="BB6280" s="155"/>
      <c r="BC6280" s="314"/>
      <c r="BD6280" s="314"/>
      <c r="BE6280" s="314"/>
      <c r="BF6280" s="314"/>
      <c r="BG6280" s="314"/>
      <c r="BH6280" s="314"/>
      <c r="BI6280" s="314"/>
      <c r="BJ6280" s="314"/>
      <c r="BK6280" s="40"/>
      <c r="BL6280" s="40"/>
      <c r="BM6280" s="40"/>
      <c r="BN6280" s="40"/>
      <c r="BO6280" s="40"/>
      <c r="BP6280" s="155"/>
      <c r="BQ6280" s="314"/>
      <c r="BR6280" s="314"/>
      <c r="BS6280" s="314"/>
      <c r="BT6280" s="314"/>
      <c r="BU6280" s="314"/>
      <c r="BV6280" s="314"/>
      <c r="BW6280" s="314"/>
      <c r="BX6280" s="155"/>
    </row>
    <row r="6281" spans="1:76" ht="15.75" customHeight="1">
      <c r="A6281" s="25"/>
      <c r="B6281" s="39"/>
      <c r="C6281" s="155"/>
      <c r="D6281" s="155"/>
      <c r="E6281" s="40"/>
      <c r="F6281" s="314"/>
      <c r="H6281" s="315"/>
      <c r="I6281" s="315"/>
      <c r="BA6281" s="30"/>
      <c r="BB6281" s="155"/>
      <c r="BC6281" s="314"/>
      <c r="BD6281" s="314"/>
      <c r="BE6281" s="314"/>
      <c r="BF6281" s="314"/>
      <c r="BG6281" s="314"/>
      <c r="BH6281" s="314"/>
      <c r="BI6281" s="314"/>
      <c r="BJ6281" s="314"/>
      <c r="BK6281" s="40"/>
      <c r="BL6281" s="40"/>
      <c r="BM6281" s="40"/>
      <c r="BN6281" s="40"/>
      <c r="BO6281" s="40"/>
      <c r="BP6281" s="155"/>
      <c r="BQ6281" s="314"/>
      <c r="BR6281" s="314"/>
      <c r="BS6281" s="314"/>
      <c r="BT6281" s="314"/>
      <c r="BU6281" s="314"/>
      <c r="BV6281" s="314"/>
      <c r="BW6281" s="314"/>
      <c r="BX6281" s="155"/>
    </row>
    <row r="6282" spans="1:76" ht="15.75" customHeight="1">
      <c r="A6282" s="25"/>
      <c r="B6282" s="39"/>
      <c r="C6282" s="155"/>
      <c r="D6282" s="155"/>
      <c r="E6282" s="40"/>
      <c r="F6282" s="314"/>
      <c r="H6282" s="315"/>
      <c r="I6282" s="315"/>
      <c r="BA6282" s="30"/>
      <c r="BB6282" s="155"/>
      <c r="BC6282" s="314"/>
      <c r="BD6282" s="314"/>
      <c r="BE6282" s="314"/>
      <c r="BF6282" s="314"/>
      <c r="BG6282" s="314"/>
      <c r="BH6282" s="314"/>
      <c r="BI6282" s="314"/>
      <c r="BJ6282" s="314"/>
      <c r="BK6282" s="40"/>
      <c r="BL6282" s="40"/>
      <c r="BM6282" s="40"/>
      <c r="BN6282" s="40"/>
      <c r="BO6282" s="40"/>
      <c r="BP6282" s="155"/>
      <c r="BQ6282" s="314"/>
      <c r="BR6282" s="314"/>
      <c r="BS6282" s="314"/>
      <c r="BT6282" s="314"/>
      <c r="BU6282" s="314"/>
      <c r="BV6282" s="314"/>
      <c r="BW6282" s="314"/>
      <c r="BX6282" s="155"/>
    </row>
    <row r="6283" spans="1:76" ht="15.75" customHeight="1">
      <c r="A6283" s="25"/>
      <c r="B6283" s="39"/>
      <c r="C6283" s="155"/>
      <c r="D6283" s="155"/>
      <c r="E6283" s="40"/>
      <c r="F6283" s="314"/>
      <c r="H6283" s="315"/>
      <c r="I6283" s="315"/>
      <c r="BA6283" s="30"/>
      <c r="BB6283" s="155"/>
      <c r="BC6283" s="314"/>
      <c r="BD6283" s="314"/>
      <c r="BE6283" s="314"/>
      <c r="BF6283" s="314"/>
      <c r="BG6283" s="314"/>
      <c r="BH6283" s="314"/>
      <c r="BI6283" s="314"/>
      <c r="BJ6283" s="314"/>
      <c r="BK6283" s="40"/>
      <c r="BL6283" s="40"/>
      <c r="BM6283" s="40"/>
      <c r="BN6283" s="40"/>
      <c r="BO6283" s="40"/>
      <c r="BP6283" s="155"/>
      <c r="BQ6283" s="314"/>
      <c r="BR6283" s="314"/>
      <c r="BS6283" s="314"/>
      <c r="BT6283" s="314"/>
      <c r="BU6283" s="314"/>
      <c r="BV6283" s="314"/>
      <c r="BW6283" s="314"/>
      <c r="BX6283" s="155"/>
    </row>
    <row r="6284" spans="1:76" ht="15.75" customHeight="1">
      <c r="A6284" s="25"/>
      <c r="B6284" s="39"/>
      <c r="C6284" s="155"/>
      <c r="D6284" s="155"/>
      <c r="E6284" s="40"/>
      <c r="F6284" s="314"/>
      <c r="H6284" s="315"/>
      <c r="I6284" s="315"/>
      <c r="BA6284" s="30"/>
      <c r="BB6284" s="155"/>
      <c r="BC6284" s="314"/>
      <c r="BD6284" s="314"/>
      <c r="BE6284" s="314"/>
      <c r="BF6284" s="314"/>
      <c r="BG6284" s="314"/>
      <c r="BH6284" s="314"/>
      <c r="BI6284" s="314"/>
      <c r="BJ6284" s="314"/>
      <c r="BK6284" s="40"/>
      <c r="BL6284" s="40"/>
      <c r="BM6284" s="40"/>
      <c r="BN6284" s="40"/>
      <c r="BO6284" s="40"/>
      <c r="BP6284" s="155"/>
      <c r="BQ6284" s="314"/>
      <c r="BR6284" s="314"/>
      <c r="BS6284" s="314"/>
      <c r="BT6284" s="314"/>
      <c r="BU6284" s="314"/>
      <c r="BV6284" s="314"/>
      <c r="BW6284" s="314"/>
      <c r="BX6284" s="155"/>
    </row>
    <row r="6285" spans="1:76" ht="15.75" customHeight="1">
      <c r="A6285" s="25"/>
      <c r="B6285" s="39"/>
      <c r="C6285" s="155"/>
      <c r="D6285" s="155"/>
      <c r="E6285" s="40"/>
      <c r="F6285" s="314"/>
      <c r="H6285" s="315"/>
      <c r="I6285" s="315"/>
      <c r="BA6285" s="30"/>
      <c r="BB6285" s="155"/>
      <c r="BC6285" s="314"/>
      <c r="BD6285" s="314"/>
      <c r="BE6285" s="314"/>
      <c r="BF6285" s="314"/>
      <c r="BG6285" s="314"/>
      <c r="BH6285" s="314"/>
      <c r="BI6285" s="314"/>
      <c r="BJ6285" s="314"/>
      <c r="BK6285" s="40"/>
      <c r="BL6285" s="40"/>
      <c r="BM6285" s="40"/>
      <c r="BN6285" s="40"/>
      <c r="BO6285" s="40"/>
      <c r="BP6285" s="155"/>
      <c r="BQ6285" s="314"/>
      <c r="BR6285" s="314"/>
      <c r="BS6285" s="314"/>
      <c r="BT6285" s="314"/>
      <c r="BU6285" s="314"/>
      <c r="BV6285" s="314"/>
      <c r="BW6285" s="314"/>
      <c r="BX6285" s="155"/>
    </row>
    <row r="6286" spans="1:76" ht="15.75" customHeight="1">
      <c r="A6286" s="25"/>
      <c r="B6286" s="39"/>
      <c r="C6286" s="155"/>
      <c r="D6286" s="155"/>
      <c r="E6286" s="40"/>
      <c r="F6286" s="314"/>
      <c r="H6286" s="315"/>
      <c r="I6286" s="315"/>
      <c r="BA6286" s="30"/>
      <c r="BB6286" s="155"/>
      <c r="BC6286" s="314"/>
      <c r="BD6286" s="314"/>
      <c r="BE6286" s="314"/>
      <c r="BF6286" s="314"/>
      <c r="BG6286" s="314"/>
      <c r="BH6286" s="314"/>
      <c r="BI6286" s="314"/>
      <c r="BJ6286" s="314"/>
      <c r="BK6286" s="40"/>
      <c r="BL6286" s="40"/>
      <c r="BM6286" s="40"/>
      <c r="BN6286" s="40"/>
      <c r="BO6286" s="40"/>
      <c r="BP6286" s="155"/>
      <c r="BQ6286" s="314"/>
      <c r="BR6286" s="314"/>
      <c r="BS6286" s="314"/>
      <c r="BT6286" s="314"/>
      <c r="BU6286" s="314"/>
      <c r="BV6286" s="314"/>
      <c r="BW6286" s="314"/>
      <c r="BX6286" s="155"/>
    </row>
    <row r="6287" spans="1:76" ht="15.75" customHeight="1">
      <c r="A6287" s="25"/>
      <c r="B6287" s="39"/>
      <c r="C6287" s="155"/>
      <c r="D6287" s="155"/>
      <c r="E6287" s="40"/>
      <c r="F6287" s="314"/>
      <c r="H6287" s="315"/>
      <c r="I6287" s="315"/>
      <c r="BA6287" s="30"/>
      <c r="BB6287" s="155"/>
      <c r="BC6287" s="314"/>
      <c r="BD6287" s="314"/>
      <c r="BE6287" s="314"/>
      <c r="BF6287" s="314"/>
      <c r="BG6287" s="314"/>
      <c r="BH6287" s="314"/>
      <c r="BI6287" s="314"/>
      <c r="BJ6287" s="314"/>
      <c r="BK6287" s="40"/>
      <c r="BL6287" s="40"/>
      <c r="BM6287" s="40"/>
      <c r="BN6287" s="40"/>
      <c r="BO6287" s="40"/>
      <c r="BP6287" s="155"/>
      <c r="BQ6287" s="314"/>
      <c r="BR6287" s="314"/>
      <c r="BS6287" s="314"/>
      <c r="BT6287" s="314"/>
      <c r="BU6287" s="314"/>
      <c r="BV6287" s="314"/>
      <c r="BW6287" s="314"/>
      <c r="BX6287" s="155"/>
    </row>
    <row r="6288" spans="1:76" ht="15.75" customHeight="1">
      <c r="A6288" s="25"/>
      <c r="B6288" s="39"/>
      <c r="C6288" s="155"/>
      <c r="D6288" s="155"/>
      <c r="E6288" s="40"/>
      <c r="F6288" s="314"/>
      <c r="H6288" s="315"/>
      <c r="I6288" s="315"/>
      <c r="BA6288" s="30"/>
      <c r="BB6288" s="155"/>
      <c r="BC6288" s="314"/>
      <c r="BD6288" s="314"/>
      <c r="BE6288" s="314"/>
      <c r="BF6288" s="314"/>
      <c r="BG6288" s="314"/>
      <c r="BH6288" s="314"/>
      <c r="BI6288" s="314"/>
      <c r="BJ6288" s="314"/>
      <c r="BK6288" s="40"/>
      <c r="BL6288" s="40"/>
      <c r="BM6288" s="40"/>
      <c r="BN6288" s="40"/>
      <c r="BO6288" s="40"/>
      <c r="BP6288" s="155"/>
      <c r="BQ6288" s="314"/>
      <c r="BR6288" s="314"/>
      <c r="BS6288" s="314"/>
      <c r="BT6288" s="314"/>
      <c r="BU6288" s="314"/>
      <c r="BV6288" s="314"/>
      <c r="BW6288" s="314"/>
      <c r="BX6288" s="155"/>
    </row>
    <row r="6289" spans="1:76" ht="15.75" customHeight="1">
      <c r="A6289" s="25"/>
      <c r="B6289" s="39"/>
      <c r="C6289" s="155"/>
      <c r="D6289" s="155"/>
      <c r="E6289" s="40"/>
      <c r="F6289" s="314"/>
      <c r="H6289" s="315"/>
      <c r="I6289" s="315"/>
      <c r="BA6289" s="30"/>
      <c r="BB6289" s="155"/>
      <c r="BC6289" s="314"/>
      <c r="BD6289" s="314"/>
      <c r="BE6289" s="314"/>
      <c r="BF6289" s="314"/>
      <c r="BG6289" s="314"/>
      <c r="BH6289" s="314"/>
      <c r="BI6289" s="314"/>
      <c r="BJ6289" s="314"/>
      <c r="BK6289" s="40"/>
      <c r="BL6289" s="40"/>
      <c r="BM6289" s="40"/>
      <c r="BN6289" s="40"/>
      <c r="BO6289" s="40"/>
      <c r="BP6289" s="155"/>
      <c r="BQ6289" s="314"/>
      <c r="BR6289" s="314"/>
      <c r="BS6289" s="314"/>
      <c r="BT6289" s="314"/>
      <c r="BU6289" s="314"/>
      <c r="BV6289" s="314"/>
      <c r="BW6289" s="314"/>
      <c r="BX6289" s="155"/>
    </row>
    <row r="6290" spans="1:76" ht="15.75" customHeight="1">
      <c r="A6290" s="25"/>
      <c r="B6290" s="39"/>
      <c r="C6290" s="155"/>
      <c r="D6290" s="155"/>
      <c r="E6290" s="40"/>
      <c r="F6290" s="314"/>
      <c r="H6290" s="315"/>
      <c r="I6290" s="315"/>
      <c r="BA6290" s="30"/>
      <c r="BB6290" s="155"/>
      <c r="BC6290" s="314"/>
      <c r="BD6290" s="314"/>
      <c r="BE6290" s="314"/>
      <c r="BF6290" s="314"/>
      <c r="BG6290" s="314"/>
      <c r="BH6290" s="314"/>
      <c r="BI6290" s="314"/>
      <c r="BJ6290" s="314"/>
      <c r="BK6290" s="40"/>
      <c r="BL6290" s="40"/>
      <c r="BM6290" s="40"/>
      <c r="BN6290" s="40"/>
      <c r="BO6290" s="40"/>
      <c r="BP6290" s="155"/>
      <c r="BQ6290" s="314"/>
      <c r="BR6290" s="314"/>
      <c r="BS6290" s="314"/>
      <c r="BT6290" s="314"/>
      <c r="BU6290" s="314"/>
      <c r="BV6290" s="314"/>
      <c r="BW6290" s="314"/>
      <c r="BX6290" s="155"/>
    </row>
    <row r="6291" spans="1:76" ht="15.75" customHeight="1">
      <c r="A6291" s="25"/>
      <c r="B6291" s="39"/>
      <c r="C6291" s="155"/>
      <c r="D6291" s="155"/>
      <c r="E6291" s="40"/>
      <c r="F6291" s="314"/>
      <c r="H6291" s="315"/>
      <c r="I6291" s="315"/>
      <c r="BA6291" s="30"/>
      <c r="BB6291" s="155"/>
      <c r="BC6291" s="314"/>
      <c r="BD6291" s="314"/>
      <c r="BE6291" s="314"/>
      <c r="BF6291" s="314"/>
      <c r="BG6291" s="314"/>
      <c r="BH6291" s="314"/>
      <c r="BI6291" s="314"/>
      <c r="BJ6291" s="314"/>
      <c r="BK6291" s="40"/>
      <c r="BL6291" s="40"/>
      <c r="BM6291" s="40"/>
      <c r="BN6291" s="40"/>
      <c r="BO6291" s="40"/>
      <c r="BP6291" s="155"/>
      <c r="BQ6291" s="314"/>
      <c r="BR6291" s="314"/>
      <c r="BS6291" s="314"/>
      <c r="BT6291" s="314"/>
      <c r="BU6291" s="314"/>
      <c r="BV6291" s="314"/>
      <c r="BW6291" s="314"/>
      <c r="BX6291" s="155"/>
    </row>
    <row r="6292" spans="1:76" ht="15.75" customHeight="1">
      <c r="A6292" s="25"/>
      <c r="B6292" s="39"/>
      <c r="C6292" s="155"/>
      <c r="D6292" s="155"/>
      <c r="E6292" s="40"/>
      <c r="F6292" s="314"/>
      <c r="H6292" s="315"/>
      <c r="I6292" s="315"/>
      <c r="BA6292" s="30"/>
      <c r="BB6292" s="155"/>
      <c r="BC6292" s="314"/>
      <c r="BD6292" s="314"/>
      <c r="BE6292" s="314"/>
      <c r="BF6292" s="314"/>
      <c r="BG6292" s="314"/>
      <c r="BH6292" s="314"/>
      <c r="BI6292" s="314"/>
      <c r="BJ6292" s="314"/>
      <c r="BK6292" s="40"/>
      <c r="BL6292" s="40"/>
      <c r="BM6292" s="40"/>
      <c r="BN6292" s="40"/>
      <c r="BO6292" s="40"/>
      <c r="BP6292" s="155"/>
      <c r="BQ6292" s="314"/>
      <c r="BR6292" s="314"/>
      <c r="BS6292" s="314"/>
      <c r="BT6292" s="314"/>
      <c r="BU6292" s="314"/>
      <c r="BV6292" s="314"/>
      <c r="BW6292" s="314"/>
      <c r="BX6292" s="155"/>
    </row>
    <row r="6293" spans="1:76" ht="15.75" customHeight="1">
      <c r="A6293" s="25"/>
      <c r="B6293" s="39"/>
      <c r="C6293" s="155"/>
      <c r="D6293" s="155"/>
      <c r="E6293" s="40"/>
      <c r="F6293" s="314"/>
      <c r="H6293" s="315"/>
      <c r="I6293" s="315"/>
      <c r="BA6293" s="30"/>
      <c r="BB6293" s="155"/>
      <c r="BC6293" s="314"/>
      <c r="BD6293" s="314"/>
      <c r="BE6293" s="314"/>
      <c r="BF6293" s="314"/>
      <c r="BG6293" s="314"/>
      <c r="BH6293" s="314"/>
      <c r="BI6293" s="314"/>
      <c r="BJ6293" s="314"/>
      <c r="BK6293" s="40"/>
      <c r="BL6293" s="40"/>
      <c r="BM6293" s="40"/>
      <c r="BN6293" s="40"/>
      <c r="BO6293" s="40"/>
      <c r="BP6293" s="155"/>
      <c r="BQ6293" s="314"/>
      <c r="BR6293" s="314"/>
      <c r="BS6293" s="314"/>
      <c r="BT6293" s="314"/>
      <c r="BU6293" s="314"/>
      <c r="BV6293" s="314"/>
      <c r="BW6293" s="314"/>
      <c r="BX6293" s="155"/>
    </row>
    <row r="6294" spans="1:76" ht="15.75" customHeight="1">
      <c r="A6294" s="25"/>
      <c r="B6294" s="39"/>
      <c r="C6294" s="155"/>
      <c r="D6294" s="155"/>
      <c r="E6294" s="40"/>
      <c r="F6294" s="314"/>
      <c r="H6294" s="315"/>
      <c r="I6294" s="315"/>
      <c r="BA6294" s="30"/>
      <c r="BB6294" s="155"/>
      <c r="BC6294" s="314"/>
      <c r="BD6294" s="314"/>
      <c r="BE6294" s="314"/>
      <c r="BF6294" s="314"/>
      <c r="BG6294" s="314"/>
      <c r="BH6294" s="314"/>
      <c r="BI6294" s="314"/>
      <c r="BJ6294" s="314"/>
      <c r="BK6294" s="40"/>
      <c r="BL6294" s="40"/>
      <c r="BM6294" s="40"/>
      <c r="BN6294" s="40"/>
      <c r="BO6294" s="40"/>
      <c r="BP6294" s="155"/>
      <c r="BQ6294" s="314"/>
      <c r="BR6294" s="314"/>
      <c r="BS6294" s="314"/>
      <c r="BT6294" s="314"/>
      <c r="BU6294" s="314"/>
      <c r="BV6294" s="314"/>
      <c r="BW6294" s="314"/>
      <c r="BX6294" s="155"/>
    </row>
    <row r="6295" spans="1:76" ht="15.75" customHeight="1">
      <c r="A6295" s="25"/>
      <c r="B6295" s="39"/>
      <c r="C6295" s="155"/>
      <c r="D6295" s="155"/>
      <c r="E6295" s="40"/>
      <c r="F6295" s="314"/>
      <c r="H6295" s="315"/>
      <c r="I6295" s="315"/>
      <c r="BA6295" s="30"/>
      <c r="BB6295" s="155"/>
      <c r="BC6295" s="314"/>
      <c r="BD6295" s="314"/>
      <c r="BE6295" s="314"/>
      <c r="BF6295" s="314"/>
      <c r="BG6295" s="314"/>
      <c r="BH6295" s="314"/>
      <c r="BI6295" s="314"/>
      <c r="BJ6295" s="314"/>
      <c r="BK6295" s="40"/>
      <c r="BL6295" s="40"/>
      <c r="BM6295" s="40"/>
      <c r="BN6295" s="40"/>
      <c r="BO6295" s="40"/>
      <c r="BP6295" s="155"/>
      <c r="BQ6295" s="314"/>
      <c r="BR6295" s="314"/>
      <c r="BS6295" s="314"/>
      <c r="BT6295" s="314"/>
      <c r="BU6295" s="314"/>
      <c r="BV6295" s="314"/>
      <c r="BW6295" s="314"/>
      <c r="BX6295" s="155"/>
    </row>
    <row r="6296" spans="1:76" ht="15.75" customHeight="1">
      <c r="A6296" s="25"/>
      <c r="B6296" s="39"/>
      <c r="C6296" s="155"/>
      <c r="D6296" s="155"/>
      <c r="E6296" s="40"/>
      <c r="F6296" s="314"/>
      <c r="H6296" s="315"/>
      <c r="I6296" s="315"/>
      <c r="BA6296" s="30"/>
      <c r="BB6296" s="155"/>
      <c r="BC6296" s="314"/>
      <c r="BD6296" s="314"/>
      <c r="BE6296" s="314"/>
      <c r="BF6296" s="314"/>
      <c r="BG6296" s="314"/>
      <c r="BH6296" s="314"/>
      <c r="BI6296" s="314"/>
      <c r="BJ6296" s="314"/>
      <c r="BK6296" s="40"/>
      <c r="BL6296" s="40"/>
      <c r="BM6296" s="40"/>
      <c r="BN6296" s="40"/>
      <c r="BO6296" s="40"/>
      <c r="BP6296" s="155"/>
      <c r="BQ6296" s="314"/>
      <c r="BR6296" s="314"/>
      <c r="BS6296" s="314"/>
      <c r="BT6296" s="314"/>
      <c r="BU6296" s="314"/>
      <c r="BV6296" s="314"/>
      <c r="BW6296" s="314"/>
      <c r="BX6296" s="155"/>
    </row>
    <row r="6297" spans="1:76" ht="15.75" customHeight="1">
      <c r="A6297" s="25"/>
      <c r="B6297" s="39"/>
      <c r="C6297" s="155"/>
      <c r="D6297" s="155"/>
      <c r="E6297" s="40"/>
      <c r="F6297" s="314"/>
      <c r="H6297" s="315"/>
      <c r="I6297" s="315"/>
      <c r="BA6297" s="30"/>
      <c r="BB6297" s="155"/>
      <c r="BC6297" s="314"/>
      <c r="BD6297" s="314"/>
      <c r="BE6297" s="314"/>
      <c r="BF6297" s="314"/>
      <c r="BG6297" s="314"/>
      <c r="BH6297" s="314"/>
      <c r="BI6297" s="314"/>
      <c r="BJ6297" s="314"/>
      <c r="BK6297" s="40"/>
      <c r="BL6297" s="40"/>
      <c r="BM6297" s="40"/>
      <c r="BN6297" s="40"/>
      <c r="BO6297" s="40"/>
      <c r="BP6297" s="155"/>
      <c r="BQ6297" s="314"/>
      <c r="BR6297" s="314"/>
      <c r="BS6297" s="314"/>
      <c r="BT6297" s="314"/>
      <c r="BU6297" s="314"/>
      <c r="BV6297" s="314"/>
      <c r="BW6297" s="314"/>
      <c r="BX6297" s="155"/>
    </row>
    <row r="6298" spans="1:76" ht="15.75" customHeight="1">
      <c r="A6298" s="25"/>
      <c r="B6298" s="39"/>
      <c r="C6298" s="155"/>
      <c r="D6298" s="155"/>
      <c r="E6298" s="40"/>
      <c r="F6298" s="314"/>
      <c r="H6298" s="315"/>
      <c r="I6298" s="315"/>
      <c r="BA6298" s="30"/>
      <c r="BB6298" s="155"/>
      <c r="BC6298" s="314"/>
      <c r="BD6298" s="314"/>
      <c r="BE6298" s="314"/>
      <c r="BF6298" s="314"/>
      <c r="BG6298" s="314"/>
      <c r="BH6298" s="314"/>
      <c r="BI6298" s="314"/>
      <c r="BJ6298" s="314"/>
      <c r="BK6298" s="40"/>
      <c r="BL6298" s="40"/>
      <c r="BM6298" s="40"/>
      <c r="BN6298" s="40"/>
      <c r="BO6298" s="40"/>
      <c r="BP6298" s="155"/>
      <c r="BQ6298" s="314"/>
      <c r="BR6298" s="314"/>
      <c r="BS6298" s="314"/>
      <c r="BT6298" s="314"/>
      <c r="BU6298" s="314"/>
      <c r="BV6298" s="314"/>
      <c r="BW6298" s="314"/>
      <c r="BX6298" s="155"/>
    </row>
    <row r="6299" spans="1:76" ht="15.75" customHeight="1">
      <c r="A6299" s="25"/>
      <c r="B6299" s="39"/>
      <c r="C6299" s="155"/>
      <c r="D6299" s="155"/>
      <c r="E6299" s="40"/>
      <c r="F6299" s="314"/>
      <c r="H6299" s="315"/>
      <c r="I6299" s="315"/>
      <c r="BA6299" s="30"/>
      <c r="BB6299" s="155"/>
      <c r="BC6299" s="314"/>
      <c r="BD6299" s="314"/>
      <c r="BE6299" s="314"/>
      <c r="BF6299" s="314"/>
      <c r="BG6299" s="314"/>
      <c r="BH6299" s="314"/>
      <c r="BI6299" s="314"/>
      <c r="BJ6299" s="314"/>
      <c r="BK6299" s="40"/>
      <c r="BL6299" s="40"/>
      <c r="BM6299" s="40"/>
      <c r="BN6299" s="40"/>
      <c r="BO6299" s="40"/>
      <c r="BP6299" s="155"/>
      <c r="BQ6299" s="314"/>
      <c r="BR6299" s="314"/>
      <c r="BS6299" s="314"/>
      <c r="BT6299" s="314"/>
      <c r="BU6299" s="314"/>
      <c r="BV6299" s="314"/>
      <c r="BW6299" s="314"/>
      <c r="BX6299" s="155"/>
    </row>
    <row r="6300" spans="1:76" ht="15.75" customHeight="1">
      <c r="A6300" s="25"/>
      <c r="B6300" s="39"/>
      <c r="C6300" s="155"/>
      <c r="D6300" s="155"/>
      <c r="E6300" s="40"/>
      <c r="F6300" s="314"/>
      <c r="H6300" s="315"/>
      <c r="I6300" s="315"/>
      <c r="BA6300" s="30"/>
      <c r="BB6300" s="155"/>
      <c r="BC6300" s="314"/>
      <c r="BD6300" s="314"/>
      <c r="BE6300" s="314"/>
      <c r="BF6300" s="314"/>
      <c r="BG6300" s="314"/>
      <c r="BH6300" s="314"/>
      <c r="BI6300" s="314"/>
      <c r="BJ6300" s="314"/>
      <c r="BK6300" s="40"/>
      <c r="BL6300" s="40"/>
      <c r="BM6300" s="40"/>
      <c r="BN6300" s="40"/>
      <c r="BO6300" s="40"/>
      <c r="BP6300" s="155"/>
      <c r="BQ6300" s="314"/>
      <c r="BR6300" s="314"/>
      <c r="BS6300" s="314"/>
      <c r="BT6300" s="314"/>
      <c r="BU6300" s="314"/>
      <c r="BV6300" s="314"/>
      <c r="BW6300" s="314"/>
      <c r="BX6300" s="155"/>
    </row>
    <row r="6301" spans="1:76" ht="15.75" customHeight="1">
      <c r="A6301" s="25"/>
      <c r="B6301" s="39"/>
      <c r="C6301" s="155"/>
      <c r="D6301" s="155"/>
      <c r="E6301" s="40"/>
      <c r="F6301" s="314"/>
      <c r="H6301" s="315"/>
      <c r="I6301" s="315"/>
      <c r="BA6301" s="30"/>
      <c r="BB6301" s="155"/>
      <c r="BC6301" s="314"/>
      <c r="BD6301" s="314"/>
      <c r="BE6301" s="314"/>
      <c r="BF6301" s="314"/>
      <c r="BG6301" s="314"/>
      <c r="BH6301" s="314"/>
      <c r="BI6301" s="314"/>
      <c r="BJ6301" s="314"/>
      <c r="BK6301" s="40"/>
      <c r="BL6301" s="40"/>
      <c r="BM6301" s="40"/>
      <c r="BN6301" s="40"/>
      <c r="BO6301" s="40"/>
      <c r="BP6301" s="155"/>
      <c r="BQ6301" s="314"/>
      <c r="BR6301" s="314"/>
      <c r="BS6301" s="314"/>
      <c r="BT6301" s="314"/>
      <c r="BU6301" s="314"/>
      <c r="BV6301" s="314"/>
      <c r="BW6301" s="314"/>
      <c r="BX6301" s="155"/>
    </row>
    <row r="6302" spans="1:76" ht="15.75" customHeight="1">
      <c r="A6302" s="25"/>
      <c r="B6302" s="39"/>
      <c r="C6302" s="155"/>
      <c r="D6302" s="155"/>
      <c r="E6302" s="40"/>
      <c r="F6302" s="314"/>
      <c r="H6302" s="315"/>
      <c r="I6302" s="315"/>
      <c r="BA6302" s="30"/>
      <c r="BB6302" s="155"/>
      <c r="BC6302" s="314"/>
      <c r="BD6302" s="314"/>
      <c r="BE6302" s="314"/>
      <c r="BF6302" s="314"/>
      <c r="BG6302" s="314"/>
      <c r="BH6302" s="314"/>
      <c r="BI6302" s="314"/>
      <c r="BJ6302" s="314"/>
      <c r="BK6302" s="40"/>
      <c r="BL6302" s="40"/>
      <c r="BM6302" s="40"/>
      <c r="BN6302" s="40"/>
      <c r="BO6302" s="40"/>
      <c r="BP6302" s="155"/>
      <c r="BQ6302" s="314"/>
      <c r="BR6302" s="314"/>
      <c r="BS6302" s="314"/>
      <c r="BT6302" s="314"/>
      <c r="BU6302" s="314"/>
      <c r="BV6302" s="314"/>
      <c r="BW6302" s="314"/>
      <c r="BX6302" s="155"/>
    </row>
    <row r="6303" spans="1:76" ht="15.75" customHeight="1">
      <c r="A6303" s="25"/>
      <c r="B6303" s="39"/>
      <c r="C6303" s="155"/>
      <c r="D6303" s="155"/>
      <c r="E6303" s="40"/>
      <c r="F6303" s="314"/>
      <c r="H6303" s="315"/>
      <c r="I6303" s="315"/>
      <c r="BA6303" s="30"/>
      <c r="BB6303" s="155"/>
      <c r="BC6303" s="314"/>
      <c r="BD6303" s="314"/>
      <c r="BE6303" s="314"/>
      <c r="BF6303" s="314"/>
      <c r="BG6303" s="314"/>
      <c r="BH6303" s="314"/>
      <c r="BI6303" s="314"/>
      <c r="BJ6303" s="314"/>
      <c r="BK6303" s="40"/>
      <c r="BL6303" s="40"/>
      <c r="BM6303" s="40"/>
      <c r="BN6303" s="40"/>
      <c r="BO6303" s="40"/>
      <c r="BP6303" s="155"/>
      <c r="BQ6303" s="314"/>
      <c r="BR6303" s="314"/>
      <c r="BS6303" s="314"/>
      <c r="BT6303" s="314"/>
      <c r="BU6303" s="314"/>
      <c r="BV6303" s="314"/>
      <c r="BW6303" s="314"/>
      <c r="BX6303" s="155"/>
    </row>
    <row r="6304" spans="1:76" ht="15.75" customHeight="1">
      <c r="A6304" s="25"/>
      <c r="B6304" s="39"/>
      <c r="C6304" s="155"/>
      <c r="D6304" s="155"/>
      <c r="E6304" s="40"/>
      <c r="F6304" s="314"/>
      <c r="H6304" s="315"/>
      <c r="I6304" s="315"/>
      <c r="BA6304" s="30"/>
      <c r="BB6304" s="155"/>
      <c r="BC6304" s="314"/>
      <c r="BD6304" s="314"/>
      <c r="BE6304" s="314"/>
      <c r="BF6304" s="314"/>
      <c r="BG6304" s="314"/>
      <c r="BH6304" s="314"/>
      <c r="BI6304" s="314"/>
      <c r="BJ6304" s="314"/>
      <c r="BK6304" s="40"/>
      <c r="BL6304" s="40"/>
      <c r="BM6304" s="40"/>
      <c r="BN6304" s="40"/>
      <c r="BO6304" s="40"/>
      <c r="BP6304" s="155"/>
      <c r="BQ6304" s="314"/>
      <c r="BR6304" s="314"/>
      <c r="BS6304" s="314"/>
      <c r="BT6304" s="314"/>
      <c r="BU6304" s="314"/>
      <c r="BV6304" s="314"/>
      <c r="BW6304" s="314"/>
      <c r="BX6304" s="155"/>
    </row>
    <row r="6305" spans="1:76" ht="15.75" customHeight="1">
      <c r="A6305" s="25"/>
      <c r="B6305" s="39"/>
      <c r="C6305" s="155"/>
      <c r="D6305" s="155"/>
      <c r="E6305" s="40"/>
      <c r="F6305" s="314"/>
      <c r="H6305" s="315"/>
      <c r="I6305" s="315"/>
      <c r="BA6305" s="30"/>
      <c r="BB6305" s="155"/>
      <c r="BC6305" s="314"/>
      <c r="BD6305" s="314"/>
      <c r="BE6305" s="314"/>
      <c r="BF6305" s="314"/>
      <c r="BG6305" s="314"/>
      <c r="BH6305" s="314"/>
      <c r="BI6305" s="314"/>
      <c r="BJ6305" s="314"/>
      <c r="BK6305" s="40"/>
      <c r="BL6305" s="40"/>
      <c r="BM6305" s="40"/>
      <c r="BN6305" s="40"/>
      <c r="BO6305" s="40"/>
      <c r="BP6305" s="155"/>
      <c r="BQ6305" s="314"/>
      <c r="BR6305" s="314"/>
      <c r="BS6305" s="314"/>
      <c r="BT6305" s="314"/>
      <c r="BU6305" s="314"/>
      <c r="BV6305" s="314"/>
      <c r="BW6305" s="314"/>
      <c r="BX6305" s="155"/>
    </row>
    <row r="6306" spans="1:76" ht="15.75" customHeight="1">
      <c r="A6306" s="25"/>
      <c r="B6306" s="39"/>
      <c r="C6306" s="155"/>
      <c r="D6306" s="155"/>
      <c r="E6306" s="40"/>
      <c r="F6306" s="314"/>
      <c r="H6306" s="315"/>
      <c r="I6306" s="315"/>
      <c r="BA6306" s="30"/>
      <c r="BB6306" s="155"/>
      <c r="BC6306" s="314"/>
      <c r="BD6306" s="314"/>
      <c r="BE6306" s="314"/>
      <c r="BF6306" s="314"/>
      <c r="BG6306" s="314"/>
      <c r="BH6306" s="314"/>
      <c r="BI6306" s="314"/>
      <c r="BJ6306" s="314"/>
      <c r="BK6306" s="40"/>
      <c r="BL6306" s="40"/>
      <c r="BM6306" s="40"/>
      <c r="BN6306" s="40"/>
      <c r="BO6306" s="40"/>
      <c r="BP6306" s="155"/>
      <c r="BQ6306" s="314"/>
      <c r="BR6306" s="314"/>
      <c r="BS6306" s="314"/>
      <c r="BT6306" s="314"/>
      <c r="BU6306" s="314"/>
      <c r="BV6306" s="314"/>
      <c r="BW6306" s="314"/>
      <c r="BX6306" s="155"/>
    </row>
    <row r="6307" spans="1:76" ht="15.75" customHeight="1">
      <c r="A6307" s="25"/>
      <c r="B6307" s="39"/>
      <c r="C6307" s="155"/>
      <c r="D6307" s="155"/>
      <c r="E6307" s="40"/>
      <c r="F6307" s="314"/>
      <c r="H6307" s="315"/>
      <c r="I6307" s="315"/>
      <c r="BA6307" s="30"/>
      <c r="BB6307" s="155"/>
      <c r="BC6307" s="314"/>
      <c r="BD6307" s="314"/>
      <c r="BE6307" s="314"/>
      <c r="BF6307" s="314"/>
      <c r="BG6307" s="314"/>
      <c r="BH6307" s="314"/>
      <c r="BI6307" s="314"/>
      <c r="BJ6307" s="314"/>
      <c r="BK6307" s="40"/>
      <c r="BL6307" s="40"/>
      <c r="BM6307" s="40"/>
      <c r="BN6307" s="40"/>
      <c r="BO6307" s="40"/>
      <c r="BP6307" s="155"/>
      <c r="BQ6307" s="314"/>
      <c r="BR6307" s="314"/>
      <c r="BS6307" s="314"/>
      <c r="BT6307" s="314"/>
      <c r="BU6307" s="314"/>
      <c r="BV6307" s="314"/>
      <c r="BW6307" s="314"/>
      <c r="BX6307" s="155"/>
    </row>
    <row r="6308" spans="1:76" ht="15.75" customHeight="1">
      <c r="A6308" s="25"/>
      <c r="B6308" s="39"/>
      <c r="C6308" s="155"/>
      <c r="D6308" s="155"/>
      <c r="E6308" s="40"/>
      <c r="F6308" s="314"/>
      <c r="H6308" s="315"/>
      <c r="I6308" s="315"/>
      <c r="BA6308" s="30"/>
      <c r="BB6308" s="155"/>
      <c r="BC6308" s="314"/>
      <c r="BD6308" s="314"/>
      <c r="BE6308" s="314"/>
      <c r="BF6308" s="314"/>
      <c r="BG6308" s="314"/>
      <c r="BH6308" s="314"/>
      <c r="BI6308" s="314"/>
      <c r="BJ6308" s="314"/>
      <c r="BK6308" s="40"/>
      <c r="BL6308" s="40"/>
      <c r="BM6308" s="40"/>
      <c r="BN6308" s="40"/>
      <c r="BO6308" s="40"/>
      <c r="BP6308" s="155"/>
      <c r="BQ6308" s="314"/>
      <c r="BR6308" s="314"/>
      <c r="BS6308" s="314"/>
      <c r="BT6308" s="314"/>
      <c r="BU6308" s="314"/>
      <c r="BV6308" s="314"/>
      <c r="BW6308" s="314"/>
      <c r="BX6308" s="155"/>
    </row>
    <row r="6309" spans="1:76" ht="15.75" customHeight="1">
      <c r="A6309" s="25"/>
      <c r="B6309" s="39"/>
      <c r="C6309" s="155"/>
      <c r="D6309" s="155"/>
      <c r="E6309" s="40"/>
      <c r="F6309" s="314"/>
      <c r="H6309" s="315"/>
      <c r="I6309" s="315"/>
      <c r="BA6309" s="30"/>
      <c r="BB6309" s="155"/>
      <c r="BC6309" s="314"/>
      <c r="BD6309" s="314"/>
      <c r="BE6309" s="314"/>
      <c r="BF6309" s="314"/>
      <c r="BG6309" s="314"/>
      <c r="BH6309" s="314"/>
      <c r="BI6309" s="314"/>
      <c r="BJ6309" s="314"/>
      <c r="BK6309" s="40"/>
      <c r="BL6309" s="40"/>
      <c r="BM6309" s="40"/>
      <c r="BN6309" s="40"/>
      <c r="BO6309" s="40"/>
      <c r="BP6309" s="155"/>
      <c r="BQ6309" s="314"/>
      <c r="BR6309" s="314"/>
      <c r="BS6309" s="314"/>
      <c r="BT6309" s="314"/>
      <c r="BU6309" s="314"/>
      <c r="BV6309" s="314"/>
      <c r="BW6309" s="314"/>
      <c r="BX6309" s="155"/>
    </row>
    <row r="6310" spans="1:76" ht="15.75" customHeight="1">
      <c r="A6310" s="25"/>
      <c r="B6310" s="39"/>
      <c r="C6310" s="155"/>
      <c r="D6310" s="155"/>
      <c r="E6310" s="40"/>
      <c r="F6310" s="314"/>
      <c r="H6310" s="315"/>
      <c r="I6310" s="315"/>
      <c r="BA6310" s="30"/>
      <c r="BB6310" s="155"/>
      <c r="BC6310" s="314"/>
      <c r="BD6310" s="314"/>
      <c r="BE6310" s="314"/>
      <c r="BF6310" s="314"/>
      <c r="BG6310" s="314"/>
      <c r="BH6310" s="314"/>
      <c r="BI6310" s="314"/>
      <c r="BJ6310" s="314"/>
      <c r="BK6310" s="40"/>
      <c r="BL6310" s="40"/>
      <c r="BM6310" s="40"/>
      <c r="BN6310" s="40"/>
      <c r="BO6310" s="40"/>
      <c r="BP6310" s="155"/>
      <c r="BQ6310" s="314"/>
      <c r="BR6310" s="314"/>
      <c r="BS6310" s="314"/>
      <c r="BT6310" s="314"/>
      <c r="BU6310" s="314"/>
      <c r="BV6310" s="314"/>
      <c r="BW6310" s="314"/>
      <c r="BX6310" s="155"/>
    </row>
    <row r="6311" spans="1:76" ht="15.75" customHeight="1">
      <c r="A6311" s="25"/>
      <c r="B6311" s="39"/>
      <c r="C6311" s="155"/>
      <c r="D6311" s="155"/>
      <c r="E6311" s="40"/>
      <c r="F6311" s="314"/>
      <c r="H6311" s="315"/>
      <c r="I6311" s="315"/>
      <c r="BA6311" s="30"/>
      <c r="BB6311" s="155"/>
      <c r="BC6311" s="314"/>
      <c r="BD6311" s="314"/>
      <c r="BE6311" s="314"/>
      <c r="BF6311" s="314"/>
      <c r="BG6311" s="314"/>
      <c r="BH6311" s="314"/>
      <c r="BI6311" s="314"/>
      <c r="BJ6311" s="314"/>
      <c r="BK6311" s="40"/>
      <c r="BL6311" s="40"/>
      <c r="BM6311" s="40"/>
      <c r="BN6311" s="40"/>
      <c r="BO6311" s="40"/>
      <c r="BP6311" s="155"/>
      <c r="BQ6311" s="314"/>
      <c r="BR6311" s="314"/>
      <c r="BS6311" s="314"/>
      <c r="BT6311" s="314"/>
      <c r="BU6311" s="314"/>
      <c r="BV6311" s="314"/>
      <c r="BW6311" s="314"/>
      <c r="BX6311" s="155"/>
    </row>
    <row r="6312" spans="1:76" ht="15.75" customHeight="1">
      <c r="A6312" s="25"/>
      <c r="B6312" s="39"/>
      <c r="C6312" s="155"/>
      <c r="D6312" s="155"/>
      <c r="E6312" s="40"/>
      <c r="F6312" s="314"/>
      <c r="H6312" s="315"/>
      <c r="I6312" s="315"/>
      <c r="BA6312" s="30"/>
      <c r="BB6312" s="155"/>
      <c r="BC6312" s="314"/>
      <c r="BD6312" s="314"/>
      <c r="BE6312" s="314"/>
      <c r="BF6312" s="314"/>
      <c r="BG6312" s="314"/>
      <c r="BH6312" s="314"/>
      <c r="BI6312" s="314"/>
      <c r="BJ6312" s="314"/>
      <c r="BK6312" s="40"/>
      <c r="BL6312" s="40"/>
      <c r="BM6312" s="40"/>
      <c r="BN6312" s="40"/>
      <c r="BO6312" s="40"/>
      <c r="BP6312" s="155"/>
      <c r="BQ6312" s="314"/>
      <c r="BR6312" s="314"/>
      <c r="BS6312" s="314"/>
      <c r="BT6312" s="314"/>
      <c r="BU6312" s="314"/>
      <c r="BV6312" s="314"/>
      <c r="BW6312" s="314"/>
      <c r="BX6312" s="155"/>
    </row>
    <row r="6313" spans="1:76" ht="15.75" customHeight="1">
      <c r="A6313" s="25"/>
      <c r="B6313" s="39"/>
      <c r="C6313" s="155"/>
      <c r="D6313" s="155"/>
      <c r="E6313" s="40"/>
      <c r="F6313" s="314"/>
      <c r="H6313" s="315"/>
      <c r="I6313" s="315"/>
      <c r="BA6313" s="30"/>
      <c r="BB6313" s="155"/>
      <c r="BC6313" s="314"/>
      <c r="BD6313" s="314"/>
      <c r="BE6313" s="314"/>
      <c r="BF6313" s="314"/>
      <c r="BG6313" s="314"/>
      <c r="BH6313" s="314"/>
      <c r="BI6313" s="314"/>
      <c r="BJ6313" s="314"/>
      <c r="BK6313" s="40"/>
      <c r="BL6313" s="40"/>
      <c r="BM6313" s="40"/>
      <c r="BN6313" s="40"/>
      <c r="BO6313" s="40"/>
      <c r="BP6313" s="155"/>
      <c r="BQ6313" s="314"/>
      <c r="BR6313" s="314"/>
      <c r="BS6313" s="314"/>
      <c r="BT6313" s="314"/>
      <c r="BU6313" s="314"/>
      <c r="BV6313" s="314"/>
      <c r="BW6313" s="314"/>
      <c r="BX6313" s="155"/>
    </row>
    <row r="6314" spans="1:76" ht="15.75" customHeight="1">
      <c r="A6314" s="25"/>
      <c r="B6314" s="39"/>
      <c r="C6314" s="155"/>
      <c r="D6314" s="155"/>
      <c r="E6314" s="40"/>
      <c r="F6314" s="314"/>
      <c r="H6314" s="315"/>
      <c r="I6314" s="315"/>
      <c r="BA6314" s="30"/>
      <c r="BB6314" s="155"/>
      <c r="BC6314" s="314"/>
      <c r="BD6314" s="314"/>
      <c r="BE6314" s="314"/>
      <c r="BF6314" s="314"/>
      <c r="BG6314" s="314"/>
      <c r="BH6314" s="314"/>
      <c r="BI6314" s="314"/>
      <c r="BJ6314" s="314"/>
      <c r="BK6314" s="40"/>
      <c r="BL6314" s="40"/>
      <c r="BM6314" s="40"/>
      <c r="BN6314" s="40"/>
      <c r="BO6314" s="40"/>
      <c r="BP6314" s="155"/>
      <c r="BQ6314" s="314"/>
      <c r="BR6314" s="314"/>
      <c r="BS6314" s="314"/>
      <c r="BT6314" s="314"/>
      <c r="BU6314" s="314"/>
      <c r="BV6314" s="314"/>
      <c r="BW6314" s="314"/>
      <c r="BX6314" s="155"/>
    </row>
    <row r="6315" spans="1:76" ht="15.75" customHeight="1">
      <c r="A6315" s="25"/>
      <c r="B6315" s="39"/>
      <c r="C6315" s="155"/>
      <c r="D6315" s="155"/>
      <c r="E6315" s="40"/>
      <c r="F6315" s="314"/>
      <c r="H6315" s="315"/>
      <c r="I6315" s="315"/>
      <c r="BA6315" s="30"/>
      <c r="BB6315" s="155"/>
      <c r="BC6315" s="314"/>
      <c r="BD6315" s="314"/>
      <c r="BE6315" s="314"/>
      <c r="BF6315" s="314"/>
      <c r="BG6315" s="314"/>
      <c r="BH6315" s="314"/>
      <c r="BI6315" s="314"/>
      <c r="BJ6315" s="314"/>
      <c r="BK6315" s="40"/>
      <c r="BL6315" s="40"/>
      <c r="BM6315" s="40"/>
      <c r="BN6315" s="40"/>
      <c r="BO6315" s="40"/>
      <c r="BP6315" s="155"/>
      <c r="BQ6315" s="314"/>
      <c r="BR6315" s="314"/>
      <c r="BS6315" s="314"/>
      <c r="BT6315" s="314"/>
      <c r="BU6315" s="314"/>
      <c r="BV6315" s="314"/>
      <c r="BW6315" s="314"/>
      <c r="BX6315" s="155"/>
    </row>
    <row r="6316" spans="1:76" ht="15.75" customHeight="1">
      <c r="A6316" s="25"/>
      <c r="B6316" s="39"/>
      <c r="C6316" s="155"/>
      <c r="D6316" s="155"/>
      <c r="E6316" s="40"/>
      <c r="F6316" s="314"/>
      <c r="H6316" s="315"/>
      <c r="I6316" s="315"/>
      <c r="BA6316" s="30"/>
      <c r="BB6316" s="155"/>
      <c r="BC6316" s="314"/>
      <c r="BD6316" s="314"/>
      <c r="BE6316" s="314"/>
      <c r="BF6316" s="314"/>
      <c r="BG6316" s="314"/>
      <c r="BH6316" s="314"/>
      <c r="BI6316" s="314"/>
      <c r="BJ6316" s="314"/>
      <c r="BK6316" s="40"/>
      <c r="BL6316" s="40"/>
      <c r="BM6316" s="40"/>
      <c r="BN6316" s="40"/>
      <c r="BO6316" s="40"/>
      <c r="BP6316" s="155"/>
      <c r="BQ6316" s="314"/>
      <c r="BR6316" s="314"/>
      <c r="BS6316" s="314"/>
      <c r="BT6316" s="314"/>
      <c r="BU6316" s="314"/>
      <c r="BV6316" s="314"/>
      <c r="BW6316" s="314"/>
      <c r="BX6316" s="155"/>
    </row>
    <row r="6317" spans="1:76" ht="15.75" customHeight="1">
      <c r="A6317" s="25"/>
      <c r="B6317" s="39"/>
      <c r="C6317" s="155"/>
      <c r="D6317" s="155"/>
      <c r="E6317" s="40"/>
      <c r="F6317" s="314"/>
      <c r="H6317" s="315"/>
      <c r="I6317" s="315"/>
      <c r="BA6317" s="30"/>
      <c r="BB6317" s="155"/>
      <c r="BC6317" s="314"/>
      <c r="BD6317" s="314"/>
      <c r="BE6317" s="314"/>
      <c r="BF6317" s="314"/>
      <c r="BG6317" s="314"/>
      <c r="BH6317" s="314"/>
      <c r="BI6317" s="314"/>
      <c r="BJ6317" s="314"/>
      <c r="BK6317" s="40"/>
      <c r="BL6317" s="40"/>
      <c r="BM6317" s="40"/>
      <c r="BN6317" s="40"/>
      <c r="BO6317" s="40"/>
      <c r="BP6317" s="155"/>
      <c r="BQ6317" s="314"/>
      <c r="BR6317" s="314"/>
      <c r="BS6317" s="314"/>
      <c r="BT6317" s="314"/>
      <c r="BU6317" s="314"/>
      <c r="BV6317" s="314"/>
      <c r="BW6317" s="314"/>
      <c r="BX6317" s="155"/>
    </row>
    <row r="6318" spans="1:76" ht="15.75" customHeight="1">
      <c r="A6318" s="25"/>
      <c r="B6318" s="39"/>
      <c r="C6318" s="155"/>
      <c r="D6318" s="155"/>
      <c r="E6318" s="40"/>
      <c r="F6318" s="314"/>
      <c r="H6318" s="315"/>
      <c r="I6318" s="315"/>
      <c r="BA6318" s="30"/>
      <c r="BB6318" s="155"/>
      <c r="BC6318" s="314"/>
      <c r="BD6318" s="314"/>
      <c r="BE6318" s="314"/>
      <c r="BF6318" s="314"/>
      <c r="BG6318" s="314"/>
      <c r="BH6318" s="314"/>
      <c r="BI6318" s="314"/>
      <c r="BJ6318" s="314"/>
      <c r="BK6318" s="40"/>
      <c r="BL6318" s="40"/>
      <c r="BM6318" s="40"/>
      <c r="BN6318" s="40"/>
      <c r="BO6318" s="40"/>
      <c r="BP6318" s="155"/>
      <c r="BQ6318" s="314"/>
      <c r="BR6318" s="314"/>
      <c r="BS6318" s="314"/>
      <c r="BT6318" s="314"/>
      <c r="BU6318" s="314"/>
      <c r="BV6318" s="314"/>
      <c r="BW6318" s="314"/>
      <c r="BX6318" s="155"/>
    </row>
    <row r="6319" spans="1:76" ht="15.75" customHeight="1">
      <c r="A6319" s="25"/>
      <c r="B6319" s="39"/>
      <c r="C6319" s="155"/>
      <c r="D6319" s="155"/>
      <c r="E6319" s="40"/>
      <c r="F6319" s="314"/>
      <c r="H6319" s="315"/>
      <c r="I6319" s="315"/>
      <c r="BA6319" s="30"/>
      <c r="BB6319" s="155"/>
      <c r="BC6319" s="314"/>
      <c r="BD6319" s="314"/>
      <c r="BE6319" s="314"/>
      <c r="BF6319" s="314"/>
      <c r="BG6319" s="314"/>
      <c r="BH6319" s="314"/>
      <c r="BI6319" s="314"/>
      <c r="BJ6319" s="314"/>
      <c r="BK6319" s="40"/>
      <c r="BL6319" s="40"/>
      <c r="BM6319" s="40"/>
      <c r="BN6319" s="40"/>
      <c r="BO6319" s="40"/>
      <c r="BP6319" s="155"/>
      <c r="BQ6319" s="314"/>
      <c r="BR6319" s="314"/>
      <c r="BS6319" s="314"/>
      <c r="BT6319" s="314"/>
      <c r="BU6319" s="314"/>
      <c r="BV6319" s="314"/>
      <c r="BW6319" s="314"/>
      <c r="BX6319" s="155"/>
    </row>
    <row r="6320" spans="1:76" ht="15.75" customHeight="1">
      <c r="A6320" s="25"/>
      <c r="B6320" s="39"/>
      <c r="C6320" s="155"/>
      <c r="D6320" s="155"/>
      <c r="E6320" s="40"/>
      <c r="F6320" s="314"/>
      <c r="H6320" s="315"/>
      <c r="I6320" s="315"/>
      <c r="BA6320" s="30"/>
      <c r="BB6320" s="155"/>
      <c r="BC6320" s="314"/>
      <c r="BD6320" s="314"/>
      <c r="BE6320" s="314"/>
      <c r="BF6320" s="314"/>
      <c r="BG6320" s="314"/>
      <c r="BH6320" s="314"/>
      <c r="BI6320" s="314"/>
      <c r="BJ6320" s="314"/>
      <c r="BK6320" s="40"/>
      <c r="BL6320" s="40"/>
      <c r="BM6320" s="40"/>
      <c r="BN6320" s="40"/>
      <c r="BO6320" s="40"/>
      <c r="BP6320" s="155"/>
      <c r="BQ6320" s="314"/>
      <c r="BR6320" s="314"/>
      <c r="BS6320" s="314"/>
      <c r="BT6320" s="314"/>
      <c r="BU6320" s="314"/>
      <c r="BV6320" s="314"/>
      <c r="BW6320" s="314"/>
      <c r="BX6320" s="155"/>
    </row>
    <row r="6321" spans="1:76" ht="15.75" customHeight="1">
      <c r="A6321" s="25"/>
      <c r="B6321" s="39"/>
      <c r="C6321" s="155"/>
      <c r="D6321" s="155"/>
      <c r="E6321" s="40"/>
      <c r="F6321" s="314"/>
      <c r="H6321" s="315"/>
      <c r="I6321" s="315"/>
      <c r="BA6321" s="30"/>
      <c r="BB6321" s="155"/>
      <c r="BC6321" s="314"/>
      <c r="BD6321" s="314"/>
      <c r="BE6321" s="314"/>
      <c r="BF6321" s="314"/>
      <c r="BG6321" s="314"/>
      <c r="BH6321" s="314"/>
      <c r="BI6321" s="314"/>
      <c r="BJ6321" s="314"/>
      <c r="BK6321" s="40"/>
      <c r="BL6321" s="40"/>
      <c r="BM6321" s="40"/>
      <c r="BN6321" s="40"/>
      <c r="BO6321" s="40"/>
      <c r="BP6321" s="155"/>
      <c r="BQ6321" s="314"/>
      <c r="BR6321" s="314"/>
      <c r="BS6321" s="314"/>
      <c r="BT6321" s="314"/>
      <c r="BU6321" s="314"/>
      <c r="BV6321" s="314"/>
      <c r="BW6321" s="314"/>
      <c r="BX6321" s="155"/>
    </row>
    <row r="6322" spans="1:76" ht="15.75" customHeight="1">
      <c r="A6322" s="25"/>
      <c r="B6322" s="39"/>
      <c r="C6322" s="155"/>
      <c r="D6322" s="155"/>
      <c r="E6322" s="40"/>
      <c r="F6322" s="314"/>
      <c r="H6322" s="315"/>
      <c r="I6322" s="315"/>
      <c r="BA6322" s="30"/>
      <c r="BB6322" s="155"/>
      <c r="BC6322" s="314"/>
      <c r="BD6322" s="314"/>
      <c r="BE6322" s="314"/>
      <c r="BF6322" s="314"/>
      <c r="BG6322" s="314"/>
      <c r="BH6322" s="314"/>
      <c r="BI6322" s="314"/>
      <c r="BJ6322" s="314"/>
      <c r="BK6322" s="40"/>
      <c r="BL6322" s="40"/>
      <c r="BM6322" s="40"/>
      <c r="BN6322" s="40"/>
      <c r="BO6322" s="40"/>
      <c r="BP6322" s="155"/>
      <c r="BQ6322" s="314"/>
      <c r="BR6322" s="314"/>
      <c r="BS6322" s="314"/>
      <c r="BT6322" s="314"/>
      <c r="BU6322" s="314"/>
      <c r="BV6322" s="314"/>
      <c r="BW6322" s="314"/>
      <c r="BX6322" s="155"/>
    </row>
    <row r="6323" spans="1:76" ht="15.75" customHeight="1">
      <c r="A6323" s="25"/>
      <c r="B6323" s="39"/>
      <c r="C6323" s="155"/>
      <c r="D6323" s="155"/>
      <c r="E6323" s="40"/>
      <c r="F6323" s="314"/>
      <c r="H6323" s="315"/>
      <c r="I6323" s="315"/>
      <c r="BA6323" s="30"/>
      <c r="BB6323" s="155"/>
      <c r="BC6323" s="314"/>
      <c r="BD6323" s="314"/>
      <c r="BE6323" s="314"/>
      <c r="BF6323" s="314"/>
      <c r="BG6323" s="314"/>
      <c r="BH6323" s="314"/>
      <c r="BI6323" s="314"/>
      <c r="BJ6323" s="314"/>
      <c r="BK6323" s="40"/>
      <c r="BL6323" s="40"/>
      <c r="BM6323" s="40"/>
      <c r="BN6323" s="40"/>
      <c r="BO6323" s="40"/>
      <c r="BP6323" s="155"/>
      <c r="BQ6323" s="314"/>
      <c r="BR6323" s="314"/>
      <c r="BS6323" s="314"/>
      <c r="BT6323" s="314"/>
      <c r="BU6323" s="314"/>
      <c r="BV6323" s="314"/>
      <c r="BW6323" s="314"/>
      <c r="BX6323" s="155"/>
    </row>
    <row r="6324" spans="1:76" ht="15.75" customHeight="1">
      <c r="A6324" s="25"/>
      <c r="B6324" s="39"/>
      <c r="C6324" s="155"/>
      <c r="D6324" s="155"/>
      <c r="E6324" s="40"/>
      <c r="F6324" s="314"/>
      <c r="H6324" s="315"/>
      <c r="I6324" s="315"/>
      <c r="BA6324" s="30"/>
      <c r="BB6324" s="155"/>
      <c r="BC6324" s="314"/>
      <c r="BD6324" s="314"/>
      <c r="BE6324" s="314"/>
      <c r="BF6324" s="314"/>
      <c r="BG6324" s="314"/>
      <c r="BH6324" s="314"/>
      <c r="BI6324" s="314"/>
      <c r="BJ6324" s="314"/>
      <c r="BK6324" s="40"/>
      <c r="BL6324" s="40"/>
      <c r="BM6324" s="40"/>
      <c r="BN6324" s="40"/>
      <c r="BO6324" s="40"/>
      <c r="BP6324" s="155"/>
      <c r="BQ6324" s="314"/>
      <c r="BR6324" s="314"/>
      <c r="BS6324" s="314"/>
      <c r="BT6324" s="314"/>
      <c r="BU6324" s="314"/>
      <c r="BV6324" s="314"/>
      <c r="BW6324" s="314"/>
      <c r="BX6324" s="155"/>
    </row>
    <row r="6325" spans="1:76" ht="15.75" customHeight="1">
      <c r="A6325" s="25"/>
      <c r="B6325" s="39"/>
      <c r="C6325" s="155"/>
      <c r="D6325" s="155"/>
      <c r="E6325" s="40"/>
      <c r="F6325" s="314"/>
      <c r="H6325" s="315"/>
      <c r="I6325" s="315"/>
      <c r="BA6325" s="30"/>
      <c r="BB6325" s="155"/>
      <c r="BC6325" s="314"/>
      <c r="BD6325" s="314"/>
      <c r="BE6325" s="314"/>
      <c r="BF6325" s="314"/>
      <c r="BG6325" s="314"/>
      <c r="BH6325" s="314"/>
      <c r="BI6325" s="314"/>
      <c r="BJ6325" s="314"/>
      <c r="BK6325" s="40"/>
      <c r="BL6325" s="40"/>
      <c r="BM6325" s="40"/>
      <c r="BN6325" s="40"/>
      <c r="BO6325" s="40"/>
      <c r="BP6325" s="155"/>
      <c r="BQ6325" s="314"/>
      <c r="BR6325" s="314"/>
      <c r="BS6325" s="314"/>
      <c r="BT6325" s="314"/>
      <c r="BU6325" s="314"/>
      <c r="BV6325" s="314"/>
      <c r="BW6325" s="314"/>
      <c r="BX6325" s="155"/>
    </row>
    <row r="6326" spans="1:76" ht="15.75" customHeight="1">
      <c r="A6326" s="25"/>
      <c r="B6326" s="39"/>
      <c r="C6326" s="155"/>
      <c r="D6326" s="155"/>
      <c r="E6326" s="40"/>
      <c r="F6326" s="314"/>
      <c r="H6326" s="315"/>
      <c r="I6326" s="315"/>
      <c r="BA6326" s="30"/>
      <c r="BB6326" s="155"/>
      <c r="BC6326" s="314"/>
      <c r="BD6326" s="314"/>
      <c r="BE6326" s="314"/>
      <c r="BF6326" s="314"/>
      <c r="BG6326" s="314"/>
      <c r="BH6326" s="314"/>
      <c r="BI6326" s="314"/>
      <c r="BJ6326" s="314"/>
      <c r="BK6326" s="40"/>
      <c r="BL6326" s="40"/>
      <c r="BM6326" s="40"/>
      <c r="BN6326" s="40"/>
      <c r="BO6326" s="40"/>
      <c r="BP6326" s="155"/>
      <c r="BQ6326" s="314"/>
      <c r="BR6326" s="314"/>
      <c r="BS6326" s="314"/>
      <c r="BT6326" s="314"/>
      <c r="BU6326" s="314"/>
      <c r="BV6326" s="314"/>
      <c r="BW6326" s="314"/>
      <c r="BX6326" s="155"/>
    </row>
    <row r="6327" spans="1:76" ht="15.75" customHeight="1">
      <c r="A6327" s="25"/>
      <c r="B6327" s="39"/>
      <c r="C6327" s="155"/>
      <c r="D6327" s="155"/>
      <c r="E6327" s="40"/>
      <c r="F6327" s="314"/>
      <c r="H6327" s="315"/>
      <c r="I6327" s="315"/>
      <c r="BA6327" s="30"/>
      <c r="BB6327" s="155"/>
      <c r="BC6327" s="314"/>
      <c r="BD6327" s="314"/>
      <c r="BE6327" s="314"/>
      <c r="BF6327" s="314"/>
      <c r="BG6327" s="314"/>
      <c r="BH6327" s="314"/>
      <c r="BI6327" s="314"/>
      <c r="BJ6327" s="314"/>
      <c r="BK6327" s="40"/>
      <c r="BL6327" s="40"/>
      <c r="BM6327" s="40"/>
      <c r="BN6327" s="40"/>
      <c r="BO6327" s="40"/>
      <c r="BP6327" s="155"/>
      <c r="BQ6327" s="314"/>
      <c r="BR6327" s="314"/>
      <c r="BS6327" s="314"/>
      <c r="BT6327" s="314"/>
      <c r="BU6327" s="314"/>
      <c r="BV6327" s="314"/>
      <c r="BW6327" s="314"/>
      <c r="BX6327" s="155"/>
    </row>
    <row r="6328" spans="1:76" ht="15.75" customHeight="1">
      <c r="A6328" s="25"/>
      <c r="B6328" s="39"/>
      <c r="C6328" s="155"/>
      <c r="D6328" s="155"/>
      <c r="E6328" s="40"/>
      <c r="F6328" s="314"/>
      <c r="H6328" s="315"/>
      <c r="I6328" s="315"/>
      <c r="BA6328" s="30"/>
      <c r="BB6328" s="155"/>
      <c r="BC6328" s="314"/>
      <c r="BD6328" s="314"/>
      <c r="BE6328" s="314"/>
      <c r="BF6328" s="314"/>
      <c r="BG6328" s="314"/>
      <c r="BH6328" s="314"/>
      <c r="BI6328" s="314"/>
      <c r="BJ6328" s="314"/>
      <c r="BK6328" s="40"/>
      <c r="BL6328" s="40"/>
      <c r="BM6328" s="40"/>
      <c r="BN6328" s="40"/>
      <c r="BO6328" s="40"/>
      <c r="BP6328" s="155"/>
      <c r="BQ6328" s="314"/>
      <c r="BR6328" s="314"/>
      <c r="BS6328" s="314"/>
      <c r="BT6328" s="314"/>
      <c r="BU6328" s="314"/>
      <c r="BV6328" s="314"/>
      <c r="BW6328" s="314"/>
      <c r="BX6328" s="155"/>
    </row>
    <row r="6329" spans="1:76" ht="15.75" customHeight="1">
      <c r="A6329" s="25"/>
      <c r="B6329" s="39"/>
      <c r="C6329" s="155"/>
      <c r="D6329" s="155"/>
      <c r="E6329" s="40"/>
      <c r="F6329" s="314"/>
      <c r="H6329" s="315"/>
      <c r="I6329" s="315"/>
      <c r="BA6329" s="30"/>
      <c r="BB6329" s="155"/>
      <c r="BC6329" s="314"/>
      <c r="BD6329" s="314"/>
      <c r="BE6329" s="314"/>
      <c r="BF6329" s="314"/>
      <c r="BG6329" s="314"/>
      <c r="BH6329" s="314"/>
      <c r="BI6329" s="314"/>
      <c r="BJ6329" s="314"/>
      <c r="BK6329" s="40"/>
      <c r="BL6329" s="40"/>
      <c r="BM6329" s="40"/>
      <c r="BN6329" s="40"/>
      <c r="BO6329" s="40"/>
      <c r="BP6329" s="155"/>
      <c r="BQ6329" s="314"/>
      <c r="BR6329" s="314"/>
      <c r="BS6329" s="314"/>
      <c r="BT6329" s="314"/>
      <c r="BU6329" s="314"/>
      <c r="BV6329" s="314"/>
      <c r="BW6329" s="314"/>
      <c r="BX6329" s="155"/>
    </row>
    <row r="6330" spans="1:76" ht="15.75" customHeight="1">
      <c r="A6330" s="25"/>
      <c r="B6330" s="39"/>
      <c r="C6330" s="155"/>
      <c r="D6330" s="155"/>
      <c r="E6330" s="40"/>
      <c r="F6330" s="314"/>
      <c r="H6330" s="315"/>
      <c r="I6330" s="315"/>
      <c r="BA6330" s="30"/>
      <c r="BB6330" s="155"/>
      <c r="BC6330" s="314"/>
      <c r="BD6330" s="314"/>
      <c r="BE6330" s="314"/>
      <c r="BF6330" s="314"/>
      <c r="BG6330" s="314"/>
      <c r="BH6330" s="314"/>
      <c r="BI6330" s="314"/>
      <c r="BJ6330" s="314"/>
      <c r="BK6330" s="40"/>
      <c r="BL6330" s="40"/>
      <c r="BM6330" s="40"/>
      <c r="BN6330" s="40"/>
      <c r="BO6330" s="40"/>
      <c r="BP6330" s="155"/>
      <c r="BQ6330" s="314"/>
      <c r="BR6330" s="314"/>
      <c r="BS6330" s="314"/>
      <c r="BT6330" s="314"/>
      <c r="BU6330" s="314"/>
      <c r="BV6330" s="314"/>
      <c r="BW6330" s="314"/>
      <c r="BX6330" s="155"/>
    </row>
    <row r="6331" spans="1:76" ht="15.75" customHeight="1">
      <c r="A6331" s="25"/>
      <c r="B6331" s="39"/>
      <c r="C6331" s="155"/>
      <c r="D6331" s="155"/>
      <c r="E6331" s="40"/>
      <c r="F6331" s="314"/>
      <c r="H6331" s="315"/>
      <c r="I6331" s="315"/>
      <c r="BA6331" s="30"/>
      <c r="BB6331" s="155"/>
      <c r="BC6331" s="314"/>
      <c r="BD6331" s="314"/>
      <c r="BE6331" s="314"/>
      <c r="BF6331" s="314"/>
      <c r="BG6331" s="314"/>
      <c r="BH6331" s="314"/>
      <c r="BI6331" s="314"/>
      <c r="BJ6331" s="314"/>
      <c r="BK6331" s="40"/>
      <c r="BL6331" s="40"/>
      <c r="BM6331" s="40"/>
      <c r="BN6331" s="40"/>
      <c r="BO6331" s="40"/>
      <c r="BP6331" s="155"/>
      <c r="BQ6331" s="314"/>
      <c r="BR6331" s="314"/>
      <c r="BS6331" s="314"/>
      <c r="BT6331" s="314"/>
      <c r="BU6331" s="314"/>
      <c r="BV6331" s="314"/>
      <c r="BW6331" s="314"/>
      <c r="BX6331" s="155"/>
    </row>
    <row r="6332" spans="1:76" ht="15.75" customHeight="1">
      <c r="A6332" s="25"/>
      <c r="B6332" s="39"/>
      <c r="C6332" s="155"/>
      <c r="D6332" s="155"/>
      <c r="E6332" s="40"/>
      <c r="F6332" s="314"/>
      <c r="H6332" s="315"/>
      <c r="I6332" s="315"/>
      <c r="BA6332" s="30"/>
      <c r="BB6332" s="155"/>
      <c r="BC6332" s="314"/>
      <c r="BD6332" s="314"/>
      <c r="BE6332" s="314"/>
      <c r="BF6332" s="314"/>
      <c r="BG6332" s="314"/>
      <c r="BH6332" s="314"/>
      <c r="BI6332" s="314"/>
      <c r="BJ6332" s="314"/>
      <c r="BK6332" s="40"/>
      <c r="BL6332" s="40"/>
      <c r="BM6332" s="40"/>
      <c r="BN6332" s="40"/>
      <c r="BO6332" s="40"/>
      <c r="BP6332" s="155"/>
      <c r="BQ6332" s="314"/>
      <c r="BR6332" s="314"/>
      <c r="BS6332" s="314"/>
      <c r="BT6332" s="314"/>
      <c r="BU6332" s="314"/>
      <c r="BV6332" s="314"/>
      <c r="BW6332" s="314"/>
      <c r="BX6332" s="155"/>
    </row>
    <row r="6333" spans="1:76" ht="15.75" customHeight="1">
      <c r="A6333" s="25"/>
      <c r="B6333" s="39"/>
      <c r="C6333" s="155"/>
      <c r="D6333" s="155"/>
      <c r="E6333" s="40"/>
      <c r="F6333" s="314"/>
      <c r="H6333" s="315"/>
      <c r="I6333" s="315"/>
      <c r="BA6333" s="30"/>
      <c r="BB6333" s="155"/>
      <c r="BC6333" s="314"/>
      <c r="BD6333" s="314"/>
      <c r="BE6333" s="314"/>
      <c r="BF6333" s="314"/>
      <c r="BG6333" s="314"/>
      <c r="BH6333" s="314"/>
      <c r="BI6333" s="314"/>
      <c r="BJ6333" s="314"/>
      <c r="BK6333" s="40"/>
      <c r="BL6333" s="40"/>
      <c r="BM6333" s="40"/>
      <c r="BN6333" s="40"/>
      <c r="BO6333" s="40"/>
      <c r="BP6333" s="155"/>
      <c r="BQ6333" s="314"/>
      <c r="BR6333" s="314"/>
      <c r="BS6333" s="314"/>
      <c r="BT6333" s="314"/>
      <c r="BU6333" s="314"/>
      <c r="BV6333" s="314"/>
      <c r="BW6333" s="314"/>
      <c r="BX6333" s="155"/>
    </row>
    <row r="6334" spans="1:76" ht="15.75" customHeight="1">
      <c r="A6334" s="25"/>
      <c r="B6334" s="39"/>
      <c r="C6334" s="155"/>
      <c r="D6334" s="155"/>
      <c r="E6334" s="40"/>
      <c r="F6334" s="314"/>
      <c r="H6334" s="315"/>
      <c r="I6334" s="315"/>
      <c r="BA6334" s="30"/>
      <c r="BB6334" s="155"/>
      <c r="BC6334" s="314"/>
      <c r="BD6334" s="314"/>
      <c r="BE6334" s="314"/>
      <c r="BF6334" s="314"/>
      <c r="BG6334" s="314"/>
      <c r="BH6334" s="314"/>
      <c r="BI6334" s="314"/>
      <c r="BJ6334" s="314"/>
      <c r="BK6334" s="40"/>
      <c r="BL6334" s="40"/>
      <c r="BM6334" s="40"/>
      <c r="BN6334" s="40"/>
      <c r="BO6334" s="40"/>
      <c r="BP6334" s="155"/>
      <c r="BQ6334" s="314"/>
      <c r="BR6334" s="314"/>
      <c r="BS6334" s="314"/>
      <c r="BT6334" s="314"/>
      <c r="BU6334" s="314"/>
      <c r="BV6334" s="314"/>
      <c r="BW6334" s="314"/>
      <c r="BX6334" s="155"/>
    </row>
    <row r="6335" spans="1:76" ht="15.75" customHeight="1">
      <c r="A6335" s="25"/>
      <c r="B6335" s="39"/>
      <c r="C6335" s="155"/>
      <c r="D6335" s="155"/>
      <c r="E6335" s="40"/>
      <c r="F6335" s="314"/>
      <c r="H6335" s="315"/>
      <c r="I6335" s="315"/>
      <c r="BA6335" s="30"/>
      <c r="BB6335" s="155"/>
      <c r="BC6335" s="314"/>
      <c r="BD6335" s="314"/>
      <c r="BE6335" s="314"/>
      <c r="BF6335" s="314"/>
      <c r="BG6335" s="314"/>
      <c r="BH6335" s="314"/>
      <c r="BI6335" s="314"/>
      <c r="BJ6335" s="314"/>
      <c r="BK6335" s="40"/>
      <c r="BL6335" s="40"/>
      <c r="BM6335" s="40"/>
      <c r="BN6335" s="40"/>
      <c r="BO6335" s="40"/>
      <c r="BP6335" s="155"/>
      <c r="BQ6335" s="314"/>
      <c r="BR6335" s="314"/>
      <c r="BS6335" s="314"/>
      <c r="BT6335" s="314"/>
      <c r="BU6335" s="314"/>
      <c r="BV6335" s="314"/>
      <c r="BW6335" s="314"/>
      <c r="BX6335" s="155"/>
    </row>
    <row r="6336" spans="1:76" ht="15.75" customHeight="1">
      <c r="A6336" s="25"/>
      <c r="B6336" s="39"/>
      <c r="C6336" s="155"/>
      <c r="D6336" s="155"/>
      <c r="E6336" s="40"/>
      <c r="F6336" s="314"/>
      <c r="H6336" s="315"/>
      <c r="I6336" s="315"/>
      <c r="BA6336" s="30"/>
      <c r="BB6336" s="155"/>
      <c r="BC6336" s="314"/>
      <c r="BD6336" s="314"/>
      <c r="BE6336" s="314"/>
      <c r="BF6336" s="314"/>
      <c r="BG6336" s="314"/>
      <c r="BH6336" s="314"/>
      <c r="BI6336" s="314"/>
      <c r="BJ6336" s="314"/>
      <c r="BK6336" s="40"/>
      <c r="BL6336" s="40"/>
      <c r="BM6336" s="40"/>
      <c r="BN6336" s="40"/>
      <c r="BO6336" s="40"/>
      <c r="BP6336" s="155"/>
      <c r="BQ6336" s="314"/>
      <c r="BR6336" s="314"/>
      <c r="BS6336" s="314"/>
      <c r="BT6336" s="314"/>
      <c r="BU6336" s="314"/>
      <c r="BV6336" s="314"/>
      <c r="BW6336" s="314"/>
      <c r="BX6336" s="155"/>
    </row>
    <row r="6337" spans="1:76" ht="15.75" customHeight="1">
      <c r="A6337" s="25"/>
      <c r="B6337" s="39"/>
      <c r="C6337" s="155"/>
      <c r="D6337" s="155"/>
      <c r="E6337" s="40"/>
      <c r="F6337" s="314"/>
      <c r="H6337" s="315"/>
      <c r="I6337" s="315"/>
      <c r="BA6337" s="30"/>
      <c r="BB6337" s="155"/>
      <c r="BC6337" s="314"/>
      <c r="BD6337" s="314"/>
      <c r="BE6337" s="314"/>
      <c r="BF6337" s="314"/>
      <c r="BG6337" s="314"/>
      <c r="BH6337" s="314"/>
      <c r="BI6337" s="314"/>
      <c r="BJ6337" s="314"/>
      <c r="BK6337" s="40"/>
      <c r="BL6337" s="40"/>
      <c r="BM6337" s="40"/>
      <c r="BN6337" s="40"/>
      <c r="BO6337" s="40"/>
      <c r="BP6337" s="155"/>
      <c r="BQ6337" s="314"/>
      <c r="BR6337" s="314"/>
      <c r="BS6337" s="314"/>
      <c r="BT6337" s="314"/>
      <c r="BU6337" s="314"/>
      <c r="BV6337" s="314"/>
      <c r="BW6337" s="314"/>
      <c r="BX6337" s="155"/>
    </row>
    <row r="6338" spans="1:76" ht="15.75" customHeight="1">
      <c r="A6338" s="25"/>
      <c r="B6338" s="39"/>
      <c r="C6338" s="155"/>
      <c r="D6338" s="155"/>
      <c r="E6338" s="40"/>
      <c r="F6338" s="314"/>
      <c r="H6338" s="315"/>
      <c r="I6338" s="315"/>
      <c r="BA6338" s="30"/>
      <c r="BB6338" s="155"/>
      <c r="BC6338" s="314"/>
      <c r="BD6338" s="314"/>
      <c r="BE6338" s="314"/>
      <c r="BF6338" s="314"/>
      <c r="BG6338" s="314"/>
      <c r="BH6338" s="314"/>
      <c r="BI6338" s="314"/>
      <c r="BJ6338" s="314"/>
      <c r="BK6338" s="40"/>
      <c r="BL6338" s="40"/>
      <c r="BM6338" s="40"/>
      <c r="BN6338" s="40"/>
      <c r="BO6338" s="40"/>
      <c r="BP6338" s="155"/>
      <c r="BQ6338" s="314"/>
      <c r="BR6338" s="314"/>
      <c r="BS6338" s="314"/>
      <c r="BT6338" s="314"/>
      <c r="BU6338" s="314"/>
      <c r="BV6338" s="314"/>
      <c r="BW6338" s="314"/>
      <c r="BX6338" s="155"/>
    </row>
    <row r="6339" spans="1:76" ht="15.75" customHeight="1">
      <c r="A6339" s="25"/>
      <c r="B6339" s="39"/>
      <c r="C6339" s="155"/>
      <c r="D6339" s="155"/>
      <c r="E6339" s="40"/>
      <c r="F6339" s="314"/>
      <c r="H6339" s="315"/>
      <c r="I6339" s="315"/>
      <c r="BA6339" s="30"/>
      <c r="BB6339" s="155"/>
      <c r="BC6339" s="314"/>
      <c r="BD6339" s="314"/>
      <c r="BE6339" s="314"/>
      <c r="BF6339" s="314"/>
      <c r="BG6339" s="314"/>
      <c r="BH6339" s="314"/>
      <c r="BI6339" s="314"/>
      <c r="BJ6339" s="314"/>
      <c r="BK6339" s="40"/>
      <c r="BL6339" s="40"/>
      <c r="BM6339" s="40"/>
      <c r="BN6339" s="40"/>
      <c r="BO6339" s="40"/>
      <c r="BP6339" s="155"/>
      <c r="BQ6339" s="314"/>
      <c r="BR6339" s="314"/>
      <c r="BS6339" s="314"/>
      <c r="BT6339" s="314"/>
      <c r="BU6339" s="314"/>
      <c r="BV6339" s="314"/>
      <c r="BW6339" s="314"/>
      <c r="BX6339" s="155"/>
    </row>
    <row r="6340" spans="1:76" ht="15.75" customHeight="1">
      <c r="A6340" s="25"/>
      <c r="B6340" s="39"/>
      <c r="C6340" s="155"/>
      <c r="D6340" s="155"/>
      <c r="E6340" s="40"/>
      <c r="F6340" s="314"/>
      <c r="H6340" s="315"/>
      <c r="I6340" s="315"/>
      <c r="BA6340" s="30"/>
      <c r="BB6340" s="155"/>
      <c r="BC6340" s="314"/>
      <c r="BD6340" s="314"/>
      <c r="BE6340" s="314"/>
      <c r="BF6340" s="314"/>
      <c r="BG6340" s="314"/>
      <c r="BH6340" s="314"/>
      <c r="BI6340" s="314"/>
      <c r="BJ6340" s="314"/>
      <c r="BK6340" s="40"/>
      <c r="BL6340" s="40"/>
      <c r="BM6340" s="40"/>
      <c r="BN6340" s="40"/>
      <c r="BO6340" s="40"/>
      <c r="BP6340" s="155"/>
      <c r="BQ6340" s="314"/>
      <c r="BR6340" s="314"/>
      <c r="BS6340" s="314"/>
      <c r="BT6340" s="314"/>
      <c r="BU6340" s="314"/>
      <c r="BV6340" s="314"/>
      <c r="BW6340" s="314"/>
      <c r="BX6340" s="155"/>
    </row>
    <row r="6341" spans="1:76" ht="15.75" customHeight="1">
      <c r="A6341" s="25"/>
      <c r="B6341" s="39"/>
      <c r="C6341" s="155"/>
      <c r="D6341" s="155"/>
      <c r="E6341" s="40"/>
      <c r="F6341" s="314"/>
      <c r="H6341" s="315"/>
      <c r="I6341" s="315"/>
      <c r="BA6341" s="30"/>
      <c r="BB6341" s="155"/>
      <c r="BC6341" s="314"/>
      <c r="BD6341" s="314"/>
      <c r="BE6341" s="314"/>
      <c r="BF6341" s="314"/>
      <c r="BG6341" s="314"/>
      <c r="BH6341" s="314"/>
      <c r="BI6341" s="314"/>
      <c r="BJ6341" s="314"/>
      <c r="BK6341" s="40"/>
      <c r="BL6341" s="40"/>
      <c r="BM6341" s="40"/>
      <c r="BN6341" s="40"/>
      <c r="BO6341" s="40"/>
      <c r="BP6341" s="155"/>
      <c r="BQ6341" s="314"/>
      <c r="BR6341" s="314"/>
      <c r="BS6341" s="314"/>
      <c r="BT6341" s="314"/>
      <c r="BU6341" s="314"/>
      <c r="BV6341" s="314"/>
      <c r="BW6341" s="314"/>
      <c r="BX6341" s="155"/>
    </row>
    <row r="6342" spans="1:76" ht="15.75" customHeight="1">
      <c r="A6342" s="25"/>
      <c r="B6342" s="39"/>
      <c r="C6342" s="155"/>
      <c r="D6342" s="155"/>
      <c r="E6342" s="40"/>
      <c r="F6342" s="314"/>
      <c r="H6342" s="315"/>
      <c r="I6342" s="315"/>
      <c r="BA6342" s="30"/>
      <c r="BB6342" s="155"/>
      <c r="BC6342" s="314"/>
      <c r="BD6342" s="314"/>
      <c r="BE6342" s="314"/>
      <c r="BF6342" s="314"/>
      <c r="BG6342" s="314"/>
      <c r="BH6342" s="314"/>
      <c r="BI6342" s="314"/>
      <c r="BJ6342" s="314"/>
      <c r="BK6342" s="40"/>
      <c r="BL6342" s="40"/>
      <c r="BM6342" s="40"/>
      <c r="BN6342" s="40"/>
      <c r="BO6342" s="40"/>
      <c r="BP6342" s="155"/>
      <c r="BQ6342" s="314"/>
      <c r="BR6342" s="314"/>
      <c r="BS6342" s="314"/>
      <c r="BT6342" s="314"/>
      <c r="BU6342" s="314"/>
      <c r="BV6342" s="314"/>
      <c r="BW6342" s="314"/>
      <c r="BX6342" s="155"/>
    </row>
    <row r="6343" spans="1:76" ht="15.75" customHeight="1">
      <c r="A6343" s="25"/>
      <c r="B6343" s="39"/>
      <c r="C6343" s="155"/>
      <c r="D6343" s="155"/>
      <c r="E6343" s="40"/>
      <c r="F6343" s="314"/>
      <c r="H6343" s="315"/>
      <c r="I6343" s="315"/>
      <c r="BA6343" s="30"/>
      <c r="BB6343" s="155"/>
      <c r="BC6343" s="314"/>
      <c r="BD6343" s="314"/>
      <c r="BE6343" s="314"/>
      <c r="BF6343" s="314"/>
      <c r="BG6343" s="314"/>
      <c r="BH6343" s="314"/>
      <c r="BI6343" s="314"/>
      <c r="BJ6343" s="314"/>
      <c r="BK6343" s="40"/>
      <c r="BL6343" s="40"/>
      <c r="BM6343" s="40"/>
      <c r="BN6343" s="40"/>
      <c r="BO6343" s="40"/>
      <c r="BP6343" s="155"/>
      <c r="BQ6343" s="314"/>
      <c r="BR6343" s="314"/>
      <c r="BS6343" s="314"/>
      <c r="BT6343" s="314"/>
      <c r="BU6343" s="314"/>
      <c r="BV6343" s="314"/>
      <c r="BW6343" s="314"/>
      <c r="BX6343" s="155"/>
    </row>
    <row r="6344" spans="1:76" ht="15.75" customHeight="1">
      <c r="A6344" s="25"/>
      <c r="B6344" s="39"/>
      <c r="C6344" s="155"/>
      <c r="D6344" s="155"/>
      <c r="E6344" s="40"/>
      <c r="F6344" s="314"/>
      <c r="H6344" s="315"/>
      <c r="I6344" s="315"/>
      <c r="BA6344" s="30"/>
      <c r="BB6344" s="155"/>
      <c r="BC6344" s="314"/>
      <c r="BD6344" s="314"/>
      <c r="BE6344" s="314"/>
      <c r="BF6344" s="314"/>
      <c r="BG6344" s="314"/>
      <c r="BH6344" s="314"/>
      <c r="BI6344" s="314"/>
      <c r="BJ6344" s="314"/>
      <c r="BK6344" s="40"/>
      <c r="BL6344" s="40"/>
      <c r="BM6344" s="40"/>
      <c r="BN6344" s="40"/>
      <c r="BO6344" s="40"/>
      <c r="BP6344" s="155"/>
      <c r="BQ6344" s="314"/>
      <c r="BR6344" s="314"/>
      <c r="BS6344" s="314"/>
      <c r="BT6344" s="314"/>
      <c r="BU6344" s="314"/>
      <c r="BV6344" s="314"/>
      <c r="BW6344" s="314"/>
      <c r="BX6344" s="155"/>
    </row>
    <row r="6345" spans="1:76" ht="15.75" customHeight="1">
      <c r="A6345" s="25"/>
      <c r="B6345" s="39"/>
      <c r="C6345" s="155"/>
      <c r="D6345" s="155"/>
      <c r="E6345" s="40"/>
      <c r="F6345" s="314"/>
      <c r="H6345" s="315"/>
      <c r="I6345" s="315"/>
      <c r="BA6345" s="30"/>
      <c r="BB6345" s="155"/>
      <c r="BC6345" s="314"/>
      <c r="BD6345" s="314"/>
      <c r="BE6345" s="314"/>
      <c r="BF6345" s="314"/>
      <c r="BG6345" s="314"/>
      <c r="BH6345" s="314"/>
      <c r="BI6345" s="314"/>
      <c r="BJ6345" s="314"/>
      <c r="BK6345" s="40"/>
      <c r="BL6345" s="40"/>
      <c r="BM6345" s="40"/>
      <c r="BN6345" s="40"/>
      <c r="BO6345" s="40"/>
      <c r="BP6345" s="155"/>
      <c r="BQ6345" s="314"/>
      <c r="BR6345" s="314"/>
      <c r="BS6345" s="314"/>
      <c r="BT6345" s="314"/>
      <c r="BU6345" s="314"/>
      <c r="BV6345" s="314"/>
      <c r="BW6345" s="314"/>
      <c r="BX6345" s="155"/>
    </row>
    <row r="6346" spans="1:76" ht="15.75" customHeight="1">
      <c r="A6346" s="25"/>
      <c r="B6346" s="39"/>
      <c r="C6346" s="155"/>
      <c r="D6346" s="155"/>
      <c r="E6346" s="40"/>
      <c r="F6346" s="314"/>
      <c r="H6346" s="315"/>
      <c r="I6346" s="315"/>
      <c r="BA6346" s="30"/>
      <c r="BB6346" s="155"/>
      <c r="BC6346" s="314"/>
      <c r="BD6346" s="314"/>
      <c r="BE6346" s="314"/>
      <c r="BF6346" s="314"/>
      <c r="BG6346" s="314"/>
      <c r="BH6346" s="314"/>
      <c r="BI6346" s="314"/>
      <c r="BJ6346" s="314"/>
      <c r="BK6346" s="40"/>
      <c r="BL6346" s="40"/>
      <c r="BM6346" s="40"/>
      <c r="BN6346" s="40"/>
      <c r="BO6346" s="40"/>
      <c r="BP6346" s="155"/>
      <c r="BQ6346" s="314"/>
      <c r="BR6346" s="314"/>
      <c r="BS6346" s="314"/>
      <c r="BT6346" s="314"/>
      <c r="BU6346" s="314"/>
      <c r="BV6346" s="314"/>
      <c r="BW6346" s="314"/>
      <c r="BX6346" s="155"/>
    </row>
    <row r="6347" spans="1:76" ht="15.75" customHeight="1">
      <c r="A6347" s="25"/>
      <c r="B6347" s="39"/>
      <c r="C6347" s="155"/>
      <c r="D6347" s="155"/>
      <c r="E6347" s="40"/>
      <c r="F6347" s="314"/>
      <c r="H6347" s="315"/>
      <c r="I6347" s="315"/>
      <c r="BA6347" s="30"/>
      <c r="BB6347" s="155"/>
      <c r="BC6347" s="314"/>
      <c r="BD6347" s="314"/>
      <c r="BE6347" s="314"/>
      <c r="BF6347" s="314"/>
      <c r="BG6347" s="314"/>
      <c r="BH6347" s="314"/>
      <c r="BI6347" s="314"/>
      <c r="BJ6347" s="314"/>
      <c r="BK6347" s="40"/>
      <c r="BL6347" s="40"/>
      <c r="BM6347" s="40"/>
      <c r="BN6347" s="40"/>
      <c r="BO6347" s="40"/>
      <c r="BP6347" s="155"/>
      <c r="BQ6347" s="314"/>
      <c r="BR6347" s="314"/>
      <c r="BS6347" s="314"/>
      <c r="BT6347" s="314"/>
      <c r="BU6347" s="314"/>
      <c r="BV6347" s="314"/>
      <c r="BW6347" s="314"/>
      <c r="BX6347" s="155"/>
    </row>
    <row r="6348" spans="1:76" ht="15.75" customHeight="1">
      <c r="A6348" s="25"/>
      <c r="B6348" s="39"/>
      <c r="C6348" s="155"/>
      <c r="D6348" s="155"/>
      <c r="E6348" s="40"/>
      <c r="F6348" s="314"/>
      <c r="H6348" s="315"/>
      <c r="I6348" s="315"/>
      <c r="BA6348" s="30"/>
      <c r="BB6348" s="155"/>
      <c r="BC6348" s="314"/>
      <c r="BD6348" s="314"/>
      <c r="BE6348" s="314"/>
      <c r="BF6348" s="314"/>
      <c r="BG6348" s="314"/>
      <c r="BH6348" s="314"/>
      <c r="BI6348" s="314"/>
      <c r="BJ6348" s="314"/>
      <c r="BK6348" s="40"/>
      <c r="BL6348" s="40"/>
      <c r="BM6348" s="40"/>
      <c r="BN6348" s="40"/>
      <c r="BO6348" s="40"/>
      <c r="BP6348" s="155"/>
      <c r="BQ6348" s="314"/>
      <c r="BR6348" s="314"/>
      <c r="BS6348" s="314"/>
      <c r="BT6348" s="314"/>
      <c r="BU6348" s="314"/>
      <c r="BV6348" s="314"/>
      <c r="BW6348" s="314"/>
      <c r="BX6348" s="155"/>
    </row>
    <row r="6349" spans="1:76" ht="15.75" customHeight="1">
      <c r="A6349" s="25"/>
      <c r="B6349" s="39"/>
      <c r="C6349" s="155"/>
      <c r="D6349" s="155"/>
      <c r="E6349" s="40"/>
      <c r="F6349" s="314"/>
      <c r="H6349" s="315"/>
      <c r="I6349" s="315"/>
      <c r="BA6349" s="30"/>
      <c r="BB6349" s="155"/>
      <c r="BC6349" s="314"/>
      <c r="BD6349" s="314"/>
      <c r="BE6349" s="314"/>
      <c r="BF6349" s="314"/>
      <c r="BG6349" s="314"/>
      <c r="BH6349" s="314"/>
      <c r="BI6349" s="314"/>
      <c r="BJ6349" s="314"/>
      <c r="BK6349" s="40"/>
      <c r="BL6349" s="40"/>
      <c r="BM6349" s="40"/>
      <c r="BN6349" s="40"/>
      <c r="BO6349" s="40"/>
      <c r="BP6349" s="155"/>
      <c r="BQ6349" s="314"/>
      <c r="BR6349" s="314"/>
      <c r="BS6349" s="314"/>
      <c r="BT6349" s="314"/>
      <c r="BU6349" s="314"/>
      <c r="BV6349" s="314"/>
      <c r="BW6349" s="314"/>
      <c r="BX6349" s="155"/>
    </row>
    <row r="6350" spans="1:76" ht="15.75" customHeight="1">
      <c r="A6350" s="25"/>
      <c r="B6350" s="39"/>
      <c r="C6350" s="155"/>
      <c r="D6350" s="155"/>
      <c r="E6350" s="40"/>
      <c r="F6350" s="314"/>
      <c r="H6350" s="315"/>
      <c r="I6350" s="315"/>
      <c r="BA6350" s="30"/>
      <c r="BB6350" s="155"/>
      <c r="BC6350" s="314"/>
      <c r="BD6350" s="314"/>
      <c r="BE6350" s="314"/>
      <c r="BF6350" s="314"/>
      <c r="BG6350" s="314"/>
      <c r="BH6350" s="314"/>
      <c r="BI6350" s="314"/>
      <c r="BJ6350" s="314"/>
      <c r="BK6350" s="40"/>
      <c r="BL6350" s="40"/>
      <c r="BM6350" s="40"/>
      <c r="BN6350" s="40"/>
      <c r="BO6350" s="40"/>
      <c r="BP6350" s="155"/>
      <c r="BQ6350" s="314"/>
      <c r="BR6350" s="314"/>
      <c r="BS6350" s="314"/>
      <c r="BT6350" s="314"/>
      <c r="BU6350" s="314"/>
      <c r="BV6350" s="314"/>
      <c r="BW6350" s="314"/>
      <c r="BX6350" s="155"/>
    </row>
    <row r="6351" spans="1:76" ht="15.75" customHeight="1">
      <c r="A6351" s="25"/>
      <c r="B6351" s="39"/>
      <c r="C6351" s="155"/>
      <c r="D6351" s="155"/>
      <c r="E6351" s="40"/>
      <c r="F6351" s="314"/>
      <c r="H6351" s="315"/>
      <c r="I6351" s="315"/>
      <c r="BA6351" s="30"/>
      <c r="BB6351" s="155"/>
      <c r="BC6351" s="314"/>
      <c r="BD6351" s="314"/>
      <c r="BE6351" s="314"/>
      <c r="BF6351" s="314"/>
      <c r="BG6351" s="314"/>
      <c r="BH6351" s="314"/>
      <c r="BI6351" s="314"/>
      <c r="BJ6351" s="314"/>
      <c r="BK6351" s="40"/>
      <c r="BL6351" s="40"/>
      <c r="BM6351" s="40"/>
      <c r="BN6351" s="40"/>
      <c r="BO6351" s="40"/>
      <c r="BP6351" s="155"/>
      <c r="BQ6351" s="314"/>
      <c r="BR6351" s="314"/>
      <c r="BS6351" s="314"/>
      <c r="BT6351" s="314"/>
      <c r="BU6351" s="314"/>
      <c r="BV6351" s="314"/>
      <c r="BW6351" s="314"/>
      <c r="BX6351" s="155"/>
    </row>
    <row r="6352" spans="1:76" ht="15.75" customHeight="1">
      <c r="A6352" s="25"/>
      <c r="B6352" s="39"/>
      <c r="C6352" s="155"/>
      <c r="D6352" s="155"/>
      <c r="E6352" s="40"/>
      <c r="F6352" s="314"/>
      <c r="H6352" s="315"/>
      <c r="I6352" s="315"/>
      <c r="BA6352" s="30"/>
      <c r="BB6352" s="155"/>
      <c r="BC6352" s="314"/>
      <c r="BD6352" s="314"/>
      <c r="BE6352" s="314"/>
      <c r="BF6352" s="314"/>
      <c r="BG6352" s="314"/>
      <c r="BH6352" s="314"/>
      <c r="BI6352" s="314"/>
      <c r="BJ6352" s="314"/>
      <c r="BK6352" s="40"/>
      <c r="BL6352" s="40"/>
      <c r="BM6352" s="40"/>
      <c r="BN6352" s="40"/>
      <c r="BO6352" s="40"/>
      <c r="BP6352" s="155"/>
      <c r="BQ6352" s="314"/>
      <c r="BR6352" s="314"/>
      <c r="BS6352" s="314"/>
      <c r="BT6352" s="314"/>
      <c r="BU6352" s="314"/>
      <c r="BV6352" s="314"/>
      <c r="BW6352" s="314"/>
      <c r="BX6352" s="155"/>
    </row>
    <row r="6353" spans="1:76" ht="15.75" customHeight="1">
      <c r="A6353" s="25"/>
      <c r="B6353" s="39"/>
      <c r="C6353" s="155"/>
      <c r="D6353" s="155"/>
      <c r="E6353" s="40"/>
      <c r="F6353" s="314"/>
      <c r="H6353" s="315"/>
      <c r="I6353" s="315"/>
      <c r="BA6353" s="30"/>
      <c r="BB6353" s="155"/>
      <c r="BC6353" s="314"/>
      <c r="BD6353" s="314"/>
      <c r="BE6353" s="314"/>
      <c r="BF6353" s="314"/>
      <c r="BG6353" s="314"/>
      <c r="BH6353" s="314"/>
      <c r="BI6353" s="314"/>
      <c r="BJ6353" s="314"/>
      <c r="BK6353" s="40"/>
      <c r="BL6353" s="40"/>
      <c r="BM6353" s="40"/>
      <c r="BN6353" s="40"/>
      <c r="BO6353" s="40"/>
      <c r="BP6353" s="155"/>
      <c r="BQ6353" s="314"/>
      <c r="BR6353" s="314"/>
      <c r="BS6353" s="314"/>
      <c r="BT6353" s="314"/>
      <c r="BU6353" s="314"/>
      <c r="BV6353" s="314"/>
      <c r="BW6353" s="314"/>
      <c r="BX6353" s="155"/>
    </row>
    <row r="6354" spans="1:76" ht="15.75" customHeight="1">
      <c r="A6354" s="25"/>
      <c r="B6354" s="39"/>
      <c r="C6354" s="155"/>
      <c r="D6354" s="155"/>
      <c r="E6354" s="40"/>
      <c r="F6354" s="314"/>
      <c r="H6354" s="315"/>
      <c r="I6354" s="315"/>
      <c r="BA6354" s="30"/>
      <c r="BB6354" s="155"/>
      <c r="BC6354" s="314"/>
      <c r="BD6354" s="314"/>
      <c r="BE6354" s="314"/>
      <c r="BF6354" s="314"/>
      <c r="BG6354" s="314"/>
      <c r="BH6354" s="314"/>
      <c r="BI6354" s="314"/>
      <c r="BJ6354" s="314"/>
      <c r="BK6354" s="40"/>
      <c r="BL6354" s="40"/>
      <c r="BM6354" s="40"/>
      <c r="BN6354" s="40"/>
      <c r="BO6354" s="40"/>
      <c r="BP6354" s="155"/>
      <c r="BQ6354" s="314"/>
      <c r="BR6354" s="314"/>
      <c r="BS6354" s="314"/>
      <c r="BT6354" s="314"/>
      <c r="BU6354" s="314"/>
      <c r="BV6354" s="314"/>
      <c r="BW6354" s="314"/>
      <c r="BX6354" s="155"/>
    </row>
    <row r="6355" spans="1:76" ht="15.75" customHeight="1">
      <c r="A6355" s="25"/>
      <c r="B6355" s="39"/>
      <c r="C6355" s="155"/>
      <c r="D6355" s="155"/>
      <c r="E6355" s="40"/>
      <c r="F6355" s="314"/>
      <c r="H6355" s="315"/>
      <c r="I6355" s="315"/>
      <c r="BA6355" s="30"/>
      <c r="BB6355" s="155"/>
      <c r="BC6355" s="314"/>
      <c r="BD6355" s="314"/>
      <c r="BE6355" s="314"/>
      <c r="BF6355" s="314"/>
      <c r="BG6355" s="314"/>
      <c r="BH6355" s="314"/>
      <c r="BI6355" s="314"/>
      <c r="BJ6355" s="314"/>
      <c r="BK6355" s="40"/>
      <c r="BL6355" s="40"/>
      <c r="BM6355" s="40"/>
      <c r="BN6355" s="40"/>
      <c r="BO6355" s="40"/>
      <c r="BP6355" s="155"/>
      <c r="BQ6355" s="314"/>
      <c r="BR6355" s="314"/>
      <c r="BS6355" s="314"/>
      <c r="BT6355" s="314"/>
      <c r="BU6355" s="314"/>
      <c r="BV6355" s="314"/>
      <c r="BW6355" s="314"/>
      <c r="BX6355" s="155"/>
    </row>
    <row r="6356" spans="1:76" ht="15.75" customHeight="1">
      <c r="A6356" s="25"/>
      <c r="B6356" s="39"/>
      <c r="C6356" s="155"/>
      <c r="D6356" s="155"/>
      <c r="E6356" s="40"/>
      <c r="F6356" s="314"/>
      <c r="H6356" s="315"/>
      <c r="I6356" s="315"/>
      <c r="BA6356" s="30"/>
      <c r="BB6356" s="155"/>
      <c r="BC6356" s="314"/>
      <c r="BD6356" s="314"/>
      <c r="BE6356" s="314"/>
      <c r="BF6356" s="314"/>
      <c r="BG6356" s="314"/>
      <c r="BH6356" s="314"/>
      <c r="BI6356" s="314"/>
      <c r="BJ6356" s="314"/>
      <c r="BK6356" s="40"/>
      <c r="BL6356" s="40"/>
      <c r="BM6356" s="40"/>
      <c r="BN6356" s="40"/>
      <c r="BO6356" s="40"/>
      <c r="BP6356" s="155"/>
      <c r="BQ6356" s="314"/>
      <c r="BR6356" s="314"/>
      <c r="BS6356" s="314"/>
      <c r="BT6356" s="314"/>
      <c r="BU6356" s="314"/>
      <c r="BV6356" s="314"/>
      <c r="BW6356" s="314"/>
      <c r="BX6356" s="155"/>
    </row>
    <row r="6357" spans="1:76" ht="15.75" customHeight="1">
      <c r="A6357" s="25"/>
      <c r="B6357" s="39"/>
      <c r="C6357" s="155"/>
      <c r="D6357" s="155"/>
      <c r="E6357" s="40"/>
      <c r="F6357" s="314"/>
      <c r="H6357" s="315"/>
      <c r="I6357" s="315"/>
      <c r="BA6357" s="30"/>
      <c r="BB6357" s="155"/>
      <c r="BC6357" s="314"/>
      <c r="BD6357" s="314"/>
      <c r="BE6357" s="314"/>
      <c r="BF6357" s="314"/>
      <c r="BG6357" s="314"/>
      <c r="BH6357" s="314"/>
      <c r="BI6357" s="314"/>
      <c r="BJ6357" s="314"/>
      <c r="BK6357" s="40"/>
      <c r="BL6357" s="40"/>
      <c r="BM6357" s="40"/>
      <c r="BN6357" s="40"/>
      <c r="BO6357" s="40"/>
      <c r="BP6357" s="155"/>
      <c r="BQ6357" s="314"/>
      <c r="BR6357" s="314"/>
      <c r="BS6357" s="314"/>
      <c r="BT6357" s="314"/>
      <c r="BU6357" s="314"/>
      <c r="BV6357" s="314"/>
      <c r="BW6357" s="314"/>
      <c r="BX6357" s="155"/>
    </row>
    <row r="6358" spans="1:76" ht="15.75" customHeight="1">
      <c r="A6358" s="25"/>
      <c r="B6358" s="39"/>
      <c r="C6358" s="155"/>
      <c r="D6358" s="155"/>
      <c r="E6358" s="40"/>
      <c r="F6358" s="314"/>
      <c r="H6358" s="315"/>
      <c r="I6358" s="315"/>
      <c r="BA6358" s="30"/>
      <c r="BB6358" s="155"/>
      <c r="BC6358" s="314"/>
      <c r="BD6358" s="314"/>
      <c r="BE6358" s="314"/>
      <c r="BF6358" s="314"/>
      <c r="BG6358" s="314"/>
      <c r="BH6358" s="314"/>
      <c r="BI6358" s="314"/>
      <c r="BJ6358" s="314"/>
      <c r="BK6358" s="40"/>
      <c r="BL6358" s="40"/>
      <c r="BM6358" s="40"/>
      <c r="BN6358" s="40"/>
      <c r="BO6358" s="40"/>
      <c r="BP6358" s="155"/>
      <c r="BQ6358" s="314"/>
      <c r="BR6358" s="314"/>
      <c r="BS6358" s="314"/>
      <c r="BT6358" s="314"/>
      <c r="BU6358" s="314"/>
      <c r="BV6358" s="314"/>
      <c r="BW6358" s="314"/>
      <c r="BX6358" s="155"/>
    </row>
    <row r="6359" spans="1:76" ht="15.75" customHeight="1">
      <c r="A6359" s="25"/>
      <c r="B6359" s="39"/>
      <c r="C6359" s="155"/>
      <c r="D6359" s="155"/>
      <c r="E6359" s="40"/>
      <c r="F6359" s="314"/>
      <c r="H6359" s="315"/>
      <c r="I6359" s="315"/>
      <c r="BA6359" s="30"/>
      <c r="BB6359" s="155"/>
      <c r="BC6359" s="314"/>
      <c r="BD6359" s="314"/>
      <c r="BE6359" s="314"/>
      <c r="BF6359" s="314"/>
      <c r="BG6359" s="314"/>
      <c r="BH6359" s="314"/>
      <c r="BI6359" s="314"/>
      <c r="BJ6359" s="314"/>
      <c r="BK6359" s="40"/>
      <c r="BL6359" s="40"/>
      <c r="BM6359" s="40"/>
      <c r="BN6359" s="40"/>
      <c r="BO6359" s="40"/>
      <c r="BP6359" s="155"/>
      <c r="BQ6359" s="314"/>
      <c r="BR6359" s="314"/>
      <c r="BS6359" s="314"/>
      <c r="BT6359" s="314"/>
      <c r="BU6359" s="314"/>
      <c r="BV6359" s="314"/>
      <c r="BW6359" s="314"/>
      <c r="BX6359" s="155"/>
    </row>
    <row r="6360" spans="1:76" ht="15.75" customHeight="1">
      <c r="A6360" s="25"/>
      <c r="B6360" s="39"/>
      <c r="C6360" s="155"/>
      <c r="D6360" s="155"/>
      <c r="E6360" s="40"/>
      <c r="F6360" s="314"/>
      <c r="H6360" s="315"/>
      <c r="I6360" s="315"/>
      <c r="BA6360" s="30"/>
      <c r="BB6360" s="155"/>
      <c r="BC6360" s="314"/>
      <c r="BD6360" s="314"/>
      <c r="BE6360" s="314"/>
      <c r="BF6360" s="314"/>
      <c r="BG6360" s="314"/>
      <c r="BH6360" s="314"/>
      <c r="BI6360" s="314"/>
      <c r="BJ6360" s="314"/>
      <c r="BK6360" s="40"/>
      <c r="BL6360" s="40"/>
      <c r="BM6360" s="40"/>
      <c r="BN6360" s="40"/>
      <c r="BO6360" s="40"/>
      <c r="BP6360" s="155"/>
      <c r="BQ6360" s="314"/>
      <c r="BR6360" s="314"/>
      <c r="BS6360" s="314"/>
      <c r="BT6360" s="314"/>
      <c r="BU6360" s="314"/>
      <c r="BV6360" s="314"/>
      <c r="BW6360" s="314"/>
      <c r="BX6360" s="155"/>
    </row>
    <row r="6361" spans="1:76" ht="15.75" customHeight="1">
      <c r="A6361" s="25"/>
      <c r="B6361" s="39"/>
      <c r="C6361" s="155"/>
      <c r="D6361" s="155"/>
      <c r="E6361" s="40"/>
      <c r="F6361" s="314"/>
      <c r="H6361" s="315"/>
      <c r="I6361" s="315"/>
      <c r="BA6361" s="30"/>
      <c r="BB6361" s="155"/>
      <c r="BC6361" s="314"/>
      <c r="BD6361" s="314"/>
      <c r="BE6361" s="314"/>
      <c r="BF6361" s="314"/>
      <c r="BG6361" s="314"/>
      <c r="BH6361" s="314"/>
      <c r="BI6361" s="314"/>
      <c r="BJ6361" s="314"/>
      <c r="BK6361" s="40"/>
      <c r="BL6361" s="40"/>
      <c r="BM6361" s="40"/>
      <c r="BN6361" s="40"/>
      <c r="BO6361" s="40"/>
      <c r="BP6361" s="155"/>
      <c r="BQ6361" s="314"/>
      <c r="BR6361" s="314"/>
      <c r="BS6361" s="314"/>
      <c r="BT6361" s="314"/>
      <c r="BU6361" s="314"/>
      <c r="BV6361" s="314"/>
      <c r="BW6361" s="314"/>
      <c r="BX6361" s="155"/>
    </row>
    <row r="6362" spans="1:76" ht="15.75" customHeight="1">
      <c r="A6362" s="25"/>
      <c r="B6362" s="39"/>
      <c r="C6362" s="155"/>
      <c r="D6362" s="155"/>
      <c r="E6362" s="40"/>
      <c r="F6362" s="314"/>
      <c r="H6362" s="315"/>
      <c r="I6362" s="315"/>
      <c r="BA6362" s="30"/>
      <c r="BB6362" s="155"/>
      <c r="BC6362" s="314"/>
      <c r="BD6362" s="314"/>
      <c r="BE6362" s="314"/>
      <c r="BF6362" s="314"/>
      <c r="BG6362" s="314"/>
      <c r="BH6362" s="314"/>
      <c r="BI6362" s="314"/>
      <c r="BJ6362" s="314"/>
      <c r="BK6362" s="40"/>
      <c r="BL6362" s="40"/>
      <c r="BM6362" s="40"/>
      <c r="BN6362" s="40"/>
      <c r="BO6362" s="40"/>
      <c r="BP6362" s="155"/>
      <c r="BQ6362" s="314"/>
      <c r="BR6362" s="314"/>
      <c r="BS6362" s="314"/>
      <c r="BT6362" s="314"/>
      <c r="BU6362" s="314"/>
      <c r="BV6362" s="314"/>
      <c r="BW6362" s="314"/>
      <c r="BX6362" s="155"/>
    </row>
    <row r="6363" spans="1:76" ht="15.75" customHeight="1">
      <c r="A6363" s="25"/>
      <c r="B6363" s="39"/>
      <c r="C6363" s="155"/>
      <c r="D6363" s="155"/>
      <c r="E6363" s="40"/>
      <c r="F6363" s="314"/>
      <c r="H6363" s="315"/>
      <c r="I6363" s="315"/>
      <c r="BA6363" s="30"/>
      <c r="BB6363" s="155"/>
      <c r="BC6363" s="314"/>
      <c r="BD6363" s="314"/>
      <c r="BE6363" s="314"/>
      <c r="BF6363" s="314"/>
      <c r="BG6363" s="314"/>
      <c r="BH6363" s="314"/>
      <c r="BI6363" s="314"/>
      <c r="BJ6363" s="314"/>
      <c r="BK6363" s="40"/>
      <c r="BL6363" s="40"/>
      <c r="BM6363" s="40"/>
      <c r="BN6363" s="40"/>
      <c r="BO6363" s="40"/>
      <c r="BP6363" s="155"/>
      <c r="BQ6363" s="314"/>
      <c r="BR6363" s="314"/>
      <c r="BS6363" s="314"/>
      <c r="BT6363" s="314"/>
      <c r="BU6363" s="314"/>
      <c r="BV6363" s="314"/>
      <c r="BW6363" s="314"/>
      <c r="BX6363" s="155"/>
    </row>
    <row r="6364" spans="1:76" ht="15.75" customHeight="1">
      <c r="A6364" s="25"/>
      <c r="B6364" s="39"/>
      <c r="C6364" s="155"/>
      <c r="D6364" s="155"/>
      <c r="E6364" s="40"/>
      <c r="F6364" s="314"/>
      <c r="H6364" s="315"/>
      <c r="I6364" s="315"/>
      <c r="BA6364" s="30"/>
      <c r="BB6364" s="155"/>
      <c r="BC6364" s="314"/>
      <c r="BD6364" s="314"/>
      <c r="BE6364" s="314"/>
      <c r="BF6364" s="314"/>
      <c r="BG6364" s="314"/>
      <c r="BH6364" s="314"/>
      <c r="BI6364" s="314"/>
      <c r="BJ6364" s="314"/>
      <c r="BK6364" s="40"/>
      <c r="BL6364" s="40"/>
      <c r="BM6364" s="40"/>
      <c r="BN6364" s="40"/>
      <c r="BO6364" s="40"/>
      <c r="BP6364" s="155"/>
      <c r="BQ6364" s="314"/>
      <c r="BR6364" s="314"/>
      <c r="BS6364" s="314"/>
      <c r="BT6364" s="314"/>
      <c r="BU6364" s="314"/>
      <c r="BV6364" s="314"/>
      <c r="BW6364" s="314"/>
      <c r="BX6364" s="155"/>
    </row>
    <row r="6365" spans="1:76" ht="15.75" customHeight="1">
      <c r="A6365" s="25"/>
      <c r="B6365" s="39"/>
      <c r="C6365" s="155"/>
      <c r="D6365" s="155"/>
      <c r="E6365" s="40"/>
      <c r="F6365" s="314"/>
      <c r="H6365" s="315"/>
      <c r="I6365" s="315"/>
      <c r="BA6365" s="30"/>
      <c r="BB6365" s="155"/>
      <c r="BC6365" s="314"/>
      <c r="BD6365" s="314"/>
      <c r="BE6365" s="314"/>
      <c r="BF6365" s="314"/>
      <c r="BG6365" s="314"/>
      <c r="BH6365" s="314"/>
      <c r="BI6365" s="314"/>
      <c r="BJ6365" s="314"/>
      <c r="BK6365" s="40"/>
      <c r="BL6365" s="40"/>
      <c r="BM6365" s="40"/>
      <c r="BN6365" s="40"/>
      <c r="BO6365" s="40"/>
      <c r="BP6365" s="155"/>
      <c r="BQ6365" s="314"/>
      <c r="BR6365" s="314"/>
      <c r="BS6365" s="314"/>
      <c r="BT6365" s="314"/>
      <c r="BU6365" s="314"/>
      <c r="BV6365" s="314"/>
      <c r="BW6365" s="314"/>
      <c r="BX6365" s="155"/>
    </row>
    <row r="6366" spans="1:76" ht="15.75" customHeight="1">
      <c r="A6366" s="25"/>
      <c r="B6366" s="39"/>
      <c r="C6366" s="155"/>
      <c r="D6366" s="155"/>
      <c r="E6366" s="40"/>
      <c r="F6366" s="314"/>
      <c r="H6366" s="315"/>
      <c r="I6366" s="315"/>
      <c r="BA6366" s="30"/>
      <c r="BB6366" s="155"/>
      <c r="BC6366" s="314"/>
      <c r="BD6366" s="314"/>
      <c r="BE6366" s="314"/>
      <c r="BF6366" s="314"/>
      <c r="BG6366" s="314"/>
      <c r="BH6366" s="314"/>
      <c r="BI6366" s="314"/>
      <c r="BJ6366" s="314"/>
      <c r="BK6366" s="40"/>
      <c r="BL6366" s="40"/>
      <c r="BM6366" s="40"/>
      <c r="BN6366" s="40"/>
      <c r="BO6366" s="40"/>
      <c r="BP6366" s="155"/>
      <c r="BQ6366" s="314"/>
      <c r="BR6366" s="314"/>
      <c r="BS6366" s="314"/>
      <c r="BT6366" s="314"/>
      <c r="BU6366" s="314"/>
      <c r="BV6366" s="314"/>
      <c r="BW6366" s="314"/>
      <c r="BX6366" s="155"/>
    </row>
    <row r="6367" spans="1:76" ht="15.75" customHeight="1">
      <c r="A6367" s="25"/>
      <c r="B6367" s="39"/>
      <c r="C6367" s="155"/>
      <c r="D6367" s="155"/>
      <c r="E6367" s="40"/>
      <c r="F6367" s="314"/>
      <c r="H6367" s="315"/>
      <c r="I6367" s="315"/>
      <c r="BA6367" s="30"/>
      <c r="BB6367" s="155"/>
      <c r="BC6367" s="314"/>
      <c r="BD6367" s="314"/>
      <c r="BE6367" s="314"/>
      <c r="BF6367" s="314"/>
      <c r="BG6367" s="314"/>
      <c r="BH6367" s="314"/>
      <c r="BI6367" s="314"/>
      <c r="BJ6367" s="314"/>
      <c r="BK6367" s="40"/>
      <c r="BL6367" s="40"/>
      <c r="BM6367" s="40"/>
      <c r="BN6367" s="40"/>
      <c r="BO6367" s="40"/>
      <c r="BP6367" s="155"/>
      <c r="BQ6367" s="314"/>
      <c r="BR6367" s="314"/>
      <c r="BS6367" s="314"/>
      <c r="BT6367" s="314"/>
      <c r="BU6367" s="314"/>
      <c r="BV6367" s="314"/>
      <c r="BW6367" s="314"/>
      <c r="BX6367" s="155"/>
    </row>
    <row r="6368" spans="1:76" ht="15.75" customHeight="1">
      <c r="A6368" s="25"/>
      <c r="B6368" s="39"/>
      <c r="C6368" s="155"/>
      <c r="D6368" s="155"/>
      <c r="E6368" s="40"/>
      <c r="F6368" s="314"/>
      <c r="H6368" s="315"/>
      <c r="I6368" s="315"/>
      <c r="BA6368" s="30"/>
      <c r="BB6368" s="155"/>
      <c r="BC6368" s="314"/>
      <c r="BD6368" s="314"/>
      <c r="BE6368" s="314"/>
      <c r="BF6368" s="314"/>
      <c r="BG6368" s="314"/>
      <c r="BH6368" s="314"/>
      <c r="BI6368" s="314"/>
      <c r="BJ6368" s="314"/>
      <c r="BK6368" s="40"/>
      <c r="BL6368" s="40"/>
      <c r="BM6368" s="40"/>
      <c r="BN6368" s="40"/>
      <c r="BO6368" s="40"/>
      <c r="BP6368" s="155"/>
      <c r="BQ6368" s="314"/>
      <c r="BR6368" s="314"/>
      <c r="BS6368" s="314"/>
      <c r="BT6368" s="314"/>
      <c r="BU6368" s="314"/>
      <c r="BV6368" s="314"/>
      <c r="BW6368" s="314"/>
      <c r="BX6368" s="155"/>
    </row>
    <row r="6369" spans="1:76" ht="15.75" customHeight="1">
      <c r="A6369" s="25"/>
      <c r="B6369" s="39"/>
      <c r="C6369" s="155"/>
      <c r="D6369" s="155"/>
      <c r="E6369" s="40"/>
      <c r="F6369" s="314"/>
      <c r="H6369" s="315"/>
      <c r="I6369" s="315"/>
      <c r="BA6369" s="30"/>
      <c r="BB6369" s="155"/>
      <c r="BC6369" s="314"/>
      <c r="BD6369" s="314"/>
      <c r="BE6369" s="314"/>
      <c r="BF6369" s="314"/>
      <c r="BG6369" s="314"/>
      <c r="BH6369" s="314"/>
      <c r="BI6369" s="314"/>
      <c r="BJ6369" s="314"/>
      <c r="BK6369" s="40"/>
      <c r="BL6369" s="40"/>
      <c r="BM6369" s="40"/>
      <c r="BN6369" s="40"/>
      <c r="BO6369" s="40"/>
      <c r="BP6369" s="155"/>
      <c r="BQ6369" s="314"/>
      <c r="BR6369" s="314"/>
      <c r="BS6369" s="314"/>
      <c r="BT6369" s="314"/>
      <c r="BU6369" s="314"/>
      <c r="BV6369" s="314"/>
      <c r="BW6369" s="314"/>
      <c r="BX6369" s="155"/>
    </row>
    <row r="6370" spans="1:76" ht="15.75" customHeight="1">
      <c r="A6370" s="25"/>
      <c r="B6370" s="39"/>
      <c r="C6370" s="155"/>
      <c r="D6370" s="155"/>
      <c r="E6370" s="40"/>
      <c r="F6370" s="314"/>
      <c r="H6370" s="315"/>
      <c r="I6370" s="315"/>
      <c r="BA6370" s="30"/>
      <c r="BB6370" s="155"/>
      <c r="BC6370" s="314"/>
      <c r="BD6370" s="314"/>
      <c r="BE6370" s="314"/>
      <c r="BF6370" s="314"/>
      <c r="BG6370" s="314"/>
      <c r="BH6370" s="314"/>
      <c r="BI6370" s="314"/>
      <c r="BJ6370" s="314"/>
      <c r="BK6370" s="40"/>
      <c r="BL6370" s="40"/>
      <c r="BM6370" s="40"/>
      <c r="BN6370" s="40"/>
      <c r="BO6370" s="40"/>
      <c r="BP6370" s="155"/>
      <c r="BQ6370" s="314"/>
      <c r="BR6370" s="314"/>
      <c r="BS6370" s="314"/>
      <c r="BT6370" s="314"/>
      <c r="BU6370" s="314"/>
      <c r="BV6370" s="314"/>
      <c r="BW6370" s="314"/>
      <c r="BX6370" s="155"/>
    </row>
    <row r="6371" spans="1:76" ht="15.75" customHeight="1">
      <c r="A6371" s="25"/>
      <c r="B6371" s="39"/>
      <c r="C6371" s="155"/>
      <c r="D6371" s="155"/>
      <c r="E6371" s="40"/>
      <c r="F6371" s="314"/>
      <c r="H6371" s="315"/>
      <c r="I6371" s="315"/>
      <c r="BA6371" s="30"/>
      <c r="BB6371" s="155"/>
      <c r="BC6371" s="314"/>
      <c r="BD6371" s="314"/>
      <c r="BE6371" s="314"/>
      <c r="BF6371" s="314"/>
      <c r="BG6371" s="314"/>
      <c r="BH6371" s="314"/>
      <c r="BI6371" s="314"/>
      <c r="BJ6371" s="314"/>
      <c r="BK6371" s="40"/>
      <c r="BL6371" s="40"/>
      <c r="BM6371" s="40"/>
      <c r="BN6371" s="40"/>
      <c r="BO6371" s="40"/>
      <c r="BP6371" s="155"/>
      <c r="BQ6371" s="314"/>
      <c r="BR6371" s="314"/>
      <c r="BS6371" s="314"/>
      <c r="BT6371" s="314"/>
      <c r="BU6371" s="314"/>
      <c r="BV6371" s="314"/>
      <c r="BW6371" s="314"/>
      <c r="BX6371" s="155"/>
    </row>
    <row r="6372" spans="1:76" ht="15.75" customHeight="1">
      <c r="A6372" s="25"/>
      <c r="B6372" s="39"/>
      <c r="C6372" s="155"/>
      <c r="D6372" s="155"/>
      <c r="E6372" s="40"/>
      <c r="F6372" s="314"/>
      <c r="H6372" s="315"/>
      <c r="I6372" s="315"/>
      <c r="BA6372" s="30"/>
      <c r="BB6372" s="155"/>
      <c r="BC6372" s="314"/>
      <c r="BD6372" s="314"/>
      <c r="BE6372" s="314"/>
      <c r="BF6372" s="314"/>
      <c r="BG6372" s="314"/>
      <c r="BH6372" s="314"/>
      <c r="BI6372" s="314"/>
      <c r="BJ6372" s="314"/>
      <c r="BK6372" s="40"/>
      <c r="BL6372" s="40"/>
      <c r="BM6372" s="40"/>
      <c r="BN6372" s="40"/>
      <c r="BO6372" s="40"/>
      <c r="BP6372" s="155"/>
      <c r="BQ6372" s="314"/>
      <c r="BR6372" s="314"/>
      <c r="BS6372" s="314"/>
      <c r="BT6372" s="314"/>
      <c r="BU6372" s="314"/>
      <c r="BV6372" s="314"/>
      <c r="BW6372" s="314"/>
      <c r="BX6372" s="155"/>
    </row>
    <row r="6373" spans="1:76" ht="15.75" customHeight="1">
      <c r="A6373" s="25"/>
      <c r="B6373" s="39"/>
      <c r="C6373" s="155"/>
      <c r="D6373" s="155"/>
      <c r="E6373" s="40"/>
      <c r="F6373" s="314"/>
      <c r="H6373" s="315"/>
      <c r="I6373" s="315"/>
      <c r="BA6373" s="30"/>
      <c r="BB6373" s="155"/>
      <c r="BC6373" s="314"/>
      <c r="BD6373" s="314"/>
      <c r="BE6373" s="314"/>
      <c r="BF6373" s="314"/>
      <c r="BG6373" s="314"/>
      <c r="BH6373" s="314"/>
      <c r="BI6373" s="314"/>
      <c r="BJ6373" s="314"/>
      <c r="BK6373" s="40"/>
      <c r="BL6373" s="40"/>
      <c r="BM6373" s="40"/>
      <c r="BN6373" s="40"/>
      <c r="BO6373" s="40"/>
      <c r="BP6373" s="155"/>
      <c r="BQ6373" s="314"/>
      <c r="BR6373" s="314"/>
      <c r="BS6373" s="314"/>
      <c r="BT6373" s="314"/>
      <c r="BU6373" s="314"/>
      <c r="BV6373" s="314"/>
      <c r="BW6373" s="314"/>
      <c r="BX6373" s="155"/>
    </row>
    <row r="6374" spans="1:76" ht="15.75" customHeight="1">
      <c r="A6374" s="25"/>
      <c r="B6374" s="39"/>
      <c r="C6374" s="155"/>
      <c r="D6374" s="155"/>
      <c r="E6374" s="40"/>
      <c r="F6374" s="314"/>
      <c r="H6374" s="315"/>
      <c r="I6374" s="315"/>
      <c r="BA6374" s="30"/>
      <c r="BB6374" s="155"/>
      <c r="BC6374" s="314"/>
      <c r="BD6374" s="314"/>
      <c r="BE6374" s="314"/>
      <c r="BF6374" s="314"/>
      <c r="BG6374" s="314"/>
      <c r="BH6374" s="314"/>
      <c r="BI6374" s="314"/>
      <c r="BJ6374" s="314"/>
      <c r="BK6374" s="40"/>
      <c r="BL6374" s="40"/>
      <c r="BM6374" s="40"/>
      <c r="BN6374" s="40"/>
      <c r="BO6374" s="40"/>
      <c r="BP6374" s="155"/>
      <c r="BQ6374" s="314"/>
      <c r="BR6374" s="314"/>
      <c r="BS6374" s="314"/>
      <c r="BT6374" s="314"/>
      <c r="BU6374" s="314"/>
      <c r="BV6374" s="314"/>
      <c r="BW6374" s="314"/>
      <c r="BX6374" s="155"/>
    </row>
    <row r="6375" spans="1:76" ht="15.75" customHeight="1">
      <c r="A6375" s="25"/>
      <c r="B6375" s="39"/>
      <c r="C6375" s="155"/>
      <c r="D6375" s="155"/>
      <c r="E6375" s="40"/>
      <c r="F6375" s="314"/>
      <c r="H6375" s="315"/>
      <c r="I6375" s="315"/>
      <c r="BA6375" s="30"/>
      <c r="BB6375" s="155"/>
      <c r="BC6375" s="314"/>
      <c r="BD6375" s="314"/>
      <c r="BE6375" s="314"/>
      <c r="BF6375" s="314"/>
      <c r="BG6375" s="314"/>
      <c r="BH6375" s="314"/>
      <c r="BI6375" s="314"/>
      <c r="BJ6375" s="314"/>
      <c r="BK6375" s="40"/>
      <c r="BL6375" s="40"/>
      <c r="BM6375" s="40"/>
      <c r="BN6375" s="40"/>
      <c r="BO6375" s="40"/>
      <c r="BP6375" s="155"/>
      <c r="BQ6375" s="314"/>
      <c r="BR6375" s="314"/>
      <c r="BS6375" s="314"/>
      <c r="BT6375" s="314"/>
      <c r="BU6375" s="314"/>
      <c r="BV6375" s="314"/>
      <c r="BW6375" s="314"/>
      <c r="BX6375" s="155"/>
    </row>
    <row r="6376" spans="1:76" ht="15.75" customHeight="1">
      <c r="A6376" s="25"/>
      <c r="B6376" s="39"/>
      <c r="C6376" s="155"/>
      <c r="D6376" s="155"/>
      <c r="E6376" s="40"/>
      <c r="F6376" s="314"/>
      <c r="H6376" s="315"/>
      <c r="I6376" s="315"/>
      <c r="BA6376" s="30"/>
      <c r="BB6376" s="155"/>
      <c r="BC6376" s="314"/>
      <c r="BD6376" s="314"/>
      <c r="BE6376" s="314"/>
      <c r="BF6376" s="314"/>
      <c r="BG6376" s="314"/>
      <c r="BH6376" s="314"/>
      <c r="BI6376" s="314"/>
      <c r="BJ6376" s="314"/>
      <c r="BK6376" s="40"/>
      <c r="BL6376" s="40"/>
      <c r="BM6376" s="40"/>
      <c r="BN6376" s="40"/>
      <c r="BO6376" s="40"/>
      <c r="BP6376" s="155"/>
      <c r="BQ6376" s="314"/>
      <c r="BR6376" s="314"/>
      <c r="BS6376" s="314"/>
      <c r="BT6376" s="314"/>
      <c r="BU6376" s="314"/>
      <c r="BV6376" s="314"/>
      <c r="BW6376" s="314"/>
      <c r="BX6376" s="155"/>
    </row>
    <row r="6377" spans="1:76" ht="15.75" customHeight="1">
      <c r="A6377" s="25"/>
      <c r="B6377" s="39"/>
      <c r="C6377" s="155"/>
      <c r="D6377" s="155"/>
      <c r="E6377" s="40"/>
      <c r="F6377" s="314"/>
      <c r="H6377" s="315"/>
      <c r="I6377" s="315"/>
      <c r="BA6377" s="30"/>
      <c r="BB6377" s="155"/>
      <c r="BC6377" s="314"/>
      <c r="BD6377" s="314"/>
      <c r="BE6377" s="314"/>
      <c r="BF6377" s="314"/>
      <c r="BG6377" s="314"/>
      <c r="BH6377" s="314"/>
      <c r="BI6377" s="314"/>
      <c r="BJ6377" s="314"/>
      <c r="BK6377" s="40"/>
      <c r="BL6377" s="40"/>
      <c r="BM6377" s="40"/>
      <c r="BN6377" s="40"/>
      <c r="BO6377" s="40"/>
      <c r="BP6377" s="155"/>
      <c r="BQ6377" s="314"/>
      <c r="BR6377" s="314"/>
      <c r="BS6377" s="314"/>
      <c r="BT6377" s="314"/>
      <c r="BU6377" s="314"/>
      <c r="BV6377" s="314"/>
      <c r="BW6377" s="314"/>
      <c r="BX6377" s="155"/>
    </row>
    <row r="6378" spans="1:76" ht="15.75" customHeight="1">
      <c r="A6378" s="25"/>
      <c r="B6378" s="39"/>
      <c r="C6378" s="155"/>
      <c r="D6378" s="155"/>
      <c r="E6378" s="40"/>
      <c r="F6378" s="314"/>
      <c r="H6378" s="315"/>
      <c r="I6378" s="315"/>
      <c r="BA6378" s="30"/>
      <c r="BB6378" s="155"/>
      <c r="BC6378" s="314"/>
      <c r="BD6378" s="314"/>
      <c r="BE6378" s="314"/>
      <c r="BF6378" s="314"/>
      <c r="BG6378" s="314"/>
      <c r="BH6378" s="314"/>
      <c r="BI6378" s="314"/>
      <c r="BJ6378" s="314"/>
      <c r="BK6378" s="40"/>
      <c r="BL6378" s="40"/>
      <c r="BM6378" s="40"/>
      <c r="BN6378" s="40"/>
      <c r="BO6378" s="40"/>
      <c r="BP6378" s="155"/>
      <c r="BQ6378" s="314"/>
      <c r="BR6378" s="314"/>
      <c r="BS6378" s="314"/>
      <c r="BT6378" s="314"/>
      <c r="BU6378" s="314"/>
      <c r="BV6378" s="314"/>
      <c r="BW6378" s="314"/>
      <c r="BX6378" s="155"/>
    </row>
    <row r="6379" spans="1:76" ht="15.75" customHeight="1">
      <c r="A6379" s="25"/>
      <c r="B6379" s="39"/>
      <c r="C6379" s="155"/>
      <c r="D6379" s="155"/>
      <c r="E6379" s="40"/>
      <c r="F6379" s="314"/>
      <c r="H6379" s="315"/>
      <c r="I6379" s="315"/>
      <c r="BA6379" s="30"/>
      <c r="BB6379" s="155"/>
      <c r="BC6379" s="314"/>
      <c r="BD6379" s="314"/>
      <c r="BE6379" s="314"/>
      <c r="BF6379" s="314"/>
      <c r="BG6379" s="314"/>
      <c r="BH6379" s="314"/>
      <c r="BI6379" s="314"/>
      <c r="BJ6379" s="314"/>
      <c r="BK6379" s="40"/>
      <c r="BL6379" s="40"/>
      <c r="BM6379" s="40"/>
      <c r="BN6379" s="40"/>
      <c r="BO6379" s="40"/>
      <c r="BP6379" s="155"/>
      <c r="BQ6379" s="314"/>
      <c r="BR6379" s="314"/>
      <c r="BS6379" s="314"/>
      <c r="BT6379" s="314"/>
      <c r="BU6379" s="314"/>
      <c r="BV6379" s="314"/>
      <c r="BW6379" s="314"/>
      <c r="BX6379" s="155"/>
    </row>
    <row r="6380" spans="1:76" ht="15.75" customHeight="1">
      <c r="A6380" s="25"/>
      <c r="B6380" s="39"/>
      <c r="C6380" s="155"/>
      <c r="D6380" s="155"/>
      <c r="E6380" s="40"/>
      <c r="F6380" s="314"/>
      <c r="H6380" s="315"/>
      <c r="I6380" s="315"/>
      <c r="BA6380" s="30"/>
      <c r="BB6380" s="155"/>
      <c r="BC6380" s="314"/>
      <c r="BD6380" s="314"/>
      <c r="BE6380" s="314"/>
      <c r="BF6380" s="314"/>
      <c r="BG6380" s="314"/>
      <c r="BH6380" s="314"/>
      <c r="BI6380" s="314"/>
      <c r="BJ6380" s="314"/>
      <c r="BK6380" s="40"/>
      <c r="BL6380" s="40"/>
      <c r="BM6380" s="40"/>
      <c r="BN6380" s="40"/>
      <c r="BO6380" s="40"/>
      <c r="BP6380" s="155"/>
      <c r="BQ6380" s="314"/>
      <c r="BR6380" s="314"/>
      <c r="BS6380" s="314"/>
      <c r="BT6380" s="314"/>
      <c r="BU6380" s="314"/>
      <c r="BV6380" s="314"/>
      <c r="BW6380" s="314"/>
      <c r="BX6380" s="155"/>
    </row>
    <row r="6381" spans="1:76" ht="15.75" customHeight="1">
      <c r="A6381" s="25"/>
      <c r="B6381" s="39"/>
      <c r="C6381" s="155"/>
      <c r="D6381" s="155"/>
      <c r="E6381" s="40"/>
      <c r="F6381" s="314"/>
      <c r="H6381" s="315"/>
      <c r="I6381" s="315"/>
      <c r="BA6381" s="30"/>
      <c r="BB6381" s="155"/>
      <c r="BC6381" s="314"/>
      <c r="BD6381" s="314"/>
      <c r="BE6381" s="314"/>
      <c r="BF6381" s="314"/>
      <c r="BG6381" s="314"/>
      <c r="BH6381" s="314"/>
      <c r="BI6381" s="314"/>
      <c r="BJ6381" s="314"/>
      <c r="BK6381" s="40"/>
      <c r="BL6381" s="40"/>
      <c r="BM6381" s="40"/>
      <c r="BN6381" s="40"/>
      <c r="BO6381" s="40"/>
      <c r="BP6381" s="155"/>
      <c r="BQ6381" s="314"/>
      <c r="BR6381" s="314"/>
      <c r="BS6381" s="314"/>
      <c r="BT6381" s="314"/>
      <c r="BU6381" s="314"/>
      <c r="BV6381" s="314"/>
      <c r="BW6381" s="314"/>
      <c r="BX6381" s="155"/>
    </row>
    <row r="6382" spans="1:76" ht="15.75" customHeight="1">
      <c r="A6382" s="25"/>
      <c r="B6382" s="39"/>
      <c r="C6382" s="155"/>
      <c r="D6382" s="155"/>
      <c r="E6382" s="40"/>
      <c r="F6382" s="314"/>
      <c r="H6382" s="315"/>
      <c r="I6382" s="315"/>
      <c r="BA6382" s="30"/>
      <c r="BB6382" s="155"/>
      <c r="BC6382" s="314"/>
      <c r="BD6382" s="314"/>
      <c r="BE6382" s="314"/>
      <c r="BF6382" s="314"/>
      <c r="BG6382" s="314"/>
      <c r="BH6382" s="314"/>
      <c r="BI6382" s="314"/>
      <c r="BJ6382" s="314"/>
      <c r="BK6382" s="40"/>
      <c r="BL6382" s="40"/>
      <c r="BM6382" s="40"/>
      <c r="BN6382" s="40"/>
      <c r="BO6382" s="40"/>
      <c r="BP6382" s="155"/>
      <c r="BQ6382" s="314"/>
      <c r="BR6382" s="314"/>
      <c r="BS6382" s="314"/>
      <c r="BT6382" s="314"/>
      <c r="BU6382" s="314"/>
      <c r="BV6382" s="314"/>
      <c r="BW6382" s="314"/>
      <c r="BX6382" s="155"/>
    </row>
    <row r="6383" spans="1:76" ht="15.75" customHeight="1">
      <c r="A6383" s="25"/>
      <c r="B6383" s="39"/>
      <c r="C6383" s="155"/>
      <c r="D6383" s="155"/>
      <c r="E6383" s="40"/>
      <c r="F6383" s="314"/>
      <c r="H6383" s="315"/>
      <c r="I6383" s="315"/>
      <c r="BA6383" s="30"/>
      <c r="BB6383" s="155"/>
      <c r="BC6383" s="314"/>
      <c r="BD6383" s="314"/>
      <c r="BE6383" s="314"/>
      <c r="BF6383" s="314"/>
      <c r="BG6383" s="314"/>
      <c r="BH6383" s="314"/>
      <c r="BI6383" s="314"/>
      <c r="BJ6383" s="314"/>
      <c r="BK6383" s="40"/>
      <c r="BL6383" s="40"/>
      <c r="BM6383" s="40"/>
      <c r="BN6383" s="40"/>
      <c r="BO6383" s="40"/>
      <c r="BP6383" s="155"/>
      <c r="BQ6383" s="314"/>
      <c r="BR6383" s="314"/>
      <c r="BS6383" s="314"/>
      <c r="BT6383" s="314"/>
      <c r="BU6383" s="314"/>
      <c r="BV6383" s="314"/>
      <c r="BW6383" s="314"/>
      <c r="BX6383" s="155"/>
    </row>
    <row r="6384" spans="1:76" ht="15.75" customHeight="1">
      <c r="A6384" s="25"/>
      <c r="B6384" s="39"/>
      <c r="C6384" s="155"/>
      <c r="D6384" s="155"/>
      <c r="E6384" s="40"/>
      <c r="F6384" s="314"/>
      <c r="H6384" s="315"/>
      <c r="I6384" s="315"/>
      <c r="BA6384" s="30"/>
      <c r="BB6384" s="155"/>
      <c r="BC6384" s="314"/>
      <c r="BD6384" s="314"/>
      <c r="BE6384" s="314"/>
      <c r="BF6384" s="314"/>
      <c r="BG6384" s="314"/>
      <c r="BH6384" s="314"/>
      <c r="BI6384" s="314"/>
      <c r="BJ6384" s="314"/>
      <c r="BK6384" s="40"/>
      <c r="BL6384" s="40"/>
      <c r="BM6384" s="40"/>
      <c r="BN6384" s="40"/>
      <c r="BO6384" s="40"/>
      <c r="BP6384" s="155"/>
      <c r="BQ6384" s="314"/>
      <c r="BR6384" s="314"/>
      <c r="BS6384" s="314"/>
      <c r="BT6384" s="314"/>
      <c r="BU6384" s="314"/>
      <c r="BV6384" s="314"/>
      <c r="BW6384" s="314"/>
      <c r="BX6384" s="155"/>
    </row>
    <row r="6385" spans="1:76" ht="15.75" customHeight="1">
      <c r="A6385" s="25"/>
      <c r="B6385" s="39"/>
      <c r="C6385" s="155"/>
      <c r="D6385" s="155"/>
      <c r="E6385" s="40"/>
      <c r="F6385" s="314"/>
      <c r="H6385" s="315"/>
      <c r="I6385" s="315"/>
      <c r="BA6385" s="30"/>
      <c r="BB6385" s="155"/>
      <c r="BC6385" s="314"/>
      <c r="BD6385" s="314"/>
      <c r="BE6385" s="314"/>
      <c r="BF6385" s="314"/>
      <c r="BG6385" s="314"/>
      <c r="BH6385" s="314"/>
      <c r="BI6385" s="314"/>
      <c r="BJ6385" s="314"/>
      <c r="BK6385" s="40"/>
      <c r="BL6385" s="40"/>
      <c r="BM6385" s="40"/>
      <c r="BN6385" s="40"/>
      <c r="BO6385" s="40"/>
      <c r="BP6385" s="155"/>
      <c r="BQ6385" s="314"/>
      <c r="BR6385" s="314"/>
      <c r="BS6385" s="314"/>
      <c r="BT6385" s="314"/>
      <c r="BU6385" s="314"/>
      <c r="BV6385" s="314"/>
      <c r="BW6385" s="314"/>
      <c r="BX6385" s="155"/>
    </row>
    <row r="6386" spans="1:76" ht="15.75" customHeight="1">
      <c r="A6386" s="25"/>
      <c r="B6386" s="39"/>
      <c r="C6386" s="155"/>
      <c r="D6386" s="155"/>
      <c r="E6386" s="40"/>
      <c r="F6386" s="314"/>
      <c r="H6386" s="315"/>
      <c r="I6386" s="315"/>
      <c r="BA6386" s="30"/>
      <c r="BB6386" s="155"/>
      <c r="BC6386" s="314"/>
      <c r="BD6386" s="314"/>
      <c r="BE6386" s="314"/>
      <c r="BF6386" s="314"/>
      <c r="BG6386" s="314"/>
      <c r="BH6386" s="314"/>
      <c r="BI6386" s="314"/>
      <c r="BJ6386" s="314"/>
      <c r="BK6386" s="40"/>
      <c r="BL6386" s="40"/>
      <c r="BM6386" s="40"/>
      <c r="BN6386" s="40"/>
      <c r="BO6386" s="40"/>
      <c r="BP6386" s="155"/>
      <c r="BQ6386" s="314"/>
      <c r="BR6386" s="314"/>
      <c r="BS6386" s="314"/>
      <c r="BT6386" s="314"/>
      <c r="BU6386" s="314"/>
      <c r="BV6386" s="314"/>
      <c r="BW6386" s="314"/>
      <c r="BX6386" s="155"/>
    </row>
    <row r="6387" spans="1:76" ht="15.75" customHeight="1">
      <c r="A6387" s="25"/>
      <c r="B6387" s="39"/>
      <c r="C6387" s="155"/>
      <c r="D6387" s="155"/>
      <c r="E6387" s="40"/>
      <c r="F6387" s="314"/>
      <c r="H6387" s="315"/>
      <c r="I6387" s="315"/>
      <c r="BA6387" s="30"/>
      <c r="BB6387" s="155"/>
      <c r="BC6387" s="314"/>
      <c r="BD6387" s="314"/>
      <c r="BE6387" s="314"/>
      <c r="BF6387" s="314"/>
      <c r="BG6387" s="314"/>
      <c r="BH6387" s="314"/>
      <c r="BI6387" s="314"/>
      <c r="BJ6387" s="314"/>
      <c r="BK6387" s="40"/>
      <c r="BL6387" s="40"/>
      <c r="BM6387" s="40"/>
      <c r="BN6387" s="40"/>
      <c r="BO6387" s="40"/>
      <c r="BP6387" s="155"/>
      <c r="BQ6387" s="314"/>
      <c r="BR6387" s="314"/>
      <c r="BS6387" s="314"/>
      <c r="BT6387" s="314"/>
      <c r="BU6387" s="314"/>
      <c r="BV6387" s="314"/>
      <c r="BW6387" s="314"/>
      <c r="BX6387" s="155"/>
    </row>
    <row r="6388" spans="1:76" ht="15.75" customHeight="1">
      <c r="A6388" s="25"/>
      <c r="B6388" s="39"/>
      <c r="C6388" s="155"/>
      <c r="D6388" s="155"/>
      <c r="E6388" s="40"/>
      <c r="F6388" s="314"/>
      <c r="H6388" s="315"/>
      <c r="I6388" s="315"/>
      <c r="BA6388" s="30"/>
      <c r="BB6388" s="155"/>
      <c r="BC6388" s="314"/>
      <c r="BD6388" s="314"/>
      <c r="BE6388" s="314"/>
      <c r="BF6388" s="314"/>
      <c r="BG6388" s="314"/>
      <c r="BH6388" s="314"/>
      <c r="BI6388" s="314"/>
      <c r="BJ6388" s="314"/>
      <c r="BK6388" s="40"/>
      <c r="BL6388" s="40"/>
      <c r="BM6388" s="40"/>
      <c r="BN6388" s="40"/>
      <c r="BO6388" s="40"/>
      <c r="BP6388" s="155"/>
      <c r="BQ6388" s="314"/>
      <c r="BR6388" s="314"/>
      <c r="BS6388" s="314"/>
      <c r="BT6388" s="314"/>
      <c r="BU6388" s="314"/>
      <c r="BV6388" s="314"/>
      <c r="BW6388" s="314"/>
      <c r="BX6388" s="155"/>
    </row>
    <row r="6389" spans="1:76" ht="15.75" customHeight="1">
      <c r="A6389" s="25"/>
      <c r="B6389" s="39"/>
      <c r="C6389" s="155"/>
      <c r="D6389" s="155"/>
      <c r="E6389" s="40"/>
      <c r="F6389" s="314"/>
      <c r="H6389" s="315"/>
      <c r="I6389" s="315"/>
      <c r="BA6389" s="30"/>
      <c r="BB6389" s="155"/>
      <c r="BC6389" s="314"/>
      <c r="BD6389" s="314"/>
      <c r="BE6389" s="314"/>
      <c r="BF6389" s="314"/>
      <c r="BG6389" s="314"/>
      <c r="BH6389" s="314"/>
      <c r="BI6389" s="314"/>
      <c r="BJ6389" s="314"/>
      <c r="BK6389" s="40"/>
      <c r="BL6389" s="40"/>
      <c r="BM6389" s="40"/>
      <c r="BN6389" s="40"/>
      <c r="BO6389" s="40"/>
      <c r="BP6389" s="155"/>
      <c r="BQ6389" s="314"/>
      <c r="BR6389" s="314"/>
      <c r="BS6389" s="314"/>
      <c r="BT6389" s="314"/>
      <c r="BU6389" s="314"/>
      <c r="BV6389" s="314"/>
      <c r="BW6389" s="314"/>
      <c r="BX6389" s="155"/>
    </row>
    <row r="6390" spans="1:76" ht="15.75" customHeight="1">
      <c r="A6390" s="25"/>
      <c r="B6390" s="39"/>
      <c r="C6390" s="155"/>
      <c r="D6390" s="155"/>
      <c r="E6390" s="40"/>
      <c r="F6390" s="314"/>
      <c r="H6390" s="315"/>
      <c r="I6390" s="315"/>
      <c r="BA6390" s="30"/>
      <c r="BB6390" s="155"/>
      <c r="BC6390" s="314"/>
      <c r="BD6390" s="314"/>
      <c r="BE6390" s="314"/>
      <c r="BF6390" s="314"/>
      <c r="BG6390" s="314"/>
      <c r="BH6390" s="314"/>
      <c r="BI6390" s="314"/>
      <c r="BJ6390" s="314"/>
      <c r="BK6390" s="40"/>
      <c r="BL6390" s="40"/>
      <c r="BM6390" s="40"/>
      <c r="BN6390" s="40"/>
      <c r="BO6390" s="40"/>
      <c r="BP6390" s="155"/>
      <c r="BQ6390" s="314"/>
      <c r="BR6390" s="314"/>
      <c r="BS6390" s="314"/>
      <c r="BT6390" s="314"/>
      <c r="BU6390" s="314"/>
      <c r="BV6390" s="314"/>
      <c r="BW6390" s="314"/>
      <c r="BX6390" s="155"/>
    </row>
    <row r="6391" spans="1:76" ht="15.75" customHeight="1">
      <c r="A6391" s="25"/>
      <c r="B6391" s="39"/>
      <c r="C6391" s="155"/>
      <c r="D6391" s="155"/>
      <c r="E6391" s="40"/>
      <c r="F6391" s="314"/>
      <c r="H6391" s="315"/>
      <c r="I6391" s="315"/>
      <c r="BA6391" s="30"/>
      <c r="BB6391" s="155"/>
      <c r="BC6391" s="314"/>
      <c r="BD6391" s="314"/>
      <c r="BE6391" s="314"/>
      <c r="BF6391" s="314"/>
      <c r="BG6391" s="314"/>
      <c r="BH6391" s="314"/>
      <c r="BI6391" s="314"/>
      <c r="BJ6391" s="314"/>
      <c r="BK6391" s="40"/>
      <c r="BL6391" s="40"/>
      <c r="BM6391" s="40"/>
      <c r="BN6391" s="40"/>
      <c r="BO6391" s="40"/>
      <c r="BP6391" s="155"/>
      <c r="BQ6391" s="314"/>
      <c r="BR6391" s="314"/>
      <c r="BS6391" s="314"/>
      <c r="BT6391" s="314"/>
      <c r="BU6391" s="314"/>
      <c r="BV6391" s="314"/>
      <c r="BW6391" s="314"/>
      <c r="BX6391" s="155"/>
    </row>
    <row r="6392" spans="1:76" ht="15.75" customHeight="1">
      <c r="A6392" s="25"/>
      <c r="B6392" s="39"/>
      <c r="C6392" s="155"/>
      <c r="D6392" s="155"/>
      <c r="E6392" s="40"/>
      <c r="F6392" s="314"/>
      <c r="H6392" s="315"/>
      <c r="I6392" s="315"/>
      <c r="BA6392" s="30"/>
      <c r="BB6392" s="155"/>
      <c r="BC6392" s="314"/>
      <c r="BD6392" s="314"/>
      <c r="BE6392" s="314"/>
      <c r="BF6392" s="314"/>
      <c r="BG6392" s="314"/>
      <c r="BH6392" s="314"/>
      <c r="BI6392" s="314"/>
      <c r="BJ6392" s="314"/>
      <c r="BK6392" s="40"/>
      <c r="BL6392" s="40"/>
      <c r="BM6392" s="40"/>
      <c r="BN6392" s="40"/>
      <c r="BO6392" s="40"/>
      <c r="BP6392" s="155"/>
      <c r="BQ6392" s="314"/>
      <c r="BR6392" s="314"/>
      <c r="BS6392" s="314"/>
      <c r="BT6392" s="314"/>
      <c r="BU6392" s="314"/>
      <c r="BV6392" s="314"/>
      <c r="BW6392" s="314"/>
      <c r="BX6392" s="155"/>
    </row>
    <row r="6393" spans="1:76" ht="15.75" customHeight="1">
      <c r="A6393" s="25"/>
      <c r="B6393" s="39"/>
      <c r="C6393" s="155"/>
      <c r="D6393" s="155"/>
      <c r="E6393" s="40"/>
      <c r="F6393" s="314"/>
      <c r="H6393" s="315"/>
      <c r="I6393" s="315"/>
      <c r="BA6393" s="30"/>
      <c r="BB6393" s="155"/>
      <c r="BC6393" s="314"/>
      <c r="BD6393" s="314"/>
      <c r="BE6393" s="314"/>
      <c r="BF6393" s="314"/>
      <c r="BG6393" s="314"/>
      <c r="BH6393" s="314"/>
      <c r="BI6393" s="314"/>
      <c r="BJ6393" s="314"/>
      <c r="BK6393" s="40"/>
      <c r="BL6393" s="40"/>
      <c r="BM6393" s="40"/>
      <c r="BN6393" s="40"/>
      <c r="BO6393" s="40"/>
      <c r="BP6393" s="155"/>
      <c r="BQ6393" s="314"/>
      <c r="BR6393" s="314"/>
      <c r="BS6393" s="314"/>
      <c r="BT6393" s="314"/>
      <c r="BU6393" s="314"/>
      <c r="BV6393" s="314"/>
      <c r="BW6393" s="314"/>
      <c r="BX6393" s="155"/>
    </row>
    <row r="6394" spans="1:76" ht="15.75" customHeight="1">
      <c r="A6394" s="25"/>
      <c r="B6394" s="39"/>
      <c r="C6394" s="155"/>
      <c r="D6394" s="155"/>
      <c r="E6394" s="40"/>
      <c r="F6394" s="314"/>
      <c r="H6394" s="315"/>
      <c r="I6394" s="315"/>
      <c r="BA6394" s="30"/>
      <c r="BB6394" s="155"/>
      <c r="BC6394" s="314"/>
      <c r="BD6394" s="314"/>
      <c r="BE6394" s="314"/>
      <c r="BF6394" s="314"/>
      <c r="BG6394" s="314"/>
      <c r="BH6394" s="314"/>
      <c r="BI6394" s="314"/>
      <c r="BJ6394" s="314"/>
      <c r="BK6394" s="40"/>
      <c r="BL6394" s="40"/>
      <c r="BM6394" s="40"/>
      <c r="BN6394" s="40"/>
      <c r="BO6394" s="40"/>
      <c r="BP6394" s="155"/>
      <c r="BQ6394" s="314"/>
      <c r="BR6394" s="314"/>
      <c r="BS6394" s="314"/>
      <c r="BT6394" s="314"/>
      <c r="BU6394" s="314"/>
      <c r="BV6394" s="314"/>
      <c r="BW6394" s="314"/>
      <c r="BX6394" s="155"/>
    </row>
    <row r="6395" spans="1:76" ht="15.75" customHeight="1">
      <c r="A6395" s="25"/>
      <c r="B6395" s="39"/>
      <c r="C6395" s="155"/>
      <c r="D6395" s="155"/>
      <c r="E6395" s="40"/>
      <c r="F6395" s="314"/>
      <c r="H6395" s="315"/>
      <c r="I6395" s="315"/>
      <c r="BA6395" s="30"/>
      <c r="BB6395" s="155"/>
      <c r="BC6395" s="314"/>
      <c r="BD6395" s="314"/>
      <c r="BE6395" s="314"/>
      <c r="BF6395" s="314"/>
      <c r="BG6395" s="314"/>
      <c r="BH6395" s="314"/>
      <c r="BI6395" s="314"/>
      <c r="BJ6395" s="314"/>
      <c r="BK6395" s="40"/>
      <c r="BL6395" s="40"/>
      <c r="BM6395" s="40"/>
      <c r="BN6395" s="40"/>
      <c r="BO6395" s="40"/>
      <c r="BP6395" s="155"/>
      <c r="BQ6395" s="314"/>
      <c r="BR6395" s="314"/>
      <c r="BS6395" s="314"/>
      <c r="BT6395" s="314"/>
      <c r="BU6395" s="314"/>
      <c r="BV6395" s="314"/>
      <c r="BW6395" s="314"/>
      <c r="BX6395" s="155"/>
    </row>
    <row r="6396" spans="1:76" ht="15.75" customHeight="1">
      <c r="A6396" s="25"/>
      <c r="B6396" s="39"/>
      <c r="C6396" s="155"/>
      <c r="D6396" s="155"/>
      <c r="E6396" s="40"/>
      <c r="F6396" s="314"/>
      <c r="H6396" s="315"/>
      <c r="I6396" s="315"/>
      <c r="BA6396" s="30"/>
      <c r="BB6396" s="155"/>
      <c r="BC6396" s="314"/>
      <c r="BD6396" s="314"/>
      <c r="BE6396" s="314"/>
      <c r="BF6396" s="314"/>
      <c r="BG6396" s="314"/>
      <c r="BH6396" s="314"/>
      <c r="BI6396" s="314"/>
      <c r="BJ6396" s="314"/>
      <c r="BK6396" s="40"/>
      <c r="BL6396" s="40"/>
      <c r="BM6396" s="40"/>
      <c r="BN6396" s="40"/>
      <c r="BO6396" s="40"/>
      <c r="BP6396" s="155"/>
      <c r="BQ6396" s="314"/>
      <c r="BR6396" s="314"/>
      <c r="BS6396" s="314"/>
      <c r="BT6396" s="314"/>
      <c r="BU6396" s="314"/>
      <c r="BV6396" s="314"/>
      <c r="BW6396" s="314"/>
      <c r="BX6396" s="155"/>
    </row>
    <row r="6397" spans="1:76" ht="15.75" customHeight="1">
      <c r="A6397" s="25"/>
      <c r="B6397" s="39"/>
      <c r="C6397" s="155"/>
      <c r="D6397" s="155"/>
      <c r="E6397" s="40"/>
      <c r="F6397" s="314"/>
      <c r="H6397" s="315"/>
      <c r="I6397" s="315"/>
      <c r="BA6397" s="30"/>
      <c r="BB6397" s="155"/>
      <c r="BC6397" s="314"/>
      <c r="BD6397" s="314"/>
      <c r="BE6397" s="314"/>
      <c r="BF6397" s="314"/>
      <c r="BG6397" s="314"/>
      <c r="BH6397" s="314"/>
      <c r="BI6397" s="314"/>
      <c r="BJ6397" s="314"/>
      <c r="BK6397" s="40"/>
      <c r="BL6397" s="40"/>
      <c r="BM6397" s="40"/>
      <c r="BN6397" s="40"/>
      <c r="BO6397" s="40"/>
      <c r="BP6397" s="155"/>
      <c r="BQ6397" s="314"/>
      <c r="BR6397" s="314"/>
      <c r="BS6397" s="314"/>
      <c r="BT6397" s="314"/>
      <c r="BU6397" s="314"/>
      <c r="BV6397" s="314"/>
      <c r="BW6397" s="314"/>
      <c r="BX6397" s="155"/>
    </row>
    <row r="6398" spans="1:76" ht="15.75" customHeight="1">
      <c r="A6398" s="25"/>
      <c r="B6398" s="39"/>
      <c r="C6398" s="155"/>
      <c r="D6398" s="155"/>
      <c r="E6398" s="40"/>
      <c r="F6398" s="314"/>
      <c r="H6398" s="315"/>
      <c r="I6398" s="315"/>
      <c r="BA6398" s="30"/>
      <c r="BB6398" s="155"/>
      <c r="BC6398" s="314"/>
      <c r="BD6398" s="314"/>
      <c r="BE6398" s="314"/>
      <c r="BF6398" s="314"/>
      <c r="BG6398" s="314"/>
      <c r="BH6398" s="314"/>
      <c r="BI6398" s="314"/>
      <c r="BJ6398" s="314"/>
      <c r="BK6398" s="40"/>
      <c r="BL6398" s="40"/>
      <c r="BM6398" s="40"/>
      <c r="BN6398" s="40"/>
      <c r="BO6398" s="40"/>
      <c r="BP6398" s="155"/>
      <c r="BQ6398" s="314"/>
      <c r="BR6398" s="314"/>
      <c r="BS6398" s="314"/>
      <c r="BT6398" s="314"/>
      <c r="BU6398" s="314"/>
      <c r="BV6398" s="314"/>
      <c r="BW6398" s="314"/>
      <c r="BX6398" s="155"/>
    </row>
    <row r="6399" spans="1:76" ht="15.75" customHeight="1">
      <c r="A6399" s="25"/>
      <c r="B6399" s="39"/>
      <c r="C6399" s="155"/>
      <c r="D6399" s="155"/>
      <c r="E6399" s="40"/>
      <c r="F6399" s="314"/>
      <c r="H6399" s="315"/>
      <c r="I6399" s="315"/>
      <c r="BA6399" s="30"/>
      <c r="BB6399" s="155"/>
      <c r="BC6399" s="314"/>
      <c r="BD6399" s="314"/>
      <c r="BE6399" s="314"/>
      <c r="BF6399" s="314"/>
      <c r="BG6399" s="314"/>
      <c r="BH6399" s="314"/>
      <c r="BI6399" s="314"/>
      <c r="BJ6399" s="314"/>
      <c r="BK6399" s="40"/>
      <c r="BL6399" s="40"/>
      <c r="BM6399" s="40"/>
      <c r="BN6399" s="40"/>
      <c r="BO6399" s="40"/>
      <c r="BP6399" s="155"/>
      <c r="BQ6399" s="314"/>
      <c r="BR6399" s="314"/>
      <c r="BS6399" s="314"/>
      <c r="BT6399" s="314"/>
      <c r="BU6399" s="314"/>
      <c r="BV6399" s="314"/>
      <c r="BW6399" s="314"/>
      <c r="BX6399" s="155"/>
    </row>
    <row r="6400" spans="1:76" ht="15.75" customHeight="1">
      <c r="A6400" s="25"/>
      <c r="B6400" s="39"/>
      <c r="C6400" s="155"/>
      <c r="D6400" s="155"/>
      <c r="E6400" s="40"/>
      <c r="F6400" s="314"/>
      <c r="H6400" s="315"/>
      <c r="I6400" s="315"/>
      <c r="BA6400" s="30"/>
      <c r="BB6400" s="155"/>
      <c r="BC6400" s="314"/>
      <c r="BD6400" s="314"/>
      <c r="BE6400" s="314"/>
      <c r="BF6400" s="314"/>
      <c r="BG6400" s="314"/>
      <c r="BH6400" s="314"/>
      <c r="BI6400" s="314"/>
      <c r="BJ6400" s="314"/>
      <c r="BK6400" s="40"/>
      <c r="BL6400" s="40"/>
      <c r="BM6400" s="40"/>
      <c r="BN6400" s="40"/>
      <c r="BO6400" s="40"/>
      <c r="BP6400" s="155"/>
      <c r="BQ6400" s="314"/>
      <c r="BR6400" s="314"/>
      <c r="BS6400" s="314"/>
      <c r="BT6400" s="314"/>
      <c r="BU6400" s="314"/>
      <c r="BV6400" s="314"/>
      <c r="BW6400" s="314"/>
      <c r="BX6400" s="155"/>
    </row>
    <row r="6401" spans="1:76" ht="15.75" customHeight="1">
      <c r="A6401" s="25"/>
      <c r="B6401" s="39"/>
      <c r="C6401" s="155"/>
      <c r="D6401" s="155"/>
      <c r="E6401" s="40"/>
      <c r="F6401" s="314"/>
      <c r="H6401" s="315"/>
      <c r="I6401" s="315"/>
      <c r="BA6401" s="30"/>
      <c r="BB6401" s="155"/>
      <c r="BC6401" s="314"/>
      <c r="BD6401" s="314"/>
      <c r="BE6401" s="314"/>
      <c r="BF6401" s="314"/>
      <c r="BG6401" s="314"/>
      <c r="BH6401" s="314"/>
      <c r="BI6401" s="314"/>
      <c r="BJ6401" s="314"/>
      <c r="BK6401" s="40"/>
      <c r="BL6401" s="40"/>
      <c r="BM6401" s="40"/>
      <c r="BN6401" s="40"/>
      <c r="BO6401" s="40"/>
      <c r="BP6401" s="155"/>
      <c r="BQ6401" s="314"/>
      <c r="BR6401" s="314"/>
      <c r="BS6401" s="314"/>
      <c r="BT6401" s="314"/>
      <c r="BU6401" s="314"/>
      <c r="BV6401" s="314"/>
      <c r="BW6401" s="314"/>
      <c r="BX6401" s="155"/>
    </row>
    <row r="6402" spans="1:76" ht="15.75" customHeight="1">
      <c r="A6402" s="25"/>
      <c r="B6402" s="39"/>
      <c r="C6402" s="155"/>
      <c r="D6402" s="155"/>
      <c r="E6402" s="40"/>
      <c r="F6402" s="314"/>
      <c r="H6402" s="315"/>
      <c r="I6402" s="315"/>
      <c r="BA6402" s="30"/>
      <c r="BB6402" s="155"/>
      <c r="BC6402" s="314"/>
      <c r="BD6402" s="314"/>
      <c r="BE6402" s="314"/>
      <c r="BF6402" s="314"/>
      <c r="BG6402" s="314"/>
      <c r="BH6402" s="314"/>
      <c r="BI6402" s="314"/>
      <c r="BJ6402" s="314"/>
      <c r="BK6402" s="40"/>
      <c r="BL6402" s="40"/>
      <c r="BM6402" s="40"/>
      <c r="BN6402" s="40"/>
      <c r="BO6402" s="40"/>
      <c r="BP6402" s="155"/>
      <c r="BQ6402" s="314"/>
      <c r="BR6402" s="314"/>
      <c r="BS6402" s="314"/>
      <c r="BT6402" s="314"/>
      <c r="BU6402" s="314"/>
      <c r="BV6402" s="314"/>
      <c r="BW6402" s="314"/>
      <c r="BX6402" s="155"/>
    </row>
    <row r="6403" spans="1:76" ht="15.75" customHeight="1">
      <c r="A6403" s="25"/>
      <c r="B6403" s="39"/>
      <c r="C6403" s="155"/>
      <c r="D6403" s="155"/>
      <c r="E6403" s="40"/>
      <c r="F6403" s="314"/>
      <c r="H6403" s="315"/>
      <c r="I6403" s="315"/>
      <c r="BA6403" s="30"/>
      <c r="BB6403" s="155"/>
      <c r="BC6403" s="314"/>
      <c r="BD6403" s="314"/>
      <c r="BE6403" s="314"/>
      <c r="BF6403" s="314"/>
      <c r="BG6403" s="314"/>
      <c r="BH6403" s="314"/>
      <c r="BI6403" s="314"/>
      <c r="BJ6403" s="314"/>
      <c r="BK6403" s="40"/>
      <c r="BL6403" s="40"/>
      <c r="BM6403" s="40"/>
      <c r="BN6403" s="40"/>
      <c r="BO6403" s="40"/>
      <c r="BP6403" s="155"/>
      <c r="BQ6403" s="314"/>
      <c r="BR6403" s="314"/>
      <c r="BS6403" s="314"/>
      <c r="BT6403" s="314"/>
      <c r="BU6403" s="314"/>
      <c r="BV6403" s="314"/>
      <c r="BW6403" s="314"/>
      <c r="BX6403" s="155"/>
    </row>
    <row r="6404" spans="1:76" ht="15.75" customHeight="1">
      <c r="A6404" s="25"/>
      <c r="B6404" s="39"/>
      <c r="C6404" s="155"/>
      <c r="D6404" s="155"/>
      <c r="E6404" s="40"/>
      <c r="F6404" s="314"/>
      <c r="H6404" s="315"/>
      <c r="I6404" s="315"/>
      <c r="BA6404" s="30"/>
      <c r="BB6404" s="155"/>
      <c r="BC6404" s="314"/>
      <c r="BD6404" s="314"/>
      <c r="BE6404" s="314"/>
      <c r="BF6404" s="314"/>
      <c r="BG6404" s="314"/>
      <c r="BH6404" s="314"/>
      <c r="BI6404" s="314"/>
      <c r="BJ6404" s="314"/>
      <c r="BK6404" s="40"/>
      <c r="BL6404" s="40"/>
      <c r="BM6404" s="40"/>
      <c r="BN6404" s="40"/>
      <c r="BO6404" s="40"/>
      <c r="BP6404" s="155"/>
      <c r="BQ6404" s="314"/>
      <c r="BR6404" s="314"/>
      <c r="BS6404" s="314"/>
      <c r="BT6404" s="314"/>
      <c r="BU6404" s="314"/>
      <c r="BV6404" s="314"/>
      <c r="BW6404" s="314"/>
      <c r="BX6404" s="155"/>
    </row>
    <row r="6405" spans="1:76" ht="15.75" customHeight="1">
      <c r="A6405" s="25"/>
      <c r="B6405" s="39"/>
      <c r="C6405" s="155"/>
      <c r="D6405" s="155"/>
      <c r="E6405" s="40"/>
      <c r="F6405" s="314"/>
      <c r="H6405" s="315"/>
      <c r="I6405" s="315"/>
      <c r="BA6405" s="30"/>
      <c r="BB6405" s="155"/>
      <c r="BC6405" s="314"/>
      <c r="BD6405" s="314"/>
      <c r="BE6405" s="314"/>
      <c r="BF6405" s="314"/>
      <c r="BG6405" s="314"/>
      <c r="BH6405" s="314"/>
      <c r="BI6405" s="314"/>
      <c r="BJ6405" s="314"/>
      <c r="BK6405" s="40"/>
      <c r="BL6405" s="40"/>
      <c r="BM6405" s="40"/>
      <c r="BN6405" s="40"/>
      <c r="BO6405" s="40"/>
      <c r="BP6405" s="155"/>
      <c r="BQ6405" s="314"/>
      <c r="BR6405" s="314"/>
      <c r="BS6405" s="314"/>
      <c r="BT6405" s="314"/>
      <c r="BU6405" s="314"/>
      <c r="BV6405" s="314"/>
      <c r="BW6405" s="314"/>
      <c r="BX6405" s="155"/>
    </row>
    <row r="6406" spans="1:76" ht="15.75" customHeight="1">
      <c r="A6406" s="25"/>
      <c r="B6406" s="39"/>
      <c r="C6406" s="155"/>
      <c r="D6406" s="155"/>
      <c r="E6406" s="40"/>
      <c r="F6406" s="314"/>
      <c r="H6406" s="315"/>
      <c r="I6406" s="315"/>
      <c r="BA6406" s="30"/>
      <c r="BB6406" s="155"/>
      <c r="BC6406" s="314"/>
      <c r="BD6406" s="314"/>
      <c r="BE6406" s="314"/>
      <c r="BF6406" s="314"/>
      <c r="BG6406" s="314"/>
      <c r="BH6406" s="314"/>
      <c r="BI6406" s="314"/>
      <c r="BJ6406" s="314"/>
      <c r="BK6406" s="40"/>
      <c r="BL6406" s="40"/>
      <c r="BM6406" s="40"/>
      <c r="BN6406" s="40"/>
      <c r="BO6406" s="40"/>
      <c r="BP6406" s="155"/>
      <c r="BQ6406" s="314"/>
      <c r="BR6406" s="314"/>
      <c r="BS6406" s="314"/>
      <c r="BT6406" s="314"/>
      <c r="BU6406" s="314"/>
      <c r="BV6406" s="314"/>
      <c r="BW6406" s="314"/>
      <c r="BX6406" s="155"/>
    </row>
  </sheetData>
  <sortState xmlns:xlrd2="http://schemas.microsoft.com/office/spreadsheetml/2017/richdata2" ref="A2:BX6406">
    <sortCondition ref="F1:F6406"/>
  </sortState>
  <hyperlinks>
    <hyperlink ref="BX1" r:id="rId1" xr:uid="{00000000-0004-0000-0100-000000000000}"/>
    <hyperlink ref="B2" r:id="rId2" xr:uid="{00000000-0004-0000-0100-000001000000}"/>
    <hyperlink ref="BX2" r:id="rId3" xr:uid="{00000000-0004-0000-0100-000002000000}"/>
    <hyperlink ref="B3" r:id="rId4" xr:uid="{00000000-0004-0000-0100-000003000000}"/>
    <hyperlink ref="BX3" r:id="rId5" xr:uid="{00000000-0004-0000-0100-000004000000}"/>
    <hyperlink ref="B4" r:id="rId6" xr:uid="{00000000-0004-0000-0100-000005000000}"/>
    <hyperlink ref="BX4" r:id="rId7" xr:uid="{00000000-0004-0000-0100-000006000000}"/>
    <hyperlink ref="B5" r:id="rId8" xr:uid="{00000000-0004-0000-0100-000007000000}"/>
    <hyperlink ref="BX5" r:id="rId9" xr:uid="{00000000-0004-0000-0100-000008000000}"/>
    <hyperlink ref="B6" r:id="rId10" xr:uid="{00000000-0004-0000-0100-000009000000}"/>
    <hyperlink ref="BX6" r:id="rId11" xr:uid="{00000000-0004-0000-0100-00000A000000}"/>
    <hyperlink ref="B7" r:id="rId12" xr:uid="{00000000-0004-0000-0100-00000B000000}"/>
    <hyperlink ref="BX7" r:id="rId13" xr:uid="{00000000-0004-0000-0100-00000C000000}"/>
    <hyperlink ref="B8" r:id="rId14" xr:uid="{00000000-0004-0000-0100-00000D000000}"/>
    <hyperlink ref="BX8" r:id="rId15" xr:uid="{00000000-0004-0000-0100-00000E000000}"/>
    <hyperlink ref="B9" r:id="rId16" xr:uid="{00000000-0004-0000-0100-00000F000000}"/>
    <hyperlink ref="BX9" r:id="rId17" xr:uid="{00000000-0004-0000-0100-000010000000}"/>
    <hyperlink ref="B11" r:id="rId18" xr:uid="{00000000-0004-0000-0100-000011000000}"/>
    <hyperlink ref="BX11" r:id="rId19" xr:uid="{00000000-0004-0000-0100-000012000000}"/>
    <hyperlink ref="B12" r:id="rId20" xr:uid="{00000000-0004-0000-0100-000013000000}"/>
    <hyperlink ref="BX12" r:id="rId21" xr:uid="{00000000-0004-0000-0100-000014000000}"/>
    <hyperlink ref="B13" r:id="rId22" xr:uid="{00000000-0004-0000-0100-000015000000}"/>
    <hyperlink ref="BX13" r:id="rId23" xr:uid="{00000000-0004-0000-0100-000016000000}"/>
    <hyperlink ref="B10" r:id="rId24" xr:uid="{00000000-0004-0000-0100-000017000000}"/>
    <hyperlink ref="BX10" r:id="rId25" xr:uid="{00000000-0004-0000-0100-000018000000}"/>
    <hyperlink ref="B14" r:id="rId26" xr:uid="{00000000-0004-0000-0100-000019000000}"/>
    <hyperlink ref="BX14" r:id="rId27" xr:uid="{00000000-0004-0000-0100-00001A000000}"/>
    <hyperlink ref="B15" r:id="rId28" xr:uid="{00000000-0004-0000-0100-00001B000000}"/>
    <hyperlink ref="BX15" r:id="rId29" xr:uid="{00000000-0004-0000-0100-00001C000000}"/>
    <hyperlink ref="B17" r:id="rId30" location="Faculty" xr:uid="{00000000-0004-0000-0100-00001D000000}"/>
    <hyperlink ref="BX17" r:id="rId31" xr:uid="{00000000-0004-0000-0100-00001E000000}"/>
    <hyperlink ref="B16" r:id="rId32" location="mae" xr:uid="{00000000-0004-0000-0100-00001F000000}"/>
    <hyperlink ref="BX16" r:id="rId33" xr:uid="{00000000-0004-0000-0100-000020000000}"/>
    <hyperlink ref="B18" r:id="rId34" xr:uid="{00000000-0004-0000-0100-000021000000}"/>
    <hyperlink ref="BX18" r:id="rId35" xr:uid="{00000000-0004-0000-0100-000022000000}"/>
    <hyperlink ref="B19" r:id="rId36" xr:uid="{00000000-0004-0000-0100-000023000000}"/>
    <hyperlink ref="BX19" r:id="rId37" xr:uid="{00000000-0004-0000-0100-000024000000}"/>
    <hyperlink ref="B24" r:id="rId38" xr:uid="{00000000-0004-0000-0100-000025000000}"/>
    <hyperlink ref="BX24" r:id="rId39" xr:uid="{00000000-0004-0000-0100-000026000000}"/>
    <hyperlink ref="B20" r:id="rId40" xr:uid="{00000000-0004-0000-0100-000027000000}"/>
    <hyperlink ref="BX20" r:id="rId41" xr:uid="{00000000-0004-0000-0100-000028000000}"/>
    <hyperlink ref="B21" r:id="rId42" xr:uid="{00000000-0004-0000-0100-000029000000}"/>
    <hyperlink ref="BX21" r:id="rId43" xr:uid="{00000000-0004-0000-0100-00002A000000}"/>
    <hyperlink ref="B22" r:id="rId44" xr:uid="{00000000-0004-0000-0100-00002B000000}"/>
    <hyperlink ref="BX22" r:id="rId45" xr:uid="{00000000-0004-0000-0100-00002C000000}"/>
    <hyperlink ref="B25" r:id="rId46" xr:uid="{00000000-0004-0000-0100-00002D000000}"/>
    <hyperlink ref="BX25" r:id="rId47" xr:uid="{00000000-0004-0000-0100-00002E000000}"/>
    <hyperlink ref="B23" r:id="rId48" xr:uid="{00000000-0004-0000-0100-00002F000000}"/>
    <hyperlink ref="BX23" r:id="rId49" xr:uid="{00000000-0004-0000-0100-000030000000}"/>
    <hyperlink ref="B26" r:id="rId50" xr:uid="{00000000-0004-0000-0100-000031000000}"/>
    <hyperlink ref="BX26" r:id="rId51" xr:uid="{00000000-0004-0000-0100-000032000000}"/>
    <hyperlink ref="B27" r:id="rId52" xr:uid="{00000000-0004-0000-0100-000033000000}"/>
    <hyperlink ref="BX27" r:id="rId53" xr:uid="{00000000-0004-0000-0100-000034000000}"/>
    <hyperlink ref="A28" r:id="rId54" xr:uid="{00000000-0004-0000-0100-000035000000}"/>
    <hyperlink ref="B28" r:id="rId55" xr:uid="{00000000-0004-0000-0100-000036000000}"/>
    <hyperlink ref="BX28" r:id="rId56" xr:uid="{00000000-0004-0000-0100-000037000000}"/>
    <hyperlink ref="A31" r:id="rId57" xr:uid="{00000000-0004-0000-0100-000038000000}"/>
    <hyperlink ref="B31" r:id="rId58" xr:uid="{00000000-0004-0000-0100-000039000000}"/>
    <hyperlink ref="BX31" r:id="rId59" xr:uid="{00000000-0004-0000-0100-00003A000000}"/>
    <hyperlink ref="A32" r:id="rId60" xr:uid="{00000000-0004-0000-0100-00003B000000}"/>
    <hyperlink ref="B32" r:id="rId61" xr:uid="{00000000-0004-0000-0100-00003C000000}"/>
    <hyperlink ref="BX32" r:id="rId62" xr:uid="{00000000-0004-0000-0100-00003D000000}"/>
    <hyperlink ref="B37" r:id="rId63" xr:uid="{00000000-0004-0000-0100-00003E000000}"/>
    <hyperlink ref="BX37" r:id="rId64" xr:uid="{00000000-0004-0000-0100-00003F000000}"/>
    <hyperlink ref="B33" r:id="rId65" xr:uid="{00000000-0004-0000-0100-000040000000}"/>
    <hyperlink ref="BX33" r:id="rId66" xr:uid="{00000000-0004-0000-0100-000041000000}"/>
    <hyperlink ref="A34" r:id="rId67" xr:uid="{00000000-0004-0000-0100-000042000000}"/>
    <hyperlink ref="B34" r:id="rId68" xr:uid="{00000000-0004-0000-0100-000043000000}"/>
    <hyperlink ref="BX34" r:id="rId69" xr:uid="{00000000-0004-0000-0100-000044000000}"/>
    <hyperlink ref="B29" r:id="rId70" xr:uid="{00000000-0004-0000-0100-000045000000}"/>
    <hyperlink ref="BX29" r:id="rId71" xr:uid="{00000000-0004-0000-0100-000046000000}"/>
    <hyperlink ref="B35" r:id="rId72" xr:uid="{00000000-0004-0000-0100-000047000000}"/>
    <hyperlink ref="BX35" r:id="rId73" xr:uid="{00000000-0004-0000-0100-000048000000}"/>
    <hyperlink ref="B30" r:id="rId74" xr:uid="{00000000-0004-0000-0100-000049000000}"/>
    <hyperlink ref="BX30" r:id="rId75" xr:uid="{00000000-0004-0000-0100-00004A000000}"/>
    <hyperlink ref="B38" r:id="rId76" xr:uid="{00000000-0004-0000-0100-00004B000000}"/>
    <hyperlink ref="BX38" r:id="rId77" xr:uid="{00000000-0004-0000-0100-00004C000000}"/>
    <hyperlink ref="B36" r:id="rId78" xr:uid="{00000000-0004-0000-0100-00004D000000}"/>
    <hyperlink ref="BX36" r:id="rId79" xr:uid="{00000000-0004-0000-0100-00004E000000}"/>
    <hyperlink ref="B42" r:id="rId80" xr:uid="{00000000-0004-0000-0100-00004F000000}"/>
    <hyperlink ref="BX42" r:id="rId81" xr:uid="{00000000-0004-0000-0100-000050000000}"/>
    <hyperlink ref="B43" r:id="rId82" xr:uid="{00000000-0004-0000-0100-000051000000}"/>
    <hyperlink ref="BX43" r:id="rId83" xr:uid="{00000000-0004-0000-0100-000052000000}"/>
    <hyperlink ref="B39" r:id="rId84" xr:uid="{00000000-0004-0000-0100-000053000000}"/>
    <hyperlink ref="BX39" r:id="rId85" xr:uid="{00000000-0004-0000-0100-000054000000}"/>
    <hyperlink ref="A46" r:id="rId86" xr:uid="{00000000-0004-0000-0100-000055000000}"/>
    <hyperlink ref="B46" r:id="rId87" xr:uid="{00000000-0004-0000-0100-000056000000}"/>
    <hyperlink ref="BX46" r:id="rId88" xr:uid="{00000000-0004-0000-0100-000057000000}"/>
    <hyperlink ref="B40" r:id="rId89" xr:uid="{00000000-0004-0000-0100-000058000000}"/>
    <hyperlink ref="BX40" r:id="rId90" xr:uid="{00000000-0004-0000-0100-000059000000}"/>
    <hyperlink ref="B44" r:id="rId91" xr:uid="{00000000-0004-0000-0100-00005A000000}"/>
    <hyperlink ref="BX44" r:id="rId92" xr:uid="{00000000-0004-0000-0100-00005B000000}"/>
    <hyperlink ref="B50" r:id="rId93" xr:uid="{00000000-0004-0000-0100-00005C000000}"/>
    <hyperlink ref="BX50" r:id="rId94" xr:uid="{00000000-0004-0000-0100-00005D000000}"/>
    <hyperlink ref="B47" r:id="rId95" xr:uid="{00000000-0004-0000-0100-00005E000000}"/>
    <hyperlink ref="BX47" r:id="rId96" xr:uid="{00000000-0004-0000-0100-00005F000000}"/>
    <hyperlink ref="B51" r:id="rId97" xr:uid="{00000000-0004-0000-0100-000060000000}"/>
    <hyperlink ref="BX51" r:id="rId98" xr:uid="{00000000-0004-0000-0100-000061000000}"/>
    <hyperlink ref="B41" r:id="rId99" xr:uid="{00000000-0004-0000-0100-000062000000}"/>
    <hyperlink ref="BX41" r:id="rId100" xr:uid="{00000000-0004-0000-0100-000063000000}"/>
    <hyperlink ref="B45" r:id="rId101" xr:uid="{00000000-0004-0000-0100-000064000000}"/>
    <hyperlink ref="BX45" r:id="rId102" xr:uid="{00000000-0004-0000-0100-000065000000}"/>
    <hyperlink ref="B48" r:id="rId103" xr:uid="{00000000-0004-0000-0100-000066000000}"/>
    <hyperlink ref="BX48" r:id="rId104" xr:uid="{00000000-0004-0000-0100-000067000000}"/>
    <hyperlink ref="B49" r:id="rId105" xr:uid="{00000000-0004-0000-0100-000068000000}"/>
    <hyperlink ref="BX49" r:id="rId106" xr:uid="{00000000-0004-0000-0100-000069000000}"/>
    <hyperlink ref="B52" r:id="rId107" xr:uid="{00000000-0004-0000-0100-00006A000000}"/>
    <hyperlink ref="BX52" r:id="rId108" xr:uid="{00000000-0004-0000-0100-00006B000000}"/>
    <hyperlink ref="B56" r:id="rId109" xr:uid="{00000000-0004-0000-0100-00006C000000}"/>
    <hyperlink ref="BX56" r:id="rId110" xr:uid="{00000000-0004-0000-0100-00006D000000}"/>
    <hyperlink ref="B57" r:id="rId111" xr:uid="{00000000-0004-0000-0100-00006E000000}"/>
    <hyperlink ref="BX57" r:id="rId112" xr:uid="{00000000-0004-0000-0100-00006F000000}"/>
    <hyperlink ref="B61" r:id="rId113" xr:uid="{00000000-0004-0000-0100-000070000000}"/>
    <hyperlink ref="BX61" r:id="rId114" xr:uid="{00000000-0004-0000-0100-000071000000}"/>
    <hyperlink ref="B58" r:id="rId115" xr:uid="{00000000-0004-0000-0100-000072000000}"/>
    <hyperlink ref="BX58" r:id="rId116" xr:uid="{00000000-0004-0000-0100-000073000000}"/>
    <hyperlink ref="B59" r:id="rId117" xr:uid="{00000000-0004-0000-0100-000074000000}"/>
    <hyperlink ref="BX59" r:id="rId118" xr:uid="{00000000-0004-0000-0100-000075000000}"/>
    <hyperlink ref="B53" r:id="rId119" xr:uid="{00000000-0004-0000-0100-000076000000}"/>
    <hyperlink ref="BX53" r:id="rId120" xr:uid="{00000000-0004-0000-0100-000077000000}"/>
    <hyperlink ref="B60" r:id="rId121" xr:uid="{00000000-0004-0000-0100-000078000000}"/>
    <hyperlink ref="BX60" r:id="rId122" xr:uid="{00000000-0004-0000-0100-000079000000}"/>
    <hyperlink ref="A54" r:id="rId123" xr:uid="{00000000-0004-0000-0100-00007A000000}"/>
    <hyperlink ref="B54" r:id="rId124" xr:uid="{00000000-0004-0000-0100-00007B000000}"/>
    <hyperlink ref="BX54" r:id="rId125" xr:uid="{00000000-0004-0000-0100-00007C000000}"/>
    <hyperlink ref="B68" r:id="rId126" xr:uid="{00000000-0004-0000-0100-00007D000000}"/>
    <hyperlink ref="BX68" r:id="rId127" xr:uid="{00000000-0004-0000-0100-00007E000000}"/>
    <hyperlink ref="A74" r:id="rId128" xr:uid="{00000000-0004-0000-0100-00007F000000}"/>
    <hyperlink ref="B74" r:id="rId129" xr:uid="{00000000-0004-0000-0100-000080000000}"/>
    <hyperlink ref="BX74" r:id="rId130" xr:uid="{00000000-0004-0000-0100-000081000000}"/>
    <hyperlink ref="A55" r:id="rId131" xr:uid="{00000000-0004-0000-0100-000082000000}"/>
    <hyperlink ref="B55" r:id="rId132" xr:uid="{00000000-0004-0000-0100-000083000000}"/>
    <hyperlink ref="BX55" r:id="rId133" xr:uid="{00000000-0004-0000-0100-000084000000}"/>
    <hyperlink ref="B62" r:id="rId134" xr:uid="{00000000-0004-0000-0100-000085000000}"/>
    <hyperlink ref="BX62" r:id="rId135" xr:uid="{00000000-0004-0000-0100-000086000000}"/>
    <hyperlink ref="B69" r:id="rId136" xr:uid="{00000000-0004-0000-0100-000087000000}"/>
    <hyperlink ref="BX69" r:id="rId137" xr:uid="{00000000-0004-0000-0100-000088000000}"/>
    <hyperlink ref="BX63" r:id="rId138" xr:uid="{00000000-0004-0000-0100-000089000000}"/>
    <hyperlink ref="B64" r:id="rId139" xr:uid="{00000000-0004-0000-0100-00008A000000}"/>
    <hyperlink ref="BX64" r:id="rId140" xr:uid="{00000000-0004-0000-0100-00008B000000}"/>
    <hyperlink ref="B65" r:id="rId141" xr:uid="{00000000-0004-0000-0100-00008C000000}"/>
    <hyperlink ref="BX65" r:id="rId142" xr:uid="{00000000-0004-0000-0100-00008D000000}"/>
    <hyperlink ref="B82" r:id="rId143" xr:uid="{00000000-0004-0000-0100-00008E000000}"/>
    <hyperlink ref="BX82" r:id="rId144" xr:uid="{00000000-0004-0000-0100-00008F000000}"/>
    <hyperlink ref="B70" r:id="rId145" xr:uid="{00000000-0004-0000-0100-000090000000}"/>
    <hyperlink ref="BX70" r:id="rId146" xr:uid="{00000000-0004-0000-0100-000091000000}"/>
    <hyperlink ref="B71" r:id="rId147" xr:uid="{00000000-0004-0000-0100-000092000000}"/>
    <hyperlink ref="BX71" r:id="rId148" xr:uid="{00000000-0004-0000-0100-000093000000}"/>
    <hyperlink ref="B83" r:id="rId149" xr:uid="{00000000-0004-0000-0100-000094000000}"/>
    <hyperlink ref="BX83" r:id="rId150" xr:uid="{00000000-0004-0000-0100-000095000000}"/>
    <hyperlink ref="B72" r:id="rId151" xr:uid="{00000000-0004-0000-0100-000096000000}"/>
    <hyperlink ref="BX72" r:id="rId152" xr:uid="{00000000-0004-0000-0100-000097000000}"/>
    <hyperlink ref="B66" r:id="rId153" xr:uid="{00000000-0004-0000-0100-000098000000}"/>
    <hyperlink ref="BX66" r:id="rId154" xr:uid="{00000000-0004-0000-0100-000099000000}"/>
    <hyperlink ref="B75" r:id="rId155" xr:uid="{00000000-0004-0000-0100-00009A000000}"/>
    <hyperlink ref="BX75" r:id="rId156" xr:uid="{00000000-0004-0000-0100-00009B000000}"/>
    <hyperlink ref="A67" r:id="rId157" xr:uid="{00000000-0004-0000-0100-00009C000000}"/>
    <hyperlink ref="B67" r:id="rId158" xr:uid="{00000000-0004-0000-0100-00009D000000}"/>
    <hyperlink ref="BX67" r:id="rId159" xr:uid="{00000000-0004-0000-0100-00009E000000}"/>
    <hyperlink ref="A76" r:id="rId160" xr:uid="{00000000-0004-0000-0100-00009F000000}"/>
    <hyperlink ref="B76" r:id="rId161" xr:uid="{00000000-0004-0000-0100-0000A0000000}"/>
    <hyperlink ref="BX76" r:id="rId162" xr:uid="{00000000-0004-0000-0100-0000A1000000}"/>
    <hyperlink ref="A77" r:id="rId163" xr:uid="{00000000-0004-0000-0100-0000A2000000}"/>
    <hyperlink ref="B77" r:id="rId164" xr:uid="{00000000-0004-0000-0100-0000A3000000}"/>
    <hyperlink ref="BX77" r:id="rId165" xr:uid="{00000000-0004-0000-0100-0000A4000000}"/>
    <hyperlink ref="BX73" r:id="rId166" xr:uid="{00000000-0004-0000-0100-0000A5000000}"/>
    <hyperlink ref="B78" r:id="rId167" xr:uid="{00000000-0004-0000-0100-0000A6000000}"/>
    <hyperlink ref="BX78" r:id="rId168" xr:uid="{00000000-0004-0000-0100-0000A7000000}"/>
    <hyperlink ref="B79" r:id="rId169" xr:uid="{00000000-0004-0000-0100-0000A8000000}"/>
    <hyperlink ref="BX79" r:id="rId170" xr:uid="{00000000-0004-0000-0100-0000A9000000}"/>
    <hyperlink ref="B80" r:id="rId171" xr:uid="{00000000-0004-0000-0100-0000AA000000}"/>
    <hyperlink ref="BX80" r:id="rId172" xr:uid="{00000000-0004-0000-0100-0000AB000000}"/>
    <hyperlink ref="B84" r:id="rId173" xr:uid="{00000000-0004-0000-0100-0000AC000000}"/>
    <hyperlink ref="BX84" r:id="rId174" xr:uid="{00000000-0004-0000-0100-0000AD000000}"/>
    <hyperlink ref="B81" r:id="rId175" xr:uid="{00000000-0004-0000-0100-0000AE000000}"/>
    <hyperlink ref="BX81" r:id="rId176" xr:uid="{00000000-0004-0000-0100-0000AF000000}"/>
    <hyperlink ref="B91" r:id="rId177" xr:uid="{00000000-0004-0000-0100-0000B0000000}"/>
    <hyperlink ref="BX91" r:id="rId178" xr:uid="{00000000-0004-0000-0100-0000B1000000}"/>
    <hyperlink ref="A85" r:id="rId179" xr:uid="{00000000-0004-0000-0100-0000B2000000}"/>
    <hyperlink ref="B85" r:id="rId180" xr:uid="{00000000-0004-0000-0100-0000B3000000}"/>
    <hyperlink ref="BX85" r:id="rId181" xr:uid="{00000000-0004-0000-0100-0000B4000000}"/>
    <hyperlink ref="B92" r:id="rId182" xr:uid="{00000000-0004-0000-0100-0000B5000000}"/>
    <hyperlink ref="BX92" r:id="rId183" xr:uid="{00000000-0004-0000-0100-0000B6000000}"/>
    <hyperlink ref="B86" r:id="rId184" xr:uid="{00000000-0004-0000-0100-0000B7000000}"/>
    <hyperlink ref="BX86" r:id="rId185" xr:uid="{00000000-0004-0000-0100-0000B8000000}"/>
    <hyperlink ref="B93" r:id="rId186" xr:uid="{00000000-0004-0000-0100-0000B9000000}"/>
    <hyperlink ref="BX93" r:id="rId187" xr:uid="{00000000-0004-0000-0100-0000BA000000}"/>
    <hyperlink ref="B87" r:id="rId188" xr:uid="{00000000-0004-0000-0100-0000BB000000}"/>
    <hyperlink ref="BX87" r:id="rId189" xr:uid="{00000000-0004-0000-0100-0000BC000000}"/>
    <hyperlink ref="B94" r:id="rId190" xr:uid="{00000000-0004-0000-0100-0000BD000000}"/>
    <hyperlink ref="BX94" r:id="rId191" xr:uid="{00000000-0004-0000-0100-0000BE000000}"/>
    <hyperlink ref="B88" r:id="rId192" xr:uid="{00000000-0004-0000-0100-0000BF000000}"/>
    <hyperlink ref="BX88" r:id="rId193" xr:uid="{00000000-0004-0000-0100-0000C0000000}"/>
    <hyperlink ref="B89" r:id="rId194" xr:uid="{00000000-0004-0000-0100-0000C1000000}"/>
    <hyperlink ref="BX89" r:id="rId195" xr:uid="{00000000-0004-0000-0100-0000C2000000}"/>
    <hyperlink ref="A101" r:id="rId196" xr:uid="{00000000-0004-0000-0100-0000C3000000}"/>
    <hyperlink ref="BX101" r:id="rId197" xr:uid="{00000000-0004-0000-0100-0000C4000000}"/>
    <hyperlink ref="B102" r:id="rId198" xr:uid="{00000000-0004-0000-0100-0000C5000000}"/>
    <hyperlink ref="BX102" r:id="rId199" xr:uid="{00000000-0004-0000-0100-0000C6000000}"/>
    <hyperlink ref="B95" r:id="rId200" xr:uid="{00000000-0004-0000-0100-0000C7000000}"/>
    <hyperlink ref="BX95" r:id="rId201" xr:uid="{00000000-0004-0000-0100-0000C8000000}"/>
    <hyperlink ref="B96" r:id="rId202" xr:uid="{00000000-0004-0000-0100-0000C9000000}"/>
    <hyperlink ref="BX96" r:id="rId203" xr:uid="{00000000-0004-0000-0100-0000CA000000}"/>
    <hyperlink ref="A97" r:id="rId204" xr:uid="{00000000-0004-0000-0100-0000CB000000}"/>
    <hyperlink ref="B97" r:id="rId205" xr:uid="{00000000-0004-0000-0100-0000CC000000}"/>
    <hyperlink ref="BX97" r:id="rId206" xr:uid="{00000000-0004-0000-0100-0000CD000000}"/>
    <hyperlink ref="B103" r:id="rId207" xr:uid="{00000000-0004-0000-0100-0000CE000000}"/>
    <hyperlink ref="BX103" r:id="rId208" xr:uid="{00000000-0004-0000-0100-0000CF000000}"/>
    <hyperlink ref="B90" r:id="rId209" xr:uid="{00000000-0004-0000-0100-0000D0000000}"/>
    <hyperlink ref="BX90" r:id="rId210" xr:uid="{00000000-0004-0000-0100-0000D1000000}"/>
    <hyperlink ref="B104" r:id="rId211" xr:uid="{00000000-0004-0000-0100-0000D2000000}"/>
    <hyperlink ref="BX104" r:id="rId212" xr:uid="{00000000-0004-0000-0100-0000D3000000}"/>
    <hyperlink ref="A105" r:id="rId213" xr:uid="{00000000-0004-0000-0100-0000D4000000}"/>
    <hyperlink ref="B105" r:id="rId214" xr:uid="{00000000-0004-0000-0100-0000D5000000}"/>
    <hyperlink ref="BX105" r:id="rId215" xr:uid="{00000000-0004-0000-0100-0000D6000000}"/>
    <hyperlink ref="B98" r:id="rId216" xr:uid="{00000000-0004-0000-0100-0000D7000000}"/>
    <hyperlink ref="BX98" r:id="rId217" xr:uid="{00000000-0004-0000-0100-0000D8000000}"/>
    <hyperlink ref="B106" r:id="rId218" xr:uid="{00000000-0004-0000-0100-0000D9000000}"/>
    <hyperlink ref="BX106" r:id="rId219" xr:uid="{00000000-0004-0000-0100-0000DA000000}"/>
    <hyperlink ref="B107" r:id="rId220" xr:uid="{00000000-0004-0000-0100-0000DB000000}"/>
    <hyperlink ref="BX107" r:id="rId221" xr:uid="{00000000-0004-0000-0100-0000DC000000}"/>
    <hyperlink ref="B108" r:id="rId222" xr:uid="{00000000-0004-0000-0100-0000DD000000}"/>
    <hyperlink ref="BX108" r:id="rId223" xr:uid="{00000000-0004-0000-0100-0000DE000000}"/>
    <hyperlink ref="B109" r:id="rId224" xr:uid="{00000000-0004-0000-0100-0000DF000000}"/>
    <hyperlink ref="BX109" r:id="rId225" xr:uid="{00000000-0004-0000-0100-0000E0000000}"/>
    <hyperlink ref="B99" r:id="rId226" xr:uid="{00000000-0004-0000-0100-0000E1000000}"/>
    <hyperlink ref="BX99" r:id="rId227" xr:uid="{00000000-0004-0000-0100-0000E2000000}"/>
    <hyperlink ref="B117" r:id="rId228" xr:uid="{00000000-0004-0000-0100-0000E3000000}"/>
    <hyperlink ref="BX117" r:id="rId229" xr:uid="{00000000-0004-0000-0100-0000E4000000}"/>
    <hyperlink ref="B118" r:id="rId230" xr:uid="{00000000-0004-0000-0100-0000E5000000}"/>
    <hyperlink ref="BX118" r:id="rId231" xr:uid="{00000000-0004-0000-0100-0000E6000000}"/>
    <hyperlink ref="B110" r:id="rId232" xr:uid="{00000000-0004-0000-0100-0000E7000000}"/>
    <hyperlink ref="BX110" r:id="rId233" xr:uid="{00000000-0004-0000-0100-0000E8000000}"/>
    <hyperlink ref="B119" r:id="rId234" xr:uid="{00000000-0004-0000-0100-0000E9000000}"/>
    <hyperlink ref="BX119" r:id="rId235" xr:uid="{00000000-0004-0000-0100-0000EA000000}"/>
    <hyperlink ref="B111" r:id="rId236" xr:uid="{00000000-0004-0000-0100-0000EB000000}"/>
    <hyperlink ref="BX111" r:id="rId237" xr:uid="{00000000-0004-0000-0100-0000EC000000}"/>
    <hyperlink ref="B112" r:id="rId238" xr:uid="{00000000-0004-0000-0100-0000ED000000}"/>
    <hyperlink ref="BX112" r:id="rId239" xr:uid="{00000000-0004-0000-0100-0000EE000000}"/>
    <hyperlink ref="A113" r:id="rId240" xr:uid="{00000000-0004-0000-0100-0000EF000000}"/>
    <hyperlink ref="B113" r:id="rId241" xr:uid="{00000000-0004-0000-0100-0000F0000000}"/>
    <hyperlink ref="BX113" r:id="rId242" xr:uid="{00000000-0004-0000-0100-0000F1000000}"/>
    <hyperlink ref="A100" r:id="rId243" xr:uid="{00000000-0004-0000-0100-0000F2000000}"/>
    <hyperlink ref="B100" r:id="rId244" xr:uid="{00000000-0004-0000-0100-0000F3000000}"/>
    <hyperlink ref="BX100" r:id="rId245" xr:uid="{00000000-0004-0000-0100-0000F4000000}"/>
    <hyperlink ref="B114" r:id="rId246" xr:uid="{00000000-0004-0000-0100-0000F5000000}"/>
    <hyperlink ref="BX114" r:id="rId247" xr:uid="{00000000-0004-0000-0100-0000F6000000}"/>
    <hyperlink ref="B115" r:id="rId248" xr:uid="{00000000-0004-0000-0100-0000F7000000}"/>
    <hyperlink ref="BX115" r:id="rId249" xr:uid="{00000000-0004-0000-0100-0000F8000000}"/>
    <hyperlink ref="B124" r:id="rId250" xr:uid="{00000000-0004-0000-0100-0000F9000000}"/>
    <hyperlink ref="BX124" r:id="rId251" xr:uid="{00000000-0004-0000-0100-0000FA000000}"/>
    <hyperlink ref="A125" r:id="rId252" xr:uid="{00000000-0004-0000-0100-0000FB000000}"/>
    <hyperlink ref="B125" r:id="rId253" xr:uid="{00000000-0004-0000-0100-0000FC000000}"/>
    <hyperlink ref="BX125" r:id="rId254" xr:uid="{00000000-0004-0000-0100-0000FD000000}"/>
    <hyperlink ref="B139" r:id="rId255" xr:uid="{00000000-0004-0000-0100-0000FE000000}"/>
    <hyperlink ref="BX139" r:id="rId256" xr:uid="{00000000-0004-0000-0100-0000FF000000}"/>
    <hyperlink ref="B126" r:id="rId257" xr:uid="{00000000-0004-0000-0100-000000010000}"/>
    <hyperlink ref="BX126" r:id="rId258" xr:uid="{00000000-0004-0000-0100-000001010000}"/>
    <hyperlink ref="B127" r:id="rId259" xr:uid="{00000000-0004-0000-0100-000002010000}"/>
    <hyperlink ref="BX127" r:id="rId260" xr:uid="{00000000-0004-0000-0100-000003010000}"/>
    <hyperlink ref="B140" r:id="rId261" xr:uid="{00000000-0004-0000-0100-000004010000}"/>
    <hyperlink ref="BX140" r:id="rId262" xr:uid="{00000000-0004-0000-0100-000005010000}"/>
    <hyperlink ref="B141" r:id="rId263" xr:uid="{00000000-0004-0000-0100-000006010000}"/>
    <hyperlink ref="BX141" r:id="rId264" xr:uid="{00000000-0004-0000-0100-000007010000}"/>
    <hyperlink ref="A128" r:id="rId265" xr:uid="{00000000-0004-0000-0100-000008010000}"/>
    <hyperlink ref="B128" r:id="rId266" xr:uid="{00000000-0004-0000-0100-000009010000}"/>
    <hyperlink ref="BX128" r:id="rId267" xr:uid="{00000000-0004-0000-0100-00000A010000}"/>
    <hyperlink ref="B120" r:id="rId268" xr:uid="{00000000-0004-0000-0100-00000B010000}"/>
    <hyperlink ref="BX120" r:id="rId269" xr:uid="{00000000-0004-0000-0100-00000C010000}"/>
    <hyperlink ref="B116" r:id="rId270" xr:uid="{00000000-0004-0000-0100-00000D010000}"/>
    <hyperlink ref="BX116" r:id="rId271" xr:uid="{00000000-0004-0000-0100-00000E010000}"/>
    <hyperlink ref="B129" r:id="rId272" xr:uid="{00000000-0004-0000-0100-00000F010000}"/>
    <hyperlink ref="BX129" r:id="rId273" xr:uid="{00000000-0004-0000-0100-000010010000}"/>
    <hyperlink ref="B130" r:id="rId274" xr:uid="{00000000-0004-0000-0100-000011010000}"/>
    <hyperlink ref="BX130" r:id="rId275" xr:uid="{00000000-0004-0000-0100-000012010000}"/>
    <hyperlink ref="B121" r:id="rId276" xr:uid="{00000000-0004-0000-0100-000013010000}"/>
    <hyperlink ref="BX121" r:id="rId277" xr:uid="{00000000-0004-0000-0100-000014010000}"/>
    <hyperlink ref="B131" r:id="rId278" xr:uid="{00000000-0004-0000-0100-000015010000}"/>
    <hyperlink ref="BX131" r:id="rId279" xr:uid="{00000000-0004-0000-0100-000016010000}"/>
    <hyperlink ref="B150" r:id="rId280" xr:uid="{00000000-0004-0000-0100-000017010000}"/>
    <hyperlink ref="BX150" r:id="rId281" xr:uid="{00000000-0004-0000-0100-000018010000}"/>
    <hyperlink ref="B142" r:id="rId282" xr:uid="{00000000-0004-0000-0100-000019010000}"/>
    <hyperlink ref="BX142" r:id="rId283" xr:uid="{00000000-0004-0000-0100-00001A010000}"/>
    <hyperlink ref="B122" r:id="rId284" xr:uid="{00000000-0004-0000-0100-00001B010000}"/>
    <hyperlink ref="BX122" r:id="rId285" xr:uid="{00000000-0004-0000-0100-00001C010000}"/>
    <hyperlink ref="B132" r:id="rId286" xr:uid="{00000000-0004-0000-0100-00001D010000}"/>
    <hyperlink ref="BX132" r:id="rId287" xr:uid="{00000000-0004-0000-0100-00001E010000}"/>
    <hyperlink ref="B151" r:id="rId288" xr:uid="{00000000-0004-0000-0100-00001F010000}"/>
    <hyperlink ref="BX151" r:id="rId289" xr:uid="{00000000-0004-0000-0100-000020010000}"/>
    <hyperlink ref="B172" r:id="rId290" xr:uid="{00000000-0004-0000-0100-000021010000}"/>
    <hyperlink ref="BX172" r:id="rId291" xr:uid="{00000000-0004-0000-0100-000022010000}"/>
    <hyperlink ref="B123" r:id="rId292" xr:uid="{00000000-0004-0000-0100-000023010000}"/>
    <hyperlink ref="BX123" r:id="rId293" xr:uid="{00000000-0004-0000-0100-000024010000}"/>
    <hyperlink ref="B133" r:id="rId294" xr:uid="{00000000-0004-0000-0100-000025010000}"/>
    <hyperlink ref="BX133" r:id="rId295" xr:uid="{00000000-0004-0000-0100-000026010000}"/>
    <hyperlink ref="B134" r:id="rId296" xr:uid="{00000000-0004-0000-0100-000027010000}"/>
    <hyperlink ref="BX134" r:id="rId297" xr:uid="{00000000-0004-0000-0100-000028010000}"/>
    <hyperlink ref="A135" r:id="rId298" xr:uid="{00000000-0004-0000-0100-000029010000}"/>
    <hyperlink ref="B135" r:id="rId299" xr:uid="{00000000-0004-0000-0100-00002A010000}"/>
    <hyperlink ref="BX135" r:id="rId300" xr:uid="{00000000-0004-0000-0100-00002B010000}"/>
    <hyperlink ref="B136" r:id="rId301" xr:uid="{00000000-0004-0000-0100-00002C010000}"/>
    <hyperlink ref="BX136" r:id="rId302" xr:uid="{00000000-0004-0000-0100-00002D010000}"/>
    <hyperlink ref="B160" r:id="rId303" xr:uid="{00000000-0004-0000-0100-00002E010000}"/>
    <hyperlink ref="BX160" r:id="rId304" xr:uid="{00000000-0004-0000-0100-00002F010000}"/>
    <hyperlink ref="A143" r:id="rId305" xr:uid="{00000000-0004-0000-0100-000030010000}"/>
    <hyperlink ref="B143" r:id="rId306" xr:uid="{00000000-0004-0000-0100-000031010000}"/>
    <hyperlink ref="BX143" r:id="rId307" xr:uid="{00000000-0004-0000-0100-000032010000}"/>
    <hyperlink ref="B152" r:id="rId308" xr:uid="{00000000-0004-0000-0100-000033010000}"/>
    <hyperlink ref="BX152" r:id="rId309" xr:uid="{00000000-0004-0000-0100-000034010000}"/>
    <hyperlink ref="B137" r:id="rId310" xr:uid="{00000000-0004-0000-0100-000035010000}"/>
    <hyperlink ref="BX137" r:id="rId311" xr:uid="{00000000-0004-0000-0100-000036010000}"/>
    <hyperlink ref="B144" r:id="rId312" xr:uid="{00000000-0004-0000-0100-000037010000}"/>
    <hyperlink ref="BX144" r:id="rId313" xr:uid="{00000000-0004-0000-0100-000038010000}"/>
    <hyperlink ref="B153" r:id="rId314" xr:uid="{00000000-0004-0000-0100-000039010000}"/>
    <hyperlink ref="BX153" r:id="rId315" xr:uid="{00000000-0004-0000-0100-00003A010000}"/>
    <hyperlink ref="B154" r:id="rId316" xr:uid="{00000000-0004-0000-0100-00003B010000}"/>
    <hyperlink ref="BX154" r:id="rId317" xr:uid="{00000000-0004-0000-0100-00003C010000}"/>
    <hyperlink ref="B164" r:id="rId318" xr:uid="{00000000-0004-0000-0100-00003D010000}"/>
    <hyperlink ref="BX164" r:id="rId319" xr:uid="{00000000-0004-0000-0100-00003E010000}"/>
    <hyperlink ref="B155" r:id="rId320" xr:uid="{00000000-0004-0000-0100-00003F010000}"/>
    <hyperlink ref="BX155" r:id="rId321" xr:uid="{00000000-0004-0000-0100-000040010000}"/>
    <hyperlink ref="B145" r:id="rId322" xr:uid="{00000000-0004-0000-0100-000041010000}"/>
    <hyperlink ref="BX145" r:id="rId323" xr:uid="{00000000-0004-0000-0100-000042010000}"/>
    <hyperlink ref="B138" r:id="rId324" xr:uid="{00000000-0004-0000-0100-000043010000}"/>
    <hyperlink ref="BX138" r:id="rId325" xr:uid="{00000000-0004-0000-0100-000044010000}"/>
    <hyperlink ref="B146" r:id="rId326" xr:uid="{00000000-0004-0000-0100-000045010000}"/>
    <hyperlink ref="BX146" r:id="rId327" xr:uid="{00000000-0004-0000-0100-000046010000}"/>
    <hyperlink ref="B161" r:id="rId328" xr:uid="{00000000-0004-0000-0100-000047010000}"/>
    <hyperlink ref="BX161" r:id="rId329" xr:uid="{00000000-0004-0000-0100-000048010000}"/>
    <hyperlink ref="B147" r:id="rId330" xr:uid="{00000000-0004-0000-0100-000049010000}"/>
    <hyperlink ref="BX147" r:id="rId331" xr:uid="{00000000-0004-0000-0100-00004A010000}"/>
    <hyperlink ref="B148" r:id="rId332" xr:uid="{00000000-0004-0000-0100-00004B010000}"/>
    <hyperlink ref="BX148" r:id="rId333" xr:uid="{00000000-0004-0000-0100-00004C010000}"/>
    <hyperlink ref="B165" r:id="rId334" xr:uid="{00000000-0004-0000-0100-00004D010000}"/>
    <hyperlink ref="BX165" r:id="rId335" xr:uid="{00000000-0004-0000-0100-00004E010000}"/>
    <hyperlink ref="B166" r:id="rId336" xr:uid="{00000000-0004-0000-0100-00004F010000}"/>
    <hyperlink ref="BX166" r:id="rId337" xr:uid="{00000000-0004-0000-0100-000050010000}"/>
    <hyperlink ref="B156" r:id="rId338" xr:uid="{00000000-0004-0000-0100-000051010000}"/>
    <hyperlink ref="BX156" r:id="rId339" xr:uid="{00000000-0004-0000-0100-000052010000}"/>
    <hyperlink ref="B162" r:id="rId340" xr:uid="{00000000-0004-0000-0100-000053010000}"/>
    <hyperlink ref="BX162" r:id="rId341" xr:uid="{00000000-0004-0000-0100-000054010000}"/>
    <hyperlink ref="B167" r:id="rId342" xr:uid="{00000000-0004-0000-0100-000055010000}"/>
    <hyperlink ref="BX167" r:id="rId343" xr:uid="{00000000-0004-0000-0100-000056010000}"/>
    <hyperlink ref="B157" r:id="rId344" xr:uid="{00000000-0004-0000-0100-000057010000}"/>
    <hyperlink ref="BX157" r:id="rId345" xr:uid="{00000000-0004-0000-0100-000058010000}"/>
    <hyperlink ref="B149" r:id="rId346" xr:uid="{00000000-0004-0000-0100-000059010000}"/>
    <hyperlink ref="BX149" r:id="rId347" xr:uid="{00000000-0004-0000-0100-00005A010000}"/>
    <hyperlink ref="B168" r:id="rId348" xr:uid="{00000000-0004-0000-0100-00005B010000}"/>
    <hyperlink ref="BX168" r:id="rId349" xr:uid="{00000000-0004-0000-0100-00005C010000}"/>
    <hyperlink ref="B169" r:id="rId350" xr:uid="{00000000-0004-0000-0100-00005D010000}"/>
    <hyperlink ref="BX169" r:id="rId351" xr:uid="{00000000-0004-0000-0100-00005E010000}"/>
    <hyperlink ref="B158" r:id="rId352" xr:uid="{00000000-0004-0000-0100-00005F010000}"/>
    <hyperlink ref="BX158" r:id="rId353" xr:uid="{00000000-0004-0000-0100-000060010000}"/>
    <hyperlink ref="B170" r:id="rId354" xr:uid="{00000000-0004-0000-0100-000061010000}"/>
    <hyperlink ref="BX170" r:id="rId355" xr:uid="{00000000-0004-0000-0100-000062010000}"/>
    <hyperlink ref="B171" r:id="rId356" xr:uid="{00000000-0004-0000-0100-000063010000}"/>
    <hyperlink ref="BX171" r:id="rId357" xr:uid="{00000000-0004-0000-0100-000064010000}"/>
    <hyperlink ref="B159" r:id="rId358" xr:uid="{00000000-0004-0000-0100-000065010000}"/>
    <hyperlink ref="BX159" r:id="rId359" xr:uid="{00000000-0004-0000-0100-000066010000}"/>
    <hyperlink ref="B174" r:id="rId360" xr:uid="{00000000-0004-0000-0100-000067010000}"/>
    <hyperlink ref="BX174" r:id="rId361" xr:uid="{00000000-0004-0000-0100-000068010000}"/>
    <hyperlink ref="B163" r:id="rId362" xr:uid="{00000000-0004-0000-0100-000069010000}"/>
    <hyperlink ref="BX163" r:id="rId363" xr:uid="{00000000-0004-0000-0100-00006A010000}"/>
    <hyperlink ref="B173" r:id="rId364" location="grad" xr:uid="{00000000-0004-0000-0100-00006B010000}"/>
    <hyperlink ref="BX173" r:id="rId365" xr:uid="{00000000-0004-0000-0100-00006C010000}"/>
  </hyperlinks>
  <pageMargins left="0.7" right="0.7" top="0.75" bottom="0.75" header="0.3" footer="0.3"/>
  <legacyDrawing r:id="rId36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R1000"/>
  <sheetViews>
    <sheetView workbookViewId="0"/>
  </sheetViews>
  <sheetFormatPr defaultColWidth="12.5703125" defaultRowHeight="15" customHeight="1"/>
  <cols>
    <col min="1" max="1" width="29.140625" customWidth="1"/>
    <col min="2" max="2" width="42" customWidth="1"/>
    <col min="3" max="3" width="42.28515625" customWidth="1"/>
    <col min="4" max="4" width="43.5703125" customWidth="1"/>
    <col min="5" max="5" width="42.28515625" customWidth="1"/>
    <col min="6" max="6" width="43.5703125" customWidth="1"/>
    <col min="7" max="8" width="20.5703125" customWidth="1"/>
    <col min="9" max="10" width="35.140625" customWidth="1"/>
    <col min="11" max="12" width="38.42578125" customWidth="1"/>
    <col min="13" max="13" width="26.42578125" customWidth="1"/>
    <col min="14" max="14" width="26" customWidth="1"/>
    <col min="15" max="16" width="32.140625" customWidth="1"/>
    <col min="17" max="18" width="34.85546875" customWidth="1"/>
  </cols>
  <sheetData>
    <row r="1" spans="1:18" ht="15.75" customHeight="1">
      <c r="A1" s="40" t="s">
        <v>20744</v>
      </c>
      <c r="B1" s="40" t="s">
        <v>20745</v>
      </c>
      <c r="C1" s="40" t="s">
        <v>20746</v>
      </c>
      <c r="D1" s="40" t="s">
        <v>20747</v>
      </c>
      <c r="E1" s="40" t="s">
        <v>20748</v>
      </c>
      <c r="F1" s="40" t="s">
        <v>20749</v>
      </c>
      <c r="G1" s="40" t="s">
        <v>20750</v>
      </c>
      <c r="H1" s="40" t="s">
        <v>20751</v>
      </c>
      <c r="I1" s="40" t="s">
        <v>20752</v>
      </c>
      <c r="J1" s="40" t="s">
        <v>20753</v>
      </c>
      <c r="K1" s="40" t="s">
        <v>20754</v>
      </c>
      <c r="L1" s="40" t="s">
        <v>20755</v>
      </c>
      <c r="M1" s="40" t="s">
        <v>20756</v>
      </c>
      <c r="N1" s="40" t="s">
        <v>20757</v>
      </c>
      <c r="O1" s="40" t="s">
        <v>20758</v>
      </c>
      <c r="P1" s="40" t="s">
        <v>20759</v>
      </c>
      <c r="Q1" s="40" t="s">
        <v>20760</v>
      </c>
      <c r="R1" s="40" t="s">
        <v>20761</v>
      </c>
    </row>
    <row r="2" spans="1:18" ht="15.75" customHeight="1">
      <c r="A2" s="42" t="s">
        <v>22</v>
      </c>
      <c r="B2" s="388" t="s">
        <v>32</v>
      </c>
      <c r="C2" s="40">
        <v>1</v>
      </c>
      <c r="E2" s="40">
        <v>1</v>
      </c>
      <c r="G2" s="40">
        <v>100</v>
      </c>
      <c r="I2" s="42">
        <v>4.9000000000000004</v>
      </c>
      <c r="K2" s="42">
        <v>4.8</v>
      </c>
      <c r="M2" s="42" t="s">
        <v>85</v>
      </c>
      <c r="O2" s="389">
        <v>3222</v>
      </c>
      <c r="Q2" s="42">
        <v>166</v>
      </c>
    </row>
    <row r="3" spans="1:18" ht="15.75" customHeight="1"/>
    <row r="4" spans="1:18" ht="15.75" customHeight="1"/>
    <row r="5" spans="1:18" ht="15.75" customHeight="1"/>
    <row r="6" spans="1:18" ht="15.75" customHeight="1"/>
    <row r="7" spans="1:18" ht="15.75" customHeight="1"/>
    <row r="8" spans="1:18" ht="15.75" customHeight="1"/>
    <row r="9" spans="1:18" ht="15.75" customHeight="1"/>
    <row r="10" spans="1:18" ht="15.75" customHeight="1"/>
    <row r="11" spans="1:18" ht="15.75" customHeight="1"/>
    <row r="12" spans="1:18" ht="15.75" customHeight="1"/>
    <row r="13" spans="1:18" ht="15.75" customHeight="1"/>
    <row r="14" spans="1:18" ht="15.75" customHeight="1"/>
    <row r="15" spans="1:18" ht="15.75" customHeight="1"/>
    <row r="16" spans="1:18"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2" r:id="rId1" xr:uid="{00000000-0004-0000-05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R1000"/>
  <sheetViews>
    <sheetView workbookViewId="0"/>
  </sheetViews>
  <sheetFormatPr defaultColWidth="12.5703125" defaultRowHeight="15" customHeight="1"/>
  <cols>
    <col min="1" max="1" width="29.140625" customWidth="1"/>
    <col min="2" max="2" width="42" customWidth="1"/>
    <col min="3" max="3" width="42.28515625" customWidth="1"/>
    <col min="4" max="4" width="43.5703125" customWidth="1"/>
    <col min="5" max="5" width="42.28515625" customWidth="1"/>
    <col min="6" max="6" width="43.5703125" customWidth="1"/>
    <col min="7" max="8" width="20.5703125" customWidth="1"/>
    <col min="9" max="10" width="35.140625" customWidth="1"/>
    <col min="11" max="12" width="38.42578125" customWidth="1"/>
    <col min="13" max="13" width="26.42578125" customWidth="1"/>
    <col min="14" max="14" width="26" customWidth="1"/>
    <col min="15" max="16" width="32.140625" customWidth="1"/>
    <col min="17" max="18" width="34.85546875" customWidth="1"/>
  </cols>
  <sheetData>
    <row r="1" spans="1:18" ht="15.75" customHeight="1">
      <c r="A1" s="40" t="s">
        <v>20744</v>
      </c>
      <c r="B1" s="40" t="s">
        <v>20745</v>
      </c>
      <c r="C1" s="40" t="s">
        <v>20762</v>
      </c>
      <c r="D1" s="40" t="s">
        <v>20747</v>
      </c>
      <c r="E1" s="40" t="s">
        <v>20763</v>
      </c>
      <c r="F1" s="40" t="s">
        <v>20749</v>
      </c>
      <c r="G1" s="40" t="s">
        <v>20750</v>
      </c>
      <c r="H1" s="40" t="s">
        <v>20751</v>
      </c>
      <c r="I1" s="40" t="s">
        <v>20752</v>
      </c>
      <c r="J1" s="40" t="s">
        <v>20753</v>
      </c>
      <c r="K1" s="40" t="s">
        <v>20754</v>
      </c>
      <c r="L1" s="40" t="s">
        <v>20755</v>
      </c>
      <c r="M1" s="40" t="s">
        <v>20756</v>
      </c>
      <c r="N1" s="40" t="s">
        <v>20757</v>
      </c>
      <c r="O1" s="40" t="s">
        <v>20758</v>
      </c>
      <c r="P1" s="40" t="s">
        <v>20759</v>
      </c>
      <c r="Q1" s="40" t="s">
        <v>20760</v>
      </c>
      <c r="R1" s="40" t="s">
        <v>20761</v>
      </c>
    </row>
    <row r="2" spans="1:18" ht="15.75" customHeight="1">
      <c r="A2" s="42"/>
      <c r="B2" s="42"/>
      <c r="I2" s="42"/>
      <c r="K2" s="42"/>
      <c r="M2" s="42"/>
      <c r="O2" s="389"/>
      <c r="Q2" s="42"/>
    </row>
    <row r="3" spans="1:18" ht="15.75" customHeight="1"/>
    <row r="4" spans="1:18" ht="15.75" customHeight="1"/>
    <row r="5" spans="1:18" ht="15.75" customHeight="1"/>
    <row r="6" spans="1:18" ht="15.75" customHeight="1"/>
    <row r="7" spans="1:18" ht="15.75" customHeight="1"/>
    <row r="8" spans="1:18" ht="15.75" customHeight="1"/>
    <row r="9" spans="1:18" ht="15.75" customHeight="1"/>
    <row r="10" spans="1:18" ht="15.75" customHeight="1"/>
    <row r="11" spans="1:18" ht="15.75" customHeight="1"/>
    <row r="12" spans="1:18" ht="15.75" customHeight="1"/>
    <row r="13" spans="1:18" ht="15.75" customHeight="1"/>
    <row r="14" spans="1:18" ht="15.75" customHeight="1"/>
    <row r="15" spans="1:18" ht="15.75" customHeight="1"/>
    <row r="16" spans="1:18"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449</vt:i4>
      </vt:variant>
    </vt:vector>
  </HeadingPairs>
  <TitlesOfParts>
    <vt:vector size="453" baseType="lpstr">
      <vt:lpstr>Mechanical Engineering Faculty</vt:lpstr>
      <vt:lpstr>Mechanical Engineering Summary </vt:lpstr>
      <vt:lpstr>ME Department Data</vt:lpstr>
      <vt:lpstr>IE Department Data</vt:lpstr>
      <vt:lpstr>ME_1_D</vt:lpstr>
      <vt:lpstr>ME_1_E</vt:lpstr>
      <vt:lpstr>ME_1_G</vt:lpstr>
      <vt:lpstr>ME_10_D</vt:lpstr>
      <vt:lpstr>ME_10_E</vt:lpstr>
      <vt:lpstr>ME_10_G</vt:lpstr>
      <vt:lpstr>ME_100_D</vt:lpstr>
      <vt:lpstr>ME_100_E</vt:lpstr>
      <vt:lpstr>ME_100_G</vt:lpstr>
      <vt:lpstr>ME_101_D</vt:lpstr>
      <vt:lpstr>ME_101_E</vt:lpstr>
      <vt:lpstr>ME_101_G</vt:lpstr>
      <vt:lpstr>ME_102_D</vt:lpstr>
      <vt:lpstr>ME_102_E</vt:lpstr>
      <vt:lpstr>ME_102_G</vt:lpstr>
      <vt:lpstr>ME_103_D</vt:lpstr>
      <vt:lpstr>ME_103_E</vt:lpstr>
      <vt:lpstr>ME_103_G</vt:lpstr>
      <vt:lpstr>ME_104_D</vt:lpstr>
      <vt:lpstr>ME_104_E</vt:lpstr>
      <vt:lpstr>ME_104_G</vt:lpstr>
      <vt:lpstr>ME_105_D</vt:lpstr>
      <vt:lpstr>ME_105_E</vt:lpstr>
      <vt:lpstr>ME_105_G</vt:lpstr>
      <vt:lpstr>ME_106_D</vt:lpstr>
      <vt:lpstr>ME_106_E</vt:lpstr>
      <vt:lpstr>ME_106_G</vt:lpstr>
      <vt:lpstr>ME_107_D</vt:lpstr>
      <vt:lpstr>ME_107_E</vt:lpstr>
      <vt:lpstr>ME_107_G</vt:lpstr>
      <vt:lpstr>ME_108_D</vt:lpstr>
      <vt:lpstr>ME_108_E</vt:lpstr>
      <vt:lpstr>ME_108_G</vt:lpstr>
      <vt:lpstr>ME_109_D</vt:lpstr>
      <vt:lpstr>ME_109_E</vt:lpstr>
      <vt:lpstr>ME_109_G</vt:lpstr>
      <vt:lpstr>ME_11_D</vt:lpstr>
      <vt:lpstr>ME_11_E</vt:lpstr>
      <vt:lpstr>ME_11_G</vt:lpstr>
      <vt:lpstr>ME_110_D</vt:lpstr>
      <vt:lpstr>ME_110_E</vt:lpstr>
      <vt:lpstr>ME_110_G</vt:lpstr>
      <vt:lpstr>ME_111_D</vt:lpstr>
      <vt:lpstr>ME_111_E</vt:lpstr>
      <vt:lpstr>ME_111_G</vt:lpstr>
      <vt:lpstr>ME_112_D</vt:lpstr>
      <vt:lpstr>ME_112_E</vt:lpstr>
      <vt:lpstr>ME_112_G</vt:lpstr>
      <vt:lpstr>ME_113_D</vt:lpstr>
      <vt:lpstr>ME_113_E</vt:lpstr>
      <vt:lpstr>ME_113_G</vt:lpstr>
      <vt:lpstr>ME_114_D</vt:lpstr>
      <vt:lpstr>ME_114_E</vt:lpstr>
      <vt:lpstr>ME_114_G</vt:lpstr>
      <vt:lpstr>ME_115_D</vt:lpstr>
      <vt:lpstr>ME_115_E</vt:lpstr>
      <vt:lpstr>ME_115_G</vt:lpstr>
      <vt:lpstr>ME_116_D</vt:lpstr>
      <vt:lpstr>ME_116_E</vt:lpstr>
      <vt:lpstr>ME_116_G</vt:lpstr>
      <vt:lpstr>ME_117_D</vt:lpstr>
      <vt:lpstr>ME_117_E</vt:lpstr>
      <vt:lpstr>ME_117_G</vt:lpstr>
      <vt:lpstr>ME_118_D</vt:lpstr>
      <vt:lpstr>ME_118_E</vt:lpstr>
      <vt:lpstr>ME_118_G</vt:lpstr>
      <vt:lpstr>ME_119_D</vt:lpstr>
      <vt:lpstr>ME_119_E</vt:lpstr>
      <vt:lpstr>ME_119_G</vt:lpstr>
      <vt:lpstr>ME_12_D</vt:lpstr>
      <vt:lpstr>ME_12_E</vt:lpstr>
      <vt:lpstr>ME_12_G</vt:lpstr>
      <vt:lpstr>ME_120_D</vt:lpstr>
      <vt:lpstr>ME_120_E</vt:lpstr>
      <vt:lpstr>ME_120_G</vt:lpstr>
      <vt:lpstr>ME_121_D</vt:lpstr>
      <vt:lpstr>ME_121_E</vt:lpstr>
      <vt:lpstr>ME_121_G</vt:lpstr>
      <vt:lpstr>ME_122_D</vt:lpstr>
      <vt:lpstr>ME_122_E</vt:lpstr>
      <vt:lpstr>ME_122_G</vt:lpstr>
      <vt:lpstr>ME_123_D</vt:lpstr>
      <vt:lpstr>ME_123_E</vt:lpstr>
      <vt:lpstr>ME_123_G</vt:lpstr>
      <vt:lpstr>ME_124_D</vt:lpstr>
      <vt:lpstr>ME_124_E</vt:lpstr>
      <vt:lpstr>ME_124_G</vt:lpstr>
      <vt:lpstr>ME_125_D</vt:lpstr>
      <vt:lpstr>ME_125_E</vt:lpstr>
      <vt:lpstr>ME_125_G</vt:lpstr>
      <vt:lpstr>ME_126_D</vt:lpstr>
      <vt:lpstr>ME_126_E</vt:lpstr>
      <vt:lpstr>ME_126_G</vt:lpstr>
      <vt:lpstr>ME_127_D</vt:lpstr>
      <vt:lpstr>ME_127_E</vt:lpstr>
      <vt:lpstr>ME_127_G</vt:lpstr>
      <vt:lpstr>ME_128_D</vt:lpstr>
      <vt:lpstr>ME_128_E</vt:lpstr>
      <vt:lpstr>ME_128_G</vt:lpstr>
      <vt:lpstr>ME_129_D</vt:lpstr>
      <vt:lpstr>ME_129_E</vt:lpstr>
      <vt:lpstr>ME_129_G</vt:lpstr>
      <vt:lpstr>ME_13_D</vt:lpstr>
      <vt:lpstr>ME_13_E</vt:lpstr>
      <vt:lpstr>ME_13_G</vt:lpstr>
      <vt:lpstr>ME_130_D</vt:lpstr>
      <vt:lpstr>ME_130_E</vt:lpstr>
      <vt:lpstr>ME_130_G</vt:lpstr>
      <vt:lpstr>ME_131_D</vt:lpstr>
      <vt:lpstr>ME_131_E</vt:lpstr>
      <vt:lpstr>ME_131_G</vt:lpstr>
      <vt:lpstr>ME_132_D</vt:lpstr>
      <vt:lpstr>ME_132_E</vt:lpstr>
      <vt:lpstr>ME_132_G</vt:lpstr>
      <vt:lpstr>ME_133_D</vt:lpstr>
      <vt:lpstr>ME_133_E</vt:lpstr>
      <vt:lpstr>ME_133_G</vt:lpstr>
      <vt:lpstr>ME_134_D</vt:lpstr>
      <vt:lpstr>ME_134_E</vt:lpstr>
      <vt:lpstr>ME_134_G</vt:lpstr>
      <vt:lpstr>ME_135_D</vt:lpstr>
      <vt:lpstr>ME_135_E</vt:lpstr>
      <vt:lpstr>ME_135_G</vt:lpstr>
      <vt:lpstr>ME_136_D</vt:lpstr>
      <vt:lpstr>ME_136_E</vt:lpstr>
      <vt:lpstr>ME_136_G</vt:lpstr>
      <vt:lpstr>ME_137_D</vt:lpstr>
      <vt:lpstr>ME_137_E</vt:lpstr>
      <vt:lpstr>ME_137_G</vt:lpstr>
      <vt:lpstr>ME_138_D</vt:lpstr>
      <vt:lpstr>ME_138_E</vt:lpstr>
      <vt:lpstr>ME_138_G</vt:lpstr>
      <vt:lpstr>ME_139_D</vt:lpstr>
      <vt:lpstr>ME_139_E</vt:lpstr>
      <vt:lpstr>ME_139_G</vt:lpstr>
      <vt:lpstr>ME_14_D</vt:lpstr>
      <vt:lpstr>ME_14_E</vt:lpstr>
      <vt:lpstr>ME_14_G</vt:lpstr>
      <vt:lpstr>ME_140_D</vt:lpstr>
      <vt:lpstr>ME_140_E</vt:lpstr>
      <vt:lpstr>ME_140_G</vt:lpstr>
      <vt:lpstr>ME_141_D</vt:lpstr>
      <vt:lpstr>ME_141_E</vt:lpstr>
      <vt:lpstr>ME_141_G</vt:lpstr>
      <vt:lpstr>ME_142_D</vt:lpstr>
      <vt:lpstr>ME_142_E</vt:lpstr>
      <vt:lpstr>ME_142_G</vt:lpstr>
      <vt:lpstr>ME_143_D</vt:lpstr>
      <vt:lpstr>ME_143_E</vt:lpstr>
      <vt:lpstr>ME_143_G</vt:lpstr>
      <vt:lpstr>ME_144_D</vt:lpstr>
      <vt:lpstr>ME_144_E</vt:lpstr>
      <vt:lpstr>ME_144_G</vt:lpstr>
      <vt:lpstr>ME_145_D</vt:lpstr>
      <vt:lpstr>ME_145_E</vt:lpstr>
      <vt:lpstr>ME_145_G</vt:lpstr>
      <vt:lpstr>ME_146_D</vt:lpstr>
      <vt:lpstr>ME_146_E</vt:lpstr>
      <vt:lpstr>ME_146_G</vt:lpstr>
      <vt:lpstr>ME_147_D</vt:lpstr>
      <vt:lpstr>ME_147_E</vt:lpstr>
      <vt:lpstr>ME_147_G</vt:lpstr>
      <vt:lpstr>ME_148_D</vt:lpstr>
      <vt:lpstr>ME_148_E</vt:lpstr>
      <vt:lpstr>ME_148_G</vt:lpstr>
      <vt:lpstr>ME_149_D</vt:lpstr>
      <vt:lpstr>ME_149_E</vt:lpstr>
      <vt:lpstr>ME_149_G</vt:lpstr>
      <vt:lpstr>ME_15_D</vt:lpstr>
      <vt:lpstr>ME_15_E</vt:lpstr>
      <vt:lpstr>ME_15_G</vt:lpstr>
      <vt:lpstr>ME_16_D</vt:lpstr>
      <vt:lpstr>ME_16_E</vt:lpstr>
      <vt:lpstr>ME_16_G</vt:lpstr>
      <vt:lpstr>ME_17_D</vt:lpstr>
      <vt:lpstr>ME_17_E</vt:lpstr>
      <vt:lpstr>ME_17_G</vt:lpstr>
      <vt:lpstr>ME_18_D</vt:lpstr>
      <vt:lpstr>ME_18_E</vt:lpstr>
      <vt:lpstr>ME_18_G</vt:lpstr>
      <vt:lpstr>ME_19_D</vt:lpstr>
      <vt:lpstr>ME_19_E</vt:lpstr>
      <vt:lpstr>ME_19_G</vt:lpstr>
      <vt:lpstr>ME_2_D</vt:lpstr>
      <vt:lpstr>ME_2_E</vt:lpstr>
      <vt:lpstr>ME_2_G</vt:lpstr>
      <vt:lpstr>ME_20_D</vt:lpstr>
      <vt:lpstr>ME_20_E</vt:lpstr>
      <vt:lpstr>ME_20_G</vt:lpstr>
      <vt:lpstr>ME_21_D</vt:lpstr>
      <vt:lpstr>ME_21_E</vt:lpstr>
      <vt:lpstr>ME_21_G</vt:lpstr>
      <vt:lpstr>ME_22_D</vt:lpstr>
      <vt:lpstr>ME_22_E</vt:lpstr>
      <vt:lpstr>ME_22_G</vt:lpstr>
      <vt:lpstr>ME_23_D</vt:lpstr>
      <vt:lpstr>ME_23_E</vt:lpstr>
      <vt:lpstr>ME_23_G</vt:lpstr>
      <vt:lpstr>ME_24_D</vt:lpstr>
      <vt:lpstr>ME_24_E</vt:lpstr>
      <vt:lpstr>ME_24_G</vt:lpstr>
      <vt:lpstr>ME_25_D</vt:lpstr>
      <vt:lpstr>ME_25_E</vt:lpstr>
      <vt:lpstr>ME_25_G</vt:lpstr>
      <vt:lpstr>ME_26_D</vt:lpstr>
      <vt:lpstr>ME_26_E</vt:lpstr>
      <vt:lpstr>ME_26_G</vt:lpstr>
      <vt:lpstr>ME_27_D</vt:lpstr>
      <vt:lpstr>ME_27_E</vt:lpstr>
      <vt:lpstr>ME_27_G</vt:lpstr>
      <vt:lpstr>ME_28_D</vt:lpstr>
      <vt:lpstr>ME_28_E</vt:lpstr>
      <vt:lpstr>ME_28_G</vt:lpstr>
      <vt:lpstr>ME_29_D</vt:lpstr>
      <vt:lpstr>ME_29_E</vt:lpstr>
      <vt:lpstr>ME_29_G</vt:lpstr>
      <vt:lpstr>ME_3_D</vt:lpstr>
      <vt:lpstr>ME_3_E</vt:lpstr>
      <vt:lpstr>ME_3_G</vt:lpstr>
      <vt:lpstr>ME_30_D</vt:lpstr>
      <vt:lpstr>ME_30_E</vt:lpstr>
      <vt:lpstr>ME_30_G</vt:lpstr>
      <vt:lpstr>ME_31_D</vt:lpstr>
      <vt:lpstr>ME_31_E</vt:lpstr>
      <vt:lpstr>ME_31_G</vt:lpstr>
      <vt:lpstr>ME_32_D</vt:lpstr>
      <vt:lpstr>ME_32_E</vt:lpstr>
      <vt:lpstr>ME_32_G</vt:lpstr>
      <vt:lpstr>ME_33_D</vt:lpstr>
      <vt:lpstr>ME_33_E</vt:lpstr>
      <vt:lpstr>ME_33_G</vt:lpstr>
      <vt:lpstr>ME_34_D</vt:lpstr>
      <vt:lpstr>ME_34_E</vt:lpstr>
      <vt:lpstr>ME_34_G</vt:lpstr>
      <vt:lpstr>ME_35_D</vt:lpstr>
      <vt:lpstr>ME_35_E</vt:lpstr>
      <vt:lpstr>ME_35_G</vt:lpstr>
      <vt:lpstr>ME_36_D</vt:lpstr>
      <vt:lpstr>ME_36_E</vt:lpstr>
      <vt:lpstr>ME_36_G</vt:lpstr>
      <vt:lpstr>ME_37_D</vt:lpstr>
      <vt:lpstr>ME_37_E</vt:lpstr>
      <vt:lpstr>ME_37_G</vt:lpstr>
      <vt:lpstr>ME_38_D</vt:lpstr>
      <vt:lpstr>ME_38_E</vt:lpstr>
      <vt:lpstr>ME_38_G</vt:lpstr>
      <vt:lpstr>ME_39_D</vt:lpstr>
      <vt:lpstr>ME_39_E</vt:lpstr>
      <vt:lpstr>ME_39_G</vt:lpstr>
      <vt:lpstr>ME_4_D</vt:lpstr>
      <vt:lpstr>ME_4_E</vt:lpstr>
      <vt:lpstr>ME_4_G</vt:lpstr>
      <vt:lpstr>ME_40_D</vt:lpstr>
      <vt:lpstr>ME_40_E</vt:lpstr>
      <vt:lpstr>ME_40_G</vt:lpstr>
      <vt:lpstr>ME_41_D</vt:lpstr>
      <vt:lpstr>ME_41_E</vt:lpstr>
      <vt:lpstr>ME_41_G</vt:lpstr>
      <vt:lpstr>ME_42_D</vt:lpstr>
      <vt:lpstr>ME_42_E</vt:lpstr>
      <vt:lpstr>ME_42_G</vt:lpstr>
      <vt:lpstr>ME_43_D</vt:lpstr>
      <vt:lpstr>ME_43_E</vt:lpstr>
      <vt:lpstr>ME_43_G</vt:lpstr>
      <vt:lpstr>ME_44_D</vt:lpstr>
      <vt:lpstr>ME_44_E</vt:lpstr>
      <vt:lpstr>ME_44_G</vt:lpstr>
      <vt:lpstr>ME_45_D</vt:lpstr>
      <vt:lpstr>ME_45_E</vt:lpstr>
      <vt:lpstr>ME_45_G</vt:lpstr>
      <vt:lpstr>ME_46_D</vt:lpstr>
      <vt:lpstr>ME_46_E</vt:lpstr>
      <vt:lpstr>ME_46_G</vt:lpstr>
      <vt:lpstr>ME_47_D</vt:lpstr>
      <vt:lpstr>ME_47_E</vt:lpstr>
      <vt:lpstr>ME_47_G</vt:lpstr>
      <vt:lpstr>ME_48_D</vt:lpstr>
      <vt:lpstr>ME_48_E</vt:lpstr>
      <vt:lpstr>ME_48_G</vt:lpstr>
      <vt:lpstr>ME_49_D</vt:lpstr>
      <vt:lpstr>ME_49_E</vt:lpstr>
      <vt:lpstr>ME_49_G</vt:lpstr>
      <vt:lpstr>ME_5_D</vt:lpstr>
      <vt:lpstr>ME_5_E</vt:lpstr>
      <vt:lpstr>ME_5_G</vt:lpstr>
      <vt:lpstr>ME_50_D</vt:lpstr>
      <vt:lpstr>ME_50_E</vt:lpstr>
      <vt:lpstr>ME_50_G</vt:lpstr>
      <vt:lpstr>ME_51_D</vt:lpstr>
      <vt:lpstr>ME_51_E</vt:lpstr>
      <vt:lpstr>ME_51_G</vt:lpstr>
      <vt:lpstr>ME_52_D</vt:lpstr>
      <vt:lpstr>ME_52_E</vt:lpstr>
      <vt:lpstr>ME_52_G</vt:lpstr>
      <vt:lpstr>ME_53_D</vt:lpstr>
      <vt:lpstr>ME_53_E</vt:lpstr>
      <vt:lpstr>ME_53_G</vt:lpstr>
      <vt:lpstr>ME_54_D</vt:lpstr>
      <vt:lpstr>ME_54_E</vt:lpstr>
      <vt:lpstr>ME_54_G</vt:lpstr>
      <vt:lpstr>ME_55_D</vt:lpstr>
      <vt:lpstr>ME_55_E</vt:lpstr>
      <vt:lpstr>ME_55_G</vt:lpstr>
      <vt:lpstr>ME_56_D</vt:lpstr>
      <vt:lpstr>ME_56_E</vt:lpstr>
      <vt:lpstr>ME_56_G</vt:lpstr>
      <vt:lpstr>ME_57_D</vt:lpstr>
      <vt:lpstr>ME_57_E</vt:lpstr>
      <vt:lpstr>ME_57_G</vt:lpstr>
      <vt:lpstr>ME_58_D</vt:lpstr>
      <vt:lpstr>ME_58_E</vt:lpstr>
      <vt:lpstr>ME_58_G</vt:lpstr>
      <vt:lpstr>ME_59_D</vt:lpstr>
      <vt:lpstr>ME_59_E</vt:lpstr>
      <vt:lpstr>ME_59_G</vt:lpstr>
      <vt:lpstr>ME_6_D</vt:lpstr>
      <vt:lpstr>ME_6_E</vt:lpstr>
      <vt:lpstr>ME_6_G</vt:lpstr>
      <vt:lpstr>ME_60_D</vt:lpstr>
      <vt:lpstr>ME_60_E</vt:lpstr>
      <vt:lpstr>ME_60_G</vt:lpstr>
      <vt:lpstr>ME_61_D</vt:lpstr>
      <vt:lpstr>ME_61_E</vt:lpstr>
      <vt:lpstr>ME_61_G</vt:lpstr>
      <vt:lpstr>ME_62_D</vt:lpstr>
      <vt:lpstr>ME_62_E</vt:lpstr>
      <vt:lpstr>ME_62_G</vt:lpstr>
      <vt:lpstr>ME_63_D</vt:lpstr>
      <vt:lpstr>ME_63_E</vt:lpstr>
      <vt:lpstr>ME_63_G</vt:lpstr>
      <vt:lpstr>ME_64_D</vt:lpstr>
      <vt:lpstr>ME_64_E</vt:lpstr>
      <vt:lpstr>ME_64_G</vt:lpstr>
      <vt:lpstr>ME_65_D</vt:lpstr>
      <vt:lpstr>ME_65_E</vt:lpstr>
      <vt:lpstr>ME_65_G</vt:lpstr>
      <vt:lpstr>ME_66_D</vt:lpstr>
      <vt:lpstr>ME_66_E</vt:lpstr>
      <vt:lpstr>ME_66_G</vt:lpstr>
      <vt:lpstr>ME_67_D</vt:lpstr>
      <vt:lpstr>ME_67_E</vt:lpstr>
      <vt:lpstr>ME_67_G</vt:lpstr>
      <vt:lpstr>ME_68_D</vt:lpstr>
      <vt:lpstr>ME_68_E</vt:lpstr>
      <vt:lpstr>ME_68_G</vt:lpstr>
      <vt:lpstr>ME_69_D</vt:lpstr>
      <vt:lpstr>ME_69_E</vt:lpstr>
      <vt:lpstr>ME_69_G</vt:lpstr>
      <vt:lpstr>ME_7_D</vt:lpstr>
      <vt:lpstr>ME_7_E</vt:lpstr>
      <vt:lpstr>ME_7_G</vt:lpstr>
      <vt:lpstr>ME_70_D</vt:lpstr>
      <vt:lpstr>ME_70_E</vt:lpstr>
      <vt:lpstr>ME_70_G</vt:lpstr>
      <vt:lpstr>ME_71_D</vt:lpstr>
      <vt:lpstr>ME_71_E</vt:lpstr>
      <vt:lpstr>ME_71_G</vt:lpstr>
      <vt:lpstr>ME_72_D</vt:lpstr>
      <vt:lpstr>ME_72_E</vt:lpstr>
      <vt:lpstr>ME_72_G</vt:lpstr>
      <vt:lpstr>ME_73_D</vt:lpstr>
      <vt:lpstr>ME_73_E</vt:lpstr>
      <vt:lpstr>ME_73_G</vt:lpstr>
      <vt:lpstr>ME_74_D</vt:lpstr>
      <vt:lpstr>ME_74_E</vt:lpstr>
      <vt:lpstr>ME_74_G</vt:lpstr>
      <vt:lpstr>ME_75_D</vt:lpstr>
      <vt:lpstr>ME_75_E</vt:lpstr>
      <vt:lpstr>ME_75_G</vt:lpstr>
      <vt:lpstr>ME_76_D</vt:lpstr>
      <vt:lpstr>ME_76_E</vt:lpstr>
      <vt:lpstr>ME_76_G</vt:lpstr>
      <vt:lpstr>ME_77_D</vt:lpstr>
      <vt:lpstr>ME_77_E</vt:lpstr>
      <vt:lpstr>ME_77_G</vt:lpstr>
      <vt:lpstr>ME_78_D</vt:lpstr>
      <vt:lpstr>ME_78_E</vt:lpstr>
      <vt:lpstr>ME_78_G</vt:lpstr>
      <vt:lpstr>ME_79_D</vt:lpstr>
      <vt:lpstr>ME_79_E</vt:lpstr>
      <vt:lpstr>ME_79_G</vt:lpstr>
      <vt:lpstr>ME_8_D</vt:lpstr>
      <vt:lpstr>ME_8_E</vt:lpstr>
      <vt:lpstr>ME_8_G</vt:lpstr>
      <vt:lpstr>ME_80_D</vt:lpstr>
      <vt:lpstr>ME_80_E</vt:lpstr>
      <vt:lpstr>ME_80_G</vt:lpstr>
      <vt:lpstr>ME_81_D</vt:lpstr>
      <vt:lpstr>ME_81_E</vt:lpstr>
      <vt:lpstr>ME_81_G</vt:lpstr>
      <vt:lpstr>ME_82_D</vt:lpstr>
      <vt:lpstr>ME_82_E</vt:lpstr>
      <vt:lpstr>ME_82_G</vt:lpstr>
      <vt:lpstr>ME_83_D</vt:lpstr>
      <vt:lpstr>ME_83_E</vt:lpstr>
      <vt:lpstr>ME_83_G</vt:lpstr>
      <vt:lpstr>ME_84_D</vt:lpstr>
      <vt:lpstr>ME_84_E</vt:lpstr>
      <vt:lpstr>ME_84_G</vt:lpstr>
      <vt:lpstr>ME_85_D</vt:lpstr>
      <vt:lpstr>ME_85_E</vt:lpstr>
      <vt:lpstr>ME_85_G</vt:lpstr>
      <vt:lpstr>ME_86_D</vt:lpstr>
      <vt:lpstr>ME_86_E</vt:lpstr>
      <vt:lpstr>ME_86_G</vt:lpstr>
      <vt:lpstr>ME_87_D</vt:lpstr>
      <vt:lpstr>ME_87_E</vt:lpstr>
      <vt:lpstr>ME_87_G</vt:lpstr>
      <vt:lpstr>ME_88_D</vt:lpstr>
      <vt:lpstr>ME_88_E</vt:lpstr>
      <vt:lpstr>ME_88_G</vt:lpstr>
      <vt:lpstr>ME_89_D</vt:lpstr>
      <vt:lpstr>ME_89_E</vt:lpstr>
      <vt:lpstr>ME_89_G</vt:lpstr>
      <vt:lpstr>ME_9_D</vt:lpstr>
      <vt:lpstr>ME_9_E</vt:lpstr>
      <vt:lpstr>ME_9_G</vt:lpstr>
      <vt:lpstr>ME_90_D</vt:lpstr>
      <vt:lpstr>ME_90_E</vt:lpstr>
      <vt:lpstr>ME_90_G</vt:lpstr>
      <vt:lpstr>ME_91_D</vt:lpstr>
      <vt:lpstr>ME_91_E</vt:lpstr>
      <vt:lpstr>ME_91_G</vt:lpstr>
      <vt:lpstr>ME_92_D</vt:lpstr>
      <vt:lpstr>ME_92_E</vt:lpstr>
      <vt:lpstr>ME_92_G</vt:lpstr>
      <vt:lpstr>ME_93_D</vt:lpstr>
      <vt:lpstr>ME_93_E</vt:lpstr>
      <vt:lpstr>ME_93_G</vt:lpstr>
      <vt:lpstr>ME_94_D</vt:lpstr>
      <vt:lpstr>ME_94_E</vt:lpstr>
      <vt:lpstr>ME_94_G</vt:lpstr>
      <vt:lpstr>ME_95_D</vt:lpstr>
      <vt:lpstr>ME_95_E</vt:lpstr>
      <vt:lpstr>ME_95_G</vt:lpstr>
      <vt:lpstr>ME_96_D</vt:lpstr>
      <vt:lpstr>ME_96_E</vt:lpstr>
      <vt:lpstr>ME_96_G</vt:lpstr>
      <vt:lpstr>ME_97_D</vt:lpstr>
      <vt:lpstr>ME_97_E</vt:lpstr>
      <vt:lpstr>ME_97_G</vt:lpstr>
      <vt:lpstr>ME_98_D</vt:lpstr>
      <vt:lpstr>ME_98_E</vt:lpstr>
      <vt:lpstr>ME_98_G</vt:lpstr>
      <vt:lpstr>ME_99_D</vt:lpstr>
      <vt:lpstr>ME_99_E</vt:lpstr>
      <vt:lpstr>ME_99_G</vt:lpstr>
      <vt:lpstr>NamedRange1</vt:lpstr>
      <vt:lpstr>NamedRange2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Ali Taheri</cp:lastModifiedBy>
  <dcterms:modified xsi:type="dcterms:W3CDTF">2025-05-01T15:29:39Z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Folder_Number">
    <vt:lpwstr/>
  </property>
  <property fmtid="{D5CDD505-2E9C-101B-9397-08002B2CF9AE}" pid="3" name="Folder_Code">
    <vt:lpwstr/>
  </property>
  <property fmtid="{D5CDD505-2E9C-101B-9397-08002B2CF9AE}" pid="4" name="Folder_Name">
    <vt:lpwstr/>
  </property>
  <property fmtid="{D5CDD505-2E9C-101B-9397-08002B2CF9AE}" pid="5" name="Folder_Description">
    <vt:lpwstr/>
  </property>
  <property fmtid="{D5CDD505-2E9C-101B-9397-08002B2CF9AE}" pid="6" name="/Folder_Name/">
    <vt:lpwstr/>
  </property>
  <property fmtid="{D5CDD505-2E9C-101B-9397-08002B2CF9AE}" pid="7" name="/Folder_Description/">
    <vt:lpwstr/>
  </property>
  <property fmtid="{D5CDD505-2E9C-101B-9397-08002B2CF9AE}" pid="8" name="Folder_Version">
    <vt:lpwstr/>
  </property>
  <property fmtid="{D5CDD505-2E9C-101B-9397-08002B2CF9AE}" pid="9" name="Folder_VersionSeq">
    <vt:lpwstr/>
  </property>
  <property fmtid="{D5CDD505-2E9C-101B-9397-08002B2CF9AE}" pid="10" name="Folder_Manager">
    <vt:lpwstr/>
  </property>
  <property fmtid="{D5CDD505-2E9C-101B-9397-08002B2CF9AE}" pid="11" name="Folder_ManagerDesc">
    <vt:lpwstr/>
  </property>
  <property fmtid="{D5CDD505-2E9C-101B-9397-08002B2CF9AE}" pid="12" name="Folder_Storage">
    <vt:lpwstr/>
  </property>
  <property fmtid="{D5CDD505-2E9C-101B-9397-08002B2CF9AE}" pid="13" name="Folder_StorageDesc">
    <vt:lpwstr/>
  </property>
  <property fmtid="{D5CDD505-2E9C-101B-9397-08002B2CF9AE}" pid="14" name="Folder_Creator">
    <vt:lpwstr/>
  </property>
  <property fmtid="{D5CDD505-2E9C-101B-9397-08002B2CF9AE}" pid="15" name="Folder_CreatorDesc">
    <vt:lpwstr/>
  </property>
  <property fmtid="{D5CDD505-2E9C-101B-9397-08002B2CF9AE}" pid="16" name="Folder_CreateDate">
    <vt:lpwstr/>
  </property>
  <property fmtid="{D5CDD505-2E9C-101B-9397-08002B2CF9AE}" pid="17" name="Folder_Updater">
    <vt:lpwstr/>
  </property>
  <property fmtid="{D5CDD505-2E9C-101B-9397-08002B2CF9AE}" pid="18" name="Folder_UpdaterDesc">
    <vt:lpwstr/>
  </property>
  <property fmtid="{D5CDD505-2E9C-101B-9397-08002B2CF9AE}" pid="19" name="Folder_UpdateDate">
    <vt:lpwstr/>
  </property>
  <property fmtid="{D5CDD505-2E9C-101B-9397-08002B2CF9AE}" pid="20" name="Document_Number">
    <vt:lpwstr/>
  </property>
  <property fmtid="{D5CDD505-2E9C-101B-9397-08002B2CF9AE}" pid="21" name="Document_Name">
    <vt:lpwstr/>
  </property>
  <property fmtid="{D5CDD505-2E9C-101B-9397-08002B2CF9AE}" pid="22" name="Document_FileName">
    <vt:lpwstr/>
  </property>
  <property fmtid="{D5CDD505-2E9C-101B-9397-08002B2CF9AE}" pid="23" name="Document_Version">
    <vt:lpwstr/>
  </property>
  <property fmtid="{D5CDD505-2E9C-101B-9397-08002B2CF9AE}" pid="24" name="Document_VersionSeq">
    <vt:lpwstr/>
  </property>
  <property fmtid="{D5CDD505-2E9C-101B-9397-08002B2CF9AE}" pid="25" name="Document_Creator">
    <vt:lpwstr/>
  </property>
  <property fmtid="{D5CDD505-2E9C-101B-9397-08002B2CF9AE}" pid="26" name="Document_CreatorDesc">
    <vt:lpwstr/>
  </property>
  <property fmtid="{D5CDD505-2E9C-101B-9397-08002B2CF9AE}" pid="27" name="Document_CreateDate">
    <vt:lpwstr/>
  </property>
  <property fmtid="{D5CDD505-2E9C-101B-9397-08002B2CF9AE}" pid="28" name="Document_Updater">
    <vt:lpwstr/>
  </property>
  <property fmtid="{D5CDD505-2E9C-101B-9397-08002B2CF9AE}" pid="29" name="Document_UpdaterDesc">
    <vt:lpwstr/>
  </property>
  <property fmtid="{D5CDD505-2E9C-101B-9397-08002B2CF9AE}" pid="30" name="Document_UpdateDate">
    <vt:lpwstr/>
  </property>
  <property fmtid="{D5CDD505-2E9C-101B-9397-08002B2CF9AE}" pid="31" name="Document_Size">
    <vt:lpwstr/>
  </property>
  <property fmtid="{D5CDD505-2E9C-101B-9397-08002B2CF9AE}" pid="32" name="Document_Storage">
    <vt:lpwstr/>
  </property>
  <property fmtid="{D5CDD505-2E9C-101B-9397-08002B2CF9AE}" pid="33" name="Document_StorageDesc">
    <vt:lpwstr/>
  </property>
  <property fmtid="{D5CDD505-2E9C-101B-9397-08002B2CF9AE}" pid="34" name="Document_Department">
    <vt:lpwstr/>
  </property>
  <property fmtid="{D5CDD505-2E9C-101B-9397-08002B2CF9AE}" pid="35" name="Document_DepartmentDesc">
    <vt:lpwstr/>
  </property>
</Properties>
</file>